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rkuspaschke/Desktop/ShapeNetTools_wip/Evaluation_Tools/ViewpointLossPerObject/EVAL_LOSSES_2D_2.5D/"/>
    </mc:Choice>
  </mc:AlternateContent>
  <xr:revisionPtr revIDLastSave="0" documentId="13_ncr:1_{C7671603-E5F5-D842-A93C-FC063F2A67C1}" xr6:coauthVersionLast="45" xr6:coauthVersionMax="45" xr10:uidLastSave="{00000000-0000-0000-0000-000000000000}"/>
  <bookViews>
    <workbookView xWindow="0" yWindow="460" windowWidth="38400" windowHeight="19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81" i="1" l="1"/>
  <c r="U2881" i="1"/>
  <c r="T2881" i="1"/>
  <c r="S2881" i="1"/>
  <c r="R2881" i="1"/>
  <c r="Q2881" i="1"/>
  <c r="P2881" i="1"/>
  <c r="O2881" i="1"/>
  <c r="N2881" i="1"/>
  <c r="M2881" i="1"/>
  <c r="L2881" i="1"/>
  <c r="K2881" i="1"/>
  <c r="J2881" i="1"/>
  <c r="I2881" i="1"/>
  <c r="H2881" i="1"/>
  <c r="G2881" i="1"/>
  <c r="F2881" i="1"/>
  <c r="E2881" i="1"/>
  <c r="D2881" i="1"/>
  <c r="C2881" i="1"/>
  <c r="V2880" i="1"/>
  <c r="U2880" i="1"/>
  <c r="T2880" i="1"/>
  <c r="S2880" i="1"/>
  <c r="R2880" i="1"/>
  <c r="Q2880" i="1"/>
  <c r="P2880" i="1"/>
  <c r="O2880" i="1"/>
  <c r="N2880" i="1"/>
  <c r="M2880" i="1"/>
  <c r="L2880" i="1"/>
  <c r="K2880" i="1"/>
  <c r="J2880" i="1"/>
  <c r="I2880" i="1"/>
  <c r="H2880" i="1"/>
  <c r="G2880" i="1"/>
  <c r="F2880" i="1"/>
  <c r="E2880" i="1"/>
  <c r="D2880" i="1"/>
  <c r="C2880" i="1"/>
  <c r="V2879" i="1"/>
  <c r="U2879" i="1"/>
  <c r="T2879" i="1"/>
  <c r="S2879" i="1"/>
  <c r="R2879" i="1"/>
  <c r="Q2879" i="1"/>
  <c r="P2879" i="1"/>
  <c r="O2879" i="1"/>
  <c r="N2879" i="1"/>
  <c r="M2879" i="1"/>
  <c r="L2879" i="1"/>
  <c r="K2879" i="1"/>
  <c r="J2879" i="1"/>
  <c r="I2879" i="1"/>
  <c r="H2879" i="1"/>
  <c r="G2879" i="1"/>
  <c r="F2879" i="1"/>
  <c r="E2879" i="1"/>
  <c r="D2879" i="1"/>
  <c r="C2879" i="1"/>
  <c r="V2878" i="1"/>
  <c r="U2878" i="1"/>
  <c r="T2878" i="1"/>
  <c r="S2878" i="1"/>
  <c r="R2878" i="1"/>
  <c r="Q2878" i="1"/>
  <c r="P2878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C2878" i="1"/>
  <c r="V2877" i="1"/>
  <c r="U2877" i="1"/>
  <c r="T2877" i="1"/>
  <c r="S2877" i="1"/>
  <c r="R2877" i="1"/>
  <c r="Q2877" i="1"/>
  <c r="P2877" i="1"/>
  <c r="O2877" i="1"/>
  <c r="N2877" i="1"/>
  <c r="M2877" i="1"/>
  <c r="L2877" i="1"/>
  <c r="K2877" i="1"/>
  <c r="J2877" i="1"/>
  <c r="I2877" i="1"/>
  <c r="H2877" i="1"/>
  <c r="G2877" i="1"/>
  <c r="F2877" i="1"/>
  <c r="E2877" i="1"/>
  <c r="D2877" i="1"/>
  <c r="C2877" i="1"/>
  <c r="V2876" i="1"/>
  <c r="U2876" i="1"/>
  <c r="T2876" i="1"/>
  <c r="S2876" i="1"/>
  <c r="R2876" i="1"/>
  <c r="Q2876" i="1"/>
  <c r="P2876" i="1"/>
  <c r="O2876" i="1"/>
  <c r="N2876" i="1"/>
  <c r="M2876" i="1"/>
  <c r="L2876" i="1"/>
  <c r="K2876" i="1"/>
  <c r="J2876" i="1"/>
  <c r="I2876" i="1"/>
  <c r="H2876" i="1"/>
  <c r="G2876" i="1"/>
  <c r="F2876" i="1"/>
  <c r="E2876" i="1"/>
  <c r="D2876" i="1"/>
  <c r="C2876" i="1"/>
  <c r="V2875" i="1"/>
  <c r="U2875" i="1"/>
  <c r="T2875" i="1"/>
  <c r="S2875" i="1"/>
  <c r="R2875" i="1"/>
  <c r="Q2875" i="1"/>
  <c r="P2875" i="1"/>
  <c r="O2875" i="1"/>
  <c r="N2875" i="1"/>
  <c r="M2875" i="1"/>
  <c r="L2875" i="1"/>
  <c r="K2875" i="1"/>
  <c r="J2875" i="1"/>
  <c r="I2875" i="1"/>
  <c r="H2875" i="1"/>
  <c r="G2875" i="1"/>
  <c r="F2875" i="1"/>
  <c r="E2875" i="1"/>
  <c r="D2875" i="1"/>
  <c r="C2875" i="1"/>
  <c r="V2874" i="1"/>
  <c r="U2874" i="1"/>
  <c r="T2874" i="1"/>
  <c r="S2874" i="1"/>
  <c r="R2874" i="1"/>
  <c r="Q2874" i="1"/>
  <c r="P2874" i="1"/>
  <c r="O2874" i="1"/>
  <c r="N2874" i="1"/>
  <c r="M2874" i="1"/>
  <c r="L2874" i="1"/>
  <c r="K2874" i="1"/>
  <c r="J2874" i="1"/>
  <c r="I2874" i="1"/>
  <c r="H2874" i="1"/>
  <c r="G2874" i="1"/>
  <c r="F2874" i="1"/>
  <c r="E2874" i="1"/>
  <c r="D2874" i="1"/>
  <c r="C2874" i="1"/>
  <c r="V2873" i="1"/>
  <c r="U2873" i="1"/>
  <c r="T2873" i="1"/>
  <c r="S2873" i="1"/>
  <c r="R2873" i="1"/>
  <c r="Q2873" i="1"/>
  <c r="P2873" i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C2873" i="1"/>
  <c r="V2872" i="1"/>
  <c r="U2872" i="1"/>
  <c r="T2872" i="1"/>
  <c r="S2872" i="1"/>
  <c r="R2872" i="1"/>
  <c r="Q2872" i="1"/>
  <c r="P2872" i="1"/>
  <c r="O2872" i="1"/>
  <c r="N2872" i="1"/>
  <c r="M2872" i="1"/>
  <c r="L2872" i="1"/>
  <c r="K2872" i="1"/>
  <c r="J2872" i="1"/>
  <c r="I2872" i="1"/>
  <c r="H2872" i="1"/>
  <c r="G2872" i="1"/>
  <c r="F2872" i="1"/>
  <c r="E2872" i="1"/>
  <c r="D2872" i="1"/>
  <c r="C2872" i="1"/>
  <c r="V2871" i="1"/>
  <c r="U2871" i="1"/>
  <c r="T2871" i="1"/>
  <c r="S2871" i="1"/>
  <c r="R2871" i="1"/>
  <c r="Q2871" i="1"/>
  <c r="P2871" i="1"/>
  <c r="O2871" i="1"/>
  <c r="N2871" i="1"/>
  <c r="M2871" i="1"/>
  <c r="L2871" i="1"/>
  <c r="K2871" i="1"/>
  <c r="J2871" i="1"/>
  <c r="I2871" i="1"/>
  <c r="H2871" i="1"/>
  <c r="G2871" i="1"/>
  <c r="F2871" i="1"/>
  <c r="E2871" i="1"/>
  <c r="D2871" i="1"/>
  <c r="C2871" i="1"/>
  <c r="V2870" i="1"/>
  <c r="U2870" i="1"/>
  <c r="T2870" i="1"/>
  <c r="S2870" i="1"/>
  <c r="R2870" i="1"/>
  <c r="Q2870" i="1"/>
  <c r="P2870" i="1"/>
  <c r="O2870" i="1"/>
  <c r="N2870" i="1"/>
  <c r="M2870" i="1"/>
  <c r="L2870" i="1"/>
  <c r="K2870" i="1"/>
  <c r="J2870" i="1"/>
  <c r="I2870" i="1"/>
  <c r="H2870" i="1"/>
  <c r="G2870" i="1"/>
  <c r="F2870" i="1"/>
  <c r="E2870" i="1"/>
  <c r="D2870" i="1"/>
  <c r="C2870" i="1"/>
  <c r="V2869" i="1"/>
  <c r="U2869" i="1"/>
  <c r="T2869" i="1"/>
  <c r="S2869" i="1"/>
  <c r="R2869" i="1"/>
  <c r="Q2869" i="1"/>
  <c r="P2869" i="1"/>
  <c r="O2869" i="1"/>
  <c r="N2869" i="1"/>
  <c r="M2869" i="1"/>
  <c r="L2869" i="1"/>
  <c r="K2869" i="1"/>
  <c r="J2869" i="1"/>
  <c r="I2869" i="1"/>
  <c r="H2869" i="1"/>
  <c r="G2869" i="1"/>
  <c r="F2869" i="1"/>
  <c r="E2869" i="1"/>
  <c r="D2869" i="1"/>
  <c r="C2869" i="1"/>
  <c r="V2868" i="1"/>
  <c r="U2868" i="1"/>
  <c r="T2868" i="1"/>
  <c r="S2868" i="1"/>
  <c r="R2868" i="1"/>
  <c r="Q2868" i="1"/>
  <c r="P2868" i="1"/>
  <c r="O2868" i="1"/>
  <c r="N2868" i="1"/>
  <c r="M2868" i="1"/>
  <c r="L2868" i="1"/>
  <c r="K2868" i="1"/>
  <c r="J2868" i="1"/>
  <c r="I2868" i="1"/>
  <c r="H2868" i="1"/>
  <c r="G2868" i="1"/>
  <c r="F2868" i="1"/>
  <c r="E2868" i="1"/>
  <c r="D2868" i="1"/>
  <c r="C2868" i="1"/>
  <c r="V2867" i="1"/>
  <c r="U2867" i="1"/>
  <c r="T2867" i="1"/>
  <c r="S2867" i="1"/>
  <c r="R2867" i="1"/>
  <c r="Q2867" i="1"/>
  <c r="P2867" i="1"/>
  <c r="O2867" i="1"/>
  <c r="N2867" i="1"/>
  <c r="M2867" i="1"/>
  <c r="L2867" i="1"/>
  <c r="K2867" i="1"/>
  <c r="J2867" i="1"/>
  <c r="I2867" i="1"/>
  <c r="H2867" i="1"/>
  <c r="G2867" i="1"/>
  <c r="F2867" i="1"/>
  <c r="E2867" i="1"/>
  <c r="D2867" i="1"/>
  <c r="C2867" i="1"/>
  <c r="V2866" i="1"/>
  <c r="U2866" i="1"/>
  <c r="T2866" i="1"/>
  <c r="S2866" i="1"/>
  <c r="R2866" i="1"/>
  <c r="Q2866" i="1"/>
  <c r="P2866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C2866" i="1"/>
  <c r="V2865" i="1"/>
  <c r="U2865" i="1"/>
  <c r="T2865" i="1"/>
  <c r="S2865" i="1"/>
  <c r="R2865" i="1"/>
  <c r="Q2865" i="1"/>
  <c r="P2865" i="1"/>
  <c r="O2865" i="1"/>
  <c r="N2865" i="1"/>
  <c r="M2865" i="1"/>
  <c r="L2865" i="1"/>
  <c r="K2865" i="1"/>
  <c r="J2865" i="1"/>
  <c r="I2865" i="1"/>
  <c r="H2865" i="1"/>
  <c r="G2865" i="1"/>
  <c r="F2865" i="1"/>
  <c r="E2865" i="1"/>
  <c r="D2865" i="1"/>
  <c r="C2865" i="1"/>
  <c r="V2864" i="1"/>
  <c r="U2864" i="1"/>
  <c r="T2864" i="1"/>
  <c r="S2864" i="1"/>
  <c r="R2864" i="1"/>
  <c r="Q2864" i="1"/>
  <c r="P2864" i="1"/>
  <c r="O2864" i="1"/>
  <c r="N2864" i="1"/>
  <c r="M2864" i="1"/>
  <c r="L2864" i="1"/>
  <c r="K2864" i="1"/>
  <c r="J2864" i="1"/>
  <c r="I2864" i="1"/>
  <c r="H2864" i="1"/>
  <c r="G2864" i="1"/>
  <c r="F2864" i="1"/>
  <c r="E2864" i="1"/>
  <c r="D2864" i="1"/>
  <c r="C2864" i="1"/>
  <c r="V2863" i="1"/>
  <c r="U2863" i="1"/>
  <c r="T2863" i="1"/>
  <c r="S2863" i="1"/>
  <c r="R2863" i="1"/>
  <c r="Q2863" i="1"/>
  <c r="P2863" i="1"/>
  <c r="O2863" i="1"/>
  <c r="N2863" i="1"/>
  <c r="M2863" i="1"/>
  <c r="L2863" i="1"/>
  <c r="K2863" i="1"/>
  <c r="J2863" i="1"/>
  <c r="I2863" i="1"/>
  <c r="H2863" i="1"/>
  <c r="G2863" i="1"/>
  <c r="F2863" i="1"/>
  <c r="E2863" i="1"/>
  <c r="D2863" i="1"/>
  <c r="C2863" i="1"/>
  <c r="V2862" i="1"/>
  <c r="U2862" i="1"/>
  <c r="T2862" i="1"/>
  <c r="S2862" i="1"/>
  <c r="R2862" i="1"/>
  <c r="Q2862" i="1"/>
  <c r="P2862" i="1"/>
  <c r="O2862" i="1"/>
  <c r="N2862" i="1"/>
  <c r="M2862" i="1"/>
  <c r="L2862" i="1"/>
  <c r="K2862" i="1"/>
  <c r="J2862" i="1"/>
  <c r="I2862" i="1"/>
  <c r="H2862" i="1"/>
  <c r="G2862" i="1"/>
  <c r="F2862" i="1"/>
  <c r="E2862" i="1"/>
  <c r="D2862" i="1"/>
  <c r="C2862" i="1"/>
  <c r="V2861" i="1"/>
  <c r="U2861" i="1"/>
  <c r="T2861" i="1"/>
  <c r="S2861" i="1"/>
  <c r="R2861" i="1"/>
  <c r="Q2861" i="1"/>
  <c r="P2861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C2861" i="1"/>
  <c r="V2860" i="1"/>
  <c r="U2860" i="1"/>
  <c r="T2860" i="1"/>
  <c r="S2860" i="1"/>
  <c r="R2860" i="1"/>
  <c r="Q2860" i="1"/>
  <c r="P2860" i="1"/>
  <c r="O2860" i="1"/>
  <c r="N2860" i="1"/>
  <c r="M2860" i="1"/>
  <c r="L2860" i="1"/>
  <c r="K2860" i="1"/>
  <c r="J2860" i="1"/>
  <c r="I2860" i="1"/>
  <c r="H2860" i="1"/>
  <c r="G2860" i="1"/>
  <c r="F2860" i="1"/>
  <c r="E2860" i="1"/>
  <c r="D2860" i="1"/>
  <c r="C2860" i="1"/>
  <c r="V2859" i="1"/>
  <c r="U2859" i="1"/>
  <c r="T2859" i="1"/>
  <c r="S2859" i="1"/>
  <c r="R2859" i="1"/>
  <c r="Q2859" i="1"/>
  <c r="P2859" i="1"/>
  <c r="O2859" i="1"/>
  <c r="N2859" i="1"/>
  <c r="M2859" i="1"/>
  <c r="L2859" i="1"/>
  <c r="K2859" i="1"/>
  <c r="J2859" i="1"/>
  <c r="I2859" i="1"/>
  <c r="H2859" i="1"/>
  <c r="G2859" i="1"/>
  <c r="F2859" i="1"/>
  <c r="E2859" i="1"/>
  <c r="D2859" i="1"/>
  <c r="C2859" i="1"/>
  <c r="V2858" i="1"/>
  <c r="U2858" i="1"/>
  <c r="T2858" i="1"/>
  <c r="S2858" i="1"/>
  <c r="R2858" i="1"/>
  <c r="Q2858" i="1"/>
  <c r="P2858" i="1"/>
  <c r="O2858" i="1"/>
  <c r="N2858" i="1"/>
  <c r="M2858" i="1"/>
  <c r="L2858" i="1"/>
  <c r="K2858" i="1"/>
  <c r="J2858" i="1"/>
  <c r="I2858" i="1"/>
  <c r="H2858" i="1"/>
  <c r="G2858" i="1"/>
  <c r="F2858" i="1"/>
  <c r="E2858" i="1"/>
  <c r="D2858" i="1"/>
  <c r="C2858" i="1"/>
  <c r="V2857" i="1"/>
  <c r="U2857" i="1"/>
  <c r="T2857" i="1"/>
  <c r="S2857" i="1"/>
  <c r="R2857" i="1"/>
  <c r="Q2857" i="1"/>
  <c r="P2857" i="1"/>
  <c r="O2857" i="1"/>
  <c r="N2857" i="1"/>
  <c r="M2857" i="1"/>
  <c r="L2857" i="1"/>
  <c r="K2857" i="1"/>
  <c r="J2857" i="1"/>
  <c r="I2857" i="1"/>
  <c r="H2857" i="1"/>
  <c r="G2857" i="1"/>
  <c r="F2857" i="1"/>
  <c r="E2857" i="1"/>
  <c r="D2857" i="1"/>
  <c r="C2857" i="1"/>
  <c r="V2856" i="1"/>
  <c r="U2856" i="1"/>
  <c r="T2856" i="1"/>
  <c r="S2856" i="1"/>
  <c r="R2856" i="1"/>
  <c r="Q2856" i="1"/>
  <c r="P2856" i="1"/>
  <c r="O2856" i="1"/>
  <c r="N2856" i="1"/>
  <c r="M2856" i="1"/>
  <c r="L2856" i="1"/>
  <c r="K2856" i="1"/>
  <c r="J2856" i="1"/>
  <c r="I2856" i="1"/>
  <c r="H2856" i="1"/>
  <c r="G2856" i="1"/>
  <c r="F2856" i="1"/>
  <c r="E2856" i="1"/>
  <c r="D2856" i="1"/>
  <c r="C2856" i="1"/>
  <c r="V2855" i="1"/>
  <c r="U2855" i="1"/>
  <c r="T2855" i="1"/>
  <c r="S2855" i="1"/>
  <c r="R2855" i="1"/>
  <c r="Q2855" i="1"/>
  <c r="P2855" i="1"/>
  <c r="O2855" i="1"/>
  <c r="N2855" i="1"/>
  <c r="M2855" i="1"/>
  <c r="L2855" i="1"/>
  <c r="K2855" i="1"/>
  <c r="J2855" i="1"/>
  <c r="I2855" i="1"/>
  <c r="H2855" i="1"/>
  <c r="G2855" i="1"/>
  <c r="F2855" i="1"/>
  <c r="E2855" i="1"/>
  <c r="D2855" i="1"/>
  <c r="C2855" i="1"/>
  <c r="V2854" i="1"/>
  <c r="U2854" i="1"/>
  <c r="T2854" i="1"/>
  <c r="S2854" i="1"/>
  <c r="R2854" i="1"/>
  <c r="Q2854" i="1"/>
  <c r="P2854" i="1"/>
  <c r="O2854" i="1"/>
  <c r="N2854" i="1"/>
  <c r="M2854" i="1"/>
  <c r="L2854" i="1"/>
  <c r="K2854" i="1"/>
  <c r="J2854" i="1"/>
  <c r="I2854" i="1"/>
  <c r="H2854" i="1"/>
  <c r="G2854" i="1"/>
  <c r="F2854" i="1"/>
  <c r="E2854" i="1"/>
  <c r="D2854" i="1"/>
  <c r="C2854" i="1"/>
  <c r="V2853" i="1"/>
  <c r="U2853" i="1"/>
  <c r="T2853" i="1"/>
  <c r="S2853" i="1"/>
  <c r="R2853" i="1"/>
  <c r="Q2853" i="1"/>
  <c r="P2853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C2853" i="1"/>
  <c r="V2852" i="1"/>
  <c r="U2852" i="1"/>
  <c r="T2852" i="1"/>
  <c r="S2852" i="1"/>
  <c r="R2852" i="1"/>
  <c r="Q2852" i="1"/>
  <c r="P2852" i="1"/>
  <c r="O2852" i="1"/>
  <c r="N2852" i="1"/>
  <c r="M2852" i="1"/>
  <c r="L2852" i="1"/>
  <c r="K2852" i="1"/>
  <c r="J2852" i="1"/>
  <c r="I2852" i="1"/>
  <c r="H2852" i="1"/>
  <c r="G2852" i="1"/>
  <c r="F2852" i="1"/>
  <c r="E2852" i="1"/>
  <c r="D2852" i="1"/>
  <c r="C2852" i="1"/>
  <c r="V2851" i="1"/>
  <c r="U2851" i="1"/>
  <c r="T2851" i="1"/>
  <c r="S2851" i="1"/>
  <c r="R2851" i="1"/>
  <c r="Q2851" i="1"/>
  <c r="P2851" i="1"/>
  <c r="O2851" i="1"/>
  <c r="N2851" i="1"/>
  <c r="M2851" i="1"/>
  <c r="L2851" i="1"/>
  <c r="K2851" i="1"/>
  <c r="J2851" i="1"/>
  <c r="I2851" i="1"/>
  <c r="H2851" i="1"/>
  <c r="G2851" i="1"/>
  <c r="F2851" i="1"/>
  <c r="E2851" i="1"/>
  <c r="D2851" i="1"/>
  <c r="C2851" i="1"/>
  <c r="V2850" i="1"/>
  <c r="U2850" i="1"/>
  <c r="T2850" i="1"/>
  <c r="S2850" i="1"/>
  <c r="R2850" i="1"/>
  <c r="Q2850" i="1"/>
  <c r="P2850" i="1"/>
  <c r="O2850" i="1"/>
  <c r="N2850" i="1"/>
  <c r="M2850" i="1"/>
  <c r="L2850" i="1"/>
  <c r="K2850" i="1"/>
  <c r="J2850" i="1"/>
  <c r="I2850" i="1"/>
  <c r="H2850" i="1"/>
  <c r="G2850" i="1"/>
  <c r="F2850" i="1"/>
  <c r="E2850" i="1"/>
  <c r="D2850" i="1"/>
  <c r="C2850" i="1"/>
  <c r="V2849" i="1"/>
  <c r="U2849" i="1"/>
  <c r="T2849" i="1"/>
  <c r="S2849" i="1"/>
  <c r="R2849" i="1"/>
  <c r="Q2849" i="1"/>
  <c r="P2849" i="1"/>
  <c r="O2849" i="1"/>
  <c r="N2849" i="1"/>
  <c r="M2849" i="1"/>
  <c r="L2849" i="1"/>
  <c r="K2849" i="1"/>
  <c r="J2849" i="1"/>
  <c r="I2849" i="1"/>
  <c r="H2849" i="1"/>
  <c r="G2849" i="1"/>
  <c r="F2849" i="1"/>
  <c r="E2849" i="1"/>
  <c r="D2849" i="1"/>
  <c r="C2849" i="1"/>
  <c r="V2848" i="1"/>
  <c r="U2848" i="1"/>
  <c r="T2848" i="1"/>
  <c r="S2848" i="1"/>
  <c r="R2848" i="1"/>
  <c r="Q2848" i="1"/>
  <c r="P2848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C2848" i="1"/>
  <c r="V2847" i="1"/>
  <c r="U2847" i="1"/>
  <c r="T2847" i="1"/>
  <c r="S2847" i="1"/>
  <c r="R2847" i="1"/>
  <c r="Q2847" i="1"/>
  <c r="P2847" i="1"/>
  <c r="O2847" i="1"/>
  <c r="N2847" i="1"/>
  <c r="M2847" i="1"/>
  <c r="L2847" i="1"/>
  <c r="K2847" i="1"/>
  <c r="J2847" i="1"/>
  <c r="I2847" i="1"/>
  <c r="H2847" i="1"/>
  <c r="G2847" i="1"/>
  <c r="F2847" i="1"/>
  <c r="E2847" i="1"/>
  <c r="D2847" i="1"/>
  <c r="C2847" i="1"/>
  <c r="V2846" i="1"/>
  <c r="U2846" i="1"/>
  <c r="T2846" i="1"/>
  <c r="S2846" i="1"/>
  <c r="R2846" i="1"/>
  <c r="Q2846" i="1"/>
  <c r="P2846" i="1"/>
  <c r="O2846" i="1"/>
  <c r="N2846" i="1"/>
  <c r="M2846" i="1"/>
  <c r="L2846" i="1"/>
  <c r="K2846" i="1"/>
  <c r="J2846" i="1"/>
  <c r="I2846" i="1"/>
  <c r="H2846" i="1"/>
  <c r="G2846" i="1"/>
  <c r="F2846" i="1"/>
  <c r="E2846" i="1"/>
  <c r="D2846" i="1"/>
  <c r="C2846" i="1"/>
  <c r="V2845" i="1"/>
  <c r="U2845" i="1"/>
  <c r="T2845" i="1"/>
  <c r="S2845" i="1"/>
  <c r="R2845" i="1"/>
  <c r="Q2845" i="1"/>
  <c r="P2845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C2845" i="1"/>
  <c r="V2844" i="1"/>
  <c r="U2844" i="1"/>
  <c r="T2844" i="1"/>
  <c r="S2844" i="1"/>
  <c r="R2844" i="1"/>
  <c r="Q2844" i="1"/>
  <c r="P2844" i="1"/>
  <c r="O2844" i="1"/>
  <c r="N2844" i="1"/>
  <c r="M2844" i="1"/>
  <c r="L2844" i="1"/>
  <c r="K2844" i="1"/>
  <c r="J2844" i="1"/>
  <c r="I2844" i="1"/>
  <c r="H2844" i="1"/>
  <c r="G2844" i="1"/>
  <c r="F2844" i="1"/>
  <c r="E2844" i="1"/>
  <c r="D2844" i="1"/>
  <c r="C2844" i="1"/>
  <c r="V2843" i="1"/>
  <c r="U2843" i="1"/>
  <c r="T2843" i="1"/>
  <c r="S2843" i="1"/>
  <c r="R2843" i="1"/>
  <c r="Q2843" i="1"/>
  <c r="P2843" i="1"/>
  <c r="O2843" i="1"/>
  <c r="N2843" i="1"/>
  <c r="M2843" i="1"/>
  <c r="L2843" i="1"/>
  <c r="K2843" i="1"/>
  <c r="J2843" i="1"/>
  <c r="I2843" i="1"/>
  <c r="H2843" i="1"/>
  <c r="G2843" i="1"/>
  <c r="F2843" i="1"/>
  <c r="E2843" i="1"/>
  <c r="D2843" i="1"/>
  <c r="C2843" i="1"/>
  <c r="V2842" i="1"/>
  <c r="U2842" i="1"/>
  <c r="T2842" i="1"/>
  <c r="S2842" i="1"/>
  <c r="R2842" i="1"/>
  <c r="Q2842" i="1"/>
  <c r="P2842" i="1"/>
  <c r="O2842" i="1"/>
  <c r="N2842" i="1"/>
  <c r="M2842" i="1"/>
  <c r="L2842" i="1"/>
  <c r="K2842" i="1"/>
  <c r="J2842" i="1"/>
  <c r="I2842" i="1"/>
  <c r="H2842" i="1"/>
  <c r="G2842" i="1"/>
  <c r="F2842" i="1"/>
  <c r="E2842" i="1"/>
  <c r="D2842" i="1"/>
  <c r="C2842" i="1"/>
  <c r="V2841" i="1"/>
  <c r="U2841" i="1"/>
  <c r="T2841" i="1"/>
  <c r="S2841" i="1"/>
  <c r="R2841" i="1"/>
  <c r="Q2841" i="1"/>
  <c r="P2841" i="1"/>
  <c r="O2841" i="1"/>
  <c r="N2841" i="1"/>
  <c r="M2841" i="1"/>
  <c r="L2841" i="1"/>
  <c r="K2841" i="1"/>
  <c r="J2841" i="1"/>
  <c r="I2841" i="1"/>
  <c r="H2841" i="1"/>
  <c r="G2841" i="1"/>
  <c r="F2841" i="1"/>
  <c r="E2841" i="1"/>
  <c r="D2841" i="1"/>
  <c r="C2841" i="1"/>
  <c r="V2840" i="1"/>
  <c r="U2840" i="1"/>
  <c r="T2840" i="1"/>
  <c r="S2840" i="1"/>
  <c r="R2840" i="1"/>
  <c r="Q2840" i="1"/>
  <c r="P2840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C2840" i="1"/>
  <c r="V2839" i="1"/>
  <c r="U2839" i="1"/>
  <c r="T2839" i="1"/>
  <c r="S2839" i="1"/>
  <c r="R2839" i="1"/>
  <c r="Q2839" i="1"/>
  <c r="P2839" i="1"/>
  <c r="O2839" i="1"/>
  <c r="N2839" i="1"/>
  <c r="M2839" i="1"/>
  <c r="L2839" i="1"/>
  <c r="K2839" i="1"/>
  <c r="J2839" i="1"/>
  <c r="I2839" i="1"/>
  <c r="H2839" i="1"/>
  <c r="G2839" i="1"/>
  <c r="F2839" i="1"/>
  <c r="E2839" i="1"/>
  <c r="D2839" i="1"/>
  <c r="C2839" i="1"/>
  <c r="V2838" i="1"/>
  <c r="U2838" i="1"/>
  <c r="T2838" i="1"/>
  <c r="S2838" i="1"/>
  <c r="R2838" i="1"/>
  <c r="Q2838" i="1"/>
  <c r="P2838" i="1"/>
  <c r="O2838" i="1"/>
  <c r="N2838" i="1"/>
  <c r="M2838" i="1"/>
  <c r="L2838" i="1"/>
  <c r="K2838" i="1"/>
  <c r="J2838" i="1"/>
  <c r="I2838" i="1"/>
  <c r="H2838" i="1"/>
  <c r="G2838" i="1"/>
  <c r="F2838" i="1"/>
  <c r="E2838" i="1"/>
  <c r="D2838" i="1"/>
  <c r="C2838" i="1"/>
  <c r="V2837" i="1"/>
  <c r="U2837" i="1"/>
  <c r="T2837" i="1"/>
  <c r="S2837" i="1"/>
  <c r="R2837" i="1"/>
  <c r="Q2837" i="1"/>
  <c r="P2837" i="1"/>
  <c r="O2837" i="1"/>
  <c r="N2837" i="1"/>
  <c r="M2837" i="1"/>
  <c r="L2837" i="1"/>
  <c r="K2837" i="1"/>
  <c r="J2837" i="1"/>
  <c r="I2837" i="1"/>
  <c r="H2837" i="1"/>
  <c r="G2837" i="1"/>
  <c r="F2837" i="1"/>
  <c r="E2837" i="1"/>
  <c r="D2837" i="1"/>
  <c r="C2837" i="1"/>
  <c r="V2836" i="1"/>
  <c r="U2836" i="1"/>
  <c r="T2836" i="1"/>
  <c r="S2836" i="1"/>
  <c r="R2836" i="1"/>
  <c r="Q2836" i="1"/>
  <c r="P2836" i="1"/>
  <c r="O2836" i="1"/>
  <c r="N2836" i="1"/>
  <c r="M2836" i="1"/>
  <c r="L2836" i="1"/>
  <c r="K2836" i="1"/>
  <c r="J2836" i="1"/>
  <c r="I2836" i="1"/>
  <c r="H2836" i="1"/>
  <c r="G2836" i="1"/>
  <c r="F2836" i="1"/>
  <c r="E2836" i="1"/>
  <c r="D2836" i="1"/>
  <c r="C2836" i="1"/>
  <c r="V2835" i="1"/>
  <c r="U2835" i="1"/>
  <c r="T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V2834" i="1"/>
  <c r="U2834" i="1"/>
  <c r="T2834" i="1"/>
  <c r="S2834" i="1"/>
  <c r="R2834" i="1"/>
  <c r="Q2834" i="1"/>
  <c r="P2834" i="1"/>
  <c r="O2834" i="1"/>
  <c r="N2834" i="1"/>
  <c r="M2834" i="1"/>
  <c r="L2834" i="1"/>
  <c r="K2834" i="1"/>
  <c r="J2834" i="1"/>
  <c r="I2834" i="1"/>
  <c r="H2834" i="1"/>
  <c r="G2834" i="1"/>
  <c r="F2834" i="1"/>
  <c r="E2834" i="1"/>
  <c r="D2834" i="1"/>
  <c r="C2834" i="1"/>
  <c r="V2833" i="1"/>
  <c r="U2833" i="1"/>
  <c r="T2833" i="1"/>
  <c r="S2833" i="1"/>
  <c r="R2833" i="1"/>
  <c r="Q2833" i="1"/>
  <c r="P2833" i="1"/>
  <c r="O2833" i="1"/>
  <c r="N2833" i="1"/>
  <c r="M2833" i="1"/>
  <c r="L2833" i="1"/>
  <c r="K2833" i="1"/>
  <c r="J2833" i="1"/>
  <c r="I2833" i="1"/>
  <c r="H2833" i="1"/>
  <c r="G2833" i="1"/>
  <c r="F2833" i="1"/>
  <c r="E2833" i="1"/>
  <c r="D2833" i="1"/>
  <c r="C2833" i="1"/>
  <c r="V2832" i="1"/>
  <c r="U2832" i="1"/>
  <c r="T2832" i="1"/>
  <c r="S2832" i="1"/>
  <c r="R2832" i="1"/>
  <c r="Q2832" i="1"/>
  <c r="P2832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C2832" i="1"/>
  <c r="V2831" i="1"/>
  <c r="U2831" i="1"/>
  <c r="T2831" i="1"/>
  <c r="S2831" i="1"/>
  <c r="R2831" i="1"/>
  <c r="Q2831" i="1"/>
  <c r="P2831" i="1"/>
  <c r="O2831" i="1"/>
  <c r="N2831" i="1"/>
  <c r="M2831" i="1"/>
  <c r="L2831" i="1"/>
  <c r="K2831" i="1"/>
  <c r="J2831" i="1"/>
  <c r="I2831" i="1"/>
  <c r="H2831" i="1"/>
  <c r="G2831" i="1"/>
  <c r="F2831" i="1"/>
  <c r="E2831" i="1"/>
  <c r="D2831" i="1"/>
  <c r="C2831" i="1"/>
  <c r="V2830" i="1"/>
  <c r="U2830" i="1"/>
  <c r="T2830" i="1"/>
  <c r="S2830" i="1"/>
  <c r="R2830" i="1"/>
  <c r="Q2830" i="1"/>
  <c r="P2830" i="1"/>
  <c r="O2830" i="1"/>
  <c r="N2830" i="1"/>
  <c r="M2830" i="1"/>
  <c r="L2830" i="1"/>
  <c r="K2830" i="1"/>
  <c r="J2830" i="1"/>
  <c r="I2830" i="1"/>
  <c r="H2830" i="1"/>
  <c r="G2830" i="1"/>
  <c r="F2830" i="1"/>
  <c r="E2830" i="1"/>
  <c r="D2830" i="1"/>
  <c r="C2830" i="1"/>
  <c r="V2829" i="1"/>
  <c r="U2829" i="1"/>
  <c r="T2829" i="1"/>
  <c r="S2829" i="1"/>
  <c r="R2829" i="1"/>
  <c r="Q2829" i="1"/>
  <c r="P2829" i="1"/>
  <c r="O2829" i="1"/>
  <c r="N2829" i="1"/>
  <c r="M2829" i="1"/>
  <c r="L2829" i="1"/>
  <c r="K2829" i="1"/>
  <c r="J2829" i="1"/>
  <c r="I2829" i="1"/>
  <c r="H2829" i="1"/>
  <c r="G2829" i="1"/>
  <c r="F2829" i="1"/>
  <c r="E2829" i="1"/>
  <c r="D2829" i="1"/>
  <c r="C2829" i="1"/>
  <c r="V2828" i="1"/>
  <c r="U2828" i="1"/>
  <c r="T2828" i="1"/>
  <c r="S2828" i="1"/>
  <c r="R2828" i="1"/>
  <c r="Q2828" i="1"/>
  <c r="P2828" i="1"/>
  <c r="O2828" i="1"/>
  <c r="N2828" i="1"/>
  <c r="M2828" i="1"/>
  <c r="L2828" i="1"/>
  <c r="K2828" i="1"/>
  <c r="J2828" i="1"/>
  <c r="I2828" i="1"/>
  <c r="H2828" i="1"/>
  <c r="G2828" i="1"/>
  <c r="F2828" i="1"/>
  <c r="E2828" i="1"/>
  <c r="D2828" i="1"/>
  <c r="C2828" i="1"/>
  <c r="V2827" i="1"/>
  <c r="U2827" i="1"/>
  <c r="T2827" i="1"/>
  <c r="S2827" i="1"/>
  <c r="R2827" i="1"/>
  <c r="Q2827" i="1"/>
  <c r="P2827" i="1"/>
  <c r="O2827" i="1"/>
  <c r="N2827" i="1"/>
  <c r="M2827" i="1"/>
  <c r="L2827" i="1"/>
  <c r="K2827" i="1"/>
  <c r="J2827" i="1"/>
  <c r="I2827" i="1"/>
  <c r="H2827" i="1"/>
  <c r="G2827" i="1"/>
  <c r="F2827" i="1"/>
  <c r="E2827" i="1"/>
  <c r="D2827" i="1"/>
  <c r="C2827" i="1"/>
  <c r="V2826" i="1"/>
  <c r="U2826" i="1"/>
  <c r="T2826" i="1"/>
  <c r="S2826" i="1"/>
  <c r="R2826" i="1"/>
  <c r="Q2826" i="1"/>
  <c r="P2826" i="1"/>
  <c r="O2826" i="1"/>
  <c r="N2826" i="1"/>
  <c r="M2826" i="1"/>
  <c r="L2826" i="1"/>
  <c r="K2826" i="1"/>
  <c r="J2826" i="1"/>
  <c r="I2826" i="1"/>
  <c r="H2826" i="1"/>
  <c r="G2826" i="1"/>
  <c r="F2826" i="1"/>
  <c r="E2826" i="1"/>
  <c r="D2826" i="1"/>
  <c r="C2826" i="1"/>
  <c r="V2825" i="1"/>
  <c r="U2825" i="1"/>
  <c r="T2825" i="1"/>
  <c r="S2825" i="1"/>
  <c r="R2825" i="1"/>
  <c r="Q2825" i="1"/>
  <c r="P2825" i="1"/>
  <c r="O2825" i="1"/>
  <c r="N2825" i="1"/>
  <c r="M2825" i="1"/>
  <c r="L2825" i="1"/>
  <c r="K2825" i="1"/>
  <c r="J2825" i="1"/>
  <c r="I2825" i="1"/>
  <c r="H2825" i="1"/>
  <c r="G2825" i="1"/>
  <c r="F2825" i="1"/>
  <c r="E2825" i="1"/>
  <c r="D2825" i="1"/>
  <c r="C2825" i="1"/>
  <c r="V2824" i="1"/>
  <c r="U2824" i="1"/>
  <c r="T2824" i="1"/>
  <c r="S2824" i="1"/>
  <c r="R2824" i="1"/>
  <c r="Q2824" i="1"/>
  <c r="P2824" i="1"/>
  <c r="O2824" i="1"/>
  <c r="N2824" i="1"/>
  <c r="M2824" i="1"/>
  <c r="L2824" i="1"/>
  <c r="K2824" i="1"/>
  <c r="J2824" i="1"/>
  <c r="I2824" i="1"/>
  <c r="H2824" i="1"/>
  <c r="G2824" i="1"/>
  <c r="F2824" i="1"/>
  <c r="E2824" i="1"/>
  <c r="D2824" i="1"/>
  <c r="C2824" i="1"/>
  <c r="V2823" i="1"/>
  <c r="U2823" i="1"/>
  <c r="T2823" i="1"/>
  <c r="S2823" i="1"/>
  <c r="R2823" i="1"/>
  <c r="Q2823" i="1"/>
  <c r="P2823" i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C2823" i="1"/>
  <c r="V2822" i="1"/>
  <c r="U2822" i="1"/>
  <c r="T2822" i="1"/>
  <c r="S2822" i="1"/>
  <c r="R2822" i="1"/>
  <c r="Q2822" i="1"/>
  <c r="P2822" i="1"/>
  <c r="O2822" i="1"/>
  <c r="N2822" i="1"/>
  <c r="M2822" i="1"/>
  <c r="L2822" i="1"/>
  <c r="K2822" i="1"/>
  <c r="J2822" i="1"/>
  <c r="I2822" i="1"/>
  <c r="H2822" i="1"/>
  <c r="G2822" i="1"/>
  <c r="F2822" i="1"/>
  <c r="E2822" i="1"/>
  <c r="D2822" i="1"/>
  <c r="C2822" i="1"/>
  <c r="V2821" i="1"/>
  <c r="U2821" i="1"/>
  <c r="T2821" i="1"/>
  <c r="S2821" i="1"/>
  <c r="R2821" i="1"/>
  <c r="Q2821" i="1"/>
  <c r="P2821" i="1"/>
  <c r="O2821" i="1"/>
  <c r="N2821" i="1"/>
  <c r="M2821" i="1"/>
  <c r="L2821" i="1"/>
  <c r="K2821" i="1"/>
  <c r="J2821" i="1"/>
  <c r="I2821" i="1"/>
  <c r="H2821" i="1"/>
  <c r="G2821" i="1"/>
  <c r="F2821" i="1"/>
  <c r="E2821" i="1"/>
  <c r="D2821" i="1"/>
  <c r="C2821" i="1"/>
  <c r="V2820" i="1"/>
  <c r="U2820" i="1"/>
  <c r="T2820" i="1"/>
  <c r="S2820" i="1"/>
  <c r="R2820" i="1"/>
  <c r="Q2820" i="1"/>
  <c r="P2820" i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C2820" i="1"/>
  <c r="V2819" i="1"/>
  <c r="U2819" i="1"/>
  <c r="T2819" i="1"/>
  <c r="S2819" i="1"/>
  <c r="R2819" i="1"/>
  <c r="Q2819" i="1"/>
  <c r="P2819" i="1"/>
  <c r="O2819" i="1"/>
  <c r="N2819" i="1"/>
  <c r="M2819" i="1"/>
  <c r="L2819" i="1"/>
  <c r="K2819" i="1"/>
  <c r="J2819" i="1"/>
  <c r="I2819" i="1"/>
  <c r="H2819" i="1"/>
  <c r="G2819" i="1"/>
  <c r="F2819" i="1"/>
  <c r="E2819" i="1"/>
  <c r="D2819" i="1"/>
  <c r="C2819" i="1"/>
  <c r="V2818" i="1"/>
  <c r="U2818" i="1"/>
  <c r="T2818" i="1"/>
  <c r="S2818" i="1"/>
  <c r="R2818" i="1"/>
  <c r="Q2818" i="1"/>
  <c r="P2818" i="1"/>
  <c r="O2818" i="1"/>
  <c r="N2818" i="1"/>
  <c r="M2818" i="1"/>
  <c r="L2818" i="1"/>
  <c r="K2818" i="1"/>
  <c r="J2818" i="1"/>
  <c r="I2818" i="1"/>
  <c r="H2818" i="1"/>
  <c r="G2818" i="1"/>
  <c r="F2818" i="1"/>
  <c r="E2818" i="1"/>
  <c r="D2818" i="1"/>
  <c r="C2818" i="1"/>
  <c r="V2817" i="1"/>
  <c r="U2817" i="1"/>
  <c r="T2817" i="1"/>
  <c r="S2817" i="1"/>
  <c r="R2817" i="1"/>
  <c r="Q2817" i="1"/>
  <c r="P2817" i="1"/>
  <c r="O2817" i="1"/>
  <c r="N2817" i="1"/>
  <c r="M2817" i="1"/>
  <c r="L2817" i="1"/>
  <c r="K2817" i="1"/>
  <c r="J2817" i="1"/>
  <c r="I2817" i="1"/>
  <c r="H2817" i="1"/>
  <c r="G2817" i="1"/>
  <c r="F2817" i="1"/>
  <c r="E2817" i="1"/>
  <c r="D2817" i="1"/>
  <c r="C2817" i="1"/>
  <c r="V2816" i="1"/>
  <c r="U2816" i="1"/>
  <c r="T2816" i="1"/>
  <c r="S2816" i="1"/>
  <c r="R2816" i="1"/>
  <c r="Q2816" i="1"/>
  <c r="P2816" i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C2816" i="1"/>
  <c r="V2815" i="1"/>
  <c r="U2815" i="1"/>
  <c r="T2815" i="1"/>
  <c r="S2815" i="1"/>
  <c r="R2815" i="1"/>
  <c r="Q2815" i="1"/>
  <c r="P2815" i="1"/>
  <c r="O2815" i="1"/>
  <c r="N2815" i="1"/>
  <c r="M2815" i="1"/>
  <c r="L2815" i="1"/>
  <c r="K2815" i="1"/>
  <c r="J2815" i="1"/>
  <c r="I2815" i="1"/>
  <c r="H2815" i="1"/>
  <c r="G2815" i="1"/>
  <c r="F2815" i="1"/>
  <c r="E2815" i="1"/>
  <c r="D2815" i="1"/>
  <c r="C2815" i="1"/>
  <c r="V2814" i="1"/>
  <c r="U2814" i="1"/>
  <c r="T2814" i="1"/>
  <c r="S2814" i="1"/>
  <c r="R2814" i="1"/>
  <c r="Q2814" i="1"/>
  <c r="P2814" i="1"/>
  <c r="O2814" i="1"/>
  <c r="N2814" i="1"/>
  <c r="M2814" i="1"/>
  <c r="L2814" i="1"/>
  <c r="K2814" i="1"/>
  <c r="J2814" i="1"/>
  <c r="I2814" i="1"/>
  <c r="H2814" i="1"/>
  <c r="G2814" i="1"/>
  <c r="F2814" i="1"/>
  <c r="E2814" i="1"/>
  <c r="D2814" i="1"/>
  <c r="C2814" i="1"/>
  <c r="V2813" i="1"/>
  <c r="U2813" i="1"/>
  <c r="T2813" i="1"/>
  <c r="S2813" i="1"/>
  <c r="R2813" i="1"/>
  <c r="Q2813" i="1"/>
  <c r="P2813" i="1"/>
  <c r="O2813" i="1"/>
  <c r="N2813" i="1"/>
  <c r="M2813" i="1"/>
  <c r="L2813" i="1"/>
  <c r="K2813" i="1"/>
  <c r="J2813" i="1"/>
  <c r="I2813" i="1"/>
  <c r="H2813" i="1"/>
  <c r="G2813" i="1"/>
  <c r="F2813" i="1"/>
  <c r="E2813" i="1"/>
  <c r="D2813" i="1"/>
  <c r="C2813" i="1"/>
  <c r="V2812" i="1"/>
  <c r="U2812" i="1"/>
  <c r="T2812" i="1"/>
  <c r="S2812" i="1"/>
  <c r="R2812" i="1"/>
  <c r="Q2812" i="1"/>
  <c r="P2812" i="1"/>
  <c r="O2812" i="1"/>
  <c r="N2812" i="1"/>
  <c r="M2812" i="1"/>
  <c r="L2812" i="1"/>
  <c r="K2812" i="1"/>
  <c r="J2812" i="1"/>
  <c r="I2812" i="1"/>
  <c r="H2812" i="1"/>
  <c r="G2812" i="1"/>
  <c r="F2812" i="1"/>
  <c r="E2812" i="1"/>
  <c r="D2812" i="1"/>
  <c r="C2812" i="1"/>
  <c r="V2811" i="1"/>
  <c r="U2811" i="1"/>
  <c r="T2811" i="1"/>
  <c r="S2811" i="1"/>
  <c r="R2811" i="1"/>
  <c r="Q2811" i="1"/>
  <c r="P2811" i="1"/>
  <c r="O2811" i="1"/>
  <c r="N2811" i="1"/>
  <c r="M2811" i="1"/>
  <c r="L2811" i="1"/>
  <c r="K2811" i="1"/>
  <c r="J2811" i="1"/>
  <c r="I2811" i="1"/>
  <c r="H2811" i="1"/>
  <c r="G2811" i="1"/>
  <c r="F2811" i="1"/>
  <c r="E2811" i="1"/>
  <c r="D2811" i="1"/>
  <c r="C2811" i="1"/>
  <c r="V2810" i="1"/>
  <c r="U2810" i="1"/>
  <c r="T2810" i="1"/>
  <c r="S2810" i="1"/>
  <c r="R2810" i="1"/>
  <c r="Q2810" i="1"/>
  <c r="P2810" i="1"/>
  <c r="O2810" i="1"/>
  <c r="N2810" i="1"/>
  <c r="M2810" i="1"/>
  <c r="L2810" i="1"/>
  <c r="K2810" i="1"/>
  <c r="J2810" i="1"/>
  <c r="I2810" i="1"/>
  <c r="H2810" i="1"/>
  <c r="G2810" i="1"/>
  <c r="F2810" i="1"/>
  <c r="E2810" i="1"/>
  <c r="D2810" i="1"/>
  <c r="C2810" i="1"/>
  <c r="V2809" i="1"/>
  <c r="U2809" i="1"/>
  <c r="T2809" i="1"/>
  <c r="S2809" i="1"/>
  <c r="R2809" i="1"/>
  <c r="Q2809" i="1"/>
  <c r="P2809" i="1"/>
  <c r="O2809" i="1"/>
  <c r="N2809" i="1"/>
  <c r="M2809" i="1"/>
  <c r="L2809" i="1"/>
  <c r="K2809" i="1"/>
  <c r="J2809" i="1"/>
  <c r="I2809" i="1"/>
  <c r="H2809" i="1"/>
  <c r="G2809" i="1"/>
  <c r="F2809" i="1"/>
  <c r="E2809" i="1"/>
  <c r="D2809" i="1"/>
  <c r="C2809" i="1"/>
  <c r="V2808" i="1"/>
  <c r="U2808" i="1"/>
  <c r="T2808" i="1"/>
  <c r="S2808" i="1"/>
  <c r="R2808" i="1"/>
  <c r="Q2808" i="1"/>
  <c r="P2808" i="1"/>
  <c r="O2808" i="1"/>
  <c r="N2808" i="1"/>
  <c r="M2808" i="1"/>
  <c r="L2808" i="1"/>
  <c r="K2808" i="1"/>
  <c r="J2808" i="1"/>
  <c r="I2808" i="1"/>
  <c r="H2808" i="1"/>
  <c r="G2808" i="1"/>
  <c r="F2808" i="1"/>
  <c r="E2808" i="1"/>
  <c r="D2808" i="1"/>
  <c r="C2808" i="1"/>
  <c r="V2807" i="1"/>
  <c r="U2807" i="1"/>
  <c r="T2807" i="1"/>
  <c r="S2807" i="1"/>
  <c r="R2807" i="1"/>
  <c r="Q2807" i="1"/>
  <c r="P2807" i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C2807" i="1"/>
  <c r="V2806" i="1"/>
  <c r="U2806" i="1"/>
  <c r="T2806" i="1"/>
  <c r="S2806" i="1"/>
  <c r="R2806" i="1"/>
  <c r="Q2806" i="1"/>
  <c r="P2806" i="1"/>
  <c r="O2806" i="1"/>
  <c r="N2806" i="1"/>
  <c r="M2806" i="1"/>
  <c r="L2806" i="1"/>
  <c r="K2806" i="1"/>
  <c r="J2806" i="1"/>
  <c r="I2806" i="1"/>
  <c r="H2806" i="1"/>
  <c r="G2806" i="1"/>
  <c r="F2806" i="1"/>
  <c r="E2806" i="1"/>
  <c r="D2806" i="1"/>
  <c r="C2806" i="1"/>
  <c r="V2805" i="1"/>
  <c r="U2805" i="1"/>
  <c r="T2805" i="1"/>
  <c r="S2805" i="1"/>
  <c r="R2805" i="1"/>
  <c r="Q2805" i="1"/>
  <c r="P2805" i="1"/>
  <c r="O2805" i="1"/>
  <c r="N2805" i="1"/>
  <c r="M2805" i="1"/>
  <c r="L2805" i="1"/>
  <c r="K2805" i="1"/>
  <c r="J2805" i="1"/>
  <c r="I2805" i="1"/>
  <c r="H2805" i="1"/>
  <c r="G2805" i="1"/>
  <c r="F2805" i="1"/>
  <c r="E2805" i="1"/>
  <c r="D2805" i="1"/>
  <c r="C2805" i="1"/>
  <c r="V2804" i="1"/>
  <c r="U2804" i="1"/>
  <c r="T2804" i="1"/>
  <c r="S2804" i="1"/>
  <c r="R2804" i="1"/>
  <c r="Q2804" i="1"/>
  <c r="P2804" i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C2804" i="1"/>
  <c r="V2803" i="1"/>
  <c r="U2803" i="1"/>
  <c r="T2803" i="1"/>
  <c r="S2803" i="1"/>
  <c r="R2803" i="1"/>
  <c r="Q2803" i="1"/>
  <c r="P2803" i="1"/>
  <c r="O2803" i="1"/>
  <c r="N2803" i="1"/>
  <c r="M2803" i="1"/>
  <c r="L2803" i="1"/>
  <c r="K2803" i="1"/>
  <c r="J2803" i="1"/>
  <c r="I2803" i="1"/>
  <c r="H2803" i="1"/>
  <c r="G2803" i="1"/>
  <c r="F2803" i="1"/>
  <c r="E2803" i="1"/>
  <c r="D2803" i="1"/>
  <c r="C2803" i="1"/>
  <c r="V2802" i="1"/>
  <c r="U2802" i="1"/>
  <c r="T2802" i="1"/>
  <c r="S2802" i="1"/>
  <c r="R2802" i="1"/>
  <c r="Q2802" i="1"/>
  <c r="P2802" i="1"/>
  <c r="O2802" i="1"/>
  <c r="N2802" i="1"/>
  <c r="M2802" i="1"/>
  <c r="L2802" i="1"/>
  <c r="K2802" i="1"/>
  <c r="J2802" i="1"/>
  <c r="I2802" i="1"/>
  <c r="H2802" i="1"/>
  <c r="G2802" i="1"/>
  <c r="F2802" i="1"/>
  <c r="E2802" i="1"/>
  <c r="D2802" i="1"/>
  <c r="C2802" i="1"/>
  <c r="V2801" i="1"/>
  <c r="U2801" i="1"/>
  <c r="T2801" i="1"/>
  <c r="S2801" i="1"/>
  <c r="R2801" i="1"/>
  <c r="Q2801" i="1"/>
  <c r="P2801" i="1"/>
  <c r="O2801" i="1"/>
  <c r="N2801" i="1"/>
  <c r="M2801" i="1"/>
  <c r="L2801" i="1"/>
  <c r="K2801" i="1"/>
  <c r="J2801" i="1"/>
  <c r="I2801" i="1"/>
  <c r="H2801" i="1"/>
  <c r="G2801" i="1"/>
  <c r="F2801" i="1"/>
  <c r="E2801" i="1"/>
  <c r="D2801" i="1"/>
  <c r="C2801" i="1"/>
  <c r="V2800" i="1"/>
  <c r="U2800" i="1"/>
  <c r="T2800" i="1"/>
  <c r="S2800" i="1"/>
  <c r="R2800" i="1"/>
  <c r="Q2800" i="1"/>
  <c r="P2800" i="1"/>
  <c r="O2800" i="1"/>
  <c r="N2800" i="1"/>
  <c r="M2800" i="1"/>
  <c r="L2800" i="1"/>
  <c r="K2800" i="1"/>
  <c r="J2800" i="1"/>
  <c r="I2800" i="1"/>
  <c r="H2800" i="1"/>
  <c r="G2800" i="1"/>
  <c r="F2800" i="1"/>
  <c r="E2800" i="1"/>
  <c r="D2800" i="1"/>
  <c r="C2800" i="1"/>
  <c r="V2799" i="1"/>
  <c r="U2799" i="1"/>
  <c r="T2799" i="1"/>
  <c r="S2799" i="1"/>
  <c r="R2799" i="1"/>
  <c r="Q2799" i="1"/>
  <c r="P2799" i="1"/>
  <c r="O2799" i="1"/>
  <c r="N2799" i="1"/>
  <c r="M2799" i="1"/>
  <c r="L2799" i="1"/>
  <c r="K2799" i="1"/>
  <c r="J2799" i="1"/>
  <c r="I2799" i="1"/>
  <c r="H2799" i="1"/>
  <c r="G2799" i="1"/>
  <c r="F2799" i="1"/>
  <c r="E2799" i="1"/>
  <c r="D2799" i="1"/>
  <c r="C2799" i="1"/>
  <c r="V2798" i="1"/>
  <c r="U2798" i="1"/>
  <c r="T2798" i="1"/>
  <c r="S2798" i="1"/>
  <c r="R2798" i="1"/>
  <c r="Q2798" i="1"/>
  <c r="P2798" i="1"/>
  <c r="O2798" i="1"/>
  <c r="N2798" i="1"/>
  <c r="M2798" i="1"/>
  <c r="L2798" i="1"/>
  <c r="K2798" i="1"/>
  <c r="J2798" i="1"/>
  <c r="I2798" i="1"/>
  <c r="H2798" i="1"/>
  <c r="G2798" i="1"/>
  <c r="F2798" i="1"/>
  <c r="E2798" i="1"/>
  <c r="D2798" i="1"/>
  <c r="C2798" i="1"/>
  <c r="V2797" i="1"/>
  <c r="U2797" i="1"/>
  <c r="T2797" i="1"/>
  <c r="S2797" i="1"/>
  <c r="R2797" i="1"/>
  <c r="Q2797" i="1"/>
  <c r="P2797" i="1"/>
  <c r="O2797" i="1"/>
  <c r="N2797" i="1"/>
  <c r="M2797" i="1"/>
  <c r="L2797" i="1"/>
  <c r="K2797" i="1"/>
  <c r="J2797" i="1"/>
  <c r="I2797" i="1"/>
  <c r="H2797" i="1"/>
  <c r="G2797" i="1"/>
  <c r="F2797" i="1"/>
  <c r="E2797" i="1"/>
  <c r="D2797" i="1"/>
  <c r="C2797" i="1"/>
  <c r="V2796" i="1"/>
  <c r="U2796" i="1"/>
  <c r="T2796" i="1"/>
  <c r="S2796" i="1"/>
  <c r="R2796" i="1"/>
  <c r="Q2796" i="1"/>
  <c r="P2796" i="1"/>
  <c r="O2796" i="1"/>
  <c r="N2796" i="1"/>
  <c r="M2796" i="1"/>
  <c r="L2796" i="1"/>
  <c r="K2796" i="1"/>
  <c r="J2796" i="1"/>
  <c r="I2796" i="1"/>
  <c r="H2796" i="1"/>
  <c r="G2796" i="1"/>
  <c r="F2796" i="1"/>
  <c r="E2796" i="1"/>
  <c r="D2796" i="1"/>
  <c r="C2796" i="1"/>
  <c r="V2795" i="1"/>
  <c r="U2795" i="1"/>
  <c r="T2795" i="1"/>
  <c r="S2795" i="1"/>
  <c r="R2795" i="1"/>
  <c r="Q2795" i="1"/>
  <c r="P2795" i="1"/>
  <c r="O2795" i="1"/>
  <c r="N2795" i="1"/>
  <c r="M2795" i="1"/>
  <c r="L2795" i="1"/>
  <c r="K2795" i="1"/>
  <c r="J2795" i="1"/>
  <c r="I2795" i="1"/>
  <c r="H2795" i="1"/>
  <c r="G2795" i="1"/>
  <c r="F2795" i="1"/>
  <c r="E2795" i="1"/>
  <c r="D2795" i="1"/>
  <c r="C2795" i="1"/>
  <c r="V2794" i="1"/>
  <c r="U2794" i="1"/>
  <c r="T2794" i="1"/>
  <c r="S2794" i="1"/>
  <c r="R2794" i="1"/>
  <c r="Q2794" i="1"/>
  <c r="P2794" i="1"/>
  <c r="O2794" i="1"/>
  <c r="N2794" i="1"/>
  <c r="M2794" i="1"/>
  <c r="L2794" i="1"/>
  <c r="K2794" i="1"/>
  <c r="J2794" i="1"/>
  <c r="I2794" i="1"/>
  <c r="H2794" i="1"/>
  <c r="G2794" i="1"/>
  <c r="F2794" i="1"/>
  <c r="E2794" i="1"/>
  <c r="D2794" i="1"/>
  <c r="C2794" i="1"/>
  <c r="V2793" i="1"/>
  <c r="U2793" i="1"/>
  <c r="T2793" i="1"/>
  <c r="S2793" i="1"/>
  <c r="R2793" i="1"/>
  <c r="Q2793" i="1"/>
  <c r="P2793" i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C2793" i="1"/>
  <c r="V2792" i="1"/>
  <c r="U2792" i="1"/>
  <c r="T2792" i="1"/>
  <c r="S2792" i="1"/>
  <c r="R2792" i="1"/>
  <c r="Q2792" i="1"/>
  <c r="P2792" i="1"/>
  <c r="O2792" i="1"/>
  <c r="N2792" i="1"/>
  <c r="M2792" i="1"/>
  <c r="L2792" i="1"/>
  <c r="K2792" i="1"/>
  <c r="J2792" i="1"/>
  <c r="I2792" i="1"/>
  <c r="H2792" i="1"/>
  <c r="G2792" i="1"/>
  <c r="F2792" i="1"/>
  <c r="E2792" i="1"/>
  <c r="D2792" i="1"/>
  <c r="C2792" i="1"/>
  <c r="V2791" i="1"/>
  <c r="U2791" i="1"/>
  <c r="T2791" i="1"/>
  <c r="S2791" i="1"/>
  <c r="R2791" i="1"/>
  <c r="Q2791" i="1"/>
  <c r="P2791" i="1"/>
  <c r="O2791" i="1"/>
  <c r="N2791" i="1"/>
  <c r="M2791" i="1"/>
  <c r="L2791" i="1"/>
  <c r="K2791" i="1"/>
  <c r="J2791" i="1"/>
  <c r="I2791" i="1"/>
  <c r="H2791" i="1"/>
  <c r="G2791" i="1"/>
  <c r="F2791" i="1"/>
  <c r="E2791" i="1"/>
  <c r="D2791" i="1"/>
  <c r="C2791" i="1"/>
  <c r="V2790" i="1"/>
  <c r="U2790" i="1"/>
  <c r="T2790" i="1"/>
  <c r="S2790" i="1"/>
  <c r="R2790" i="1"/>
  <c r="Q2790" i="1"/>
  <c r="P2790" i="1"/>
  <c r="O2790" i="1"/>
  <c r="N2790" i="1"/>
  <c r="M2790" i="1"/>
  <c r="L2790" i="1"/>
  <c r="K2790" i="1"/>
  <c r="J2790" i="1"/>
  <c r="I2790" i="1"/>
  <c r="H2790" i="1"/>
  <c r="G2790" i="1"/>
  <c r="F2790" i="1"/>
  <c r="E2790" i="1"/>
  <c r="D2790" i="1"/>
  <c r="C2790" i="1"/>
  <c r="V2789" i="1"/>
  <c r="U2789" i="1"/>
  <c r="T2789" i="1"/>
  <c r="S2789" i="1"/>
  <c r="R2789" i="1"/>
  <c r="Q2789" i="1"/>
  <c r="P2789" i="1"/>
  <c r="O2789" i="1"/>
  <c r="N2789" i="1"/>
  <c r="M2789" i="1"/>
  <c r="L2789" i="1"/>
  <c r="K2789" i="1"/>
  <c r="J2789" i="1"/>
  <c r="I2789" i="1"/>
  <c r="H2789" i="1"/>
  <c r="G2789" i="1"/>
  <c r="F2789" i="1"/>
  <c r="E2789" i="1"/>
  <c r="D2789" i="1"/>
  <c r="C2789" i="1"/>
  <c r="V2788" i="1"/>
  <c r="U2788" i="1"/>
  <c r="T2788" i="1"/>
  <c r="S2788" i="1"/>
  <c r="R2788" i="1"/>
  <c r="Q2788" i="1"/>
  <c r="P2788" i="1"/>
  <c r="O2788" i="1"/>
  <c r="N2788" i="1"/>
  <c r="M2788" i="1"/>
  <c r="L2788" i="1"/>
  <c r="K2788" i="1"/>
  <c r="J2788" i="1"/>
  <c r="I2788" i="1"/>
  <c r="H2788" i="1"/>
  <c r="G2788" i="1"/>
  <c r="F2788" i="1"/>
  <c r="E2788" i="1"/>
  <c r="D2788" i="1"/>
  <c r="C2788" i="1"/>
  <c r="V2787" i="1"/>
  <c r="U2787" i="1"/>
  <c r="T2787" i="1"/>
  <c r="S2787" i="1"/>
  <c r="R2787" i="1"/>
  <c r="Q2787" i="1"/>
  <c r="P2787" i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C2787" i="1"/>
  <c r="V2786" i="1"/>
  <c r="U2786" i="1"/>
  <c r="T2786" i="1"/>
  <c r="S2786" i="1"/>
  <c r="R2786" i="1"/>
  <c r="Q2786" i="1"/>
  <c r="P2786" i="1"/>
  <c r="O2786" i="1"/>
  <c r="N2786" i="1"/>
  <c r="M2786" i="1"/>
  <c r="L2786" i="1"/>
  <c r="K2786" i="1"/>
  <c r="J2786" i="1"/>
  <c r="I2786" i="1"/>
  <c r="H2786" i="1"/>
  <c r="G2786" i="1"/>
  <c r="F2786" i="1"/>
  <c r="E2786" i="1"/>
  <c r="D2786" i="1"/>
  <c r="C2786" i="1"/>
  <c r="V2785" i="1"/>
  <c r="U2785" i="1"/>
  <c r="T2785" i="1"/>
  <c r="S2785" i="1"/>
  <c r="R2785" i="1"/>
  <c r="Q2785" i="1"/>
  <c r="P2785" i="1"/>
  <c r="O2785" i="1"/>
  <c r="N2785" i="1"/>
  <c r="M2785" i="1"/>
  <c r="L2785" i="1"/>
  <c r="K2785" i="1"/>
  <c r="J2785" i="1"/>
  <c r="I2785" i="1"/>
  <c r="H2785" i="1"/>
  <c r="G2785" i="1"/>
  <c r="F2785" i="1"/>
  <c r="E2785" i="1"/>
  <c r="D2785" i="1"/>
  <c r="C2785" i="1"/>
  <c r="V2784" i="1"/>
  <c r="U2784" i="1"/>
  <c r="T2784" i="1"/>
  <c r="S2784" i="1"/>
  <c r="R2784" i="1"/>
  <c r="Q2784" i="1"/>
  <c r="P2784" i="1"/>
  <c r="O2784" i="1"/>
  <c r="N2784" i="1"/>
  <c r="M2784" i="1"/>
  <c r="L2784" i="1"/>
  <c r="K2784" i="1"/>
  <c r="J2784" i="1"/>
  <c r="I2784" i="1"/>
  <c r="H2784" i="1"/>
  <c r="G2784" i="1"/>
  <c r="F2784" i="1"/>
  <c r="E2784" i="1"/>
  <c r="D2784" i="1"/>
  <c r="C2784" i="1"/>
  <c r="V2783" i="1"/>
  <c r="U2783" i="1"/>
  <c r="T2783" i="1"/>
  <c r="S2783" i="1"/>
  <c r="R2783" i="1"/>
  <c r="Q2783" i="1"/>
  <c r="P2783" i="1"/>
  <c r="O2783" i="1"/>
  <c r="N2783" i="1"/>
  <c r="M2783" i="1"/>
  <c r="L2783" i="1"/>
  <c r="K2783" i="1"/>
  <c r="J2783" i="1"/>
  <c r="I2783" i="1"/>
  <c r="H2783" i="1"/>
  <c r="G2783" i="1"/>
  <c r="F2783" i="1"/>
  <c r="E2783" i="1"/>
  <c r="D2783" i="1"/>
  <c r="C2783" i="1"/>
  <c r="V2782" i="1"/>
  <c r="U2782" i="1"/>
  <c r="T2782" i="1"/>
  <c r="S2782" i="1"/>
  <c r="R2782" i="1"/>
  <c r="Q2782" i="1"/>
  <c r="P2782" i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C2782" i="1"/>
  <c r="V2781" i="1"/>
  <c r="U2781" i="1"/>
  <c r="T2781" i="1"/>
  <c r="S2781" i="1"/>
  <c r="R2781" i="1"/>
  <c r="Q2781" i="1"/>
  <c r="P2781" i="1"/>
  <c r="O2781" i="1"/>
  <c r="N2781" i="1"/>
  <c r="M2781" i="1"/>
  <c r="L2781" i="1"/>
  <c r="K2781" i="1"/>
  <c r="J2781" i="1"/>
  <c r="I2781" i="1"/>
  <c r="H2781" i="1"/>
  <c r="G2781" i="1"/>
  <c r="F2781" i="1"/>
  <c r="E2781" i="1"/>
  <c r="D2781" i="1"/>
  <c r="C2781" i="1"/>
  <c r="V2780" i="1"/>
  <c r="U2780" i="1"/>
  <c r="T2780" i="1"/>
  <c r="S2780" i="1"/>
  <c r="R2780" i="1"/>
  <c r="Q2780" i="1"/>
  <c r="P2780" i="1"/>
  <c r="O2780" i="1"/>
  <c r="N2780" i="1"/>
  <c r="M2780" i="1"/>
  <c r="L2780" i="1"/>
  <c r="K2780" i="1"/>
  <c r="J2780" i="1"/>
  <c r="I2780" i="1"/>
  <c r="H2780" i="1"/>
  <c r="G2780" i="1"/>
  <c r="F2780" i="1"/>
  <c r="E2780" i="1"/>
  <c r="D2780" i="1"/>
  <c r="C2780" i="1"/>
  <c r="V2779" i="1"/>
  <c r="U2779" i="1"/>
  <c r="T2779" i="1"/>
  <c r="S2779" i="1"/>
  <c r="R2779" i="1"/>
  <c r="Q2779" i="1"/>
  <c r="P2779" i="1"/>
  <c r="O2779" i="1"/>
  <c r="N2779" i="1"/>
  <c r="M2779" i="1"/>
  <c r="L2779" i="1"/>
  <c r="K2779" i="1"/>
  <c r="J2779" i="1"/>
  <c r="I2779" i="1"/>
  <c r="H2779" i="1"/>
  <c r="G2779" i="1"/>
  <c r="F2779" i="1"/>
  <c r="E2779" i="1"/>
  <c r="D2779" i="1"/>
  <c r="C2779" i="1"/>
  <c r="V2778" i="1"/>
  <c r="U2778" i="1"/>
  <c r="T2778" i="1"/>
  <c r="S2778" i="1"/>
  <c r="R2778" i="1"/>
  <c r="Q2778" i="1"/>
  <c r="P2778" i="1"/>
  <c r="O2778" i="1"/>
  <c r="N2778" i="1"/>
  <c r="M2778" i="1"/>
  <c r="L2778" i="1"/>
  <c r="K2778" i="1"/>
  <c r="J2778" i="1"/>
  <c r="I2778" i="1"/>
  <c r="H2778" i="1"/>
  <c r="G2778" i="1"/>
  <c r="F2778" i="1"/>
  <c r="E2778" i="1"/>
  <c r="D2778" i="1"/>
  <c r="C2778" i="1"/>
  <c r="V2777" i="1"/>
  <c r="U2777" i="1"/>
  <c r="T2777" i="1"/>
  <c r="S2777" i="1"/>
  <c r="R2777" i="1"/>
  <c r="Q2777" i="1"/>
  <c r="P2777" i="1"/>
  <c r="O2777" i="1"/>
  <c r="N2777" i="1"/>
  <c r="M2777" i="1"/>
  <c r="L2777" i="1"/>
  <c r="K2777" i="1"/>
  <c r="J2777" i="1"/>
  <c r="I2777" i="1"/>
  <c r="H2777" i="1"/>
  <c r="G2777" i="1"/>
  <c r="F2777" i="1"/>
  <c r="E2777" i="1"/>
  <c r="D2777" i="1"/>
  <c r="C2777" i="1"/>
  <c r="V2776" i="1"/>
  <c r="U2776" i="1"/>
  <c r="T2776" i="1"/>
  <c r="S2776" i="1"/>
  <c r="R2776" i="1"/>
  <c r="Q2776" i="1"/>
  <c r="P2776" i="1"/>
  <c r="O2776" i="1"/>
  <c r="N2776" i="1"/>
  <c r="M2776" i="1"/>
  <c r="L2776" i="1"/>
  <c r="K2776" i="1"/>
  <c r="J2776" i="1"/>
  <c r="I2776" i="1"/>
  <c r="H2776" i="1"/>
  <c r="G2776" i="1"/>
  <c r="F2776" i="1"/>
  <c r="E2776" i="1"/>
  <c r="D2776" i="1"/>
  <c r="C2776" i="1"/>
  <c r="V2775" i="1"/>
  <c r="U2775" i="1"/>
  <c r="T2775" i="1"/>
  <c r="S2775" i="1"/>
  <c r="R2775" i="1"/>
  <c r="Q2775" i="1"/>
  <c r="P2775" i="1"/>
  <c r="O2775" i="1"/>
  <c r="N2775" i="1"/>
  <c r="M2775" i="1"/>
  <c r="L2775" i="1"/>
  <c r="K2775" i="1"/>
  <c r="J2775" i="1"/>
  <c r="I2775" i="1"/>
  <c r="H2775" i="1"/>
  <c r="G2775" i="1"/>
  <c r="F2775" i="1"/>
  <c r="E2775" i="1"/>
  <c r="D2775" i="1"/>
  <c r="C2775" i="1"/>
  <c r="V2774" i="1"/>
  <c r="U2774" i="1"/>
  <c r="T2774" i="1"/>
  <c r="S2774" i="1"/>
  <c r="R2774" i="1"/>
  <c r="Q2774" i="1"/>
  <c r="P2774" i="1"/>
  <c r="O2774" i="1"/>
  <c r="N2774" i="1"/>
  <c r="M2774" i="1"/>
  <c r="L2774" i="1"/>
  <c r="K2774" i="1"/>
  <c r="J2774" i="1"/>
  <c r="I2774" i="1"/>
  <c r="H2774" i="1"/>
  <c r="G2774" i="1"/>
  <c r="F2774" i="1"/>
  <c r="E2774" i="1"/>
  <c r="D2774" i="1"/>
  <c r="C2774" i="1"/>
  <c r="V2773" i="1"/>
  <c r="U2773" i="1"/>
  <c r="T2773" i="1"/>
  <c r="S2773" i="1"/>
  <c r="R2773" i="1"/>
  <c r="Q2773" i="1"/>
  <c r="P2773" i="1"/>
  <c r="O2773" i="1"/>
  <c r="N2773" i="1"/>
  <c r="M2773" i="1"/>
  <c r="L2773" i="1"/>
  <c r="K2773" i="1"/>
  <c r="J2773" i="1"/>
  <c r="I2773" i="1"/>
  <c r="H2773" i="1"/>
  <c r="G2773" i="1"/>
  <c r="F2773" i="1"/>
  <c r="E2773" i="1"/>
  <c r="D2773" i="1"/>
  <c r="C2773" i="1"/>
  <c r="V2772" i="1"/>
  <c r="U2772" i="1"/>
  <c r="T2772" i="1"/>
  <c r="S2772" i="1"/>
  <c r="R2772" i="1"/>
  <c r="Q2772" i="1"/>
  <c r="P2772" i="1"/>
  <c r="O2772" i="1"/>
  <c r="N2772" i="1"/>
  <c r="M2772" i="1"/>
  <c r="L2772" i="1"/>
  <c r="K2772" i="1"/>
  <c r="J2772" i="1"/>
  <c r="I2772" i="1"/>
  <c r="H2772" i="1"/>
  <c r="G2772" i="1"/>
  <c r="F2772" i="1"/>
  <c r="E2772" i="1"/>
  <c r="D2772" i="1"/>
  <c r="C2772" i="1"/>
  <c r="V2771" i="1"/>
  <c r="U2771" i="1"/>
  <c r="T2771" i="1"/>
  <c r="S2771" i="1"/>
  <c r="R2771" i="1"/>
  <c r="Q2771" i="1"/>
  <c r="P2771" i="1"/>
  <c r="O2771" i="1"/>
  <c r="N2771" i="1"/>
  <c r="M2771" i="1"/>
  <c r="L2771" i="1"/>
  <c r="K2771" i="1"/>
  <c r="J2771" i="1"/>
  <c r="I2771" i="1"/>
  <c r="H2771" i="1"/>
  <c r="G2771" i="1"/>
  <c r="F2771" i="1"/>
  <c r="E2771" i="1"/>
  <c r="D2771" i="1"/>
  <c r="C2771" i="1"/>
  <c r="V2770" i="1"/>
  <c r="U2770" i="1"/>
  <c r="T2770" i="1"/>
  <c r="S2770" i="1"/>
  <c r="R2770" i="1"/>
  <c r="Q2770" i="1"/>
  <c r="P2770" i="1"/>
  <c r="O2770" i="1"/>
  <c r="N2770" i="1"/>
  <c r="M2770" i="1"/>
  <c r="L2770" i="1"/>
  <c r="K2770" i="1"/>
  <c r="J2770" i="1"/>
  <c r="I2770" i="1"/>
  <c r="H2770" i="1"/>
  <c r="G2770" i="1"/>
  <c r="F2770" i="1"/>
  <c r="E2770" i="1"/>
  <c r="D2770" i="1"/>
  <c r="C2770" i="1"/>
  <c r="V2769" i="1"/>
  <c r="U2769" i="1"/>
  <c r="T2769" i="1"/>
  <c r="S2769" i="1"/>
  <c r="R2769" i="1"/>
  <c r="Q2769" i="1"/>
  <c r="P2769" i="1"/>
  <c r="O2769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V2768" i="1"/>
  <c r="U2768" i="1"/>
  <c r="T2768" i="1"/>
  <c r="S2768" i="1"/>
  <c r="R2768" i="1"/>
  <c r="Q2768" i="1"/>
  <c r="P2768" i="1"/>
  <c r="O2768" i="1"/>
  <c r="N2768" i="1"/>
  <c r="M2768" i="1"/>
  <c r="L2768" i="1"/>
  <c r="K2768" i="1"/>
  <c r="J2768" i="1"/>
  <c r="I2768" i="1"/>
  <c r="H2768" i="1"/>
  <c r="G2768" i="1"/>
  <c r="F2768" i="1"/>
  <c r="E2768" i="1"/>
  <c r="D2768" i="1"/>
  <c r="C2768" i="1"/>
  <c r="V2767" i="1"/>
  <c r="U2767" i="1"/>
  <c r="T2767" i="1"/>
  <c r="S2767" i="1"/>
  <c r="R2767" i="1"/>
  <c r="Q2767" i="1"/>
  <c r="P2767" i="1"/>
  <c r="O2767" i="1"/>
  <c r="N2767" i="1"/>
  <c r="M2767" i="1"/>
  <c r="L2767" i="1"/>
  <c r="K2767" i="1"/>
  <c r="J2767" i="1"/>
  <c r="I2767" i="1"/>
  <c r="H2767" i="1"/>
  <c r="G2767" i="1"/>
  <c r="F2767" i="1"/>
  <c r="E2767" i="1"/>
  <c r="D2767" i="1"/>
  <c r="C2767" i="1"/>
  <c r="V2766" i="1"/>
  <c r="U2766" i="1"/>
  <c r="T2766" i="1"/>
  <c r="S2766" i="1"/>
  <c r="R2766" i="1"/>
  <c r="Q2766" i="1"/>
  <c r="P2766" i="1"/>
  <c r="O2766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V2765" i="1"/>
  <c r="U2765" i="1"/>
  <c r="T2765" i="1"/>
  <c r="S2765" i="1"/>
  <c r="R2765" i="1"/>
  <c r="Q2765" i="1"/>
  <c r="P2765" i="1"/>
  <c r="O2765" i="1"/>
  <c r="N2765" i="1"/>
  <c r="M2765" i="1"/>
  <c r="L2765" i="1"/>
  <c r="K2765" i="1"/>
  <c r="J2765" i="1"/>
  <c r="I2765" i="1"/>
  <c r="H2765" i="1"/>
  <c r="G2765" i="1"/>
  <c r="F2765" i="1"/>
  <c r="E2765" i="1"/>
  <c r="D2765" i="1"/>
  <c r="C2765" i="1"/>
  <c r="V2764" i="1"/>
  <c r="U2764" i="1"/>
  <c r="T2764" i="1"/>
  <c r="S2764" i="1"/>
  <c r="R2764" i="1"/>
  <c r="Q2764" i="1"/>
  <c r="P2764" i="1"/>
  <c r="O2764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V2763" i="1"/>
  <c r="U2763" i="1"/>
  <c r="T2763" i="1"/>
  <c r="S2763" i="1"/>
  <c r="R2763" i="1"/>
  <c r="Q2763" i="1"/>
  <c r="P2763" i="1"/>
  <c r="O2763" i="1"/>
  <c r="N2763" i="1"/>
  <c r="M2763" i="1"/>
  <c r="L2763" i="1"/>
  <c r="K2763" i="1"/>
  <c r="J2763" i="1"/>
  <c r="I2763" i="1"/>
  <c r="H2763" i="1"/>
  <c r="G2763" i="1"/>
  <c r="F2763" i="1"/>
  <c r="E2763" i="1"/>
  <c r="D2763" i="1"/>
  <c r="C2763" i="1"/>
  <c r="V2762" i="1"/>
  <c r="U2762" i="1"/>
  <c r="T2762" i="1"/>
  <c r="S2762" i="1"/>
  <c r="R2762" i="1"/>
  <c r="Q2762" i="1"/>
  <c r="P2762" i="1"/>
  <c r="O2762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V2761" i="1"/>
  <c r="U2761" i="1"/>
  <c r="T2761" i="1"/>
  <c r="S2761" i="1"/>
  <c r="R2761" i="1"/>
  <c r="Q2761" i="1"/>
  <c r="P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C2761" i="1"/>
  <c r="V2760" i="1"/>
  <c r="U2760" i="1"/>
  <c r="T2760" i="1"/>
  <c r="S2760" i="1"/>
  <c r="R2760" i="1"/>
  <c r="Q2760" i="1"/>
  <c r="P2760" i="1"/>
  <c r="O2760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V2759" i="1"/>
  <c r="U2759" i="1"/>
  <c r="T2759" i="1"/>
  <c r="S2759" i="1"/>
  <c r="R2759" i="1"/>
  <c r="Q2759" i="1"/>
  <c r="P2759" i="1"/>
  <c r="O2759" i="1"/>
  <c r="N2759" i="1"/>
  <c r="M2759" i="1"/>
  <c r="L2759" i="1"/>
  <c r="K2759" i="1"/>
  <c r="J2759" i="1"/>
  <c r="I2759" i="1"/>
  <c r="H2759" i="1"/>
  <c r="G2759" i="1"/>
  <c r="F2759" i="1"/>
  <c r="E2759" i="1"/>
  <c r="D2759" i="1"/>
  <c r="C2759" i="1"/>
  <c r="V2758" i="1"/>
  <c r="U2758" i="1"/>
  <c r="T2758" i="1"/>
  <c r="S2758" i="1"/>
  <c r="R2758" i="1"/>
  <c r="Q2758" i="1"/>
  <c r="P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V2757" i="1"/>
  <c r="U2757" i="1"/>
  <c r="T2757" i="1"/>
  <c r="S2757" i="1"/>
  <c r="R2757" i="1"/>
  <c r="Q2757" i="1"/>
  <c r="P2757" i="1"/>
  <c r="O2757" i="1"/>
  <c r="N2757" i="1"/>
  <c r="M2757" i="1"/>
  <c r="L2757" i="1"/>
  <c r="K2757" i="1"/>
  <c r="J2757" i="1"/>
  <c r="I2757" i="1"/>
  <c r="H2757" i="1"/>
  <c r="G2757" i="1"/>
  <c r="F2757" i="1"/>
  <c r="E2757" i="1"/>
  <c r="D2757" i="1"/>
  <c r="C2757" i="1"/>
  <c r="V2756" i="1"/>
  <c r="U2756" i="1"/>
  <c r="T2756" i="1"/>
  <c r="S2756" i="1"/>
  <c r="R2756" i="1"/>
  <c r="Q2756" i="1"/>
  <c r="P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V2755" i="1"/>
  <c r="U2755" i="1"/>
  <c r="T2755" i="1"/>
  <c r="S2755" i="1"/>
  <c r="R2755" i="1"/>
  <c r="Q2755" i="1"/>
  <c r="P2755" i="1"/>
  <c r="O2755" i="1"/>
  <c r="N2755" i="1"/>
  <c r="M2755" i="1"/>
  <c r="L2755" i="1"/>
  <c r="K2755" i="1"/>
  <c r="J2755" i="1"/>
  <c r="I2755" i="1"/>
  <c r="H2755" i="1"/>
  <c r="G2755" i="1"/>
  <c r="F2755" i="1"/>
  <c r="E2755" i="1"/>
  <c r="D2755" i="1"/>
  <c r="C2755" i="1"/>
  <c r="V2754" i="1"/>
  <c r="U2754" i="1"/>
  <c r="T2754" i="1"/>
  <c r="S2754" i="1"/>
  <c r="R2754" i="1"/>
  <c r="Q2754" i="1"/>
  <c r="P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V2753" i="1"/>
  <c r="U2753" i="1"/>
  <c r="T2753" i="1"/>
  <c r="S2753" i="1"/>
  <c r="R2753" i="1"/>
  <c r="Q2753" i="1"/>
  <c r="P2753" i="1"/>
  <c r="O2753" i="1"/>
  <c r="N2753" i="1"/>
  <c r="M2753" i="1"/>
  <c r="L2753" i="1"/>
  <c r="K2753" i="1"/>
  <c r="J2753" i="1"/>
  <c r="I2753" i="1"/>
  <c r="H2753" i="1"/>
  <c r="G2753" i="1"/>
  <c r="F2753" i="1"/>
  <c r="E2753" i="1"/>
  <c r="D2753" i="1"/>
  <c r="C2753" i="1"/>
  <c r="V2752" i="1"/>
  <c r="U2752" i="1"/>
  <c r="T2752" i="1"/>
  <c r="S2752" i="1"/>
  <c r="R2752" i="1"/>
  <c r="Q2752" i="1"/>
  <c r="P2752" i="1"/>
  <c r="O2752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V2751" i="1"/>
  <c r="U2751" i="1"/>
  <c r="T2751" i="1"/>
  <c r="S2751" i="1"/>
  <c r="R2751" i="1"/>
  <c r="Q2751" i="1"/>
  <c r="P2751" i="1"/>
  <c r="O2751" i="1"/>
  <c r="N2751" i="1"/>
  <c r="M2751" i="1"/>
  <c r="L2751" i="1"/>
  <c r="K2751" i="1"/>
  <c r="J2751" i="1"/>
  <c r="I2751" i="1"/>
  <c r="H2751" i="1"/>
  <c r="G2751" i="1"/>
  <c r="F2751" i="1"/>
  <c r="E2751" i="1"/>
  <c r="D2751" i="1"/>
  <c r="C2751" i="1"/>
  <c r="V2750" i="1"/>
  <c r="U2750" i="1"/>
  <c r="T2750" i="1"/>
  <c r="S2750" i="1"/>
  <c r="R2750" i="1"/>
  <c r="Q2750" i="1"/>
  <c r="P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V2749" i="1"/>
  <c r="U2749" i="1"/>
  <c r="T2749" i="1"/>
  <c r="S2749" i="1"/>
  <c r="R2749" i="1"/>
  <c r="Q2749" i="1"/>
  <c r="P2749" i="1"/>
  <c r="O2749" i="1"/>
  <c r="N2749" i="1"/>
  <c r="M2749" i="1"/>
  <c r="L2749" i="1"/>
  <c r="K2749" i="1"/>
  <c r="J2749" i="1"/>
  <c r="I2749" i="1"/>
  <c r="H2749" i="1"/>
  <c r="G2749" i="1"/>
  <c r="F2749" i="1"/>
  <c r="E2749" i="1"/>
  <c r="D2749" i="1"/>
  <c r="C2749" i="1"/>
  <c r="V2748" i="1"/>
  <c r="U2748" i="1"/>
  <c r="T2748" i="1"/>
  <c r="S2748" i="1"/>
  <c r="R2748" i="1"/>
  <c r="Q2748" i="1"/>
  <c r="P2748" i="1"/>
  <c r="O2748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V2747" i="1"/>
  <c r="U2747" i="1"/>
  <c r="T2747" i="1"/>
  <c r="S2747" i="1"/>
  <c r="R2747" i="1"/>
  <c r="Q2747" i="1"/>
  <c r="P2747" i="1"/>
  <c r="O2747" i="1"/>
  <c r="N2747" i="1"/>
  <c r="M2747" i="1"/>
  <c r="L2747" i="1"/>
  <c r="K2747" i="1"/>
  <c r="J2747" i="1"/>
  <c r="I2747" i="1"/>
  <c r="H2747" i="1"/>
  <c r="G2747" i="1"/>
  <c r="F2747" i="1"/>
  <c r="E2747" i="1"/>
  <c r="D2747" i="1"/>
  <c r="C2747" i="1"/>
  <c r="V2746" i="1"/>
  <c r="U2746" i="1"/>
  <c r="T2746" i="1"/>
  <c r="S2746" i="1"/>
  <c r="R2746" i="1"/>
  <c r="Q2746" i="1"/>
  <c r="P2746" i="1"/>
  <c r="O2746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V2745" i="1"/>
  <c r="U2745" i="1"/>
  <c r="T2745" i="1"/>
  <c r="S2745" i="1"/>
  <c r="R2745" i="1"/>
  <c r="Q2745" i="1"/>
  <c r="P2745" i="1"/>
  <c r="O2745" i="1"/>
  <c r="N2745" i="1"/>
  <c r="M2745" i="1"/>
  <c r="L2745" i="1"/>
  <c r="K2745" i="1"/>
  <c r="J2745" i="1"/>
  <c r="I2745" i="1"/>
  <c r="H2745" i="1"/>
  <c r="G2745" i="1"/>
  <c r="F2745" i="1"/>
  <c r="E2745" i="1"/>
  <c r="D2745" i="1"/>
  <c r="C2745" i="1"/>
  <c r="V2744" i="1"/>
  <c r="U2744" i="1"/>
  <c r="T2744" i="1"/>
  <c r="S2744" i="1"/>
  <c r="R2744" i="1"/>
  <c r="Q2744" i="1"/>
  <c r="P2744" i="1"/>
  <c r="O2744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V2743" i="1"/>
  <c r="U2743" i="1"/>
  <c r="T2743" i="1"/>
  <c r="S2743" i="1"/>
  <c r="R2743" i="1"/>
  <c r="Q2743" i="1"/>
  <c r="P2743" i="1"/>
  <c r="O2743" i="1"/>
  <c r="N2743" i="1"/>
  <c r="M2743" i="1"/>
  <c r="L2743" i="1"/>
  <c r="K2743" i="1"/>
  <c r="J2743" i="1"/>
  <c r="I2743" i="1"/>
  <c r="H2743" i="1"/>
  <c r="G2743" i="1"/>
  <c r="F2743" i="1"/>
  <c r="E2743" i="1"/>
  <c r="D2743" i="1"/>
  <c r="C2743" i="1"/>
  <c r="V2742" i="1"/>
  <c r="U2742" i="1"/>
  <c r="T2742" i="1"/>
  <c r="S2742" i="1"/>
  <c r="R2742" i="1"/>
  <c r="Q2742" i="1"/>
  <c r="P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V2741" i="1"/>
  <c r="U2741" i="1"/>
  <c r="T2741" i="1"/>
  <c r="S2741" i="1"/>
  <c r="R2741" i="1"/>
  <c r="Q2741" i="1"/>
  <c r="P2741" i="1"/>
  <c r="O2741" i="1"/>
  <c r="N2741" i="1"/>
  <c r="M2741" i="1"/>
  <c r="L2741" i="1"/>
  <c r="K2741" i="1"/>
  <c r="J2741" i="1"/>
  <c r="I2741" i="1"/>
  <c r="H2741" i="1"/>
  <c r="G2741" i="1"/>
  <c r="F2741" i="1"/>
  <c r="E2741" i="1"/>
  <c r="D2741" i="1"/>
  <c r="C2741" i="1"/>
  <c r="V2740" i="1"/>
  <c r="U2740" i="1"/>
  <c r="T2740" i="1"/>
  <c r="S2740" i="1"/>
  <c r="R2740" i="1"/>
  <c r="Q2740" i="1"/>
  <c r="P2740" i="1"/>
  <c r="O2740" i="1"/>
  <c r="N2740" i="1"/>
  <c r="M2740" i="1"/>
  <c r="L2740" i="1"/>
  <c r="K2740" i="1"/>
  <c r="J2740" i="1"/>
  <c r="I2740" i="1"/>
  <c r="H2740" i="1"/>
  <c r="G2740" i="1"/>
  <c r="F2740" i="1"/>
  <c r="E2740" i="1"/>
  <c r="D2740" i="1"/>
  <c r="C2740" i="1"/>
  <c r="V2739" i="1"/>
  <c r="U2739" i="1"/>
  <c r="T2739" i="1"/>
  <c r="S2739" i="1"/>
  <c r="R2739" i="1"/>
  <c r="Q2739" i="1"/>
  <c r="P2739" i="1"/>
  <c r="O2739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V2738" i="1"/>
  <c r="U2738" i="1"/>
  <c r="T2738" i="1"/>
  <c r="S2738" i="1"/>
  <c r="R2738" i="1"/>
  <c r="Q2738" i="1"/>
  <c r="P2738" i="1"/>
  <c r="O2738" i="1"/>
  <c r="N2738" i="1"/>
  <c r="M2738" i="1"/>
  <c r="L2738" i="1"/>
  <c r="K2738" i="1"/>
  <c r="J2738" i="1"/>
  <c r="I2738" i="1"/>
  <c r="H2738" i="1"/>
  <c r="G2738" i="1"/>
  <c r="F2738" i="1"/>
  <c r="E2738" i="1"/>
  <c r="D2738" i="1"/>
  <c r="C2738" i="1"/>
  <c r="V2737" i="1"/>
  <c r="U2737" i="1"/>
  <c r="T2737" i="1"/>
  <c r="S2737" i="1"/>
  <c r="R2737" i="1"/>
  <c r="Q2737" i="1"/>
  <c r="P2737" i="1"/>
  <c r="O2737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V2736" i="1"/>
  <c r="U2736" i="1"/>
  <c r="T2736" i="1"/>
  <c r="S2736" i="1"/>
  <c r="R2736" i="1"/>
  <c r="Q2736" i="1"/>
  <c r="P2736" i="1"/>
  <c r="O2736" i="1"/>
  <c r="N2736" i="1"/>
  <c r="M2736" i="1"/>
  <c r="L2736" i="1"/>
  <c r="K2736" i="1"/>
  <c r="J2736" i="1"/>
  <c r="I2736" i="1"/>
  <c r="H2736" i="1"/>
  <c r="G2736" i="1"/>
  <c r="F2736" i="1"/>
  <c r="E2736" i="1"/>
  <c r="D2736" i="1"/>
  <c r="C2736" i="1"/>
  <c r="V2735" i="1"/>
  <c r="U2735" i="1"/>
  <c r="T2735" i="1"/>
  <c r="S2735" i="1"/>
  <c r="R2735" i="1"/>
  <c r="Q2735" i="1"/>
  <c r="P2735" i="1"/>
  <c r="O2735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V2734" i="1"/>
  <c r="U2734" i="1"/>
  <c r="T2734" i="1"/>
  <c r="S2734" i="1"/>
  <c r="R2734" i="1"/>
  <c r="Q2734" i="1"/>
  <c r="P2734" i="1"/>
  <c r="O2734" i="1"/>
  <c r="N2734" i="1"/>
  <c r="M2734" i="1"/>
  <c r="L2734" i="1"/>
  <c r="K2734" i="1"/>
  <c r="J2734" i="1"/>
  <c r="I2734" i="1"/>
  <c r="H2734" i="1"/>
  <c r="G2734" i="1"/>
  <c r="F2734" i="1"/>
  <c r="E2734" i="1"/>
  <c r="D2734" i="1"/>
  <c r="C2734" i="1"/>
  <c r="V2733" i="1"/>
  <c r="U2733" i="1"/>
  <c r="T2733" i="1"/>
  <c r="S2733" i="1"/>
  <c r="R2733" i="1"/>
  <c r="Q2733" i="1"/>
  <c r="P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C2733" i="1"/>
  <c r="V2732" i="1"/>
  <c r="U2732" i="1"/>
  <c r="T2732" i="1"/>
  <c r="S2732" i="1"/>
  <c r="R2732" i="1"/>
  <c r="Q2732" i="1"/>
  <c r="P2732" i="1"/>
  <c r="O2732" i="1"/>
  <c r="N2732" i="1"/>
  <c r="M2732" i="1"/>
  <c r="L2732" i="1"/>
  <c r="K2732" i="1"/>
  <c r="J2732" i="1"/>
  <c r="I2732" i="1"/>
  <c r="H2732" i="1"/>
  <c r="G2732" i="1"/>
  <c r="F2732" i="1"/>
  <c r="E2732" i="1"/>
  <c r="D2732" i="1"/>
  <c r="C2732" i="1"/>
  <c r="V2731" i="1"/>
  <c r="U2731" i="1"/>
  <c r="T2731" i="1"/>
  <c r="S2731" i="1"/>
  <c r="R2731" i="1"/>
  <c r="Q2731" i="1"/>
  <c r="P2731" i="1"/>
  <c r="O2731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V2730" i="1"/>
  <c r="U2730" i="1"/>
  <c r="T2730" i="1"/>
  <c r="S2730" i="1"/>
  <c r="R2730" i="1"/>
  <c r="Q2730" i="1"/>
  <c r="P2730" i="1"/>
  <c r="O2730" i="1"/>
  <c r="N2730" i="1"/>
  <c r="M2730" i="1"/>
  <c r="L2730" i="1"/>
  <c r="K2730" i="1"/>
  <c r="J2730" i="1"/>
  <c r="I2730" i="1"/>
  <c r="H2730" i="1"/>
  <c r="G2730" i="1"/>
  <c r="F2730" i="1"/>
  <c r="E2730" i="1"/>
  <c r="D2730" i="1"/>
  <c r="C2730" i="1"/>
  <c r="V2729" i="1"/>
  <c r="U2729" i="1"/>
  <c r="T2729" i="1"/>
  <c r="S2729" i="1"/>
  <c r="R2729" i="1"/>
  <c r="Q2729" i="1"/>
  <c r="P2729" i="1"/>
  <c r="O2729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V2728" i="1"/>
  <c r="U2728" i="1"/>
  <c r="T2728" i="1"/>
  <c r="S2728" i="1"/>
  <c r="R2728" i="1"/>
  <c r="Q2728" i="1"/>
  <c r="P2728" i="1"/>
  <c r="O2728" i="1"/>
  <c r="N2728" i="1"/>
  <c r="M2728" i="1"/>
  <c r="L2728" i="1"/>
  <c r="K2728" i="1"/>
  <c r="J2728" i="1"/>
  <c r="I2728" i="1"/>
  <c r="H2728" i="1"/>
  <c r="G2728" i="1"/>
  <c r="F2728" i="1"/>
  <c r="E2728" i="1"/>
  <c r="D2728" i="1"/>
  <c r="C2728" i="1"/>
  <c r="V2727" i="1"/>
  <c r="U2727" i="1"/>
  <c r="T2727" i="1"/>
  <c r="S2727" i="1"/>
  <c r="R2727" i="1"/>
  <c r="Q2727" i="1"/>
  <c r="P2727" i="1"/>
  <c r="O2727" i="1"/>
  <c r="N2727" i="1"/>
  <c r="M2727" i="1"/>
  <c r="L2727" i="1"/>
  <c r="K2727" i="1"/>
  <c r="J2727" i="1"/>
  <c r="I2727" i="1"/>
  <c r="H2727" i="1"/>
  <c r="G2727" i="1"/>
  <c r="F2727" i="1"/>
  <c r="E2727" i="1"/>
  <c r="D2727" i="1"/>
  <c r="C2727" i="1"/>
  <c r="V2726" i="1"/>
  <c r="U2726" i="1"/>
  <c r="T2726" i="1"/>
  <c r="S2726" i="1"/>
  <c r="R2726" i="1"/>
  <c r="Q2726" i="1"/>
  <c r="P2726" i="1"/>
  <c r="O2726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V2725" i="1"/>
  <c r="U2725" i="1"/>
  <c r="T2725" i="1"/>
  <c r="S2725" i="1"/>
  <c r="R2725" i="1"/>
  <c r="Q2725" i="1"/>
  <c r="P2725" i="1"/>
  <c r="O2725" i="1"/>
  <c r="N2725" i="1"/>
  <c r="M2725" i="1"/>
  <c r="L2725" i="1"/>
  <c r="K2725" i="1"/>
  <c r="J2725" i="1"/>
  <c r="I2725" i="1"/>
  <c r="H2725" i="1"/>
  <c r="G2725" i="1"/>
  <c r="F2725" i="1"/>
  <c r="E2725" i="1"/>
  <c r="D2725" i="1"/>
  <c r="C2725" i="1"/>
  <c r="V2724" i="1"/>
  <c r="U2724" i="1"/>
  <c r="T2724" i="1"/>
  <c r="S2724" i="1"/>
  <c r="R2724" i="1"/>
  <c r="Q2724" i="1"/>
  <c r="P2724" i="1"/>
  <c r="O2724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V2723" i="1"/>
  <c r="U2723" i="1"/>
  <c r="T2723" i="1"/>
  <c r="S2723" i="1"/>
  <c r="R2723" i="1"/>
  <c r="Q2723" i="1"/>
  <c r="P2723" i="1"/>
  <c r="O2723" i="1"/>
  <c r="N2723" i="1"/>
  <c r="M2723" i="1"/>
  <c r="L2723" i="1"/>
  <c r="K2723" i="1"/>
  <c r="J2723" i="1"/>
  <c r="I2723" i="1"/>
  <c r="H2723" i="1"/>
  <c r="G2723" i="1"/>
  <c r="F2723" i="1"/>
  <c r="E2723" i="1"/>
  <c r="D2723" i="1"/>
  <c r="C2723" i="1"/>
  <c r="V2722" i="1"/>
  <c r="U2722" i="1"/>
  <c r="T2722" i="1"/>
  <c r="S2722" i="1"/>
  <c r="R2722" i="1"/>
  <c r="Q2722" i="1"/>
  <c r="P2722" i="1"/>
  <c r="O2722" i="1"/>
  <c r="N2722" i="1"/>
  <c r="M2722" i="1"/>
  <c r="L2722" i="1"/>
  <c r="K2722" i="1"/>
  <c r="J2722" i="1"/>
  <c r="I2722" i="1"/>
  <c r="H2722" i="1"/>
  <c r="G2722" i="1"/>
  <c r="F2722" i="1"/>
  <c r="E2722" i="1"/>
  <c r="D2722" i="1"/>
  <c r="C2722" i="1"/>
  <c r="V2721" i="1"/>
  <c r="U2721" i="1"/>
  <c r="T2721" i="1"/>
  <c r="S2721" i="1"/>
  <c r="R2721" i="1"/>
  <c r="Q2721" i="1"/>
  <c r="P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V2720" i="1"/>
  <c r="U2720" i="1"/>
  <c r="T2720" i="1"/>
  <c r="S2720" i="1"/>
  <c r="R2720" i="1"/>
  <c r="Q2720" i="1"/>
  <c r="P2720" i="1"/>
  <c r="O2720" i="1"/>
  <c r="N2720" i="1"/>
  <c r="M2720" i="1"/>
  <c r="L2720" i="1"/>
  <c r="K2720" i="1"/>
  <c r="J2720" i="1"/>
  <c r="I2720" i="1"/>
  <c r="H2720" i="1"/>
  <c r="G2720" i="1"/>
  <c r="F2720" i="1"/>
  <c r="E2720" i="1"/>
  <c r="D2720" i="1"/>
  <c r="C2720" i="1"/>
  <c r="V2719" i="1"/>
  <c r="U2719" i="1"/>
  <c r="T2719" i="1"/>
  <c r="S2719" i="1"/>
  <c r="R2719" i="1"/>
  <c r="Q2719" i="1"/>
  <c r="P2719" i="1"/>
  <c r="O2719" i="1"/>
  <c r="N2719" i="1"/>
  <c r="M2719" i="1"/>
  <c r="L2719" i="1"/>
  <c r="K2719" i="1"/>
  <c r="J2719" i="1"/>
  <c r="I2719" i="1"/>
  <c r="H2719" i="1"/>
  <c r="G2719" i="1"/>
  <c r="F2719" i="1"/>
  <c r="E2719" i="1"/>
  <c r="D2719" i="1"/>
  <c r="C2719" i="1"/>
  <c r="V2718" i="1"/>
  <c r="U2718" i="1"/>
  <c r="T2718" i="1"/>
  <c r="S2718" i="1"/>
  <c r="R2718" i="1"/>
  <c r="Q2718" i="1"/>
  <c r="P2718" i="1"/>
  <c r="O2718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V2717" i="1"/>
  <c r="U2717" i="1"/>
  <c r="T2717" i="1"/>
  <c r="S2717" i="1"/>
  <c r="R2717" i="1"/>
  <c r="Q2717" i="1"/>
  <c r="P2717" i="1"/>
  <c r="O2717" i="1"/>
  <c r="N2717" i="1"/>
  <c r="M2717" i="1"/>
  <c r="L2717" i="1"/>
  <c r="K2717" i="1"/>
  <c r="J2717" i="1"/>
  <c r="I2717" i="1"/>
  <c r="H2717" i="1"/>
  <c r="G2717" i="1"/>
  <c r="F2717" i="1"/>
  <c r="E2717" i="1"/>
  <c r="D2717" i="1"/>
  <c r="C2717" i="1"/>
  <c r="V2716" i="1"/>
  <c r="U2716" i="1"/>
  <c r="T2716" i="1"/>
  <c r="S2716" i="1"/>
  <c r="R2716" i="1"/>
  <c r="Q2716" i="1"/>
  <c r="P2716" i="1"/>
  <c r="O2716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V2715" i="1"/>
  <c r="U2715" i="1"/>
  <c r="T2715" i="1"/>
  <c r="S2715" i="1"/>
  <c r="R2715" i="1"/>
  <c r="Q2715" i="1"/>
  <c r="P2715" i="1"/>
  <c r="O2715" i="1"/>
  <c r="N2715" i="1"/>
  <c r="M2715" i="1"/>
  <c r="L2715" i="1"/>
  <c r="K2715" i="1"/>
  <c r="J2715" i="1"/>
  <c r="I2715" i="1"/>
  <c r="H2715" i="1"/>
  <c r="G2715" i="1"/>
  <c r="F2715" i="1"/>
  <c r="E2715" i="1"/>
  <c r="D2715" i="1"/>
  <c r="C2715" i="1"/>
  <c r="V2714" i="1"/>
  <c r="U2714" i="1"/>
  <c r="T2714" i="1"/>
  <c r="S2714" i="1"/>
  <c r="R2714" i="1"/>
  <c r="Q2714" i="1"/>
  <c r="P2714" i="1"/>
  <c r="O2714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V2713" i="1"/>
  <c r="U2713" i="1"/>
  <c r="T2713" i="1"/>
  <c r="S2713" i="1"/>
  <c r="R2713" i="1"/>
  <c r="Q2713" i="1"/>
  <c r="P2713" i="1"/>
  <c r="O2713" i="1"/>
  <c r="N2713" i="1"/>
  <c r="M2713" i="1"/>
  <c r="L2713" i="1"/>
  <c r="K2713" i="1"/>
  <c r="J2713" i="1"/>
  <c r="I2713" i="1"/>
  <c r="H2713" i="1"/>
  <c r="G2713" i="1"/>
  <c r="F2713" i="1"/>
  <c r="E2713" i="1"/>
  <c r="D2713" i="1"/>
  <c r="C2713" i="1"/>
  <c r="V2712" i="1"/>
  <c r="U2712" i="1"/>
  <c r="T2712" i="1"/>
  <c r="S2712" i="1"/>
  <c r="R2712" i="1"/>
  <c r="Q2712" i="1"/>
  <c r="P2712" i="1"/>
  <c r="O2712" i="1"/>
  <c r="N2712" i="1"/>
  <c r="M2712" i="1"/>
  <c r="L2712" i="1"/>
  <c r="K2712" i="1"/>
  <c r="J2712" i="1"/>
  <c r="I2712" i="1"/>
  <c r="H2712" i="1"/>
  <c r="G2712" i="1"/>
  <c r="F2712" i="1"/>
  <c r="E2712" i="1"/>
  <c r="D2712" i="1"/>
  <c r="C2712" i="1"/>
  <c r="V2711" i="1"/>
  <c r="U2711" i="1"/>
  <c r="T2711" i="1"/>
  <c r="S2711" i="1"/>
  <c r="R2711" i="1"/>
  <c r="Q2711" i="1"/>
  <c r="P2711" i="1"/>
  <c r="O2711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V2710" i="1"/>
  <c r="U2710" i="1"/>
  <c r="T2710" i="1"/>
  <c r="S2710" i="1"/>
  <c r="R2710" i="1"/>
  <c r="Q2710" i="1"/>
  <c r="P2710" i="1"/>
  <c r="O2710" i="1"/>
  <c r="N2710" i="1"/>
  <c r="M2710" i="1"/>
  <c r="L2710" i="1"/>
  <c r="K2710" i="1"/>
  <c r="J2710" i="1"/>
  <c r="I2710" i="1"/>
  <c r="H2710" i="1"/>
  <c r="G2710" i="1"/>
  <c r="F2710" i="1"/>
  <c r="E2710" i="1"/>
  <c r="D2710" i="1"/>
  <c r="C2710" i="1"/>
  <c r="V2709" i="1"/>
  <c r="U2709" i="1"/>
  <c r="T2709" i="1"/>
  <c r="S2709" i="1"/>
  <c r="R2709" i="1"/>
  <c r="Q2709" i="1"/>
  <c r="P2709" i="1"/>
  <c r="O2709" i="1"/>
  <c r="N2709" i="1"/>
  <c r="M2709" i="1"/>
  <c r="L2709" i="1"/>
  <c r="K2709" i="1"/>
  <c r="J2709" i="1"/>
  <c r="I2709" i="1"/>
  <c r="H2709" i="1"/>
  <c r="G2709" i="1"/>
  <c r="F2709" i="1"/>
  <c r="E2709" i="1"/>
  <c r="D2709" i="1"/>
  <c r="C2709" i="1"/>
  <c r="V2708" i="1"/>
  <c r="U2708" i="1"/>
  <c r="T2708" i="1"/>
  <c r="S2708" i="1"/>
  <c r="R2708" i="1"/>
  <c r="Q2708" i="1"/>
  <c r="P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V2707" i="1"/>
  <c r="U2707" i="1"/>
  <c r="T2707" i="1"/>
  <c r="S2707" i="1"/>
  <c r="R2707" i="1"/>
  <c r="Q2707" i="1"/>
  <c r="P2707" i="1"/>
  <c r="O2707" i="1"/>
  <c r="N2707" i="1"/>
  <c r="M2707" i="1"/>
  <c r="L2707" i="1"/>
  <c r="K2707" i="1"/>
  <c r="J2707" i="1"/>
  <c r="I2707" i="1"/>
  <c r="H2707" i="1"/>
  <c r="G2707" i="1"/>
  <c r="F2707" i="1"/>
  <c r="E2707" i="1"/>
  <c r="D2707" i="1"/>
  <c r="C2707" i="1"/>
  <c r="V2706" i="1"/>
  <c r="U2706" i="1"/>
  <c r="T2706" i="1"/>
  <c r="S2706" i="1"/>
  <c r="R2706" i="1"/>
  <c r="Q2706" i="1"/>
  <c r="P2706" i="1"/>
  <c r="O2706" i="1"/>
  <c r="N2706" i="1"/>
  <c r="M2706" i="1"/>
  <c r="L2706" i="1"/>
  <c r="K2706" i="1"/>
  <c r="J2706" i="1"/>
  <c r="I2706" i="1"/>
  <c r="H2706" i="1"/>
  <c r="G2706" i="1"/>
  <c r="F2706" i="1"/>
  <c r="E2706" i="1"/>
  <c r="D2706" i="1"/>
  <c r="C2706" i="1"/>
  <c r="V2705" i="1"/>
  <c r="U2705" i="1"/>
  <c r="T2705" i="1"/>
  <c r="S2705" i="1"/>
  <c r="R2705" i="1"/>
  <c r="Q2705" i="1"/>
  <c r="P2705" i="1"/>
  <c r="O2705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V2704" i="1"/>
  <c r="U2704" i="1"/>
  <c r="T2704" i="1"/>
  <c r="S2704" i="1"/>
  <c r="R2704" i="1"/>
  <c r="Q2704" i="1"/>
  <c r="P2704" i="1"/>
  <c r="O2704" i="1"/>
  <c r="N2704" i="1"/>
  <c r="M2704" i="1"/>
  <c r="L2704" i="1"/>
  <c r="K2704" i="1"/>
  <c r="J2704" i="1"/>
  <c r="I2704" i="1"/>
  <c r="H2704" i="1"/>
  <c r="G2704" i="1"/>
  <c r="F2704" i="1"/>
  <c r="E2704" i="1"/>
  <c r="D2704" i="1"/>
  <c r="C2704" i="1"/>
  <c r="V2703" i="1"/>
  <c r="U2703" i="1"/>
  <c r="T2703" i="1"/>
  <c r="S2703" i="1"/>
  <c r="R2703" i="1"/>
  <c r="Q2703" i="1"/>
  <c r="P2703" i="1"/>
  <c r="O2703" i="1"/>
  <c r="N2703" i="1"/>
  <c r="M2703" i="1"/>
  <c r="L2703" i="1"/>
  <c r="K2703" i="1"/>
  <c r="J2703" i="1"/>
  <c r="I2703" i="1"/>
  <c r="H2703" i="1"/>
  <c r="G2703" i="1"/>
  <c r="F2703" i="1"/>
  <c r="E2703" i="1"/>
  <c r="D2703" i="1"/>
  <c r="C2703" i="1"/>
  <c r="V2702" i="1"/>
  <c r="U2702" i="1"/>
  <c r="T2702" i="1"/>
  <c r="S2702" i="1"/>
  <c r="R2702" i="1"/>
  <c r="Q2702" i="1"/>
  <c r="P2702" i="1"/>
  <c r="O2702" i="1"/>
  <c r="N2702" i="1"/>
  <c r="M2702" i="1"/>
  <c r="L2702" i="1"/>
  <c r="K2702" i="1"/>
  <c r="J2702" i="1"/>
  <c r="I2702" i="1"/>
  <c r="H2702" i="1"/>
  <c r="G2702" i="1"/>
  <c r="F2702" i="1"/>
  <c r="E2702" i="1"/>
  <c r="D2702" i="1"/>
  <c r="C2702" i="1"/>
  <c r="V2701" i="1"/>
  <c r="U2701" i="1"/>
  <c r="T2701" i="1"/>
  <c r="S2701" i="1"/>
  <c r="R2701" i="1"/>
  <c r="Q2701" i="1"/>
  <c r="P2701" i="1"/>
  <c r="O2701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V2700" i="1"/>
  <c r="U2700" i="1"/>
  <c r="T2700" i="1"/>
  <c r="S2700" i="1"/>
  <c r="R2700" i="1"/>
  <c r="Q2700" i="1"/>
  <c r="P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C2700" i="1"/>
  <c r="V2699" i="1"/>
  <c r="U2699" i="1"/>
  <c r="T2699" i="1"/>
  <c r="S2699" i="1"/>
  <c r="R2699" i="1"/>
  <c r="Q2699" i="1"/>
  <c r="P2699" i="1"/>
  <c r="O2699" i="1"/>
  <c r="N2699" i="1"/>
  <c r="M2699" i="1"/>
  <c r="L2699" i="1"/>
  <c r="K2699" i="1"/>
  <c r="J2699" i="1"/>
  <c r="I2699" i="1"/>
  <c r="H2699" i="1"/>
  <c r="G2699" i="1"/>
  <c r="F2699" i="1"/>
  <c r="E2699" i="1"/>
  <c r="D2699" i="1"/>
  <c r="C2699" i="1"/>
  <c r="V2698" i="1"/>
  <c r="U2698" i="1"/>
  <c r="T2698" i="1"/>
  <c r="S2698" i="1"/>
  <c r="R2698" i="1"/>
  <c r="Q2698" i="1"/>
  <c r="P2698" i="1"/>
  <c r="O2698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V2697" i="1"/>
  <c r="U2697" i="1"/>
  <c r="T2697" i="1"/>
  <c r="S2697" i="1"/>
  <c r="R2697" i="1"/>
  <c r="Q2697" i="1"/>
  <c r="P2697" i="1"/>
  <c r="O2697" i="1"/>
  <c r="N2697" i="1"/>
  <c r="M2697" i="1"/>
  <c r="L2697" i="1"/>
  <c r="K2697" i="1"/>
  <c r="J2697" i="1"/>
  <c r="I2697" i="1"/>
  <c r="H2697" i="1"/>
  <c r="G2697" i="1"/>
  <c r="F2697" i="1"/>
  <c r="E2697" i="1"/>
  <c r="D2697" i="1"/>
  <c r="C2697" i="1"/>
  <c r="V2696" i="1"/>
  <c r="U2696" i="1"/>
  <c r="T2696" i="1"/>
  <c r="S2696" i="1"/>
  <c r="R2696" i="1"/>
  <c r="Q2696" i="1"/>
  <c r="P2696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V2695" i="1"/>
  <c r="U2695" i="1"/>
  <c r="T2695" i="1"/>
  <c r="S2695" i="1"/>
  <c r="R2695" i="1"/>
  <c r="Q2695" i="1"/>
  <c r="P2695" i="1"/>
  <c r="O2695" i="1"/>
  <c r="N2695" i="1"/>
  <c r="M2695" i="1"/>
  <c r="L2695" i="1"/>
  <c r="K2695" i="1"/>
  <c r="J2695" i="1"/>
  <c r="I2695" i="1"/>
  <c r="H2695" i="1"/>
  <c r="G2695" i="1"/>
  <c r="F2695" i="1"/>
  <c r="E2695" i="1"/>
  <c r="D2695" i="1"/>
  <c r="C2695" i="1"/>
  <c r="V2694" i="1"/>
  <c r="U2694" i="1"/>
  <c r="T2694" i="1"/>
  <c r="S2694" i="1"/>
  <c r="R2694" i="1"/>
  <c r="Q2694" i="1"/>
  <c r="P2694" i="1"/>
  <c r="O2694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V2693" i="1"/>
  <c r="U2693" i="1"/>
  <c r="T2693" i="1"/>
  <c r="S2693" i="1"/>
  <c r="R2693" i="1"/>
  <c r="Q2693" i="1"/>
  <c r="P2693" i="1"/>
  <c r="O2693" i="1"/>
  <c r="N2693" i="1"/>
  <c r="M2693" i="1"/>
  <c r="L2693" i="1"/>
  <c r="K2693" i="1"/>
  <c r="J2693" i="1"/>
  <c r="I2693" i="1"/>
  <c r="H2693" i="1"/>
  <c r="G2693" i="1"/>
  <c r="F2693" i="1"/>
  <c r="E2693" i="1"/>
  <c r="D2693" i="1"/>
  <c r="C2693" i="1"/>
  <c r="V2692" i="1"/>
  <c r="U2692" i="1"/>
  <c r="T2692" i="1"/>
  <c r="S2692" i="1"/>
  <c r="R2692" i="1"/>
  <c r="Q2692" i="1"/>
  <c r="P2692" i="1"/>
  <c r="O2692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V2691" i="1"/>
  <c r="U2691" i="1"/>
  <c r="T2691" i="1"/>
  <c r="S2691" i="1"/>
  <c r="R2691" i="1"/>
  <c r="Q2691" i="1"/>
  <c r="P2691" i="1"/>
  <c r="O2691" i="1"/>
  <c r="N2691" i="1"/>
  <c r="M2691" i="1"/>
  <c r="L2691" i="1"/>
  <c r="K2691" i="1"/>
  <c r="J2691" i="1"/>
  <c r="I2691" i="1"/>
  <c r="H2691" i="1"/>
  <c r="G2691" i="1"/>
  <c r="F2691" i="1"/>
  <c r="E2691" i="1"/>
  <c r="D2691" i="1"/>
  <c r="C2691" i="1"/>
  <c r="V2690" i="1"/>
  <c r="U2690" i="1"/>
  <c r="T2690" i="1"/>
  <c r="S2690" i="1"/>
  <c r="R2690" i="1"/>
  <c r="Q2690" i="1"/>
  <c r="P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C2690" i="1"/>
  <c r="V2689" i="1"/>
  <c r="U2689" i="1"/>
  <c r="T2689" i="1"/>
  <c r="S2689" i="1"/>
  <c r="R2689" i="1"/>
  <c r="Q2689" i="1"/>
  <c r="P2689" i="1"/>
  <c r="O2689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V2688" i="1"/>
  <c r="U2688" i="1"/>
  <c r="T2688" i="1"/>
  <c r="S2688" i="1"/>
  <c r="R2688" i="1"/>
  <c r="Q2688" i="1"/>
  <c r="P2688" i="1"/>
  <c r="O2688" i="1"/>
  <c r="N2688" i="1"/>
  <c r="M2688" i="1"/>
  <c r="L2688" i="1"/>
  <c r="K2688" i="1"/>
  <c r="J2688" i="1"/>
  <c r="I2688" i="1"/>
  <c r="H2688" i="1"/>
  <c r="G2688" i="1"/>
  <c r="F2688" i="1"/>
  <c r="E2688" i="1"/>
  <c r="D2688" i="1"/>
  <c r="C2688" i="1"/>
  <c r="V2687" i="1"/>
  <c r="U2687" i="1"/>
  <c r="T2687" i="1"/>
  <c r="S2687" i="1"/>
  <c r="R2687" i="1"/>
  <c r="Q2687" i="1"/>
  <c r="P2687" i="1"/>
  <c r="O2687" i="1"/>
  <c r="N2687" i="1"/>
  <c r="M2687" i="1"/>
  <c r="L2687" i="1"/>
  <c r="K2687" i="1"/>
  <c r="J2687" i="1"/>
  <c r="I2687" i="1"/>
  <c r="H2687" i="1"/>
  <c r="G2687" i="1"/>
  <c r="F2687" i="1"/>
  <c r="E2687" i="1"/>
  <c r="D2687" i="1"/>
  <c r="C2687" i="1"/>
  <c r="V2686" i="1"/>
  <c r="U2686" i="1"/>
  <c r="T2686" i="1"/>
  <c r="S2686" i="1"/>
  <c r="R2686" i="1"/>
  <c r="Q2686" i="1"/>
  <c r="P2686" i="1"/>
  <c r="O2686" i="1"/>
  <c r="N2686" i="1"/>
  <c r="M2686" i="1"/>
  <c r="L2686" i="1"/>
  <c r="K2686" i="1"/>
  <c r="J2686" i="1"/>
  <c r="I2686" i="1"/>
  <c r="H2686" i="1"/>
  <c r="G2686" i="1"/>
  <c r="F2686" i="1"/>
  <c r="E2686" i="1"/>
  <c r="D2686" i="1"/>
  <c r="C2686" i="1"/>
  <c r="V2685" i="1"/>
  <c r="U2685" i="1"/>
  <c r="T2685" i="1"/>
  <c r="S2685" i="1"/>
  <c r="R2685" i="1"/>
  <c r="Q2685" i="1"/>
  <c r="P2685" i="1"/>
  <c r="O2685" i="1"/>
  <c r="N2685" i="1"/>
  <c r="M2685" i="1"/>
  <c r="L2685" i="1"/>
  <c r="K2685" i="1"/>
  <c r="J2685" i="1"/>
  <c r="I2685" i="1"/>
  <c r="H2685" i="1"/>
  <c r="G2685" i="1"/>
  <c r="F2685" i="1"/>
  <c r="E2685" i="1"/>
  <c r="D2685" i="1"/>
  <c r="C2685" i="1"/>
  <c r="V2684" i="1"/>
  <c r="U2684" i="1"/>
  <c r="T2684" i="1"/>
  <c r="S2684" i="1"/>
  <c r="R2684" i="1"/>
  <c r="Q2684" i="1"/>
  <c r="P2684" i="1"/>
  <c r="O2684" i="1"/>
  <c r="N2684" i="1"/>
  <c r="M2684" i="1"/>
  <c r="L2684" i="1"/>
  <c r="K2684" i="1"/>
  <c r="J2684" i="1"/>
  <c r="I2684" i="1"/>
  <c r="H2684" i="1"/>
  <c r="G2684" i="1"/>
  <c r="F2684" i="1"/>
  <c r="E2684" i="1"/>
  <c r="D2684" i="1"/>
  <c r="C2684" i="1"/>
  <c r="V2683" i="1"/>
  <c r="U2683" i="1"/>
  <c r="T2683" i="1"/>
  <c r="S2683" i="1"/>
  <c r="R2683" i="1"/>
  <c r="Q2683" i="1"/>
  <c r="P2683" i="1"/>
  <c r="O2683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V2682" i="1"/>
  <c r="U2682" i="1"/>
  <c r="T2682" i="1"/>
  <c r="S2682" i="1"/>
  <c r="R2682" i="1"/>
  <c r="Q2682" i="1"/>
  <c r="P2682" i="1"/>
  <c r="O2682" i="1"/>
  <c r="N2682" i="1"/>
  <c r="M2682" i="1"/>
  <c r="L2682" i="1"/>
  <c r="K2682" i="1"/>
  <c r="J2682" i="1"/>
  <c r="I2682" i="1"/>
  <c r="H2682" i="1"/>
  <c r="G2682" i="1"/>
  <c r="F2682" i="1"/>
  <c r="E2682" i="1"/>
  <c r="D2682" i="1"/>
  <c r="C2682" i="1"/>
  <c r="V2681" i="1"/>
  <c r="U2681" i="1"/>
  <c r="T2681" i="1"/>
  <c r="S2681" i="1"/>
  <c r="R2681" i="1"/>
  <c r="Q2681" i="1"/>
  <c r="P2681" i="1"/>
  <c r="O2681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V2680" i="1"/>
  <c r="U2680" i="1"/>
  <c r="T2680" i="1"/>
  <c r="S2680" i="1"/>
  <c r="R2680" i="1"/>
  <c r="Q2680" i="1"/>
  <c r="P2680" i="1"/>
  <c r="O2680" i="1"/>
  <c r="N2680" i="1"/>
  <c r="M2680" i="1"/>
  <c r="L2680" i="1"/>
  <c r="K2680" i="1"/>
  <c r="J2680" i="1"/>
  <c r="I2680" i="1"/>
  <c r="H2680" i="1"/>
  <c r="G2680" i="1"/>
  <c r="F2680" i="1"/>
  <c r="E2680" i="1"/>
  <c r="D2680" i="1"/>
  <c r="C2680" i="1"/>
  <c r="V2679" i="1"/>
  <c r="U2679" i="1"/>
  <c r="T2679" i="1"/>
  <c r="S2679" i="1"/>
  <c r="R2679" i="1"/>
  <c r="Q2679" i="1"/>
  <c r="P2679" i="1"/>
  <c r="O2679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V2678" i="1"/>
  <c r="U2678" i="1"/>
  <c r="T2678" i="1"/>
  <c r="S2678" i="1"/>
  <c r="R2678" i="1"/>
  <c r="Q2678" i="1"/>
  <c r="P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C2678" i="1"/>
  <c r="V2677" i="1"/>
  <c r="U2677" i="1"/>
  <c r="T2677" i="1"/>
  <c r="S2677" i="1"/>
  <c r="R2677" i="1"/>
  <c r="Q2677" i="1"/>
  <c r="P2677" i="1"/>
  <c r="O2677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V2676" i="1"/>
  <c r="U2676" i="1"/>
  <c r="T2676" i="1"/>
  <c r="S2676" i="1"/>
  <c r="R2676" i="1"/>
  <c r="Q2676" i="1"/>
  <c r="P2676" i="1"/>
  <c r="O2676" i="1"/>
  <c r="N2676" i="1"/>
  <c r="M2676" i="1"/>
  <c r="L2676" i="1"/>
  <c r="K2676" i="1"/>
  <c r="J2676" i="1"/>
  <c r="I2676" i="1"/>
  <c r="H2676" i="1"/>
  <c r="G2676" i="1"/>
  <c r="F2676" i="1"/>
  <c r="E2676" i="1"/>
  <c r="D2676" i="1"/>
  <c r="C2676" i="1"/>
  <c r="V2675" i="1"/>
  <c r="U2675" i="1"/>
  <c r="T2675" i="1"/>
  <c r="S2675" i="1"/>
  <c r="R2675" i="1"/>
  <c r="Q2675" i="1"/>
  <c r="P2675" i="1"/>
  <c r="O2675" i="1"/>
  <c r="N2675" i="1"/>
  <c r="M2675" i="1"/>
  <c r="L2675" i="1"/>
  <c r="K2675" i="1"/>
  <c r="J2675" i="1"/>
  <c r="I2675" i="1"/>
  <c r="H2675" i="1"/>
  <c r="G2675" i="1"/>
  <c r="F2675" i="1"/>
  <c r="E2675" i="1"/>
  <c r="D2675" i="1"/>
  <c r="C2675" i="1"/>
  <c r="V2674" i="1"/>
  <c r="U2674" i="1"/>
  <c r="T2674" i="1"/>
  <c r="S2674" i="1"/>
  <c r="R2674" i="1"/>
  <c r="Q2674" i="1"/>
  <c r="P2674" i="1"/>
  <c r="O2674" i="1"/>
  <c r="N2674" i="1"/>
  <c r="M2674" i="1"/>
  <c r="L2674" i="1"/>
  <c r="K2674" i="1"/>
  <c r="J2674" i="1"/>
  <c r="I2674" i="1"/>
  <c r="H2674" i="1"/>
  <c r="G2674" i="1"/>
  <c r="F2674" i="1"/>
  <c r="E2674" i="1"/>
  <c r="D2674" i="1"/>
  <c r="C2674" i="1"/>
  <c r="V2673" i="1"/>
  <c r="U2673" i="1"/>
  <c r="T2673" i="1"/>
  <c r="S2673" i="1"/>
  <c r="R2673" i="1"/>
  <c r="Q2673" i="1"/>
  <c r="P2673" i="1"/>
  <c r="O2673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V2672" i="1"/>
  <c r="U2672" i="1"/>
  <c r="T2672" i="1"/>
  <c r="S2672" i="1"/>
  <c r="R2672" i="1"/>
  <c r="Q2672" i="1"/>
  <c r="P2672" i="1"/>
  <c r="O2672" i="1"/>
  <c r="N2672" i="1"/>
  <c r="M2672" i="1"/>
  <c r="L2672" i="1"/>
  <c r="K2672" i="1"/>
  <c r="J2672" i="1"/>
  <c r="I2672" i="1"/>
  <c r="H2672" i="1"/>
  <c r="G2672" i="1"/>
  <c r="F2672" i="1"/>
  <c r="E2672" i="1"/>
  <c r="D2672" i="1"/>
  <c r="C2672" i="1"/>
  <c r="V2671" i="1"/>
  <c r="U2671" i="1"/>
  <c r="T2671" i="1"/>
  <c r="S2671" i="1"/>
  <c r="R2671" i="1"/>
  <c r="Q2671" i="1"/>
  <c r="P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V2670" i="1"/>
  <c r="U2670" i="1"/>
  <c r="T2670" i="1"/>
  <c r="S2670" i="1"/>
  <c r="R2670" i="1"/>
  <c r="Q2670" i="1"/>
  <c r="P2670" i="1"/>
  <c r="O2670" i="1"/>
  <c r="N2670" i="1"/>
  <c r="M2670" i="1"/>
  <c r="L2670" i="1"/>
  <c r="K2670" i="1"/>
  <c r="J2670" i="1"/>
  <c r="I2670" i="1"/>
  <c r="H2670" i="1"/>
  <c r="G2670" i="1"/>
  <c r="F2670" i="1"/>
  <c r="E2670" i="1"/>
  <c r="D2670" i="1"/>
  <c r="C2670" i="1"/>
  <c r="V2669" i="1"/>
  <c r="U2669" i="1"/>
  <c r="T2669" i="1"/>
  <c r="S2669" i="1"/>
  <c r="R2669" i="1"/>
  <c r="Q2669" i="1"/>
  <c r="P2669" i="1"/>
  <c r="O2669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V2668" i="1"/>
  <c r="U2668" i="1"/>
  <c r="T2668" i="1"/>
  <c r="S2668" i="1"/>
  <c r="R2668" i="1"/>
  <c r="Q2668" i="1"/>
  <c r="P2668" i="1"/>
  <c r="O2668" i="1"/>
  <c r="N2668" i="1"/>
  <c r="M2668" i="1"/>
  <c r="L2668" i="1"/>
  <c r="K2668" i="1"/>
  <c r="J2668" i="1"/>
  <c r="I2668" i="1"/>
  <c r="H2668" i="1"/>
  <c r="G2668" i="1"/>
  <c r="F2668" i="1"/>
  <c r="E2668" i="1"/>
  <c r="D2668" i="1"/>
  <c r="C2668" i="1"/>
  <c r="V2667" i="1"/>
  <c r="U2667" i="1"/>
  <c r="T2667" i="1"/>
  <c r="S2667" i="1"/>
  <c r="R2667" i="1"/>
  <c r="Q2667" i="1"/>
  <c r="P2667" i="1"/>
  <c r="O2667" i="1"/>
  <c r="N2667" i="1"/>
  <c r="M2667" i="1"/>
  <c r="L2667" i="1"/>
  <c r="K2667" i="1"/>
  <c r="J2667" i="1"/>
  <c r="I2667" i="1"/>
  <c r="H2667" i="1"/>
  <c r="G2667" i="1"/>
  <c r="F2667" i="1"/>
  <c r="E2667" i="1"/>
  <c r="D2667" i="1"/>
  <c r="C2667" i="1"/>
  <c r="V2666" i="1"/>
  <c r="U2666" i="1"/>
  <c r="T2666" i="1"/>
  <c r="S2666" i="1"/>
  <c r="R2666" i="1"/>
  <c r="Q2666" i="1"/>
  <c r="P2666" i="1"/>
  <c r="O2666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V2665" i="1"/>
  <c r="U2665" i="1"/>
  <c r="T2665" i="1"/>
  <c r="S2665" i="1"/>
  <c r="R2665" i="1"/>
  <c r="Q2665" i="1"/>
  <c r="P2665" i="1"/>
  <c r="O2665" i="1"/>
  <c r="N2665" i="1"/>
  <c r="M2665" i="1"/>
  <c r="L2665" i="1"/>
  <c r="K2665" i="1"/>
  <c r="J2665" i="1"/>
  <c r="I2665" i="1"/>
  <c r="H2665" i="1"/>
  <c r="G2665" i="1"/>
  <c r="F2665" i="1"/>
  <c r="E2665" i="1"/>
  <c r="D2665" i="1"/>
  <c r="C2665" i="1"/>
  <c r="V2664" i="1"/>
  <c r="U2664" i="1"/>
  <c r="T2664" i="1"/>
  <c r="S2664" i="1"/>
  <c r="R2664" i="1"/>
  <c r="Q2664" i="1"/>
  <c r="P2664" i="1"/>
  <c r="O2664" i="1"/>
  <c r="N2664" i="1"/>
  <c r="M2664" i="1"/>
  <c r="L2664" i="1"/>
  <c r="K2664" i="1"/>
  <c r="J2664" i="1"/>
  <c r="I2664" i="1"/>
  <c r="H2664" i="1"/>
  <c r="G2664" i="1"/>
  <c r="F2664" i="1"/>
  <c r="E2664" i="1"/>
  <c r="D2664" i="1"/>
  <c r="C2664" i="1"/>
  <c r="V2663" i="1"/>
  <c r="U2663" i="1"/>
  <c r="T2663" i="1"/>
  <c r="S2663" i="1"/>
  <c r="R2663" i="1"/>
  <c r="Q2663" i="1"/>
  <c r="P2663" i="1"/>
  <c r="O2663" i="1"/>
  <c r="N2663" i="1"/>
  <c r="M2663" i="1"/>
  <c r="L2663" i="1"/>
  <c r="K2663" i="1"/>
  <c r="J2663" i="1"/>
  <c r="I2663" i="1"/>
  <c r="H2663" i="1"/>
  <c r="G2663" i="1"/>
  <c r="F2663" i="1"/>
  <c r="E2663" i="1"/>
  <c r="D2663" i="1"/>
  <c r="C2663" i="1"/>
  <c r="V2662" i="1"/>
  <c r="U2662" i="1"/>
  <c r="T2662" i="1"/>
  <c r="S2662" i="1"/>
  <c r="R2662" i="1"/>
  <c r="Q2662" i="1"/>
  <c r="P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V2661" i="1"/>
  <c r="U2661" i="1"/>
  <c r="T2661" i="1"/>
  <c r="S2661" i="1"/>
  <c r="R2661" i="1"/>
  <c r="Q2661" i="1"/>
  <c r="P2661" i="1"/>
  <c r="O2661" i="1"/>
  <c r="N2661" i="1"/>
  <c r="M2661" i="1"/>
  <c r="L2661" i="1"/>
  <c r="K2661" i="1"/>
  <c r="J2661" i="1"/>
  <c r="I2661" i="1"/>
  <c r="H2661" i="1"/>
  <c r="G2661" i="1"/>
  <c r="F2661" i="1"/>
  <c r="E2661" i="1"/>
  <c r="D2661" i="1"/>
  <c r="C2661" i="1"/>
  <c r="V2660" i="1"/>
  <c r="U2660" i="1"/>
  <c r="T2660" i="1"/>
  <c r="S2660" i="1"/>
  <c r="R2660" i="1"/>
  <c r="Q2660" i="1"/>
  <c r="P2660" i="1"/>
  <c r="O2660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V2659" i="1"/>
  <c r="U2659" i="1"/>
  <c r="T2659" i="1"/>
  <c r="S2659" i="1"/>
  <c r="R2659" i="1"/>
  <c r="Q2659" i="1"/>
  <c r="P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C2659" i="1"/>
  <c r="V2658" i="1"/>
  <c r="U2658" i="1"/>
  <c r="T2658" i="1"/>
  <c r="S2658" i="1"/>
  <c r="R2658" i="1"/>
  <c r="Q2658" i="1"/>
  <c r="P2658" i="1"/>
  <c r="O2658" i="1"/>
  <c r="N2658" i="1"/>
  <c r="M2658" i="1"/>
  <c r="L2658" i="1"/>
  <c r="K2658" i="1"/>
  <c r="J2658" i="1"/>
  <c r="I2658" i="1"/>
  <c r="H2658" i="1"/>
  <c r="G2658" i="1"/>
  <c r="F2658" i="1"/>
  <c r="E2658" i="1"/>
  <c r="D2658" i="1"/>
  <c r="C2658" i="1"/>
  <c r="V2657" i="1"/>
  <c r="U2657" i="1"/>
  <c r="T2657" i="1"/>
  <c r="S2657" i="1"/>
  <c r="R2657" i="1"/>
  <c r="Q2657" i="1"/>
  <c r="P2657" i="1"/>
  <c r="O2657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V2656" i="1"/>
  <c r="U2656" i="1"/>
  <c r="T2656" i="1"/>
  <c r="S2656" i="1"/>
  <c r="R2656" i="1"/>
  <c r="Q2656" i="1"/>
  <c r="P2656" i="1"/>
  <c r="O2656" i="1"/>
  <c r="N2656" i="1"/>
  <c r="M2656" i="1"/>
  <c r="L2656" i="1"/>
  <c r="K2656" i="1"/>
  <c r="J2656" i="1"/>
  <c r="I2656" i="1"/>
  <c r="H2656" i="1"/>
  <c r="G2656" i="1"/>
  <c r="F2656" i="1"/>
  <c r="E2656" i="1"/>
  <c r="D2656" i="1"/>
  <c r="C2656" i="1"/>
  <c r="V2655" i="1"/>
  <c r="U2655" i="1"/>
  <c r="T2655" i="1"/>
  <c r="S2655" i="1"/>
  <c r="R2655" i="1"/>
  <c r="Q2655" i="1"/>
  <c r="P2655" i="1"/>
  <c r="O2655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V2654" i="1"/>
  <c r="U2654" i="1"/>
  <c r="T2654" i="1"/>
  <c r="S2654" i="1"/>
  <c r="R2654" i="1"/>
  <c r="Q2654" i="1"/>
  <c r="P2654" i="1"/>
  <c r="O2654" i="1"/>
  <c r="N2654" i="1"/>
  <c r="M2654" i="1"/>
  <c r="L2654" i="1"/>
  <c r="K2654" i="1"/>
  <c r="J2654" i="1"/>
  <c r="I2654" i="1"/>
  <c r="H2654" i="1"/>
  <c r="G2654" i="1"/>
  <c r="F2654" i="1"/>
  <c r="E2654" i="1"/>
  <c r="D2654" i="1"/>
  <c r="C2654" i="1"/>
  <c r="V2653" i="1"/>
  <c r="U2653" i="1"/>
  <c r="T2653" i="1"/>
  <c r="S2653" i="1"/>
  <c r="R2653" i="1"/>
  <c r="Q2653" i="1"/>
  <c r="P2653" i="1"/>
  <c r="O2653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V2652" i="1"/>
  <c r="U2652" i="1"/>
  <c r="T2652" i="1"/>
  <c r="S2652" i="1"/>
  <c r="R2652" i="1"/>
  <c r="Q2652" i="1"/>
  <c r="P2652" i="1"/>
  <c r="O2652" i="1"/>
  <c r="N2652" i="1"/>
  <c r="M2652" i="1"/>
  <c r="L2652" i="1"/>
  <c r="K2652" i="1"/>
  <c r="J2652" i="1"/>
  <c r="I2652" i="1"/>
  <c r="H2652" i="1"/>
  <c r="G2652" i="1"/>
  <c r="F2652" i="1"/>
  <c r="E2652" i="1"/>
  <c r="D2652" i="1"/>
  <c r="C2652" i="1"/>
  <c r="V2651" i="1"/>
  <c r="U2651" i="1"/>
  <c r="T2651" i="1"/>
  <c r="S2651" i="1"/>
  <c r="R2651" i="1"/>
  <c r="Q2651" i="1"/>
  <c r="P2651" i="1"/>
  <c r="O2651" i="1"/>
  <c r="N2651" i="1"/>
  <c r="M2651" i="1"/>
  <c r="L2651" i="1"/>
  <c r="K2651" i="1"/>
  <c r="J2651" i="1"/>
  <c r="I2651" i="1"/>
  <c r="H2651" i="1"/>
  <c r="G2651" i="1"/>
  <c r="F2651" i="1"/>
  <c r="E2651" i="1"/>
  <c r="D2651" i="1"/>
  <c r="C2651" i="1"/>
  <c r="V2650" i="1"/>
  <c r="U2650" i="1"/>
  <c r="T2650" i="1"/>
  <c r="S2650" i="1"/>
  <c r="R2650" i="1"/>
  <c r="Q2650" i="1"/>
  <c r="P2650" i="1"/>
  <c r="O2650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V2649" i="1"/>
  <c r="U2649" i="1"/>
  <c r="T2649" i="1"/>
  <c r="S2649" i="1"/>
  <c r="R2649" i="1"/>
  <c r="Q2649" i="1"/>
  <c r="P2649" i="1"/>
  <c r="O2649" i="1"/>
  <c r="N2649" i="1"/>
  <c r="M2649" i="1"/>
  <c r="L2649" i="1"/>
  <c r="K2649" i="1"/>
  <c r="J2649" i="1"/>
  <c r="I2649" i="1"/>
  <c r="H2649" i="1"/>
  <c r="G2649" i="1"/>
  <c r="F2649" i="1"/>
  <c r="E2649" i="1"/>
  <c r="D2649" i="1"/>
  <c r="C2649" i="1"/>
  <c r="V2648" i="1"/>
  <c r="U2648" i="1"/>
  <c r="T2648" i="1"/>
  <c r="S2648" i="1"/>
  <c r="R2648" i="1"/>
  <c r="Q2648" i="1"/>
  <c r="P2648" i="1"/>
  <c r="O2648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V2647" i="1"/>
  <c r="U2647" i="1"/>
  <c r="T2647" i="1"/>
  <c r="S2647" i="1"/>
  <c r="R2647" i="1"/>
  <c r="Q2647" i="1"/>
  <c r="P2647" i="1"/>
  <c r="O2647" i="1"/>
  <c r="N2647" i="1"/>
  <c r="M2647" i="1"/>
  <c r="L2647" i="1"/>
  <c r="K2647" i="1"/>
  <c r="J2647" i="1"/>
  <c r="I2647" i="1"/>
  <c r="H2647" i="1"/>
  <c r="G2647" i="1"/>
  <c r="F2647" i="1"/>
  <c r="E2647" i="1"/>
  <c r="D2647" i="1"/>
  <c r="C2647" i="1"/>
  <c r="V2646" i="1"/>
  <c r="U2646" i="1"/>
  <c r="T2646" i="1"/>
  <c r="S2646" i="1"/>
  <c r="R2646" i="1"/>
  <c r="Q2646" i="1"/>
  <c r="P2646" i="1"/>
  <c r="O2646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V2645" i="1"/>
  <c r="U2645" i="1"/>
  <c r="T2645" i="1"/>
  <c r="S2645" i="1"/>
  <c r="R2645" i="1"/>
  <c r="Q2645" i="1"/>
  <c r="P2645" i="1"/>
  <c r="O2645" i="1"/>
  <c r="N2645" i="1"/>
  <c r="M2645" i="1"/>
  <c r="L2645" i="1"/>
  <c r="K2645" i="1"/>
  <c r="J2645" i="1"/>
  <c r="I2645" i="1"/>
  <c r="H2645" i="1"/>
  <c r="G2645" i="1"/>
  <c r="F2645" i="1"/>
  <c r="E2645" i="1"/>
  <c r="D2645" i="1"/>
  <c r="C2645" i="1"/>
  <c r="V2644" i="1"/>
  <c r="U2644" i="1"/>
  <c r="T2644" i="1"/>
  <c r="S2644" i="1"/>
  <c r="R2644" i="1"/>
  <c r="Q2644" i="1"/>
  <c r="P2644" i="1"/>
  <c r="O2644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V2643" i="1"/>
  <c r="U2643" i="1"/>
  <c r="T2643" i="1"/>
  <c r="S2643" i="1"/>
  <c r="R2643" i="1"/>
  <c r="Q2643" i="1"/>
  <c r="P2643" i="1"/>
  <c r="O2643" i="1"/>
  <c r="N2643" i="1"/>
  <c r="M2643" i="1"/>
  <c r="L2643" i="1"/>
  <c r="K2643" i="1"/>
  <c r="J2643" i="1"/>
  <c r="I2643" i="1"/>
  <c r="H2643" i="1"/>
  <c r="G2643" i="1"/>
  <c r="F2643" i="1"/>
  <c r="E2643" i="1"/>
  <c r="D2643" i="1"/>
  <c r="C2643" i="1"/>
  <c r="V2642" i="1"/>
  <c r="U2642" i="1"/>
  <c r="T2642" i="1"/>
  <c r="S2642" i="1"/>
  <c r="R2642" i="1"/>
  <c r="Q2642" i="1"/>
  <c r="P2642" i="1"/>
  <c r="O2642" i="1"/>
  <c r="N2642" i="1"/>
  <c r="M2642" i="1"/>
  <c r="L2642" i="1"/>
  <c r="K2642" i="1"/>
  <c r="J2642" i="1"/>
  <c r="I2642" i="1"/>
  <c r="H2642" i="1"/>
  <c r="G2642" i="1"/>
  <c r="F2642" i="1"/>
  <c r="E2642" i="1"/>
  <c r="D2642" i="1"/>
  <c r="C2642" i="1"/>
  <c r="V2641" i="1"/>
  <c r="U2641" i="1"/>
  <c r="T2641" i="1"/>
  <c r="S2641" i="1"/>
  <c r="R2641" i="1"/>
  <c r="Q2641" i="1"/>
  <c r="P2641" i="1"/>
  <c r="O2641" i="1"/>
  <c r="N2641" i="1"/>
  <c r="M2641" i="1"/>
  <c r="L2641" i="1"/>
  <c r="K2641" i="1"/>
  <c r="J2641" i="1"/>
  <c r="I2641" i="1"/>
  <c r="H2641" i="1"/>
  <c r="G2641" i="1"/>
  <c r="F2641" i="1"/>
  <c r="E2641" i="1"/>
  <c r="D2641" i="1"/>
  <c r="C2641" i="1"/>
  <c r="V2640" i="1"/>
  <c r="U2640" i="1"/>
  <c r="T2640" i="1"/>
  <c r="S2640" i="1"/>
  <c r="R2640" i="1"/>
  <c r="Q2640" i="1"/>
  <c r="P2640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V2639" i="1"/>
  <c r="U2639" i="1"/>
  <c r="T2639" i="1"/>
  <c r="S2639" i="1"/>
  <c r="R2639" i="1"/>
  <c r="Q2639" i="1"/>
  <c r="P2639" i="1"/>
  <c r="O2639" i="1"/>
  <c r="N2639" i="1"/>
  <c r="M2639" i="1"/>
  <c r="L2639" i="1"/>
  <c r="K2639" i="1"/>
  <c r="J2639" i="1"/>
  <c r="I2639" i="1"/>
  <c r="H2639" i="1"/>
  <c r="G2639" i="1"/>
  <c r="F2639" i="1"/>
  <c r="E2639" i="1"/>
  <c r="D2639" i="1"/>
  <c r="C2639" i="1"/>
  <c r="V2638" i="1"/>
  <c r="U2638" i="1"/>
  <c r="T2638" i="1"/>
  <c r="S2638" i="1"/>
  <c r="R2638" i="1"/>
  <c r="Q2638" i="1"/>
  <c r="P2638" i="1"/>
  <c r="O2638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V2637" i="1"/>
  <c r="U2637" i="1"/>
  <c r="T2637" i="1"/>
  <c r="S2637" i="1"/>
  <c r="R2637" i="1"/>
  <c r="Q2637" i="1"/>
  <c r="P2637" i="1"/>
  <c r="O2637" i="1"/>
  <c r="N2637" i="1"/>
  <c r="M2637" i="1"/>
  <c r="L2637" i="1"/>
  <c r="K2637" i="1"/>
  <c r="J2637" i="1"/>
  <c r="I2637" i="1"/>
  <c r="H2637" i="1"/>
  <c r="G2637" i="1"/>
  <c r="F2637" i="1"/>
  <c r="E2637" i="1"/>
  <c r="D2637" i="1"/>
  <c r="C2637" i="1"/>
  <c r="V2636" i="1"/>
  <c r="U2636" i="1"/>
  <c r="T2636" i="1"/>
  <c r="S2636" i="1"/>
  <c r="R2636" i="1"/>
  <c r="Q2636" i="1"/>
  <c r="P2636" i="1"/>
  <c r="O2636" i="1"/>
  <c r="N2636" i="1"/>
  <c r="M2636" i="1"/>
  <c r="L2636" i="1"/>
  <c r="K2636" i="1"/>
  <c r="J2636" i="1"/>
  <c r="I2636" i="1"/>
  <c r="H2636" i="1"/>
  <c r="G2636" i="1"/>
  <c r="F2636" i="1"/>
  <c r="E2636" i="1"/>
  <c r="D2636" i="1"/>
  <c r="C2636" i="1"/>
  <c r="V2635" i="1"/>
  <c r="U2635" i="1"/>
  <c r="T2635" i="1"/>
  <c r="S2635" i="1"/>
  <c r="R2635" i="1"/>
  <c r="Q2635" i="1"/>
  <c r="P2635" i="1"/>
  <c r="O2635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V2634" i="1"/>
  <c r="U2634" i="1"/>
  <c r="T2634" i="1"/>
  <c r="S2634" i="1"/>
  <c r="R2634" i="1"/>
  <c r="Q2634" i="1"/>
  <c r="P2634" i="1"/>
  <c r="O2634" i="1"/>
  <c r="N2634" i="1"/>
  <c r="M2634" i="1"/>
  <c r="L2634" i="1"/>
  <c r="K2634" i="1"/>
  <c r="J2634" i="1"/>
  <c r="I2634" i="1"/>
  <c r="H2634" i="1"/>
  <c r="G2634" i="1"/>
  <c r="F2634" i="1"/>
  <c r="E2634" i="1"/>
  <c r="D2634" i="1"/>
  <c r="C2634" i="1"/>
  <c r="V2633" i="1"/>
  <c r="U2633" i="1"/>
  <c r="T2633" i="1"/>
  <c r="S2633" i="1"/>
  <c r="R2633" i="1"/>
  <c r="Q2633" i="1"/>
  <c r="P2633" i="1"/>
  <c r="O2633" i="1"/>
  <c r="N2633" i="1"/>
  <c r="M2633" i="1"/>
  <c r="L2633" i="1"/>
  <c r="K2633" i="1"/>
  <c r="J2633" i="1"/>
  <c r="I2633" i="1"/>
  <c r="H2633" i="1"/>
  <c r="G2633" i="1"/>
  <c r="F2633" i="1"/>
  <c r="E2633" i="1"/>
  <c r="D2633" i="1"/>
  <c r="C2633" i="1"/>
  <c r="V2632" i="1"/>
  <c r="U2632" i="1"/>
  <c r="T2632" i="1"/>
  <c r="S2632" i="1"/>
  <c r="R2632" i="1"/>
  <c r="Q2632" i="1"/>
  <c r="P2632" i="1"/>
  <c r="O2632" i="1"/>
  <c r="N2632" i="1"/>
  <c r="M2632" i="1"/>
  <c r="L2632" i="1"/>
  <c r="K2632" i="1"/>
  <c r="J2632" i="1"/>
  <c r="I2632" i="1"/>
  <c r="H2632" i="1"/>
  <c r="G2632" i="1"/>
  <c r="F2632" i="1"/>
  <c r="E2632" i="1"/>
  <c r="D2632" i="1"/>
  <c r="C2632" i="1"/>
  <c r="V2631" i="1"/>
  <c r="U2631" i="1"/>
  <c r="T2631" i="1"/>
  <c r="S2631" i="1"/>
  <c r="R2631" i="1"/>
  <c r="Q2631" i="1"/>
  <c r="P2631" i="1"/>
  <c r="O2631" i="1"/>
  <c r="N2631" i="1"/>
  <c r="M2631" i="1"/>
  <c r="L2631" i="1"/>
  <c r="K2631" i="1"/>
  <c r="J2631" i="1"/>
  <c r="I2631" i="1"/>
  <c r="H2631" i="1"/>
  <c r="G2631" i="1"/>
  <c r="F2631" i="1"/>
  <c r="E2631" i="1"/>
  <c r="D2631" i="1"/>
  <c r="C2631" i="1"/>
  <c r="V2630" i="1"/>
  <c r="U2630" i="1"/>
  <c r="T2630" i="1"/>
  <c r="S2630" i="1"/>
  <c r="R2630" i="1"/>
  <c r="Q2630" i="1"/>
  <c r="P2630" i="1"/>
  <c r="O2630" i="1"/>
  <c r="N2630" i="1"/>
  <c r="M2630" i="1"/>
  <c r="L2630" i="1"/>
  <c r="K2630" i="1"/>
  <c r="J2630" i="1"/>
  <c r="I2630" i="1"/>
  <c r="H2630" i="1"/>
  <c r="G2630" i="1"/>
  <c r="F2630" i="1"/>
  <c r="E2630" i="1"/>
  <c r="D2630" i="1"/>
  <c r="C2630" i="1"/>
  <c r="V2629" i="1"/>
  <c r="U2629" i="1"/>
  <c r="T2629" i="1"/>
  <c r="S2629" i="1"/>
  <c r="R2629" i="1"/>
  <c r="Q2629" i="1"/>
  <c r="P2629" i="1"/>
  <c r="O2629" i="1"/>
  <c r="N2629" i="1"/>
  <c r="M2629" i="1"/>
  <c r="L2629" i="1"/>
  <c r="K2629" i="1"/>
  <c r="J2629" i="1"/>
  <c r="I2629" i="1"/>
  <c r="H2629" i="1"/>
  <c r="G2629" i="1"/>
  <c r="F2629" i="1"/>
  <c r="E2629" i="1"/>
  <c r="D2629" i="1"/>
  <c r="C2629" i="1"/>
  <c r="V2628" i="1"/>
  <c r="U2628" i="1"/>
  <c r="T2628" i="1"/>
  <c r="S2628" i="1"/>
  <c r="R2628" i="1"/>
  <c r="Q2628" i="1"/>
  <c r="P2628" i="1"/>
  <c r="O2628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V2627" i="1"/>
  <c r="U2627" i="1"/>
  <c r="T2627" i="1"/>
  <c r="S2627" i="1"/>
  <c r="R2627" i="1"/>
  <c r="Q2627" i="1"/>
  <c r="P2627" i="1"/>
  <c r="O2627" i="1"/>
  <c r="N2627" i="1"/>
  <c r="M2627" i="1"/>
  <c r="L2627" i="1"/>
  <c r="K2627" i="1"/>
  <c r="J2627" i="1"/>
  <c r="I2627" i="1"/>
  <c r="H2627" i="1"/>
  <c r="G2627" i="1"/>
  <c r="F2627" i="1"/>
  <c r="E2627" i="1"/>
  <c r="D2627" i="1"/>
  <c r="C2627" i="1"/>
  <c r="V2626" i="1"/>
  <c r="U2626" i="1"/>
  <c r="T2626" i="1"/>
  <c r="S2626" i="1"/>
  <c r="R2626" i="1"/>
  <c r="Q2626" i="1"/>
  <c r="P2626" i="1"/>
  <c r="O2626" i="1"/>
  <c r="N2626" i="1"/>
  <c r="M2626" i="1"/>
  <c r="L2626" i="1"/>
  <c r="K2626" i="1"/>
  <c r="J2626" i="1"/>
  <c r="I2626" i="1"/>
  <c r="H2626" i="1"/>
  <c r="G2626" i="1"/>
  <c r="F2626" i="1"/>
  <c r="E2626" i="1"/>
  <c r="D2626" i="1"/>
  <c r="C2626" i="1"/>
  <c r="V2625" i="1"/>
  <c r="U2625" i="1"/>
  <c r="T2625" i="1"/>
  <c r="S2625" i="1"/>
  <c r="R2625" i="1"/>
  <c r="Q2625" i="1"/>
  <c r="P2625" i="1"/>
  <c r="O2625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V2624" i="1"/>
  <c r="U2624" i="1"/>
  <c r="T2624" i="1"/>
  <c r="S2624" i="1"/>
  <c r="R2624" i="1"/>
  <c r="Q2624" i="1"/>
  <c r="P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C2624" i="1"/>
  <c r="V2623" i="1"/>
  <c r="U2623" i="1"/>
  <c r="T2623" i="1"/>
  <c r="S2623" i="1"/>
  <c r="R2623" i="1"/>
  <c r="Q2623" i="1"/>
  <c r="P2623" i="1"/>
  <c r="O2623" i="1"/>
  <c r="N2623" i="1"/>
  <c r="M2623" i="1"/>
  <c r="L2623" i="1"/>
  <c r="K2623" i="1"/>
  <c r="J2623" i="1"/>
  <c r="I2623" i="1"/>
  <c r="H2623" i="1"/>
  <c r="G2623" i="1"/>
  <c r="F2623" i="1"/>
  <c r="E2623" i="1"/>
  <c r="D2623" i="1"/>
  <c r="C2623" i="1"/>
  <c r="V2622" i="1"/>
  <c r="U2622" i="1"/>
  <c r="T2622" i="1"/>
  <c r="S2622" i="1"/>
  <c r="R2622" i="1"/>
  <c r="Q2622" i="1"/>
  <c r="P2622" i="1"/>
  <c r="O2622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V2621" i="1"/>
  <c r="U2621" i="1"/>
  <c r="T2621" i="1"/>
  <c r="S2621" i="1"/>
  <c r="R2621" i="1"/>
  <c r="Q2621" i="1"/>
  <c r="P2621" i="1"/>
  <c r="O2621" i="1"/>
  <c r="N2621" i="1"/>
  <c r="M2621" i="1"/>
  <c r="L2621" i="1"/>
  <c r="K2621" i="1"/>
  <c r="J2621" i="1"/>
  <c r="I2621" i="1"/>
  <c r="H2621" i="1"/>
  <c r="G2621" i="1"/>
  <c r="F2621" i="1"/>
  <c r="E2621" i="1"/>
  <c r="D2621" i="1"/>
  <c r="C2621" i="1"/>
  <c r="V2620" i="1"/>
  <c r="U2620" i="1"/>
  <c r="T2620" i="1"/>
  <c r="S2620" i="1"/>
  <c r="R2620" i="1"/>
  <c r="Q2620" i="1"/>
  <c r="P2620" i="1"/>
  <c r="O2620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V2619" i="1"/>
  <c r="U2619" i="1"/>
  <c r="T2619" i="1"/>
  <c r="S2619" i="1"/>
  <c r="R2619" i="1"/>
  <c r="Q2619" i="1"/>
  <c r="P2619" i="1"/>
  <c r="O2619" i="1"/>
  <c r="N2619" i="1"/>
  <c r="M2619" i="1"/>
  <c r="L2619" i="1"/>
  <c r="K2619" i="1"/>
  <c r="J2619" i="1"/>
  <c r="I2619" i="1"/>
  <c r="H2619" i="1"/>
  <c r="G2619" i="1"/>
  <c r="F2619" i="1"/>
  <c r="E2619" i="1"/>
  <c r="D2619" i="1"/>
  <c r="C2619" i="1"/>
  <c r="V2618" i="1"/>
  <c r="U2618" i="1"/>
  <c r="T2618" i="1"/>
  <c r="S2618" i="1"/>
  <c r="R2618" i="1"/>
  <c r="Q2618" i="1"/>
  <c r="P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C2618" i="1"/>
  <c r="V2617" i="1"/>
  <c r="U2617" i="1"/>
  <c r="T2617" i="1"/>
  <c r="S2617" i="1"/>
  <c r="R2617" i="1"/>
  <c r="Q2617" i="1"/>
  <c r="P2617" i="1"/>
  <c r="O2617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V2616" i="1"/>
  <c r="U2616" i="1"/>
  <c r="T2616" i="1"/>
  <c r="S2616" i="1"/>
  <c r="R2616" i="1"/>
  <c r="Q2616" i="1"/>
  <c r="P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C2616" i="1"/>
  <c r="V2615" i="1"/>
  <c r="U2615" i="1"/>
  <c r="T2615" i="1"/>
  <c r="S2615" i="1"/>
  <c r="R2615" i="1"/>
  <c r="Q2615" i="1"/>
  <c r="P2615" i="1"/>
  <c r="O2615" i="1"/>
  <c r="N2615" i="1"/>
  <c r="M2615" i="1"/>
  <c r="L2615" i="1"/>
  <c r="K2615" i="1"/>
  <c r="J2615" i="1"/>
  <c r="I2615" i="1"/>
  <c r="H2615" i="1"/>
  <c r="G2615" i="1"/>
  <c r="F2615" i="1"/>
  <c r="E2615" i="1"/>
  <c r="D2615" i="1"/>
  <c r="C2615" i="1"/>
  <c r="V2614" i="1"/>
  <c r="U2614" i="1"/>
  <c r="T2614" i="1"/>
  <c r="S2614" i="1"/>
  <c r="R2614" i="1"/>
  <c r="Q2614" i="1"/>
  <c r="P2614" i="1"/>
  <c r="O2614" i="1"/>
  <c r="N2614" i="1"/>
  <c r="M2614" i="1"/>
  <c r="L2614" i="1"/>
  <c r="K2614" i="1"/>
  <c r="J2614" i="1"/>
  <c r="I2614" i="1"/>
  <c r="H2614" i="1"/>
  <c r="G2614" i="1"/>
  <c r="F2614" i="1"/>
  <c r="E2614" i="1"/>
  <c r="D2614" i="1"/>
  <c r="C2614" i="1"/>
  <c r="V2613" i="1"/>
  <c r="U2613" i="1"/>
  <c r="T2613" i="1"/>
  <c r="S2613" i="1"/>
  <c r="R2613" i="1"/>
  <c r="Q2613" i="1"/>
  <c r="P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C2613" i="1"/>
  <c r="V2612" i="1"/>
  <c r="U2612" i="1"/>
  <c r="T2612" i="1"/>
  <c r="S2612" i="1"/>
  <c r="R2612" i="1"/>
  <c r="Q2612" i="1"/>
  <c r="P2612" i="1"/>
  <c r="O2612" i="1"/>
  <c r="N2612" i="1"/>
  <c r="M2612" i="1"/>
  <c r="L2612" i="1"/>
  <c r="K2612" i="1"/>
  <c r="J2612" i="1"/>
  <c r="I2612" i="1"/>
  <c r="H2612" i="1"/>
  <c r="G2612" i="1"/>
  <c r="F2612" i="1"/>
  <c r="E2612" i="1"/>
  <c r="D2612" i="1"/>
  <c r="C2612" i="1"/>
  <c r="V2611" i="1"/>
  <c r="U2611" i="1"/>
  <c r="T2611" i="1"/>
  <c r="S2611" i="1"/>
  <c r="R2611" i="1"/>
  <c r="Q2611" i="1"/>
  <c r="P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V2610" i="1"/>
  <c r="U2610" i="1"/>
  <c r="T2610" i="1"/>
  <c r="S2610" i="1"/>
  <c r="R2610" i="1"/>
  <c r="Q2610" i="1"/>
  <c r="P2610" i="1"/>
  <c r="O2610" i="1"/>
  <c r="N2610" i="1"/>
  <c r="M2610" i="1"/>
  <c r="L2610" i="1"/>
  <c r="K2610" i="1"/>
  <c r="J2610" i="1"/>
  <c r="I2610" i="1"/>
  <c r="H2610" i="1"/>
  <c r="G2610" i="1"/>
  <c r="F2610" i="1"/>
  <c r="E2610" i="1"/>
  <c r="D2610" i="1"/>
  <c r="C2610" i="1"/>
  <c r="V2609" i="1"/>
  <c r="U2609" i="1"/>
  <c r="T2609" i="1"/>
  <c r="S2609" i="1"/>
  <c r="R2609" i="1"/>
  <c r="Q2609" i="1"/>
  <c r="P2609" i="1"/>
  <c r="O2609" i="1"/>
  <c r="N2609" i="1"/>
  <c r="M2609" i="1"/>
  <c r="L2609" i="1"/>
  <c r="K2609" i="1"/>
  <c r="J2609" i="1"/>
  <c r="I2609" i="1"/>
  <c r="H2609" i="1"/>
  <c r="G2609" i="1"/>
  <c r="F2609" i="1"/>
  <c r="E2609" i="1"/>
  <c r="D2609" i="1"/>
  <c r="C2609" i="1"/>
  <c r="V2608" i="1"/>
  <c r="U2608" i="1"/>
  <c r="T2608" i="1"/>
  <c r="S2608" i="1"/>
  <c r="R2608" i="1"/>
  <c r="Q2608" i="1"/>
  <c r="P2608" i="1"/>
  <c r="O2608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V2607" i="1"/>
  <c r="U2607" i="1"/>
  <c r="T2607" i="1"/>
  <c r="S2607" i="1"/>
  <c r="R2607" i="1"/>
  <c r="Q2607" i="1"/>
  <c r="P2607" i="1"/>
  <c r="O2607" i="1"/>
  <c r="N2607" i="1"/>
  <c r="M2607" i="1"/>
  <c r="L2607" i="1"/>
  <c r="K2607" i="1"/>
  <c r="J2607" i="1"/>
  <c r="I2607" i="1"/>
  <c r="H2607" i="1"/>
  <c r="G2607" i="1"/>
  <c r="F2607" i="1"/>
  <c r="E2607" i="1"/>
  <c r="D2607" i="1"/>
  <c r="C2607" i="1"/>
  <c r="V2606" i="1"/>
  <c r="U2606" i="1"/>
  <c r="T2606" i="1"/>
  <c r="S2606" i="1"/>
  <c r="R2606" i="1"/>
  <c r="Q2606" i="1"/>
  <c r="P2606" i="1"/>
  <c r="O2606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V2605" i="1"/>
  <c r="U2605" i="1"/>
  <c r="T2605" i="1"/>
  <c r="S2605" i="1"/>
  <c r="R2605" i="1"/>
  <c r="Q2605" i="1"/>
  <c r="P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C2605" i="1"/>
  <c r="V2604" i="1"/>
  <c r="U2604" i="1"/>
  <c r="T2604" i="1"/>
  <c r="S2604" i="1"/>
  <c r="R2604" i="1"/>
  <c r="Q2604" i="1"/>
  <c r="P2604" i="1"/>
  <c r="O2604" i="1"/>
  <c r="N2604" i="1"/>
  <c r="M2604" i="1"/>
  <c r="L2604" i="1"/>
  <c r="K2604" i="1"/>
  <c r="J2604" i="1"/>
  <c r="I2604" i="1"/>
  <c r="H2604" i="1"/>
  <c r="G2604" i="1"/>
  <c r="F2604" i="1"/>
  <c r="E2604" i="1"/>
  <c r="D2604" i="1"/>
  <c r="C2604" i="1"/>
  <c r="V2603" i="1"/>
  <c r="U2603" i="1"/>
  <c r="T2603" i="1"/>
  <c r="S2603" i="1"/>
  <c r="R2603" i="1"/>
  <c r="Q2603" i="1"/>
  <c r="P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V2602" i="1"/>
  <c r="U2602" i="1"/>
  <c r="T2602" i="1"/>
  <c r="S2602" i="1"/>
  <c r="R2602" i="1"/>
  <c r="Q2602" i="1"/>
  <c r="P2602" i="1"/>
  <c r="O2602" i="1"/>
  <c r="N2602" i="1"/>
  <c r="M2602" i="1"/>
  <c r="L2602" i="1"/>
  <c r="K2602" i="1"/>
  <c r="J2602" i="1"/>
  <c r="I2602" i="1"/>
  <c r="H2602" i="1"/>
  <c r="G2602" i="1"/>
  <c r="F2602" i="1"/>
  <c r="E2602" i="1"/>
  <c r="D2602" i="1"/>
  <c r="C2602" i="1"/>
  <c r="V2601" i="1"/>
  <c r="U2601" i="1"/>
  <c r="T2601" i="1"/>
  <c r="S2601" i="1"/>
  <c r="R2601" i="1"/>
  <c r="Q2601" i="1"/>
  <c r="P2601" i="1"/>
  <c r="O2601" i="1"/>
  <c r="N2601" i="1"/>
  <c r="M2601" i="1"/>
  <c r="L2601" i="1"/>
  <c r="K2601" i="1"/>
  <c r="J2601" i="1"/>
  <c r="I2601" i="1"/>
  <c r="H2601" i="1"/>
  <c r="G2601" i="1"/>
  <c r="F2601" i="1"/>
  <c r="E2601" i="1"/>
  <c r="D2601" i="1"/>
  <c r="C2601" i="1"/>
  <c r="V2600" i="1"/>
  <c r="U2600" i="1"/>
  <c r="T2600" i="1"/>
  <c r="S2600" i="1"/>
  <c r="R2600" i="1"/>
  <c r="Q2600" i="1"/>
  <c r="P2600" i="1"/>
  <c r="O2600" i="1"/>
  <c r="N2600" i="1"/>
  <c r="M2600" i="1"/>
  <c r="L2600" i="1"/>
  <c r="K2600" i="1"/>
  <c r="J2600" i="1"/>
  <c r="I2600" i="1"/>
  <c r="H2600" i="1"/>
  <c r="G2600" i="1"/>
  <c r="F2600" i="1"/>
  <c r="E2600" i="1"/>
  <c r="D2600" i="1"/>
  <c r="C2600" i="1"/>
  <c r="V2599" i="1"/>
  <c r="U2599" i="1"/>
  <c r="T2599" i="1"/>
  <c r="S2599" i="1"/>
  <c r="R2599" i="1"/>
  <c r="Q2599" i="1"/>
  <c r="P2599" i="1"/>
  <c r="O2599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V2598" i="1"/>
  <c r="U2598" i="1"/>
  <c r="T2598" i="1"/>
  <c r="S2598" i="1"/>
  <c r="R2598" i="1"/>
  <c r="Q2598" i="1"/>
  <c r="P2598" i="1"/>
  <c r="O2598" i="1"/>
  <c r="N2598" i="1"/>
  <c r="M2598" i="1"/>
  <c r="L2598" i="1"/>
  <c r="K2598" i="1"/>
  <c r="J2598" i="1"/>
  <c r="I2598" i="1"/>
  <c r="H2598" i="1"/>
  <c r="G2598" i="1"/>
  <c r="F2598" i="1"/>
  <c r="E2598" i="1"/>
  <c r="D2598" i="1"/>
  <c r="C2598" i="1"/>
  <c r="V2597" i="1"/>
  <c r="U2597" i="1"/>
  <c r="T2597" i="1"/>
  <c r="S2597" i="1"/>
  <c r="R2597" i="1"/>
  <c r="Q2597" i="1"/>
  <c r="P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V2596" i="1"/>
  <c r="U2596" i="1"/>
  <c r="T2596" i="1"/>
  <c r="S2596" i="1"/>
  <c r="R2596" i="1"/>
  <c r="Q2596" i="1"/>
  <c r="P2596" i="1"/>
  <c r="O2596" i="1"/>
  <c r="N2596" i="1"/>
  <c r="M2596" i="1"/>
  <c r="L2596" i="1"/>
  <c r="K2596" i="1"/>
  <c r="J2596" i="1"/>
  <c r="I2596" i="1"/>
  <c r="H2596" i="1"/>
  <c r="G2596" i="1"/>
  <c r="F2596" i="1"/>
  <c r="E2596" i="1"/>
  <c r="D2596" i="1"/>
  <c r="C2596" i="1"/>
  <c r="V2595" i="1"/>
  <c r="U2595" i="1"/>
  <c r="T2595" i="1"/>
  <c r="S2595" i="1"/>
  <c r="R2595" i="1"/>
  <c r="Q2595" i="1"/>
  <c r="P2595" i="1"/>
  <c r="O2595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V2594" i="1"/>
  <c r="U2594" i="1"/>
  <c r="T2594" i="1"/>
  <c r="S2594" i="1"/>
  <c r="R2594" i="1"/>
  <c r="Q2594" i="1"/>
  <c r="P2594" i="1"/>
  <c r="O2594" i="1"/>
  <c r="N2594" i="1"/>
  <c r="M2594" i="1"/>
  <c r="L2594" i="1"/>
  <c r="K2594" i="1"/>
  <c r="J2594" i="1"/>
  <c r="I2594" i="1"/>
  <c r="H2594" i="1"/>
  <c r="G2594" i="1"/>
  <c r="F2594" i="1"/>
  <c r="E2594" i="1"/>
  <c r="D2594" i="1"/>
  <c r="C2594" i="1"/>
  <c r="V2593" i="1"/>
  <c r="U2593" i="1"/>
  <c r="T2593" i="1"/>
  <c r="S2593" i="1"/>
  <c r="R2593" i="1"/>
  <c r="Q2593" i="1"/>
  <c r="P2593" i="1"/>
  <c r="O2593" i="1"/>
  <c r="N2593" i="1"/>
  <c r="M2593" i="1"/>
  <c r="L2593" i="1"/>
  <c r="K2593" i="1"/>
  <c r="J2593" i="1"/>
  <c r="I2593" i="1"/>
  <c r="H2593" i="1"/>
  <c r="G2593" i="1"/>
  <c r="F2593" i="1"/>
  <c r="E2593" i="1"/>
  <c r="D2593" i="1"/>
  <c r="C2593" i="1"/>
  <c r="V2592" i="1"/>
  <c r="U2592" i="1"/>
  <c r="T2592" i="1"/>
  <c r="S2592" i="1"/>
  <c r="R2592" i="1"/>
  <c r="Q2592" i="1"/>
  <c r="P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V2591" i="1"/>
  <c r="U2591" i="1"/>
  <c r="T2591" i="1"/>
  <c r="S2591" i="1"/>
  <c r="R2591" i="1"/>
  <c r="Q2591" i="1"/>
  <c r="P2591" i="1"/>
  <c r="O2591" i="1"/>
  <c r="N2591" i="1"/>
  <c r="M2591" i="1"/>
  <c r="L2591" i="1"/>
  <c r="K2591" i="1"/>
  <c r="J2591" i="1"/>
  <c r="I2591" i="1"/>
  <c r="H2591" i="1"/>
  <c r="G2591" i="1"/>
  <c r="F2591" i="1"/>
  <c r="E2591" i="1"/>
  <c r="D2591" i="1"/>
  <c r="C2591" i="1"/>
  <c r="V2590" i="1"/>
  <c r="U2590" i="1"/>
  <c r="T2590" i="1"/>
  <c r="S2590" i="1"/>
  <c r="R2590" i="1"/>
  <c r="Q2590" i="1"/>
  <c r="P2590" i="1"/>
  <c r="O2590" i="1"/>
  <c r="N2590" i="1"/>
  <c r="M2590" i="1"/>
  <c r="L2590" i="1"/>
  <c r="K2590" i="1"/>
  <c r="J2590" i="1"/>
  <c r="I2590" i="1"/>
  <c r="H2590" i="1"/>
  <c r="G2590" i="1"/>
  <c r="F2590" i="1"/>
  <c r="E2590" i="1"/>
  <c r="D2590" i="1"/>
  <c r="C2590" i="1"/>
  <c r="V2589" i="1"/>
  <c r="U2589" i="1"/>
  <c r="T2589" i="1"/>
  <c r="S2589" i="1"/>
  <c r="R2589" i="1"/>
  <c r="Q2589" i="1"/>
  <c r="P2589" i="1"/>
  <c r="O2589" i="1"/>
  <c r="N2589" i="1"/>
  <c r="M2589" i="1"/>
  <c r="L2589" i="1"/>
  <c r="K2589" i="1"/>
  <c r="J2589" i="1"/>
  <c r="I2589" i="1"/>
  <c r="H2589" i="1"/>
  <c r="G2589" i="1"/>
  <c r="F2589" i="1"/>
  <c r="E2589" i="1"/>
  <c r="D2589" i="1"/>
  <c r="C2589" i="1"/>
  <c r="V2588" i="1"/>
  <c r="U2588" i="1"/>
  <c r="T2588" i="1"/>
  <c r="S2588" i="1"/>
  <c r="R2588" i="1"/>
  <c r="Q2588" i="1"/>
  <c r="P2588" i="1"/>
  <c r="O2588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V2587" i="1"/>
  <c r="U2587" i="1"/>
  <c r="T2587" i="1"/>
  <c r="S2587" i="1"/>
  <c r="R2587" i="1"/>
  <c r="Q2587" i="1"/>
  <c r="P2587" i="1"/>
  <c r="O2587" i="1"/>
  <c r="N2587" i="1"/>
  <c r="M2587" i="1"/>
  <c r="L2587" i="1"/>
  <c r="K2587" i="1"/>
  <c r="J2587" i="1"/>
  <c r="I2587" i="1"/>
  <c r="H2587" i="1"/>
  <c r="G2587" i="1"/>
  <c r="F2587" i="1"/>
  <c r="E2587" i="1"/>
  <c r="D2587" i="1"/>
  <c r="C2587" i="1"/>
  <c r="V2586" i="1"/>
  <c r="U2586" i="1"/>
  <c r="T2586" i="1"/>
  <c r="S2586" i="1"/>
  <c r="R2586" i="1"/>
  <c r="Q2586" i="1"/>
  <c r="P2586" i="1"/>
  <c r="O2586" i="1"/>
  <c r="N2586" i="1"/>
  <c r="M2586" i="1"/>
  <c r="L2586" i="1"/>
  <c r="K2586" i="1"/>
  <c r="J2586" i="1"/>
  <c r="I2586" i="1"/>
  <c r="H2586" i="1"/>
  <c r="G2586" i="1"/>
  <c r="F2586" i="1"/>
  <c r="E2586" i="1"/>
  <c r="D2586" i="1"/>
  <c r="C2586" i="1"/>
  <c r="V2585" i="1"/>
  <c r="U2585" i="1"/>
  <c r="T2585" i="1"/>
  <c r="S2585" i="1"/>
  <c r="R2585" i="1"/>
  <c r="Q2585" i="1"/>
  <c r="P2585" i="1"/>
  <c r="O2585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V2584" i="1"/>
  <c r="U2584" i="1"/>
  <c r="T2584" i="1"/>
  <c r="S2584" i="1"/>
  <c r="R2584" i="1"/>
  <c r="Q2584" i="1"/>
  <c r="P2584" i="1"/>
  <c r="O2584" i="1"/>
  <c r="N2584" i="1"/>
  <c r="M2584" i="1"/>
  <c r="L2584" i="1"/>
  <c r="K2584" i="1"/>
  <c r="J2584" i="1"/>
  <c r="I2584" i="1"/>
  <c r="H2584" i="1"/>
  <c r="G2584" i="1"/>
  <c r="F2584" i="1"/>
  <c r="E2584" i="1"/>
  <c r="D2584" i="1"/>
  <c r="C2584" i="1"/>
  <c r="V2583" i="1"/>
  <c r="U2583" i="1"/>
  <c r="T2583" i="1"/>
  <c r="S2583" i="1"/>
  <c r="R2583" i="1"/>
  <c r="Q2583" i="1"/>
  <c r="P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C2583" i="1"/>
  <c r="V2582" i="1"/>
  <c r="U2582" i="1"/>
  <c r="T2582" i="1"/>
  <c r="S2582" i="1"/>
  <c r="R2582" i="1"/>
  <c r="Q2582" i="1"/>
  <c r="P2582" i="1"/>
  <c r="O2582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V2581" i="1"/>
  <c r="U2581" i="1"/>
  <c r="T2581" i="1"/>
  <c r="S2581" i="1"/>
  <c r="R2581" i="1"/>
  <c r="Q2581" i="1"/>
  <c r="P2581" i="1"/>
  <c r="O2581" i="1"/>
  <c r="N2581" i="1"/>
  <c r="M2581" i="1"/>
  <c r="L2581" i="1"/>
  <c r="K2581" i="1"/>
  <c r="J2581" i="1"/>
  <c r="I2581" i="1"/>
  <c r="H2581" i="1"/>
  <c r="G2581" i="1"/>
  <c r="F2581" i="1"/>
  <c r="E2581" i="1"/>
  <c r="D2581" i="1"/>
  <c r="C2581" i="1"/>
  <c r="V2580" i="1"/>
  <c r="U2580" i="1"/>
  <c r="T2580" i="1"/>
  <c r="S2580" i="1"/>
  <c r="R2580" i="1"/>
  <c r="Q2580" i="1"/>
  <c r="P2580" i="1"/>
  <c r="O2580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V2579" i="1"/>
  <c r="U2579" i="1"/>
  <c r="T2579" i="1"/>
  <c r="S2579" i="1"/>
  <c r="R2579" i="1"/>
  <c r="Q2579" i="1"/>
  <c r="P2579" i="1"/>
  <c r="O2579" i="1"/>
  <c r="N2579" i="1"/>
  <c r="M2579" i="1"/>
  <c r="L2579" i="1"/>
  <c r="K2579" i="1"/>
  <c r="J2579" i="1"/>
  <c r="I2579" i="1"/>
  <c r="H2579" i="1"/>
  <c r="G2579" i="1"/>
  <c r="F2579" i="1"/>
  <c r="E2579" i="1"/>
  <c r="D2579" i="1"/>
  <c r="C2579" i="1"/>
  <c r="V2578" i="1"/>
  <c r="U2578" i="1"/>
  <c r="T2578" i="1"/>
  <c r="S2578" i="1"/>
  <c r="R2578" i="1"/>
  <c r="Q2578" i="1"/>
  <c r="P2578" i="1"/>
  <c r="O2578" i="1"/>
  <c r="N2578" i="1"/>
  <c r="M2578" i="1"/>
  <c r="L2578" i="1"/>
  <c r="K2578" i="1"/>
  <c r="J2578" i="1"/>
  <c r="I2578" i="1"/>
  <c r="H2578" i="1"/>
  <c r="G2578" i="1"/>
  <c r="F2578" i="1"/>
  <c r="E2578" i="1"/>
  <c r="D2578" i="1"/>
  <c r="C2578" i="1"/>
  <c r="V2577" i="1"/>
  <c r="U2577" i="1"/>
  <c r="T2577" i="1"/>
  <c r="S2577" i="1"/>
  <c r="R2577" i="1"/>
  <c r="Q2577" i="1"/>
  <c r="P2577" i="1"/>
  <c r="O2577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V2576" i="1"/>
  <c r="U2576" i="1"/>
  <c r="T2576" i="1"/>
  <c r="S2576" i="1"/>
  <c r="R2576" i="1"/>
  <c r="Q2576" i="1"/>
  <c r="P2576" i="1"/>
  <c r="O2576" i="1"/>
  <c r="N2576" i="1"/>
  <c r="M2576" i="1"/>
  <c r="L2576" i="1"/>
  <c r="K2576" i="1"/>
  <c r="J2576" i="1"/>
  <c r="I2576" i="1"/>
  <c r="H2576" i="1"/>
  <c r="G2576" i="1"/>
  <c r="F2576" i="1"/>
  <c r="E2576" i="1"/>
  <c r="D2576" i="1"/>
  <c r="C2576" i="1"/>
  <c r="V2575" i="1"/>
  <c r="U2575" i="1"/>
  <c r="T2575" i="1"/>
  <c r="S2575" i="1"/>
  <c r="R2575" i="1"/>
  <c r="Q2575" i="1"/>
  <c r="P2575" i="1"/>
  <c r="O2575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V2574" i="1"/>
  <c r="U2574" i="1"/>
  <c r="T2574" i="1"/>
  <c r="S2574" i="1"/>
  <c r="R2574" i="1"/>
  <c r="Q2574" i="1"/>
  <c r="P2574" i="1"/>
  <c r="O2574" i="1"/>
  <c r="N2574" i="1"/>
  <c r="M2574" i="1"/>
  <c r="L2574" i="1"/>
  <c r="K2574" i="1"/>
  <c r="J2574" i="1"/>
  <c r="I2574" i="1"/>
  <c r="H2574" i="1"/>
  <c r="G2574" i="1"/>
  <c r="F2574" i="1"/>
  <c r="E2574" i="1"/>
  <c r="D2574" i="1"/>
  <c r="C2574" i="1"/>
  <c r="V2573" i="1"/>
  <c r="U2573" i="1"/>
  <c r="T2573" i="1"/>
  <c r="S2573" i="1"/>
  <c r="R2573" i="1"/>
  <c r="Q2573" i="1"/>
  <c r="P2573" i="1"/>
  <c r="O2573" i="1"/>
  <c r="N2573" i="1"/>
  <c r="M2573" i="1"/>
  <c r="L2573" i="1"/>
  <c r="K2573" i="1"/>
  <c r="J2573" i="1"/>
  <c r="I2573" i="1"/>
  <c r="H2573" i="1"/>
  <c r="G2573" i="1"/>
  <c r="F2573" i="1"/>
  <c r="E2573" i="1"/>
  <c r="D2573" i="1"/>
  <c r="C2573" i="1"/>
  <c r="V2572" i="1"/>
  <c r="U2572" i="1"/>
  <c r="T2572" i="1"/>
  <c r="S2572" i="1"/>
  <c r="R2572" i="1"/>
  <c r="Q2572" i="1"/>
  <c r="P2572" i="1"/>
  <c r="O2572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V2571" i="1"/>
  <c r="U2571" i="1"/>
  <c r="T2571" i="1"/>
  <c r="S2571" i="1"/>
  <c r="R2571" i="1"/>
  <c r="Q2571" i="1"/>
  <c r="P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C2571" i="1"/>
  <c r="V2570" i="1"/>
  <c r="U2570" i="1"/>
  <c r="T2570" i="1"/>
  <c r="S2570" i="1"/>
  <c r="R2570" i="1"/>
  <c r="Q2570" i="1"/>
  <c r="P2570" i="1"/>
  <c r="O2570" i="1"/>
  <c r="N2570" i="1"/>
  <c r="M2570" i="1"/>
  <c r="L2570" i="1"/>
  <c r="K2570" i="1"/>
  <c r="J2570" i="1"/>
  <c r="I2570" i="1"/>
  <c r="H2570" i="1"/>
  <c r="G2570" i="1"/>
  <c r="F2570" i="1"/>
  <c r="E2570" i="1"/>
  <c r="D2570" i="1"/>
  <c r="C2570" i="1"/>
  <c r="V2569" i="1"/>
  <c r="U2569" i="1"/>
  <c r="T2569" i="1"/>
  <c r="S2569" i="1"/>
  <c r="R2569" i="1"/>
  <c r="Q2569" i="1"/>
  <c r="P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V2568" i="1"/>
  <c r="U2568" i="1"/>
  <c r="T2568" i="1"/>
  <c r="S2568" i="1"/>
  <c r="R2568" i="1"/>
  <c r="Q2568" i="1"/>
  <c r="P2568" i="1"/>
  <c r="O2568" i="1"/>
  <c r="N2568" i="1"/>
  <c r="M2568" i="1"/>
  <c r="L2568" i="1"/>
  <c r="K2568" i="1"/>
  <c r="J2568" i="1"/>
  <c r="I2568" i="1"/>
  <c r="H2568" i="1"/>
  <c r="G2568" i="1"/>
  <c r="F2568" i="1"/>
  <c r="E2568" i="1"/>
  <c r="D2568" i="1"/>
  <c r="C2568" i="1"/>
  <c r="V2567" i="1"/>
  <c r="U2567" i="1"/>
  <c r="T2567" i="1"/>
  <c r="S2567" i="1"/>
  <c r="R2567" i="1"/>
  <c r="Q2567" i="1"/>
  <c r="P2567" i="1"/>
  <c r="O2567" i="1"/>
  <c r="N2567" i="1"/>
  <c r="M2567" i="1"/>
  <c r="L2567" i="1"/>
  <c r="K2567" i="1"/>
  <c r="J2567" i="1"/>
  <c r="I2567" i="1"/>
  <c r="H2567" i="1"/>
  <c r="G2567" i="1"/>
  <c r="F2567" i="1"/>
  <c r="E2567" i="1"/>
  <c r="D2567" i="1"/>
  <c r="C2567" i="1"/>
  <c r="V2566" i="1"/>
  <c r="U2566" i="1"/>
  <c r="T2566" i="1"/>
  <c r="S2566" i="1"/>
  <c r="R2566" i="1"/>
  <c r="Q2566" i="1"/>
  <c r="P2566" i="1"/>
  <c r="O2566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V2565" i="1"/>
  <c r="U2565" i="1"/>
  <c r="T2565" i="1"/>
  <c r="S2565" i="1"/>
  <c r="R2565" i="1"/>
  <c r="Q2565" i="1"/>
  <c r="P2565" i="1"/>
  <c r="O2565" i="1"/>
  <c r="N2565" i="1"/>
  <c r="M2565" i="1"/>
  <c r="L2565" i="1"/>
  <c r="K2565" i="1"/>
  <c r="J2565" i="1"/>
  <c r="I2565" i="1"/>
  <c r="H2565" i="1"/>
  <c r="G2565" i="1"/>
  <c r="F2565" i="1"/>
  <c r="E2565" i="1"/>
  <c r="D2565" i="1"/>
  <c r="C2565" i="1"/>
  <c r="V2564" i="1"/>
  <c r="U2564" i="1"/>
  <c r="T2564" i="1"/>
  <c r="S2564" i="1"/>
  <c r="R2564" i="1"/>
  <c r="Q2564" i="1"/>
  <c r="P2564" i="1"/>
  <c r="O2564" i="1"/>
  <c r="N2564" i="1"/>
  <c r="M2564" i="1"/>
  <c r="L2564" i="1"/>
  <c r="K2564" i="1"/>
  <c r="J2564" i="1"/>
  <c r="I2564" i="1"/>
  <c r="H2564" i="1"/>
  <c r="G2564" i="1"/>
  <c r="F2564" i="1"/>
  <c r="E2564" i="1"/>
  <c r="D2564" i="1"/>
  <c r="C2564" i="1"/>
  <c r="V2563" i="1"/>
  <c r="U2563" i="1"/>
  <c r="T2563" i="1"/>
  <c r="S2563" i="1"/>
  <c r="R2563" i="1"/>
  <c r="Q2563" i="1"/>
  <c r="P2563" i="1"/>
  <c r="O2563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V2562" i="1"/>
  <c r="U2562" i="1"/>
  <c r="T2562" i="1"/>
  <c r="S2562" i="1"/>
  <c r="R2562" i="1"/>
  <c r="Q2562" i="1"/>
  <c r="P2562" i="1"/>
  <c r="O2562" i="1"/>
  <c r="N2562" i="1"/>
  <c r="M2562" i="1"/>
  <c r="L2562" i="1"/>
  <c r="K2562" i="1"/>
  <c r="J2562" i="1"/>
  <c r="I2562" i="1"/>
  <c r="H2562" i="1"/>
  <c r="G2562" i="1"/>
  <c r="F2562" i="1"/>
  <c r="E2562" i="1"/>
  <c r="D2562" i="1"/>
  <c r="C2562" i="1"/>
  <c r="V2561" i="1"/>
  <c r="U2561" i="1"/>
  <c r="T2561" i="1"/>
  <c r="S2561" i="1"/>
  <c r="R2561" i="1"/>
  <c r="Q2561" i="1"/>
  <c r="P2561" i="1"/>
  <c r="O2561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V2560" i="1"/>
  <c r="U2560" i="1"/>
  <c r="T2560" i="1"/>
  <c r="S2560" i="1"/>
  <c r="R2560" i="1"/>
  <c r="Q2560" i="1"/>
  <c r="P2560" i="1"/>
  <c r="O2560" i="1"/>
  <c r="N2560" i="1"/>
  <c r="M2560" i="1"/>
  <c r="L2560" i="1"/>
  <c r="K2560" i="1"/>
  <c r="J2560" i="1"/>
  <c r="I2560" i="1"/>
  <c r="H2560" i="1"/>
  <c r="G2560" i="1"/>
  <c r="F2560" i="1"/>
  <c r="E2560" i="1"/>
  <c r="D2560" i="1"/>
  <c r="C2560" i="1"/>
  <c r="V2559" i="1"/>
  <c r="U2559" i="1"/>
  <c r="T2559" i="1"/>
  <c r="S2559" i="1"/>
  <c r="R2559" i="1"/>
  <c r="Q2559" i="1"/>
  <c r="P2559" i="1"/>
  <c r="O2559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V2558" i="1"/>
  <c r="U2558" i="1"/>
  <c r="T2558" i="1"/>
  <c r="S2558" i="1"/>
  <c r="R2558" i="1"/>
  <c r="Q2558" i="1"/>
  <c r="P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C2558" i="1"/>
  <c r="V2557" i="1"/>
  <c r="U2557" i="1"/>
  <c r="T2557" i="1"/>
  <c r="S2557" i="1"/>
  <c r="R2557" i="1"/>
  <c r="Q2557" i="1"/>
  <c r="P2557" i="1"/>
  <c r="O2557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V2556" i="1"/>
  <c r="U2556" i="1"/>
  <c r="T2556" i="1"/>
  <c r="S2556" i="1"/>
  <c r="R2556" i="1"/>
  <c r="Q2556" i="1"/>
  <c r="P2556" i="1"/>
  <c r="O2556" i="1"/>
  <c r="N2556" i="1"/>
  <c r="M2556" i="1"/>
  <c r="L2556" i="1"/>
  <c r="K2556" i="1"/>
  <c r="J2556" i="1"/>
  <c r="I2556" i="1"/>
  <c r="H2556" i="1"/>
  <c r="G2556" i="1"/>
  <c r="F2556" i="1"/>
  <c r="E2556" i="1"/>
  <c r="D2556" i="1"/>
  <c r="C2556" i="1"/>
  <c r="V2555" i="1"/>
  <c r="U2555" i="1"/>
  <c r="T2555" i="1"/>
  <c r="S2555" i="1"/>
  <c r="R2555" i="1"/>
  <c r="Q2555" i="1"/>
  <c r="P2555" i="1"/>
  <c r="O2555" i="1"/>
  <c r="N2555" i="1"/>
  <c r="M2555" i="1"/>
  <c r="L2555" i="1"/>
  <c r="K2555" i="1"/>
  <c r="J2555" i="1"/>
  <c r="I2555" i="1"/>
  <c r="H2555" i="1"/>
  <c r="G2555" i="1"/>
  <c r="F2555" i="1"/>
  <c r="E2555" i="1"/>
  <c r="D2555" i="1"/>
  <c r="C2555" i="1"/>
  <c r="V2554" i="1"/>
  <c r="U2554" i="1"/>
  <c r="T2554" i="1"/>
  <c r="S2554" i="1"/>
  <c r="R2554" i="1"/>
  <c r="Q2554" i="1"/>
  <c r="P2554" i="1"/>
  <c r="O2554" i="1"/>
  <c r="N2554" i="1"/>
  <c r="M2554" i="1"/>
  <c r="L2554" i="1"/>
  <c r="K2554" i="1"/>
  <c r="J2554" i="1"/>
  <c r="I2554" i="1"/>
  <c r="H2554" i="1"/>
  <c r="G2554" i="1"/>
  <c r="F2554" i="1"/>
  <c r="E2554" i="1"/>
  <c r="D2554" i="1"/>
  <c r="C2554" i="1"/>
  <c r="V2553" i="1"/>
  <c r="U2553" i="1"/>
  <c r="T2553" i="1"/>
  <c r="S2553" i="1"/>
  <c r="R2553" i="1"/>
  <c r="Q2553" i="1"/>
  <c r="P2553" i="1"/>
  <c r="O2553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V2552" i="1"/>
  <c r="U2552" i="1"/>
  <c r="T2552" i="1"/>
  <c r="S2552" i="1"/>
  <c r="R2552" i="1"/>
  <c r="Q2552" i="1"/>
  <c r="P2552" i="1"/>
  <c r="O2552" i="1"/>
  <c r="N2552" i="1"/>
  <c r="M2552" i="1"/>
  <c r="L2552" i="1"/>
  <c r="K2552" i="1"/>
  <c r="J2552" i="1"/>
  <c r="I2552" i="1"/>
  <c r="H2552" i="1"/>
  <c r="G2552" i="1"/>
  <c r="F2552" i="1"/>
  <c r="E2552" i="1"/>
  <c r="D2552" i="1"/>
  <c r="C2552" i="1"/>
  <c r="V2551" i="1"/>
  <c r="U2551" i="1"/>
  <c r="T2551" i="1"/>
  <c r="S2551" i="1"/>
  <c r="R2551" i="1"/>
  <c r="Q2551" i="1"/>
  <c r="P2551" i="1"/>
  <c r="O2551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V2550" i="1"/>
  <c r="U2550" i="1"/>
  <c r="T2550" i="1"/>
  <c r="S2550" i="1"/>
  <c r="R2550" i="1"/>
  <c r="Q2550" i="1"/>
  <c r="P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C2550" i="1"/>
  <c r="V2549" i="1"/>
  <c r="U2549" i="1"/>
  <c r="T2549" i="1"/>
  <c r="S2549" i="1"/>
  <c r="R2549" i="1"/>
  <c r="Q2549" i="1"/>
  <c r="P2549" i="1"/>
  <c r="O2549" i="1"/>
  <c r="N2549" i="1"/>
  <c r="M2549" i="1"/>
  <c r="L2549" i="1"/>
  <c r="K2549" i="1"/>
  <c r="J2549" i="1"/>
  <c r="I2549" i="1"/>
  <c r="H2549" i="1"/>
  <c r="G2549" i="1"/>
  <c r="F2549" i="1"/>
  <c r="E2549" i="1"/>
  <c r="D2549" i="1"/>
  <c r="C2549" i="1"/>
  <c r="V2548" i="1"/>
  <c r="U2548" i="1"/>
  <c r="T2548" i="1"/>
  <c r="S2548" i="1"/>
  <c r="R2548" i="1"/>
  <c r="Q2548" i="1"/>
  <c r="P2548" i="1"/>
  <c r="O2548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V2547" i="1"/>
  <c r="U2547" i="1"/>
  <c r="T2547" i="1"/>
  <c r="S2547" i="1"/>
  <c r="R2547" i="1"/>
  <c r="Q2547" i="1"/>
  <c r="P2547" i="1"/>
  <c r="O2547" i="1"/>
  <c r="N2547" i="1"/>
  <c r="M2547" i="1"/>
  <c r="L2547" i="1"/>
  <c r="K2547" i="1"/>
  <c r="J2547" i="1"/>
  <c r="I2547" i="1"/>
  <c r="H2547" i="1"/>
  <c r="G2547" i="1"/>
  <c r="F2547" i="1"/>
  <c r="E2547" i="1"/>
  <c r="D2547" i="1"/>
  <c r="C2547" i="1"/>
  <c r="V2546" i="1"/>
  <c r="U2546" i="1"/>
  <c r="T2546" i="1"/>
  <c r="S2546" i="1"/>
  <c r="R2546" i="1"/>
  <c r="Q2546" i="1"/>
  <c r="P2546" i="1"/>
  <c r="O2546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V2545" i="1"/>
  <c r="U2545" i="1"/>
  <c r="T2545" i="1"/>
  <c r="S2545" i="1"/>
  <c r="R2545" i="1"/>
  <c r="Q2545" i="1"/>
  <c r="P2545" i="1"/>
  <c r="O2545" i="1"/>
  <c r="N2545" i="1"/>
  <c r="M2545" i="1"/>
  <c r="L2545" i="1"/>
  <c r="K2545" i="1"/>
  <c r="J2545" i="1"/>
  <c r="I2545" i="1"/>
  <c r="H2545" i="1"/>
  <c r="G2545" i="1"/>
  <c r="F2545" i="1"/>
  <c r="E2545" i="1"/>
  <c r="D2545" i="1"/>
  <c r="C2545" i="1"/>
  <c r="V2544" i="1"/>
  <c r="U2544" i="1"/>
  <c r="T2544" i="1"/>
  <c r="S2544" i="1"/>
  <c r="R2544" i="1"/>
  <c r="Q2544" i="1"/>
  <c r="P2544" i="1"/>
  <c r="O2544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V2543" i="1"/>
  <c r="U2543" i="1"/>
  <c r="T2543" i="1"/>
  <c r="S2543" i="1"/>
  <c r="R2543" i="1"/>
  <c r="Q2543" i="1"/>
  <c r="P2543" i="1"/>
  <c r="O2543" i="1"/>
  <c r="N2543" i="1"/>
  <c r="M2543" i="1"/>
  <c r="L2543" i="1"/>
  <c r="K2543" i="1"/>
  <c r="J2543" i="1"/>
  <c r="I2543" i="1"/>
  <c r="H2543" i="1"/>
  <c r="G2543" i="1"/>
  <c r="F2543" i="1"/>
  <c r="E2543" i="1"/>
  <c r="D2543" i="1"/>
  <c r="C2543" i="1"/>
  <c r="V2542" i="1"/>
  <c r="U2542" i="1"/>
  <c r="T2542" i="1"/>
  <c r="S2542" i="1"/>
  <c r="R2542" i="1"/>
  <c r="Q2542" i="1"/>
  <c r="P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V2541" i="1"/>
  <c r="U2541" i="1"/>
  <c r="T2541" i="1"/>
  <c r="S2541" i="1"/>
  <c r="R2541" i="1"/>
  <c r="Q2541" i="1"/>
  <c r="P2541" i="1"/>
  <c r="O2541" i="1"/>
  <c r="N2541" i="1"/>
  <c r="M2541" i="1"/>
  <c r="L2541" i="1"/>
  <c r="K2541" i="1"/>
  <c r="J2541" i="1"/>
  <c r="I2541" i="1"/>
  <c r="H2541" i="1"/>
  <c r="G2541" i="1"/>
  <c r="F2541" i="1"/>
  <c r="E2541" i="1"/>
  <c r="D2541" i="1"/>
  <c r="C2541" i="1"/>
  <c r="V2540" i="1"/>
  <c r="U2540" i="1"/>
  <c r="T2540" i="1"/>
  <c r="S2540" i="1"/>
  <c r="R2540" i="1"/>
  <c r="Q2540" i="1"/>
  <c r="P2540" i="1"/>
  <c r="O2540" i="1"/>
  <c r="N2540" i="1"/>
  <c r="M2540" i="1"/>
  <c r="L2540" i="1"/>
  <c r="K2540" i="1"/>
  <c r="J2540" i="1"/>
  <c r="I2540" i="1"/>
  <c r="H2540" i="1"/>
  <c r="G2540" i="1"/>
  <c r="F2540" i="1"/>
  <c r="E2540" i="1"/>
  <c r="D2540" i="1"/>
  <c r="C2540" i="1"/>
  <c r="V2539" i="1"/>
  <c r="U2539" i="1"/>
  <c r="T2539" i="1"/>
  <c r="S2539" i="1"/>
  <c r="R2539" i="1"/>
  <c r="Q2539" i="1"/>
  <c r="P2539" i="1"/>
  <c r="O2539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V2538" i="1"/>
  <c r="U2538" i="1"/>
  <c r="T2538" i="1"/>
  <c r="S2538" i="1"/>
  <c r="R2538" i="1"/>
  <c r="Q2538" i="1"/>
  <c r="P2538" i="1"/>
  <c r="O2538" i="1"/>
  <c r="N2538" i="1"/>
  <c r="M2538" i="1"/>
  <c r="L2538" i="1"/>
  <c r="K2538" i="1"/>
  <c r="J2538" i="1"/>
  <c r="I2538" i="1"/>
  <c r="H2538" i="1"/>
  <c r="G2538" i="1"/>
  <c r="F2538" i="1"/>
  <c r="E2538" i="1"/>
  <c r="D2538" i="1"/>
  <c r="C2538" i="1"/>
  <c r="V2537" i="1"/>
  <c r="U2537" i="1"/>
  <c r="T2537" i="1"/>
  <c r="S2537" i="1"/>
  <c r="R2537" i="1"/>
  <c r="Q2537" i="1"/>
  <c r="P2537" i="1"/>
  <c r="O2537" i="1"/>
  <c r="N2537" i="1"/>
  <c r="M2537" i="1"/>
  <c r="L2537" i="1"/>
  <c r="K2537" i="1"/>
  <c r="J2537" i="1"/>
  <c r="I2537" i="1"/>
  <c r="H2537" i="1"/>
  <c r="G2537" i="1"/>
  <c r="F2537" i="1"/>
  <c r="E2537" i="1"/>
  <c r="D2537" i="1"/>
  <c r="C2537" i="1"/>
  <c r="V2536" i="1"/>
  <c r="U2536" i="1"/>
  <c r="T2536" i="1"/>
  <c r="S2536" i="1"/>
  <c r="R2536" i="1"/>
  <c r="Q2536" i="1"/>
  <c r="P2536" i="1"/>
  <c r="O2536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V2535" i="1"/>
  <c r="U2535" i="1"/>
  <c r="T2535" i="1"/>
  <c r="S2535" i="1"/>
  <c r="R2535" i="1"/>
  <c r="Q2535" i="1"/>
  <c r="P2535" i="1"/>
  <c r="O2535" i="1"/>
  <c r="N2535" i="1"/>
  <c r="M2535" i="1"/>
  <c r="L2535" i="1"/>
  <c r="K2535" i="1"/>
  <c r="J2535" i="1"/>
  <c r="I2535" i="1"/>
  <c r="H2535" i="1"/>
  <c r="G2535" i="1"/>
  <c r="F2535" i="1"/>
  <c r="E2535" i="1"/>
  <c r="D2535" i="1"/>
  <c r="C2535" i="1"/>
  <c r="V2534" i="1"/>
  <c r="U2534" i="1"/>
  <c r="T2534" i="1"/>
  <c r="S2534" i="1"/>
  <c r="R2534" i="1"/>
  <c r="Q2534" i="1"/>
  <c r="P2534" i="1"/>
  <c r="O2534" i="1"/>
  <c r="N2534" i="1"/>
  <c r="M2534" i="1"/>
  <c r="L2534" i="1"/>
  <c r="K2534" i="1"/>
  <c r="J2534" i="1"/>
  <c r="I2534" i="1"/>
  <c r="H2534" i="1"/>
  <c r="G2534" i="1"/>
  <c r="F2534" i="1"/>
  <c r="E2534" i="1"/>
  <c r="D2534" i="1"/>
  <c r="C2534" i="1"/>
  <c r="V2533" i="1"/>
  <c r="U2533" i="1"/>
  <c r="T2533" i="1"/>
  <c r="S2533" i="1"/>
  <c r="R2533" i="1"/>
  <c r="Q2533" i="1"/>
  <c r="P2533" i="1"/>
  <c r="O2533" i="1"/>
  <c r="N2533" i="1"/>
  <c r="M2533" i="1"/>
  <c r="L2533" i="1"/>
  <c r="K2533" i="1"/>
  <c r="J2533" i="1"/>
  <c r="I2533" i="1"/>
  <c r="H2533" i="1"/>
  <c r="G2533" i="1"/>
  <c r="F2533" i="1"/>
  <c r="E2533" i="1"/>
  <c r="D2533" i="1"/>
  <c r="C2533" i="1"/>
  <c r="V2532" i="1"/>
  <c r="U2532" i="1"/>
  <c r="T2532" i="1"/>
  <c r="S2532" i="1"/>
  <c r="R2532" i="1"/>
  <c r="Q2532" i="1"/>
  <c r="P2532" i="1"/>
  <c r="O2532" i="1"/>
  <c r="N2532" i="1"/>
  <c r="M2532" i="1"/>
  <c r="L2532" i="1"/>
  <c r="K2532" i="1"/>
  <c r="J2532" i="1"/>
  <c r="I2532" i="1"/>
  <c r="H2532" i="1"/>
  <c r="G2532" i="1"/>
  <c r="F2532" i="1"/>
  <c r="E2532" i="1"/>
  <c r="D2532" i="1"/>
  <c r="C2532" i="1"/>
  <c r="V2531" i="1"/>
  <c r="U2531" i="1"/>
  <c r="T2531" i="1"/>
  <c r="S2531" i="1"/>
  <c r="R2531" i="1"/>
  <c r="Q2531" i="1"/>
  <c r="P2531" i="1"/>
  <c r="O2531" i="1"/>
  <c r="N2531" i="1"/>
  <c r="M2531" i="1"/>
  <c r="L2531" i="1"/>
  <c r="K2531" i="1"/>
  <c r="J2531" i="1"/>
  <c r="I2531" i="1"/>
  <c r="H2531" i="1"/>
  <c r="G2531" i="1"/>
  <c r="F2531" i="1"/>
  <c r="E2531" i="1"/>
  <c r="D2531" i="1"/>
  <c r="C2531" i="1"/>
  <c r="V2530" i="1"/>
  <c r="U2530" i="1"/>
  <c r="T2530" i="1"/>
  <c r="S2530" i="1"/>
  <c r="R2530" i="1"/>
  <c r="Q2530" i="1"/>
  <c r="P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V2529" i="1"/>
  <c r="U2529" i="1"/>
  <c r="T2529" i="1"/>
  <c r="S2529" i="1"/>
  <c r="R2529" i="1"/>
  <c r="Q2529" i="1"/>
  <c r="P2529" i="1"/>
  <c r="O2529" i="1"/>
  <c r="N2529" i="1"/>
  <c r="M2529" i="1"/>
  <c r="L2529" i="1"/>
  <c r="K2529" i="1"/>
  <c r="J2529" i="1"/>
  <c r="I2529" i="1"/>
  <c r="H2529" i="1"/>
  <c r="G2529" i="1"/>
  <c r="F2529" i="1"/>
  <c r="E2529" i="1"/>
  <c r="D2529" i="1"/>
  <c r="C2529" i="1"/>
  <c r="V2528" i="1"/>
  <c r="U2528" i="1"/>
  <c r="T2528" i="1"/>
  <c r="S2528" i="1"/>
  <c r="R2528" i="1"/>
  <c r="Q2528" i="1"/>
  <c r="P2528" i="1"/>
  <c r="O2528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V2527" i="1"/>
  <c r="U2527" i="1"/>
  <c r="T2527" i="1"/>
  <c r="S2527" i="1"/>
  <c r="R2527" i="1"/>
  <c r="Q2527" i="1"/>
  <c r="P2527" i="1"/>
  <c r="O2527" i="1"/>
  <c r="N2527" i="1"/>
  <c r="M2527" i="1"/>
  <c r="L2527" i="1"/>
  <c r="K2527" i="1"/>
  <c r="J2527" i="1"/>
  <c r="I2527" i="1"/>
  <c r="H2527" i="1"/>
  <c r="G2527" i="1"/>
  <c r="F2527" i="1"/>
  <c r="E2527" i="1"/>
  <c r="D2527" i="1"/>
  <c r="C2527" i="1"/>
  <c r="V2526" i="1"/>
  <c r="U2526" i="1"/>
  <c r="T2526" i="1"/>
  <c r="S2526" i="1"/>
  <c r="R2526" i="1"/>
  <c r="Q2526" i="1"/>
  <c r="P2526" i="1"/>
  <c r="O2526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V2525" i="1"/>
  <c r="U2525" i="1"/>
  <c r="T2525" i="1"/>
  <c r="S2525" i="1"/>
  <c r="R2525" i="1"/>
  <c r="Q2525" i="1"/>
  <c r="P2525" i="1"/>
  <c r="O2525" i="1"/>
  <c r="N2525" i="1"/>
  <c r="M2525" i="1"/>
  <c r="L2525" i="1"/>
  <c r="K2525" i="1"/>
  <c r="J2525" i="1"/>
  <c r="I2525" i="1"/>
  <c r="H2525" i="1"/>
  <c r="G2525" i="1"/>
  <c r="F2525" i="1"/>
  <c r="E2525" i="1"/>
  <c r="D2525" i="1"/>
  <c r="C2525" i="1"/>
  <c r="V2524" i="1"/>
  <c r="U2524" i="1"/>
  <c r="T2524" i="1"/>
  <c r="S2524" i="1"/>
  <c r="R2524" i="1"/>
  <c r="Q2524" i="1"/>
  <c r="P2524" i="1"/>
  <c r="O2524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V2523" i="1"/>
  <c r="U2523" i="1"/>
  <c r="T2523" i="1"/>
  <c r="S2523" i="1"/>
  <c r="R2523" i="1"/>
  <c r="Q2523" i="1"/>
  <c r="P2523" i="1"/>
  <c r="O2523" i="1"/>
  <c r="N2523" i="1"/>
  <c r="M2523" i="1"/>
  <c r="L2523" i="1"/>
  <c r="K2523" i="1"/>
  <c r="J2523" i="1"/>
  <c r="I2523" i="1"/>
  <c r="H2523" i="1"/>
  <c r="G2523" i="1"/>
  <c r="F2523" i="1"/>
  <c r="E2523" i="1"/>
  <c r="D2523" i="1"/>
  <c r="C2523" i="1"/>
  <c r="V2522" i="1"/>
  <c r="U2522" i="1"/>
  <c r="T2522" i="1"/>
  <c r="S2522" i="1"/>
  <c r="R2522" i="1"/>
  <c r="Q2522" i="1"/>
  <c r="P2522" i="1"/>
  <c r="O2522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V2521" i="1"/>
  <c r="U2521" i="1"/>
  <c r="T2521" i="1"/>
  <c r="S2521" i="1"/>
  <c r="R2521" i="1"/>
  <c r="Q2521" i="1"/>
  <c r="P2521" i="1"/>
  <c r="O2521" i="1"/>
  <c r="N2521" i="1"/>
  <c r="M2521" i="1"/>
  <c r="L2521" i="1"/>
  <c r="K2521" i="1"/>
  <c r="J2521" i="1"/>
  <c r="I2521" i="1"/>
  <c r="H2521" i="1"/>
  <c r="G2521" i="1"/>
  <c r="F2521" i="1"/>
  <c r="E2521" i="1"/>
  <c r="D2521" i="1"/>
  <c r="C2521" i="1"/>
  <c r="V2520" i="1"/>
  <c r="U2520" i="1"/>
  <c r="T2520" i="1"/>
  <c r="S2520" i="1"/>
  <c r="R2520" i="1"/>
  <c r="Q2520" i="1"/>
  <c r="P2520" i="1"/>
  <c r="O2520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V2519" i="1"/>
  <c r="U2519" i="1"/>
  <c r="T2519" i="1"/>
  <c r="S2519" i="1"/>
  <c r="R2519" i="1"/>
  <c r="Q2519" i="1"/>
  <c r="P2519" i="1"/>
  <c r="O2519" i="1"/>
  <c r="N2519" i="1"/>
  <c r="M2519" i="1"/>
  <c r="L2519" i="1"/>
  <c r="K2519" i="1"/>
  <c r="J2519" i="1"/>
  <c r="I2519" i="1"/>
  <c r="H2519" i="1"/>
  <c r="G2519" i="1"/>
  <c r="F2519" i="1"/>
  <c r="E2519" i="1"/>
  <c r="D2519" i="1"/>
  <c r="C2519" i="1"/>
  <c r="V2518" i="1"/>
  <c r="U2518" i="1"/>
  <c r="T2518" i="1"/>
  <c r="S2518" i="1"/>
  <c r="R2518" i="1"/>
  <c r="Q2518" i="1"/>
  <c r="P2518" i="1"/>
  <c r="O2518" i="1"/>
  <c r="N2518" i="1"/>
  <c r="M2518" i="1"/>
  <c r="L2518" i="1"/>
  <c r="K2518" i="1"/>
  <c r="J2518" i="1"/>
  <c r="I2518" i="1"/>
  <c r="H2518" i="1"/>
  <c r="G2518" i="1"/>
  <c r="F2518" i="1"/>
  <c r="E2518" i="1"/>
  <c r="D2518" i="1"/>
  <c r="C2518" i="1"/>
  <c r="V2517" i="1"/>
  <c r="U2517" i="1"/>
  <c r="T2517" i="1"/>
  <c r="S2517" i="1"/>
  <c r="R2517" i="1"/>
  <c r="Q2517" i="1"/>
  <c r="P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C2517" i="1"/>
  <c r="V2516" i="1"/>
  <c r="U2516" i="1"/>
  <c r="T2516" i="1"/>
  <c r="S2516" i="1"/>
  <c r="R2516" i="1"/>
  <c r="Q2516" i="1"/>
  <c r="P2516" i="1"/>
  <c r="O2516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V2515" i="1"/>
  <c r="U2515" i="1"/>
  <c r="T2515" i="1"/>
  <c r="S2515" i="1"/>
  <c r="R2515" i="1"/>
  <c r="Q2515" i="1"/>
  <c r="P2515" i="1"/>
  <c r="O2515" i="1"/>
  <c r="N2515" i="1"/>
  <c r="M2515" i="1"/>
  <c r="L2515" i="1"/>
  <c r="K2515" i="1"/>
  <c r="J2515" i="1"/>
  <c r="I2515" i="1"/>
  <c r="H2515" i="1"/>
  <c r="G2515" i="1"/>
  <c r="F2515" i="1"/>
  <c r="E2515" i="1"/>
  <c r="D2515" i="1"/>
  <c r="C2515" i="1"/>
  <c r="V2514" i="1"/>
  <c r="U2514" i="1"/>
  <c r="T2514" i="1"/>
  <c r="S2514" i="1"/>
  <c r="R2514" i="1"/>
  <c r="Q2514" i="1"/>
  <c r="P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C2514" i="1"/>
  <c r="V2513" i="1"/>
  <c r="U2513" i="1"/>
  <c r="T2513" i="1"/>
  <c r="S2513" i="1"/>
  <c r="R2513" i="1"/>
  <c r="Q2513" i="1"/>
  <c r="P2513" i="1"/>
  <c r="O2513" i="1"/>
  <c r="N2513" i="1"/>
  <c r="M2513" i="1"/>
  <c r="L2513" i="1"/>
  <c r="K2513" i="1"/>
  <c r="J2513" i="1"/>
  <c r="I2513" i="1"/>
  <c r="H2513" i="1"/>
  <c r="G2513" i="1"/>
  <c r="F2513" i="1"/>
  <c r="E2513" i="1"/>
  <c r="D2513" i="1"/>
  <c r="C2513" i="1"/>
  <c r="V2512" i="1"/>
  <c r="U2512" i="1"/>
  <c r="T2512" i="1"/>
  <c r="S2512" i="1"/>
  <c r="R2512" i="1"/>
  <c r="Q2512" i="1"/>
  <c r="P2512" i="1"/>
  <c r="O2512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V2511" i="1"/>
  <c r="U2511" i="1"/>
  <c r="T2511" i="1"/>
  <c r="S2511" i="1"/>
  <c r="R2511" i="1"/>
  <c r="Q2511" i="1"/>
  <c r="P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C2511" i="1"/>
  <c r="V2510" i="1"/>
  <c r="U2510" i="1"/>
  <c r="T2510" i="1"/>
  <c r="S2510" i="1"/>
  <c r="R2510" i="1"/>
  <c r="Q2510" i="1"/>
  <c r="P2510" i="1"/>
  <c r="O2510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V2509" i="1"/>
  <c r="U2509" i="1"/>
  <c r="T2509" i="1"/>
  <c r="S2509" i="1"/>
  <c r="R2509" i="1"/>
  <c r="Q2509" i="1"/>
  <c r="P2509" i="1"/>
  <c r="O2509" i="1"/>
  <c r="N2509" i="1"/>
  <c r="M2509" i="1"/>
  <c r="L2509" i="1"/>
  <c r="K2509" i="1"/>
  <c r="J2509" i="1"/>
  <c r="I2509" i="1"/>
  <c r="H2509" i="1"/>
  <c r="G2509" i="1"/>
  <c r="F2509" i="1"/>
  <c r="E2509" i="1"/>
  <c r="D2509" i="1"/>
  <c r="C2509" i="1"/>
  <c r="V2508" i="1"/>
  <c r="U2508" i="1"/>
  <c r="T2508" i="1"/>
  <c r="S2508" i="1"/>
  <c r="R2508" i="1"/>
  <c r="Q2508" i="1"/>
  <c r="P2508" i="1"/>
  <c r="O2508" i="1"/>
  <c r="N2508" i="1"/>
  <c r="M2508" i="1"/>
  <c r="L2508" i="1"/>
  <c r="K2508" i="1"/>
  <c r="J2508" i="1"/>
  <c r="I2508" i="1"/>
  <c r="H2508" i="1"/>
  <c r="G2508" i="1"/>
  <c r="F2508" i="1"/>
  <c r="E2508" i="1"/>
  <c r="D2508" i="1"/>
  <c r="C2508" i="1"/>
  <c r="V2507" i="1"/>
  <c r="U2507" i="1"/>
  <c r="T2507" i="1"/>
  <c r="S2507" i="1"/>
  <c r="R2507" i="1"/>
  <c r="Q2507" i="1"/>
  <c r="P2507" i="1"/>
  <c r="O2507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V2506" i="1"/>
  <c r="U2506" i="1"/>
  <c r="T2506" i="1"/>
  <c r="S2506" i="1"/>
  <c r="R2506" i="1"/>
  <c r="Q2506" i="1"/>
  <c r="P2506" i="1"/>
  <c r="O2506" i="1"/>
  <c r="N2506" i="1"/>
  <c r="M2506" i="1"/>
  <c r="L2506" i="1"/>
  <c r="K2506" i="1"/>
  <c r="J2506" i="1"/>
  <c r="I2506" i="1"/>
  <c r="H2506" i="1"/>
  <c r="G2506" i="1"/>
  <c r="F2506" i="1"/>
  <c r="E2506" i="1"/>
  <c r="D2506" i="1"/>
  <c r="C2506" i="1"/>
  <c r="V2505" i="1"/>
  <c r="U2505" i="1"/>
  <c r="T2505" i="1"/>
  <c r="S2505" i="1"/>
  <c r="R2505" i="1"/>
  <c r="Q2505" i="1"/>
  <c r="P2505" i="1"/>
  <c r="O2505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V2504" i="1"/>
  <c r="U2504" i="1"/>
  <c r="T2504" i="1"/>
  <c r="S2504" i="1"/>
  <c r="R2504" i="1"/>
  <c r="Q2504" i="1"/>
  <c r="P2504" i="1"/>
  <c r="O2504" i="1"/>
  <c r="N2504" i="1"/>
  <c r="M2504" i="1"/>
  <c r="L2504" i="1"/>
  <c r="K2504" i="1"/>
  <c r="J2504" i="1"/>
  <c r="I2504" i="1"/>
  <c r="H2504" i="1"/>
  <c r="G2504" i="1"/>
  <c r="F2504" i="1"/>
  <c r="E2504" i="1"/>
  <c r="D2504" i="1"/>
  <c r="C2504" i="1"/>
  <c r="V2503" i="1"/>
  <c r="U2503" i="1"/>
  <c r="T2503" i="1"/>
  <c r="S2503" i="1"/>
  <c r="R2503" i="1"/>
  <c r="Q2503" i="1"/>
  <c r="P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V2502" i="1"/>
  <c r="U2502" i="1"/>
  <c r="T2502" i="1"/>
  <c r="S2502" i="1"/>
  <c r="R2502" i="1"/>
  <c r="Q2502" i="1"/>
  <c r="P2502" i="1"/>
  <c r="O2502" i="1"/>
  <c r="N2502" i="1"/>
  <c r="M2502" i="1"/>
  <c r="L2502" i="1"/>
  <c r="K2502" i="1"/>
  <c r="J2502" i="1"/>
  <c r="I2502" i="1"/>
  <c r="H2502" i="1"/>
  <c r="G2502" i="1"/>
  <c r="F2502" i="1"/>
  <c r="E2502" i="1"/>
  <c r="D2502" i="1"/>
  <c r="C2502" i="1"/>
  <c r="V2501" i="1"/>
  <c r="U2501" i="1"/>
  <c r="T2501" i="1"/>
  <c r="S2501" i="1"/>
  <c r="R2501" i="1"/>
  <c r="Q2501" i="1"/>
  <c r="P2501" i="1"/>
  <c r="O2501" i="1"/>
  <c r="N2501" i="1"/>
  <c r="M2501" i="1"/>
  <c r="L2501" i="1"/>
  <c r="K2501" i="1"/>
  <c r="J2501" i="1"/>
  <c r="I2501" i="1"/>
  <c r="H2501" i="1"/>
  <c r="G2501" i="1"/>
  <c r="F2501" i="1"/>
  <c r="E2501" i="1"/>
  <c r="D2501" i="1"/>
  <c r="C2501" i="1"/>
  <c r="V2500" i="1"/>
  <c r="U2500" i="1"/>
  <c r="T2500" i="1"/>
  <c r="S2500" i="1"/>
  <c r="R2500" i="1"/>
  <c r="Q2500" i="1"/>
  <c r="P2500" i="1"/>
  <c r="O2500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V2499" i="1"/>
  <c r="U2499" i="1"/>
  <c r="T2499" i="1"/>
  <c r="S2499" i="1"/>
  <c r="R2499" i="1"/>
  <c r="Q2499" i="1"/>
  <c r="P2499" i="1"/>
  <c r="O2499" i="1"/>
  <c r="N2499" i="1"/>
  <c r="M2499" i="1"/>
  <c r="L2499" i="1"/>
  <c r="K2499" i="1"/>
  <c r="J2499" i="1"/>
  <c r="I2499" i="1"/>
  <c r="H2499" i="1"/>
  <c r="G2499" i="1"/>
  <c r="F2499" i="1"/>
  <c r="E2499" i="1"/>
  <c r="D2499" i="1"/>
  <c r="C2499" i="1"/>
  <c r="V2498" i="1"/>
  <c r="U2498" i="1"/>
  <c r="T2498" i="1"/>
  <c r="S2498" i="1"/>
  <c r="R2498" i="1"/>
  <c r="Q2498" i="1"/>
  <c r="P2498" i="1"/>
  <c r="O2498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V2497" i="1"/>
  <c r="U2497" i="1"/>
  <c r="T2497" i="1"/>
  <c r="S2497" i="1"/>
  <c r="R2497" i="1"/>
  <c r="Q2497" i="1"/>
  <c r="P2497" i="1"/>
  <c r="O2497" i="1"/>
  <c r="N2497" i="1"/>
  <c r="M2497" i="1"/>
  <c r="L2497" i="1"/>
  <c r="K2497" i="1"/>
  <c r="J2497" i="1"/>
  <c r="I2497" i="1"/>
  <c r="H2497" i="1"/>
  <c r="G2497" i="1"/>
  <c r="F2497" i="1"/>
  <c r="E2497" i="1"/>
  <c r="D2497" i="1"/>
  <c r="C2497" i="1"/>
  <c r="V2496" i="1"/>
  <c r="U2496" i="1"/>
  <c r="T2496" i="1"/>
  <c r="S2496" i="1"/>
  <c r="R2496" i="1"/>
  <c r="Q2496" i="1"/>
  <c r="P2496" i="1"/>
  <c r="O2496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V2495" i="1"/>
  <c r="U2495" i="1"/>
  <c r="T2495" i="1"/>
  <c r="S2495" i="1"/>
  <c r="R2495" i="1"/>
  <c r="Q2495" i="1"/>
  <c r="P2495" i="1"/>
  <c r="O2495" i="1"/>
  <c r="N2495" i="1"/>
  <c r="M2495" i="1"/>
  <c r="L2495" i="1"/>
  <c r="K2495" i="1"/>
  <c r="J2495" i="1"/>
  <c r="I2495" i="1"/>
  <c r="H2495" i="1"/>
  <c r="G2495" i="1"/>
  <c r="F2495" i="1"/>
  <c r="E2495" i="1"/>
  <c r="D2495" i="1"/>
  <c r="C2495" i="1"/>
  <c r="V2494" i="1"/>
  <c r="U2494" i="1"/>
  <c r="T2494" i="1"/>
  <c r="S2494" i="1"/>
  <c r="R2494" i="1"/>
  <c r="Q2494" i="1"/>
  <c r="P2494" i="1"/>
  <c r="O2494" i="1"/>
  <c r="N2494" i="1"/>
  <c r="M2494" i="1"/>
  <c r="L2494" i="1"/>
  <c r="K2494" i="1"/>
  <c r="J2494" i="1"/>
  <c r="I2494" i="1"/>
  <c r="H2494" i="1"/>
  <c r="G2494" i="1"/>
  <c r="F2494" i="1"/>
  <c r="E2494" i="1"/>
  <c r="D2494" i="1"/>
  <c r="C2494" i="1"/>
  <c r="V2493" i="1"/>
  <c r="U2493" i="1"/>
  <c r="T2493" i="1"/>
  <c r="S2493" i="1"/>
  <c r="R2493" i="1"/>
  <c r="Q2493" i="1"/>
  <c r="P2493" i="1"/>
  <c r="O2493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V2492" i="1"/>
  <c r="U2492" i="1"/>
  <c r="T2492" i="1"/>
  <c r="S2492" i="1"/>
  <c r="R2492" i="1"/>
  <c r="Q2492" i="1"/>
  <c r="P2492" i="1"/>
  <c r="O2492" i="1"/>
  <c r="N2492" i="1"/>
  <c r="M2492" i="1"/>
  <c r="L2492" i="1"/>
  <c r="K2492" i="1"/>
  <c r="J2492" i="1"/>
  <c r="I2492" i="1"/>
  <c r="H2492" i="1"/>
  <c r="G2492" i="1"/>
  <c r="F2492" i="1"/>
  <c r="E2492" i="1"/>
  <c r="D2492" i="1"/>
  <c r="C2492" i="1"/>
  <c r="V2491" i="1"/>
  <c r="U2491" i="1"/>
  <c r="T2491" i="1"/>
  <c r="S2491" i="1"/>
  <c r="R2491" i="1"/>
  <c r="Q2491" i="1"/>
  <c r="P2491" i="1"/>
  <c r="O2491" i="1"/>
  <c r="N2491" i="1"/>
  <c r="M2491" i="1"/>
  <c r="L2491" i="1"/>
  <c r="K2491" i="1"/>
  <c r="J2491" i="1"/>
  <c r="I2491" i="1"/>
  <c r="H2491" i="1"/>
  <c r="G2491" i="1"/>
  <c r="F2491" i="1"/>
  <c r="E2491" i="1"/>
  <c r="D2491" i="1"/>
  <c r="C2491" i="1"/>
  <c r="V2490" i="1"/>
  <c r="U2490" i="1"/>
  <c r="T2490" i="1"/>
  <c r="S2490" i="1"/>
  <c r="R2490" i="1"/>
  <c r="Q2490" i="1"/>
  <c r="P2490" i="1"/>
  <c r="O2490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V2489" i="1"/>
  <c r="U2489" i="1"/>
  <c r="T2489" i="1"/>
  <c r="S2489" i="1"/>
  <c r="R2489" i="1"/>
  <c r="Q2489" i="1"/>
  <c r="P2489" i="1"/>
  <c r="O2489" i="1"/>
  <c r="N2489" i="1"/>
  <c r="M2489" i="1"/>
  <c r="L2489" i="1"/>
  <c r="K2489" i="1"/>
  <c r="J2489" i="1"/>
  <c r="I2489" i="1"/>
  <c r="H2489" i="1"/>
  <c r="G2489" i="1"/>
  <c r="F2489" i="1"/>
  <c r="E2489" i="1"/>
  <c r="D2489" i="1"/>
  <c r="C2489" i="1"/>
  <c r="V2488" i="1"/>
  <c r="U2488" i="1"/>
  <c r="T2488" i="1"/>
  <c r="S2488" i="1"/>
  <c r="R2488" i="1"/>
  <c r="Q2488" i="1"/>
  <c r="P2488" i="1"/>
  <c r="O2488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V2487" i="1"/>
  <c r="U2487" i="1"/>
  <c r="T2487" i="1"/>
  <c r="S2487" i="1"/>
  <c r="R2487" i="1"/>
  <c r="Q2487" i="1"/>
  <c r="P2487" i="1"/>
  <c r="O2487" i="1"/>
  <c r="N2487" i="1"/>
  <c r="M2487" i="1"/>
  <c r="L2487" i="1"/>
  <c r="K2487" i="1"/>
  <c r="J2487" i="1"/>
  <c r="I2487" i="1"/>
  <c r="H2487" i="1"/>
  <c r="G2487" i="1"/>
  <c r="F2487" i="1"/>
  <c r="E2487" i="1"/>
  <c r="D2487" i="1"/>
  <c r="C2487" i="1"/>
  <c r="V2486" i="1"/>
  <c r="U2486" i="1"/>
  <c r="T2486" i="1"/>
  <c r="S2486" i="1"/>
  <c r="R2486" i="1"/>
  <c r="Q2486" i="1"/>
  <c r="P2486" i="1"/>
  <c r="O2486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V2485" i="1"/>
  <c r="U2485" i="1"/>
  <c r="T2485" i="1"/>
  <c r="S2485" i="1"/>
  <c r="R2485" i="1"/>
  <c r="Q2485" i="1"/>
  <c r="P2485" i="1"/>
  <c r="O2485" i="1"/>
  <c r="N2485" i="1"/>
  <c r="M2485" i="1"/>
  <c r="L2485" i="1"/>
  <c r="K2485" i="1"/>
  <c r="J2485" i="1"/>
  <c r="I2485" i="1"/>
  <c r="H2485" i="1"/>
  <c r="G2485" i="1"/>
  <c r="F2485" i="1"/>
  <c r="E2485" i="1"/>
  <c r="D2485" i="1"/>
  <c r="C2485" i="1"/>
  <c r="V2484" i="1"/>
  <c r="U2484" i="1"/>
  <c r="T2484" i="1"/>
  <c r="S2484" i="1"/>
  <c r="R2484" i="1"/>
  <c r="Q2484" i="1"/>
  <c r="P2484" i="1"/>
  <c r="O2484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V2483" i="1"/>
  <c r="U2483" i="1"/>
  <c r="T2483" i="1"/>
  <c r="S2483" i="1"/>
  <c r="R2483" i="1"/>
  <c r="Q2483" i="1"/>
  <c r="P2483" i="1"/>
  <c r="O2483" i="1"/>
  <c r="N2483" i="1"/>
  <c r="M2483" i="1"/>
  <c r="L2483" i="1"/>
  <c r="K2483" i="1"/>
  <c r="J2483" i="1"/>
  <c r="I2483" i="1"/>
  <c r="H2483" i="1"/>
  <c r="G2483" i="1"/>
  <c r="F2483" i="1"/>
  <c r="E2483" i="1"/>
  <c r="D2483" i="1"/>
  <c r="C2483" i="1"/>
  <c r="V2482" i="1"/>
  <c r="U2482" i="1"/>
  <c r="T2482" i="1"/>
  <c r="S2482" i="1"/>
  <c r="R2482" i="1"/>
  <c r="Q2482" i="1"/>
  <c r="P2482" i="1"/>
  <c r="O2482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V2481" i="1"/>
  <c r="U2481" i="1"/>
  <c r="T2481" i="1"/>
  <c r="S2481" i="1"/>
  <c r="R2481" i="1"/>
  <c r="Q2481" i="1"/>
  <c r="P2481" i="1"/>
  <c r="O2481" i="1"/>
  <c r="N2481" i="1"/>
  <c r="M2481" i="1"/>
  <c r="L2481" i="1"/>
  <c r="K2481" i="1"/>
  <c r="J2481" i="1"/>
  <c r="I2481" i="1"/>
  <c r="H2481" i="1"/>
  <c r="G2481" i="1"/>
  <c r="F2481" i="1"/>
  <c r="E2481" i="1"/>
  <c r="D2481" i="1"/>
  <c r="C2481" i="1"/>
  <c r="V2480" i="1"/>
  <c r="U2480" i="1"/>
  <c r="T2480" i="1"/>
  <c r="S2480" i="1"/>
  <c r="R2480" i="1"/>
  <c r="Q2480" i="1"/>
  <c r="P2480" i="1"/>
  <c r="O2480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V2479" i="1"/>
  <c r="U2479" i="1"/>
  <c r="T2479" i="1"/>
  <c r="S2479" i="1"/>
  <c r="R2479" i="1"/>
  <c r="Q2479" i="1"/>
  <c r="P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C2479" i="1"/>
  <c r="V2478" i="1"/>
  <c r="U2478" i="1"/>
  <c r="T2478" i="1"/>
  <c r="S2478" i="1"/>
  <c r="R2478" i="1"/>
  <c r="Q2478" i="1"/>
  <c r="P2478" i="1"/>
  <c r="O2478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V2477" i="1"/>
  <c r="U2477" i="1"/>
  <c r="T2477" i="1"/>
  <c r="S2477" i="1"/>
  <c r="R2477" i="1"/>
  <c r="Q2477" i="1"/>
  <c r="P2477" i="1"/>
  <c r="O2477" i="1"/>
  <c r="N2477" i="1"/>
  <c r="M2477" i="1"/>
  <c r="L2477" i="1"/>
  <c r="K2477" i="1"/>
  <c r="J2477" i="1"/>
  <c r="I2477" i="1"/>
  <c r="H2477" i="1"/>
  <c r="G2477" i="1"/>
  <c r="F2477" i="1"/>
  <c r="E2477" i="1"/>
  <c r="D2477" i="1"/>
  <c r="C2477" i="1"/>
  <c r="V2476" i="1"/>
  <c r="U2476" i="1"/>
  <c r="T2476" i="1"/>
  <c r="S2476" i="1"/>
  <c r="R2476" i="1"/>
  <c r="Q2476" i="1"/>
  <c r="P2476" i="1"/>
  <c r="O2476" i="1"/>
  <c r="N2476" i="1"/>
  <c r="M2476" i="1"/>
  <c r="L2476" i="1"/>
  <c r="K2476" i="1"/>
  <c r="J2476" i="1"/>
  <c r="I2476" i="1"/>
  <c r="H2476" i="1"/>
  <c r="G2476" i="1"/>
  <c r="F2476" i="1"/>
  <c r="E2476" i="1"/>
  <c r="D2476" i="1"/>
  <c r="C2476" i="1"/>
  <c r="V2475" i="1"/>
  <c r="U2475" i="1"/>
  <c r="T2475" i="1"/>
  <c r="S2475" i="1"/>
  <c r="R2475" i="1"/>
  <c r="Q2475" i="1"/>
  <c r="P2475" i="1"/>
  <c r="O2475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V2474" i="1"/>
  <c r="U2474" i="1"/>
  <c r="T2474" i="1"/>
  <c r="S2474" i="1"/>
  <c r="R2474" i="1"/>
  <c r="Q2474" i="1"/>
  <c r="P2474" i="1"/>
  <c r="O2474" i="1"/>
  <c r="N2474" i="1"/>
  <c r="M2474" i="1"/>
  <c r="L2474" i="1"/>
  <c r="K2474" i="1"/>
  <c r="J2474" i="1"/>
  <c r="I2474" i="1"/>
  <c r="H2474" i="1"/>
  <c r="G2474" i="1"/>
  <c r="F2474" i="1"/>
  <c r="E2474" i="1"/>
  <c r="D2474" i="1"/>
  <c r="C2474" i="1"/>
  <c r="V2473" i="1"/>
  <c r="U2473" i="1"/>
  <c r="T2473" i="1"/>
  <c r="S2473" i="1"/>
  <c r="R2473" i="1"/>
  <c r="Q2473" i="1"/>
  <c r="P2473" i="1"/>
  <c r="O2473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V2472" i="1"/>
  <c r="U2472" i="1"/>
  <c r="T2472" i="1"/>
  <c r="S2472" i="1"/>
  <c r="R2472" i="1"/>
  <c r="Q2472" i="1"/>
  <c r="P2472" i="1"/>
  <c r="O2472" i="1"/>
  <c r="N2472" i="1"/>
  <c r="M2472" i="1"/>
  <c r="L2472" i="1"/>
  <c r="K2472" i="1"/>
  <c r="J2472" i="1"/>
  <c r="I2472" i="1"/>
  <c r="H2472" i="1"/>
  <c r="G2472" i="1"/>
  <c r="F2472" i="1"/>
  <c r="E2472" i="1"/>
  <c r="D2472" i="1"/>
  <c r="C2472" i="1"/>
  <c r="V2471" i="1"/>
  <c r="U2471" i="1"/>
  <c r="T2471" i="1"/>
  <c r="S2471" i="1"/>
  <c r="R2471" i="1"/>
  <c r="Q2471" i="1"/>
  <c r="P2471" i="1"/>
  <c r="O2471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V2470" i="1"/>
  <c r="U2470" i="1"/>
  <c r="T2470" i="1"/>
  <c r="S2470" i="1"/>
  <c r="R2470" i="1"/>
  <c r="Q2470" i="1"/>
  <c r="P2470" i="1"/>
  <c r="O2470" i="1"/>
  <c r="N2470" i="1"/>
  <c r="M2470" i="1"/>
  <c r="L2470" i="1"/>
  <c r="K2470" i="1"/>
  <c r="J2470" i="1"/>
  <c r="I2470" i="1"/>
  <c r="H2470" i="1"/>
  <c r="G2470" i="1"/>
  <c r="F2470" i="1"/>
  <c r="E2470" i="1"/>
  <c r="D2470" i="1"/>
  <c r="C2470" i="1"/>
  <c r="V2469" i="1"/>
  <c r="U2469" i="1"/>
  <c r="T2469" i="1"/>
  <c r="S2469" i="1"/>
  <c r="R2469" i="1"/>
  <c r="Q2469" i="1"/>
  <c r="P2469" i="1"/>
  <c r="O2469" i="1"/>
  <c r="N2469" i="1"/>
  <c r="M2469" i="1"/>
  <c r="L2469" i="1"/>
  <c r="K2469" i="1"/>
  <c r="J2469" i="1"/>
  <c r="I2469" i="1"/>
  <c r="H2469" i="1"/>
  <c r="G2469" i="1"/>
  <c r="F2469" i="1"/>
  <c r="E2469" i="1"/>
  <c r="D2469" i="1"/>
  <c r="C2469" i="1"/>
  <c r="V2468" i="1"/>
  <c r="U2468" i="1"/>
  <c r="T2468" i="1"/>
  <c r="S2468" i="1"/>
  <c r="R2468" i="1"/>
  <c r="Q2468" i="1"/>
  <c r="P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V2467" i="1"/>
  <c r="U2467" i="1"/>
  <c r="T2467" i="1"/>
  <c r="S2467" i="1"/>
  <c r="R2467" i="1"/>
  <c r="Q2467" i="1"/>
  <c r="P2467" i="1"/>
  <c r="O2467" i="1"/>
  <c r="N2467" i="1"/>
  <c r="M2467" i="1"/>
  <c r="L2467" i="1"/>
  <c r="K2467" i="1"/>
  <c r="J2467" i="1"/>
  <c r="I2467" i="1"/>
  <c r="H2467" i="1"/>
  <c r="G2467" i="1"/>
  <c r="F2467" i="1"/>
  <c r="E2467" i="1"/>
  <c r="D2467" i="1"/>
  <c r="C2467" i="1"/>
  <c r="V2466" i="1"/>
  <c r="U2466" i="1"/>
  <c r="T2466" i="1"/>
  <c r="S2466" i="1"/>
  <c r="R2466" i="1"/>
  <c r="Q2466" i="1"/>
  <c r="P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V2465" i="1"/>
  <c r="U2465" i="1"/>
  <c r="T2465" i="1"/>
  <c r="S2465" i="1"/>
  <c r="R2465" i="1"/>
  <c r="Q2465" i="1"/>
  <c r="P2465" i="1"/>
  <c r="O2465" i="1"/>
  <c r="N2465" i="1"/>
  <c r="M2465" i="1"/>
  <c r="L2465" i="1"/>
  <c r="K2465" i="1"/>
  <c r="J2465" i="1"/>
  <c r="I2465" i="1"/>
  <c r="H2465" i="1"/>
  <c r="G2465" i="1"/>
  <c r="F2465" i="1"/>
  <c r="E2465" i="1"/>
  <c r="D2465" i="1"/>
  <c r="C2465" i="1"/>
  <c r="V2464" i="1"/>
  <c r="U2464" i="1"/>
  <c r="T2464" i="1"/>
  <c r="S2464" i="1"/>
  <c r="R2464" i="1"/>
  <c r="Q2464" i="1"/>
  <c r="P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V2463" i="1"/>
  <c r="U2463" i="1"/>
  <c r="T2463" i="1"/>
  <c r="S2463" i="1"/>
  <c r="R2463" i="1"/>
  <c r="Q2463" i="1"/>
  <c r="P2463" i="1"/>
  <c r="O2463" i="1"/>
  <c r="N2463" i="1"/>
  <c r="M2463" i="1"/>
  <c r="L2463" i="1"/>
  <c r="K2463" i="1"/>
  <c r="J2463" i="1"/>
  <c r="I2463" i="1"/>
  <c r="H2463" i="1"/>
  <c r="G2463" i="1"/>
  <c r="F2463" i="1"/>
  <c r="E2463" i="1"/>
  <c r="D2463" i="1"/>
  <c r="C2463" i="1"/>
  <c r="V2462" i="1"/>
  <c r="U2462" i="1"/>
  <c r="T2462" i="1"/>
  <c r="S2462" i="1"/>
  <c r="R2462" i="1"/>
  <c r="Q2462" i="1"/>
  <c r="P2462" i="1"/>
  <c r="O2462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V2461" i="1"/>
  <c r="U2461" i="1"/>
  <c r="T2461" i="1"/>
  <c r="S2461" i="1"/>
  <c r="R2461" i="1"/>
  <c r="Q2461" i="1"/>
  <c r="P2461" i="1"/>
  <c r="O2461" i="1"/>
  <c r="N2461" i="1"/>
  <c r="M2461" i="1"/>
  <c r="L2461" i="1"/>
  <c r="K2461" i="1"/>
  <c r="J2461" i="1"/>
  <c r="I2461" i="1"/>
  <c r="H2461" i="1"/>
  <c r="G2461" i="1"/>
  <c r="F2461" i="1"/>
  <c r="E2461" i="1"/>
  <c r="D2461" i="1"/>
  <c r="C2461" i="1"/>
  <c r="V2460" i="1"/>
  <c r="U2460" i="1"/>
  <c r="T2460" i="1"/>
  <c r="S2460" i="1"/>
  <c r="R2460" i="1"/>
  <c r="Q2460" i="1"/>
  <c r="P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V2459" i="1"/>
  <c r="U2459" i="1"/>
  <c r="T2459" i="1"/>
  <c r="S2459" i="1"/>
  <c r="R2459" i="1"/>
  <c r="Q2459" i="1"/>
  <c r="P2459" i="1"/>
  <c r="O2459" i="1"/>
  <c r="N2459" i="1"/>
  <c r="M2459" i="1"/>
  <c r="L2459" i="1"/>
  <c r="K2459" i="1"/>
  <c r="J2459" i="1"/>
  <c r="I2459" i="1"/>
  <c r="H2459" i="1"/>
  <c r="G2459" i="1"/>
  <c r="F2459" i="1"/>
  <c r="E2459" i="1"/>
  <c r="D2459" i="1"/>
  <c r="C2459" i="1"/>
  <c r="V2458" i="1"/>
  <c r="U2458" i="1"/>
  <c r="T2458" i="1"/>
  <c r="S2458" i="1"/>
  <c r="R2458" i="1"/>
  <c r="Q2458" i="1"/>
  <c r="P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C2458" i="1"/>
  <c r="V2457" i="1"/>
  <c r="U2457" i="1"/>
  <c r="T2457" i="1"/>
  <c r="S2457" i="1"/>
  <c r="R2457" i="1"/>
  <c r="Q2457" i="1"/>
  <c r="P2457" i="1"/>
  <c r="O2457" i="1"/>
  <c r="N2457" i="1"/>
  <c r="M2457" i="1"/>
  <c r="L2457" i="1"/>
  <c r="K2457" i="1"/>
  <c r="J2457" i="1"/>
  <c r="I2457" i="1"/>
  <c r="H2457" i="1"/>
  <c r="G2457" i="1"/>
  <c r="F2457" i="1"/>
  <c r="E2457" i="1"/>
  <c r="D2457" i="1"/>
  <c r="C2457" i="1"/>
  <c r="V2456" i="1"/>
  <c r="U2456" i="1"/>
  <c r="T2456" i="1"/>
  <c r="S2456" i="1"/>
  <c r="R2456" i="1"/>
  <c r="Q2456" i="1"/>
  <c r="P2456" i="1"/>
  <c r="O2456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V2455" i="1"/>
  <c r="U2455" i="1"/>
  <c r="T2455" i="1"/>
  <c r="S2455" i="1"/>
  <c r="R2455" i="1"/>
  <c r="Q2455" i="1"/>
  <c r="P2455" i="1"/>
  <c r="O2455" i="1"/>
  <c r="N2455" i="1"/>
  <c r="M2455" i="1"/>
  <c r="L2455" i="1"/>
  <c r="K2455" i="1"/>
  <c r="J2455" i="1"/>
  <c r="I2455" i="1"/>
  <c r="H2455" i="1"/>
  <c r="G2455" i="1"/>
  <c r="F2455" i="1"/>
  <c r="E2455" i="1"/>
  <c r="D2455" i="1"/>
  <c r="C2455" i="1"/>
  <c r="V2454" i="1"/>
  <c r="U2454" i="1"/>
  <c r="T2454" i="1"/>
  <c r="S2454" i="1"/>
  <c r="R2454" i="1"/>
  <c r="Q2454" i="1"/>
  <c r="P2454" i="1"/>
  <c r="O2454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V2453" i="1"/>
  <c r="U2453" i="1"/>
  <c r="T2453" i="1"/>
  <c r="S2453" i="1"/>
  <c r="R2453" i="1"/>
  <c r="Q2453" i="1"/>
  <c r="P2453" i="1"/>
  <c r="O2453" i="1"/>
  <c r="N2453" i="1"/>
  <c r="M2453" i="1"/>
  <c r="L2453" i="1"/>
  <c r="K2453" i="1"/>
  <c r="J2453" i="1"/>
  <c r="I2453" i="1"/>
  <c r="H2453" i="1"/>
  <c r="G2453" i="1"/>
  <c r="F2453" i="1"/>
  <c r="E2453" i="1"/>
  <c r="D2453" i="1"/>
  <c r="C2453" i="1"/>
  <c r="V2452" i="1"/>
  <c r="U2452" i="1"/>
  <c r="T2452" i="1"/>
  <c r="S2452" i="1"/>
  <c r="R2452" i="1"/>
  <c r="Q2452" i="1"/>
  <c r="P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C2452" i="1"/>
  <c r="V2451" i="1"/>
  <c r="U2451" i="1"/>
  <c r="T2451" i="1"/>
  <c r="S2451" i="1"/>
  <c r="R2451" i="1"/>
  <c r="Q2451" i="1"/>
  <c r="P2451" i="1"/>
  <c r="O2451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V2450" i="1"/>
  <c r="U2450" i="1"/>
  <c r="T2450" i="1"/>
  <c r="S2450" i="1"/>
  <c r="R2450" i="1"/>
  <c r="Q2450" i="1"/>
  <c r="P2450" i="1"/>
  <c r="O2450" i="1"/>
  <c r="N2450" i="1"/>
  <c r="M2450" i="1"/>
  <c r="L2450" i="1"/>
  <c r="K2450" i="1"/>
  <c r="J2450" i="1"/>
  <c r="I2450" i="1"/>
  <c r="H2450" i="1"/>
  <c r="G2450" i="1"/>
  <c r="F2450" i="1"/>
  <c r="E2450" i="1"/>
  <c r="D2450" i="1"/>
  <c r="C2450" i="1"/>
  <c r="V2449" i="1"/>
  <c r="U2449" i="1"/>
  <c r="T2449" i="1"/>
  <c r="S2449" i="1"/>
  <c r="R2449" i="1"/>
  <c r="Q2449" i="1"/>
  <c r="P2449" i="1"/>
  <c r="O2449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V2448" i="1"/>
  <c r="U2448" i="1"/>
  <c r="T2448" i="1"/>
  <c r="S2448" i="1"/>
  <c r="R2448" i="1"/>
  <c r="Q2448" i="1"/>
  <c r="P2448" i="1"/>
  <c r="O2448" i="1"/>
  <c r="N2448" i="1"/>
  <c r="M2448" i="1"/>
  <c r="L2448" i="1"/>
  <c r="K2448" i="1"/>
  <c r="J2448" i="1"/>
  <c r="I2448" i="1"/>
  <c r="H2448" i="1"/>
  <c r="G2448" i="1"/>
  <c r="F2448" i="1"/>
  <c r="E2448" i="1"/>
  <c r="D2448" i="1"/>
  <c r="C2448" i="1"/>
  <c r="V2447" i="1"/>
  <c r="U2447" i="1"/>
  <c r="T2447" i="1"/>
  <c r="S2447" i="1"/>
  <c r="R2447" i="1"/>
  <c r="Q2447" i="1"/>
  <c r="P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V2446" i="1"/>
  <c r="U2446" i="1"/>
  <c r="T2446" i="1"/>
  <c r="S2446" i="1"/>
  <c r="R2446" i="1"/>
  <c r="Q2446" i="1"/>
  <c r="P2446" i="1"/>
  <c r="O2446" i="1"/>
  <c r="N2446" i="1"/>
  <c r="M2446" i="1"/>
  <c r="L2446" i="1"/>
  <c r="K2446" i="1"/>
  <c r="J2446" i="1"/>
  <c r="I2446" i="1"/>
  <c r="H2446" i="1"/>
  <c r="G2446" i="1"/>
  <c r="F2446" i="1"/>
  <c r="E2446" i="1"/>
  <c r="D2446" i="1"/>
  <c r="C2446" i="1"/>
  <c r="V2445" i="1"/>
  <c r="U2445" i="1"/>
  <c r="T2445" i="1"/>
  <c r="S2445" i="1"/>
  <c r="R2445" i="1"/>
  <c r="Q2445" i="1"/>
  <c r="P2445" i="1"/>
  <c r="O2445" i="1"/>
  <c r="N2445" i="1"/>
  <c r="M2445" i="1"/>
  <c r="L2445" i="1"/>
  <c r="K2445" i="1"/>
  <c r="J2445" i="1"/>
  <c r="I2445" i="1"/>
  <c r="H2445" i="1"/>
  <c r="G2445" i="1"/>
  <c r="F2445" i="1"/>
  <c r="E2445" i="1"/>
  <c r="D2445" i="1"/>
  <c r="C2445" i="1"/>
  <c r="V2444" i="1"/>
  <c r="U2444" i="1"/>
  <c r="T2444" i="1"/>
  <c r="S2444" i="1"/>
  <c r="R2444" i="1"/>
  <c r="Q2444" i="1"/>
  <c r="P2444" i="1"/>
  <c r="O2444" i="1"/>
  <c r="N2444" i="1"/>
  <c r="M2444" i="1"/>
  <c r="L2444" i="1"/>
  <c r="K2444" i="1"/>
  <c r="J2444" i="1"/>
  <c r="I2444" i="1"/>
  <c r="H2444" i="1"/>
  <c r="G2444" i="1"/>
  <c r="F2444" i="1"/>
  <c r="E2444" i="1"/>
  <c r="D2444" i="1"/>
  <c r="C2444" i="1"/>
  <c r="V2443" i="1"/>
  <c r="U2443" i="1"/>
  <c r="T2443" i="1"/>
  <c r="S2443" i="1"/>
  <c r="R2443" i="1"/>
  <c r="Q2443" i="1"/>
  <c r="P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V2442" i="1"/>
  <c r="U2442" i="1"/>
  <c r="T2442" i="1"/>
  <c r="S2442" i="1"/>
  <c r="R2442" i="1"/>
  <c r="Q2442" i="1"/>
  <c r="P2442" i="1"/>
  <c r="O2442" i="1"/>
  <c r="N2442" i="1"/>
  <c r="M2442" i="1"/>
  <c r="L2442" i="1"/>
  <c r="K2442" i="1"/>
  <c r="J2442" i="1"/>
  <c r="I2442" i="1"/>
  <c r="H2442" i="1"/>
  <c r="G2442" i="1"/>
  <c r="F2442" i="1"/>
  <c r="E2442" i="1"/>
  <c r="D2442" i="1"/>
  <c r="C2442" i="1"/>
  <c r="V2441" i="1"/>
  <c r="U2441" i="1"/>
  <c r="T2441" i="1"/>
  <c r="S2441" i="1"/>
  <c r="R2441" i="1"/>
  <c r="Q2441" i="1"/>
  <c r="P2441" i="1"/>
  <c r="O2441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V2440" i="1"/>
  <c r="U2440" i="1"/>
  <c r="T2440" i="1"/>
  <c r="S2440" i="1"/>
  <c r="R2440" i="1"/>
  <c r="Q2440" i="1"/>
  <c r="P2440" i="1"/>
  <c r="O2440" i="1"/>
  <c r="N2440" i="1"/>
  <c r="M2440" i="1"/>
  <c r="L2440" i="1"/>
  <c r="K2440" i="1"/>
  <c r="J2440" i="1"/>
  <c r="I2440" i="1"/>
  <c r="H2440" i="1"/>
  <c r="G2440" i="1"/>
  <c r="F2440" i="1"/>
  <c r="E2440" i="1"/>
  <c r="D2440" i="1"/>
  <c r="C2440" i="1"/>
  <c r="V2439" i="1"/>
  <c r="U2439" i="1"/>
  <c r="T2439" i="1"/>
  <c r="S2439" i="1"/>
  <c r="R2439" i="1"/>
  <c r="Q2439" i="1"/>
  <c r="P2439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V2438" i="1"/>
  <c r="U2438" i="1"/>
  <c r="T2438" i="1"/>
  <c r="S2438" i="1"/>
  <c r="R2438" i="1"/>
  <c r="Q2438" i="1"/>
  <c r="P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C2438" i="1"/>
  <c r="V2437" i="1"/>
  <c r="U2437" i="1"/>
  <c r="T2437" i="1"/>
  <c r="S2437" i="1"/>
  <c r="R2437" i="1"/>
  <c r="Q2437" i="1"/>
  <c r="P2437" i="1"/>
  <c r="O2437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V2436" i="1"/>
  <c r="U2436" i="1"/>
  <c r="T2436" i="1"/>
  <c r="S2436" i="1"/>
  <c r="R2436" i="1"/>
  <c r="Q2436" i="1"/>
  <c r="P2436" i="1"/>
  <c r="O2436" i="1"/>
  <c r="N2436" i="1"/>
  <c r="M2436" i="1"/>
  <c r="L2436" i="1"/>
  <c r="K2436" i="1"/>
  <c r="J2436" i="1"/>
  <c r="I2436" i="1"/>
  <c r="H2436" i="1"/>
  <c r="G2436" i="1"/>
  <c r="F2436" i="1"/>
  <c r="E2436" i="1"/>
  <c r="D2436" i="1"/>
  <c r="C2436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V2434" i="1"/>
  <c r="U2434" i="1"/>
  <c r="T2434" i="1"/>
  <c r="S2434" i="1"/>
  <c r="R2434" i="1"/>
  <c r="Q2434" i="1"/>
  <c r="P2434" i="1"/>
  <c r="O2434" i="1"/>
  <c r="N2434" i="1"/>
  <c r="M2434" i="1"/>
  <c r="L2434" i="1"/>
  <c r="K2434" i="1"/>
  <c r="J2434" i="1"/>
  <c r="I2434" i="1"/>
  <c r="H2434" i="1"/>
  <c r="G2434" i="1"/>
  <c r="F2434" i="1"/>
  <c r="E2434" i="1"/>
  <c r="D2434" i="1"/>
  <c r="C2434" i="1"/>
  <c r="V2433" i="1"/>
  <c r="U2433" i="1"/>
  <c r="T2433" i="1"/>
  <c r="S2433" i="1"/>
  <c r="R2433" i="1"/>
  <c r="Q2433" i="1"/>
  <c r="P2433" i="1"/>
  <c r="O2433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V2432" i="1"/>
  <c r="U2432" i="1"/>
  <c r="T2432" i="1"/>
  <c r="S2432" i="1"/>
  <c r="R2432" i="1"/>
  <c r="Q2432" i="1"/>
  <c r="P2432" i="1"/>
  <c r="O2432" i="1"/>
  <c r="N2432" i="1"/>
  <c r="M2432" i="1"/>
  <c r="L2432" i="1"/>
  <c r="K2432" i="1"/>
  <c r="J2432" i="1"/>
  <c r="I2432" i="1"/>
  <c r="H2432" i="1"/>
  <c r="G2432" i="1"/>
  <c r="F2432" i="1"/>
  <c r="E2432" i="1"/>
  <c r="D2432" i="1"/>
  <c r="C2432" i="1"/>
  <c r="V2431" i="1"/>
  <c r="U2431" i="1"/>
  <c r="T2431" i="1"/>
  <c r="S2431" i="1"/>
  <c r="R2431" i="1"/>
  <c r="Q2431" i="1"/>
  <c r="P2431" i="1"/>
  <c r="O2431" i="1"/>
  <c r="N2431" i="1"/>
  <c r="M2431" i="1"/>
  <c r="L2431" i="1"/>
  <c r="K2431" i="1"/>
  <c r="J2431" i="1"/>
  <c r="I2431" i="1"/>
  <c r="H2431" i="1"/>
  <c r="G2431" i="1"/>
  <c r="F2431" i="1"/>
  <c r="E2431" i="1"/>
  <c r="D2431" i="1"/>
  <c r="C2431" i="1"/>
  <c r="V2430" i="1"/>
  <c r="U2430" i="1"/>
  <c r="T2430" i="1"/>
  <c r="S2430" i="1"/>
  <c r="R2430" i="1"/>
  <c r="Q2430" i="1"/>
  <c r="P2430" i="1"/>
  <c r="O2430" i="1"/>
  <c r="N2430" i="1"/>
  <c r="M2430" i="1"/>
  <c r="L2430" i="1"/>
  <c r="K2430" i="1"/>
  <c r="J2430" i="1"/>
  <c r="I2430" i="1"/>
  <c r="H2430" i="1"/>
  <c r="G2430" i="1"/>
  <c r="F2430" i="1"/>
  <c r="E2430" i="1"/>
  <c r="D2430" i="1"/>
  <c r="C2430" i="1"/>
  <c r="V2429" i="1"/>
  <c r="U2429" i="1"/>
  <c r="T2429" i="1"/>
  <c r="S2429" i="1"/>
  <c r="R2429" i="1"/>
  <c r="Q2429" i="1"/>
  <c r="P2429" i="1"/>
  <c r="O2429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V2428" i="1"/>
  <c r="U2428" i="1"/>
  <c r="T2428" i="1"/>
  <c r="S2428" i="1"/>
  <c r="R2428" i="1"/>
  <c r="Q2428" i="1"/>
  <c r="P2428" i="1"/>
  <c r="O2428" i="1"/>
  <c r="N2428" i="1"/>
  <c r="M2428" i="1"/>
  <c r="L2428" i="1"/>
  <c r="K2428" i="1"/>
  <c r="J2428" i="1"/>
  <c r="I2428" i="1"/>
  <c r="H2428" i="1"/>
  <c r="G2428" i="1"/>
  <c r="F2428" i="1"/>
  <c r="E2428" i="1"/>
  <c r="D2428" i="1"/>
  <c r="C2428" i="1"/>
  <c r="V2427" i="1"/>
  <c r="U2427" i="1"/>
  <c r="T2427" i="1"/>
  <c r="S2427" i="1"/>
  <c r="R2427" i="1"/>
  <c r="Q2427" i="1"/>
  <c r="P2427" i="1"/>
  <c r="O2427" i="1"/>
  <c r="N2427" i="1"/>
  <c r="M2427" i="1"/>
  <c r="L2427" i="1"/>
  <c r="K2427" i="1"/>
  <c r="J2427" i="1"/>
  <c r="I2427" i="1"/>
  <c r="H2427" i="1"/>
  <c r="G2427" i="1"/>
  <c r="F2427" i="1"/>
  <c r="E2427" i="1"/>
  <c r="D2427" i="1"/>
  <c r="C2427" i="1"/>
  <c r="V2426" i="1"/>
  <c r="U2426" i="1"/>
  <c r="T2426" i="1"/>
  <c r="S2426" i="1"/>
  <c r="R2426" i="1"/>
  <c r="Q2426" i="1"/>
  <c r="P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V2425" i="1"/>
  <c r="U2425" i="1"/>
  <c r="T2425" i="1"/>
  <c r="S2425" i="1"/>
  <c r="R2425" i="1"/>
  <c r="Q2425" i="1"/>
  <c r="P2425" i="1"/>
  <c r="O2425" i="1"/>
  <c r="N2425" i="1"/>
  <c r="M2425" i="1"/>
  <c r="L2425" i="1"/>
  <c r="K2425" i="1"/>
  <c r="J2425" i="1"/>
  <c r="I2425" i="1"/>
  <c r="H2425" i="1"/>
  <c r="G2425" i="1"/>
  <c r="F2425" i="1"/>
  <c r="E2425" i="1"/>
  <c r="D2425" i="1"/>
  <c r="C2425" i="1"/>
  <c r="V2424" i="1"/>
  <c r="U2424" i="1"/>
  <c r="T2424" i="1"/>
  <c r="S2424" i="1"/>
  <c r="R2424" i="1"/>
  <c r="Q2424" i="1"/>
  <c r="P2424" i="1"/>
  <c r="O2424" i="1"/>
  <c r="N2424" i="1"/>
  <c r="M2424" i="1"/>
  <c r="L2424" i="1"/>
  <c r="K2424" i="1"/>
  <c r="J2424" i="1"/>
  <c r="I2424" i="1"/>
  <c r="H2424" i="1"/>
  <c r="G2424" i="1"/>
  <c r="F2424" i="1"/>
  <c r="E2424" i="1"/>
  <c r="D2424" i="1"/>
  <c r="C2424" i="1"/>
  <c r="V2423" i="1"/>
  <c r="U2423" i="1"/>
  <c r="T2423" i="1"/>
  <c r="S2423" i="1"/>
  <c r="R2423" i="1"/>
  <c r="Q2423" i="1"/>
  <c r="P2423" i="1"/>
  <c r="O2423" i="1"/>
  <c r="N2423" i="1"/>
  <c r="M2423" i="1"/>
  <c r="L2423" i="1"/>
  <c r="K2423" i="1"/>
  <c r="J2423" i="1"/>
  <c r="I2423" i="1"/>
  <c r="H2423" i="1"/>
  <c r="G2423" i="1"/>
  <c r="F2423" i="1"/>
  <c r="E2423" i="1"/>
  <c r="D2423" i="1"/>
  <c r="C2423" i="1"/>
  <c r="V2422" i="1"/>
  <c r="U2422" i="1"/>
  <c r="T2422" i="1"/>
  <c r="S2422" i="1"/>
  <c r="R2422" i="1"/>
  <c r="Q2422" i="1"/>
  <c r="P2422" i="1"/>
  <c r="O2422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V2421" i="1"/>
  <c r="U2421" i="1"/>
  <c r="T2421" i="1"/>
  <c r="S2421" i="1"/>
  <c r="R2421" i="1"/>
  <c r="Q2421" i="1"/>
  <c r="P2421" i="1"/>
  <c r="O2421" i="1"/>
  <c r="N2421" i="1"/>
  <c r="M2421" i="1"/>
  <c r="L2421" i="1"/>
  <c r="K2421" i="1"/>
  <c r="J2421" i="1"/>
  <c r="I2421" i="1"/>
  <c r="H2421" i="1"/>
  <c r="G2421" i="1"/>
  <c r="F2421" i="1"/>
  <c r="E2421" i="1"/>
  <c r="D2421" i="1"/>
  <c r="C2421" i="1"/>
  <c r="V2420" i="1"/>
  <c r="U2420" i="1"/>
  <c r="T2420" i="1"/>
  <c r="S2420" i="1"/>
  <c r="R2420" i="1"/>
  <c r="Q2420" i="1"/>
  <c r="P2420" i="1"/>
  <c r="O2420" i="1"/>
  <c r="N2420" i="1"/>
  <c r="M2420" i="1"/>
  <c r="L2420" i="1"/>
  <c r="K2420" i="1"/>
  <c r="J2420" i="1"/>
  <c r="I2420" i="1"/>
  <c r="H2420" i="1"/>
  <c r="G2420" i="1"/>
  <c r="F2420" i="1"/>
  <c r="E2420" i="1"/>
  <c r="D2420" i="1"/>
  <c r="C2420" i="1"/>
  <c r="V2419" i="1"/>
  <c r="U2419" i="1"/>
  <c r="T2419" i="1"/>
  <c r="S2419" i="1"/>
  <c r="R2419" i="1"/>
  <c r="Q2419" i="1"/>
  <c r="P2419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V2418" i="1"/>
  <c r="U2418" i="1"/>
  <c r="T2418" i="1"/>
  <c r="S2418" i="1"/>
  <c r="R2418" i="1"/>
  <c r="Q2418" i="1"/>
  <c r="P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C2418" i="1"/>
  <c r="V2417" i="1"/>
  <c r="U2417" i="1"/>
  <c r="T2417" i="1"/>
  <c r="S2417" i="1"/>
  <c r="R2417" i="1"/>
  <c r="Q2417" i="1"/>
  <c r="P2417" i="1"/>
  <c r="O2417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V2416" i="1"/>
  <c r="U2416" i="1"/>
  <c r="T2416" i="1"/>
  <c r="S2416" i="1"/>
  <c r="R2416" i="1"/>
  <c r="Q2416" i="1"/>
  <c r="P2416" i="1"/>
  <c r="O2416" i="1"/>
  <c r="N2416" i="1"/>
  <c r="M2416" i="1"/>
  <c r="L2416" i="1"/>
  <c r="K2416" i="1"/>
  <c r="J2416" i="1"/>
  <c r="I2416" i="1"/>
  <c r="H2416" i="1"/>
  <c r="G2416" i="1"/>
  <c r="F2416" i="1"/>
  <c r="E2416" i="1"/>
  <c r="D2416" i="1"/>
  <c r="C2416" i="1"/>
  <c r="V2415" i="1"/>
  <c r="U2415" i="1"/>
  <c r="T2415" i="1"/>
  <c r="S2415" i="1"/>
  <c r="R2415" i="1"/>
  <c r="Q2415" i="1"/>
  <c r="P2415" i="1"/>
  <c r="O2415" i="1"/>
  <c r="N2415" i="1"/>
  <c r="M2415" i="1"/>
  <c r="L2415" i="1"/>
  <c r="K2415" i="1"/>
  <c r="J2415" i="1"/>
  <c r="I2415" i="1"/>
  <c r="H2415" i="1"/>
  <c r="G2415" i="1"/>
  <c r="F2415" i="1"/>
  <c r="E2415" i="1"/>
  <c r="D2415" i="1"/>
  <c r="C2415" i="1"/>
  <c r="V2414" i="1"/>
  <c r="U2414" i="1"/>
  <c r="T2414" i="1"/>
  <c r="S2414" i="1"/>
  <c r="R2414" i="1"/>
  <c r="Q2414" i="1"/>
  <c r="P2414" i="1"/>
  <c r="O2414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V2413" i="1"/>
  <c r="U2413" i="1"/>
  <c r="T2413" i="1"/>
  <c r="S2413" i="1"/>
  <c r="R2413" i="1"/>
  <c r="Q2413" i="1"/>
  <c r="P2413" i="1"/>
  <c r="O2413" i="1"/>
  <c r="N2413" i="1"/>
  <c r="M2413" i="1"/>
  <c r="L2413" i="1"/>
  <c r="K2413" i="1"/>
  <c r="J2413" i="1"/>
  <c r="I2413" i="1"/>
  <c r="H2413" i="1"/>
  <c r="G2413" i="1"/>
  <c r="F2413" i="1"/>
  <c r="E2413" i="1"/>
  <c r="D2413" i="1"/>
  <c r="C2413" i="1"/>
  <c r="V2412" i="1"/>
  <c r="U2412" i="1"/>
  <c r="T2412" i="1"/>
  <c r="S2412" i="1"/>
  <c r="R2412" i="1"/>
  <c r="Q2412" i="1"/>
  <c r="P2412" i="1"/>
  <c r="O2412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V2411" i="1"/>
  <c r="U2411" i="1"/>
  <c r="T2411" i="1"/>
  <c r="S2411" i="1"/>
  <c r="R2411" i="1"/>
  <c r="Q2411" i="1"/>
  <c r="P2411" i="1"/>
  <c r="O2411" i="1"/>
  <c r="N2411" i="1"/>
  <c r="M2411" i="1"/>
  <c r="L2411" i="1"/>
  <c r="K2411" i="1"/>
  <c r="J2411" i="1"/>
  <c r="I2411" i="1"/>
  <c r="H2411" i="1"/>
  <c r="G2411" i="1"/>
  <c r="F2411" i="1"/>
  <c r="E2411" i="1"/>
  <c r="D2411" i="1"/>
  <c r="C2411" i="1"/>
  <c r="V2410" i="1"/>
  <c r="U2410" i="1"/>
  <c r="T2410" i="1"/>
  <c r="S2410" i="1"/>
  <c r="R2410" i="1"/>
  <c r="Q2410" i="1"/>
  <c r="P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V2409" i="1"/>
  <c r="U2409" i="1"/>
  <c r="T2409" i="1"/>
  <c r="S2409" i="1"/>
  <c r="R2409" i="1"/>
  <c r="Q2409" i="1"/>
  <c r="P2409" i="1"/>
  <c r="O2409" i="1"/>
  <c r="N2409" i="1"/>
  <c r="M2409" i="1"/>
  <c r="L2409" i="1"/>
  <c r="K2409" i="1"/>
  <c r="J2409" i="1"/>
  <c r="I2409" i="1"/>
  <c r="H2409" i="1"/>
  <c r="G2409" i="1"/>
  <c r="F2409" i="1"/>
  <c r="E2409" i="1"/>
  <c r="D2409" i="1"/>
  <c r="C2409" i="1"/>
  <c r="V2408" i="1"/>
  <c r="U2408" i="1"/>
  <c r="T2408" i="1"/>
  <c r="S2408" i="1"/>
  <c r="R2408" i="1"/>
  <c r="Q2408" i="1"/>
  <c r="P2408" i="1"/>
  <c r="O2408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V2407" i="1"/>
  <c r="U2407" i="1"/>
  <c r="T2407" i="1"/>
  <c r="S2407" i="1"/>
  <c r="R2407" i="1"/>
  <c r="Q2407" i="1"/>
  <c r="P2407" i="1"/>
  <c r="O2407" i="1"/>
  <c r="N2407" i="1"/>
  <c r="M2407" i="1"/>
  <c r="L2407" i="1"/>
  <c r="K2407" i="1"/>
  <c r="J2407" i="1"/>
  <c r="I2407" i="1"/>
  <c r="H2407" i="1"/>
  <c r="G2407" i="1"/>
  <c r="F2407" i="1"/>
  <c r="E2407" i="1"/>
  <c r="D2407" i="1"/>
  <c r="C2407" i="1"/>
  <c r="V2406" i="1"/>
  <c r="U2406" i="1"/>
  <c r="T2406" i="1"/>
  <c r="S2406" i="1"/>
  <c r="R2406" i="1"/>
  <c r="Q2406" i="1"/>
  <c r="P2406" i="1"/>
  <c r="O2406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V2405" i="1"/>
  <c r="U2405" i="1"/>
  <c r="T2405" i="1"/>
  <c r="S2405" i="1"/>
  <c r="R2405" i="1"/>
  <c r="Q2405" i="1"/>
  <c r="P2405" i="1"/>
  <c r="O2405" i="1"/>
  <c r="N2405" i="1"/>
  <c r="M2405" i="1"/>
  <c r="L2405" i="1"/>
  <c r="K2405" i="1"/>
  <c r="J2405" i="1"/>
  <c r="I2405" i="1"/>
  <c r="H2405" i="1"/>
  <c r="G2405" i="1"/>
  <c r="F2405" i="1"/>
  <c r="E2405" i="1"/>
  <c r="D2405" i="1"/>
  <c r="C2405" i="1"/>
  <c r="V2404" i="1"/>
  <c r="U2404" i="1"/>
  <c r="T2404" i="1"/>
  <c r="S2404" i="1"/>
  <c r="R2404" i="1"/>
  <c r="Q2404" i="1"/>
  <c r="P2404" i="1"/>
  <c r="O2404" i="1"/>
  <c r="N2404" i="1"/>
  <c r="M2404" i="1"/>
  <c r="L2404" i="1"/>
  <c r="K2404" i="1"/>
  <c r="J2404" i="1"/>
  <c r="I2404" i="1"/>
  <c r="H2404" i="1"/>
  <c r="G2404" i="1"/>
  <c r="F2404" i="1"/>
  <c r="E2404" i="1"/>
  <c r="D2404" i="1"/>
  <c r="C2404" i="1"/>
  <c r="V2403" i="1"/>
  <c r="U2403" i="1"/>
  <c r="T2403" i="1"/>
  <c r="S2403" i="1"/>
  <c r="R2403" i="1"/>
  <c r="Q2403" i="1"/>
  <c r="P2403" i="1"/>
  <c r="O2403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V2402" i="1"/>
  <c r="U2402" i="1"/>
  <c r="T2402" i="1"/>
  <c r="S2402" i="1"/>
  <c r="R2402" i="1"/>
  <c r="Q2402" i="1"/>
  <c r="P2402" i="1"/>
  <c r="O2402" i="1"/>
  <c r="N2402" i="1"/>
  <c r="M2402" i="1"/>
  <c r="L2402" i="1"/>
  <c r="K2402" i="1"/>
  <c r="J2402" i="1"/>
  <c r="I2402" i="1"/>
  <c r="H2402" i="1"/>
  <c r="G2402" i="1"/>
  <c r="F2402" i="1"/>
  <c r="E2402" i="1"/>
  <c r="D2402" i="1"/>
  <c r="C2402" i="1"/>
  <c r="V2401" i="1"/>
  <c r="U2401" i="1"/>
  <c r="T2401" i="1"/>
  <c r="S2401" i="1"/>
  <c r="R2401" i="1"/>
  <c r="Q2401" i="1"/>
  <c r="P2401" i="1"/>
  <c r="O2401" i="1"/>
  <c r="N2401" i="1"/>
  <c r="M2401" i="1"/>
  <c r="L2401" i="1"/>
  <c r="K2401" i="1"/>
  <c r="J2401" i="1"/>
  <c r="I2401" i="1"/>
  <c r="H2401" i="1"/>
  <c r="G2401" i="1"/>
  <c r="F2401" i="1"/>
  <c r="E2401" i="1"/>
  <c r="D2401" i="1"/>
  <c r="C2401" i="1"/>
  <c r="V2400" i="1"/>
  <c r="U2400" i="1"/>
  <c r="T2400" i="1"/>
  <c r="S2400" i="1"/>
  <c r="R2400" i="1"/>
  <c r="Q2400" i="1"/>
  <c r="P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V2399" i="1"/>
  <c r="U2399" i="1"/>
  <c r="T2399" i="1"/>
  <c r="S2399" i="1"/>
  <c r="R2399" i="1"/>
  <c r="Q2399" i="1"/>
  <c r="P2399" i="1"/>
  <c r="O2399" i="1"/>
  <c r="N2399" i="1"/>
  <c r="M2399" i="1"/>
  <c r="L2399" i="1"/>
  <c r="K2399" i="1"/>
  <c r="J2399" i="1"/>
  <c r="I2399" i="1"/>
  <c r="H2399" i="1"/>
  <c r="G2399" i="1"/>
  <c r="F2399" i="1"/>
  <c r="E2399" i="1"/>
  <c r="D2399" i="1"/>
  <c r="C2399" i="1"/>
  <c r="V2398" i="1"/>
  <c r="U2398" i="1"/>
  <c r="T2398" i="1"/>
  <c r="S2398" i="1"/>
  <c r="R2398" i="1"/>
  <c r="Q2398" i="1"/>
  <c r="P2398" i="1"/>
  <c r="O2398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V2397" i="1"/>
  <c r="U2397" i="1"/>
  <c r="T2397" i="1"/>
  <c r="S2397" i="1"/>
  <c r="R2397" i="1"/>
  <c r="Q2397" i="1"/>
  <c r="P2397" i="1"/>
  <c r="O2397" i="1"/>
  <c r="N2397" i="1"/>
  <c r="M2397" i="1"/>
  <c r="L2397" i="1"/>
  <c r="K2397" i="1"/>
  <c r="J2397" i="1"/>
  <c r="I2397" i="1"/>
  <c r="H2397" i="1"/>
  <c r="G2397" i="1"/>
  <c r="F2397" i="1"/>
  <c r="E2397" i="1"/>
  <c r="D2397" i="1"/>
  <c r="C2397" i="1"/>
  <c r="V2396" i="1"/>
  <c r="U2396" i="1"/>
  <c r="T2396" i="1"/>
  <c r="S2396" i="1"/>
  <c r="R2396" i="1"/>
  <c r="Q2396" i="1"/>
  <c r="P2396" i="1"/>
  <c r="O2396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V2395" i="1"/>
  <c r="U2395" i="1"/>
  <c r="T2395" i="1"/>
  <c r="S2395" i="1"/>
  <c r="R2395" i="1"/>
  <c r="Q2395" i="1"/>
  <c r="P2395" i="1"/>
  <c r="O2395" i="1"/>
  <c r="N2395" i="1"/>
  <c r="M2395" i="1"/>
  <c r="L2395" i="1"/>
  <c r="K2395" i="1"/>
  <c r="J2395" i="1"/>
  <c r="I2395" i="1"/>
  <c r="H2395" i="1"/>
  <c r="G2395" i="1"/>
  <c r="F2395" i="1"/>
  <c r="E2395" i="1"/>
  <c r="D2395" i="1"/>
  <c r="C2395" i="1"/>
  <c r="V2394" i="1"/>
  <c r="U2394" i="1"/>
  <c r="T2394" i="1"/>
  <c r="S2394" i="1"/>
  <c r="R2394" i="1"/>
  <c r="Q2394" i="1"/>
  <c r="P2394" i="1"/>
  <c r="O2394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V2393" i="1"/>
  <c r="U2393" i="1"/>
  <c r="T2393" i="1"/>
  <c r="S2393" i="1"/>
  <c r="R2393" i="1"/>
  <c r="Q2393" i="1"/>
  <c r="P2393" i="1"/>
  <c r="O2393" i="1"/>
  <c r="N2393" i="1"/>
  <c r="M2393" i="1"/>
  <c r="L2393" i="1"/>
  <c r="K2393" i="1"/>
  <c r="J2393" i="1"/>
  <c r="I2393" i="1"/>
  <c r="H2393" i="1"/>
  <c r="G2393" i="1"/>
  <c r="F2393" i="1"/>
  <c r="E2393" i="1"/>
  <c r="D2393" i="1"/>
  <c r="C2393" i="1"/>
  <c r="V2392" i="1"/>
  <c r="U2392" i="1"/>
  <c r="T2392" i="1"/>
  <c r="S2392" i="1"/>
  <c r="R2392" i="1"/>
  <c r="Q2392" i="1"/>
  <c r="P2392" i="1"/>
  <c r="O2392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V2391" i="1"/>
  <c r="U2391" i="1"/>
  <c r="T2391" i="1"/>
  <c r="S2391" i="1"/>
  <c r="R2391" i="1"/>
  <c r="Q2391" i="1"/>
  <c r="P2391" i="1"/>
  <c r="O2391" i="1"/>
  <c r="N2391" i="1"/>
  <c r="M2391" i="1"/>
  <c r="L2391" i="1"/>
  <c r="K2391" i="1"/>
  <c r="J2391" i="1"/>
  <c r="I2391" i="1"/>
  <c r="H2391" i="1"/>
  <c r="G2391" i="1"/>
  <c r="F2391" i="1"/>
  <c r="E2391" i="1"/>
  <c r="D2391" i="1"/>
  <c r="C2391" i="1"/>
  <c r="V2390" i="1"/>
  <c r="U2390" i="1"/>
  <c r="T2390" i="1"/>
  <c r="S2390" i="1"/>
  <c r="R2390" i="1"/>
  <c r="Q2390" i="1"/>
  <c r="P2390" i="1"/>
  <c r="O2390" i="1"/>
  <c r="N2390" i="1"/>
  <c r="M2390" i="1"/>
  <c r="L2390" i="1"/>
  <c r="K2390" i="1"/>
  <c r="J2390" i="1"/>
  <c r="I2390" i="1"/>
  <c r="H2390" i="1"/>
  <c r="G2390" i="1"/>
  <c r="F2390" i="1"/>
  <c r="E2390" i="1"/>
  <c r="D2390" i="1"/>
  <c r="C2390" i="1"/>
  <c r="V2389" i="1"/>
  <c r="U2389" i="1"/>
  <c r="T2389" i="1"/>
  <c r="S2389" i="1"/>
  <c r="R2389" i="1"/>
  <c r="Q2389" i="1"/>
  <c r="P2389" i="1"/>
  <c r="O2389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V2388" i="1"/>
  <c r="U2388" i="1"/>
  <c r="T2388" i="1"/>
  <c r="S2388" i="1"/>
  <c r="R2388" i="1"/>
  <c r="Q2388" i="1"/>
  <c r="P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C2388" i="1"/>
  <c r="V2387" i="1"/>
  <c r="U2387" i="1"/>
  <c r="T2387" i="1"/>
  <c r="S2387" i="1"/>
  <c r="R2387" i="1"/>
  <c r="Q2387" i="1"/>
  <c r="P2387" i="1"/>
  <c r="O2387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V2386" i="1"/>
  <c r="U2386" i="1"/>
  <c r="T2386" i="1"/>
  <c r="S2386" i="1"/>
  <c r="R2386" i="1"/>
  <c r="Q2386" i="1"/>
  <c r="P2386" i="1"/>
  <c r="O2386" i="1"/>
  <c r="N2386" i="1"/>
  <c r="M2386" i="1"/>
  <c r="L2386" i="1"/>
  <c r="K2386" i="1"/>
  <c r="J2386" i="1"/>
  <c r="I2386" i="1"/>
  <c r="H2386" i="1"/>
  <c r="G2386" i="1"/>
  <c r="F2386" i="1"/>
  <c r="E2386" i="1"/>
  <c r="D2386" i="1"/>
  <c r="C2386" i="1"/>
  <c r="V2385" i="1"/>
  <c r="U2385" i="1"/>
  <c r="T2385" i="1"/>
  <c r="S2385" i="1"/>
  <c r="R2385" i="1"/>
  <c r="Q2385" i="1"/>
  <c r="P2385" i="1"/>
  <c r="O2385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V2384" i="1"/>
  <c r="U2384" i="1"/>
  <c r="T2384" i="1"/>
  <c r="S2384" i="1"/>
  <c r="R2384" i="1"/>
  <c r="Q2384" i="1"/>
  <c r="P2384" i="1"/>
  <c r="O2384" i="1"/>
  <c r="N2384" i="1"/>
  <c r="M2384" i="1"/>
  <c r="L2384" i="1"/>
  <c r="K2384" i="1"/>
  <c r="J2384" i="1"/>
  <c r="I2384" i="1"/>
  <c r="H2384" i="1"/>
  <c r="G2384" i="1"/>
  <c r="F2384" i="1"/>
  <c r="E2384" i="1"/>
  <c r="D2384" i="1"/>
  <c r="C2384" i="1"/>
  <c r="V2383" i="1"/>
  <c r="U2383" i="1"/>
  <c r="T2383" i="1"/>
  <c r="S2383" i="1"/>
  <c r="R2383" i="1"/>
  <c r="Q2383" i="1"/>
  <c r="P2383" i="1"/>
  <c r="O2383" i="1"/>
  <c r="N2383" i="1"/>
  <c r="M2383" i="1"/>
  <c r="L2383" i="1"/>
  <c r="K2383" i="1"/>
  <c r="J2383" i="1"/>
  <c r="I2383" i="1"/>
  <c r="H2383" i="1"/>
  <c r="G2383" i="1"/>
  <c r="F2383" i="1"/>
  <c r="E2383" i="1"/>
  <c r="D2383" i="1"/>
  <c r="C2383" i="1"/>
  <c r="V2382" i="1"/>
  <c r="U2382" i="1"/>
  <c r="T2382" i="1"/>
  <c r="S2382" i="1"/>
  <c r="R2382" i="1"/>
  <c r="Q2382" i="1"/>
  <c r="P2382" i="1"/>
  <c r="O2382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V2381" i="1"/>
  <c r="U2381" i="1"/>
  <c r="T2381" i="1"/>
  <c r="S2381" i="1"/>
  <c r="R2381" i="1"/>
  <c r="Q2381" i="1"/>
  <c r="P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C2381" i="1"/>
  <c r="V2380" i="1"/>
  <c r="U2380" i="1"/>
  <c r="T2380" i="1"/>
  <c r="S2380" i="1"/>
  <c r="R2380" i="1"/>
  <c r="Q2380" i="1"/>
  <c r="P2380" i="1"/>
  <c r="O2380" i="1"/>
  <c r="N2380" i="1"/>
  <c r="M2380" i="1"/>
  <c r="L2380" i="1"/>
  <c r="K2380" i="1"/>
  <c r="J2380" i="1"/>
  <c r="I2380" i="1"/>
  <c r="H2380" i="1"/>
  <c r="G2380" i="1"/>
  <c r="F2380" i="1"/>
  <c r="E2380" i="1"/>
  <c r="D2380" i="1"/>
  <c r="C2380" i="1"/>
  <c r="V2379" i="1"/>
  <c r="U2379" i="1"/>
  <c r="T2379" i="1"/>
  <c r="S2379" i="1"/>
  <c r="R2379" i="1"/>
  <c r="Q2379" i="1"/>
  <c r="P2379" i="1"/>
  <c r="O2379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V2378" i="1"/>
  <c r="U2378" i="1"/>
  <c r="T2378" i="1"/>
  <c r="S2378" i="1"/>
  <c r="R2378" i="1"/>
  <c r="Q2378" i="1"/>
  <c r="P2378" i="1"/>
  <c r="O2378" i="1"/>
  <c r="N2378" i="1"/>
  <c r="M2378" i="1"/>
  <c r="L2378" i="1"/>
  <c r="K2378" i="1"/>
  <c r="J2378" i="1"/>
  <c r="I2378" i="1"/>
  <c r="H2378" i="1"/>
  <c r="G2378" i="1"/>
  <c r="F2378" i="1"/>
  <c r="E2378" i="1"/>
  <c r="D2378" i="1"/>
  <c r="C2378" i="1"/>
  <c r="V2377" i="1"/>
  <c r="U2377" i="1"/>
  <c r="T2377" i="1"/>
  <c r="S2377" i="1"/>
  <c r="R2377" i="1"/>
  <c r="Q2377" i="1"/>
  <c r="P2377" i="1"/>
  <c r="O2377" i="1"/>
  <c r="N2377" i="1"/>
  <c r="M2377" i="1"/>
  <c r="L2377" i="1"/>
  <c r="K2377" i="1"/>
  <c r="J2377" i="1"/>
  <c r="I2377" i="1"/>
  <c r="H2377" i="1"/>
  <c r="G2377" i="1"/>
  <c r="F2377" i="1"/>
  <c r="E2377" i="1"/>
  <c r="D2377" i="1"/>
  <c r="C2377" i="1"/>
  <c r="V2376" i="1"/>
  <c r="U2376" i="1"/>
  <c r="T2376" i="1"/>
  <c r="S2376" i="1"/>
  <c r="R2376" i="1"/>
  <c r="Q2376" i="1"/>
  <c r="P2376" i="1"/>
  <c r="O2376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V2375" i="1"/>
  <c r="U2375" i="1"/>
  <c r="T2375" i="1"/>
  <c r="S2375" i="1"/>
  <c r="R2375" i="1"/>
  <c r="Q2375" i="1"/>
  <c r="P2375" i="1"/>
  <c r="O2375" i="1"/>
  <c r="N2375" i="1"/>
  <c r="M2375" i="1"/>
  <c r="L2375" i="1"/>
  <c r="K2375" i="1"/>
  <c r="J2375" i="1"/>
  <c r="I2375" i="1"/>
  <c r="H2375" i="1"/>
  <c r="G2375" i="1"/>
  <c r="F2375" i="1"/>
  <c r="E2375" i="1"/>
  <c r="D2375" i="1"/>
  <c r="C2375" i="1"/>
  <c r="V2374" i="1"/>
  <c r="U2374" i="1"/>
  <c r="T2374" i="1"/>
  <c r="S2374" i="1"/>
  <c r="R2374" i="1"/>
  <c r="Q2374" i="1"/>
  <c r="P2374" i="1"/>
  <c r="O2374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V2373" i="1"/>
  <c r="U2373" i="1"/>
  <c r="T2373" i="1"/>
  <c r="S2373" i="1"/>
  <c r="R2373" i="1"/>
  <c r="Q2373" i="1"/>
  <c r="P2373" i="1"/>
  <c r="O2373" i="1"/>
  <c r="N2373" i="1"/>
  <c r="M2373" i="1"/>
  <c r="L2373" i="1"/>
  <c r="K2373" i="1"/>
  <c r="J2373" i="1"/>
  <c r="I2373" i="1"/>
  <c r="H2373" i="1"/>
  <c r="G2373" i="1"/>
  <c r="F2373" i="1"/>
  <c r="E2373" i="1"/>
  <c r="D2373" i="1"/>
  <c r="C2373" i="1"/>
  <c r="V2372" i="1"/>
  <c r="U2372" i="1"/>
  <c r="T2372" i="1"/>
  <c r="S2372" i="1"/>
  <c r="R2372" i="1"/>
  <c r="Q2372" i="1"/>
  <c r="P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C2372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V2370" i="1"/>
  <c r="U2370" i="1"/>
  <c r="T2370" i="1"/>
  <c r="S2370" i="1"/>
  <c r="R2370" i="1"/>
  <c r="Q2370" i="1"/>
  <c r="P2370" i="1"/>
  <c r="O2370" i="1"/>
  <c r="N2370" i="1"/>
  <c r="M2370" i="1"/>
  <c r="L2370" i="1"/>
  <c r="K2370" i="1"/>
  <c r="J2370" i="1"/>
  <c r="I2370" i="1"/>
  <c r="H2370" i="1"/>
  <c r="G2370" i="1"/>
  <c r="F2370" i="1"/>
  <c r="E2370" i="1"/>
  <c r="D2370" i="1"/>
  <c r="C2370" i="1"/>
  <c r="V2369" i="1"/>
  <c r="U2369" i="1"/>
  <c r="T2369" i="1"/>
  <c r="S2369" i="1"/>
  <c r="R2369" i="1"/>
  <c r="Q2369" i="1"/>
  <c r="P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C2369" i="1"/>
  <c r="V2368" i="1"/>
  <c r="U2368" i="1"/>
  <c r="T2368" i="1"/>
  <c r="S2368" i="1"/>
  <c r="R2368" i="1"/>
  <c r="Q2368" i="1"/>
  <c r="P2368" i="1"/>
  <c r="O2368" i="1"/>
  <c r="N2368" i="1"/>
  <c r="M2368" i="1"/>
  <c r="L2368" i="1"/>
  <c r="K2368" i="1"/>
  <c r="J2368" i="1"/>
  <c r="I2368" i="1"/>
  <c r="H2368" i="1"/>
  <c r="G2368" i="1"/>
  <c r="F2368" i="1"/>
  <c r="E2368" i="1"/>
  <c r="D2368" i="1"/>
  <c r="C2368" i="1"/>
  <c r="V2367" i="1"/>
  <c r="U2367" i="1"/>
  <c r="T2367" i="1"/>
  <c r="S2367" i="1"/>
  <c r="R2367" i="1"/>
  <c r="Q2367" i="1"/>
  <c r="P2367" i="1"/>
  <c r="O2367" i="1"/>
  <c r="N2367" i="1"/>
  <c r="M2367" i="1"/>
  <c r="L2367" i="1"/>
  <c r="K2367" i="1"/>
  <c r="J2367" i="1"/>
  <c r="I2367" i="1"/>
  <c r="H2367" i="1"/>
  <c r="G2367" i="1"/>
  <c r="F2367" i="1"/>
  <c r="E2367" i="1"/>
  <c r="D2367" i="1"/>
  <c r="C2367" i="1"/>
  <c r="V2366" i="1"/>
  <c r="U2366" i="1"/>
  <c r="T2366" i="1"/>
  <c r="S2366" i="1"/>
  <c r="R2366" i="1"/>
  <c r="Q2366" i="1"/>
  <c r="P2366" i="1"/>
  <c r="O2366" i="1"/>
  <c r="N2366" i="1"/>
  <c r="M2366" i="1"/>
  <c r="L2366" i="1"/>
  <c r="K2366" i="1"/>
  <c r="J2366" i="1"/>
  <c r="I2366" i="1"/>
  <c r="H2366" i="1"/>
  <c r="G2366" i="1"/>
  <c r="F2366" i="1"/>
  <c r="E2366" i="1"/>
  <c r="D2366" i="1"/>
  <c r="C2366" i="1"/>
  <c r="V2365" i="1"/>
  <c r="U2365" i="1"/>
  <c r="T2365" i="1"/>
  <c r="S2365" i="1"/>
  <c r="R2365" i="1"/>
  <c r="Q2365" i="1"/>
  <c r="P2365" i="1"/>
  <c r="O2365" i="1"/>
  <c r="N2365" i="1"/>
  <c r="M2365" i="1"/>
  <c r="L2365" i="1"/>
  <c r="K2365" i="1"/>
  <c r="J2365" i="1"/>
  <c r="I2365" i="1"/>
  <c r="H2365" i="1"/>
  <c r="G2365" i="1"/>
  <c r="F2365" i="1"/>
  <c r="E2365" i="1"/>
  <c r="D2365" i="1"/>
  <c r="C2365" i="1"/>
  <c r="V2364" i="1"/>
  <c r="U2364" i="1"/>
  <c r="T2364" i="1"/>
  <c r="S2364" i="1"/>
  <c r="R2364" i="1"/>
  <c r="Q2364" i="1"/>
  <c r="P2364" i="1"/>
  <c r="O2364" i="1"/>
  <c r="N2364" i="1"/>
  <c r="M2364" i="1"/>
  <c r="L2364" i="1"/>
  <c r="K2364" i="1"/>
  <c r="J2364" i="1"/>
  <c r="I2364" i="1"/>
  <c r="H2364" i="1"/>
  <c r="G2364" i="1"/>
  <c r="F2364" i="1"/>
  <c r="E2364" i="1"/>
  <c r="D2364" i="1"/>
  <c r="C2364" i="1"/>
  <c r="V2363" i="1"/>
  <c r="U2363" i="1"/>
  <c r="T2363" i="1"/>
  <c r="S2363" i="1"/>
  <c r="R2363" i="1"/>
  <c r="Q2363" i="1"/>
  <c r="P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C2363" i="1"/>
  <c r="V2362" i="1"/>
  <c r="U2362" i="1"/>
  <c r="T2362" i="1"/>
  <c r="S2362" i="1"/>
  <c r="R2362" i="1"/>
  <c r="Q2362" i="1"/>
  <c r="P2362" i="1"/>
  <c r="O2362" i="1"/>
  <c r="N2362" i="1"/>
  <c r="M2362" i="1"/>
  <c r="L2362" i="1"/>
  <c r="K2362" i="1"/>
  <c r="J2362" i="1"/>
  <c r="I2362" i="1"/>
  <c r="H2362" i="1"/>
  <c r="G2362" i="1"/>
  <c r="F2362" i="1"/>
  <c r="E2362" i="1"/>
  <c r="D2362" i="1"/>
  <c r="C2362" i="1"/>
  <c r="V2361" i="1"/>
  <c r="U2361" i="1"/>
  <c r="T2361" i="1"/>
  <c r="S2361" i="1"/>
  <c r="R2361" i="1"/>
  <c r="Q2361" i="1"/>
  <c r="P2361" i="1"/>
  <c r="O2361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V2360" i="1"/>
  <c r="U2360" i="1"/>
  <c r="T2360" i="1"/>
  <c r="S2360" i="1"/>
  <c r="R2360" i="1"/>
  <c r="Q2360" i="1"/>
  <c r="P2360" i="1"/>
  <c r="O2360" i="1"/>
  <c r="N2360" i="1"/>
  <c r="M2360" i="1"/>
  <c r="L2360" i="1"/>
  <c r="K2360" i="1"/>
  <c r="J2360" i="1"/>
  <c r="I2360" i="1"/>
  <c r="H2360" i="1"/>
  <c r="G2360" i="1"/>
  <c r="F2360" i="1"/>
  <c r="E2360" i="1"/>
  <c r="D2360" i="1"/>
  <c r="C2360" i="1"/>
  <c r="V2359" i="1"/>
  <c r="U2359" i="1"/>
  <c r="T2359" i="1"/>
  <c r="S2359" i="1"/>
  <c r="R2359" i="1"/>
  <c r="Q2359" i="1"/>
  <c r="P2359" i="1"/>
  <c r="O2359" i="1"/>
  <c r="N2359" i="1"/>
  <c r="M2359" i="1"/>
  <c r="L2359" i="1"/>
  <c r="K2359" i="1"/>
  <c r="J2359" i="1"/>
  <c r="I2359" i="1"/>
  <c r="H2359" i="1"/>
  <c r="G2359" i="1"/>
  <c r="F2359" i="1"/>
  <c r="E2359" i="1"/>
  <c r="D2359" i="1"/>
  <c r="C2359" i="1"/>
  <c r="V2358" i="1"/>
  <c r="U2358" i="1"/>
  <c r="T2358" i="1"/>
  <c r="S2358" i="1"/>
  <c r="R2358" i="1"/>
  <c r="Q2358" i="1"/>
  <c r="P2358" i="1"/>
  <c r="O2358" i="1"/>
  <c r="N2358" i="1"/>
  <c r="M2358" i="1"/>
  <c r="L2358" i="1"/>
  <c r="K2358" i="1"/>
  <c r="J2358" i="1"/>
  <c r="I2358" i="1"/>
  <c r="H2358" i="1"/>
  <c r="G2358" i="1"/>
  <c r="F2358" i="1"/>
  <c r="E2358" i="1"/>
  <c r="D2358" i="1"/>
  <c r="C2358" i="1"/>
  <c r="V2357" i="1"/>
  <c r="U2357" i="1"/>
  <c r="T2357" i="1"/>
  <c r="S2357" i="1"/>
  <c r="R2357" i="1"/>
  <c r="Q2357" i="1"/>
  <c r="P2357" i="1"/>
  <c r="O2357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V2356" i="1"/>
  <c r="U2356" i="1"/>
  <c r="T2356" i="1"/>
  <c r="S2356" i="1"/>
  <c r="R2356" i="1"/>
  <c r="Q2356" i="1"/>
  <c r="P2356" i="1"/>
  <c r="O2356" i="1"/>
  <c r="N2356" i="1"/>
  <c r="M2356" i="1"/>
  <c r="L2356" i="1"/>
  <c r="K2356" i="1"/>
  <c r="J2356" i="1"/>
  <c r="I2356" i="1"/>
  <c r="H2356" i="1"/>
  <c r="G2356" i="1"/>
  <c r="F2356" i="1"/>
  <c r="E2356" i="1"/>
  <c r="D2356" i="1"/>
  <c r="C2356" i="1"/>
  <c r="V2355" i="1"/>
  <c r="U2355" i="1"/>
  <c r="T2355" i="1"/>
  <c r="S2355" i="1"/>
  <c r="R2355" i="1"/>
  <c r="Q2355" i="1"/>
  <c r="P2355" i="1"/>
  <c r="O2355" i="1"/>
  <c r="N2355" i="1"/>
  <c r="M2355" i="1"/>
  <c r="L2355" i="1"/>
  <c r="K2355" i="1"/>
  <c r="J2355" i="1"/>
  <c r="I2355" i="1"/>
  <c r="H2355" i="1"/>
  <c r="G2355" i="1"/>
  <c r="F2355" i="1"/>
  <c r="E2355" i="1"/>
  <c r="D2355" i="1"/>
  <c r="C2355" i="1"/>
  <c r="V2354" i="1"/>
  <c r="U2354" i="1"/>
  <c r="T2354" i="1"/>
  <c r="S2354" i="1"/>
  <c r="R2354" i="1"/>
  <c r="Q2354" i="1"/>
  <c r="P2354" i="1"/>
  <c r="O2354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V2353" i="1"/>
  <c r="U2353" i="1"/>
  <c r="T2353" i="1"/>
  <c r="S2353" i="1"/>
  <c r="R2353" i="1"/>
  <c r="Q2353" i="1"/>
  <c r="P2353" i="1"/>
  <c r="O2353" i="1"/>
  <c r="N2353" i="1"/>
  <c r="M2353" i="1"/>
  <c r="L2353" i="1"/>
  <c r="K2353" i="1"/>
  <c r="J2353" i="1"/>
  <c r="I2353" i="1"/>
  <c r="H2353" i="1"/>
  <c r="G2353" i="1"/>
  <c r="F2353" i="1"/>
  <c r="E2353" i="1"/>
  <c r="D2353" i="1"/>
  <c r="C2353" i="1"/>
  <c r="V2352" i="1"/>
  <c r="U2352" i="1"/>
  <c r="T2352" i="1"/>
  <c r="S2352" i="1"/>
  <c r="R2352" i="1"/>
  <c r="Q2352" i="1"/>
  <c r="P2352" i="1"/>
  <c r="O2352" i="1"/>
  <c r="N2352" i="1"/>
  <c r="M2352" i="1"/>
  <c r="L2352" i="1"/>
  <c r="K2352" i="1"/>
  <c r="J2352" i="1"/>
  <c r="I2352" i="1"/>
  <c r="H2352" i="1"/>
  <c r="G2352" i="1"/>
  <c r="F2352" i="1"/>
  <c r="E2352" i="1"/>
  <c r="D2352" i="1"/>
  <c r="C2352" i="1"/>
  <c r="V2351" i="1"/>
  <c r="U2351" i="1"/>
  <c r="T2351" i="1"/>
  <c r="S2351" i="1"/>
  <c r="R2351" i="1"/>
  <c r="Q2351" i="1"/>
  <c r="P2351" i="1"/>
  <c r="O2351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V2350" i="1"/>
  <c r="U2350" i="1"/>
  <c r="T2350" i="1"/>
  <c r="S2350" i="1"/>
  <c r="R2350" i="1"/>
  <c r="Q2350" i="1"/>
  <c r="P2350" i="1"/>
  <c r="O2350" i="1"/>
  <c r="N2350" i="1"/>
  <c r="M2350" i="1"/>
  <c r="L2350" i="1"/>
  <c r="K2350" i="1"/>
  <c r="J2350" i="1"/>
  <c r="I2350" i="1"/>
  <c r="H2350" i="1"/>
  <c r="G2350" i="1"/>
  <c r="F2350" i="1"/>
  <c r="E2350" i="1"/>
  <c r="D2350" i="1"/>
  <c r="C2350" i="1"/>
  <c r="V2349" i="1"/>
  <c r="U2349" i="1"/>
  <c r="T2349" i="1"/>
  <c r="S2349" i="1"/>
  <c r="R2349" i="1"/>
  <c r="Q2349" i="1"/>
  <c r="P2349" i="1"/>
  <c r="O2349" i="1"/>
  <c r="N2349" i="1"/>
  <c r="M2349" i="1"/>
  <c r="L2349" i="1"/>
  <c r="K2349" i="1"/>
  <c r="J2349" i="1"/>
  <c r="I2349" i="1"/>
  <c r="H2349" i="1"/>
  <c r="G2349" i="1"/>
  <c r="F2349" i="1"/>
  <c r="E2349" i="1"/>
  <c r="D2349" i="1"/>
  <c r="C2349" i="1"/>
  <c r="V2348" i="1"/>
  <c r="U2348" i="1"/>
  <c r="T2348" i="1"/>
  <c r="S2348" i="1"/>
  <c r="R2348" i="1"/>
  <c r="Q2348" i="1"/>
  <c r="P2348" i="1"/>
  <c r="O2348" i="1"/>
  <c r="N2348" i="1"/>
  <c r="M2348" i="1"/>
  <c r="L2348" i="1"/>
  <c r="K2348" i="1"/>
  <c r="J2348" i="1"/>
  <c r="I2348" i="1"/>
  <c r="H2348" i="1"/>
  <c r="G2348" i="1"/>
  <c r="F2348" i="1"/>
  <c r="E2348" i="1"/>
  <c r="D2348" i="1"/>
  <c r="C2348" i="1"/>
  <c r="V2347" i="1"/>
  <c r="U2347" i="1"/>
  <c r="T2347" i="1"/>
  <c r="S2347" i="1"/>
  <c r="R2347" i="1"/>
  <c r="Q2347" i="1"/>
  <c r="P2347" i="1"/>
  <c r="O2347" i="1"/>
  <c r="N2347" i="1"/>
  <c r="M2347" i="1"/>
  <c r="L2347" i="1"/>
  <c r="K2347" i="1"/>
  <c r="J2347" i="1"/>
  <c r="I2347" i="1"/>
  <c r="H2347" i="1"/>
  <c r="G2347" i="1"/>
  <c r="F2347" i="1"/>
  <c r="E2347" i="1"/>
  <c r="D2347" i="1"/>
  <c r="C2347" i="1"/>
  <c r="V2346" i="1"/>
  <c r="U2346" i="1"/>
  <c r="T2346" i="1"/>
  <c r="S2346" i="1"/>
  <c r="R2346" i="1"/>
  <c r="Q2346" i="1"/>
  <c r="P2346" i="1"/>
  <c r="O2346" i="1"/>
  <c r="N2346" i="1"/>
  <c r="M2346" i="1"/>
  <c r="L2346" i="1"/>
  <c r="K2346" i="1"/>
  <c r="J2346" i="1"/>
  <c r="I2346" i="1"/>
  <c r="H2346" i="1"/>
  <c r="G2346" i="1"/>
  <c r="F2346" i="1"/>
  <c r="E2346" i="1"/>
  <c r="D2346" i="1"/>
  <c r="C2346" i="1"/>
  <c r="V2345" i="1"/>
  <c r="U2345" i="1"/>
  <c r="T2345" i="1"/>
  <c r="S2345" i="1"/>
  <c r="R2345" i="1"/>
  <c r="Q2345" i="1"/>
  <c r="P2345" i="1"/>
  <c r="O2345" i="1"/>
  <c r="N2345" i="1"/>
  <c r="M2345" i="1"/>
  <c r="L2345" i="1"/>
  <c r="K2345" i="1"/>
  <c r="J2345" i="1"/>
  <c r="I2345" i="1"/>
  <c r="H2345" i="1"/>
  <c r="G2345" i="1"/>
  <c r="F2345" i="1"/>
  <c r="E2345" i="1"/>
  <c r="D2345" i="1"/>
  <c r="C2345" i="1"/>
  <c r="V2344" i="1"/>
  <c r="U2344" i="1"/>
  <c r="T2344" i="1"/>
  <c r="S2344" i="1"/>
  <c r="R2344" i="1"/>
  <c r="Q2344" i="1"/>
  <c r="P2344" i="1"/>
  <c r="O2344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V2343" i="1"/>
  <c r="U2343" i="1"/>
  <c r="T2343" i="1"/>
  <c r="S2343" i="1"/>
  <c r="R2343" i="1"/>
  <c r="Q2343" i="1"/>
  <c r="P2343" i="1"/>
  <c r="O2343" i="1"/>
  <c r="N2343" i="1"/>
  <c r="M2343" i="1"/>
  <c r="L2343" i="1"/>
  <c r="K2343" i="1"/>
  <c r="J2343" i="1"/>
  <c r="I2343" i="1"/>
  <c r="H2343" i="1"/>
  <c r="G2343" i="1"/>
  <c r="F2343" i="1"/>
  <c r="E2343" i="1"/>
  <c r="D2343" i="1"/>
  <c r="C2343" i="1"/>
  <c r="V2342" i="1"/>
  <c r="U2342" i="1"/>
  <c r="T2342" i="1"/>
  <c r="S2342" i="1"/>
  <c r="R2342" i="1"/>
  <c r="Q2342" i="1"/>
  <c r="P2342" i="1"/>
  <c r="O2342" i="1"/>
  <c r="N2342" i="1"/>
  <c r="M2342" i="1"/>
  <c r="L2342" i="1"/>
  <c r="K2342" i="1"/>
  <c r="J2342" i="1"/>
  <c r="I2342" i="1"/>
  <c r="H2342" i="1"/>
  <c r="G2342" i="1"/>
  <c r="F2342" i="1"/>
  <c r="E2342" i="1"/>
  <c r="D2342" i="1"/>
  <c r="C2342" i="1"/>
  <c r="V2341" i="1"/>
  <c r="U2341" i="1"/>
  <c r="T2341" i="1"/>
  <c r="S2341" i="1"/>
  <c r="R2341" i="1"/>
  <c r="Q2341" i="1"/>
  <c r="P2341" i="1"/>
  <c r="O2341" i="1"/>
  <c r="N2341" i="1"/>
  <c r="M2341" i="1"/>
  <c r="L2341" i="1"/>
  <c r="K2341" i="1"/>
  <c r="J2341" i="1"/>
  <c r="I2341" i="1"/>
  <c r="H2341" i="1"/>
  <c r="G2341" i="1"/>
  <c r="F2341" i="1"/>
  <c r="E2341" i="1"/>
  <c r="D2341" i="1"/>
  <c r="C2341" i="1"/>
  <c r="V2340" i="1"/>
  <c r="U2340" i="1"/>
  <c r="T2340" i="1"/>
  <c r="S2340" i="1"/>
  <c r="R2340" i="1"/>
  <c r="Q2340" i="1"/>
  <c r="P2340" i="1"/>
  <c r="O2340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V2339" i="1"/>
  <c r="U2339" i="1"/>
  <c r="T2339" i="1"/>
  <c r="S2339" i="1"/>
  <c r="R2339" i="1"/>
  <c r="Q2339" i="1"/>
  <c r="P2339" i="1"/>
  <c r="O2339" i="1"/>
  <c r="N2339" i="1"/>
  <c r="M2339" i="1"/>
  <c r="L2339" i="1"/>
  <c r="K2339" i="1"/>
  <c r="J2339" i="1"/>
  <c r="I2339" i="1"/>
  <c r="H2339" i="1"/>
  <c r="G2339" i="1"/>
  <c r="F2339" i="1"/>
  <c r="E2339" i="1"/>
  <c r="D2339" i="1"/>
  <c r="C2339" i="1"/>
  <c r="V2338" i="1"/>
  <c r="U2338" i="1"/>
  <c r="T2338" i="1"/>
  <c r="S2338" i="1"/>
  <c r="R2338" i="1"/>
  <c r="Q2338" i="1"/>
  <c r="P2338" i="1"/>
  <c r="O2338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V2337" i="1"/>
  <c r="U2337" i="1"/>
  <c r="T2337" i="1"/>
  <c r="S2337" i="1"/>
  <c r="R2337" i="1"/>
  <c r="Q2337" i="1"/>
  <c r="P2337" i="1"/>
  <c r="O2337" i="1"/>
  <c r="N2337" i="1"/>
  <c r="M2337" i="1"/>
  <c r="L2337" i="1"/>
  <c r="K2337" i="1"/>
  <c r="J2337" i="1"/>
  <c r="I2337" i="1"/>
  <c r="H2337" i="1"/>
  <c r="G2337" i="1"/>
  <c r="F2337" i="1"/>
  <c r="E2337" i="1"/>
  <c r="D2337" i="1"/>
  <c r="C2337" i="1"/>
  <c r="V2336" i="1"/>
  <c r="U2336" i="1"/>
  <c r="T2336" i="1"/>
  <c r="S2336" i="1"/>
  <c r="R2336" i="1"/>
  <c r="Q2336" i="1"/>
  <c r="P2336" i="1"/>
  <c r="O2336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V2335" i="1"/>
  <c r="U2335" i="1"/>
  <c r="T2335" i="1"/>
  <c r="S2335" i="1"/>
  <c r="R2335" i="1"/>
  <c r="Q2335" i="1"/>
  <c r="P2335" i="1"/>
  <c r="O2335" i="1"/>
  <c r="N2335" i="1"/>
  <c r="M2335" i="1"/>
  <c r="L2335" i="1"/>
  <c r="K2335" i="1"/>
  <c r="J2335" i="1"/>
  <c r="I2335" i="1"/>
  <c r="H2335" i="1"/>
  <c r="G2335" i="1"/>
  <c r="F2335" i="1"/>
  <c r="E2335" i="1"/>
  <c r="D2335" i="1"/>
  <c r="C2335" i="1"/>
  <c r="V2334" i="1"/>
  <c r="U2334" i="1"/>
  <c r="T2334" i="1"/>
  <c r="S2334" i="1"/>
  <c r="R2334" i="1"/>
  <c r="Q2334" i="1"/>
  <c r="P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V2333" i="1"/>
  <c r="U2333" i="1"/>
  <c r="T2333" i="1"/>
  <c r="S2333" i="1"/>
  <c r="R2333" i="1"/>
  <c r="Q2333" i="1"/>
  <c r="P2333" i="1"/>
  <c r="O2333" i="1"/>
  <c r="N2333" i="1"/>
  <c r="M2333" i="1"/>
  <c r="L2333" i="1"/>
  <c r="K2333" i="1"/>
  <c r="J2333" i="1"/>
  <c r="I2333" i="1"/>
  <c r="H2333" i="1"/>
  <c r="G2333" i="1"/>
  <c r="F2333" i="1"/>
  <c r="E2333" i="1"/>
  <c r="D2333" i="1"/>
  <c r="C2333" i="1"/>
  <c r="V2332" i="1"/>
  <c r="U2332" i="1"/>
  <c r="T2332" i="1"/>
  <c r="S2332" i="1"/>
  <c r="R2332" i="1"/>
  <c r="Q2332" i="1"/>
  <c r="P2332" i="1"/>
  <c r="O2332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V2331" i="1"/>
  <c r="U2331" i="1"/>
  <c r="T2331" i="1"/>
  <c r="S2331" i="1"/>
  <c r="R2331" i="1"/>
  <c r="Q2331" i="1"/>
  <c r="P2331" i="1"/>
  <c r="O2331" i="1"/>
  <c r="N2331" i="1"/>
  <c r="M2331" i="1"/>
  <c r="L2331" i="1"/>
  <c r="K2331" i="1"/>
  <c r="J2331" i="1"/>
  <c r="I2331" i="1"/>
  <c r="H2331" i="1"/>
  <c r="G2331" i="1"/>
  <c r="F2331" i="1"/>
  <c r="E2331" i="1"/>
  <c r="D2331" i="1"/>
  <c r="C2331" i="1"/>
  <c r="V2330" i="1"/>
  <c r="U2330" i="1"/>
  <c r="T2330" i="1"/>
  <c r="S2330" i="1"/>
  <c r="R2330" i="1"/>
  <c r="Q2330" i="1"/>
  <c r="P2330" i="1"/>
  <c r="O2330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V2329" i="1"/>
  <c r="U2329" i="1"/>
  <c r="T2329" i="1"/>
  <c r="S2329" i="1"/>
  <c r="R2329" i="1"/>
  <c r="Q2329" i="1"/>
  <c r="P2329" i="1"/>
  <c r="O2329" i="1"/>
  <c r="N2329" i="1"/>
  <c r="M2329" i="1"/>
  <c r="L2329" i="1"/>
  <c r="K2329" i="1"/>
  <c r="J2329" i="1"/>
  <c r="I2329" i="1"/>
  <c r="H2329" i="1"/>
  <c r="G2329" i="1"/>
  <c r="F2329" i="1"/>
  <c r="E2329" i="1"/>
  <c r="D2329" i="1"/>
  <c r="C2329" i="1"/>
  <c r="V2328" i="1"/>
  <c r="U2328" i="1"/>
  <c r="T2328" i="1"/>
  <c r="S2328" i="1"/>
  <c r="R2328" i="1"/>
  <c r="Q2328" i="1"/>
  <c r="P2328" i="1"/>
  <c r="O2328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V2327" i="1"/>
  <c r="U2327" i="1"/>
  <c r="T2327" i="1"/>
  <c r="S2327" i="1"/>
  <c r="R2327" i="1"/>
  <c r="Q2327" i="1"/>
  <c r="P2327" i="1"/>
  <c r="O2327" i="1"/>
  <c r="N2327" i="1"/>
  <c r="M2327" i="1"/>
  <c r="L2327" i="1"/>
  <c r="K2327" i="1"/>
  <c r="J2327" i="1"/>
  <c r="I2327" i="1"/>
  <c r="H2327" i="1"/>
  <c r="G2327" i="1"/>
  <c r="F2327" i="1"/>
  <c r="E2327" i="1"/>
  <c r="D2327" i="1"/>
  <c r="C2327" i="1"/>
  <c r="V2326" i="1"/>
  <c r="U2326" i="1"/>
  <c r="T2326" i="1"/>
  <c r="S2326" i="1"/>
  <c r="R2326" i="1"/>
  <c r="Q2326" i="1"/>
  <c r="P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C2326" i="1"/>
  <c r="V2325" i="1"/>
  <c r="U2325" i="1"/>
  <c r="T2325" i="1"/>
  <c r="S2325" i="1"/>
  <c r="R2325" i="1"/>
  <c r="Q2325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V2324" i="1"/>
  <c r="U2324" i="1"/>
  <c r="T2324" i="1"/>
  <c r="S2324" i="1"/>
  <c r="R2324" i="1"/>
  <c r="Q2324" i="1"/>
  <c r="P2324" i="1"/>
  <c r="O2324" i="1"/>
  <c r="N2324" i="1"/>
  <c r="M2324" i="1"/>
  <c r="L2324" i="1"/>
  <c r="K2324" i="1"/>
  <c r="J2324" i="1"/>
  <c r="I2324" i="1"/>
  <c r="H2324" i="1"/>
  <c r="G2324" i="1"/>
  <c r="F2324" i="1"/>
  <c r="E2324" i="1"/>
  <c r="D2324" i="1"/>
  <c r="C2324" i="1"/>
  <c r="V2323" i="1"/>
  <c r="U2323" i="1"/>
  <c r="T2323" i="1"/>
  <c r="S2323" i="1"/>
  <c r="R2323" i="1"/>
  <c r="Q2323" i="1"/>
  <c r="P2323" i="1"/>
  <c r="O2323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V2322" i="1"/>
  <c r="U2322" i="1"/>
  <c r="T2322" i="1"/>
  <c r="S2322" i="1"/>
  <c r="R2322" i="1"/>
  <c r="Q2322" i="1"/>
  <c r="P2322" i="1"/>
  <c r="O2322" i="1"/>
  <c r="N2322" i="1"/>
  <c r="M2322" i="1"/>
  <c r="L2322" i="1"/>
  <c r="K2322" i="1"/>
  <c r="J2322" i="1"/>
  <c r="I2322" i="1"/>
  <c r="H2322" i="1"/>
  <c r="G2322" i="1"/>
  <c r="F2322" i="1"/>
  <c r="E2322" i="1"/>
  <c r="D2322" i="1"/>
  <c r="C2322" i="1"/>
  <c r="V2321" i="1"/>
  <c r="U2321" i="1"/>
  <c r="T2321" i="1"/>
  <c r="S2321" i="1"/>
  <c r="R2321" i="1"/>
  <c r="Q2321" i="1"/>
  <c r="P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C2321" i="1"/>
  <c r="V2320" i="1"/>
  <c r="U2320" i="1"/>
  <c r="T2320" i="1"/>
  <c r="S2320" i="1"/>
  <c r="R2320" i="1"/>
  <c r="Q2320" i="1"/>
  <c r="P2320" i="1"/>
  <c r="O2320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V2319" i="1"/>
  <c r="U2319" i="1"/>
  <c r="T2319" i="1"/>
  <c r="S2319" i="1"/>
  <c r="R2319" i="1"/>
  <c r="Q2319" i="1"/>
  <c r="P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C2319" i="1"/>
  <c r="V2318" i="1"/>
  <c r="U2318" i="1"/>
  <c r="T2318" i="1"/>
  <c r="S2318" i="1"/>
  <c r="R2318" i="1"/>
  <c r="Q2318" i="1"/>
  <c r="P2318" i="1"/>
  <c r="O2318" i="1"/>
  <c r="N2318" i="1"/>
  <c r="M2318" i="1"/>
  <c r="L2318" i="1"/>
  <c r="K2318" i="1"/>
  <c r="J2318" i="1"/>
  <c r="I2318" i="1"/>
  <c r="H2318" i="1"/>
  <c r="G2318" i="1"/>
  <c r="F2318" i="1"/>
  <c r="E2318" i="1"/>
  <c r="D2318" i="1"/>
  <c r="C2318" i="1"/>
  <c r="V2317" i="1"/>
  <c r="U2317" i="1"/>
  <c r="T2317" i="1"/>
  <c r="S2317" i="1"/>
  <c r="R2317" i="1"/>
  <c r="Q2317" i="1"/>
  <c r="P2317" i="1"/>
  <c r="O2317" i="1"/>
  <c r="N2317" i="1"/>
  <c r="M2317" i="1"/>
  <c r="L2317" i="1"/>
  <c r="K2317" i="1"/>
  <c r="J2317" i="1"/>
  <c r="I2317" i="1"/>
  <c r="H2317" i="1"/>
  <c r="G2317" i="1"/>
  <c r="F2317" i="1"/>
  <c r="E2317" i="1"/>
  <c r="D2317" i="1"/>
  <c r="C2317" i="1"/>
  <c r="V2316" i="1"/>
  <c r="U2316" i="1"/>
  <c r="T2316" i="1"/>
  <c r="S2316" i="1"/>
  <c r="R2316" i="1"/>
  <c r="Q2316" i="1"/>
  <c r="P2316" i="1"/>
  <c r="O2316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V2315" i="1"/>
  <c r="U2315" i="1"/>
  <c r="T2315" i="1"/>
  <c r="S2315" i="1"/>
  <c r="R2315" i="1"/>
  <c r="Q2315" i="1"/>
  <c r="P2315" i="1"/>
  <c r="O2315" i="1"/>
  <c r="N2315" i="1"/>
  <c r="M2315" i="1"/>
  <c r="L2315" i="1"/>
  <c r="K2315" i="1"/>
  <c r="J2315" i="1"/>
  <c r="I2315" i="1"/>
  <c r="H2315" i="1"/>
  <c r="G2315" i="1"/>
  <c r="F2315" i="1"/>
  <c r="E2315" i="1"/>
  <c r="D2315" i="1"/>
  <c r="C2315" i="1"/>
  <c r="V2314" i="1"/>
  <c r="U2314" i="1"/>
  <c r="T2314" i="1"/>
  <c r="S2314" i="1"/>
  <c r="R2314" i="1"/>
  <c r="Q2314" i="1"/>
  <c r="P2314" i="1"/>
  <c r="O2314" i="1"/>
  <c r="N2314" i="1"/>
  <c r="M2314" i="1"/>
  <c r="L2314" i="1"/>
  <c r="K2314" i="1"/>
  <c r="J2314" i="1"/>
  <c r="I2314" i="1"/>
  <c r="H2314" i="1"/>
  <c r="G2314" i="1"/>
  <c r="F2314" i="1"/>
  <c r="E2314" i="1"/>
  <c r="D2314" i="1"/>
  <c r="C2314" i="1"/>
  <c r="V2313" i="1"/>
  <c r="U2313" i="1"/>
  <c r="T2313" i="1"/>
  <c r="S2313" i="1"/>
  <c r="R2313" i="1"/>
  <c r="Q2313" i="1"/>
  <c r="P2313" i="1"/>
  <c r="O2313" i="1"/>
  <c r="N2313" i="1"/>
  <c r="M2313" i="1"/>
  <c r="L2313" i="1"/>
  <c r="K2313" i="1"/>
  <c r="J2313" i="1"/>
  <c r="I2313" i="1"/>
  <c r="H2313" i="1"/>
  <c r="G2313" i="1"/>
  <c r="F2313" i="1"/>
  <c r="E2313" i="1"/>
  <c r="D2313" i="1"/>
  <c r="C2313" i="1"/>
  <c r="V2312" i="1"/>
  <c r="U2312" i="1"/>
  <c r="T2312" i="1"/>
  <c r="S2312" i="1"/>
  <c r="R2312" i="1"/>
  <c r="Q2312" i="1"/>
  <c r="P2312" i="1"/>
  <c r="O2312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V2311" i="1"/>
  <c r="U2311" i="1"/>
  <c r="T2311" i="1"/>
  <c r="S2311" i="1"/>
  <c r="R2311" i="1"/>
  <c r="Q2311" i="1"/>
  <c r="P2311" i="1"/>
  <c r="O2311" i="1"/>
  <c r="N2311" i="1"/>
  <c r="M2311" i="1"/>
  <c r="L2311" i="1"/>
  <c r="K2311" i="1"/>
  <c r="J2311" i="1"/>
  <c r="I2311" i="1"/>
  <c r="H2311" i="1"/>
  <c r="G2311" i="1"/>
  <c r="F2311" i="1"/>
  <c r="E2311" i="1"/>
  <c r="D2311" i="1"/>
  <c r="C2311" i="1"/>
  <c r="V2310" i="1"/>
  <c r="U2310" i="1"/>
  <c r="T2310" i="1"/>
  <c r="S2310" i="1"/>
  <c r="R2310" i="1"/>
  <c r="Q2310" i="1"/>
  <c r="P2310" i="1"/>
  <c r="O2310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V2309" i="1"/>
  <c r="U2309" i="1"/>
  <c r="T2309" i="1"/>
  <c r="S2309" i="1"/>
  <c r="R2309" i="1"/>
  <c r="Q2309" i="1"/>
  <c r="P2309" i="1"/>
  <c r="O2309" i="1"/>
  <c r="N2309" i="1"/>
  <c r="M2309" i="1"/>
  <c r="L2309" i="1"/>
  <c r="K2309" i="1"/>
  <c r="J2309" i="1"/>
  <c r="I2309" i="1"/>
  <c r="H2309" i="1"/>
  <c r="G2309" i="1"/>
  <c r="F2309" i="1"/>
  <c r="E2309" i="1"/>
  <c r="D2309" i="1"/>
  <c r="C2309" i="1"/>
  <c r="V2308" i="1"/>
  <c r="U2308" i="1"/>
  <c r="T2308" i="1"/>
  <c r="S2308" i="1"/>
  <c r="R2308" i="1"/>
  <c r="Q2308" i="1"/>
  <c r="P2308" i="1"/>
  <c r="O2308" i="1"/>
  <c r="N2308" i="1"/>
  <c r="M2308" i="1"/>
  <c r="L2308" i="1"/>
  <c r="K2308" i="1"/>
  <c r="J2308" i="1"/>
  <c r="I2308" i="1"/>
  <c r="H2308" i="1"/>
  <c r="G2308" i="1"/>
  <c r="F2308" i="1"/>
  <c r="E2308" i="1"/>
  <c r="D2308" i="1"/>
  <c r="C2308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V2306" i="1"/>
  <c r="U2306" i="1"/>
  <c r="T2306" i="1"/>
  <c r="S2306" i="1"/>
  <c r="R2306" i="1"/>
  <c r="Q2306" i="1"/>
  <c r="P2306" i="1"/>
  <c r="O2306" i="1"/>
  <c r="N2306" i="1"/>
  <c r="M2306" i="1"/>
  <c r="L2306" i="1"/>
  <c r="K2306" i="1"/>
  <c r="J2306" i="1"/>
  <c r="I2306" i="1"/>
  <c r="H2306" i="1"/>
  <c r="G2306" i="1"/>
  <c r="F2306" i="1"/>
  <c r="E2306" i="1"/>
  <c r="D2306" i="1"/>
  <c r="C2306" i="1"/>
  <c r="V2305" i="1"/>
  <c r="U2305" i="1"/>
  <c r="T2305" i="1"/>
  <c r="S2305" i="1"/>
  <c r="R2305" i="1"/>
  <c r="Q2305" i="1"/>
  <c r="P2305" i="1"/>
  <c r="O2305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V2304" i="1"/>
  <c r="U2304" i="1"/>
  <c r="T2304" i="1"/>
  <c r="S2304" i="1"/>
  <c r="R2304" i="1"/>
  <c r="Q2304" i="1"/>
  <c r="P2304" i="1"/>
  <c r="O2304" i="1"/>
  <c r="N2304" i="1"/>
  <c r="M2304" i="1"/>
  <c r="L2304" i="1"/>
  <c r="K2304" i="1"/>
  <c r="J2304" i="1"/>
  <c r="I2304" i="1"/>
  <c r="H2304" i="1"/>
  <c r="G2304" i="1"/>
  <c r="F2304" i="1"/>
  <c r="E2304" i="1"/>
  <c r="D2304" i="1"/>
  <c r="C2304" i="1"/>
  <c r="V2303" i="1"/>
  <c r="U2303" i="1"/>
  <c r="T2303" i="1"/>
  <c r="S2303" i="1"/>
  <c r="R2303" i="1"/>
  <c r="Q2303" i="1"/>
  <c r="P2303" i="1"/>
  <c r="O2303" i="1"/>
  <c r="N2303" i="1"/>
  <c r="M2303" i="1"/>
  <c r="L2303" i="1"/>
  <c r="K2303" i="1"/>
  <c r="J2303" i="1"/>
  <c r="I2303" i="1"/>
  <c r="H2303" i="1"/>
  <c r="G2303" i="1"/>
  <c r="F2303" i="1"/>
  <c r="E2303" i="1"/>
  <c r="D2303" i="1"/>
  <c r="C2303" i="1"/>
  <c r="V2302" i="1"/>
  <c r="U2302" i="1"/>
  <c r="T2302" i="1"/>
  <c r="S2302" i="1"/>
  <c r="R2302" i="1"/>
  <c r="Q2302" i="1"/>
  <c r="P2302" i="1"/>
  <c r="O2302" i="1"/>
  <c r="N2302" i="1"/>
  <c r="M2302" i="1"/>
  <c r="L2302" i="1"/>
  <c r="K2302" i="1"/>
  <c r="J2302" i="1"/>
  <c r="I2302" i="1"/>
  <c r="H2302" i="1"/>
  <c r="G2302" i="1"/>
  <c r="F2302" i="1"/>
  <c r="E2302" i="1"/>
  <c r="D2302" i="1"/>
  <c r="C2302" i="1"/>
  <c r="V2301" i="1"/>
  <c r="U2301" i="1"/>
  <c r="T2301" i="1"/>
  <c r="S2301" i="1"/>
  <c r="R2301" i="1"/>
  <c r="Q2301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C2301" i="1"/>
  <c r="V2300" i="1"/>
  <c r="U2300" i="1"/>
  <c r="T2300" i="1"/>
  <c r="S2300" i="1"/>
  <c r="R2300" i="1"/>
  <c r="Q2300" i="1"/>
  <c r="P2300" i="1"/>
  <c r="O2300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V2299" i="1"/>
  <c r="U2299" i="1"/>
  <c r="T2299" i="1"/>
  <c r="S2299" i="1"/>
  <c r="R2299" i="1"/>
  <c r="Q2299" i="1"/>
  <c r="P2299" i="1"/>
  <c r="O2299" i="1"/>
  <c r="N2299" i="1"/>
  <c r="M2299" i="1"/>
  <c r="L2299" i="1"/>
  <c r="K2299" i="1"/>
  <c r="J2299" i="1"/>
  <c r="I2299" i="1"/>
  <c r="H2299" i="1"/>
  <c r="G2299" i="1"/>
  <c r="F2299" i="1"/>
  <c r="E2299" i="1"/>
  <c r="D2299" i="1"/>
  <c r="C2299" i="1"/>
  <c r="V2298" i="1"/>
  <c r="U2298" i="1"/>
  <c r="T2298" i="1"/>
  <c r="S2298" i="1"/>
  <c r="R2298" i="1"/>
  <c r="Q2298" i="1"/>
  <c r="P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V2297" i="1"/>
  <c r="U2297" i="1"/>
  <c r="T2297" i="1"/>
  <c r="S2297" i="1"/>
  <c r="R2297" i="1"/>
  <c r="Q2297" i="1"/>
  <c r="P2297" i="1"/>
  <c r="O2297" i="1"/>
  <c r="N2297" i="1"/>
  <c r="M2297" i="1"/>
  <c r="L2297" i="1"/>
  <c r="K2297" i="1"/>
  <c r="J2297" i="1"/>
  <c r="I2297" i="1"/>
  <c r="H2297" i="1"/>
  <c r="G2297" i="1"/>
  <c r="F2297" i="1"/>
  <c r="E2297" i="1"/>
  <c r="D2297" i="1"/>
  <c r="C2297" i="1"/>
  <c r="V2296" i="1"/>
  <c r="U2296" i="1"/>
  <c r="T2296" i="1"/>
  <c r="S2296" i="1"/>
  <c r="R2296" i="1"/>
  <c r="Q2296" i="1"/>
  <c r="P2296" i="1"/>
  <c r="O2296" i="1"/>
  <c r="N2296" i="1"/>
  <c r="M2296" i="1"/>
  <c r="L2296" i="1"/>
  <c r="K2296" i="1"/>
  <c r="J2296" i="1"/>
  <c r="I2296" i="1"/>
  <c r="H2296" i="1"/>
  <c r="G2296" i="1"/>
  <c r="F2296" i="1"/>
  <c r="E2296" i="1"/>
  <c r="D2296" i="1"/>
  <c r="C2296" i="1"/>
  <c r="V2295" i="1"/>
  <c r="U2295" i="1"/>
  <c r="T2295" i="1"/>
  <c r="S2295" i="1"/>
  <c r="R2295" i="1"/>
  <c r="Q2295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V2294" i="1"/>
  <c r="U2294" i="1"/>
  <c r="T2294" i="1"/>
  <c r="S2294" i="1"/>
  <c r="R2294" i="1"/>
  <c r="Q2294" i="1"/>
  <c r="P2294" i="1"/>
  <c r="O2294" i="1"/>
  <c r="N2294" i="1"/>
  <c r="M2294" i="1"/>
  <c r="L2294" i="1"/>
  <c r="K2294" i="1"/>
  <c r="J2294" i="1"/>
  <c r="I2294" i="1"/>
  <c r="H2294" i="1"/>
  <c r="G2294" i="1"/>
  <c r="F2294" i="1"/>
  <c r="E2294" i="1"/>
  <c r="D2294" i="1"/>
  <c r="C2294" i="1"/>
  <c r="V2293" i="1"/>
  <c r="U2293" i="1"/>
  <c r="T2293" i="1"/>
  <c r="S2293" i="1"/>
  <c r="R2293" i="1"/>
  <c r="Q2293" i="1"/>
  <c r="P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C2293" i="1"/>
  <c r="V2292" i="1"/>
  <c r="U2292" i="1"/>
  <c r="T2292" i="1"/>
  <c r="S2292" i="1"/>
  <c r="R2292" i="1"/>
  <c r="Q2292" i="1"/>
  <c r="P2292" i="1"/>
  <c r="O2292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V2291" i="1"/>
  <c r="U2291" i="1"/>
  <c r="T2291" i="1"/>
  <c r="S2291" i="1"/>
  <c r="R2291" i="1"/>
  <c r="Q2291" i="1"/>
  <c r="P2291" i="1"/>
  <c r="O2291" i="1"/>
  <c r="N2291" i="1"/>
  <c r="M2291" i="1"/>
  <c r="L2291" i="1"/>
  <c r="K2291" i="1"/>
  <c r="J2291" i="1"/>
  <c r="I2291" i="1"/>
  <c r="H2291" i="1"/>
  <c r="G2291" i="1"/>
  <c r="F2291" i="1"/>
  <c r="E2291" i="1"/>
  <c r="D2291" i="1"/>
  <c r="C2291" i="1"/>
  <c r="V2290" i="1"/>
  <c r="U2290" i="1"/>
  <c r="T2290" i="1"/>
  <c r="S2290" i="1"/>
  <c r="R2290" i="1"/>
  <c r="Q2290" i="1"/>
  <c r="P2290" i="1"/>
  <c r="O2290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V2289" i="1"/>
  <c r="U2289" i="1"/>
  <c r="T2289" i="1"/>
  <c r="S2289" i="1"/>
  <c r="R2289" i="1"/>
  <c r="Q2289" i="1"/>
  <c r="P2289" i="1"/>
  <c r="O2289" i="1"/>
  <c r="N2289" i="1"/>
  <c r="M2289" i="1"/>
  <c r="L2289" i="1"/>
  <c r="K2289" i="1"/>
  <c r="J2289" i="1"/>
  <c r="I2289" i="1"/>
  <c r="H2289" i="1"/>
  <c r="G2289" i="1"/>
  <c r="F2289" i="1"/>
  <c r="E2289" i="1"/>
  <c r="D2289" i="1"/>
  <c r="C2289" i="1"/>
  <c r="V2288" i="1"/>
  <c r="U2288" i="1"/>
  <c r="T2288" i="1"/>
  <c r="S2288" i="1"/>
  <c r="R2288" i="1"/>
  <c r="Q2288" i="1"/>
  <c r="P2288" i="1"/>
  <c r="O2288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V2287" i="1"/>
  <c r="U2287" i="1"/>
  <c r="T2287" i="1"/>
  <c r="S2287" i="1"/>
  <c r="R2287" i="1"/>
  <c r="Q2287" i="1"/>
  <c r="P2287" i="1"/>
  <c r="O2287" i="1"/>
  <c r="N2287" i="1"/>
  <c r="M2287" i="1"/>
  <c r="L2287" i="1"/>
  <c r="K2287" i="1"/>
  <c r="J2287" i="1"/>
  <c r="I2287" i="1"/>
  <c r="H2287" i="1"/>
  <c r="G2287" i="1"/>
  <c r="F2287" i="1"/>
  <c r="E2287" i="1"/>
  <c r="D2287" i="1"/>
  <c r="C2287" i="1"/>
  <c r="V2286" i="1"/>
  <c r="U2286" i="1"/>
  <c r="T2286" i="1"/>
  <c r="S2286" i="1"/>
  <c r="R2286" i="1"/>
  <c r="Q2286" i="1"/>
  <c r="P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C2286" i="1"/>
  <c r="V2285" i="1"/>
  <c r="U2285" i="1"/>
  <c r="T2285" i="1"/>
  <c r="S2285" i="1"/>
  <c r="R2285" i="1"/>
  <c r="Q2285" i="1"/>
  <c r="P2285" i="1"/>
  <c r="O2285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V2284" i="1"/>
  <c r="U2284" i="1"/>
  <c r="T2284" i="1"/>
  <c r="S2284" i="1"/>
  <c r="R2284" i="1"/>
  <c r="Q2284" i="1"/>
  <c r="P2284" i="1"/>
  <c r="O2284" i="1"/>
  <c r="N2284" i="1"/>
  <c r="M2284" i="1"/>
  <c r="L2284" i="1"/>
  <c r="K2284" i="1"/>
  <c r="J2284" i="1"/>
  <c r="I2284" i="1"/>
  <c r="H2284" i="1"/>
  <c r="G2284" i="1"/>
  <c r="F2284" i="1"/>
  <c r="E2284" i="1"/>
  <c r="D2284" i="1"/>
  <c r="C2284" i="1"/>
  <c r="V2283" i="1"/>
  <c r="U2283" i="1"/>
  <c r="T2283" i="1"/>
  <c r="S2283" i="1"/>
  <c r="R2283" i="1"/>
  <c r="Q2283" i="1"/>
  <c r="P2283" i="1"/>
  <c r="O2283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V2282" i="1"/>
  <c r="U2282" i="1"/>
  <c r="T2282" i="1"/>
  <c r="S2282" i="1"/>
  <c r="R2282" i="1"/>
  <c r="Q2282" i="1"/>
  <c r="P2282" i="1"/>
  <c r="O2282" i="1"/>
  <c r="N2282" i="1"/>
  <c r="M2282" i="1"/>
  <c r="L2282" i="1"/>
  <c r="K2282" i="1"/>
  <c r="J2282" i="1"/>
  <c r="I2282" i="1"/>
  <c r="H2282" i="1"/>
  <c r="G2282" i="1"/>
  <c r="F2282" i="1"/>
  <c r="E2282" i="1"/>
  <c r="D2282" i="1"/>
  <c r="C2282" i="1"/>
  <c r="V2281" i="1"/>
  <c r="U2281" i="1"/>
  <c r="T2281" i="1"/>
  <c r="S2281" i="1"/>
  <c r="R2281" i="1"/>
  <c r="Q2281" i="1"/>
  <c r="P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V2280" i="1"/>
  <c r="U2280" i="1"/>
  <c r="T2280" i="1"/>
  <c r="S2280" i="1"/>
  <c r="R2280" i="1"/>
  <c r="Q2280" i="1"/>
  <c r="P2280" i="1"/>
  <c r="O2280" i="1"/>
  <c r="N2280" i="1"/>
  <c r="M2280" i="1"/>
  <c r="L2280" i="1"/>
  <c r="K2280" i="1"/>
  <c r="J2280" i="1"/>
  <c r="I2280" i="1"/>
  <c r="H2280" i="1"/>
  <c r="G2280" i="1"/>
  <c r="F2280" i="1"/>
  <c r="E2280" i="1"/>
  <c r="D2280" i="1"/>
  <c r="C2280" i="1"/>
  <c r="V2279" i="1"/>
  <c r="U2279" i="1"/>
  <c r="T2279" i="1"/>
  <c r="S2279" i="1"/>
  <c r="R2279" i="1"/>
  <c r="Q2279" i="1"/>
  <c r="P2279" i="1"/>
  <c r="O2279" i="1"/>
  <c r="N2279" i="1"/>
  <c r="M2279" i="1"/>
  <c r="L2279" i="1"/>
  <c r="K2279" i="1"/>
  <c r="J2279" i="1"/>
  <c r="I2279" i="1"/>
  <c r="H2279" i="1"/>
  <c r="G2279" i="1"/>
  <c r="F2279" i="1"/>
  <c r="E2279" i="1"/>
  <c r="D2279" i="1"/>
  <c r="C2279" i="1"/>
  <c r="V2278" i="1"/>
  <c r="U2278" i="1"/>
  <c r="T2278" i="1"/>
  <c r="S2278" i="1"/>
  <c r="R2278" i="1"/>
  <c r="Q2278" i="1"/>
  <c r="P2278" i="1"/>
  <c r="O2278" i="1"/>
  <c r="N2278" i="1"/>
  <c r="M2278" i="1"/>
  <c r="L2278" i="1"/>
  <c r="K2278" i="1"/>
  <c r="J2278" i="1"/>
  <c r="I2278" i="1"/>
  <c r="H2278" i="1"/>
  <c r="G2278" i="1"/>
  <c r="F2278" i="1"/>
  <c r="E2278" i="1"/>
  <c r="D2278" i="1"/>
  <c r="C2278" i="1"/>
  <c r="V2277" i="1"/>
  <c r="U2277" i="1"/>
  <c r="T2277" i="1"/>
  <c r="S2277" i="1"/>
  <c r="R2277" i="1"/>
  <c r="Q2277" i="1"/>
  <c r="P2277" i="1"/>
  <c r="O2277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V2276" i="1"/>
  <c r="U2276" i="1"/>
  <c r="T2276" i="1"/>
  <c r="S2276" i="1"/>
  <c r="R2276" i="1"/>
  <c r="Q2276" i="1"/>
  <c r="P2276" i="1"/>
  <c r="O2276" i="1"/>
  <c r="N2276" i="1"/>
  <c r="M2276" i="1"/>
  <c r="L2276" i="1"/>
  <c r="K2276" i="1"/>
  <c r="J2276" i="1"/>
  <c r="I2276" i="1"/>
  <c r="H2276" i="1"/>
  <c r="G2276" i="1"/>
  <c r="F2276" i="1"/>
  <c r="E2276" i="1"/>
  <c r="D2276" i="1"/>
  <c r="C2276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<sst xmlns="http://schemas.openxmlformats.org/spreadsheetml/2006/main" count="5791" uniqueCount="612">
  <si>
    <t>file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</si>
  <si>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</si>
  <si>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</si>
  <si>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</si>
  <si>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</si>
  <si>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</si>
  <si>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</si>
  <si>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</si>
  <si>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</si>
  <si>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</si>
  <si>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</si>
  <si>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</si>
  <si>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</si>
  <si>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</si>
  <si>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</si>
  <si>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</si>
  <si>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</si>
  <si>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</si>
  <si>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</si>
  <si>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</si>
  <si>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</si>
  <si>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type</t>
  </si>
  <si>
    <t>mean</t>
  </si>
  <si>
    <t>std</t>
  </si>
  <si>
    <t>coefficient of variation (cv)</t>
  </si>
  <si>
    <t>PATH_2D should start with file://</t>
  </si>
  <si>
    <t>PATH_2_5D should start with file://</t>
  </si>
  <si>
    <t>PATH_GROUND_TRUTH should start with file://</t>
  </si>
  <si>
    <t>bolt/sn_d7bdbf351fb1d1abcd7ecf32c7a32daa</t>
  </si>
  <si>
    <t>2D - emd</t>
  </si>
  <si>
    <t>2D - training_loss</t>
  </si>
  <si>
    <t>2_5D - emd</t>
  </si>
  <si>
    <t>2_5D - training_loss</t>
  </si>
  <si>
    <t>GROUND_TRUTH</t>
  </si>
  <si>
    <t>bolt/sn_d83f3d3e8b0b1521cd7ecf32c7a32daa</t>
  </si>
  <si>
    <t>bolt/sn_d8bc0393861fd97584e446b3614c282b</t>
  </si>
  <si>
    <t>bolt/sn_db380d405d54740539955b1c85a5fc2d</t>
  </si>
  <si>
    <t>bolt/sn_e20adc719974695ccd7ecf32c7a32daa</t>
  </si>
  <si>
    <t>bolt/sn_e58477f3255c8f56cd7ecf32c7a32daa</t>
  </si>
  <si>
    <t>bolt/sn_ea0c07647550a04619288150cd830791</t>
  </si>
  <si>
    <t>bolt/sn_eaaab1dac838e73cebcfec6b269d3f01</t>
  </si>
  <si>
    <t>bolt/sn_ecd3f40517ce1322cd7ecf32c7a32daa</t>
  </si>
  <si>
    <t>bolt/sn_ef5a253af7f4c8f6cd7ecf32c7a32daa</t>
  </si>
  <si>
    <t>bolt/sn_efebbda1514cf4c7cd7ecf32c7a32daa</t>
  </si>
  <si>
    <t>bolt/sn_f12b65ee82dbafbece32bc0bb6b95f5c</t>
  </si>
  <si>
    <t>bolt/sn_f1969539c535067f39512f871cca8e31</t>
  </si>
  <si>
    <t>bolt/sn_f40e1edd8da4f1c878e5e4e4fbf53ad0</t>
  </si>
  <si>
    <t>bolt/sn_f51a9abd1e17cdd6132ee5631e293a9c</t>
  </si>
  <si>
    <t>bolt/sn_f76857b1e2dc638f7547e55e81deb31f</t>
  </si>
  <si>
    <t>bolt/sn_f9db8b49cad0ae1f66e2eaad5b4b65e</t>
  </si>
  <si>
    <t>bolt/sn_fa242e8986128d80f7a1b626d9f6545b</t>
  </si>
  <si>
    <t>bolt/sn_fd202e5cf5cf6dfe7533fae337723aaf</t>
  </si>
  <si>
    <t>bolt/sn_fd271f83ec45affa19288150cd830791</t>
  </si>
  <si>
    <t>bolt/sn_fe209382042d97b619288150cd830791</t>
  </si>
  <si>
    <t>bottle/sn_c5eb3234b73037562825656dc457df78</t>
  </si>
  <si>
    <t>bottle/sn_c6e0373f1f23ac8134076b5960251711</t>
  </si>
  <si>
    <t>bottle/sn_c771267feb7ee16761d12ece735ab44</t>
  </si>
  <si>
    <t>bottle/sn_c80173e23efaac35535deb3b0c692a2a</t>
  </si>
  <si>
    <t>bottle/sn_c89e84046c3ce618137d82f25c4540a4</t>
  </si>
  <si>
    <t>bottle/sn_c9abedf6797223facb153d42b53a546e</t>
  </si>
  <si>
    <t>bottle/sn_ca210c6696357f98e8ec08b84f068b50</t>
  </si>
  <si>
    <t>bottle/sn_ca2341f33cd4995dae7fdc0845a47bf5</t>
  </si>
  <si>
    <t>bottle/sn_cad69599b8726c218fd72ac33112a7b</t>
  </si>
  <si>
    <t>bottle/sn_cb3ff04a607ea9651b22d29e47ec3f2</t>
  </si>
  <si>
    <t>bottle/sn_cbc1cbc9cf65e9c2fd1d6016d24cc8d</t>
  </si>
  <si>
    <t>bottle/sn_cbe88d4a56535ba64e23e9314af9ae57</t>
  </si>
  <si>
    <t>bottle/sn_cc399bb619ddddf7c13f8623d10d3404</t>
  </si>
  <si>
    <t>bottle/sn_cc48fe97a95e8716ccaa5ad584801c3e</t>
  </si>
  <si>
    <t>bottle/sn_cec14f91bf10f86e8291825d073a05e1</t>
  </si>
  <si>
    <t>bottle/sn_cf0a733f9a63f4f5664b3b9b23ddfcbc</t>
  </si>
  <si>
    <t>bottle/sn_cf6843231592b29e2586fa0d0359af6</t>
  </si>
  <si>
    <t>bottle/sn_cf7a79435eb5b1bdb0be98650cd7fb6f</t>
  </si>
  <si>
    <t>bottle/sn_d10b549075e8f3812adf8abaa25e0215</t>
  </si>
  <si>
    <t>bottle/sn_d297d1b0e4f0c244f61150ce90be197a</t>
  </si>
  <si>
    <t>bottle/sn_d30623112e58b893eee7d6dab02eb061</t>
  </si>
  <si>
    <t>bottle/sn_d3b53f56b4a7b3b3c9f016d57db96408</t>
  </si>
  <si>
    <t>bottle/sn_d3eea69d9d58401c76c2a9de5c96f76</t>
  </si>
  <si>
    <t>bottle/sn_d44472ef7086538676bb31db0358e9c6</t>
  </si>
  <si>
    <t>bottle/sn_d44618b5aefe9ecd467ca2ad6571afff</t>
  </si>
  <si>
    <t>bottle/sn_d45bf1487b41d2f630612f5c0ef21eb8</t>
  </si>
  <si>
    <t>bottle/sn_d4a8a5243b976630e3eacec6011567b3</t>
  </si>
  <si>
    <t>bottle/sn_d5ad519e4e042787116b18581e5b02f2</t>
  </si>
  <si>
    <t>bottle/sn_d5c8ac8e5f26f975f7f7aae96deaf878</t>
  </si>
  <si>
    <t>bottle/sn_d5dd0b4d16d2b6808bda158eedb63a62</t>
  </si>
  <si>
    <t>bottle/sn_d655a217ad7d8974ce60bdf271ddc452</t>
  </si>
  <si>
    <t>bottle/sn_d7305324e9dd49eccee5e41d780064a2</t>
  </si>
  <si>
    <t>bottle/sn_d74bc917899133e080c257afea181fa2</t>
  </si>
  <si>
    <t>bottle/sn_d829ffd1d35f36a61ad51dad4e9c1543</t>
  </si>
  <si>
    <t>bottle/sn_d851cbc873de1c4d3b6eb309177a6753</t>
  </si>
  <si>
    <t>bottle/sn_d85f1862dfe799cbf78b6c51ab8f145e</t>
  </si>
  <si>
    <t>bottle/sn_d8b6c270d29c58c55627157b31e16dc2</t>
  </si>
  <si>
    <t>bottle/sn_d910d855fd179dc066c1a8ee69277898</t>
  </si>
  <si>
    <t>bottle/sn_d9aee510fd5e8afb93fb5c975e8de2b7</t>
  </si>
  <si>
    <t>bottle/sn_da2703e6d87a28e75887f1f81e7530ec</t>
  </si>
  <si>
    <t>bottle/sn_dacc6638cd62d82f42ebc0504c999b</t>
  </si>
  <si>
    <t>bottle/sn_db09f7ed1f2b22cab0429693e6b73c4e</t>
  </si>
  <si>
    <t>bottle/sn_dc0926ce09d6ce78eb8e919b102c6c08</t>
  </si>
  <si>
    <t>bottle/sn_dc192dfce3556031fc0310aa34dddc94</t>
  </si>
  <si>
    <t>bottle/sn_dc687759ea93d1b72cd6cd3dc3fb5dc2</t>
  </si>
  <si>
    <t>bottle/sn_dd686080a4d1cac8e85013a1e4383bdd</t>
  </si>
  <si>
    <t>bottle/sn_dd8c0d1b1e602409ebe413aa61702255</t>
  </si>
  <si>
    <t>bottle/sn_de71aa5eca9ee76a95f577622f465c85</t>
  </si>
  <si>
    <t>bottle/sn_defc45107217afb846564a8a219239b</t>
  </si>
  <si>
    <t>bottle/sn_df4ec460683acbb89d789ef7917b7723</t>
  </si>
  <si>
    <t>bottle/sn_e017cd91e485756aef026123226f5519</t>
  </si>
  <si>
    <t>bottle/sn_e24fb21f7cb7998d94b2f4c4a75fd722</t>
  </si>
  <si>
    <t>bottle/sn_e284c5156e0e798b527f8e9c7570d3cc</t>
  </si>
  <si>
    <t>bottle/sn_e4915635a488cbfc4c3a35cee92bb95b</t>
  </si>
  <si>
    <t>bottle/sn_e5a5dac174982cea2dcdfc29ed7a2492</t>
  </si>
  <si>
    <t>bottle/sn_e656d6586d481f41eb69804478f9c547</t>
  </si>
  <si>
    <t>bottle/sn_e6a68d29f41143c52744e7c6d2047385</t>
  </si>
  <si>
    <t>bottle/sn_e75c3aeef55b02891d36a9793896730</t>
  </si>
  <si>
    <t>bottle/sn_e824b049f16b29f19ab27ff78a8ea481</t>
  </si>
  <si>
    <t>bottle/sn_e8b48d395d3d8744e53e6e0633163da8</t>
  </si>
  <si>
    <t>bottle/sn_e9371d3abbb3bb7265bca0cae1ecfff5</t>
  </si>
  <si>
    <t>bottle/sn_e9c43d992dec67a7ca98b6e96445e3a2</t>
  </si>
  <si>
    <t>bottle/sn_ed55f39e04668bf9837048966ef3fcb9</t>
  </si>
  <si>
    <t>bottle/sn_ee007f1aac12fbe549a44197486ae284</t>
  </si>
  <si>
    <t>bottle/sn_ee3ca78e36c6a7b2a367d39c852840d5</t>
  </si>
  <si>
    <t>bottle/sn_ee74f5bfb0d7c8a5bd288303be3d57e7</t>
  </si>
  <si>
    <t>bottle/sn_ee77714471b911baeeff0dee910fd183</t>
  </si>
  <si>
    <t>bottle/sn_ef5893626d5048fd9d749aedd9392d68</t>
  </si>
  <si>
    <t>bottle/sn_f0611ec9ff89209bf10c4513652c1c5e</t>
  </si>
  <si>
    <t>bottle/sn_f079d5f4f4a8cd9318431871c8e05789</t>
  </si>
  <si>
    <t>bottle/sn_f0a5f6d2cf8fcb72c12d8e00a78db6e2</t>
  </si>
  <si>
    <t>bottle/sn_f1749b854dd0e788618a83203feeb40</t>
  </si>
  <si>
    <t>bottle/sn_f1c0e107dc158727a8360f05ea0a1d2d</t>
  </si>
  <si>
    <t>bottle/sn_f35f3a1ce31850e8b9ca8a85614dd727</t>
  </si>
  <si>
    <t>bottle/sn_f452c1053f88cd2fc21f7907838a35d1</t>
  </si>
  <si>
    <t>bottle/sn_f47cbefc9aa5b6a918431871c8e05789</t>
  </si>
  <si>
    <t>bottle/sn_f4851a2835228377e101b7546e3ee8a7</t>
  </si>
  <si>
    <t>bottle/sn_f4a3d7e8b3fc3514480d47219c914042</t>
  </si>
  <si>
    <t>bottle/sn_f62bfe9756ae99be9921431405933fd2</t>
  </si>
  <si>
    <t>bottle/sn_f639ecd111dc052fce33f1a52ee07f2</t>
  </si>
  <si>
    <t>bottle/sn_f68e99b57596b33d197a35146ee825cd</t>
  </si>
  <si>
    <t>bottle/sn_f83c3b75f637241aebe67d9b32c3ddf8</t>
  </si>
  <si>
    <t>bottle/sn_f853ac62bc288e48e56a63d21fb60ae9</t>
  </si>
  <si>
    <t>bottle/sn_f8de3a0921d3b0fb5240248232b90795</t>
  </si>
  <si>
    <t>bottle/sn_f98c340ae687a5059e375e5e721ce2d3</t>
  </si>
  <si>
    <t>bottle/sn_f9b5ec10c0bc71fefc33503fd88ecb34</t>
  </si>
  <si>
    <t>bottle/sn_f9f67fe61dcf46d7e19818797f240d91</t>
  </si>
  <si>
    <t>bottle/sn_fa44223c6f785c60e71da2487cb2ee5b</t>
  </si>
  <si>
    <t>bottle/sn_fca70766d88fc7b9e5054d95cb6a63e2</t>
  </si>
  <si>
    <t>bottle/sn_fd0ccd09330865277602de57eab5e08f</t>
  </si>
  <si>
    <t>bottle/sn_fd713346cfbe24d6e3eacec6011567b3</t>
  </si>
  <si>
    <t>bottle/sn_fda8d8820e4d166bd7134844380eaeb0</t>
  </si>
  <si>
    <t>bottle/sn_fec05c85454edafc4310636931b68fdb</t>
  </si>
  <si>
    <t>bottle/sn_ff13595434879bba557ef92e2fa0ccb2</t>
  </si>
  <si>
    <t>bottle/sn_ffa6c49aa8f7ec19971e7f8dbfabf375</t>
  </si>
  <si>
    <t>bulb/3dw_cd50fc4d-7376-4112-a067-eb195605972f</t>
  </si>
  <si>
    <t>bulb/3dw_d031ff89-21d2-4e96-99b2-532340c28c63</t>
  </si>
  <si>
    <t>bulb/3dw_d1090e9f-167e-4643-a010-95986657f934</t>
  </si>
  <si>
    <t>bulb/3dw_d493bb3b-87dd-44cf-97f1-de8af9b518e2</t>
  </si>
  <si>
    <t>bulb/3dw_d495db51-241a-4247-871b-04cf7ab30b21</t>
  </si>
  <si>
    <t>bulb/3dw_d4f957ba-2451-47c6-87f5-a86da35cc0e1</t>
  </si>
  <si>
    <t>bulb/3dw_d8b27d7f-728d-40e6-ac1f-5bafe8d51698</t>
  </si>
  <si>
    <t>bulb/3dw_da9c188b-0f22-4e1d-9df8-fae43983c8e6</t>
  </si>
  <si>
    <t>bulb/3dw_db0a403a-83af-4e72-833d-abf2ea4096d6</t>
  </si>
  <si>
    <t>bulb/3dw_dd316cc7-9b08-419e-b818-ab5ef5c93b24</t>
  </si>
  <si>
    <t>bulb/3dw_e1be4e59-591e-453b-b5b7-ca2ee6b68d2c</t>
  </si>
  <si>
    <t>bulb/3dw_e2ce5517-db66-4dc7-bcaf-5bb359a332cf</t>
  </si>
  <si>
    <t>bulb/3dw_e2ff7f3e-3a22-45b6-9922-ac35485468e7</t>
  </si>
  <si>
    <t>bulb/3dw_e34b41d0-8e3a-46b8-af06-f1cb1656e7b7</t>
  </si>
  <si>
    <t>bulb/3dw_e54d9e8d-6316-4b5f-a201-9ab93c6a0756</t>
  </si>
  <si>
    <t>bulb/3dw_e8a8a9a2-7607-4b1a-bf5c-8884f940cab9</t>
  </si>
  <si>
    <t>bulb/3dw_e8e9b1d7-95df-420a-8378-17292e09835c</t>
  </si>
  <si>
    <t>bulb/3dw_ebb489bb-e6d3-4379-9efc-689950a1f4a5</t>
  </si>
  <si>
    <t>bulb/3dw_f17acfbe-5c03-45ed-bd6a-429c26f118f5</t>
  </si>
  <si>
    <t>bulb/3dw_f26c16cb-cb71-4297-850a-64d3d4da0e5b</t>
  </si>
  <si>
    <t>bulb/3dw_f2dcc24b-dd51-4ee9-938e-b03b2202737a</t>
  </si>
  <si>
    <t>bulb/3dw_f306babb-40cf-4508-a8b5-bc08c288993c</t>
  </si>
  <si>
    <t>bulb/3dw_f40a9fd7-b18a-435b-a0ca-7960923931fa</t>
  </si>
  <si>
    <t>bulb/3dw_f41dfdc7-f7ad-4e66-b1b4-b1558fc0f219</t>
  </si>
  <si>
    <t>bulb/3dw_f515ab1e-e1ce-4fc4-a34e-f62482297d38</t>
  </si>
  <si>
    <t>bulb/3dw_f6f5f009-b1cc-4ed2-b19d-8a50f757b322</t>
  </si>
  <si>
    <t>bulb/3dw_fc8de186-eebe-4494-8929-541d0720f6f9</t>
  </si>
  <si>
    <t>bulb/3dw_fd60dcfa-7555-4ed4-a639-7b42e0116b1a</t>
  </si>
  <si>
    <t>bulb/3dw_fe56277a-437f-4bcc-bbe9-5dd3a91de658</t>
  </si>
  <si>
    <t>bulb/sn_186e89f88407d9417bc3beccfe5f4397</t>
  </si>
  <si>
    <t>bulb/sn_2ea1283bf6afe1fc9c48f338871146f5</t>
  </si>
  <si>
    <t>bulb/sn_5a17096ecad75d6ac2b3b4fc401ea349</t>
  </si>
  <si>
    <t>bulb/sn_6733c64dff411880af3558495e8545c8</t>
  </si>
  <si>
    <t>bulb/sn_87e6e36cc066e1535b10869efcc15957</t>
  </si>
  <si>
    <t>calculator/sn_410eb6a2d59b39135363df90cf6685fe</t>
  </si>
  <si>
    <t>calculator/sn_44c9501229c33d7a1954957ed3a8319b</t>
  </si>
  <si>
    <t>calculator/sn_469e6fc6d12a716431703fa9beda6e04</t>
  </si>
  <si>
    <t>calculator/sn_473ea02038078433988af32f989056a2</t>
  </si>
  <si>
    <t>calculator/sn_5e82ba29356e199ba701d7974c476044</t>
  </si>
  <si>
    <t>calculator/sn_6679ba12b3966188de86c9f6866913f8</t>
  </si>
  <si>
    <t>calculator/sn_698600a3714c6633a4bd4f46ba404890</t>
  </si>
  <si>
    <t>calculator/sn_6ba3f8a4a4750534cc2e054c56e9a85a</t>
  </si>
  <si>
    <t>calculator/sn_7ef7f3a7f62c80732ed95309617d095d</t>
  </si>
  <si>
    <t>calculator/sn_814d9e93488ca117feb02b5bb506946f</t>
  </si>
  <si>
    <t>calculator/sn_8b9d1344161b4adb12060d1ff2024b3</t>
  </si>
  <si>
    <t>calculator/sn_9409309dc427dc2daa0fb4126a41efc4</t>
  </si>
  <si>
    <t>calculator/sn_9c9b1758dd61c4168d66b04680005e70</t>
  </si>
  <si>
    <t>calculator/sn_abe7d4239af7db4f69efbadfeeff28b7</t>
  </si>
  <si>
    <t>calculator/sn_af8722ca4feb08c620e7b873d154db78</t>
  </si>
  <si>
    <t>calculator/sn_b2d77488d12d1c18567a822a0c9bc051</t>
  </si>
  <si>
    <t>calculator/sn_ba219dd3217d2dbe220d253bd32d8264</t>
  </si>
  <si>
    <t>calculator/sn_c13f22c6d442694a45d5a97317136194</t>
  </si>
  <si>
    <t>calculator/sn_c8b68e20495b591c19a9ca1c9ec31968</t>
  </si>
  <si>
    <t>calculator/sn_cdf2273b23d3f147f1c83b9415baaca4</t>
  </si>
  <si>
    <t>calculator/sn_d0fe921914a86aabbbf11080fab610</t>
  </si>
  <si>
    <t>calculator/sn_d1ecf1316ee3f53db8803f6649e6cb9b</t>
  </si>
  <si>
    <t>calculator/sn_dc3af1d90ac24fc55de537bd2fca2706</t>
  </si>
  <si>
    <t>calculator/sn_df565169f3daeca97a7677430314d870</t>
  </si>
  <si>
    <t>calculator/sn_e2d5da7a0773d92c5178ea5824798f07</t>
  </si>
  <si>
    <t>calculator/sn_e71775788b50dad37cb2a55fa21392b7</t>
  </si>
  <si>
    <t>calculator/sn_f8f7e95353b1fa5d9aa9d7f676c1fd7e</t>
  </si>
  <si>
    <t>calculator/sn_feb0ac4a2ef7234f6813326b9ce4e784</t>
  </si>
  <si>
    <t>flashlight/sn_9b8eef439813d9945322b45f6e8d738b</t>
  </si>
  <si>
    <t>flashlight/sn_9e0b2773839807ed74f924a309212510</t>
  </si>
  <si>
    <t>flashlight/sn_a5d35364fad56c9528fb3510ad83287f</t>
  </si>
  <si>
    <t>flashlight/sn_a8474f08cc757ad9e0480c954dcd56d1</t>
  </si>
  <si>
    <t>flashlight/sn_b5a7456ddf0b0aa7bcab97a4ac9a7a4</t>
  </si>
  <si>
    <t>flashlight/sn_b6acff0e8e10f758540d263632d5fce3</t>
  </si>
  <si>
    <t>flashlight/sn_b806430ff7a764ef0f0ebde329b4bb6</t>
  </si>
  <si>
    <t>flashlight/sn_b8a2d0816b4e4dd9be0355c8334334a8</t>
  </si>
  <si>
    <t>flashlight/sn_c04b395a8722d68ceb69804478f9c547</t>
  </si>
  <si>
    <t>flashlight/sn_c1041e0597dc8a36127fd5f4034b626d</t>
  </si>
  <si>
    <t>flashlight/sn_c52fea6ccfbd7c853ff80c5f32f8e471</t>
  </si>
  <si>
    <t>flashlight/sn_c65d0362f6a2cac97f8716f93aa577da</t>
  </si>
  <si>
    <t>flashlight/sn_ce289500e3135ab62c6678aa52932aa1</t>
  </si>
  <si>
    <t>flashlight/sn_d3afd0ef3bf3b87a2c4a81f1d7e1fb38</t>
  </si>
  <si>
    <t>flashlight/sn_d6aaf2df23073dbe1535ae196bdb53a2</t>
  </si>
  <si>
    <t>flashlight/sn_dad7644f7508c45ba8963fe61f2bc75f</t>
  </si>
  <si>
    <t>flashlight/sn_e4581dced70ba14529b9c66a6c136299</t>
  </si>
  <si>
    <t>flashlight/sn_e755e4a4c1f01a16ddde105aaa44e3ec</t>
  </si>
  <si>
    <t>flashlight/sn_e9b98bccac1c7c6cc7be5a77064d8875</t>
  </si>
  <si>
    <t>flashlight/sn_eaa9a6c52b062cc5cb7e9ee2bb5c85bb</t>
  </si>
  <si>
    <t>flashlight/sn_f341ac6a0ed1f2fcbcbb5732017b0d93</t>
  </si>
  <si>
    <t>flashlight/sn_f87bddb9765ab115b7fb80ad0b36293d</t>
  </si>
  <si>
    <t>flashlight/sn_f96033c358bae9ead8e11a41b91b8155</t>
  </si>
  <si>
    <t>flashlight/sn_fb33de3f0191556210581477dc7999da</t>
  </si>
  <si>
    <t>flashlight/sn_fbb6a1fb01f08eb1575f032b182448e5</t>
  </si>
  <si>
    <t>hammer/sn_b3de45501d68b8cb184c81c7a4fc673d</t>
  </si>
  <si>
    <t>hammer/sn_b5dffdfe095e0164e3d7746581537bbd</t>
  </si>
  <si>
    <t>hammer/sn_bc7a3ca5bb39389bb36dcc661f3905d</t>
  </si>
  <si>
    <t>hammer/sn_c0524a8d8b1c07fee478c4e51cacf083</t>
  </si>
  <si>
    <t>hammer/sn_c0a6c9def11a4a0e495152ca3ebb451</t>
  </si>
  <si>
    <t>hammer/sn_c2258b62483062866b0f9e3b3feb2454</t>
  </si>
  <si>
    <t>hammer/sn_c2adaca1dc30d0029a3a2d0a6cdaf9bb</t>
  </si>
  <si>
    <t>hammer/sn_c4356dee81f725fd4e658c3e3c1d541</t>
  </si>
  <si>
    <t>hammer/sn_c69138f016b94ca721588c0f6594126d</t>
  </si>
  <si>
    <t>hammer/sn_c83fd3001ececb799ca96b2737246fca</t>
  </si>
  <si>
    <t>hammer/sn_cea097235ec4680aad454fe44be80ba</t>
  </si>
  <si>
    <t>hammer/sn_cef039797979c61deb198591fb4499f4</t>
  </si>
  <si>
    <t>hammer/sn_d05b3552a37c1a8dac87f3f2c3d951e1</t>
  </si>
  <si>
    <t>hammer/sn_d0a1e80e901fd19aa047a2d5617a226e</t>
  </si>
  <si>
    <t>hammer/sn_d1e8bdb40c3e485c83a93f42ef06608a</t>
  </si>
  <si>
    <t>hammer/sn_d748f55fc78a696c2ee34c7b638e5fed</t>
  </si>
  <si>
    <t>hammer/sn_d7bc086938d0bbcb52db7be3d11b79eb</t>
  </si>
  <si>
    <t>hammer/sn_d84a198b1541c964b285e5eb0ce34c6</t>
  </si>
  <si>
    <t>hammer/sn_dbf1a3f62094a2453537a9c0edf72d08</t>
  </si>
  <si>
    <t>hammer/sn_dfccb4502cd9383fcb03b57fca000b1f</t>
  </si>
  <si>
    <t>hammer/sn_e023832c008af2e9607566378b3d8827</t>
  </si>
  <si>
    <t>hammer/sn_e19edd3af5deef2c53ff8abe67bd0594</t>
  </si>
  <si>
    <t>hammer/sn_e21d2f7cfc81a6a0dffb44ff9c0d740f</t>
  </si>
  <si>
    <t>hammer/sn_e37b673bdbdd733dab783994884afad3</t>
  </si>
  <si>
    <t>hammer/sn_e3c162f6eb6fadf98ff473ba9bbcae59</t>
  </si>
  <si>
    <t>hammer/sn_e55e4e67e45f44c8a309fc846e6b0c18</t>
  </si>
  <si>
    <t>hammer/sn_ee1fd8bf3d7a475c2b4e135335df975</t>
  </si>
  <si>
    <t>hammer/sn_f08e4916ee1ce46cb78afa291147009</t>
  </si>
  <si>
    <t>hammer/sn_f0ddd3cffd0f082c3209d73a5e86baa7</t>
  </si>
  <si>
    <t>hammer/sn_f2e62fc5ab468450a61d7de2588238e2</t>
  </si>
  <si>
    <t>hammer/sn_f35d02f0b248615af89e7b86262150f</t>
  </si>
  <si>
    <t>hammer/sn_f39a52112040a4c3b90880542dbc824b</t>
  </si>
  <si>
    <t>hammer/sn_f3e157e6a851762aeb198591fb4499f4</t>
  </si>
  <si>
    <t>hammer/sn_f4c96754d0166a90e17a92db76503e44</t>
  </si>
  <si>
    <t>hammer/sn_f54171f55ced7f553f7c6295b60afd1b</t>
  </si>
  <si>
    <t>hammer/sn_f600aa7ee166a5df7e48b7e8238d95ce</t>
  </si>
  <si>
    <t>hammer/sn_f7f445b68a467652d30ee0b5a9888c0b</t>
  </si>
  <si>
    <t>hammer/sn_fb58b1ee0dfd7eb1d6f05f55d4d695b0</t>
  </si>
  <si>
    <t>hammer/sn_fc7fe48ac772832266bb300a1cf69236</t>
  </si>
  <si>
    <t>hammer/sn_fccb24dd6b867c66372fb415af765adc</t>
  </si>
  <si>
    <t>hammer/sn_fed2ecf0c54b2939de96a788d048e07d</t>
  </si>
  <si>
    <t>key/3dw_d9d420ee-4914-47d4-b817-f98ab84680a5</t>
  </si>
  <si>
    <t>key/3dw_db6b4124-dc3a-4347-ba30-4905af443dfb</t>
  </si>
  <si>
    <t>key/3dw_dda03bda-8760-4f9a-ab30-04319e4fb88b</t>
  </si>
  <si>
    <t>key/3dw_e558a52d-a485-42bd-8b9f-d176abd8ad13</t>
  </si>
  <si>
    <t>key/3dw_e67d2b89-5e91-4111-8ca9-6f5242b8b45b</t>
  </si>
  <si>
    <t>key/3dw_e77175bf-a601-40d8-aafd-179e50d3cbaf</t>
  </si>
  <si>
    <t>key/3dw_e7a563a5-def8-4da8-bcea-d244bdd65cc5</t>
  </si>
  <si>
    <t>key/3dw_e91098bf-bf3e-4771-a955-4a5779ec8f29</t>
  </si>
  <si>
    <t>key/3dw_ef06d62e-07a5-4337-8a38-d15fa904d188</t>
  </si>
  <si>
    <t>key/3dw_efc2e71d-ac26-4e51-b89e-90f4dc3cc609</t>
  </si>
  <si>
    <t>key/3dw_f7a6f166-ba11-4855-9518-2bc54b62f88f</t>
  </si>
  <si>
    <t>key/3dw_fa931f99-b59c-4f63-ba5d-5b1aef9725c9</t>
  </si>
  <si>
    <t>key/3dw_fb60ab63-62f5-4eb6-bf40-75ca594150cd</t>
  </si>
  <si>
    <t>key/3dw_fe56c1f9-16f6-41a1-a0db-a41ba7bd2751</t>
  </si>
  <si>
    <t>key/sn_35941431e1a6161c6344eb3465e61941</t>
  </si>
  <si>
    <t>key/sn_41128930ff1e7a85763ffa228e9509c8</t>
  </si>
  <si>
    <t>key/sn_52de08c2f128aa331683a1f2bb7ab319</t>
  </si>
  <si>
    <t>key/sn_55e76cab29ed698d1f344185981b2096</t>
  </si>
  <si>
    <t>key/sn_89c1046bca3baa53768071f8dcc2a47e</t>
  </si>
  <si>
    <t>key/sn_9faceaa8dba36f401436eb1bcf306b50</t>
  </si>
  <si>
    <t>knife/sn_cc38f97557029b2a2b5fd8277662be97</t>
  </si>
  <si>
    <t>knife/sn_cdd910639f7d9482a32c3eabd9a79b99</t>
  </si>
  <si>
    <t>knife/sn_ceeb38ab7929361e76ec14627bf6bbcb</t>
  </si>
  <si>
    <t>knife/sn_d06201a49cc91067179125d1d357cdf5</t>
  </si>
  <si>
    <t>knife/sn_d179811d0522500f881796c365ec5f7e</t>
  </si>
  <si>
    <t>knife/sn_d1c757548ead4a4d8d03ca4865da5b6</t>
  </si>
  <si>
    <t>knife/sn_d243969f5010c6c29b5844aa8fc56c71</t>
  </si>
  <si>
    <t>knife/sn_d3ba7967cea5550405f236096897d</t>
  </si>
  <si>
    <t>knife/sn_d4be83e3062bfe9086bbb74f0f607cdd</t>
  </si>
  <si>
    <t>knife/sn_d5f29a19d7523c8df1f105747d69ebcd</t>
  </si>
  <si>
    <t>knife/sn_d61a5fa6dc3f703613abf93d1c879c43</t>
  </si>
  <si>
    <t>knife/sn_d63521a0dfac9c1f342494fa6f09f376</t>
  </si>
  <si>
    <t>knife/sn_d69e028056c9291069654277b747a908</t>
  </si>
  <si>
    <t>knife/sn_d6e9e4e07bafca0fa37f3fc191551700</t>
  </si>
  <si>
    <t>knife/sn_d78c656d1847b92ddadc002e53eaf226</t>
  </si>
  <si>
    <t>knife/sn_daf2098f026e292c152b5e07600b5ea7</t>
  </si>
  <si>
    <t>knife/sn_db33d647c8e9c8f9aa19ff1f7032d4a0</t>
  </si>
  <si>
    <t>knife/sn_dce941899bcb752dfe474f09e3f3ac9a</t>
  </si>
  <si>
    <t>knife/sn_de62211649b4cced49384f9741ad64d8</t>
  </si>
  <si>
    <t>knife/sn_de69d6441bbf8d39230a4d129580843a</t>
  </si>
  <si>
    <t>knife/sn_debbbf239d59d8724662dc124dd336ed</t>
  </si>
  <si>
    <t>knife/sn_decf7a4989469d3289eec1cc60f7c002</t>
  </si>
  <si>
    <t>knife/sn_df0a8c7d1629313915538488147db324</t>
  </si>
  <si>
    <t>knife/sn_df6ce028a9a0d8178bcec9d54ae64e9</t>
  </si>
  <si>
    <t>knife/sn_dfabed4f151870eb4bd26ac3bc3791a7</t>
  </si>
  <si>
    <t>knife/sn_e003ed9863640e42c4ba6f712b8405c4</t>
  </si>
  <si>
    <t>knife/sn_e03a2ab2b6506ca0ef1f81f15fbe736c</t>
  </si>
  <si>
    <t>knife/sn_e0a78d771cfde145a5cea7e40e4d21ff</t>
  </si>
  <si>
    <t>knife/sn_e199629e24c10052ed9c5b25fef60d04</t>
  </si>
  <si>
    <t>knife/sn_e2cd287563f26e3eef1f81f15fbe736c</t>
  </si>
  <si>
    <t>knife/sn_e31978ce34a288461b22d29e47ec3f2</t>
  </si>
  <si>
    <t>knife/sn_e43c5d6241344913c40c6b891c4913bd</t>
  </si>
  <si>
    <t>knife/sn_e4f610f36ba3c6f69246ea0301684d80</t>
  </si>
  <si>
    <t>knife/sn_e688f0697b9a970c6402b8f491cd92c7</t>
  </si>
  <si>
    <t>knife/sn_e6b32b3c927a7fbeae29387f6eb32067</t>
  </si>
  <si>
    <t>knife/sn_e6d18d45abd40a22e5ae31c6c631a39</t>
  </si>
  <si>
    <t>knife/sn_e79481b2fde3a3ab340fbf70397ab69a</t>
  </si>
  <si>
    <t>knife/sn_e8a6915bd0bcf1bebaa284808a1567a8</t>
  </si>
  <si>
    <t>knife/sn_e9280056548518c0ce7c7b3554aba2f8</t>
  </si>
  <si>
    <t>knife/sn_e98bc872371c852e15b040d25222e627</t>
  </si>
  <si>
    <t>knife/sn_ead2db7fb32b1bb6f888ac6a5ecf018</t>
  </si>
  <si>
    <t>knife/sn_eaffd07694c11b20afc61ad0921c25e</t>
  </si>
  <si>
    <t>knife/sn_ebfb56c4968055e794581d435607029</t>
  </si>
  <si>
    <t>knife/sn_ec1eb959cc203f1de5a365227cfe63ec</t>
  </si>
  <si>
    <t>knife/sn_ed70e936f64eb1787172b275484cdf6</t>
  </si>
  <si>
    <t>knife/sn_edaeb1ece141e9acb5d9c9aff35074b3</t>
  </si>
  <si>
    <t>knife/sn_edf53b53ae1cc29a5951ec64d48e6f2d</t>
  </si>
  <si>
    <t>knife/sn_eec06d67190604f1f369c75d55810ee9</t>
  </si>
  <si>
    <t>knife/sn_eef74fec4fd6537f89145655be527428</t>
  </si>
  <si>
    <t>knife/sn_ef0dd0f2af9869325867e536d32c89f6</t>
  </si>
  <si>
    <t>knife/sn_f0402647fd0236f999abe44c28bf45e</t>
  </si>
  <si>
    <t>knife/sn_f5abb706dd1c1e931fc43d5b32fa230f</t>
  </si>
  <si>
    <t>knife/sn_faa118fc5de302338ba8cbbd590b1b6b</t>
  </si>
  <si>
    <t>knife/sn_fca703c2489237d51b44a9962207f944</t>
  </si>
  <si>
    <t>knife/sn_fe975241a968467ac3669fe98cc0dfc0</t>
  </si>
  <si>
    <t>knife/sn_feb6067ca92ccf56c35f415b7dac30d3</t>
  </si>
  <si>
    <t>knife/sn_ff08278ce3379577a413908c0e169330</t>
  </si>
  <si>
    <t>knife/sn_ff949d2335a226fde1c0dc67e69df88e</t>
  </si>
  <si>
    <t>mouse/3dw_bfcb16b2-0547-470f-adef-c79e2dcb7fb7</t>
  </si>
  <si>
    <t>mouse/3dw_bfce62cc-0b7f-4f06-a302-acb6191ea490</t>
  </si>
  <si>
    <t>mouse/3dw_c9182edf-d969-48b8-9335-2bec694a5e45</t>
  </si>
  <si>
    <t>mouse/3dw_c9e3733c-aa81-4cba-8ec2-71b39c9df141</t>
  </si>
  <si>
    <t>mouse/3dw_ca91e976-7daf-4898-a818-6dfd145d9214</t>
  </si>
  <si>
    <t>mouse/3dw_d0828b3d-697b-4b50-93b3-32ae530a54e0</t>
  </si>
  <si>
    <t>mouse/3dw_d1978d26-76d6-474f-8b56-ba924310dd64</t>
  </si>
  <si>
    <t>mouse/3dw_d38179ab-d438-4927-920c-5f08e0384062</t>
  </si>
  <si>
    <t>mouse/3dw_e0cb672a-0581-4981-a8e7-cf5a4b3701f1</t>
  </si>
  <si>
    <t>mouse/3dw_eaab2357-835a-4dd6-ada8-bb08b1eee83b</t>
  </si>
  <si>
    <t>mouse/3dw_eb99799c-cb24-4edf-a7f6-dfff33615888</t>
  </si>
  <si>
    <t>mouse/3dw_f12974fd-544f-4947-b4d8-c45d50bdfe90</t>
  </si>
  <si>
    <t>mouse/3dw_fa4a56d9-1de7-44a9-88cb-c19bcff5618f</t>
  </si>
  <si>
    <t>mug/sn_d0a3fdd33c7e1eb040bc4e38b9ba163e</t>
  </si>
  <si>
    <t>mug/sn_d309d5f8038df4121198791a5b8655c</t>
  </si>
  <si>
    <t>mug/sn_d32cd77c6630b77de47c0353c18d58e</t>
  </si>
  <si>
    <t>mug/sn_d38295b8d83e8cdec712af445786fe</t>
  </si>
  <si>
    <t>mug/sn_d46b98f63a017578ea456f4bbbc96af9</t>
  </si>
  <si>
    <t>mug/sn_d55c0f9d25cbd476f8d402a0606df195</t>
  </si>
  <si>
    <t>mug/sn_d75af64aa166c24eacbe2257d0988c9c</t>
  </si>
  <si>
    <t>mug/sn_d7ba704184d424dfd56d9106430c3fe</t>
  </si>
  <si>
    <t>mug/sn_d96c252cda44cba71047874d2f3335a</t>
  </si>
  <si>
    <t>mug/sn_da267df487d2a521d9f818dd0aa1a251</t>
  </si>
  <si>
    <t>mug/sn_daee5cf285b8d210eeb8d422649e5f2b</t>
  </si>
  <si>
    <t>mug/sn_dc95c52ca0ad054d9765c10879d1ef74</t>
  </si>
  <si>
    <t>mug/sn_dcec634f18e12427c2c72e575af174cd</t>
  </si>
  <si>
    <t>mug/sn_de7b31e82dc373f2b9946438ed40eeb9</t>
  </si>
  <si>
    <t>mug/sn_dfa8a3a0c8a552b62bc8a44b22fcb3b9</t>
  </si>
  <si>
    <t>mug/sn_e16a895052da87277f58c33b328479f4</t>
  </si>
  <si>
    <t>mug/sn_e33dcc05e5a338ceb9946438ed40eeb9</t>
  </si>
  <si>
    <t>mug/sn_e363fa24c824d20ca363b55cbd344baa</t>
  </si>
  <si>
    <t>mug/sn_e6dedae946ff5265a95fb60c110b25aa</t>
  </si>
  <si>
    <t>mug/sn_e71102b6da1d63f3a363b55cbd344baa</t>
  </si>
  <si>
    <t>mug/sn_e9499e4a9f632725d6e865157050a80e</t>
  </si>
  <si>
    <t>mug/sn_e94e46bc5833f2f5e57b873e4f3ef3a4</t>
  </si>
  <si>
    <t>mug/sn_e984fd7e97c2be347eaeab1f0c9120b7</t>
  </si>
  <si>
    <t>mug/sn_e9bd4ee553eb35c1d5ccc40b510e4bd</t>
  </si>
  <si>
    <t>mug/sn_ea127b5b9ba0696967699ff4ba91a25</t>
  </si>
  <si>
    <t>mug/sn_ea33ad442b032208d778b73d04298f62</t>
  </si>
  <si>
    <t>mug/sn_ea95f7b57ff1573b9469314c979caef4</t>
  </si>
  <si>
    <t>mug/sn_eb98497a0b08c767f2d5a6dd6eeaf018</t>
  </si>
  <si>
    <t>mug/sn_ec846432f3ebedf0a6f32a8797e3b9e9</t>
  </si>
  <si>
    <t>mug/sn_eecb13f61a93b4048f58d8b19de93f99</t>
  </si>
  <si>
    <t>mug/sn_ef24c302911bcde6ea6ff2182dd34668</t>
  </si>
  <si>
    <t>mug/sn_f09e51579600cfbb88b651d2e4ea0846</t>
  </si>
  <si>
    <t>mug/sn_f1866a48c2fc17f85b2ecd212557fda0</t>
  </si>
  <si>
    <t>mug/sn_f1c5b9bb744afd96d6e1954365b10b52</t>
  </si>
  <si>
    <t>mug/sn_f23a544c04e2f5ccb50d0c6a0c254040</t>
  </si>
  <si>
    <t>mug/sn_f3a7f8198cc50c225f5e789acd4d1122</t>
  </si>
  <si>
    <t>mug/sn_f626192a5930d6c712f0124e8fa3930b</t>
  </si>
  <si>
    <t>mug/sn_f7d776fd68b126f23b67070c4a034f08</t>
  </si>
  <si>
    <t>mug/sn_f99e19b8c4a729353deb88581ea8417a</t>
  </si>
  <si>
    <t>mug/sn_fad118b32085f3f2c2c72e575af174cd</t>
  </si>
  <si>
    <t>mug/sn_ff1a44e1c1785d618bca309f2c51966a</t>
  </si>
  <si>
    <t>nail/sn_b284568e076ac28188aebe877241c8de</t>
  </si>
  <si>
    <t>nail/sn_b7385d52dc086354d9177228189afde4</t>
  </si>
  <si>
    <t>nail/sn_cc494a96b0a106e106a689fbe9ded83</t>
  </si>
  <si>
    <t>nail/sn_cf09c6a7f47bd82fcd3315e81c0e01b5</t>
  </si>
  <si>
    <t>nail/sn_d0373893d43ee0689dd775adf479755b</t>
  </si>
  <si>
    <t>nail/sn_d224f3427c2a4bc79133e432dd7411d</t>
  </si>
  <si>
    <t>nail/sn_d43416e2406096b5716dddf657de749c</t>
  </si>
  <si>
    <t>nail/sn_d44592655f34e031779c13fb99242e09</t>
  </si>
  <si>
    <t>nail/sn_de642d3804b80c0d8994705288c0baa4</t>
  </si>
  <si>
    <t>nail/sn_e571327556a64455c7c5c542899ff42d</t>
  </si>
  <si>
    <t>nail/sn_e9fa13aa4b6979951cf644619c59e0de</t>
  </si>
  <si>
    <t>nail/sn_f5315e52d5c498446a498af1e79a3e17</t>
  </si>
  <si>
    <t>nail/sn_fbaa929cb56c6178f5993ac337e655ec</t>
  </si>
  <si>
    <t>pencil/sn_c955ba94aad87661fb1d05f07f4c34b8</t>
  </si>
  <si>
    <t>pencil/sn_c99a9fb0441d562ea19aad949f3ccb55</t>
  </si>
  <si>
    <t>pencil/sn_ca1d3369cce99790cc49567b27f202c2</t>
  </si>
  <si>
    <t>pencil/sn_cb2d594df1ebe2ae5d3a12414c75804a</t>
  </si>
  <si>
    <t>pencil/sn_cb5511b42c5f7bfc725614cd612f8f38</t>
  </si>
  <si>
    <t>pencil/sn_cb572561141e0b98128c883ba2a8cf9</t>
  </si>
  <si>
    <t>pencil/sn_cbefc43c808319a213a8b2a24e3fe32c</t>
  </si>
  <si>
    <t>pencil/sn_cc2a0422943c718a35aa93e8e984ad46</t>
  </si>
  <si>
    <t>pencil/sn_cdb82f4b34804520821a29f3de4d7cce</t>
  </si>
  <si>
    <t>pencil/sn_ce40aed68a22dfa52baa6b8aa1acece9</t>
  </si>
  <si>
    <t>pencil/sn_cee9857960c23c2e52ff829bff6c71d4</t>
  </si>
  <si>
    <t>pencil/sn_cf447364cc7c41416746b9c4928c85ce</t>
  </si>
  <si>
    <t>pencil/sn_d058aaf8dce9b1b4a7750b1c1c7105a4</t>
  </si>
  <si>
    <t>pencil/sn_d0ce65bd6a1d403815a69a2b87020ac</t>
  </si>
  <si>
    <t>pencil/sn_d1e4af76761bc99196f9ae6927d24261</t>
  </si>
  <si>
    <t>pencil/sn_d22cfab6479b8ec2741e88434245c899</t>
  </si>
  <si>
    <t>pencil/sn_d28bc7b3d5c978fe54665a4e9c906cd4</t>
  </si>
  <si>
    <t>pencil/sn_d294fd4bca461b1d1f03fbe6090ffd40</t>
  </si>
  <si>
    <t>pencil/sn_d3f25189929da049cfdbef4cd511f6b</t>
  </si>
  <si>
    <t>pencil/sn_d4bf229a94bf05dd2e6aa749ba743c21</t>
  </si>
  <si>
    <t>pencil/sn_d53903b1400f24fd38c99e31cd0b0da7</t>
  </si>
  <si>
    <t>pencil/sn_d601a8cf9922742c94fa0147cd777a8d</t>
  </si>
  <si>
    <t>pencil/sn_d63577a934d735342f326690bb37e976</t>
  </si>
  <si>
    <t>pencil/sn_d7c7c62a7ab759f01ca45e6b47877f54</t>
  </si>
  <si>
    <t>pencil/sn_d7d1863fcab63cddc7c51d4ea74651a7</t>
  </si>
  <si>
    <t>pencil/sn_d7d810eec60b107740dcd50b8cfbe557</t>
  </si>
  <si>
    <t>pencil/sn_d7e57368ef8f2c34e63cdd8c980b2e49</t>
  </si>
  <si>
    <t>pencil/sn_d839dabf17d48bebf9141b0ebfe81fea</t>
  </si>
  <si>
    <t>pencil/sn_d844bb2ff4c6101997224e3a2c616944</t>
  </si>
  <si>
    <t>pencil/sn_d962ac6117eb8890c2c72e575af174cd</t>
  </si>
  <si>
    <t>pencil/sn_d9b99bd654bc74bd3a4ebcf150599a82</t>
  </si>
  <si>
    <t>pencil/sn_db55c78bddc17844faa359bca8206349</t>
  </si>
  <si>
    <t>pencil/sn_dba10f096e74b42e387a6aee7e31ae66</t>
  </si>
  <si>
    <t>pencil/sn_dc53c0c007551ed94d678187b8261d95</t>
  </si>
  <si>
    <t>pencil/sn_dd0b32e0ed3a4526f9e9a5b296ad3c43</t>
  </si>
  <si>
    <t>pencil/sn_de387435a5b0fe0bb15bdd2a3164e7e5</t>
  </si>
  <si>
    <t>pencil/sn_de913c120d5f32b59bed0b60498125c1</t>
  </si>
  <si>
    <t>pencil/sn_df1b84d9d15c89b690d903cb4fcdea47</t>
  </si>
  <si>
    <t>pencil/sn_df3dad3be54e23d4823708c0b62ca422</t>
  </si>
  <si>
    <t>pencil/sn_df9a09542b48feafc86851951fe3b3ed</t>
  </si>
  <si>
    <t>pencil/sn_e081531e3f9ddad8bb01e8d0bddd5702</t>
  </si>
  <si>
    <t>pencil/sn_e0c7865ad644afd1336115f25f0588da</t>
  </si>
  <si>
    <t>pencil/sn_e121fc59ec952dffb38525e01968f715</t>
  </si>
  <si>
    <t>pencil/sn_e1dcd7c5d05413c29a293c6471e6f319</t>
  </si>
  <si>
    <t>pencil/sn_e20d5484f3e27e107299dc9fb372e1f</t>
  </si>
  <si>
    <t>pencil/sn_e220e56bd9b2dec20b845a98672d904</t>
  </si>
  <si>
    <t>pencil/sn_e482c8bf90ae1477252cde31666379c</t>
  </si>
  <si>
    <t>pencil/sn_e499791b7b39b44c644404f8fb3dc5e3</t>
  </si>
  <si>
    <t>pencil/sn_e59b4248a05db713cbb84f44b807063b</t>
  </si>
  <si>
    <t>pencil/sn_e5d6d09e2c91c75e1b5647ac5820a290</t>
  </si>
  <si>
    <t>pencil/sn_e5e2c9a79846d03b50974363fa607f82</t>
  </si>
  <si>
    <t>pencil/sn_e5fe4dc1fe3dadf955991a951ebab66e</t>
  </si>
  <si>
    <t>pencil/sn_e8052c58c50d22dff9141b0ebfe81fea</t>
  </si>
  <si>
    <t>pencil/sn_e87e2a275c64aa42b7323bd2550572e4</t>
  </si>
  <si>
    <t>pencil/sn_e8cd878799bcad7b419a0d2ea1ae9704</t>
  </si>
  <si>
    <t>pencil/sn_e999259d739f132de434567558a5bf71</t>
  </si>
  <si>
    <t>pencil/sn_ea024c9aac088109edf2c43a0d2763e3</t>
  </si>
  <si>
    <t>pencil/sn_ea2a5232937ac313cc4615437a5f2a66</t>
  </si>
  <si>
    <t>pencil/sn_eac6e52121db1c091173ca4e3f70e9fc</t>
  </si>
  <si>
    <t>pencil/sn_eb4efa5574376393a5517442d05421cb</t>
  </si>
  <si>
    <t>pencil/sn_ec30b2c80e1d1c5c886d41634f2118a2</t>
  </si>
  <si>
    <t>pencil/sn_ec59f4fc9aa3753a43909a009b8afe7</t>
  </si>
  <si>
    <t>pencil/sn_ed997f61a0799dd87fe535b855d2aa2c</t>
  </si>
  <si>
    <t>pencil/sn_ee00826e5a3c9e7bd2abb7048975c9da</t>
  </si>
  <si>
    <t>pencil/sn_ee11b1c9d602d7577548281e465c9303</t>
  </si>
  <si>
    <t>pencil/sn_ee2d65c374a70d2e9568a5aadd53bb7a</t>
  </si>
  <si>
    <t>pencil/sn_ee4174ac91cc8b90a75110d33156fc49</t>
  </si>
  <si>
    <t>pencil/sn_ee7126008911102f189d4101cf70819a</t>
  </si>
  <si>
    <t>pencil/sn_f1154175a5edbd892056b3104914123</t>
  </si>
  <si>
    <t>pencil/sn_f1b1c59859761721ed1c1c47436c7974</t>
  </si>
  <si>
    <t>pencil/sn_f37a5d6c26fc86efbc839f4509518424</t>
  </si>
  <si>
    <t>pencil/sn_f392c4df0784ffc07f5b653d43c48f1e</t>
  </si>
  <si>
    <t>pencil/sn_f466705d7bc17c6e77b2ee6a0f4a89c6</t>
  </si>
  <si>
    <t>pencil/sn_f587b73fc6cf19835530ed1c645f0338</t>
  </si>
  <si>
    <t>pencil/sn_f61680462022668445a424b9e725cb9b</t>
  </si>
  <si>
    <t>pencil/sn_f62518f98cfbb1dd96a1288d1bba75</t>
  </si>
  <si>
    <t>pencil/sn_f63b7a27e8adbe1ba29ae24f6cae3d6c</t>
  </si>
  <si>
    <t>pencil/sn_f6c8e6cfad3a1f67b30737dd4756ef8d</t>
  </si>
  <si>
    <t>pencil/sn_f8ab30574170e878fa2e328741dade59</t>
  </si>
  <si>
    <t>pencil/sn_f8ff6608ff4fbd76c9814f4b5433acb4</t>
  </si>
  <si>
    <t>pencil/sn_f91c8cd572244ea6b3ac908e4f36ee62</t>
  </si>
  <si>
    <t>pencil/sn_f9859e1d25adfcd6f7d8f4e8adee4536</t>
  </si>
  <si>
    <t>pencil/sn_f9a43250dbd5820a77f3cf94e2459f6b</t>
  </si>
  <si>
    <t>pencil/sn_fce3804024f560073f0ddc6f164e8e3d</t>
  </si>
  <si>
    <t>pencil/sn_fd18691b62228147fa66af4fa88cb7cd</t>
  </si>
  <si>
    <t>pencil/sn_fe2acbed942c0e2b7c5775fd816aee52</t>
  </si>
  <si>
    <t>pencil/sn_fe813758c1523989193d4b734f02a389</t>
  </si>
  <si>
    <t>pencil/sn_ff19047f9786773d2449d8c5f0c328d5</t>
  </si>
  <si>
    <t>pencil/sn_ff381f1fd56f30dfc0dc3ed657ab97f0</t>
  </si>
  <si>
    <t>pencil/sn_ff55ce0d16b49866d7bafe4ea895899</t>
  </si>
  <si>
    <t>pencil/sn_fff7e29c815aaa1a2ecfea94888631</t>
  </si>
  <si>
    <t>pliers/3dw_b353540d-c322-4fc5-b8ed-fd705e3ea808</t>
  </si>
  <si>
    <t>pliers/3dw_ba6753fe-bda7-4686-a6bf-17d4df47844f</t>
  </si>
  <si>
    <t>pliers/3dw_c6a47cfa-d90f-4959-93e8-83d32b9c590b</t>
  </si>
  <si>
    <t>pliers/3dw_cfaee263-07ed-45f3-8b9c-0ba4dcc90ad7</t>
  </si>
  <si>
    <t>pliers/3dw_daa0192d-69b1-4aa6-89d6-40132cc29ba9</t>
  </si>
  <si>
    <t>pliers/3dw_e467b989-03b7-4c12-8def-dbf5ec1bed80</t>
  </si>
  <si>
    <t>pliers/3dw_e542d64c-1554-414b-b34b-098b0c6770d4</t>
  </si>
  <si>
    <t>pliers/3dw_f38c796c-68a6-4465-834c-061a830ba603</t>
  </si>
  <si>
    <t>pliers/3dw_f92bad13-5201-493a-8ebb-377510d533d9</t>
  </si>
  <si>
    <t>pliers/3dw_f9c3c3c9-9a2e-4968-b08b-92e90eee1d22</t>
  </si>
  <si>
    <t>scissors/sn_44d8e0530a3bbb11fe83da942ecb8647</t>
  </si>
  <si>
    <t>scissors/sn_4f8a58009185d19f27a4a1658277b4d4</t>
  </si>
  <si>
    <t>scissors/sn_5057c24bbfaa7de2f7c4ed45ce654123</t>
  </si>
  <si>
    <t>scissors/sn_51e8f39e13810eb3467ca2ad6571afff</t>
  </si>
  <si>
    <t>scissors/sn_55291bfe37806ab0c147d79beab0bc0d</t>
  </si>
  <si>
    <t>scissors/sn_60ab6f3ec6a2241f64dcee9870d0c27</t>
  </si>
  <si>
    <t>scissors/sn_708b57ad408688a5b75a6bd6769f8e18</t>
  </si>
  <si>
    <t>scissors/sn_963c8788115b26de979f045d8a735f23</t>
  </si>
  <si>
    <t>scissors/sn_b25873c9339c3a6396c572c1e884a20d</t>
  </si>
  <si>
    <t>scissors/sn_bf2e40ab28c6b7bac94f6db5c00b15d</t>
  </si>
  <si>
    <t>scissors/sn_d5189176b6a6677bdf053ccc645157ff</t>
  </si>
  <si>
    <t>scissors/sn_d8af138e1f763dd72c42422bf722d7b</t>
  </si>
  <si>
    <t>scissors/sn_ec46d0cc7ac00f16cb72f5e3f9027736</t>
  </si>
  <si>
    <t>scissors/sn_f8d822a69e1637613478e03415bd563d</t>
  </si>
  <si>
    <t>screwdriver/sn_618a2ac2a00f0c2cc29d9a7082e987b0</t>
  </si>
  <si>
    <t>screwdriver/sn_63330766856180dfcb13f5acafd1fdef</t>
  </si>
  <si>
    <t>screwdriver/sn_89a3ff8c52d49d4dae6e8e83682ca453</t>
  </si>
  <si>
    <t>screwdriver/sn_91b2aa09148e3866e97426e55fb77981</t>
  </si>
  <si>
    <t>screwdriver/sn_99e21e6b78b6d38a5901d93c937a07e</t>
  </si>
  <si>
    <t>screwdriver/sn_9a65ee8f544ce558965094dba2eb878a</t>
  </si>
  <si>
    <t>screwdriver/sn_9bf8a3f92e11770d36318ac57c15a46</t>
  </si>
  <si>
    <t>screwdriver/sn_aecfe1b63799872cf015676d8305f05c</t>
  </si>
  <si>
    <t>screwdriver/sn_af125e42204928abd9d3572bbd9cf789</t>
  </si>
  <si>
    <t>screwdriver/sn_bcdb7d9d6a873800cb9c7bfbbc4da1ef</t>
  </si>
  <si>
    <t>screwdriver/sn_c4d2c5d527a0fbd1bc539d76bf348fa1</t>
  </si>
  <si>
    <t>screwdriver/sn_c6b41c0585ef6e7401998cd4bf7d99a</t>
  </si>
  <si>
    <t>screwdriver/sn_e3d518fbd0d52617f7c4ed45ce654123</t>
  </si>
  <si>
    <t>screwdriver/sn_e8733ce7bbacdf63cfdfe3f21f42a111</t>
  </si>
  <si>
    <t>screwdriver/sn_ee5d64abb16bebb6ba2dc6b0ec935a93</t>
  </si>
  <si>
    <t>screwdriver/sn_f5720ebc170fa50e9c8620c32cbd5c0</t>
  </si>
  <si>
    <t>screwdriver/sn_f5733e69d6e8ada2e3f7a74e12a274ef</t>
  </si>
  <si>
    <t>spoon/sn_71b28e4dab2b20b11e652fa812161367</t>
  </si>
  <si>
    <t>spoon/sn_91b14c74a87d1ed51e652fa812161367</t>
  </si>
  <si>
    <t>spoon/sn_9729770f5437f768638735e451972522</t>
  </si>
  <si>
    <t>spoon/sn_a40b92a4b1206a23634c2548420e5c66</t>
  </si>
  <si>
    <t>spoon/sn_a76fca42be718a4b9246ea0301684d80</t>
  </si>
  <si>
    <t>spoon/sn_afa8f649d70823c27187f552d95d9151</t>
  </si>
  <si>
    <t>spoon/sn_b6162e27fdeb2adcab0489c40ef4fc03</t>
  </si>
  <si>
    <t>spoon/sn_ba40fee78adb5cb4d98d2dce136d0711</t>
  </si>
  <si>
    <t>spoon/sn_c021b5cae6810cb0976875314667adbf</t>
  </si>
  <si>
    <t>spoon/sn_c340c651cede72c457ba044c28858b1</t>
  </si>
  <si>
    <t>spoon/sn_c63171cdc8eaedd23a63a352b1ae090d</t>
  </si>
  <si>
    <t>spoon/sn_ddee52df97b43eaa2edea1c2bfa3bc56</t>
  </si>
  <si>
    <t>spoon/sn_de731d4ac7341e15c58e834f0b160845</t>
  </si>
  <si>
    <t>spoon/sn_dfd87854f4686dffabeb890a269504bb</t>
  </si>
  <si>
    <t>spoon/sn_e0aae333906bb3cac29a46091cf24cad</t>
  </si>
  <si>
    <t>spoon/sn_f97ea93c7f9cdb6df145bef7cd14676b</t>
  </si>
  <si>
    <t>spoon/sn_fa8c1f01f3c09bc7763cd81c1b401a16</t>
  </si>
  <si>
    <t>usb_stick/3dw_d0f0aec8-876c-4913-ba63-ee0874ba6b6f</t>
  </si>
  <si>
    <t>usb_stick/3dw_d3af4d2a-37a6-4361-bfa6-755f1753160c</t>
  </si>
  <si>
    <t>usb_stick/3dw_d4a425dd-9b45-4d9e-81fc-8a3ae4fbf36e</t>
  </si>
  <si>
    <t>usb_stick/3dw_d57e40c0-58d3-463a-9350-7abcbfa8918f</t>
  </si>
  <si>
    <t>usb_stick/3dw_d6ec29d0-0e69-4d1b-af10-a025329bafa9</t>
  </si>
  <si>
    <t>usb_stick/3dw_d7f02d43-d7ae-41ab-8f1f-05d1dba9f678</t>
  </si>
  <si>
    <t>usb_stick/3dw_d8c1dd59-82c8-4601-b0dc-0300abc372f7</t>
  </si>
  <si>
    <t>usb_stick/3dw_de11365f-b94c-4600-a1de-969dbef4dc57</t>
  </si>
  <si>
    <t>usb_stick/3dw_e113ace6-8169-48da-aef6-6a8aa47e1fed</t>
  </si>
  <si>
    <t>usb_stick/3dw_e161212e-5cfb-4d6d-8e3d-b2e75292c80a</t>
  </si>
  <si>
    <t>usb_stick/3dw_e288a71a-0a0b-45b5-9840-eb8f07366852</t>
  </si>
  <si>
    <t>usb_stick/3dw_e5037b76-68f3-4d8a-af8b-c93becdac4db</t>
  </si>
  <si>
    <t>usb_stick/3dw_e73248e1-aecc-446a-932b-4d29021bcb0c</t>
  </si>
  <si>
    <t>usb_stick/3dw_e789a34c-af0b-4480-a3d1-daf234b26717</t>
  </si>
  <si>
    <t>usb_stick/3dw_f2877b6d-15c9-4284-8eef-f7a3610d1806</t>
  </si>
  <si>
    <t>usb_stick/3dw_f2b70c1a-a183-4f2b-8c7d-62a73f96e6a1</t>
  </si>
  <si>
    <t>usb_stick/3dw_faf3fad5-1a5f-4944-9d6f-0ece707d4152</t>
  </si>
  <si>
    <t>wrench/sn_ba4c8047b183c8063159ac6e1dd5116e</t>
  </si>
  <si>
    <t>wrench/sn_ba53e871e1cfffb8e4e346ee2650d150</t>
  </si>
  <si>
    <t>wrench/sn_c6e88efa08ba4016e4e346ee2650d150</t>
  </si>
  <si>
    <t>wrench/sn_c81d3dfeef42dedecf31f0f8432d9b6a</t>
  </si>
  <si>
    <t>wrench/sn_cd5379671aeead165b7e8cf321faec60</t>
  </si>
  <si>
    <t>wrench/sn_ce2e4743c993ce57f36ca9df1ed7a94</t>
  </si>
  <si>
    <t>wrench/sn_d3a6bef70233864f105ba04d7c7887e</t>
  </si>
  <si>
    <t>wrench/sn_d3d7e3c359de165698c63cb68f11df34</t>
  </si>
  <si>
    <t>wrench/sn_d680a11274087b72d634ee5b943790fb</t>
  </si>
  <si>
    <t>wrench/sn_dcd9252c80504d86b2a680b21d71b88f</t>
  </si>
  <si>
    <t>wrench/sn_dd35d029f6c0676ae4e346ee2650d150</t>
  </si>
  <si>
    <t>wrench/sn_ddcd3cafa9ce006d2eed4989630e1fdf</t>
  </si>
  <si>
    <t>wrench/sn_de7cfde0c44f61a26e1c18a0516d05cb</t>
  </si>
  <si>
    <t>wrench/sn_e3c1b09db7f45fe2e4e346ee2650d150</t>
  </si>
  <si>
    <t>wrench/sn_e5565841c62ca62b71010004e0594e66</t>
  </si>
  <si>
    <t>wrench/sn_e8915b2fb90011cce30c33fe0f006e74</t>
  </si>
  <si>
    <t>wrench/sn_ef30929c655f83cf78fe949fc1419876</t>
  </si>
  <si>
    <t>wrench/sn_efd458fd27a0413fcb03b57fca000b1f</t>
  </si>
  <si>
    <t>wrench/sn_f11cdbe0d4fc8e6ec8621169acea877</t>
  </si>
  <si>
    <t>wrench/sn_f82b6ea419659737e4e346ee2650d150</t>
  </si>
  <si>
    <t>wrench/sn_fc2fa4934cfb3483a92365172dd4f804</t>
  </si>
  <si>
    <t>file:///Users/markuspaschke/Desktop/presentation/_pmon4/example_outputs/2.5_on_2.5</t>
  </si>
  <si>
    <t>file:///Users/markuspaschke/Desktop/presentation/_pmon4/example_outputs/sn_v13_on_2.5</t>
  </si>
  <si>
    <t>file:///Users/markuspaschke/Desktop/presentation/_pmon4/example_outputs/2.5_xyz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</si>
</sst>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/>
    </fill>
    <fill>
      <patternFill patternType="solid">
        <fgColor rgb="FF00FF00"/>
      </patternFill>
    </fill>
    <fill>
      <patternFill patternType="solid">
        <fgColor rgb="FF44FF00"/>
      </patternFill>
    </fill>
    <fill>
      <patternFill patternType="solid">
        <fgColor rgb="FFEEFF00"/>
      </patternFill>
    </fill>
    <fill>
      <patternFill patternType="solid">
        <fgColor rgb="FF4CFF00"/>
      </patternFill>
    </fill>
    <fill>
      <patternFill patternType="solid">
        <fgColor rgb="FF08FF00"/>
      </patternFill>
    </fill>
    <fill>
      <patternFill patternType="solid">
        <fgColor rgb="FF88FF00"/>
      </patternFill>
    </fill>
    <fill>
      <patternFill patternType="solid">
        <fgColor rgb="FF0AFF00"/>
      </patternFill>
    </fill>
    <fill>
      <patternFill patternType="solid">
        <fgColor rgb="FF14FF00"/>
      </patternFill>
    </fill>
    <fill>
      <patternFill patternType="solid">
        <fgColor rgb="FF16FF00"/>
      </patternFill>
    </fill>
    <fill>
      <patternFill patternType="solid">
        <fgColor rgb="FF22FF00"/>
      </patternFill>
    </fill>
    <fill>
      <patternFill patternType="solid">
        <fgColor rgb="FF2EFF00"/>
      </patternFill>
    </fill>
    <fill>
      <patternFill patternType="solid">
        <fgColor rgb="FF04FF00"/>
      </patternFill>
    </fill>
    <fill>
      <patternFill patternType="solid">
        <fgColor rgb="FF4EFF00"/>
      </patternFill>
    </fill>
    <fill>
      <patternFill patternType="solid">
        <fgColor rgb="FFE6FF00"/>
      </patternFill>
    </fill>
    <fill>
      <patternFill patternType="solid">
        <fgColor rgb="FF06FF00"/>
      </patternFill>
    </fill>
    <fill>
      <patternFill patternType="solid">
        <fgColor rgb="FF74FF00"/>
      </patternFill>
    </fill>
    <fill>
      <patternFill patternType="solid">
        <fgColor rgb="FFAEFF00"/>
      </patternFill>
    </fill>
    <fill>
      <patternFill patternType="solid">
        <fgColor rgb="FFF2FF00"/>
      </patternFill>
    </fill>
    <fill>
      <patternFill patternType="solid">
        <fgColor rgb="FF24FF00"/>
      </patternFill>
    </fill>
    <fill>
      <patternFill patternType="solid">
        <fgColor rgb="FF1CFF00"/>
      </patternFill>
    </fill>
    <fill>
      <patternFill patternType="solid">
        <fgColor rgb="FF18FF00"/>
      </patternFill>
    </fill>
    <fill>
      <patternFill patternType="solid">
        <fgColor rgb="FF2CFF00"/>
      </patternFill>
    </fill>
    <fill>
      <patternFill patternType="solid">
        <fgColor rgb="FF8CFF00"/>
      </patternFill>
    </fill>
    <fill>
      <patternFill patternType="solid">
        <fgColor rgb="FF02FF00"/>
      </patternFill>
    </fill>
    <fill>
      <patternFill patternType="solid">
        <fgColor rgb="FF72FF00"/>
      </patternFill>
    </fill>
    <fill>
      <patternFill patternType="solid">
        <fgColor rgb="FF3AFF00"/>
      </patternFill>
    </fill>
    <fill>
      <patternFill patternType="solid">
        <fgColor rgb="FF50FF00"/>
      </patternFill>
    </fill>
    <fill>
      <patternFill patternType="solid">
        <fgColor rgb="FFACFF00"/>
      </patternFill>
    </fill>
    <fill>
      <patternFill patternType="solid">
        <fgColor rgb="FF3CFF00"/>
      </patternFill>
    </fill>
    <fill>
      <patternFill patternType="solid">
        <fgColor rgb="FF34FF00"/>
      </patternFill>
    </fill>
    <fill>
      <patternFill patternType="solid">
        <fgColor rgb="FF8AFF00"/>
      </patternFill>
    </fill>
    <fill>
      <patternFill patternType="solid">
        <fgColor rgb="FFFFAC00"/>
      </patternFill>
    </fill>
    <fill>
      <patternFill patternType="solid">
        <fgColor rgb="FF12FF00"/>
      </patternFill>
    </fill>
    <fill>
      <patternFill patternType="solid">
        <fgColor rgb="FF0EFF00"/>
      </patternFill>
    </fill>
    <fill>
      <patternFill patternType="solid">
        <fgColor rgb="FF48FF00"/>
      </patternFill>
    </fill>
    <fill>
      <patternFill patternType="solid">
        <fgColor rgb="FFC6FF00"/>
      </patternFill>
    </fill>
    <fill>
      <patternFill patternType="solid">
        <fgColor rgb="FFA4FF00"/>
      </patternFill>
    </fill>
    <fill>
      <patternFill patternType="solid">
        <fgColor rgb="FFC2FF00"/>
      </patternFill>
    </fill>
    <fill>
      <patternFill patternType="solid">
        <fgColor rgb="FF1EFF00"/>
      </patternFill>
    </fill>
    <fill>
      <patternFill patternType="solid">
        <fgColor rgb="FF6CFF00"/>
      </patternFill>
    </fill>
    <fill>
      <patternFill patternType="solid">
        <fgColor rgb="FF10FF00"/>
      </patternFill>
    </fill>
    <fill>
      <patternFill patternType="solid">
        <fgColor rgb="FF70FF00"/>
      </patternFill>
    </fill>
    <fill>
      <patternFill patternType="solid">
        <fgColor rgb="FF5EFF00"/>
      </patternFill>
    </fill>
    <fill>
      <patternFill patternType="solid">
        <fgColor rgb="FF26FF00"/>
      </patternFill>
    </fill>
    <fill>
      <patternFill patternType="solid">
        <fgColor rgb="FF66FF00"/>
      </patternFill>
    </fill>
    <fill>
      <patternFill patternType="solid">
        <fgColor rgb="FFFFC400"/>
      </patternFill>
    </fill>
    <fill>
      <patternFill patternType="solid">
        <fgColor rgb="FF2AFF00"/>
      </patternFill>
    </fill>
    <fill>
      <patternFill patternType="solid">
        <fgColor rgb="FF62FF00"/>
      </patternFill>
    </fill>
    <fill>
      <patternFill patternType="solid">
        <fgColor rgb="FF54FF00"/>
      </patternFill>
    </fill>
    <fill>
      <patternFill patternType="solid">
        <fgColor rgb="FFE0FF00"/>
      </patternFill>
    </fill>
    <fill>
      <patternFill patternType="solid">
        <fgColor rgb="FF0CFF00"/>
      </patternFill>
    </fill>
    <fill>
      <patternFill patternType="solid">
        <fgColor rgb="FF96FF00"/>
      </patternFill>
    </fill>
    <fill>
      <patternFill patternType="solid">
        <fgColor rgb="FF38FF00"/>
      </patternFill>
    </fill>
    <fill>
      <patternFill patternType="solid">
        <fgColor rgb="FF60FF00"/>
      </patternFill>
    </fill>
    <fill>
      <patternFill patternType="solid">
        <fgColor rgb="FF92FF00"/>
      </patternFill>
    </fill>
    <fill>
      <patternFill patternType="solid">
        <fgColor rgb="FF9AFF00"/>
      </patternFill>
    </fill>
    <fill>
      <patternFill patternType="solid">
        <fgColor rgb="FFBAFF00"/>
      </patternFill>
    </fill>
    <fill>
      <patternFill patternType="solid">
        <fgColor rgb="FFD6FF00"/>
      </patternFill>
    </fill>
    <fill>
      <patternFill patternType="solid">
        <fgColor rgb="FF4AFF00"/>
      </patternFill>
    </fill>
    <fill>
      <patternFill patternType="solid">
        <fgColor rgb="FF78FF00"/>
      </patternFill>
    </fill>
    <fill>
      <patternFill patternType="solid">
        <fgColor rgb="FF68FF00"/>
      </patternFill>
    </fill>
    <fill>
      <patternFill patternType="solid">
        <fgColor rgb="FFFFF200"/>
      </patternFill>
    </fill>
    <fill>
      <patternFill patternType="solid">
        <fgColor rgb="FFFFAE00"/>
      </patternFill>
    </fill>
    <fill>
      <patternFill patternType="solid">
        <fgColor rgb="FF94FF00"/>
      </patternFill>
    </fill>
    <fill>
      <patternFill patternType="solid">
        <fgColor rgb="FFFCFF00"/>
      </patternFill>
    </fill>
    <fill>
      <patternFill patternType="solid">
        <fgColor rgb="FFFFC800"/>
      </patternFill>
    </fill>
    <fill>
      <patternFill patternType="solid">
        <fgColor rgb="FF32FF00"/>
      </patternFill>
    </fill>
    <fill>
      <patternFill patternType="solid">
        <fgColor rgb="FF7CFF00"/>
      </patternFill>
    </fill>
    <fill>
      <patternFill patternType="solid">
        <fgColor rgb="FF52FF00"/>
      </patternFill>
    </fill>
    <fill>
      <patternFill patternType="solid">
        <fgColor rgb="FF1AFF00"/>
      </patternFill>
    </fill>
    <fill>
      <patternFill patternType="solid">
        <fgColor rgb="FF28FF00"/>
      </patternFill>
    </fill>
    <fill>
      <patternFill patternType="solid">
        <fgColor rgb="FFBCFF00"/>
      </patternFill>
    </fill>
    <fill>
      <patternFill patternType="solid">
        <fgColor rgb="FFFF5400"/>
      </patternFill>
    </fill>
    <fill>
      <patternFill patternType="solid">
        <fgColor rgb="FF76FF00"/>
      </patternFill>
    </fill>
    <fill>
      <patternFill patternType="solid">
        <fgColor rgb="FF5AFF00"/>
      </patternFill>
    </fill>
    <fill>
      <patternFill patternType="solid">
        <fgColor rgb="FFDCFF00"/>
      </patternFill>
    </fill>
    <fill>
      <patternFill patternType="solid">
        <fgColor rgb="FFFEFE00"/>
      </patternFill>
    </fill>
    <fill>
      <patternFill patternType="solid">
        <fgColor rgb="FFC8FF00"/>
      </patternFill>
    </fill>
    <fill>
      <patternFill patternType="solid">
        <fgColor rgb="FF20FF00"/>
      </patternFill>
    </fill>
    <fill>
      <patternFill patternType="solid">
        <fgColor rgb="FF56FF00"/>
      </patternFill>
    </fill>
    <fill>
      <patternFill patternType="solid">
        <fgColor rgb="FF58FF00"/>
      </patternFill>
    </fill>
    <fill>
      <patternFill patternType="solid">
        <fgColor rgb="FF7AFF00"/>
      </patternFill>
    </fill>
    <fill>
      <patternFill patternType="solid">
        <fgColor rgb="FF90FF00"/>
      </patternFill>
    </fill>
    <fill>
      <patternFill patternType="solid">
        <fgColor rgb="FFFFCE00"/>
      </patternFill>
    </fill>
    <fill>
      <patternFill patternType="solid">
        <fgColor rgb="FFFF3A00"/>
      </patternFill>
    </fill>
    <fill>
      <patternFill patternType="solid">
        <fgColor rgb="FF82FF00"/>
      </patternFill>
    </fill>
    <fill>
      <patternFill patternType="solid">
        <fgColor rgb="FFFFB000"/>
      </patternFill>
    </fill>
    <fill>
      <patternFill patternType="solid">
        <fgColor rgb="FFFF0000"/>
      </patternFill>
    </fill>
    <fill>
      <patternFill patternType="solid">
        <fgColor rgb="FF3EFF00"/>
      </patternFill>
    </fill>
    <fill>
      <patternFill patternType="solid">
        <fgColor rgb="FFA6FF00"/>
      </patternFill>
    </fill>
    <fill>
      <patternFill patternType="solid">
        <fgColor rgb="FF6AFF00"/>
      </patternFill>
    </fill>
    <fill>
      <patternFill patternType="solid">
        <fgColor rgb="FFFFAA00"/>
      </patternFill>
    </fill>
    <fill>
      <patternFill patternType="solid">
        <fgColor rgb="FFCEFF00"/>
      </patternFill>
    </fill>
    <fill>
      <patternFill patternType="solid">
        <fgColor rgb="FF42FF00"/>
      </patternFill>
    </fill>
    <fill>
      <patternFill patternType="solid">
        <fgColor rgb="FF40FF00"/>
      </patternFill>
    </fill>
    <fill>
      <patternFill patternType="solid">
        <fgColor rgb="FF30FF00"/>
      </patternFill>
    </fill>
    <fill>
      <patternFill patternType="solid">
        <fgColor rgb="FF80FF00"/>
      </patternFill>
    </fill>
    <fill>
      <patternFill patternType="solid">
        <fgColor rgb="FF46FF00"/>
      </patternFill>
    </fill>
    <fill>
      <patternFill patternType="solid">
        <fgColor rgb="FFFFE400"/>
      </patternFill>
    </fill>
    <fill>
      <patternFill patternType="solid">
        <fgColor rgb="FF64FF00"/>
      </patternFill>
    </fill>
    <fill>
      <patternFill patternType="solid">
        <fgColor rgb="FFA2FF00"/>
      </patternFill>
    </fill>
    <fill>
      <patternFill patternType="solid">
        <fgColor rgb="FFCAFF00"/>
      </patternFill>
    </fill>
    <fill>
      <patternFill patternType="solid">
        <fgColor rgb="FF84FF00"/>
      </patternFill>
    </fill>
    <fill>
      <patternFill patternType="solid">
        <fgColor rgb="FFFFD200"/>
      </patternFill>
    </fill>
    <fill>
      <patternFill patternType="solid">
        <fgColor rgb="FFFF2600"/>
      </patternFill>
    </fill>
    <fill>
      <patternFill patternType="solid">
        <fgColor rgb="FFA8FF00"/>
      </patternFill>
    </fill>
    <fill>
      <patternFill patternType="solid">
        <fgColor rgb="FFB2FF00"/>
      </patternFill>
    </fill>
    <fill>
      <patternFill patternType="solid">
        <fgColor rgb="FF86FF00"/>
      </patternFill>
    </fill>
    <fill>
      <patternFill patternType="solid">
        <fgColor rgb="FFFF8200"/>
      </patternFill>
    </fill>
    <fill>
      <patternFill patternType="solid">
        <fgColor rgb="FF9CFF00"/>
      </patternFill>
    </fill>
    <fill>
      <patternFill patternType="solid">
        <fgColor rgb="FF36FF00"/>
      </patternFill>
    </fill>
    <fill>
      <patternFill patternType="solid">
        <fgColor rgb="FFB0FF00"/>
      </patternFill>
    </fill>
    <fill>
      <patternFill patternType="solid">
        <fgColor rgb="FFFFFC00"/>
      </patternFill>
    </fill>
    <fill>
      <patternFill patternType="solid">
        <fgColor rgb="FFECFF00"/>
      </patternFill>
    </fill>
    <fill>
      <patternFill patternType="solid">
        <fgColor rgb="FF7EFF00"/>
      </patternFill>
    </fill>
    <fill>
      <patternFill patternType="solid">
        <fgColor rgb="FF8EFF00"/>
      </patternFill>
    </fill>
    <fill>
      <patternFill patternType="solid">
        <fgColor rgb="FFFFB200"/>
      </patternFill>
    </fill>
    <fill>
      <patternFill patternType="solid">
        <fgColor rgb="FFFFC200"/>
      </patternFill>
    </fill>
    <fill>
      <patternFill patternType="solid">
        <fgColor rgb="FFFF9A00"/>
      </patternFill>
    </fill>
    <fill>
      <patternFill patternType="solid">
        <fgColor rgb="FFFFDA00"/>
      </patternFill>
    </fill>
    <fill>
      <patternFill patternType="solid">
        <fgColor rgb="FFFFB800"/>
      </patternFill>
    </fill>
    <fill>
      <patternFill patternType="solid">
        <fgColor rgb="FFF0FF00"/>
      </patternFill>
    </fill>
    <fill>
      <patternFill patternType="solid">
        <fgColor rgb="FFFFDC00"/>
      </patternFill>
    </fill>
    <fill>
      <patternFill patternType="solid">
        <fgColor rgb="FFD2FF00"/>
      </patternFill>
    </fill>
    <fill>
      <patternFill patternType="solid">
        <fgColor rgb="FFFF5600"/>
      </patternFill>
    </fill>
    <fill>
      <patternFill patternType="solid">
        <fgColor rgb="FFFFCA00"/>
      </patternFill>
    </fill>
    <fill>
      <patternFill patternType="solid">
        <fgColor rgb="FFFFB400"/>
      </patternFill>
    </fill>
    <fill>
      <patternFill patternType="solid">
        <fgColor rgb="FF98FF00"/>
      </patternFill>
    </fill>
    <fill>
      <patternFill patternType="solid">
        <fgColor rgb="FFB6FF00"/>
      </patternFill>
    </fill>
    <fill>
      <patternFill patternType="solid">
        <fgColor rgb="FFB4FF00"/>
      </patternFill>
    </fill>
    <fill>
      <patternFill patternType="solid">
        <fgColor rgb="FFE8FF00"/>
      </patternFill>
    </fill>
    <fill>
      <patternFill patternType="solid">
        <fgColor rgb="FFCCFF00"/>
      </patternFill>
    </fill>
    <fill>
      <patternFill patternType="solid">
        <fgColor rgb="FFFF2800"/>
      </patternFill>
    </fill>
    <fill>
      <patternFill patternType="solid">
        <fgColor rgb="FFFF1A00"/>
      </patternFill>
    </fill>
    <fill>
      <patternFill patternType="solid">
        <fgColor rgb="FF5CFF00"/>
      </patternFill>
    </fill>
    <fill>
      <patternFill patternType="solid">
        <fgColor rgb="FFDEFF00"/>
      </patternFill>
    </fill>
    <fill>
      <patternFill patternType="solid">
        <fgColor rgb="FFA0FF00"/>
      </patternFill>
    </fill>
    <fill>
      <patternFill patternType="solid">
        <fgColor rgb="FFFF6E00"/>
      </patternFill>
    </fill>
    <fill>
      <patternFill patternType="solid">
        <fgColor rgb="FFFF7A00"/>
      </patternFill>
    </fill>
    <fill>
      <patternFill patternType="solid">
        <fgColor rgb="FFD4FF00"/>
      </patternFill>
    </fill>
    <fill>
      <patternFill patternType="solid">
        <fgColor rgb="FFFFEA00"/>
      </patternFill>
    </fill>
    <fill>
      <patternFill patternType="solid">
        <fgColor rgb="FFE2FF00"/>
      </patternFill>
    </fill>
    <fill>
      <patternFill patternType="solid">
        <fgColor rgb="FFFFA400"/>
      </patternFill>
    </fill>
    <fill>
      <patternFill patternType="solid">
        <fgColor rgb="FFFF2400"/>
      </patternFill>
    </fill>
    <fill>
      <patternFill patternType="solid">
        <fgColor rgb="FFFF6600"/>
      </patternFill>
    </fill>
    <fill>
      <patternFill patternType="solid">
        <fgColor rgb="FFFF0E00"/>
      </patternFill>
    </fill>
    <fill>
      <patternFill patternType="solid">
        <fgColor rgb="FFFFE800"/>
      </patternFill>
    </fill>
    <fill>
      <patternFill patternType="solid">
        <fgColor rgb="FFD8FF00"/>
      </patternFill>
    </fill>
    <fill>
      <patternFill patternType="solid">
        <fgColor rgb="FFFFBE00"/>
      </patternFill>
    </fill>
    <fill>
      <patternFill patternType="solid">
        <fgColor rgb="FFFFE000"/>
      </patternFill>
    </fill>
    <fill>
      <patternFill patternType="solid">
        <fgColor rgb="FFFFC600"/>
      </patternFill>
    </fill>
    <fill>
      <patternFill patternType="solid">
        <fgColor rgb="FFFFF800"/>
      </patternFill>
    </fill>
    <fill>
      <patternFill patternType="solid">
        <fgColor rgb="FF9EFF00"/>
      </patternFill>
    </fill>
    <fill>
      <patternFill patternType="solid">
        <fgColor rgb="FFFF5200"/>
      </patternFill>
    </fill>
    <fill>
      <patternFill patternType="solid">
        <fgColor rgb="FFFF0600"/>
      </patternFill>
    </fill>
    <fill>
      <patternFill patternType="solid">
        <fgColor rgb="FFFF0A00"/>
      </patternFill>
    </fill>
    <fill>
      <patternFill patternType="solid">
        <fgColor rgb="FFEAFF00"/>
      </patternFill>
    </fill>
    <fill>
      <patternFill patternType="solid">
        <fgColor rgb="FFFFD800"/>
      </patternFill>
    </fill>
    <fill>
      <patternFill patternType="solid">
        <fgColor rgb="FFFFD600"/>
      </patternFill>
    </fill>
    <fill>
      <patternFill patternType="solid">
        <fgColor rgb="FFDAFF00"/>
      </patternFill>
    </fill>
    <fill>
      <patternFill patternType="solid">
        <fgColor rgb="FFFFF600"/>
      </patternFill>
    </fill>
    <fill>
      <patternFill patternType="solid">
        <fgColor rgb="FFFF8400"/>
      </patternFill>
    </fill>
    <fill>
      <patternFill patternType="solid">
        <fgColor rgb="FFC4FF00"/>
      </patternFill>
    </fill>
    <fill>
      <patternFill patternType="solid">
        <fgColor rgb="FFFF3000"/>
      </patternFill>
    </fill>
    <fill>
      <patternFill patternType="solid">
        <fgColor rgb="FFD0FF00"/>
      </patternFill>
    </fill>
    <fill>
      <patternFill patternType="solid">
        <fgColor rgb="FFFF3600"/>
      </patternFill>
    </fill>
    <fill>
      <patternFill patternType="solid">
        <fgColor rgb="FFFFE600"/>
      </patternFill>
    </fill>
    <fill>
      <patternFill patternType="solid">
        <fgColor rgb="FFE4FF00"/>
      </patternFill>
    </fill>
    <fill>
      <patternFill patternType="solid">
        <fgColor rgb="FFFF2A00"/>
      </patternFill>
    </fill>
    <fill>
      <patternFill patternType="solid">
        <fgColor rgb="FFFFBC00"/>
      </patternFill>
    </fill>
    <fill>
      <patternFill patternType="solid">
        <fgColor rgb="FFAAFF00"/>
      </patternFill>
    </fill>
    <fill>
      <patternFill patternType="solid">
        <fgColor rgb="FFBEFF00"/>
      </patternFill>
    </fill>
    <fill>
      <patternFill patternType="solid">
        <fgColor rgb="FFF4FF00"/>
      </patternFill>
    </fill>
    <fill>
      <patternFill patternType="solid">
        <fgColor rgb="FFFF8C00"/>
      </patternFill>
    </fill>
    <fill>
      <patternFill patternType="solid">
        <fgColor rgb="FFFF8600"/>
      </patternFill>
    </fill>
    <fill>
      <patternFill patternType="solid">
        <fgColor rgb="FFFFA600"/>
      </patternFill>
    </fill>
    <fill>
      <patternFill patternType="solid">
        <fgColor rgb="FFFFEC00"/>
      </patternFill>
    </fill>
    <fill>
      <patternFill patternType="solid">
        <fgColor rgb="FFFF6800"/>
      </patternFill>
    </fill>
    <fill>
      <patternFill patternType="solid">
        <fgColor rgb="FFFF7E00"/>
      </patternFill>
    </fill>
    <fill>
      <patternFill patternType="solid">
        <fgColor rgb="FFFF7C00"/>
      </patternFill>
    </fill>
    <fill>
      <patternFill patternType="solid">
        <fgColor rgb="FFFFA000"/>
      </patternFill>
    </fill>
    <fill>
      <patternFill patternType="solid">
        <fgColor rgb="FFFF1E00"/>
      </patternFill>
    </fill>
    <fill>
      <patternFill patternType="solid">
        <fgColor rgb="FFFFA800"/>
      </patternFill>
    </fill>
    <fill>
      <patternFill patternType="solid">
        <fgColor rgb="FFFF5800"/>
      </patternFill>
    </fill>
    <fill>
      <patternFill patternType="solid">
        <fgColor rgb="FFFFF000"/>
      </patternFill>
    </fill>
    <fill>
      <patternFill patternType="solid">
        <fgColor rgb="FFF6FF00"/>
      </patternFill>
    </fill>
    <fill>
      <patternFill patternType="solid">
        <fgColor rgb="FFFF1400"/>
      </patternFill>
    </fill>
    <fill>
      <patternFill patternType="solid">
        <fgColor rgb="FF6EFF00"/>
      </patternFill>
    </fill>
    <fill>
      <patternFill patternType="solid">
        <fgColor rgb="FFFF9C00"/>
      </patternFill>
    </fill>
    <fill>
      <patternFill patternType="solid">
        <fgColor rgb="FFFF7800"/>
      </patternFill>
    </fill>
    <fill>
      <patternFill patternType="solid">
        <fgColor rgb="FFFF5C00"/>
      </patternFill>
    </fill>
    <fill>
      <patternFill patternType="solid">
        <fgColor rgb="FFFFA200"/>
      </patternFill>
    </fill>
    <fill>
      <patternFill patternType="solid">
        <fgColor rgb="FFFF8000"/>
      </patternFill>
    </fill>
    <fill>
      <patternFill patternType="solid">
        <fgColor rgb="FFFF1000"/>
      </patternFill>
    </fill>
    <fill>
      <patternFill patternType="solid">
        <fgColor rgb="FFFF2C00"/>
      </patternFill>
    </fill>
    <fill>
      <patternFill patternType="solid">
        <fgColor rgb="FFFFD000"/>
      </patternFill>
    </fill>
    <fill>
      <patternFill patternType="solid">
        <fgColor rgb="FFFF8E00"/>
      </patternFill>
    </fill>
    <fill>
      <patternFill patternType="solid">
        <fgColor rgb="FFFF5000"/>
      </patternFill>
    </fill>
    <fill>
      <patternFill patternType="solid">
        <fgColor rgb="FFFFDE00"/>
      </patternFill>
    </fill>
    <fill>
      <patternFill patternType="solid">
        <fgColor rgb="FFFF7400"/>
      </patternFill>
    </fill>
    <fill>
      <patternFill patternType="solid">
        <fgColor rgb="FFFF0400"/>
      </patternFill>
    </fill>
    <fill>
      <patternFill patternType="solid">
        <fgColor rgb="FFFF7600"/>
      </patternFill>
    </fill>
    <fill>
      <patternFill patternType="solid">
        <fgColor rgb="FFFF7000"/>
      </patternFill>
    </fill>
    <fill>
      <patternFill patternType="solid">
        <fgColor rgb="FFFFFA00"/>
      </patternFill>
    </fill>
    <fill>
      <patternFill patternType="solid">
        <fgColor rgb="FFB8FF00"/>
      </patternFill>
    </fill>
    <fill>
      <patternFill patternType="solid">
        <fgColor rgb="FFFF9800"/>
      </patternFill>
    </fill>
    <fill>
      <patternFill patternType="solid">
        <fgColor rgb="FFFF3E00"/>
      </patternFill>
    </fill>
    <fill>
      <patternFill patternType="solid">
        <fgColor rgb="FFFF8800"/>
      </patternFill>
    </fill>
    <fill>
      <patternFill patternType="solid">
        <fgColor rgb="FFFF4E00"/>
      </patternFill>
    </fill>
    <fill>
      <patternFill patternType="solid">
        <fgColor rgb="FFF8FF00"/>
      </patternFill>
    </fill>
    <fill>
      <patternFill patternType="solid">
        <fgColor rgb="FFFF6400"/>
      </patternFill>
    </fill>
    <fill>
      <patternFill patternType="solid">
        <fgColor rgb="FFFAFF00"/>
      </patternFill>
    </fill>
    <fill>
      <patternFill patternType="solid">
        <fgColor rgb="FFFFE200"/>
      </patternFill>
    </fill>
    <fill>
      <patternFill patternType="solid">
        <fgColor rgb="FFFF5E00"/>
      </patternFill>
    </fill>
    <fill>
      <patternFill patternType="solid">
        <fgColor rgb="FFC0FF00"/>
      </patternFill>
    </fill>
    <fill>
      <patternFill patternType="solid">
        <fgColor rgb="FFFF9200"/>
      </patternFill>
    </fill>
    <fill>
      <patternFill patternType="solid">
        <fgColor rgb="FFFF1200"/>
      </patternFill>
    </fill>
    <fill>
      <patternFill patternType="solid">
        <fgColor rgb="FFFF6A00"/>
      </patternFill>
    </fill>
    <fill>
      <patternFill patternType="solid">
        <fgColor rgb="FFFF2E00"/>
      </patternFill>
    </fill>
    <fill>
      <patternFill patternType="solid">
        <fgColor rgb="FFFF0C00"/>
      </patternFill>
    </fill>
    <fill>
      <patternFill patternType="solid">
        <fgColor rgb="FFFFBA00"/>
      </patternFill>
    </fill>
    <fill>
      <patternFill patternType="solid">
        <fgColor rgb="FFFFF400"/>
      </patternFill>
    </fill>
    <fill>
      <patternFill patternType="solid">
        <fgColor rgb="FFFF3C00"/>
      </patternFill>
    </fill>
    <fill>
      <patternFill patternType="solid">
        <fgColor rgb="FFFF2200"/>
      </patternFill>
    </fill>
    <fill>
      <patternFill patternType="solid">
        <fgColor rgb="FFFF9E00"/>
      </patternFill>
    </fill>
    <fill>
      <patternFill patternType="solid">
        <fgColor rgb="FFFF4600"/>
      </patternFill>
    </fill>
    <fill>
      <patternFill patternType="solid">
        <fgColor rgb="FFFF7200"/>
      </patternFill>
    </fill>
    <fill>
      <patternFill patternType="solid">
        <fgColor rgb="FFFF0800"/>
      </patternFill>
    </fill>
    <fill>
      <patternFill patternType="solid">
        <fgColor rgb="FFFF0200"/>
      </patternFill>
    </fill>
    <fill>
      <patternFill patternType="solid">
        <fgColor rgb="FFFFD400"/>
      </patternFill>
    </fill>
    <fill>
      <patternFill patternType="solid">
        <fgColor rgb="FFFF4400"/>
      </patternFill>
    </fill>
    <fill>
      <patternFill patternType="solid">
        <fgColor rgb="FFFFCC00"/>
      </patternFill>
    </fill>
    <fill>
      <patternFill patternType="solid">
        <fgColor rgb="FFFF3800"/>
      </patternFill>
    </fill>
    <fill>
      <patternFill patternType="solid">
        <fgColor rgb="FFFF4800"/>
      </patternFill>
    </fill>
    <fill>
      <patternFill patternType="solid">
        <fgColor rgb="FFFF8A00"/>
      </patternFill>
    </fill>
    <fill>
      <patternFill patternType="solid">
        <fgColor rgb="FFFF6C00"/>
      </patternFill>
    </fill>
    <fill>
      <patternFill patternType="solid">
        <fgColor rgb="FFFFEE00"/>
      </patternFill>
    </fill>
    <fill>
      <patternFill patternType="solid">
        <fgColor rgb="FFFF9000"/>
      </patternFill>
    </fill>
    <fill>
      <patternFill patternType="solid">
        <fgColor rgb="FFFF6000"/>
      </patternFill>
    </fill>
    <fill>
      <patternFill patternType="solid">
        <fgColor rgb="FFFFB600"/>
      </patternFill>
    </fill>
    <fill>
      <patternFill patternType="solid">
        <fgColor rgb="FFFF2000"/>
      </patternFill>
    </fill>
    <fill>
      <patternFill patternType="solid">
        <fgColor rgb="FFFF9400"/>
      </patternFill>
    </fill>
    <fill>
      <patternFill patternType="solid">
        <fgColor rgb="FFFFC000"/>
      </patternFill>
    </fill>
    <fill>
      <patternFill patternType="solid">
        <fgColor rgb="FFFF4C00"/>
      </patternFill>
    </fill>
    <fill>
      <patternFill patternType="solid">
        <fgColor rgb="FFFF5A00"/>
      </patternFill>
    </fill>
    <fill>
      <patternFill patternType="solid">
        <fgColor rgb="FFFF3200"/>
      </patternFill>
    </fill>
    <fill>
      <patternFill patternType="solid">
        <fgColor rgb="FFFF4000"/>
      </patternFill>
    </fill>
    <fill>
      <patternFill patternType="solid">
        <fgColor rgb="FFFF9600"/>
      </patternFill>
    </fill>
    <fill>
      <patternFill patternType="solid">
        <fgColor rgb="FFFF1600"/>
      </patternFill>
    </fill>
    <fill>
      <patternFill patternType="solid">
        <fgColor rgb="FFFF3400"/>
      </patternFill>
    </fill>
    <fill>
      <patternFill patternType="solid">
        <fgColor rgb="FFFF1800"/>
      </patternFill>
    </fill>
    <fill>
      <patternFill patternType="solid">
        <fgColor rgb="FFFF4A00"/>
      </patternFill>
    </fill>
    <fill>
      <patternFill patternType="solid">
        <fgColor rgb="FFFF1C00"/>
      </patternFill>
    </fill>
    <fill>
      <patternFill patternType="solid">
        <fgColor rgb="FFFF4200"/>
      </patternFill>
    </fill>
    <fill>
      <patternFill patternType="solid">
        <fgColor rgb="FFFF6200"/>
      </patternFill>
    </fill>
    <fill>
      <patternFill patternType="solid">
        <fgColor rgb="FF664E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133" borderId="0" xfId="0" applyFill="1"/>
    <xf numFmtId="0" fontId="0" fillId="99" borderId="0" xfId="0" applyFill="1"/>
    <xf numFmtId="0" fontId="0" fillId="23" borderId="0" xfId="0" applyFill="1"/>
    <xf numFmtId="0" fontId="0" fillId="115" borderId="0" xfId="0" applyFill="1"/>
    <xf numFmtId="0" fontId="0" fillId="78" borderId="0" xfId="0" applyFill="1"/>
    <xf numFmtId="0" fontId="0" fillId="248" borderId="0" xfId="0" applyFill="1"/>
    <xf numFmtId="0" fontId="0" fillId="13" borderId="0" xfId="0" applyFill="1"/>
    <xf numFmtId="0" fontId="0" fillId="119" borderId="0" xfId="0" applyFill="1"/>
    <xf numFmtId="0" fontId="0" fillId="259" borderId="0" xfId="0" applyFill="1"/>
    <xf numFmtId="0" fontId="0" fillId="4" borderId="0" xfId="0" applyFill="1"/>
    <xf numFmtId="0" fontId="0" fillId="208" borderId="0" xfId="0" applyFill="1"/>
    <xf numFmtId="0" fontId="0" fillId="224" borderId="0" xfId="0" applyFill="1"/>
    <xf numFmtId="0" fontId="0" fillId="195" borderId="0" xfId="0" applyFill="1"/>
    <xf numFmtId="0" fontId="0" fillId="54" borderId="0" xfId="0" applyFill="1"/>
    <xf numFmtId="0" fontId="0" fillId="177" borderId="0" xfId="0" applyFill="1"/>
    <xf numFmtId="0" fontId="0" fillId="93" borderId="0" xfId="0" applyFill="1"/>
    <xf numFmtId="0" fontId="0" fillId="91" borderId="0" xfId="0" applyFill="1"/>
    <xf numFmtId="0" fontId="0" fillId="192" borderId="0" xfId="0" applyFill="1"/>
    <xf numFmtId="0" fontId="0" fillId="90" borderId="0" xfId="0" applyFill="1"/>
    <xf numFmtId="0" fontId="0" fillId="24" borderId="0" xfId="0" applyFill="1"/>
    <xf numFmtId="0" fontId="0" fillId="94" borderId="0" xfId="0" applyFill="1"/>
    <xf numFmtId="0" fontId="0" fillId="18" borderId="0" xfId="0" applyFill="1"/>
    <xf numFmtId="0" fontId="0" fillId="74" borderId="0" xfId="0" applyFill="1"/>
    <xf numFmtId="0" fontId="0" fillId="25" borderId="0" xfId="0" applyFill="1"/>
    <xf numFmtId="0" fontId="0" fillId="101" borderId="0" xfId="0" applyFill="1"/>
    <xf numFmtId="0" fontId="0" fillId="72" borderId="0" xfId="0" applyFill="1"/>
    <xf numFmtId="0" fontId="0" fillId="27" borderId="0" xfId="0" applyFill="1"/>
    <xf numFmtId="0" fontId="0" fillId="51" borderId="0" xfId="0" applyFill="1"/>
    <xf numFmtId="0" fontId="0" fillId="97" borderId="0" xfId="0" applyFill="1"/>
    <xf numFmtId="0" fontId="0" fillId="5" borderId="0" xfId="0" applyFill="1"/>
    <xf numFmtId="0" fontId="0" fillId="42" borderId="0" xfId="0" applyFill="1"/>
    <xf numFmtId="0" fontId="0" fillId="22" borderId="0" xfId="0" applyFill="1"/>
    <xf numFmtId="0" fontId="0" fillId="9" borderId="0" xfId="0" applyFill="1"/>
    <xf numFmtId="0" fontId="0" fillId="191" borderId="0" xfId="0" applyFill="1"/>
    <xf numFmtId="0" fontId="0" fillId="56" borderId="0" xfId="0" applyFill="1"/>
    <xf numFmtId="0" fontId="0" fillId="114" borderId="0" xfId="0" applyFill="1"/>
    <xf numFmtId="0" fontId="0" fillId="43" borderId="0" xfId="0" applyFill="1"/>
    <xf numFmtId="0" fontId="0" fillId="50" borderId="0" xfId="0" applyFill="1"/>
    <xf numFmtId="0" fontId="0" fillId="83" borderId="0" xfId="0" applyFill="1"/>
    <xf numFmtId="0" fontId="0" fillId="6" borderId="0" xfId="0" applyFill="1"/>
    <xf numFmtId="0" fontId="0" fillId="71" borderId="0" xfId="0" applyFill="1"/>
    <xf numFmtId="0" fontId="0" fillId="128" borderId="0" xfId="0" applyFill="1"/>
    <xf numFmtId="0" fontId="0" fillId="10" borderId="0" xfId="0" applyFill="1"/>
    <xf numFmtId="0" fontId="0" fillId="15" borderId="0" xfId="0" applyFill="1"/>
    <xf numFmtId="0" fontId="0" fillId="37" borderId="0" xfId="0" applyFill="1"/>
    <xf numFmtId="0" fontId="0" fillId="106" borderId="0" xfId="0" applyFill="1"/>
    <xf numFmtId="0" fontId="0" fillId="118" borderId="0" xfId="0" applyFill="1"/>
    <xf numFmtId="0" fontId="0" fillId="70" borderId="0" xfId="0" applyFill="1"/>
    <xf numFmtId="0" fontId="0" fillId="80" borderId="0" xfId="0" applyFill="1"/>
    <xf numFmtId="0" fontId="0" fillId="164" borderId="0" xfId="0" applyFill="1"/>
    <xf numFmtId="0" fontId="0" fillId="168" borderId="0" xfId="0" applyFill="1"/>
    <xf numFmtId="0" fontId="0" fillId="85" borderId="0" xfId="0" applyFill="1"/>
    <xf numFmtId="0" fontId="0" fillId="166" borderId="0" xfId="0" applyFill="1"/>
    <xf numFmtId="0" fontId="0" fillId="81" borderId="0" xfId="0" applyFill="1"/>
    <xf numFmtId="0" fontId="0" fillId="59" borderId="0" xfId="0" applyFill="1"/>
    <xf numFmtId="0" fontId="0" fillId="131" borderId="0" xfId="0" applyFill="1"/>
    <xf numFmtId="0" fontId="0" fillId="82" borderId="0" xfId="0" applyFill="1"/>
    <xf numFmtId="0" fontId="0" fillId="218" borderId="0" xfId="0" applyFill="1"/>
    <xf numFmtId="0" fontId="0" fillId="196" borderId="0" xfId="0" applyFill="1"/>
    <xf numFmtId="0" fontId="0" fillId="7" borderId="0" xfId="0" applyFill="1"/>
    <xf numFmtId="0" fontId="0" fillId="64" borderId="0" xfId="0" applyFill="1"/>
    <xf numFmtId="0" fontId="0" fillId="52" borderId="0" xfId="0" applyFill="1"/>
    <xf numFmtId="0" fontId="0" fillId="48" borderId="0" xfId="0" applyFill="1"/>
    <xf numFmtId="0" fontId="0" fillId="29" borderId="0" xfId="0" applyFill="1"/>
    <xf numFmtId="0" fontId="0" fillId="73" borderId="0" xfId="0" applyFill="1"/>
    <xf numFmtId="0" fontId="0" fillId="36" borderId="0" xfId="0" applyFill="1"/>
    <xf numFmtId="0" fontId="0" fillId="30" borderId="0" xfId="0" applyFill="1"/>
    <xf numFmtId="0" fontId="0" fillId="62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6" borderId="0" xfId="0" applyFill="1"/>
    <xf numFmtId="0" fontId="0" fillId="19" borderId="0" xfId="0" applyFill="1"/>
    <xf numFmtId="0" fontId="0" fillId="77" borderId="0" xfId="0" applyFill="1"/>
    <xf numFmtId="0" fontId="0" fillId="47" borderId="0" xfId="0" applyFill="1"/>
    <xf numFmtId="0" fontId="0" fillId="103" borderId="0" xfId="0" applyFill="1"/>
    <xf numFmtId="0" fontId="0" fillId="46" borderId="0" xfId="0" applyFill="1"/>
    <xf numFmtId="0" fontId="0" fillId="34" borderId="0" xfId="0" applyFill="1"/>
    <xf numFmtId="0" fontId="0" fillId="89" borderId="0" xfId="0" applyFill="1"/>
    <xf numFmtId="0" fontId="0" fillId="57" borderId="0" xfId="0" applyFill="1"/>
    <xf numFmtId="0" fontId="0" fillId="138" borderId="0" xfId="0" applyFill="1"/>
    <xf numFmtId="0" fontId="0" fillId="75" borderId="0" xfId="0" applyFill="1"/>
    <xf numFmtId="0" fontId="0" fillId="174" borderId="0" xfId="0" applyFill="1"/>
    <xf numFmtId="0" fontId="0" fillId="86" borderId="0" xfId="0" applyFill="1"/>
    <xf numFmtId="0" fontId="0" fillId="100" borderId="0" xfId="0" applyFill="1"/>
    <xf numFmtId="0" fontId="0" fillId="40" borderId="0" xfId="0" applyFill="1"/>
    <xf numFmtId="0" fontId="0" fillId="32" borderId="0" xfId="0" applyFill="1"/>
    <xf numFmtId="0" fontId="0" fillId="44" borderId="0" xfId="0" applyFill="1"/>
    <xf numFmtId="0" fontId="0" fillId="16" borderId="0" xfId="0" applyFill="1"/>
    <xf numFmtId="0" fontId="0" fillId="84" borderId="0" xfId="0" applyFill="1"/>
    <xf numFmtId="0" fontId="0" fillId="14" borderId="0" xfId="0" applyFill="1"/>
    <xf numFmtId="0" fontId="0" fillId="110" borderId="0" xfId="0" applyFill="1"/>
    <xf numFmtId="0" fontId="0" fillId="17" borderId="0" xfId="0" applyFill="1"/>
    <xf numFmtId="0" fontId="0" fillId="150" borderId="0" xfId="0" applyFill="1"/>
    <xf numFmtId="0" fontId="0" fillId="58" borderId="0" xfId="0" applyFill="1"/>
    <xf numFmtId="0" fontId="0" fillId="31" borderId="0" xfId="0" applyFill="1"/>
    <xf numFmtId="0" fontId="0" fillId="175" borderId="0" xfId="0" applyFill="1"/>
    <xf numFmtId="0" fontId="0" fillId="125" borderId="0" xfId="0" applyFill="1"/>
    <xf numFmtId="0" fontId="0" fillId="246" borderId="0" xfId="0" applyFill="1"/>
    <xf numFmtId="0" fontId="0" fillId="96" borderId="0" xfId="0" applyFill="1"/>
    <xf numFmtId="0" fontId="0" fillId="87" borderId="0" xfId="0" applyFill="1"/>
    <xf numFmtId="0" fontId="0" fillId="243" borderId="0" xfId="0" applyFill="1"/>
    <xf numFmtId="0" fontId="0" fillId="38" borderId="0" xfId="0" applyFill="1"/>
    <xf numFmtId="0" fontId="0" fillId="33" borderId="0" xfId="0" applyFill="1"/>
    <xf numFmtId="0" fontId="0" fillId="113" borderId="0" xfId="0" applyFill="1"/>
    <xf numFmtId="0" fontId="0" fillId="63" borderId="0" xfId="0" applyFill="1"/>
    <xf numFmtId="0" fontId="0" fillId="92" borderId="0" xfId="0" applyFill="1"/>
    <xf numFmtId="0" fontId="0" fillId="188" borderId="0" xfId="0" applyFill="1"/>
    <xf numFmtId="0" fontId="0" fillId="112" borderId="0" xfId="0" applyFill="1"/>
    <xf numFmtId="0" fontId="0" fillId="20" borderId="0" xfId="0" applyFill="1"/>
    <xf numFmtId="0" fontId="0" fillId="161" borderId="0" xfId="0" applyFill="1"/>
    <xf numFmtId="0" fontId="0" fillId="148" borderId="0" xfId="0" applyFill="1"/>
    <xf numFmtId="0" fontId="0" fillId="170" borderId="0" xfId="0" applyFill="1"/>
    <xf numFmtId="0" fontId="0" fillId="45" borderId="0" xfId="0" applyFill="1"/>
    <xf numFmtId="0" fontId="0" fillId="60" borderId="0" xfId="0" applyFill="1"/>
    <xf numFmtId="0" fontId="0" fillId="109" borderId="0" xfId="0" applyFill="1"/>
    <xf numFmtId="0" fontId="0" fillId="111" borderId="0" xfId="0" applyFill="1"/>
    <xf numFmtId="0" fontId="0" fillId="53" borderId="0" xfId="0" applyFill="1"/>
    <xf numFmtId="0" fontId="0" fillId="116" borderId="0" xfId="0" applyFill="1"/>
    <xf numFmtId="0" fontId="0" fillId="160" borderId="0" xfId="0" applyFill="1"/>
    <xf numFmtId="0" fontId="0" fillId="21" borderId="0" xfId="0" applyFill="1"/>
    <xf numFmtId="0" fontId="0" fillId="236" borderId="0" xfId="0" applyFill="1"/>
    <xf numFmtId="0" fontId="0" fillId="152" borderId="0" xfId="0" applyFill="1"/>
    <xf numFmtId="0" fontId="0" fillId="120" borderId="0" xfId="0" applyFill="1"/>
    <xf numFmtId="0" fontId="0" fillId="213" borderId="0" xfId="0" applyFill="1"/>
    <xf numFmtId="0" fontId="0" fillId="156" borderId="0" xfId="0" applyFill="1"/>
    <xf numFmtId="0" fontId="0" fillId="202" borderId="0" xfId="0" applyFill="1"/>
    <xf numFmtId="0" fontId="0" fillId="162" borderId="0" xfId="0" applyFill="1"/>
    <xf numFmtId="0" fontId="0" fillId="65" borderId="0" xfId="0" applyFill="1"/>
    <xf numFmtId="0" fontId="0" fillId="98" borderId="0" xfId="0" applyFill="1"/>
    <xf numFmtId="0" fontId="0" fillId="28" borderId="0" xfId="0" applyFill="1"/>
    <xf numFmtId="0" fontId="0" fillId="104" borderId="0" xfId="0" applyFill="1"/>
    <xf numFmtId="0" fontId="0" fillId="55" borderId="0" xfId="0" applyFill="1"/>
    <xf numFmtId="0" fontId="0" fillId="134" borderId="0" xfId="0" applyFill="1"/>
    <xf numFmtId="0" fontId="0" fillId="61" borderId="0" xfId="0" applyFill="1"/>
    <xf numFmtId="0" fontId="0" fillId="129" borderId="0" xfId="0" applyFill="1"/>
    <xf numFmtId="0" fontId="0" fillId="79" borderId="0" xfId="0" applyFill="1"/>
    <xf numFmtId="0" fontId="0" fillId="228" borderId="0" xfId="0" applyFill="1"/>
    <xf numFmtId="0" fontId="0" fillId="215" borderId="0" xfId="0" applyFill="1"/>
    <xf numFmtId="0" fontId="0" fillId="199" borderId="0" xfId="0" applyFill="1"/>
    <xf numFmtId="0" fontId="0" fillId="173" borderId="0" xfId="0" applyFill="1"/>
    <xf numFmtId="0" fontId="0" fillId="49" borderId="0" xfId="0" applyFill="1"/>
    <xf numFmtId="0" fontId="0" fillId="149" borderId="0" xfId="0" applyFill="1"/>
    <xf numFmtId="0" fontId="0" fillId="154" borderId="0" xfId="0" applyFill="1"/>
    <xf numFmtId="0" fontId="0" fillId="69" borderId="0" xfId="0" applyFill="1"/>
    <xf numFmtId="0" fontId="0" fillId="163" borderId="0" xfId="0" applyFill="1"/>
    <xf numFmtId="0" fontId="0" fillId="179" borderId="0" xfId="0" applyFill="1"/>
    <xf numFmtId="0" fontId="0" fillId="171" borderId="0" xfId="0" applyFill="1"/>
    <xf numFmtId="0" fontId="0" fillId="207" borderId="0" xfId="0" applyFill="1"/>
    <xf numFmtId="0" fontId="0" fillId="145" borderId="0" xfId="0" applyFill="1"/>
    <xf numFmtId="0" fontId="0" fillId="227" borderId="0" xfId="0" applyFill="1"/>
    <xf numFmtId="0" fontId="0" fillId="212" borderId="0" xfId="0" applyFill="1"/>
    <xf numFmtId="0" fontId="0" fillId="153" borderId="0" xfId="0" applyFill="1"/>
    <xf numFmtId="0" fontId="0" fillId="225" borderId="0" xfId="0" applyFill="1"/>
    <xf numFmtId="0" fontId="0" fillId="155" borderId="0" xfId="0" applyFill="1"/>
    <xf numFmtId="0" fontId="0" fillId="107" borderId="0" xfId="0" applyFill="1"/>
    <xf numFmtId="0" fontId="0" fillId="35" borderId="0" xfId="0" applyFill="1"/>
    <xf numFmtId="0" fontId="0" fillId="211" borderId="0" xfId="0" applyFill="1"/>
    <xf numFmtId="0" fontId="0" fillId="240" borderId="0" xfId="0" applyFill="1"/>
    <xf numFmtId="0" fontId="0" fillId="102" borderId="0" xfId="0" applyFill="1"/>
    <xf numFmtId="0" fontId="0" fillId="181" borderId="0" xfId="0" applyFill="1"/>
    <xf numFmtId="0" fontId="0" fillId="234" borderId="0" xfId="0" applyFill="1"/>
    <xf numFmtId="0" fontId="0" fillId="132" borderId="0" xfId="0" applyFill="1"/>
    <xf numFmtId="0" fontId="0" fillId="183" borderId="0" xfId="0" applyFill="1"/>
    <xf numFmtId="0" fontId="0" fillId="135" borderId="0" xfId="0" applyFill="1"/>
    <xf numFmtId="0" fontId="0" fillId="39" borderId="0" xfId="0" applyFill="1"/>
    <xf numFmtId="0" fontId="0" fillId="140" borderId="0" xfId="0" applyFill="1"/>
    <xf numFmtId="0" fontId="0" fillId="41" borderId="0" xfId="0" applyFill="1"/>
    <xf numFmtId="0" fontId="0" fillId="176" borderId="0" xfId="0" applyFill="1"/>
    <xf numFmtId="0" fontId="0" fillId="229" borderId="0" xfId="0" applyFill="1"/>
    <xf numFmtId="0" fontId="0" fillId="66" borderId="0" xfId="0" applyFill="1"/>
    <xf numFmtId="0" fontId="0" fillId="67" borderId="0" xfId="0" applyFill="1"/>
    <xf numFmtId="0" fontId="0" fillId="105" borderId="0" xfId="0" applyFill="1"/>
    <xf numFmtId="0" fontId="0" fillId="186" borderId="0" xfId="0" applyFill="1"/>
    <xf numFmtId="0" fontId="0" fillId="242" borderId="0" xfId="0" applyFill="1"/>
    <xf numFmtId="0" fontId="0" fillId="180" borderId="0" xfId="0" applyFill="1"/>
    <xf numFmtId="0" fontId="0" fillId="158" borderId="0" xfId="0" applyFill="1"/>
    <xf numFmtId="0" fontId="0" fillId="216" borderId="0" xfId="0" applyFill="1"/>
    <xf numFmtId="0" fontId="0" fillId="143" borderId="0" xfId="0" applyFill="1"/>
    <xf numFmtId="0" fontId="0" fillId="185" borderId="0" xfId="0" applyFill="1"/>
    <xf numFmtId="0" fontId="0" fillId="136" borderId="0" xfId="0" applyFill="1"/>
    <xf numFmtId="0" fontId="0" fillId="151" borderId="0" xfId="0" applyFill="1"/>
    <xf numFmtId="0" fontId="0" fillId="182" borderId="0" xfId="0" applyFill="1"/>
    <xf numFmtId="0" fontId="0" fillId="139" borderId="0" xfId="0" applyFill="1"/>
    <xf numFmtId="0" fontId="0" fillId="253" borderId="0" xfId="0" applyFill="1"/>
    <xf numFmtId="0" fontId="0" fillId="141" borderId="0" xfId="0" applyFill="1"/>
    <xf numFmtId="0" fontId="0" fillId="257" borderId="0" xfId="0" applyFill="1"/>
    <xf numFmtId="0" fontId="0" fillId="126" borderId="0" xfId="0" applyFill="1"/>
    <xf numFmtId="0" fontId="0" fillId="117" borderId="0" xfId="0" applyFill="1"/>
    <xf numFmtId="0" fontId="0" fillId="127" borderId="0" xfId="0" applyFill="1"/>
    <xf numFmtId="0" fontId="0" fillId="206" borderId="0" xfId="0" applyFill="1"/>
    <xf numFmtId="0" fontId="0" fillId="184" borderId="0" xfId="0" applyFill="1"/>
    <xf numFmtId="0" fontId="0" fillId="68" borderId="0" xfId="0" applyFill="1"/>
    <xf numFmtId="0" fontId="0" fillId="245" borderId="0" xfId="0" applyFill="1"/>
    <xf numFmtId="0" fontId="0" fillId="189" borderId="0" xfId="0" applyFill="1"/>
    <xf numFmtId="0" fontId="0" fillId="231" borderId="0" xfId="0" applyFill="1"/>
    <xf numFmtId="0" fontId="0" fillId="235" borderId="0" xfId="0" applyFill="1"/>
    <xf numFmtId="0" fontId="0" fillId="238" borderId="0" xfId="0" applyFill="1"/>
    <xf numFmtId="0" fontId="0" fillId="239" borderId="0" xfId="0" applyFill="1"/>
    <xf numFmtId="0" fontId="0" fillId="233" borderId="0" xfId="0" applyFill="1"/>
    <xf numFmtId="0" fontId="0" fillId="232" borderId="0" xfId="0" applyFill="1"/>
    <xf numFmtId="0" fontId="0" fillId="76" borderId="0" xfId="0" applyFill="1"/>
    <xf numFmtId="0" fontId="0" fillId="165" borderId="0" xfId="0" applyFill="1"/>
    <xf numFmtId="0" fontId="0" fillId="198" borderId="0" xfId="0" applyFill="1"/>
    <xf numFmtId="0" fontId="0" fillId="252" borderId="0" xfId="0" applyFill="1"/>
    <xf numFmtId="0" fontId="0" fillId="137" borderId="0" xfId="0" applyFill="1"/>
    <xf numFmtId="0" fontId="0" fillId="220" borderId="0" xfId="0" applyFill="1"/>
    <xf numFmtId="0" fontId="0" fillId="190" borderId="0" xfId="0" applyFill="1"/>
    <xf numFmtId="0" fontId="0" fillId="144" borderId="0" xfId="0" applyFill="1"/>
    <xf numFmtId="0" fontId="0" fillId="121" borderId="0" xfId="0" applyFill="1"/>
    <xf numFmtId="0" fontId="0" fillId="203" borderId="0" xfId="0" applyFill="1"/>
    <xf numFmtId="0" fontId="0" fillId="157" borderId="0" xfId="0" applyFill="1"/>
    <xf numFmtId="0" fontId="0" fillId="217" borderId="0" xfId="0" applyFill="1"/>
    <xf numFmtId="0" fontId="0" fillId="221" borderId="0" xfId="0" applyFill="1"/>
    <xf numFmtId="0" fontId="0" fillId="130" borderId="0" xfId="0" applyFill="1"/>
    <xf numFmtId="0" fontId="0" fillId="250" borderId="0" xfId="0" applyFill="1"/>
    <xf numFmtId="0" fontId="0" fillId="247" borderId="0" xfId="0" applyFill="1"/>
    <xf numFmtId="0" fontId="0" fillId="122" borderId="0" xfId="0" applyFill="1"/>
    <xf numFmtId="0" fontId="0" fillId="244" borderId="0" xfId="0" applyFill="1"/>
    <xf numFmtId="0" fontId="0" fillId="209" borderId="0" xfId="0" applyFill="1"/>
    <xf numFmtId="0" fontId="0" fillId="88" borderId="0" xfId="0" applyFill="1"/>
    <xf numFmtId="0" fontId="0" fillId="219" borderId="0" xfId="0" applyFill="1"/>
    <xf numFmtId="0" fontId="0" fillId="251" borderId="0" xfId="0" applyFill="1"/>
    <xf numFmtId="0" fontId="0" fillId="124" borderId="0" xfId="0" applyFill="1"/>
    <xf numFmtId="0" fontId="0" fillId="95" borderId="0" xfId="0" applyFill="1"/>
    <xf numFmtId="0" fontId="0" fillId="255" borderId="0" xfId="0" applyFill="1"/>
    <xf numFmtId="0" fontId="0" fillId="123" borderId="0" xfId="0" applyFill="1"/>
    <xf numFmtId="0" fontId="0" fillId="200" borderId="0" xfId="0" applyFill="1"/>
    <xf numFmtId="0" fontId="0" fillId="159" borderId="0" xfId="0" applyFill="1"/>
    <xf numFmtId="0" fontId="0" fillId="210" borderId="0" xfId="0" applyFill="1"/>
    <xf numFmtId="0" fontId="0" fillId="147" borderId="0" xfId="0" applyFill="1"/>
    <xf numFmtId="0" fontId="0" fillId="146" borderId="0" xfId="0" applyFill="1"/>
    <xf numFmtId="0" fontId="0" fillId="108" borderId="0" xfId="0" applyFill="1"/>
    <xf numFmtId="0" fontId="0" fillId="201" borderId="0" xfId="0" applyFill="1"/>
    <xf numFmtId="0" fontId="0" fillId="226" borderId="0" xfId="0" applyFill="1"/>
    <xf numFmtId="0" fontId="0" fillId="142" borderId="0" xfId="0" applyFill="1"/>
    <xf numFmtId="0" fontId="0" fillId="194" borderId="0" xfId="0" applyFill="1"/>
    <xf numFmtId="0" fontId="0" fillId="214" borderId="0" xfId="0" applyFill="1"/>
    <xf numFmtId="0" fontId="0" fillId="172" borderId="0" xfId="0" applyFill="1"/>
    <xf numFmtId="0" fontId="0" fillId="223" borderId="0" xfId="0" applyFill="1"/>
    <xf numFmtId="0" fontId="0" fillId="205" borderId="0" xfId="0" applyFill="1"/>
    <xf numFmtId="0" fontId="0" fillId="249" borderId="0" xfId="0" applyFill="1"/>
    <xf numFmtId="0" fontId="0" fillId="193" borderId="0" xfId="0" applyFill="1"/>
    <xf numFmtId="0" fontId="0" fillId="256" borderId="0" xfId="0" applyFill="1"/>
    <xf numFmtId="0" fontId="0" fillId="187" borderId="0" xfId="0" applyFill="1"/>
    <xf numFmtId="0" fontId="0" fillId="241" borderId="0" xfId="0" applyFill="1"/>
    <xf numFmtId="0" fontId="0" fillId="237" borderId="0" xfId="0" applyFill="1"/>
    <xf numFmtId="0" fontId="0" fillId="178" borderId="0" xfId="0" applyFill="1"/>
    <xf numFmtId="0" fontId="0" fillId="258" borderId="0" xfId="0" applyFill="1"/>
    <xf numFmtId="0" fontId="0" fillId="222" borderId="0" xfId="0" applyFill="1"/>
    <xf numFmtId="0" fontId="0" fillId="197" borderId="0" xfId="0" applyFill="1"/>
    <xf numFmtId="0" fontId="0" fillId="167" borderId="0" xfId="0" applyFill="1"/>
    <xf numFmtId="0" fontId="0" fillId="230" borderId="0" xfId="0" applyFill="1"/>
    <xf numFmtId="0" fontId="0" fillId="169" borderId="0" xfId="0" applyFill="1"/>
    <xf numFmtId="0" fontId="0" fillId="254" borderId="0" xfId="0" applyFill="1"/>
    <xf numFmtId="0" fontId="0" fillId="204" borderId="0" xfId="0" applyFill="1"/>
    <xf numFmtId="0" fontId="2" fillId="0" borderId="0" xfId="1"/>
    <xf numFmtId="0" fontId="0" fillId="26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presentation/_pmon4/example_outputs/2.5_xyz" TargetMode="External"/><Relationship Id="rId2" Type="http://schemas.openxmlformats.org/officeDocument/2006/relationships/hyperlink" Target="../../../../presentation/_pmon4/example_outputs/2.5_on_2.5" TargetMode="External"/><Relationship Id="rId1" Type="http://schemas.openxmlformats.org/officeDocument/2006/relationships/hyperlink" Target="../../../../presentation/_pmon4/example_outputs/sn_v13_on_2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81"/>
  <sheetViews>
    <sheetView tabSelected="1" topLeftCell="A4" workbookViewId="0">
      <selection activeCell="A29" sqref="A28:XFD29"/>
    </sheetView>
  </sheetViews>
  <sheetFormatPr baseColWidth="10" defaultColWidth="8.83203125" defaultRowHeight="15" x14ac:dyDescent="0.2"/>
  <cols>
    <col min="2" max="2" width="31.5" customWidth="1"/>
    <col min="25" max="25" width="17.33203125" customWidth="1"/>
    <col min="27" max="27" width="16.5" customWidth="1"/>
    <col min="28" max="28" width="22.83203125" customWidth="1"/>
    <col min="29" max="29" width="18.5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>
        <v>0</v>
      </c>
      <c r="B2" s="2" t="s">
        <v>28</v>
      </c>
      <c r="C2" s="3" t="str">
        <f>HYPERLINK(AA2 &amp; "/bolt/sn_d7bdbf351fb1d1abcd7ecf32c7a32daa/rendering/00.obj", "nan")</f>
        <v>nan</v>
      </c>
      <c r="D2" s="3" t="str">
        <f>HYPERLINK(AA2 &amp; "/bolt/sn_d7bdbf351fb1d1abcd7ecf32c7a32daa/rendering/01.obj", "nan")</f>
        <v>nan</v>
      </c>
      <c r="E2" s="3" t="str">
        <f>HYPERLINK(AA2 &amp; "/bolt/sn_d7bdbf351fb1d1abcd7ecf32c7a32daa/rendering/02.obj", "nan")</f>
        <v>nan</v>
      </c>
      <c r="F2" s="3" t="str">
        <f>HYPERLINK(AA2 &amp; "/bolt/sn_d7bdbf351fb1d1abcd7ecf32c7a32daa/rendering/03.obj", "nan")</f>
        <v>nan</v>
      </c>
      <c r="G2" s="3" t="str">
        <f>HYPERLINK(AA2 &amp; "/bolt/sn_d7bdbf351fb1d1abcd7ecf32c7a32daa/rendering/04.obj", "nan")</f>
        <v>nan</v>
      </c>
      <c r="H2" s="3" t="str">
        <f>HYPERLINK(AA2 &amp; "/bolt/sn_d7bdbf351fb1d1abcd7ecf32c7a32daa/rendering/05.obj", "nan")</f>
        <v>nan</v>
      </c>
      <c r="I2" s="3" t="str">
        <f>HYPERLINK(AA2 &amp; "/bolt/sn_d7bdbf351fb1d1abcd7ecf32c7a32daa/rendering/06.obj", "nan")</f>
        <v>nan</v>
      </c>
      <c r="J2" s="3" t="str">
        <f>HYPERLINK(AA2 &amp; "/bolt/sn_d7bdbf351fb1d1abcd7ecf32c7a32daa/rendering/07.obj", "nan")</f>
        <v>nan</v>
      </c>
      <c r="K2" s="3" t="str">
        <f>HYPERLINK(AA2 &amp; "/bolt/sn_d7bdbf351fb1d1abcd7ecf32c7a32daa/rendering/08.obj", "nan")</f>
        <v>nan</v>
      </c>
      <c r="L2" s="3" t="str">
        <f>HYPERLINK(AA2 &amp; "/bolt/sn_d7bdbf351fb1d1abcd7ecf32c7a32daa/rendering/09.obj", "nan")</f>
        <v>nan</v>
      </c>
      <c r="M2" s="3" t="str">
        <f>HYPERLINK(AA2 &amp; "/bolt/sn_d7bdbf351fb1d1abcd7ecf32c7a32daa/rendering/10.obj", "nan")</f>
        <v>nan</v>
      </c>
      <c r="N2" s="3" t="str">
        <f>HYPERLINK(AA2 &amp; "/bolt/sn_d7bdbf351fb1d1abcd7ecf32c7a32daa/rendering/11.obj", "nan")</f>
        <v>nan</v>
      </c>
      <c r="O2" s="4" t="str">
        <f>HYPERLINK(AA2 &amp; "/bolt/sn_d7bdbf351fb1d1abcd7ecf32c7a32daa/rendering/12.obj", "3.48389068604")</f>
        <v>3.48389068604</v>
      </c>
      <c r="P2" s="5" t="str">
        <f>HYPERLINK(AA2 &amp; "/bolt/sn_d7bdbf351fb1d1abcd7ecf32c7a32daa/rendering/13.obj", "4.49559753418")</f>
        <v>4.49559753418</v>
      </c>
      <c r="Q2" s="6" t="str">
        <f>HYPERLINK(AA2 &amp; "/bolt/sn_d7bdbf351fb1d1abcd7ecf32c7a32daa/rendering/14.obj", "4.6380960083")</f>
        <v>4.6380960083</v>
      </c>
      <c r="R2" s="7" t="str">
        <f>HYPERLINK(AA2 &amp; "/bolt/sn_d7bdbf351fb1d1abcd7ecf32c7a32daa/rendering/15.obj", "3.51552032471")</f>
        <v>3.51552032471</v>
      </c>
      <c r="S2" s="8" t="str">
        <f>HYPERLINK(AA2 &amp; "/bolt/sn_d7bdbf351fb1d1abcd7ecf32c7a32daa/rendering/16.obj", "4.16283416748")</f>
        <v>4.16283416748</v>
      </c>
      <c r="T2" s="9" t="str">
        <f>HYPERLINK(AA2 &amp; "/bolt/sn_d7bdbf351fb1d1abcd7ecf32c7a32daa/rendering/17.obj", "8.0686706543")</f>
        <v>8.0686706543</v>
      </c>
      <c r="U2" s="10" t="str">
        <f>HYPERLINK(AA2 &amp; "/bolt/sn_d7bdbf351fb1d1abcd7ecf32c7a32daa/rendering/18.obj", "4.59899169922")</f>
        <v>4.59899169922</v>
      </c>
      <c r="V2" s="11" t="str">
        <f>HYPERLINK(AA2 &amp; "/bolt/sn_d7bdbf351fb1d1abcd7ecf32c7a32daa/rendering/19.obj", "5.95331176758")</f>
        <v>5.95331176758</v>
      </c>
      <c r="W2" s="12" t="s">
        <v>29</v>
      </c>
      <c r="X2" s="13">
        <v>4.864614105224609</v>
      </c>
      <c r="Y2" s="13">
        <v>1.4110380124277559</v>
      </c>
      <c r="Z2" s="14">
        <v>0.29006165379331872</v>
      </c>
      <c r="AA2" s="260" t="s">
        <v>610</v>
      </c>
      <c r="AB2" s="260" t="s">
        <v>609</v>
      </c>
      <c r="AC2" s="260" t="s">
        <v>611</v>
      </c>
    </row>
    <row r="3" spans="1:29" x14ac:dyDescent="0.2">
      <c r="A3" s="1">
        <v>1</v>
      </c>
      <c r="B3" s="2" t="s">
        <v>28</v>
      </c>
      <c r="C3" s="3" t="str">
        <f>HYPERLINK(AA2 &amp; "/bolt/sn_d7bdbf351fb1d1abcd7ecf32c7a32daa/rendering/00.obj", "nan")</f>
        <v>nan</v>
      </c>
      <c r="D3" s="3" t="str">
        <f>HYPERLINK(AA2 &amp; "/bolt/sn_d7bdbf351fb1d1abcd7ecf32c7a32daa/rendering/01.obj", "nan")</f>
        <v>nan</v>
      </c>
      <c r="E3" s="3" t="str">
        <f>HYPERLINK(AA2 &amp; "/bolt/sn_d7bdbf351fb1d1abcd7ecf32c7a32daa/rendering/02.obj", "nan")</f>
        <v>nan</v>
      </c>
      <c r="F3" s="3" t="str">
        <f>HYPERLINK(AA2 &amp; "/bolt/sn_d7bdbf351fb1d1abcd7ecf32c7a32daa/rendering/03.obj", "nan")</f>
        <v>nan</v>
      </c>
      <c r="G3" s="3" t="str">
        <f>HYPERLINK(AA2 &amp; "/bolt/sn_d7bdbf351fb1d1abcd7ecf32c7a32daa/rendering/04.obj", "nan")</f>
        <v>nan</v>
      </c>
      <c r="H3" s="3" t="str">
        <f>HYPERLINK(AA2 &amp; "/bolt/sn_d7bdbf351fb1d1abcd7ecf32c7a32daa/rendering/05.obj", "nan")</f>
        <v>nan</v>
      </c>
      <c r="I3" s="3" t="str">
        <f>HYPERLINK(AA2 &amp; "/bolt/sn_d7bdbf351fb1d1abcd7ecf32c7a32daa/rendering/06.obj", "nan")</f>
        <v>nan</v>
      </c>
      <c r="J3" s="3" t="str">
        <f>HYPERLINK(AA2 &amp; "/bolt/sn_d7bdbf351fb1d1abcd7ecf32c7a32daa/rendering/07.obj", "nan")</f>
        <v>nan</v>
      </c>
      <c r="K3" s="3" t="str">
        <f>HYPERLINK(AA2 &amp; "/bolt/sn_d7bdbf351fb1d1abcd7ecf32c7a32daa/rendering/08.obj", "nan")</f>
        <v>nan</v>
      </c>
      <c r="L3" s="3" t="str">
        <f>HYPERLINK(AA2 &amp; "/bolt/sn_d7bdbf351fb1d1abcd7ecf32c7a32daa/rendering/09.obj", "nan")</f>
        <v>nan</v>
      </c>
      <c r="M3" s="3" t="str">
        <f>HYPERLINK(AA2 &amp; "/bolt/sn_d7bdbf351fb1d1abcd7ecf32c7a32daa/rendering/10.obj", "nan")</f>
        <v>nan</v>
      </c>
      <c r="N3" s="3" t="str">
        <f>HYPERLINK(AA2 &amp; "/bolt/sn_d7bdbf351fb1d1abcd7ecf32c7a32daa/rendering/11.obj", "nan")</f>
        <v>nan</v>
      </c>
      <c r="O3" s="15" t="str">
        <f>HYPERLINK(AA2 &amp; "/bolt/sn_d7bdbf351fb1d1abcd7ecf32c7a32daa/rendering/12.obj", "1.71643698215")</f>
        <v>1.71643698215</v>
      </c>
      <c r="P3" s="16" t="str">
        <f>HYPERLINK(AA2 &amp; "/bolt/sn_d7bdbf351fb1d1abcd7ecf32c7a32daa/rendering/13.obj", "1.5822057724")</f>
        <v>1.5822057724</v>
      </c>
      <c r="Q3" s="17" t="str">
        <f>HYPERLINK(AA2 &amp; "/bolt/sn_d7bdbf351fb1d1abcd7ecf32c7a32daa/rendering/14.obj", "3.556899786")</f>
        <v>3.556899786</v>
      </c>
      <c r="R3" s="18" t="str">
        <f>HYPERLINK(AA2 &amp; "/bolt/sn_d7bdbf351fb1d1abcd7ecf32c7a32daa/rendering/15.obj", "1.46672713757")</f>
        <v>1.46672713757</v>
      </c>
      <c r="S3" s="19" t="str">
        <f>HYPERLINK(AA2 &amp; "/bolt/sn_d7bdbf351fb1d1abcd7ecf32c7a32daa/rendering/16.obj", "2.56567358971")</f>
        <v>2.56567358971</v>
      </c>
      <c r="T3" s="20" t="str">
        <f>HYPERLINK(AA2 &amp; "/bolt/sn_d7bdbf351fb1d1abcd7ecf32c7a32daa/rendering/17.obj", "10.1006851196")</f>
        <v>10.1006851196</v>
      </c>
      <c r="U3" s="21" t="str">
        <f>HYPERLINK(AA2 &amp; "/bolt/sn_d7bdbf351fb1d1abcd7ecf32c7a32daa/rendering/18.obj", "1.55544197559")</f>
        <v>1.55544197559</v>
      </c>
      <c r="V3" s="22" t="str">
        <f>HYPERLINK(AA2 &amp; "/bolt/sn_d7bdbf351fb1d1abcd7ecf32c7a32daa/rendering/19.obj", "5.3044757843")</f>
        <v>5.3044757843</v>
      </c>
      <c r="W3" s="12" t="s">
        <v>30</v>
      </c>
      <c r="X3" s="13">
        <v>3.4810682684183121</v>
      </c>
      <c r="Y3" s="13">
        <v>2.7944822693343312</v>
      </c>
      <c r="Z3" s="20">
        <v>0.80276571841093369</v>
      </c>
    </row>
    <row r="4" spans="1:29" x14ac:dyDescent="0.2">
      <c r="A4" s="1">
        <v>2</v>
      </c>
      <c r="B4" s="2" t="s">
        <v>28</v>
      </c>
      <c r="C4" s="3" t="str">
        <f>HYPERLINK(AB2 &amp; "/bolt/sn_d7bdbf351fb1d1abcd7ecf32c7a32daa/rendering/00.obj", "nan")</f>
        <v>nan</v>
      </c>
      <c r="D4" s="3" t="str">
        <f>HYPERLINK(AB2 &amp; "/bolt/sn_d7bdbf351fb1d1abcd7ecf32c7a32daa/rendering/01.obj", "nan")</f>
        <v>nan</v>
      </c>
      <c r="E4" s="3" t="str">
        <f>HYPERLINK(AB2 &amp; "/bolt/sn_d7bdbf351fb1d1abcd7ecf32c7a32daa/rendering/02.obj", "nan")</f>
        <v>nan</v>
      </c>
      <c r="F4" s="3" t="str">
        <f>HYPERLINK(AB2 &amp; "/bolt/sn_d7bdbf351fb1d1abcd7ecf32c7a32daa/rendering/03.obj", "nan")</f>
        <v>nan</v>
      </c>
      <c r="G4" s="3" t="str">
        <f>HYPERLINK(AB2 &amp; "/bolt/sn_d7bdbf351fb1d1abcd7ecf32c7a32daa/rendering/04.obj", "nan")</f>
        <v>nan</v>
      </c>
      <c r="H4" s="3" t="str">
        <f>HYPERLINK(AB2 &amp; "/bolt/sn_d7bdbf351fb1d1abcd7ecf32c7a32daa/rendering/05.obj", "nan")</f>
        <v>nan</v>
      </c>
      <c r="I4" s="3" t="str">
        <f>HYPERLINK(AB2 &amp; "/bolt/sn_d7bdbf351fb1d1abcd7ecf32c7a32daa/rendering/06.obj", "nan")</f>
        <v>nan</v>
      </c>
      <c r="J4" s="3" t="str">
        <f>HYPERLINK(AB2 &amp; "/bolt/sn_d7bdbf351fb1d1abcd7ecf32c7a32daa/rendering/07.obj", "nan")</f>
        <v>nan</v>
      </c>
      <c r="K4" s="3" t="str">
        <f>HYPERLINK(AB2 &amp; "/bolt/sn_d7bdbf351fb1d1abcd7ecf32c7a32daa/rendering/08.obj", "nan")</f>
        <v>nan</v>
      </c>
      <c r="L4" s="3" t="str">
        <f>HYPERLINK(AB2 &amp; "/bolt/sn_d7bdbf351fb1d1abcd7ecf32c7a32daa/rendering/09.obj", "nan")</f>
        <v>nan</v>
      </c>
      <c r="M4" s="3" t="str">
        <f>HYPERLINK(AB2 &amp; "/bolt/sn_d7bdbf351fb1d1abcd7ecf32c7a32daa/rendering/10.obj", "nan")</f>
        <v>nan</v>
      </c>
      <c r="N4" s="3" t="str">
        <f>HYPERLINK(AB2 &amp; "/bolt/sn_d7bdbf351fb1d1abcd7ecf32c7a32daa/rendering/11.obj", "nan")</f>
        <v>nan</v>
      </c>
      <c r="O4" s="17" t="str">
        <f>HYPERLINK(AB2 &amp; "/bolt/sn_d7bdbf351fb1d1abcd7ecf32c7a32daa/rendering/12.obj", "3.58101043701")</f>
        <v>3.58101043701</v>
      </c>
      <c r="P4" s="23" t="str">
        <f>HYPERLINK(AB2 &amp; "/bolt/sn_d7bdbf351fb1d1abcd7ecf32c7a32daa/rendering/13.obj", "3.51905517578")</f>
        <v>3.51905517578</v>
      </c>
      <c r="Q4" s="17" t="str">
        <f>HYPERLINK(AB2 &amp; "/bolt/sn_d7bdbf351fb1d1abcd7ecf32c7a32daa/rendering/14.obj", "3.58166137695")</f>
        <v>3.58166137695</v>
      </c>
      <c r="R4" s="17" t="str">
        <f>HYPERLINK(AB2 &amp; "/bolt/sn_d7bdbf351fb1d1abcd7ecf32c7a32daa/rendering/15.obj", "3.58767272949")</f>
        <v>3.58767272949</v>
      </c>
      <c r="S4" s="24" t="str">
        <f>HYPERLINK(AB2 &amp; "/bolt/sn_d7bdbf351fb1d1abcd7ecf32c7a32daa/rendering/16.obj", "4.27305633545")</f>
        <v>4.27305633545</v>
      </c>
      <c r="T4" s="25" t="str">
        <f>HYPERLINK(AB2 &amp; "/bolt/sn_d7bdbf351fb1d1abcd7ecf32c7a32daa/rendering/17.obj", "3.70187225342")</f>
        <v>3.70187225342</v>
      </c>
      <c r="U4" s="23" t="str">
        <f>HYPERLINK(AB2 &amp; "/bolt/sn_d7bdbf351fb1d1abcd7ecf32c7a32daa/rendering/18.obj", "3.52162567139")</f>
        <v>3.52162567139</v>
      </c>
      <c r="V4" s="23" t="str">
        <f>HYPERLINK(AB2 &amp; "/bolt/sn_d7bdbf351fb1d1abcd7ecf32c7a32daa/rendering/19.obj", "3.52258636475")</f>
        <v>3.52258636475</v>
      </c>
      <c r="W4" s="12" t="s">
        <v>31</v>
      </c>
      <c r="X4" s="13">
        <v>3.6610675430297852</v>
      </c>
      <c r="Y4" s="13">
        <v>0.2379824492698345</v>
      </c>
      <c r="Z4" s="26">
        <v>6.5003566984969549E-2</v>
      </c>
    </row>
    <row r="5" spans="1:29" x14ac:dyDescent="0.2">
      <c r="A5" s="1">
        <v>3</v>
      </c>
      <c r="B5" s="2" t="s">
        <v>28</v>
      </c>
      <c r="C5" s="3" t="str">
        <f>HYPERLINK(AB2 &amp; "/bolt/sn_d7bdbf351fb1d1abcd7ecf32c7a32daa/rendering/00.obj", "nan")</f>
        <v>nan</v>
      </c>
      <c r="D5" s="3" t="str">
        <f>HYPERLINK(AB2 &amp; "/bolt/sn_d7bdbf351fb1d1abcd7ecf32c7a32daa/rendering/01.obj", "nan")</f>
        <v>nan</v>
      </c>
      <c r="E5" s="3" t="str">
        <f>HYPERLINK(AB2 &amp; "/bolt/sn_d7bdbf351fb1d1abcd7ecf32c7a32daa/rendering/02.obj", "nan")</f>
        <v>nan</v>
      </c>
      <c r="F5" s="3" t="str">
        <f>HYPERLINK(AB2 &amp; "/bolt/sn_d7bdbf351fb1d1abcd7ecf32c7a32daa/rendering/03.obj", "nan")</f>
        <v>nan</v>
      </c>
      <c r="G5" s="3" t="str">
        <f>HYPERLINK(AB2 &amp; "/bolt/sn_d7bdbf351fb1d1abcd7ecf32c7a32daa/rendering/04.obj", "nan")</f>
        <v>nan</v>
      </c>
      <c r="H5" s="3" t="str">
        <f>HYPERLINK(AB2 &amp; "/bolt/sn_d7bdbf351fb1d1abcd7ecf32c7a32daa/rendering/05.obj", "nan")</f>
        <v>nan</v>
      </c>
      <c r="I5" s="3" t="str">
        <f>HYPERLINK(AB2 &amp; "/bolt/sn_d7bdbf351fb1d1abcd7ecf32c7a32daa/rendering/06.obj", "nan")</f>
        <v>nan</v>
      </c>
      <c r="J5" s="3" t="str">
        <f>HYPERLINK(AB2 &amp; "/bolt/sn_d7bdbf351fb1d1abcd7ecf32c7a32daa/rendering/07.obj", "nan")</f>
        <v>nan</v>
      </c>
      <c r="K5" s="3" t="str">
        <f>HYPERLINK(AB2 &amp; "/bolt/sn_d7bdbf351fb1d1abcd7ecf32c7a32daa/rendering/08.obj", "nan")</f>
        <v>nan</v>
      </c>
      <c r="L5" s="3" t="str">
        <f>HYPERLINK(AB2 &amp; "/bolt/sn_d7bdbf351fb1d1abcd7ecf32c7a32daa/rendering/09.obj", "nan")</f>
        <v>nan</v>
      </c>
      <c r="M5" s="3" t="str">
        <f>HYPERLINK(AB2 &amp; "/bolt/sn_d7bdbf351fb1d1abcd7ecf32c7a32daa/rendering/10.obj", "nan")</f>
        <v>nan</v>
      </c>
      <c r="N5" s="3" t="str">
        <f>HYPERLINK(AB2 &amp; "/bolt/sn_d7bdbf351fb1d1abcd7ecf32c7a32daa/rendering/11.obj", "nan")</f>
        <v>nan</v>
      </c>
      <c r="O5" s="27" t="str">
        <f>HYPERLINK(AB2 &amp; "/bolt/sn_d7bdbf351fb1d1abcd7ecf32c7a32daa/rendering/12.obj", "1.7660946846")</f>
        <v>1.7660946846</v>
      </c>
      <c r="P5" s="28" t="str">
        <f>HYPERLINK(AB2 &amp; "/bolt/sn_d7bdbf351fb1d1abcd7ecf32c7a32daa/rendering/13.obj", "1.46742248535")</f>
        <v>1.46742248535</v>
      </c>
      <c r="Q5" s="29" t="str">
        <f>HYPERLINK(AB2 &amp; "/bolt/sn_d7bdbf351fb1d1abcd7ecf32c7a32daa/rendering/14.obj", "1.4364156723")</f>
        <v>1.4364156723</v>
      </c>
      <c r="R5" s="28" t="str">
        <f>HYPERLINK(AB2 &amp; "/bolt/sn_d7bdbf351fb1d1abcd7ecf32c7a32daa/rendering/15.obj", "1.46460437775")</f>
        <v>1.46460437775</v>
      </c>
      <c r="S5" s="30" t="str">
        <f>HYPERLINK(AB2 &amp; "/bolt/sn_d7bdbf351fb1d1abcd7ecf32c7a32daa/rendering/16.obj", "1.64091384411")</f>
        <v>1.64091384411</v>
      </c>
      <c r="T5" s="29" t="str">
        <f>HYPERLINK(AB2 &amp; "/bolt/sn_d7bdbf351fb1d1abcd7ecf32c7a32daa/rendering/17.obj", "1.86387968063")</f>
        <v>1.86387968063</v>
      </c>
      <c r="U5" s="13" t="str">
        <f>HYPERLINK(AB2 &amp; "/bolt/sn_d7bdbf351fb1d1abcd7ecf32c7a32daa/rendering/18.obj", "1.65420234203")</f>
        <v>1.65420234203</v>
      </c>
      <c r="V5" s="31" t="str">
        <f>HYPERLINK(AB2 &amp; "/bolt/sn_d7bdbf351fb1d1abcd7ecf32c7a32daa/rendering/19.obj", "1.9049628973")</f>
        <v>1.9049628973</v>
      </c>
      <c r="W5" s="12" t="s">
        <v>32</v>
      </c>
      <c r="X5" s="13">
        <v>1.6498119980096819</v>
      </c>
      <c r="Y5" s="13">
        <v>0.1723560480422528</v>
      </c>
      <c r="Z5" s="32">
        <v>0.10447011432222671</v>
      </c>
    </row>
    <row r="6" spans="1:29" x14ac:dyDescent="0.2">
      <c r="A6" s="1">
        <v>4</v>
      </c>
      <c r="B6" s="2" t="s">
        <v>28</v>
      </c>
      <c r="C6" s="13" t="str">
        <f>HYPERLINK(AC2 &amp; "/bolt/sn_d7bdbf351fb1d1abcd7ecf32c7a32daa/rendering/00.xyz", "0.0")</f>
        <v>0.0</v>
      </c>
      <c r="D6" s="13" t="str">
        <f>HYPERLINK(AC2 &amp; "/bolt/sn_d7bdbf351fb1d1abcd7ecf32c7a32daa/rendering/01.xyz", "0.0")</f>
        <v>0.0</v>
      </c>
      <c r="E6" s="13" t="str">
        <f>HYPERLINK(AC2 &amp; "/bolt/sn_d7bdbf351fb1d1abcd7ecf32c7a32daa/rendering/02.xyz", "0.0")</f>
        <v>0.0</v>
      </c>
      <c r="F6" s="13" t="str">
        <f>HYPERLINK(AC2 &amp; "/bolt/sn_d7bdbf351fb1d1abcd7ecf32c7a32daa/rendering/03.xyz", "0.0")</f>
        <v>0.0</v>
      </c>
      <c r="G6" s="13" t="str">
        <f>HYPERLINK(AC2 &amp; "/bolt/sn_d7bdbf351fb1d1abcd7ecf32c7a32daa/rendering/04.xyz", "0.0")</f>
        <v>0.0</v>
      </c>
      <c r="H6" s="13" t="str">
        <f>HYPERLINK(AC2 &amp; "/bolt/sn_d7bdbf351fb1d1abcd7ecf32c7a32daa/rendering/05.xyz", "0.0")</f>
        <v>0.0</v>
      </c>
      <c r="I6" s="13" t="str">
        <f>HYPERLINK(AC2 &amp; "/bolt/sn_d7bdbf351fb1d1abcd7ecf32c7a32daa/rendering/06.xyz", "0.0")</f>
        <v>0.0</v>
      </c>
      <c r="J6" s="13" t="str">
        <f>HYPERLINK(AC2 &amp; "/bolt/sn_d7bdbf351fb1d1abcd7ecf32c7a32daa/rendering/07.xyz", "0.0")</f>
        <v>0.0</v>
      </c>
      <c r="K6" s="13" t="str">
        <f>HYPERLINK(AC2 &amp; "/bolt/sn_d7bdbf351fb1d1abcd7ecf32c7a32daa/rendering/08.xyz", "0.0")</f>
        <v>0.0</v>
      </c>
      <c r="L6" s="13" t="str">
        <f>HYPERLINK(AC2 &amp; "/bolt/sn_d7bdbf351fb1d1abcd7ecf32c7a32daa/rendering/09.xyz", "0.0")</f>
        <v>0.0</v>
      </c>
      <c r="M6" s="13" t="str">
        <f>HYPERLINK(AC2 &amp; "/bolt/sn_d7bdbf351fb1d1abcd7ecf32c7a32daa/rendering/10.xyz", "0.0")</f>
        <v>0.0</v>
      </c>
      <c r="N6" s="13" t="str">
        <f>HYPERLINK(AC2 &amp; "/bolt/sn_d7bdbf351fb1d1abcd7ecf32c7a32daa/rendering/11.xyz", "0.0")</f>
        <v>0.0</v>
      </c>
      <c r="O6" s="13" t="str">
        <f>HYPERLINK(AC2 &amp; "/bolt/sn_d7bdbf351fb1d1abcd7ecf32c7a32daa/rendering/12.xyz", "0.0")</f>
        <v>0.0</v>
      </c>
      <c r="P6" s="13" t="str">
        <f>HYPERLINK(AC2 &amp; "/bolt/sn_d7bdbf351fb1d1abcd7ecf32c7a32daa/rendering/13.xyz", "0.0")</f>
        <v>0.0</v>
      </c>
      <c r="Q6" s="13" t="str">
        <f>HYPERLINK(AC2 &amp; "/bolt/sn_d7bdbf351fb1d1abcd7ecf32c7a32daa/rendering/14.xyz", "0.0")</f>
        <v>0.0</v>
      </c>
      <c r="R6" s="13" t="str">
        <f>HYPERLINK(AC2 &amp; "/bolt/sn_d7bdbf351fb1d1abcd7ecf32c7a32daa/rendering/15.xyz", "0.0")</f>
        <v>0.0</v>
      </c>
      <c r="S6" s="13" t="str">
        <f>HYPERLINK(AC2 &amp; "/bolt/sn_d7bdbf351fb1d1abcd7ecf32c7a32daa/rendering/16.xyz", "0.0")</f>
        <v>0.0</v>
      </c>
      <c r="T6" s="13" t="str">
        <f>HYPERLINK(AC2 &amp; "/bolt/sn_d7bdbf351fb1d1abcd7ecf32c7a32daa/rendering/17.xyz", "0.0")</f>
        <v>0.0</v>
      </c>
      <c r="U6" s="13" t="str">
        <f>HYPERLINK(AC2 &amp; "/bolt/sn_d7bdbf351fb1d1abcd7ecf32c7a32daa/rendering/18.xyz", "0.0")</f>
        <v>0.0</v>
      </c>
      <c r="V6" s="13" t="str">
        <f>HYPERLINK(AC2 &amp; "/bolt/sn_d7bdbf351fb1d1abcd7ecf32c7a32daa/rendering/19.xyz", "0.0")</f>
        <v>0.0</v>
      </c>
      <c r="W6" s="12" t="s">
        <v>33</v>
      </c>
      <c r="X6" s="13">
        <v>0</v>
      </c>
      <c r="Y6" s="13">
        <v>0</v>
      </c>
      <c r="Z6" s="13">
        <v>0</v>
      </c>
    </row>
    <row r="7" spans="1:29" x14ac:dyDescent="0.2">
      <c r="A7" s="1">
        <v>5</v>
      </c>
      <c r="B7" s="2" t="s">
        <v>34</v>
      </c>
      <c r="C7" s="33" t="str">
        <f>HYPERLINK(AA2 &amp; "/bolt/sn_d83f3d3e8b0b1521cd7ecf32c7a32daa/rendering/00.obj", "3.91769134521")</f>
        <v>3.91769134521</v>
      </c>
      <c r="D7" s="34" t="str">
        <f>HYPERLINK(AA2 &amp; "/bolt/sn_d83f3d3e8b0b1521cd7ecf32c7a32daa/rendering/01.obj", "4.17572814941")</f>
        <v>4.17572814941</v>
      </c>
      <c r="E7" s="35" t="str">
        <f>HYPERLINK(AA2 &amp; "/bolt/sn_d83f3d3e8b0b1521cd7ecf32c7a32daa/rendering/02.obj", "4.64287078857")</f>
        <v>4.64287078857</v>
      </c>
      <c r="F7" s="7" t="str">
        <f>HYPERLINK(AA2 &amp; "/bolt/sn_d83f3d3e8b0b1521cd7ecf32c7a32daa/rendering/03.obj", "3.17389892578")</f>
        <v>3.17389892578</v>
      </c>
      <c r="G7" s="36" t="str">
        <f>HYPERLINK(AA2 &amp; "/bolt/sn_d83f3d3e8b0b1521cd7ecf32c7a32daa/rendering/04.obj", "3.4442956543")</f>
        <v>3.4442956543</v>
      </c>
      <c r="H7" s="37" t="str">
        <f>HYPERLINK(AA2 &amp; "/bolt/sn_d83f3d3e8b0b1521cd7ecf32c7a32daa/rendering/05.obj", "5.15421264648")</f>
        <v>5.15421264648</v>
      </c>
      <c r="I7" s="38" t="str">
        <f>HYPERLINK(AA2 &amp; "/bolt/sn_d83f3d3e8b0b1521cd7ecf32c7a32daa/rendering/06.obj", "4.77888580322")</f>
        <v>4.77888580322</v>
      </c>
      <c r="J7" s="10" t="str">
        <f>HYPERLINK(AA2 &amp; "/bolt/sn_d83f3d3e8b0b1521cd7ecf32c7a32daa/rendering/07.obj", "4.14141693115")</f>
        <v>4.14141693115</v>
      </c>
      <c r="K7" s="39" t="str">
        <f>HYPERLINK(AA2 &amp; "/bolt/sn_d83f3d3e8b0b1521cd7ecf32c7a32daa/rendering/08.obj", "4.76175018311")</f>
        <v>4.76175018311</v>
      </c>
      <c r="L7" s="40" t="str">
        <f>HYPERLINK(AA2 &amp; "/bolt/sn_d83f3d3e8b0b1521cd7ecf32c7a32daa/rendering/09.obj", "3.63120727539")</f>
        <v>3.63120727539</v>
      </c>
      <c r="M7" s="41" t="str">
        <f>HYPERLINK(AA2 &amp; "/bolt/sn_d83f3d3e8b0b1521cd7ecf32c7a32daa/rendering/10.obj", "4.09448059082")</f>
        <v>4.09448059082</v>
      </c>
      <c r="N7" s="42" t="str">
        <f>HYPERLINK(AA2 &amp; "/bolt/sn_d83f3d3e8b0b1521cd7ecf32c7a32daa/rendering/11.obj", "3.78227539063")</f>
        <v>3.78227539063</v>
      </c>
      <c r="O7" s="41" t="str">
        <f>HYPERLINK(AA2 &amp; "/bolt/sn_d83f3d3e8b0b1521cd7ecf32c7a32daa/rendering/12.obj", "4.08755218506")</f>
        <v>4.08755218506</v>
      </c>
      <c r="P7" s="43" t="str">
        <f>HYPERLINK(AA2 &amp; "/bolt/sn_d83f3d3e8b0b1521cd7ecf32c7a32daa/rendering/13.obj", "6.03225097656")</f>
        <v>6.03225097656</v>
      </c>
      <c r="Q7" s="44" t="str">
        <f>HYPERLINK(AA2 &amp; "/bolt/sn_d83f3d3e8b0b1521cd7ecf32c7a32daa/rendering/14.obj", "3.52577697754")</f>
        <v>3.52577697754</v>
      </c>
      <c r="R7" s="45" t="str">
        <f>HYPERLINK(AA2 &amp; "/bolt/sn_d83f3d3e8b0b1521cd7ecf32c7a32daa/rendering/15.obj", "7.30557006836")</f>
        <v>7.30557006836</v>
      </c>
      <c r="S7" s="46" t="str">
        <f>HYPERLINK(AA2 &amp; "/bolt/sn_d83f3d3e8b0b1521cd7ecf32c7a32daa/rendering/16.obj", "4.46877288818")</f>
        <v>4.46877288818</v>
      </c>
      <c r="T7" s="47" t="str">
        <f>HYPERLINK(AA2 &amp; "/bolt/sn_d83f3d3e8b0b1521cd7ecf32c7a32daa/rendering/17.obj", "4.42128265381")</f>
        <v>4.42128265381</v>
      </c>
      <c r="U7" s="32" t="str">
        <f>HYPERLINK(AA2 &amp; "/bolt/sn_d83f3d3e8b0b1521cd7ecf32c7a32daa/rendering/18.obj", "3.92675109863")</f>
        <v>3.92675109863</v>
      </c>
      <c r="V7" s="48" t="str">
        <f>HYPERLINK(AA2 &amp; "/bolt/sn_d83f3d3e8b0b1521cd7ecf32c7a32daa/rendering/19.obj", "4.28285064697")</f>
        <v>4.28285064697</v>
      </c>
      <c r="W7" s="12" t="s">
        <v>29</v>
      </c>
      <c r="X7" s="13">
        <v>4.3874760589599608</v>
      </c>
      <c r="Y7" s="13">
        <v>0.92040459473153757</v>
      </c>
      <c r="Z7" s="49">
        <v>0.20977996970534291</v>
      </c>
    </row>
    <row r="8" spans="1:29" x14ac:dyDescent="0.2">
      <c r="A8" s="1">
        <v>6</v>
      </c>
      <c r="B8" s="2" t="s">
        <v>34</v>
      </c>
      <c r="C8" s="43" t="str">
        <f>HYPERLINK(AA2 &amp; "/bolt/sn_d83f3d3e8b0b1521cd7ecf32c7a32daa/rendering/00.obj", "1.69380891323")</f>
        <v>1.69380891323</v>
      </c>
      <c r="D8" s="50" t="str">
        <f>HYPERLINK(AA2 &amp; "/bolt/sn_d83f3d3e8b0b1521cd7ecf32c7a32daa/rendering/01.obj", "2.1690864563")</f>
        <v>2.1690864563</v>
      </c>
      <c r="E8" s="51" t="str">
        <f>HYPERLINK(AA2 &amp; "/bolt/sn_d83f3d3e8b0b1521cd7ecf32c7a32daa/rendering/02.obj", "2.92238426208")</f>
        <v>2.92238426208</v>
      </c>
      <c r="F8" s="52" t="str">
        <f>HYPERLINK(AA2 &amp; "/bolt/sn_d83f3d3e8b0b1521cd7ecf32c7a32daa/rendering/03.obj", "1.62083888054")</f>
        <v>1.62083888054</v>
      </c>
      <c r="G8" s="53" t="str">
        <f>HYPERLINK(AA2 &amp; "/bolt/sn_d83f3d3e8b0b1521cd7ecf32c7a32daa/rendering/04.obj", "1.5884193182")</f>
        <v>1.5884193182</v>
      </c>
      <c r="H8" s="6" t="str">
        <f>HYPERLINK(AA2 &amp; "/bolt/sn_d83f3d3e8b0b1521cd7ecf32c7a32daa/rendering/05.obj", "2.8342602253")</f>
        <v>2.8342602253</v>
      </c>
      <c r="I8" s="25" t="str">
        <f>HYPERLINK(AA2 &amp; "/bolt/sn_d83f3d3e8b0b1521cd7ecf32c7a32daa/rendering/06.obj", "2.73920083046")</f>
        <v>2.73920083046</v>
      </c>
      <c r="J8" s="54" t="str">
        <f>HYPERLINK(AA2 &amp; "/bolt/sn_d83f3d3e8b0b1521cd7ecf32c7a32daa/rendering/07.obj", "1.81918179989")</f>
        <v>1.81918179989</v>
      </c>
      <c r="K8" s="55" t="str">
        <f>HYPERLINK(AA2 &amp; "/bolt/sn_d83f3d3e8b0b1521cd7ecf32c7a32daa/rendering/08.obj", "2.18634700775")</f>
        <v>2.18634700775</v>
      </c>
      <c r="L8" s="56" t="str">
        <f>HYPERLINK(AA2 &amp; "/bolt/sn_d83f3d3e8b0b1521cd7ecf32c7a32daa/rendering/09.obj", "1.86797583103")</f>
        <v>1.86797583103</v>
      </c>
      <c r="M8" s="57" t="str">
        <f>HYPERLINK(AA2 &amp; "/bolt/sn_d83f3d3e8b0b1521cd7ecf32c7a32daa/rendering/10.obj", "1.85607028008")</f>
        <v>1.85607028008</v>
      </c>
      <c r="N8" s="28" t="str">
        <f>HYPERLINK(AA2 &amp; "/bolt/sn_d83f3d3e8b0b1521cd7ecf32c7a32daa/rendering/11.obj", "2.40916275978")</f>
        <v>2.40916275978</v>
      </c>
      <c r="O8" s="58" t="str">
        <f>HYPERLINK(AA2 &amp; "/bolt/sn_d83f3d3e8b0b1521cd7ecf32c7a32daa/rendering/12.obj", "2.04664301872")</f>
        <v>2.04664301872</v>
      </c>
      <c r="P8" s="20" t="str">
        <f>HYPERLINK(AA2 &amp; "/bolt/sn_d83f3d3e8b0b1521cd7ecf32c7a32daa/rendering/13.obj", "6.93803882599")</f>
        <v>6.93803882599</v>
      </c>
      <c r="Q8" s="40" t="str">
        <f>HYPERLINK(AA2 &amp; "/bolt/sn_d83f3d3e8b0b1521cd7ecf32c7a32daa/rendering/14.obj", "2.24330306053")</f>
        <v>2.24330306053</v>
      </c>
      <c r="R8" s="20" t="str">
        <f>HYPERLINK(AA2 &amp; "/bolt/sn_d83f3d3e8b0b1521cd7ecf32c7a32daa/rendering/15.obj", "7.84645223618")</f>
        <v>7.84645223618</v>
      </c>
      <c r="S8" s="59" t="str">
        <f>HYPERLINK(AA2 &amp; "/bolt/sn_d83f3d3e8b0b1521cd7ecf32c7a32daa/rendering/16.obj", "2.06057572365")</f>
        <v>2.06057572365</v>
      </c>
      <c r="T8" s="10" t="str">
        <f>HYPERLINK(AA2 &amp; "/bolt/sn_d83f3d3e8b0b1521cd7ecf32c7a32daa/rendering/17.obj", "2.8549258709")</f>
        <v>2.8549258709</v>
      </c>
      <c r="U8" s="60" t="str">
        <f>HYPERLINK(AA2 &amp; "/bolt/sn_d83f3d3e8b0b1521cd7ecf32c7a32daa/rendering/18.obj", "2.56600642204")</f>
        <v>2.56600642204</v>
      </c>
      <c r="V8" s="61" t="str">
        <f>HYPERLINK(AA2 &amp; "/bolt/sn_d83f3d3e8b0b1521cd7ecf32c7a32daa/rendering/19.obj", "1.88612210751")</f>
        <v>1.88612210751</v>
      </c>
      <c r="W8" s="12" t="s">
        <v>30</v>
      </c>
      <c r="X8" s="13">
        <v>2.7074401915073389</v>
      </c>
      <c r="Y8" s="13">
        <v>1.619980806109262</v>
      </c>
      <c r="Z8" s="62">
        <v>0.59834407836257852</v>
      </c>
    </row>
    <row r="9" spans="1:29" x14ac:dyDescent="0.2">
      <c r="A9" s="1">
        <v>7</v>
      </c>
      <c r="B9" s="2" t="s">
        <v>34</v>
      </c>
      <c r="C9" s="63" t="str">
        <f>HYPERLINK(AB2 &amp; "/bolt/sn_d83f3d3e8b0b1521cd7ecf32c7a32daa/rendering/00.obj", "4.09795776367")</f>
        <v>4.09795776367</v>
      </c>
      <c r="D9" s="64" t="str">
        <f>HYPERLINK(AB2 &amp; "/bolt/sn_d83f3d3e8b0b1521cd7ecf32c7a32daa/rendering/01.obj", "3.04917999268")</f>
        <v>3.04917999268</v>
      </c>
      <c r="E9" s="65" t="str">
        <f>HYPERLINK(AB2 &amp; "/bolt/sn_d83f3d3e8b0b1521cd7ecf32c7a32daa/rendering/02.obj", "4.14545715332")</f>
        <v>4.14545715332</v>
      </c>
      <c r="F9" s="17" t="str">
        <f>HYPERLINK(AB2 &amp; "/bolt/sn_d83f3d3e8b0b1521cd7ecf32c7a32daa/rendering/03.obj", "3.73185150146")</f>
        <v>3.73185150146</v>
      </c>
      <c r="G9" s="47" t="str">
        <f>HYPERLINK(AB2 &amp; "/bolt/sn_d83f3d3e8b0b1521cd7ecf32c7a32daa/rendering/04.obj", "3.62599884033")</f>
        <v>3.62599884033</v>
      </c>
      <c r="H9" s="17" t="str">
        <f>HYPERLINK(AB2 &amp; "/bolt/sn_d83f3d3e8b0b1521cd7ecf32c7a32daa/rendering/05.obj", "3.73067932129")</f>
        <v>3.73067932129</v>
      </c>
      <c r="I9" s="66" t="str">
        <f>HYPERLINK(AB2 &amp; "/bolt/sn_d83f3d3e8b0b1521cd7ecf32c7a32daa/rendering/06.obj", "3.06474914551")</f>
        <v>3.06474914551</v>
      </c>
      <c r="J9" s="31" t="str">
        <f>HYPERLINK(AB2 &amp; "/bolt/sn_d83f3d3e8b0b1521cd7ecf32c7a32daa/rendering/07.obj", "3.08722351074")</f>
        <v>3.08722351074</v>
      </c>
      <c r="K9" s="6" t="str">
        <f>HYPERLINK(AB2 &amp; "/bolt/sn_d83f3d3e8b0b1521cd7ecf32c7a32daa/rendering/08.obj", "3.48780456543")</f>
        <v>3.48780456543</v>
      </c>
      <c r="L9" s="67" t="str">
        <f>HYPERLINK(AB2 &amp; "/bolt/sn_d83f3d3e8b0b1521cd7ecf32c7a32daa/rendering/09.obj", "3.32115783691")</f>
        <v>3.32115783691</v>
      </c>
      <c r="M9" s="68" t="str">
        <f>HYPERLINK(AB2 &amp; "/bolt/sn_d83f3d3e8b0b1521cd7ecf32c7a32daa/rendering/10.obj", "3.50547180176")</f>
        <v>3.50547180176</v>
      </c>
      <c r="N9" s="26" t="str">
        <f>HYPERLINK(AB2 &amp; "/bolt/sn_d83f3d3e8b0b1521cd7ecf32c7a32daa/rendering/11.obj", "3.88658477783")</f>
        <v>3.88658477783</v>
      </c>
      <c r="O9" s="13" t="str">
        <f>HYPERLINK(AB2 &amp; "/bolt/sn_d83f3d3e8b0b1521cd7ecf32c7a32daa/rendering/12.obj", "3.66082519531")</f>
        <v>3.66082519531</v>
      </c>
      <c r="P9" s="33" t="str">
        <f>HYPERLINK(AB2 &amp; "/bolt/sn_d83f3d3e8b0b1521cd7ecf32c7a32daa/rendering/13.obj", "4.05101928711")</f>
        <v>4.05101928711</v>
      </c>
      <c r="Q9" s="69" t="str">
        <f>HYPERLINK(AB2 &amp; "/bolt/sn_d83f3d3e8b0b1521cd7ecf32c7a32daa/rendering/14.obj", "3.54394897461")</f>
        <v>3.54394897461</v>
      </c>
      <c r="R9" s="70" t="str">
        <f>HYPERLINK(AB2 &amp; "/bolt/sn_d83f3d3e8b0b1521cd7ecf32c7a32daa/rendering/15.obj", "4.11937133789")</f>
        <v>4.11937133789</v>
      </c>
      <c r="S9" s="71" t="str">
        <f>HYPERLINK(AB2 &amp; "/bolt/sn_d83f3d3e8b0b1521cd7ecf32c7a32daa/rendering/16.obj", "4.08739257812")</f>
        <v>4.08739257812</v>
      </c>
      <c r="T9" s="72" t="str">
        <f>HYPERLINK(AB2 &amp; "/bolt/sn_d83f3d3e8b0b1521cd7ecf32c7a32daa/rendering/17.obj", "3.53497772217")</f>
        <v>3.53497772217</v>
      </c>
      <c r="U9" s="47" t="str">
        <f>HYPERLINK(AB2 &amp; "/bolt/sn_d83f3d3e8b0b1521cd7ecf32c7a32daa/rendering/18.obj", "3.62334838867")</f>
        <v>3.62334838867</v>
      </c>
      <c r="V9" s="73" t="str">
        <f>HYPERLINK(AB2 &amp; "/bolt/sn_d83f3d3e8b0b1521cd7ecf32c7a32daa/rendering/19.obj", "3.78625549316")</f>
        <v>3.78625549316</v>
      </c>
      <c r="W9" s="12" t="s">
        <v>31</v>
      </c>
      <c r="X9" s="13">
        <v>3.6570627593994138</v>
      </c>
      <c r="Y9" s="13">
        <v>0.3396148749175677</v>
      </c>
      <c r="Z9" s="67">
        <v>9.2865476274555769E-2</v>
      </c>
    </row>
    <row r="10" spans="1:29" x14ac:dyDescent="0.2">
      <c r="A10" s="1">
        <v>8</v>
      </c>
      <c r="B10" s="2" t="s">
        <v>34</v>
      </c>
      <c r="C10" s="74" t="str">
        <f>HYPERLINK(AB2 &amp; "/bolt/sn_d83f3d3e8b0b1521cd7ecf32c7a32daa/rendering/00.obj", "1.90886354446")</f>
        <v>1.90886354446</v>
      </c>
      <c r="D10" s="64" t="str">
        <f>HYPERLINK(AB2 &amp; "/bolt/sn_d83f3d3e8b0b1521cd7ecf32c7a32daa/rendering/01.obj", "2.19617843628")</f>
        <v>2.19617843628</v>
      </c>
      <c r="E10" s="75" t="str">
        <f>HYPERLINK(AB2 &amp; "/bolt/sn_d83f3d3e8b0b1521cd7ecf32c7a32daa/rendering/02.obj", "2.30044317245")</f>
        <v>2.30044317245</v>
      </c>
      <c r="F10" s="71" t="str">
        <f>HYPERLINK(AB2 &amp; "/bolt/sn_d83f3d3e8b0b1521cd7ecf32c7a32daa/rendering/03.obj", "1.65998530388")</f>
        <v>1.65998530388</v>
      </c>
      <c r="G10" s="76" t="str">
        <f>HYPERLINK(AB2 &amp; "/bolt/sn_d83f3d3e8b0b1521cd7ecf32c7a32daa/rendering/04.obj", "1.53624904156")</f>
        <v>1.53624904156</v>
      </c>
      <c r="H10" s="50" t="str">
        <f>HYPERLINK(AB2 &amp; "/bolt/sn_d83f3d3e8b0b1521cd7ecf32c7a32daa/rendering/05.obj", "2.25578093529")</f>
        <v>2.25578093529</v>
      </c>
      <c r="I10" s="35" t="str">
        <f>HYPERLINK(AB2 &amp; "/bolt/sn_d83f3d3e8b0b1521cd7ecf32c7a32daa/rendering/06.obj", "1.99064874649")</f>
        <v>1.99064874649</v>
      </c>
      <c r="J10" s="64" t="str">
        <f>HYPERLINK(AB2 &amp; "/bolt/sn_d83f3d3e8b0b1521cd7ecf32c7a32daa/rendering/07.obj", "1.57194161415")</f>
        <v>1.57194161415</v>
      </c>
      <c r="K10" s="77" t="str">
        <f>HYPERLINK(AB2 &amp; "/bolt/sn_d83f3d3e8b0b1521cd7ecf32c7a32daa/rendering/08.obj", "1.5333057642")</f>
        <v>1.5333057642</v>
      </c>
      <c r="L10" s="78" t="str">
        <f>HYPERLINK(AB2 &amp; "/bolt/sn_d83f3d3e8b0b1521cd7ecf32c7a32daa/rendering/09.obj", "1.76910316944")</f>
        <v>1.76910316944</v>
      </c>
      <c r="M10" s="79" t="str">
        <f>HYPERLINK(AB2 &amp; "/bolt/sn_d83f3d3e8b0b1521cd7ecf32c7a32daa/rendering/10.obj", "1.58317506313")</f>
        <v>1.58317506313</v>
      </c>
      <c r="N10" s="51" t="str">
        <f>HYPERLINK(AB2 &amp; "/bolt/sn_d83f3d3e8b0b1521cd7ecf32c7a32daa/rendering/11.obj", "2.03485798836")</f>
        <v>2.03485798836</v>
      </c>
      <c r="O10" s="80" t="str">
        <f>HYPERLINK(AB2 &amp; "/bolt/sn_d83f3d3e8b0b1521cd7ecf32c7a32daa/rendering/12.obj", "1.60372591019")</f>
        <v>1.60372591019</v>
      </c>
      <c r="P10" s="30" t="str">
        <f>HYPERLINK(AB2 &amp; "/bolt/sn_d83f3d3e8b0b1521cd7ecf32c7a32daa/rendering/13.obj", "1.89473152161")</f>
        <v>1.89473152161</v>
      </c>
      <c r="Q10" s="81" t="str">
        <f>HYPERLINK(AB2 &amp; "/bolt/sn_d83f3d3e8b0b1521cd7ecf32c7a32daa/rendering/14.obj", "1.47038376331")</f>
        <v>1.47038376331</v>
      </c>
      <c r="R10" s="82" t="str">
        <f>HYPERLINK(AB2 &amp; "/bolt/sn_d83f3d3e8b0b1521cd7ecf32c7a32daa/rendering/15.obj", "2.26810359955")</f>
        <v>2.26810359955</v>
      </c>
      <c r="S10" s="4" t="str">
        <f>HYPERLINK(AB2 &amp; "/bolt/sn_d83f3d3e8b0b1521cd7ecf32c7a32daa/rendering/16.obj", "2.41626834869")</f>
        <v>2.41626834869</v>
      </c>
      <c r="T10" s="46" t="str">
        <f>HYPERLINK(AB2 &amp; "/bolt/sn_d83f3d3e8b0b1521cd7ecf32c7a32daa/rendering/17.obj", "1.91659533978")</f>
        <v>1.91659533978</v>
      </c>
      <c r="U10" s="83" t="str">
        <f>HYPERLINK(AB2 &amp; "/bolt/sn_d83f3d3e8b0b1521cd7ecf32c7a32daa/rendering/18.obj", "1.59481191635")</f>
        <v>1.59481191635</v>
      </c>
      <c r="V10" s="84" t="str">
        <f>HYPERLINK(AB2 &amp; "/bolt/sn_d83f3d3e8b0b1521cd7ecf32c7a32daa/rendering/19.obj", "2.15718698502")</f>
        <v>2.15718698502</v>
      </c>
      <c r="W10" s="12" t="s">
        <v>32</v>
      </c>
      <c r="X10" s="13">
        <v>1.883117008209229</v>
      </c>
      <c r="Y10" s="13">
        <v>0.29823889683831761</v>
      </c>
      <c r="Z10" s="79">
        <v>0.15837512780043941</v>
      </c>
    </row>
    <row r="11" spans="1:29" x14ac:dyDescent="0.2">
      <c r="A11" s="1">
        <v>9</v>
      </c>
      <c r="B11" s="2" t="s">
        <v>34</v>
      </c>
      <c r="C11" s="13" t="str">
        <f>HYPERLINK(AC2 &amp; "/bolt/sn_d83f3d3e8b0b1521cd7ecf32c7a32daa/rendering/00.xyz", "0.0")</f>
        <v>0.0</v>
      </c>
      <c r="D11" s="13" t="str">
        <f>HYPERLINK(AC2 &amp; "/bolt/sn_d83f3d3e8b0b1521cd7ecf32c7a32daa/rendering/01.xyz", "0.0")</f>
        <v>0.0</v>
      </c>
      <c r="E11" s="13" t="str">
        <f>HYPERLINK(AC2 &amp; "/bolt/sn_d83f3d3e8b0b1521cd7ecf32c7a32daa/rendering/02.xyz", "0.0")</f>
        <v>0.0</v>
      </c>
      <c r="F11" s="13" t="str">
        <f>HYPERLINK(AC2 &amp; "/bolt/sn_d83f3d3e8b0b1521cd7ecf32c7a32daa/rendering/03.xyz", "0.0")</f>
        <v>0.0</v>
      </c>
      <c r="G11" s="13" t="str">
        <f>HYPERLINK(AC2 &amp; "/bolt/sn_d83f3d3e8b0b1521cd7ecf32c7a32daa/rendering/04.xyz", "0.0")</f>
        <v>0.0</v>
      </c>
      <c r="H11" s="13" t="str">
        <f>HYPERLINK(AC2 &amp; "/bolt/sn_d83f3d3e8b0b1521cd7ecf32c7a32daa/rendering/05.xyz", "0.0")</f>
        <v>0.0</v>
      </c>
      <c r="I11" s="13" t="str">
        <f>HYPERLINK(AC2 &amp; "/bolt/sn_d83f3d3e8b0b1521cd7ecf32c7a32daa/rendering/06.xyz", "0.0")</f>
        <v>0.0</v>
      </c>
      <c r="J11" s="13" t="str">
        <f>HYPERLINK(AC2 &amp; "/bolt/sn_d83f3d3e8b0b1521cd7ecf32c7a32daa/rendering/07.xyz", "0.0")</f>
        <v>0.0</v>
      </c>
      <c r="K11" s="13" t="str">
        <f>HYPERLINK(AC2 &amp; "/bolt/sn_d83f3d3e8b0b1521cd7ecf32c7a32daa/rendering/08.xyz", "0.0")</f>
        <v>0.0</v>
      </c>
      <c r="L11" s="13" t="str">
        <f>HYPERLINK(AC2 &amp; "/bolt/sn_d83f3d3e8b0b1521cd7ecf32c7a32daa/rendering/09.xyz", "0.0")</f>
        <v>0.0</v>
      </c>
      <c r="M11" s="13" t="str">
        <f>HYPERLINK(AC2 &amp; "/bolt/sn_d83f3d3e8b0b1521cd7ecf32c7a32daa/rendering/10.xyz", "0.0")</f>
        <v>0.0</v>
      </c>
      <c r="N11" s="13" t="str">
        <f>HYPERLINK(AC2 &amp; "/bolt/sn_d83f3d3e8b0b1521cd7ecf32c7a32daa/rendering/11.xyz", "0.0")</f>
        <v>0.0</v>
      </c>
      <c r="O11" s="13" t="str">
        <f>HYPERLINK(AC2 &amp; "/bolt/sn_d83f3d3e8b0b1521cd7ecf32c7a32daa/rendering/12.xyz", "0.0")</f>
        <v>0.0</v>
      </c>
      <c r="P11" s="13" t="str">
        <f>HYPERLINK(AC2 &amp; "/bolt/sn_d83f3d3e8b0b1521cd7ecf32c7a32daa/rendering/13.xyz", "0.0")</f>
        <v>0.0</v>
      </c>
      <c r="Q11" s="13" t="str">
        <f>HYPERLINK(AC2 &amp; "/bolt/sn_d83f3d3e8b0b1521cd7ecf32c7a32daa/rendering/14.xyz", "0.0")</f>
        <v>0.0</v>
      </c>
      <c r="R11" s="13" t="str">
        <f>HYPERLINK(AC2 &amp; "/bolt/sn_d83f3d3e8b0b1521cd7ecf32c7a32daa/rendering/15.xyz", "0.0")</f>
        <v>0.0</v>
      </c>
      <c r="S11" s="13" t="str">
        <f>HYPERLINK(AC2 &amp; "/bolt/sn_d83f3d3e8b0b1521cd7ecf32c7a32daa/rendering/16.xyz", "0.0")</f>
        <v>0.0</v>
      </c>
      <c r="T11" s="13" t="str">
        <f>HYPERLINK(AC2 &amp; "/bolt/sn_d83f3d3e8b0b1521cd7ecf32c7a32daa/rendering/17.xyz", "0.0")</f>
        <v>0.0</v>
      </c>
      <c r="U11" s="13" t="str">
        <f>HYPERLINK(AC2 &amp; "/bolt/sn_d83f3d3e8b0b1521cd7ecf32c7a32daa/rendering/18.xyz", "0.0")</f>
        <v>0.0</v>
      </c>
      <c r="V11" s="13" t="str">
        <f>HYPERLINK(AC2 &amp; "/bolt/sn_d83f3d3e8b0b1521cd7ecf32c7a32daa/rendering/19.xyz", "0.0")</f>
        <v>0.0</v>
      </c>
      <c r="W11" s="12" t="s">
        <v>33</v>
      </c>
      <c r="X11" s="13">
        <v>0</v>
      </c>
      <c r="Y11" s="13">
        <v>0</v>
      </c>
      <c r="Z11" s="13">
        <v>0</v>
      </c>
    </row>
    <row r="12" spans="1:29" x14ac:dyDescent="0.2">
      <c r="A12" s="1">
        <v>10</v>
      </c>
      <c r="B12" s="2" t="s">
        <v>35</v>
      </c>
      <c r="C12" s="36" t="str">
        <f>HYPERLINK(AA2 &amp; "/bolt/sn_d8bc0393861fd97584e446b3614c282b/rendering/00.obj", "6.67608764648")</f>
        <v>6.67608764648</v>
      </c>
      <c r="D12" s="39" t="str">
        <f>HYPERLINK(AA2 &amp; "/bolt/sn_d8bc0393861fd97584e446b3614c282b/rendering/01.obj", "7.76725158691")</f>
        <v>7.76725158691</v>
      </c>
      <c r="E12" s="33" t="str">
        <f>HYPERLINK(AA2 &amp; "/bolt/sn_d8bc0393861fd97584e446b3614c282b/rendering/02.obj", "9.42521362305")</f>
        <v>9.42521362305</v>
      </c>
      <c r="F12" s="85" t="str">
        <f>HYPERLINK(AA2 &amp; "/bolt/sn_d8bc0393861fd97584e446b3614c282b/rendering/03.obj", "11.0395983887")</f>
        <v>11.0395983887</v>
      </c>
      <c r="G12" s="8" t="str">
        <f>HYPERLINK(AA2 &amp; "/bolt/sn_d8bc0393861fd97584e446b3614c282b/rendering/04.obj", "7.29487182617")</f>
        <v>7.29487182617</v>
      </c>
      <c r="H12" s="36" t="str">
        <f>HYPERLINK(AA2 &amp; "/bolt/sn_d8bc0393861fd97584e446b3614c282b/rendering/05.obj", "6.68708984375")</f>
        <v>6.68708984375</v>
      </c>
      <c r="I12" s="11" t="str">
        <f>HYPERLINK(AA2 &amp; "/bolt/sn_d8bc0393861fd97584e446b3614c282b/rendering/06.obj", "6.5941217041")</f>
        <v>6.5941217041</v>
      </c>
      <c r="J12" s="86" t="str">
        <f>HYPERLINK(AA2 &amp; "/bolt/sn_d8bc0393861fd97584e446b3614c282b/rendering/07.obj", "10.8111499023")</f>
        <v>10.8111499023</v>
      </c>
      <c r="K12" s="77" t="str">
        <f>HYPERLINK(AA2 &amp; "/bolt/sn_d8bc0393861fd97584e446b3614c282b/rendering/08.obj", "6.9146472168")</f>
        <v>6.9146472168</v>
      </c>
      <c r="L12" s="41" t="str">
        <f>HYPERLINK(AA2 &amp; "/bolt/sn_d8bc0393861fd97584e446b3614c282b/rendering/09.obj", "9.08301574707")</f>
        <v>9.08301574707</v>
      </c>
      <c r="M12" s="23" t="str">
        <f>HYPERLINK(AA2 &amp; "/bolt/sn_d8bc0393861fd97584e446b3614c282b/rendering/10.obj", "8.86145080566")</f>
        <v>8.86145080566</v>
      </c>
      <c r="N12" s="87" t="str">
        <f>HYPERLINK(AA2 &amp; "/bolt/sn_d8bc0393861fd97584e446b3614c282b/rendering/11.obj", "10.4558874512")</f>
        <v>10.4558874512</v>
      </c>
      <c r="O12" s="80" t="str">
        <f>HYPERLINK(AA2 &amp; "/bolt/sn_d8bc0393861fd97584e446b3614c282b/rendering/12.obj", "7.24388061523")</f>
        <v>7.24388061523</v>
      </c>
      <c r="P12" s="88" t="str">
        <f>HYPERLINK(AA2 &amp; "/bolt/sn_d8bc0393861fd97584e446b3614c282b/rendering/13.obj", "10.244206543")</f>
        <v>10.244206543</v>
      </c>
      <c r="Q12" s="63" t="str">
        <f>HYPERLINK(AA2 &amp; "/bolt/sn_d8bc0393861fd97584e446b3614c282b/rendering/14.obj", "9.54225708008")</f>
        <v>9.54225708008</v>
      </c>
      <c r="R12" s="87" t="str">
        <f>HYPERLINK(AA2 &amp; "/bolt/sn_d8bc0393861fd97584e446b3614c282b/rendering/15.obj", "10.4472070313")</f>
        <v>10.4472070313</v>
      </c>
      <c r="S12" s="40" t="str">
        <f>HYPERLINK(AA2 &amp; "/bolt/sn_d8bc0393861fd97584e446b3614c282b/rendering/16.obj", "7.05495117188")</f>
        <v>7.05495117188</v>
      </c>
      <c r="T12" s="88" t="str">
        <f>HYPERLINK(AA2 &amp; "/bolt/sn_d8bc0393861fd97584e446b3614c282b/rendering/17.obj", "6.79184692383")</f>
        <v>6.79184692383</v>
      </c>
      <c r="U12" s="89" t="str">
        <f>HYPERLINK(AA2 &amp; "/bolt/sn_d8bc0393861fd97584e446b3614c282b/rendering/18.obj", "10.7225622559")</f>
        <v>10.7225622559</v>
      </c>
      <c r="V12" s="75" t="str">
        <f>HYPERLINK(AA2 &amp; "/bolt/sn_d8bc0393861fd97584e446b3614c282b/rendering/19.obj", "6.62897583008")</f>
        <v>6.62897583008</v>
      </c>
      <c r="W12" s="12" t="s">
        <v>29</v>
      </c>
      <c r="X12" s="13">
        <v>8.5143136596679678</v>
      </c>
      <c r="Y12" s="13">
        <v>1.65275059101281</v>
      </c>
      <c r="Z12" s="55">
        <v>0.19411436518269659</v>
      </c>
    </row>
    <row r="13" spans="1:29" x14ac:dyDescent="0.2">
      <c r="A13" s="1">
        <v>11</v>
      </c>
      <c r="B13" s="2" t="s">
        <v>35</v>
      </c>
      <c r="C13" s="46" t="str">
        <f>HYPERLINK(AA2 &amp; "/bolt/sn_d8bc0393861fd97584e446b3614c282b/rendering/00.obj", "14.9049034119")</f>
        <v>14.9049034119</v>
      </c>
      <c r="D13" s="70" t="str">
        <f>HYPERLINK(AA2 &amp; "/bolt/sn_d8bc0393861fd97584e446b3614c282b/rendering/01.obj", "12.7843589783")</f>
        <v>12.7843589783</v>
      </c>
      <c r="E13" s="47" t="str">
        <f>HYPERLINK(AA2 &amp; "/bolt/sn_d8bc0393861fd97584e446b3614c282b/rendering/02.obj", "14.5579767227")</f>
        <v>14.5579767227</v>
      </c>
      <c r="F13" s="82" t="str">
        <f>HYPERLINK(AA2 &amp; "/bolt/sn_d8bc0393861fd97584e446b3614c282b/rendering/03.obj", "17.6832275391")</f>
        <v>17.6832275391</v>
      </c>
      <c r="G13" s="67" t="str">
        <f>HYPERLINK(AA2 &amp; "/bolt/sn_d8bc0393861fd97584e446b3614c282b/rendering/04.obj", "13.2947158813")</f>
        <v>13.2947158813</v>
      </c>
      <c r="H13" s="49" t="str">
        <f>HYPERLINK(AA2 &amp; "/bolt/sn_d8bc0393861fd97584e446b3614c282b/rendering/05.obj", "11.6023511887")</f>
        <v>11.6023511887</v>
      </c>
      <c r="I13" s="30" t="str">
        <f>HYPERLINK(AA2 &amp; "/bolt/sn_d8bc0393861fd97584e446b3614c282b/rendering/06.obj", "14.6031761169")</f>
        <v>14.6031761169</v>
      </c>
      <c r="J13" s="63" t="str">
        <f>HYPERLINK(AA2 &amp; "/bolt/sn_d8bc0393861fd97584e446b3614c282b/rendering/07.obj", "16.4339179993")</f>
        <v>16.4339179993</v>
      </c>
      <c r="K13" s="78" t="str">
        <f>HYPERLINK(AA2 &amp; "/bolt/sn_d8bc0393861fd97584e446b3614c282b/rendering/08.obj", "13.7748975754")</f>
        <v>13.7748975754</v>
      </c>
      <c r="L13" s="60" t="str">
        <f>HYPERLINK(AA2 &amp; "/bolt/sn_d8bc0393861fd97584e446b3614c282b/rendering/09.obj", "13.9117555618")</f>
        <v>13.9117555618</v>
      </c>
      <c r="M13" s="48" t="str">
        <f>HYPERLINK(AA2 &amp; "/bolt/sn_d8bc0393861fd97584e446b3614c282b/rendering/10.obj", "14.9955635071")</f>
        <v>14.9955635071</v>
      </c>
      <c r="N13" s="76" t="str">
        <f>HYPERLINK(AA2 &amp; "/bolt/sn_d8bc0393861fd97584e446b3614c282b/rendering/11.obj", "17.3669471741")</f>
        <v>17.3669471741</v>
      </c>
      <c r="O13" s="5" t="str">
        <f>HYPERLINK(AA2 &amp; "/bolt/sn_d8bc0393861fd97584e446b3614c282b/rendering/12.obj", "13.5329713821")</f>
        <v>13.5329713821</v>
      </c>
      <c r="P13" s="90" t="str">
        <f>HYPERLINK(AA2 &amp; "/bolt/sn_d8bc0393861fd97584e446b3614c282b/rendering/13.obj", "16.0419921875")</f>
        <v>16.0419921875</v>
      </c>
      <c r="Q13" s="91" t="str">
        <f>HYPERLINK(AA2 &amp; "/bolt/sn_d8bc0393861fd97584e446b3614c282b/rendering/14.obj", "15.0447435379")</f>
        <v>15.0447435379</v>
      </c>
      <c r="R13" s="27" t="str">
        <f>HYPERLINK(AA2 &amp; "/bolt/sn_d8bc0393861fd97584e446b3614c282b/rendering/15.obj", "15.6779527664")</f>
        <v>15.6779527664</v>
      </c>
      <c r="S13" s="92" t="str">
        <f>HYPERLINK(AA2 &amp; "/bolt/sn_d8bc0393861fd97584e446b3614c282b/rendering/16.obj", "12.8474502563")</f>
        <v>12.8474502563</v>
      </c>
      <c r="T13" s="25" t="str">
        <f>HYPERLINK(AA2 &amp; "/bolt/sn_d8bc0393861fd97584e446b3614c282b/rendering/17.obj", "14.498251915")</f>
        <v>14.498251915</v>
      </c>
      <c r="U13" s="64" t="str">
        <f>HYPERLINK(AA2 &amp; "/bolt/sn_d8bc0393861fd97584e446b3614c282b/rendering/18.obj", "17.053358078")</f>
        <v>17.053358078</v>
      </c>
      <c r="V13" s="93" t="str">
        <f>HYPERLINK(AA2 &amp; "/bolt/sn_d8bc0393861fd97584e446b3614c282b/rendering/19.obj", "12.6062021255")</f>
        <v>12.6062021255</v>
      </c>
      <c r="W13" s="12" t="s">
        <v>30</v>
      </c>
      <c r="X13" s="13">
        <v>14.660835695266719</v>
      </c>
      <c r="Y13" s="13">
        <v>1.635498063601617</v>
      </c>
      <c r="Z13" s="28">
        <v>0.1115555823417106</v>
      </c>
    </row>
    <row r="14" spans="1:29" x14ac:dyDescent="0.2">
      <c r="A14" s="1">
        <v>12</v>
      </c>
      <c r="B14" s="2" t="s">
        <v>35</v>
      </c>
      <c r="C14" s="72" t="str">
        <f>HYPERLINK(AB2 &amp; "/bolt/sn_d8bc0393861fd97584e446b3614c282b/rendering/00.obj", "6.86057800293")</f>
        <v>6.86057800293</v>
      </c>
      <c r="D14" s="23" t="str">
        <f>HYPERLINK(AB2 &amp; "/bolt/sn_d8bc0393861fd97584e446b3614c282b/rendering/01.obj", "6.82905090332")</f>
        <v>6.82905090332</v>
      </c>
      <c r="E14" s="30" t="str">
        <f>HYPERLINK(AB2 &amp; "/bolt/sn_d8bc0393861fd97584e446b3614c282b/rendering/02.obj", "7.06753417969")</f>
        <v>7.06753417969</v>
      </c>
      <c r="F14" s="91" t="str">
        <f>HYPERLINK(AB2 &amp; "/bolt/sn_d8bc0393861fd97584e446b3614c282b/rendering/03.obj", "7.28476806641")</f>
        <v>7.28476806641</v>
      </c>
      <c r="G14" s="27" t="str">
        <f>HYPERLINK(AB2 &amp; "/bolt/sn_d8bc0393861fd97584e446b3614c282b/rendering/04.obj", "7.59968139648")</f>
        <v>7.59968139648</v>
      </c>
      <c r="H14" s="30" t="str">
        <f>HYPERLINK(AB2 &amp; "/bolt/sn_d8bc0393861fd97584e446b3614c282b/rendering/05.obj", "7.14326782227")</f>
        <v>7.14326782227</v>
      </c>
      <c r="I14" s="72" t="str">
        <f>HYPERLINK(AB2 &amp; "/bolt/sn_d8bc0393861fd97584e446b3614c282b/rendering/06.obj", "6.87296020508")</f>
        <v>6.87296020508</v>
      </c>
      <c r="J14" s="13" t="str">
        <f>HYPERLINK(AB2 &amp; "/bolt/sn_d8bc0393861fd97584e446b3614c282b/rendering/07.obj", "7.09334472656")</f>
        <v>7.09334472656</v>
      </c>
      <c r="K14" s="47" t="str">
        <f>HYPERLINK(AB2 &amp; "/bolt/sn_d8bc0393861fd97584e446b3614c282b/rendering/08.obj", "7.14711425781")</f>
        <v>7.14711425781</v>
      </c>
      <c r="L14" s="10" t="str">
        <f>HYPERLINK(AB2 &amp; "/bolt/sn_d8bc0393861fd97584e446b3614c282b/rendering/09.obj", "7.49127380371")</f>
        <v>7.49127380371</v>
      </c>
      <c r="M14" s="10" t="str">
        <f>HYPERLINK(AB2 &amp; "/bolt/sn_d8bc0393861fd97584e446b3614c282b/rendering/10.obj", "6.70434326172")</f>
        <v>6.70434326172</v>
      </c>
      <c r="N14" s="68" t="str">
        <f>HYPERLINK(AB2 &amp; "/bolt/sn_d8bc0393861fd97584e446b3614c282b/rendering/11.obj", "6.79292358398")</f>
        <v>6.79292358398</v>
      </c>
      <c r="O14" s="34" t="str">
        <f>HYPERLINK(AB2 &amp; "/bolt/sn_d8bc0393861fd97584e446b3614c282b/rendering/12.obj", "7.43662353516")</f>
        <v>7.43662353516</v>
      </c>
      <c r="P14" s="30" t="str">
        <f>HYPERLINK(AB2 &amp; "/bolt/sn_d8bc0393861fd97584e446b3614c282b/rendering/13.obj", "7.06499511719")</f>
        <v>7.06499511719</v>
      </c>
      <c r="Q14" s="73" t="str">
        <f>HYPERLINK(AB2 &amp; "/bolt/sn_d8bc0393861fd97584e446b3614c282b/rendering/14.obj", "6.83564941406")</f>
        <v>6.83564941406</v>
      </c>
      <c r="R14" s="46" t="str">
        <f>HYPERLINK(AB2 &amp; "/bolt/sn_d8bc0393861fd97584e446b3614c282b/rendering/15.obj", "7.22327026367")</f>
        <v>7.22327026367</v>
      </c>
      <c r="S14" s="74" t="str">
        <f>HYPERLINK(AB2 &amp; "/bolt/sn_d8bc0393861fd97584e446b3614c282b/rendering/16.obj", "6.99655944824")</f>
        <v>6.99655944824</v>
      </c>
      <c r="T14" s="17" t="str">
        <f>HYPERLINK(AB2 &amp; "/bolt/sn_d8bc0393861fd97584e446b3614c282b/rendering/17.obj", "7.24602233887")</f>
        <v>7.24602233887</v>
      </c>
      <c r="U14" s="91" t="str">
        <f>HYPERLINK(AB2 &amp; "/bolt/sn_d8bc0393861fd97584e446b3614c282b/rendering/18.obj", "6.90325927734")</f>
        <v>6.90325927734</v>
      </c>
      <c r="V14" s="68" t="str">
        <f>HYPERLINK(AB2 &amp; "/bolt/sn_d8bc0393861fd97584e446b3614c282b/rendering/19.obj", "7.40577880859")</f>
        <v>7.40577880859</v>
      </c>
      <c r="W14" s="12" t="s">
        <v>31</v>
      </c>
      <c r="X14" s="13">
        <v>7.0999499206542964</v>
      </c>
      <c r="Y14" s="13">
        <v>0.24890532425908191</v>
      </c>
      <c r="Z14" s="73">
        <v>3.5057335198238143E-2</v>
      </c>
    </row>
    <row r="15" spans="1:29" x14ac:dyDescent="0.2">
      <c r="A15" s="1">
        <v>13</v>
      </c>
      <c r="B15" s="2" t="s">
        <v>35</v>
      </c>
      <c r="C15" s="73" t="str">
        <f>HYPERLINK(AB2 &amp; "/bolt/sn_d8bc0393861fd97584e446b3614c282b/rendering/00.obj", "14.020614624")</f>
        <v>14.020614624</v>
      </c>
      <c r="D15" s="48" t="str">
        <f>HYPERLINK(AB2 &amp; "/bolt/sn_d8bc0393861fd97584e446b3614c282b/rendering/01.obj", "13.1817331314")</f>
        <v>13.1817331314</v>
      </c>
      <c r="E15" s="25" t="str">
        <f>HYPERLINK(AB2 &amp; "/bolt/sn_d8bc0393861fd97584e446b3614c282b/rendering/02.obj", "13.3588829041")</f>
        <v>13.3588829041</v>
      </c>
      <c r="F15" s="17" t="str">
        <f>HYPERLINK(AB2 &amp; "/bolt/sn_d8bc0393861fd97584e446b3614c282b/rendering/03.obj", "13.8057775497")</f>
        <v>13.8057775497</v>
      </c>
      <c r="G15" s="35" t="str">
        <f>HYPERLINK(AB2 &amp; "/bolt/sn_d8bc0393861fd97584e446b3614c282b/rendering/04.obj", "14.2864770889")</f>
        <v>14.2864770889</v>
      </c>
      <c r="H15" s="13" t="str">
        <f>HYPERLINK(AB2 &amp; "/bolt/sn_d8bc0393861fd97584e446b3614c282b/rendering/05.obj", "13.4946470261")</f>
        <v>13.4946470261</v>
      </c>
      <c r="I15" s="30" t="str">
        <f>HYPERLINK(AB2 &amp; "/bolt/sn_d8bc0393861fd97584e446b3614c282b/rendering/06.obj", "13.5717506409")</f>
        <v>13.5717506409</v>
      </c>
      <c r="J15" s="91" t="str">
        <f>HYPERLINK(AB2 &amp; "/bolt/sn_d8bc0393861fd97584e446b3614c282b/rendering/07.obj", "13.8927049637")</f>
        <v>13.8927049637</v>
      </c>
      <c r="K15" s="73" t="str">
        <f>HYPERLINK(AB2 &amp; "/bolt/sn_d8bc0393861fd97584e446b3614c282b/rendering/08.obj", "14.0262842178")</f>
        <v>14.0262842178</v>
      </c>
      <c r="L15" s="60" t="str">
        <f>HYPERLINK(AB2 &amp; "/bolt/sn_d8bc0393861fd97584e446b3614c282b/rendering/09.obj", "14.2182283401")</f>
        <v>14.2182283401</v>
      </c>
      <c r="M15" s="41" t="str">
        <f>HYPERLINK(AB2 &amp; "/bolt/sn_d8bc0393861fd97584e446b3614c282b/rendering/10.obj", "12.5914840698")</f>
        <v>12.5914840698</v>
      </c>
      <c r="N15" s="26" t="str">
        <f>HYPERLINK(AB2 &amp; "/bolt/sn_d8bc0393861fd97584e446b3614c282b/rendering/11.obj", "12.6669044495")</f>
        <v>12.6669044495</v>
      </c>
      <c r="O15" s="27" t="str">
        <f>HYPERLINK(AB2 &amp; "/bolt/sn_d8bc0393861fd97584e446b3614c282b/rendering/12.obj", "14.4862976074")</f>
        <v>14.4862976074</v>
      </c>
      <c r="P15" s="74" t="str">
        <f>HYPERLINK(AB2 &amp; "/bolt/sn_d8bc0393861fd97584e446b3614c282b/rendering/13.obj", "13.3283872604")</f>
        <v>13.3283872604</v>
      </c>
      <c r="Q15" s="33" t="str">
        <f>HYPERLINK(AB2 &amp; "/bolt/sn_d8bc0393861fd97584e446b3614c282b/rendering/14.obj", "12.0614337921")</f>
        <v>12.0614337921</v>
      </c>
      <c r="R15" s="72" t="str">
        <f>HYPERLINK(AB2 &amp; "/bolt/sn_d8bc0393861fd97584e446b3614c282b/rendering/15.obj", "13.0572195053")</f>
        <v>13.0572195053</v>
      </c>
      <c r="S15" s="60" t="str">
        <f>HYPERLINK(AB2 &amp; "/bolt/sn_d8bc0393861fd97584e446b3614c282b/rendering/16.obj", "12.8144683838")</f>
        <v>12.8144683838</v>
      </c>
      <c r="T15" s="26" t="str">
        <f>HYPERLINK(AB2 &amp; "/bolt/sn_d8bc0393861fd97584e446b3614c282b/rendering/17.obj", "14.3938112259")</f>
        <v>14.3938112259</v>
      </c>
      <c r="U15" s="48" t="str">
        <f>HYPERLINK(AB2 &amp; "/bolt/sn_d8bc0393861fd97584e446b3614c282b/rendering/18.obj", "13.2158107758")</f>
        <v>13.2158107758</v>
      </c>
      <c r="V15" s="69" t="str">
        <f>HYPERLINK(AB2 &amp; "/bolt/sn_d8bc0393861fd97584e446b3614c282b/rendering/19.obj", "13.9101715088")</f>
        <v>13.9101715088</v>
      </c>
      <c r="W15" s="12" t="s">
        <v>32</v>
      </c>
      <c r="X15" s="13">
        <v>13.51915445327759</v>
      </c>
      <c r="Y15" s="13">
        <v>0.64630656759445215</v>
      </c>
      <c r="Z15" s="34">
        <v>4.7806730060529892E-2</v>
      </c>
    </row>
    <row r="16" spans="1:29" x14ac:dyDescent="0.2">
      <c r="A16" s="1">
        <v>14</v>
      </c>
      <c r="B16" s="2" t="s">
        <v>35</v>
      </c>
      <c r="C16" s="13" t="str">
        <f>HYPERLINK(AC2 &amp; "/bolt/sn_d8bc0393861fd97584e446b3614c282b/rendering/00.xyz", "0.0")</f>
        <v>0.0</v>
      </c>
      <c r="D16" s="13" t="str">
        <f>HYPERLINK(AC2 &amp; "/bolt/sn_d8bc0393861fd97584e446b3614c282b/rendering/01.xyz", "0.0")</f>
        <v>0.0</v>
      </c>
      <c r="E16" s="13" t="str">
        <f>HYPERLINK(AC2 &amp; "/bolt/sn_d8bc0393861fd97584e446b3614c282b/rendering/02.xyz", "0.0")</f>
        <v>0.0</v>
      </c>
      <c r="F16" s="13" t="str">
        <f>HYPERLINK(AC2 &amp; "/bolt/sn_d8bc0393861fd97584e446b3614c282b/rendering/03.xyz", "0.0")</f>
        <v>0.0</v>
      </c>
      <c r="G16" s="13" t="str">
        <f>HYPERLINK(AC2 &amp; "/bolt/sn_d8bc0393861fd97584e446b3614c282b/rendering/04.xyz", "0.0")</f>
        <v>0.0</v>
      </c>
      <c r="H16" s="13" t="str">
        <f>HYPERLINK(AC2 &amp; "/bolt/sn_d8bc0393861fd97584e446b3614c282b/rendering/05.xyz", "0.0")</f>
        <v>0.0</v>
      </c>
      <c r="I16" s="13" t="str">
        <f>HYPERLINK(AC2 &amp; "/bolt/sn_d8bc0393861fd97584e446b3614c282b/rendering/06.xyz", "0.0")</f>
        <v>0.0</v>
      </c>
      <c r="J16" s="13" t="str">
        <f>HYPERLINK(AC2 &amp; "/bolt/sn_d8bc0393861fd97584e446b3614c282b/rendering/07.xyz", "0.0")</f>
        <v>0.0</v>
      </c>
      <c r="K16" s="13" t="str">
        <f>HYPERLINK(AC2 &amp; "/bolt/sn_d8bc0393861fd97584e446b3614c282b/rendering/08.xyz", "0.0")</f>
        <v>0.0</v>
      </c>
      <c r="L16" s="13" t="str">
        <f>HYPERLINK(AC2 &amp; "/bolt/sn_d8bc0393861fd97584e446b3614c282b/rendering/09.xyz", "0.0")</f>
        <v>0.0</v>
      </c>
      <c r="M16" s="13" t="str">
        <f>HYPERLINK(AC2 &amp; "/bolt/sn_d8bc0393861fd97584e446b3614c282b/rendering/10.xyz", "0.0")</f>
        <v>0.0</v>
      </c>
      <c r="N16" s="13" t="str">
        <f>HYPERLINK(AC2 &amp; "/bolt/sn_d8bc0393861fd97584e446b3614c282b/rendering/11.xyz", "0.0")</f>
        <v>0.0</v>
      </c>
      <c r="O16" s="13" t="str">
        <f>HYPERLINK(AC2 &amp; "/bolt/sn_d8bc0393861fd97584e446b3614c282b/rendering/12.xyz", "0.0")</f>
        <v>0.0</v>
      </c>
      <c r="P16" s="13" t="str">
        <f>HYPERLINK(AC2 &amp; "/bolt/sn_d8bc0393861fd97584e446b3614c282b/rendering/13.xyz", "0.0")</f>
        <v>0.0</v>
      </c>
      <c r="Q16" s="13" t="str">
        <f>HYPERLINK(AC2 &amp; "/bolt/sn_d8bc0393861fd97584e446b3614c282b/rendering/14.xyz", "0.0")</f>
        <v>0.0</v>
      </c>
      <c r="R16" s="13" t="str">
        <f>HYPERLINK(AC2 &amp; "/bolt/sn_d8bc0393861fd97584e446b3614c282b/rendering/15.xyz", "0.0")</f>
        <v>0.0</v>
      </c>
      <c r="S16" s="13" t="str">
        <f>HYPERLINK(AC2 &amp; "/bolt/sn_d8bc0393861fd97584e446b3614c282b/rendering/16.xyz", "0.0")</f>
        <v>0.0</v>
      </c>
      <c r="T16" s="13" t="str">
        <f>HYPERLINK(AC2 &amp; "/bolt/sn_d8bc0393861fd97584e446b3614c282b/rendering/17.xyz", "0.0")</f>
        <v>0.0</v>
      </c>
      <c r="U16" s="13" t="str">
        <f>HYPERLINK(AC2 &amp; "/bolt/sn_d8bc0393861fd97584e446b3614c282b/rendering/18.xyz", "0.0")</f>
        <v>0.0</v>
      </c>
      <c r="V16" s="13" t="str">
        <f>HYPERLINK(AC2 &amp; "/bolt/sn_d8bc0393861fd97584e446b3614c282b/rendering/19.xyz", "0.0")</f>
        <v>0.0</v>
      </c>
      <c r="W16" s="12" t="s">
        <v>33</v>
      </c>
      <c r="X16" s="13">
        <v>0</v>
      </c>
      <c r="Y16" s="13">
        <v>0</v>
      </c>
      <c r="Z16" s="13">
        <v>0</v>
      </c>
    </row>
    <row r="17" spans="1:26" x14ac:dyDescent="0.2">
      <c r="A17" s="1">
        <v>15</v>
      </c>
      <c r="B17" s="2" t="s">
        <v>36</v>
      </c>
      <c r="C17" s="10" t="str">
        <f>HYPERLINK(AA2 &amp; "/bolt/sn_db380d405d54740539955b1c85a5fc2d/rendering/00.obj", "4.55999633789")</f>
        <v>4.55999633789</v>
      </c>
      <c r="D17" s="91" t="str">
        <f>HYPERLINK(AA2 &amp; "/bolt/sn_db380d405d54740539955b1c85a5fc2d/rendering/01.obj", "4.70455627441")</f>
        <v>4.70455627441</v>
      </c>
      <c r="E17" s="94" t="str">
        <f>HYPERLINK(AA2 &amp; "/bolt/sn_db380d405d54740539955b1c85a5fc2d/rendering/02.obj", "5.17921142578")</f>
        <v>5.17921142578</v>
      </c>
      <c r="F17" s="26" t="str">
        <f>HYPERLINK(AA2 &amp; "/bolt/sn_db380d405d54740539955b1c85a5fc2d/rendering/03.obj", "4.51008087158")</f>
        <v>4.51008087158</v>
      </c>
      <c r="G17" s="39" t="str">
        <f>HYPERLINK(AA2 &amp; "/bolt/sn_db380d405d54740539955b1c85a5fc2d/rendering/04.obj", "4.41051849365")</f>
        <v>4.41051849365</v>
      </c>
      <c r="H17" s="30" t="str">
        <f>HYPERLINK(AA2 &amp; "/bolt/sn_db380d405d54740539955b1c85a5fc2d/rendering/05.obj", "4.84949249268")</f>
        <v>4.84949249268</v>
      </c>
      <c r="I17" s="91" t="str">
        <f>HYPERLINK(AA2 &amp; "/bolt/sn_db380d405d54740539955b1c85a5fc2d/rendering/06.obj", "4.69947570801")</f>
        <v>4.69947570801</v>
      </c>
      <c r="J17" s="13" t="str">
        <f>HYPERLINK(AA2 &amp; "/bolt/sn_db380d405d54740539955b1c85a5fc2d/rendering/07.obj", "4.81604156494")</f>
        <v>4.81604156494</v>
      </c>
      <c r="K17" s="46" t="str">
        <f>HYPERLINK(AA2 &amp; "/bolt/sn_db380d405d54740539955b1c85a5fc2d/rendering/08.obj", "4.90583831787")</f>
        <v>4.90583831787</v>
      </c>
      <c r="L17" s="84" t="str">
        <f>HYPERLINK(AA2 &amp; "/bolt/sn_db380d405d54740539955b1c85a5fc2d/rendering/09.obj", "5.5377331543")</f>
        <v>5.5377331543</v>
      </c>
      <c r="M17" s="80" t="str">
        <f>HYPERLINK(AA2 &amp; "/bolt/sn_db380d405d54740539955b1c85a5fc2d/rendering/10.obj", "5.54567199707")</f>
        <v>5.54567199707</v>
      </c>
      <c r="N17" s="10" t="str">
        <f>HYPERLINK(AA2 &amp; "/bolt/sn_db380d405d54740539955b1c85a5fc2d/rendering/11.obj", "4.56085083008")</f>
        <v>4.56085083008</v>
      </c>
      <c r="O17" s="91" t="str">
        <f>HYPERLINK(AA2 &amp; "/bolt/sn_db380d405d54740539955b1c85a5fc2d/rendering/12.obj", "4.69291748047")</f>
        <v>4.69291748047</v>
      </c>
      <c r="P17" s="69" t="str">
        <f>HYPERLINK(AA2 &amp; "/bolt/sn_db380d405d54740539955b1c85a5fc2d/rendering/13.obj", "4.684246521")</f>
        <v>4.684246521</v>
      </c>
      <c r="Q17" s="25" t="str">
        <f>HYPERLINK(AA2 &amp; "/bolt/sn_db380d405d54740539955b1c85a5fc2d/rendering/14.obj", "4.77260620117")</f>
        <v>4.77260620117</v>
      </c>
      <c r="R17" s="34" t="str">
        <f>HYPERLINK(AA2 &amp; "/bolt/sn_db380d405d54740539955b1c85a5fc2d/rendering/15.obj", "4.58584777832")</f>
        <v>4.58584777832</v>
      </c>
      <c r="S17" s="25" t="str">
        <f>HYPERLINK(AA2 &amp; "/bolt/sn_db380d405d54740539955b1c85a5fc2d/rendering/16.obj", "4.87871856689")</f>
        <v>4.87871856689</v>
      </c>
      <c r="T17" s="78" t="str">
        <f>HYPERLINK(AA2 &amp; "/bolt/sn_db380d405d54740539955b1c85a5fc2d/rendering/17.obj", "5.12588439941")</f>
        <v>5.12588439941</v>
      </c>
      <c r="U17" s="35" t="str">
        <f>HYPERLINK(AA2 &amp; "/bolt/sn_db380d405d54740539955b1c85a5fc2d/rendering/18.obj", "4.54354248047")</f>
        <v>4.54354248047</v>
      </c>
      <c r="V17" s="72" t="str">
        <f>HYPERLINK(AA2 &amp; "/bolt/sn_db380d405d54740539955b1c85a5fc2d/rendering/19.obj", "4.99309051514")</f>
        <v>4.99309051514</v>
      </c>
      <c r="W17" s="12" t="s">
        <v>29</v>
      </c>
      <c r="X17" s="13">
        <v>4.8278160705566409</v>
      </c>
      <c r="Y17" s="13">
        <v>0.30815569176665852</v>
      </c>
      <c r="Z17" s="26">
        <v>6.3829211234041186E-2</v>
      </c>
    </row>
    <row r="18" spans="1:26" x14ac:dyDescent="0.2">
      <c r="A18" s="1">
        <v>16</v>
      </c>
      <c r="B18" s="2" t="s">
        <v>36</v>
      </c>
      <c r="C18" s="94" t="str">
        <f>HYPERLINK(AA2 &amp; "/bolt/sn_db380d405d54740539955b1c85a5fc2d/rendering/00.obj", "4.5217294693")</f>
        <v>4.5217294693</v>
      </c>
      <c r="D18" s="74" t="str">
        <f>HYPERLINK(AA2 &amp; "/bolt/sn_db380d405d54740539955b1c85a5fc2d/rendering/01.obj", "4.94906759262")</f>
        <v>4.94906759262</v>
      </c>
      <c r="E18" s="92" t="str">
        <f>HYPERLINK(AA2 &amp; "/bolt/sn_db380d405d54740539955b1c85a5fc2d/rendering/02.obj", "5.49603414536")</f>
        <v>5.49603414536</v>
      </c>
      <c r="F18" s="67" t="str">
        <f>HYPERLINK(AA2 &amp; "/bolt/sn_db380d405d54740539955b1c85a5fc2d/rendering/03.obj", "4.42983818054")</f>
        <v>4.42983818054</v>
      </c>
      <c r="G18" s="46" t="str">
        <f>HYPERLINK(AA2 &amp; "/bolt/sn_db380d405d54740539955b1c85a5fc2d/rendering/04.obj", "4.8053445816")</f>
        <v>4.8053445816</v>
      </c>
      <c r="H18" s="46" t="str">
        <f>HYPERLINK(AA2 &amp; "/bolt/sn_db380d405d54740539955b1c85a5fc2d/rendering/05.obj", "4.97585391998")</f>
        <v>4.97585391998</v>
      </c>
      <c r="I18" s="30" t="str">
        <f>HYPERLINK(AA2 &amp; "/bolt/sn_db380d405d54740539955b1c85a5fc2d/rendering/06.obj", "4.8618388176")</f>
        <v>4.8618388176</v>
      </c>
      <c r="J18" s="35" t="str">
        <f>HYPERLINK(AA2 &amp; "/bolt/sn_db380d405d54740539955b1c85a5fc2d/rendering/07.obj", "4.6012096405")</f>
        <v>4.6012096405</v>
      </c>
      <c r="K18" s="47" t="str">
        <f>HYPERLINK(AA2 &amp; "/bolt/sn_db380d405d54740539955b1c85a5fc2d/rendering/08.obj", "4.84751653671")</f>
        <v>4.84751653671</v>
      </c>
      <c r="L18" s="28" t="str">
        <f>HYPERLINK(AA2 &amp; "/bolt/sn_db380d405d54740539955b1c85a5fc2d/rendering/09.obj", "5.43441057205")</f>
        <v>5.43441057205</v>
      </c>
      <c r="M18" s="63" t="str">
        <f>HYPERLINK(AA2 &amp; "/bolt/sn_db380d405d54740539955b1c85a5fc2d/rendering/10.obj", "5.47985267639")</f>
        <v>5.47985267639</v>
      </c>
      <c r="N18" s="60" t="str">
        <f>HYPERLINK(AA2 &amp; "/bolt/sn_db380d405d54740539955b1c85a5fc2d/rendering/11.obj", "4.63471794128")</f>
        <v>4.63471794128</v>
      </c>
      <c r="O18" s="35" t="str">
        <f>HYPERLINK(AA2 &amp; "/bolt/sn_db380d405d54740539955b1c85a5fc2d/rendering/12.obj", "4.60406780243")</f>
        <v>4.60406780243</v>
      </c>
      <c r="P18" s="72" t="str">
        <f>HYPERLINK(AA2 &amp; "/bolt/sn_db380d405d54740539955b1c85a5fc2d/rendering/13.obj", "4.72244596481")</f>
        <v>4.72244596481</v>
      </c>
      <c r="Q18" s="25" t="str">
        <f>HYPERLINK(AA2 &amp; "/bolt/sn_db380d405d54740539955b1c85a5fc2d/rendering/14.obj", "4.93589544296")</f>
        <v>4.93589544296</v>
      </c>
      <c r="R18" s="35" t="str">
        <f>HYPERLINK(AA2 &amp; "/bolt/sn_db380d405d54740539955b1c85a5fc2d/rendering/15.obj", "4.60720157623")</f>
        <v>4.60720157623</v>
      </c>
      <c r="S18" s="60" t="str">
        <f>HYPERLINK(AA2 &amp; "/bolt/sn_db380d405d54740539955b1c85a5fc2d/rendering/16.obj", "5.13387870789")</f>
        <v>5.13387870789</v>
      </c>
      <c r="T18" s="48" t="str">
        <f>HYPERLINK(AA2 &amp; "/bolt/sn_db380d405d54740539955b1c85a5fc2d/rendering/17.obj", "5.00799512863")</f>
        <v>5.00799512863</v>
      </c>
      <c r="U18" s="39" t="str">
        <f>HYPERLINK(AA2 &amp; "/bolt/sn_db380d405d54740539955b1c85a5fc2d/rendering/18.obj", "4.47032737732")</f>
        <v>4.47032737732</v>
      </c>
      <c r="V18" s="26" t="str">
        <f>HYPERLINK(AA2 &amp; "/bolt/sn_db380d405d54740539955b1c85a5fc2d/rendering/19.obj", "5.20528650284")</f>
        <v>5.20528650284</v>
      </c>
      <c r="W18" s="12" t="s">
        <v>30</v>
      </c>
      <c r="X18" s="13">
        <v>4.8862256288528441</v>
      </c>
      <c r="Y18" s="13">
        <v>0.32161389869022622</v>
      </c>
      <c r="Z18" s="26">
        <v>6.5820517331642861E-2</v>
      </c>
    </row>
    <row r="19" spans="1:26" x14ac:dyDescent="0.2">
      <c r="A19" s="1">
        <v>17</v>
      </c>
      <c r="B19" s="2" t="s">
        <v>36</v>
      </c>
      <c r="C19" s="73" t="str">
        <f>HYPERLINK(AB2 &amp; "/bolt/sn_db380d405d54740539955b1c85a5fc2d/rendering/00.obj", "4.33981018066")</f>
        <v>4.33981018066</v>
      </c>
      <c r="D19" s="91" t="str">
        <f>HYPERLINK(AB2 &amp; "/bolt/sn_db380d405d54740539955b1c85a5fc2d/rendering/01.obj", "4.29600860596")</f>
        <v>4.29600860596</v>
      </c>
      <c r="E19" s="23" t="str">
        <f>HYPERLINK(AB2 &amp; "/bolt/sn_db380d405d54740539955b1c85a5fc2d/rendering/02.obj", "4.35298339844")</f>
        <v>4.35298339844</v>
      </c>
      <c r="F19" s="51" t="str">
        <f>HYPERLINK(AB2 &amp; "/bolt/sn_db380d405d54740539955b1c85a5fc2d/rendering/03.obj", "3.84511352539")</f>
        <v>3.84511352539</v>
      </c>
      <c r="G19" s="10" t="str">
        <f>HYPERLINK(AB2 &amp; "/bolt/sn_db380d405d54740539955b1c85a5fc2d/rendering/04.obj", "4.42001159668")</f>
        <v>4.42001159668</v>
      </c>
      <c r="H19" s="74" t="str">
        <f>HYPERLINK(AB2 &amp; "/bolt/sn_db380d405d54740539955b1c85a5fc2d/rendering/05.obj", "4.12791503906")</f>
        <v>4.12791503906</v>
      </c>
      <c r="I19" s="13" t="str">
        <f>HYPERLINK(AB2 &amp; "/bolt/sn_db380d405d54740539955b1c85a5fc2d/rendering/06.obj", "4.17526702881")</f>
        <v>4.17526702881</v>
      </c>
      <c r="J19" s="17" t="str">
        <f>HYPERLINK(AB2 &amp; "/bolt/sn_db380d405d54740539955b1c85a5fc2d/rendering/07.obj", "4.26916931152")</f>
        <v>4.26916931152</v>
      </c>
      <c r="K19" s="35" t="str">
        <f>HYPERLINK(AB2 &amp; "/bolt/sn_db380d405d54740539955b1c85a5fc2d/rendering/08.obj", "4.42262145996")</f>
        <v>4.42262145996</v>
      </c>
      <c r="L19" s="17" t="str">
        <f>HYPERLINK(AB2 &amp; "/bolt/sn_db380d405d54740539955b1c85a5fc2d/rendering/09.obj", "4.09355102539")</f>
        <v>4.09355102539</v>
      </c>
      <c r="M19" s="68" t="str">
        <f>HYPERLINK(AB2 &amp; "/bolt/sn_db380d405d54740539955b1c85a5fc2d/rendering/10.obj", "4.01146484375")</f>
        <v>4.01146484375</v>
      </c>
      <c r="N19" s="73" t="str">
        <f>HYPERLINK(AB2 &amp; "/bolt/sn_db380d405d54740539955b1c85a5fc2d/rendering/11.obj", "4.03208740234")</f>
        <v>4.03208740234</v>
      </c>
      <c r="O19" s="69" t="str">
        <f>HYPERLINK(AB2 &amp; "/bolt/sn_db380d405d54740539955b1c85a5fc2d/rendering/12.obj", "4.31022064209")</f>
        <v>4.31022064209</v>
      </c>
      <c r="P19" s="23" t="str">
        <f>HYPERLINK(AB2 &amp; "/bolt/sn_db380d405d54740539955b1c85a5fc2d/rendering/13.obj", "4.01575042725")</f>
        <v>4.01575042725</v>
      </c>
      <c r="Q19" s="46" t="str">
        <f>HYPERLINK(AB2 &amp; "/bolt/sn_db380d405d54740539955b1c85a5fc2d/rendering/14.obj", "4.11289428711")</f>
        <v>4.11289428711</v>
      </c>
      <c r="R19" s="68" t="str">
        <f>HYPERLINK(AB2 &amp; "/bolt/sn_db380d405d54740539955b1c85a5fc2d/rendering/15.obj", "4.00107757568")</f>
        <v>4.00107757568</v>
      </c>
      <c r="S19" s="72" t="str">
        <f>HYPERLINK(AB2 &amp; "/bolt/sn_db380d405d54740539955b1c85a5fc2d/rendering/16.obj", "4.32645324707")</f>
        <v>4.32645324707</v>
      </c>
      <c r="T19" s="72" t="str">
        <f>HYPERLINK(AB2 &amp; "/bolt/sn_db380d405d54740539955b1c85a5fc2d/rendering/17.obj", "4.32356262207")</f>
        <v>4.32356262207</v>
      </c>
      <c r="U19" s="73" t="str">
        <f>HYPERLINK(AB2 &amp; "/bolt/sn_db380d405d54740539955b1c85a5fc2d/rendering/18.obj", "4.02741455078")</f>
        <v>4.02741455078</v>
      </c>
      <c r="V19" s="13" t="str">
        <f>HYPERLINK(AB2 &amp; "/bolt/sn_db380d405d54740539955b1c85a5fc2d/rendering/19.obj", "4.18024169922")</f>
        <v>4.18024169922</v>
      </c>
      <c r="W19" s="12" t="s">
        <v>31</v>
      </c>
      <c r="X19" s="13">
        <v>4.1841809234619154</v>
      </c>
      <c r="Y19" s="13">
        <v>0.1599102266227739</v>
      </c>
      <c r="Z19" s="23">
        <v>3.8217808825165983E-2</v>
      </c>
    </row>
    <row r="20" spans="1:26" x14ac:dyDescent="0.2">
      <c r="A20" s="1">
        <v>18</v>
      </c>
      <c r="B20" s="2" t="s">
        <v>36</v>
      </c>
      <c r="C20" s="47" t="str">
        <f>HYPERLINK(AB2 &amp; "/bolt/sn_db380d405d54740539955b1c85a5fc2d/rendering/00.obj", "4.81666707993")</f>
        <v>4.81666707993</v>
      </c>
      <c r="D20" s="72" t="str">
        <f>HYPERLINK(AB2 &amp; "/bolt/sn_db380d405d54740539955b1c85a5fc2d/rendering/01.obj", "4.62407588959")</f>
        <v>4.62407588959</v>
      </c>
      <c r="E20" s="46" t="str">
        <f>HYPERLINK(AB2 &amp; "/bolt/sn_db380d405d54740539955b1c85a5fc2d/rendering/02.obj", "4.86282396317")</f>
        <v>4.86282396317</v>
      </c>
      <c r="F20" s="41" t="str">
        <f>HYPERLINK(AB2 &amp; "/bolt/sn_db380d405d54740539955b1c85a5fc2d/rendering/03.obj", "4.45579481125")</f>
        <v>4.45579481125</v>
      </c>
      <c r="G20" s="32" t="str">
        <f>HYPERLINK(AB2 &amp; "/bolt/sn_db380d405d54740539955b1c85a5fc2d/rendering/04.obj", "4.27645778656")</f>
        <v>4.27645778656</v>
      </c>
      <c r="H20" s="91" t="str">
        <f>HYPERLINK(AB2 &amp; "/bolt/sn_db380d405d54740539955b1c85a5fc2d/rendering/05.obj", "4.9122133255")</f>
        <v>4.9122133255</v>
      </c>
      <c r="I20" s="48" t="str">
        <f>HYPERLINK(AB2 &amp; "/bolt/sn_db380d405d54740539955b1c85a5fc2d/rendering/06.obj", "4.66291427612")</f>
        <v>4.66291427612</v>
      </c>
      <c r="J20" s="30" t="str">
        <f>HYPERLINK(AB2 &amp; "/bolt/sn_db380d405d54740539955b1c85a5fc2d/rendering/07.obj", "4.75649690628")</f>
        <v>4.75649690628</v>
      </c>
      <c r="K20" s="17" t="str">
        <f>HYPERLINK(AB2 &amp; "/bolt/sn_db380d405d54740539955b1c85a5fc2d/rendering/08.obj", "4.68486881256")</f>
        <v>4.68486881256</v>
      </c>
      <c r="L20" s="23" t="str">
        <f>HYPERLINK(AB2 &amp; "/bolt/sn_db380d405d54740539955b1c85a5fc2d/rendering/09.obj", "4.9614367485")</f>
        <v>4.9614367485</v>
      </c>
      <c r="M20" s="47" t="str">
        <f>HYPERLINK(AB2 &amp; "/bolt/sn_db380d405d54740539955b1c85a5fc2d/rendering/10.obj", "4.82009553909")</f>
        <v>4.82009553909</v>
      </c>
      <c r="N20" s="91" t="str">
        <f>HYPERLINK(AB2 &amp; "/bolt/sn_db380d405d54740539955b1c85a5fc2d/rendering/11.obj", "4.90453577042")</f>
        <v>4.90453577042</v>
      </c>
      <c r="O20" s="25" t="str">
        <f>HYPERLINK(AB2 &amp; "/bolt/sn_db380d405d54740539955b1c85a5fc2d/rendering/12.obj", "4.72493553162")</f>
        <v>4.72493553162</v>
      </c>
      <c r="P20" s="17" t="str">
        <f>HYPERLINK(AB2 &amp; "/bolt/sn_db380d405d54740539955b1c85a5fc2d/rendering/13.obj", "4.87509679794")</f>
        <v>4.87509679794</v>
      </c>
      <c r="Q20" s="13" t="str">
        <f>HYPERLINK(AB2 &amp; "/bolt/sn_db380d405d54740539955b1c85a5fc2d/rendering/14.obj", "4.77158975601")</f>
        <v>4.77158975601</v>
      </c>
      <c r="R20" s="47" t="str">
        <f>HYPERLINK(AB2 &amp; "/bolt/sn_db380d405d54740539955b1c85a5fc2d/rendering/15.obj", "4.74166679382")</f>
        <v>4.74166679382</v>
      </c>
      <c r="S20" s="68" t="str">
        <f>HYPERLINK(AB2 &amp; "/bolt/sn_db380d405d54740539955b1c85a5fc2d/rendering/16.obj", "4.97572469711")</f>
        <v>4.97572469711</v>
      </c>
      <c r="T20" s="46" t="str">
        <f>HYPERLINK(AB2 &amp; "/bolt/sn_db380d405d54740539955b1c85a5fc2d/rendering/17.obj", "4.85763406754")</f>
        <v>4.85763406754</v>
      </c>
      <c r="U20" s="69" t="str">
        <f>HYPERLINK(AB2 &amp; "/bolt/sn_db380d405d54740539955b1c85a5fc2d/rendering/18.obj", "4.91756296158")</f>
        <v>4.91756296158</v>
      </c>
      <c r="V20" s="23" t="str">
        <f>HYPERLINK(AB2 &amp; "/bolt/sn_db380d405d54740539955b1c85a5fc2d/rendering/19.obj", "4.96186590195")</f>
        <v>4.96186590195</v>
      </c>
      <c r="W20" s="12" t="s">
        <v>32</v>
      </c>
      <c r="X20" s="13">
        <v>4.7782228708267214</v>
      </c>
      <c r="Y20" s="13">
        <v>0.1720312078429676</v>
      </c>
      <c r="Z20" s="73">
        <v>3.6003177853695008E-2</v>
      </c>
    </row>
    <row r="21" spans="1:26" x14ac:dyDescent="0.2">
      <c r="A21" s="1">
        <v>19</v>
      </c>
      <c r="B21" s="2" t="s">
        <v>36</v>
      </c>
      <c r="C21" s="13" t="str">
        <f>HYPERLINK(AC2 &amp; "/bolt/sn_db380d405d54740539955b1c85a5fc2d/rendering/00.xyz", "0.0")</f>
        <v>0.0</v>
      </c>
      <c r="D21" s="13" t="str">
        <f>HYPERLINK(AC2 &amp; "/bolt/sn_db380d405d54740539955b1c85a5fc2d/rendering/01.xyz", "0.0")</f>
        <v>0.0</v>
      </c>
      <c r="E21" s="13" t="str">
        <f>HYPERLINK(AC2 &amp; "/bolt/sn_db380d405d54740539955b1c85a5fc2d/rendering/02.xyz", "0.0")</f>
        <v>0.0</v>
      </c>
      <c r="F21" s="13" t="str">
        <f>HYPERLINK(AC2 &amp; "/bolt/sn_db380d405d54740539955b1c85a5fc2d/rendering/03.xyz", "0.0")</f>
        <v>0.0</v>
      </c>
      <c r="G21" s="13" t="str">
        <f>HYPERLINK(AC2 &amp; "/bolt/sn_db380d405d54740539955b1c85a5fc2d/rendering/04.xyz", "0.0")</f>
        <v>0.0</v>
      </c>
      <c r="H21" s="13" t="str">
        <f>HYPERLINK(AC2 &amp; "/bolt/sn_db380d405d54740539955b1c85a5fc2d/rendering/05.xyz", "0.0")</f>
        <v>0.0</v>
      </c>
      <c r="I21" s="13" t="str">
        <f>HYPERLINK(AC2 &amp; "/bolt/sn_db380d405d54740539955b1c85a5fc2d/rendering/06.xyz", "0.0")</f>
        <v>0.0</v>
      </c>
      <c r="J21" s="13" t="str">
        <f>HYPERLINK(AC2 &amp; "/bolt/sn_db380d405d54740539955b1c85a5fc2d/rendering/07.xyz", "0.0")</f>
        <v>0.0</v>
      </c>
      <c r="K21" s="13" t="str">
        <f>HYPERLINK(AC2 &amp; "/bolt/sn_db380d405d54740539955b1c85a5fc2d/rendering/08.xyz", "0.0")</f>
        <v>0.0</v>
      </c>
      <c r="L21" s="13" t="str">
        <f>HYPERLINK(AC2 &amp; "/bolt/sn_db380d405d54740539955b1c85a5fc2d/rendering/09.xyz", "0.0")</f>
        <v>0.0</v>
      </c>
      <c r="M21" s="13" t="str">
        <f>HYPERLINK(AC2 &amp; "/bolt/sn_db380d405d54740539955b1c85a5fc2d/rendering/10.xyz", "0.0")</f>
        <v>0.0</v>
      </c>
      <c r="N21" s="13" t="str">
        <f>HYPERLINK(AC2 &amp; "/bolt/sn_db380d405d54740539955b1c85a5fc2d/rendering/11.xyz", "0.0")</f>
        <v>0.0</v>
      </c>
      <c r="O21" s="13" t="str">
        <f>HYPERLINK(AC2 &amp; "/bolt/sn_db380d405d54740539955b1c85a5fc2d/rendering/12.xyz", "0.0")</f>
        <v>0.0</v>
      </c>
      <c r="P21" s="13" t="str">
        <f>HYPERLINK(AC2 &amp; "/bolt/sn_db380d405d54740539955b1c85a5fc2d/rendering/13.xyz", "0.0")</f>
        <v>0.0</v>
      </c>
      <c r="Q21" s="13" t="str">
        <f>HYPERLINK(AC2 &amp; "/bolt/sn_db380d405d54740539955b1c85a5fc2d/rendering/14.xyz", "0.0")</f>
        <v>0.0</v>
      </c>
      <c r="R21" s="13" t="str">
        <f>HYPERLINK(AC2 &amp; "/bolt/sn_db380d405d54740539955b1c85a5fc2d/rendering/15.xyz", "0.0")</f>
        <v>0.0</v>
      </c>
      <c r="S21" s="13" t="str">
        <f>HYPERLINK(AC2 &amp; "/bolt/sn_db380d405d54740539955b1c85a5fc2d/rendering/16.xyz", "0.0")</f>
        <v>0.0</v>
      </c>
      <c r="T21" s="13" t="str">
        <f>HYPERLINK(AC2 &amp; "/bolt/sn_db380d405d54740539955b1c85a5fc2d/rendering/17.xyz", "0.0")</f>
        <v>0.0</v>
      </c>
      <c r="U21" s="13" t="str">
        <f>HYPERLINK(AC2 &amp; "/bolt/sn_db380d405d54740539955b1c85a5fc2d/rendering/18.xyz", "0.0")</f>
        <v>0.0</v>
      </c>
      <c r="V21" s="13" t="str">
        <f>HYPERLINK(AC2 &amp; "/bolt/sn_db380d405d54740539955b1c85a5fc2d/rendering/19.xyz", "0.0")</f>
        <v>0.0</v>
      </c>
      <c r="W21" s="12" t="s">
        <v>33</v>
      </c>
      <c r="X21" s="13">
        <v>0</v>
      </c>
      <c r="Y21" s="13">
        <v>0</v>
      </c>
      <c r="Z21" s="13">
        <v>0</v>
      </c>
    </row>
    <row r="22" spans="1:26" x14ac:dyDescent="0.2">
      <c r="A22" s="1">
        <v>20</v>
      </c>
      <c r="B22" s="2" t="s">
        <v>37</v>
      </c>
      <c r="C22" s="92" t="str">
        <f>HYPERLINK(AA2 &amp; "/bolt/sn_e20adc719974695ccd7ecf32c7a32daa/rendering/00.obj", "4.22470275879")</f>
        <v>4.22470275879</v>
      </c>
      <c r="D22" s="80" t="str">
        <f>HYPERLINK(AA2 &amp; "/bolt/sn_e20adc719974695ccd7ecf32c7a32daa/rendering/01.obj", "4.09899108887")</f>
        <v>4.09899108887</v>
      </c>
      <c r="E22" s="72" t="str">
        <f>HYPERLINK(AA2 &amp; "/bolt/sn_e20adc719974695ccd7ecf32c7a32daa/rendering/02.obj", "4.66566192627")</f>
        <v>4.66566192627</v>
      </c>
      <c r="F22" s="68" t="str">
        <f>HYPERLINK(AA2 &amp; "/bolt/sn_e20adc719974695ccd7ecf32c7a32daa/rendering/03.obj", "4.62417114258")</f>
        <v>4.62417114258</v>
      </c>
      <c r="G22" s="25" t="str">
        <f>HYPERLINK(AA2 &amp; "/bolt/sn_e20adc719974695ccd7ecf32c7a32daa/rendering/04.obj", "4.87278259277")</f>
        <v>4.87278259277</v>
      </c>
      <c r="H22" s="24" t="str">
        <f>HYPERLINK(AA2 &amp; "/bolt/sn_e20adc719974695ccd7ecf32c7a32daa/rendering/05.obj", "4.01749053955")</f>
        <v>4.01749053955</v>
      </c>
      <c r="I22" s="4" t="str">
        <f>HYPERLINK(AA2 &amp; "/bolt/sn_e20adc719974695ccd7ecf32c7a32daa/rendering/06.obj", "6.19755126953")</f>
        <v>6.19755126953</v>
      </c>
      <c r="J22" s="72" t="str">
        <f>HYPERLINK(AA2 &amp; "/bolt/sn_e20adc719974695ccd7ecf32c7a32daa/rendering/07.obj", "4.67041564941")</f>
        <v>4.67041564941</v>
      </c>
      <c r="K22" s="17" t="str">
        <f>HYPERLINK(AA2 &amp; "/bolt/sn_e20adc719974695ccd7ecf32c7a32daa/rendering/08.obj", "4.9240133667")</f>
        <v>4.9240133667</v>
      </c>
      <c r="L22" s="46" t="str">
        <f>HYPERLINK(AA2 &amp; "/bolt/sn_e20adc719974695ccd7ecf32c7a32daa/rendering/09.obj", "4.89916656494")</f>
        <v>4.89916656494</v>
      </c>
      <c r="M22" s="60" t="str">
        <f>HYPERLINK(AA2 &amp; "/bolt/sn_e20adc719974695ccd7ecf32c7a32daa/rendering/10.obj", "4.56707183838")</f>
        <v>4.56707183838</v>
      </c>
      <c r="N22" s="95" t="str">
        <f>HYPERLINK(AA2 &amp; "/bolt/sn_e20adc719974695ccd7ecf32c7a32daa/rendering/11.obj", "6.18366455078")</f>
        <v>6.18366455078</v>
      </c>
      <c r="O22" s="78" t="str">
        <f>HYPERLINK(AA2 &amp; "/bolt/sn_e20adc719974695ccd7ecf32c7a32daa/rendering/12.obj", "4.5238861084")</f>
        <v>4.5238861084</v>
      </c>
      <c r="P22" s="92" t="str">
        <f>HYPERLINK(AA2 &amp; "/bolt/sn_e20adc719974695ccd7ecf32c7a32daa/rendering/13.obj", "4.22931640625")</f>
        <v>4.22931640625</v>
      </c>
      <c r="Q22" s="17" t="str">
        <f>HYPERLINK(AA2 &amp; "/bolt/sn_e20adc719974695ccd7ecf32c7a32daa/rendering/14.obj", "4.91419250488")</f>
        <v>4.91419250488</v>
      </c>
      <c r="R22" s="80" t="str">
        <f>HYPERLINK(AA2 &amp; "/bolt/sn_e20adc719974695ccd7ecf32c7a32daa/rendering/15.obj", "5.54645019531")</f>
        <v>5.54645019531</v>
      </c>
      <c r="S22" s="60" t="str">
        <f>HYPERLINK(AA2 &amp; "/bolt/sn_e20adc719974695ccd7ecf32c7a32daa/rendering/16.obj", "4.56827697754")</f>
        <v>4.56827697754</v>
      </c>
      <c r="T22" s="90" t="str">
        <f>HYPERLINK(AA2 &amp; "/bolt/sn_e20adc719974695ccd7ecf32c7a32daa/rendering/17.obj", "4.36101501465")</f>
        <v>4.36101501465</v>
      </c>
      <c r="U22" s="68" t="str">
        <f>HYPERLINK(AA2 &amp; "/bolt/sn_e20adc719974695ccd7ecf32c7a32daa/rendering/18.obj", "4.61872558594")</f>
        <v>4.61872558594</v>
      </c>
      <c r="V22" s="55" t="str">
        <f>HYPERLINK(AA2 &amp; "/bolt/sn_e20adc719974695ccd7ecf32c7a32daa/rendering/19.obj", "5.75885009766")</f>
        <v>5.75885009766</v>
      </c>
      <c r="W22" s="12" t="s">
        <v>29</v>
      </c>
      <c r="X22" s="13">
        <v>4.82331980895996</v>
      </c>
      <c r="Y22" s="13">
        <v>0.61696137919247018</v>
      </c>
      <c r="Z22" s="70">
        <v>0.12791218572037921</v>
      </c>
    </row>
    <row r="23" spans="1:26" x14ac:dyDescent="0.2">
      <c r="A23" s="1">
        <v>21</v>
      </c>
      <c r="B23" s="2" t="s">
        <v>37</v>
      </c>
      <c r="C23" s="96" t="str">
        <f>HYPERLINK(AA2 &amp; "/bolt/sn_e20adc719974695ccd7ecf32c7a32daa/rendering/00.obj", "1.267359972")</f>
        <v>1.267359972</v>
      </c>
      <c r="D23" s="97" t="str">
        <f>HYPERLINK(AA2 &amp; "/bolt/sn_e20adc719974695ccd7ecf32c7a32daa/rendering/01.obj", "1.12255585194")</f>
        <v>1.12255585194</v>
      </c>
      <c r="E23" s="43" t="str">
        <f>HYPERLINK(AA2 &amp; "/bolt/sn_e20adc719974695ccd7ecf32c7a32daa/rendering/02.obj", "1.24540913105")</f>
        <v>1.24540913105</v>
      </c>
      <c r="F23" s="75" t="str">
        <f>HYPERLINK(AA2 &amp; "/bolt/sn_e20adc719974695ccd7ecf32c7a32daa/rendering/03.obj", "1.54788315296")</f>
        <v>1.54788315296</v>
      </c>
      <c r="G23" s="19" t="str">
        <f>HYPERLINK(AA2 &amp; "/bolt/sn_e20adc719974695ccd7ecf32c7a32daa/rendering/04.obj", "1.46897685528")</f>
        <v>1.46897685528</v>
      </c>
      <c r="H23" s="89" t="str">
        <f>HYPERLINK(AA2 &amp; "/bolt/sn_e20adc719974695ccd7ecf32c7a32daa/rendering/05.obj", "1.47135686874")</f>
        <v>1.47135686874</v>
      </c>
      <c r="I23" s="20" t="str">
        <f>HYPERLINK(AA2 &amp; "/bolt/sn_e20adc719974695ccd7ecf32c7a32daa/rendering/06.obj", "4.32736587524")</f>
        <v>4.32736587524</v>
      </c>
      <c r="J23" s="57" t="str">
        <f>HYPERLINK(AA2 &amp; "/bolt/sn_e20adc719974695ccd7ecf32c7a32daa/rendering/07.obj", "1.36228168011")</f>
        <v>1.36228168011</v>
      </c>
      <c r="K23" s="27" t="str">
        <f>HYPERLINK(AA2 &amp; "/bolt/sn_e20adc719974695ccd7ecf32c7a32daa/rendering/08.obj", "1.84780299664")</f>
        <v>1.84780299664</v>
      </c>
      <c r="L23" s="98" t="str">
        <f>HYPERLINK(AA2 &amp; "/bolt/sn_e20adc719974695ccd7ecf32c7a32daa/rendering/09.obj", "2.44845294952")</f>
        <v>2.44845294952</v>
      </c>
      <c r="M23" s="99" t="str">
        <f>HYPERLINK(AA2 &amp; "/bolt/sn_e20adc719974695ccd7ecf32c7a32daa/rendering/10.obj", "1.44894969463")</f>
        <v>1.44894969463</v>
      </c>
      <c r="N23" s="20" t="str">
        <f>HYPERLINK(AA2 &amp; "/bolt/sn_e20adc719974695ccd7ecf32c7a32daa/rendering/11.obj", "4.88351583481")</f>
        <v>4.88351583481</v>
      </c>
      <c r="O23" s="100" t="str">
        <f>HYPERLINK(AA2 &amp; "/bolt/sn_e20adc719974695ccd7ecf32c7a32daa/rendering/12.obj", "1.39240908623")</f>
        <v>1.39240908623</v>
      </c>
      <c r="P23" s="101" t="str">
        <f>HYPERLINK(AA2 &amp; "/bolt/sn_e20adc719974695ccd7ecf32c7a32daa/rendering/13.obj", "1.2391294241")</f>
        <v>1.2391294241</v>
      </c>
      <c r="Q23" s="77" t="str">
        <f>HYPERLINK(AA2 &amp; "/bolt/sn_e20adc719974695ccd7ecf32c7a32daa/rendering/14.obj", "1.61602163315")</f>
        <v>1.61602163315</v>
      </c>
      <c r="R23" s="102" t="str">
        <f>HYPERLINK(AA2 &amp; "/bolt/sn_e20adc719974695ccd7ecf32c7a32daa/rendering/15.obj", "2.97761464119")</f>
        <v>2.97761464119</v>
      </c>
      <c r="S23" s="103" t="str">
        <f>HYPERLINK(AA2 &amp; "/bolt/sn_e20adc719974695ccd7ecf32c7a32daa/rendering/16.obj", "1.34445154667")</f>
        <v>1.34445154667</v>
      </c>
      <c r="T23" s="74" t="str">
        <f>HYPERLINK(AA2 &amp; "/bolt/sn_e20adc719974695ccd7ecf32c7a32daa/rendering/17.obj", "1.95775067806")</f>
        <v>1.95775067806</v>
      </c>
      <c r="U23" s="27" t="str">
        <f>HYPERLINK(AA2 &amp; "/bolt/sn_e20adc719974695ccd7ecf32c7a32daa/rendering/18.obj", "1.85041630268")</f>
        <v>1.85041630268</v>
      </c>
      <c r="V23" s="104" t="str">
        <f>HYPERLINK(AA2 &amp; "/bolt/sn_e20adc719974695ccd7ecf32c7a32daa/rendering/19.obj", "2.93232941628")</f>
        <v>2.93232941628</v>
      </c>
      <c r="W23" s="12" t="s">
        <v>30</v>
      </c>
      <c r="X23" s="13">
        <v>1.9876016795635221</v>
      </c>
      <c r="Y23" s="13">
        <v>1.0168376154677099</v>
      </c>
      <c r="Z23" s="105">
        <v>0.51159023758271704</v>
      </c>
    </row>
    <row r="24" spans="1:26" x14ac:dyDescent="0.2">
      <c r="A24" s="1">
        <v>22</v>
      </c>
      <c r="B24" s="2" t="s">
        <v>37</v>
      </c>
      <c r="C24" s="25" t="str">
        <f>HYPERLINK(AB2 &amp; "/bolt/sn_e20adc719974695ccd7ecf32c7a32daa/rendering/00.obj", "3.80846130371")</f>
        <v>3.80846130371</v>
      </c>
      <c r="D24" s="17" t="str">
        <f>HYPERLINK(AB2 &amp; "/bolt/sn_e20adc719974695ccd7ecf32c7a32daa/rendering/01.obj", "3.92782653809")</f>
        <v>3.92782653809</v>
      </c>
      <c r="E24" s="106" t="str">
        <f>HYPERLINK(AB2 &amp; "/bolt/sn_e20adc719974695ccd7ecf32c7a32daa/rendering/02.obj", "3.40771789551")</f>
        <v>3.40771789551</v>
      </c>
      <c r="F24" s="72" t="str">
        <f>HYPERLINK(AB2 &amp; "/bolt/sn_e20adc719974695ccd7ecf32c7a32daa/rendering/03.obj", "3.98581115723")</f>
        <v>3.98581115723</v>
      </c>
      <c r="G24" s="30" t="str">
        <f>HYPERLINK(AB2 &amp; "/bolt/sn_e20adc719974695ccd7ecf32c7a32daa/rendering/04.obj", "3.83145446777")</f>
        <v>3.83145446777</v>
      </c>
      <c r="H24" s="46" t="str">
        <f>HYPERLINK(AB2 &amp; "/bolt/sn_e20adc719974695ccd7ecf32c7a32daa/rendering/05.obj", "3.78758636475")</f>
        <v>3.78758636475</v>
      </c>
      <c r="I24" s="25" t="str">
        <f>HYPERLINK(AB2 &amp; "/bolt/sn_e20adc719974695ccd7ecf32c7a32daa/rendering/06.obj", "3.81287841797")</f>
        <v>3.81287841797</v>
      </c>
      <c r="J24" s="107" t="str">
        <f>HYPERLINK(AB2 &amp; "/bolt/sn_e20adc719974695ccd7ecf32c7a32daa/rendering/07.obj", "4.16796875")</f>
        <v>4.16796875</v>
      </c>
      <c r="K24" s="74" t="str">
        <f>HYPERLINK(AB2 &amp; "/bolt/sn_e20adc719974695ccd7ecf32c7a32daa/rendering/08.obj", "3.90217346191")</f>
        <v>3.90217346191</v>
      </c>
      <c r="L24" s="107" t="str">
        <f>HYPERLINK(AB2 &amp; "/bolt/sn_e20adc719974695ccd7ecf32c7a32daa/rendering/09.obj", "3.53381011963")</f>
        <v>3.53381011963</v>
      </c>
      <c r="M24" s="25" t="str">
        <f>HYPERLINK(AB2 &amp; "/bolt/sn_e20adc719974695ccd7ecf32c7a32daa/rendering/10.obj", "3.89196014404")</f>
        <v>3.89196014404</v>
      </c>
      <c r="N24" s="28" t="str">
        <f>HYPERLINK(AB2 &amp; "/bolt/sn_e20adc719974695ccd7ecf32c7a32daa/rendering/11.obj", "4.28842071533")</f>
        <v>4.28842071533</v>
      </c>
      <c r="O24" s="72" t="str">
        <f>HYPERLINK(AB2 &amp; "/bolt/sn_e20adc719974695ccd7ecf32c7a32daa/rendering/12.obj", "3.72691589355")</f>
        <v>3.72691589355</v>
      </c>
      <c r="P24" s="74" t="str">
        <f>HYPERLINK(AB2 &amp; "/bolt/sn_e20adc719974695ccd7ecf32c7a32daa/rendering/13.obj", "3.79950073242")</f>
        <v>3.79950073242</v>
      </c>
      <c r="Q24" s="13" t="str">
        <f>HYPERLINK(AB2 &amp; "/bolt/sn_e20adc719974695ccd7ecf32c7a32daa/rendering/14.obj", "3.86249633789")</f>
        <v>3.86249633789</v>
      </c>
      <c r="R24" s="108" t="str">
        <f>HYPERLINK(AB2 &amp; "/bolt/sn_e20adc719974695ccd7ecf32c7a32daa/rendering/15.obj", "4.80168273926")</f>
        <v>4.80168273926</v>
      </c>
      <c r="S24" s="69" t="str">
        <f>HYPERLINK(AB2 &amp; "/bolt/sn_e20adc719974695ccd7ecf32c7a32daa/rendering/16.obj", "3.74436004639")</f>
        <v>3.74436004639</v>
      </c>
      <c r="T24" s="10" t="str">
        <f>HYPERLINK(AB2 &amp; "/bolt/sn_e20adc719974695ccd7ecf32c7a32daa/rendering/17.obj", "3.64159301758")</f>
        <v>3.64159301758</v>
      </c>
      <c r="U24" s="38" t="str">
        <f>HYPERLINK(AB2 &amp; "/bolt/sn_e20adc719974695ccd7ecf32c7a32daa/rendering/18.obj", "3.50339691162")</f>
        <v>3.50339691162</v>
      </c>
      <c r="V24" s="10" t="str">
        <f>HYPERLINK(AB2 &amp; "/bolt/sn_e20adc719974695ccd7ecf32c7a32daa/rendering/19.obj", "3.64377990723")</f>
        <v>3.64377990723</v>
      </c>
      <c r="W24" s="12" t="s">
        <v>31</v>
      </c>
      <c r="X24" s="13">
        <v>3.8534897460937501</v>
      </c>
      <c r="Y24" s="13">
        <v>0.29713631443405608</v>
      </c>
      <c r="Z24" s="5">
        <v>7.710837033762985E-2</v>
      </c>
    </row>
    <row r="25" spans="1:26" x14ac:dyDescent="0.2">
      <c r="A25" s="1">
        <v>23</v>
      </c>
      <c r="B25" s="2" t="s">
        <v>37</v>
      </c>
      <c r="C25" s="76" t="str">
        <f>HYPERLINK(AB2 &amp; "/bolt/sn_e20adc719974695ccd7ecf32c7a32daa/rendering/00.obj", "1.09109807014")</f>
        <v>1.09109807014</v>
      </c>
      <c r="D25" s="106" t="str">
        <f>HYPERLINK(AB2 &amp; "/bolt/sn_e20adc719974695ccd7ecf32c7a32daa/rendering/01.obj", "1.18267273903")</f>
        <v>1.18267273903</v>
      </c>
      <c r="E25" s="67" t="str">
        <f>HYPERLINK(AB2 &amp; "/bolt/sn_e20adc719974695ccd7ecf32c7a32daa/rendering/02.obj", "1.21038866043")</f>
        <v>1.21038866043</v>
      </c>
      <c r="F25" s="109" t="str">
        <f>HYPERLINK(AB2 &amp; "/bolt/sn_e20adc719974695ccd7ecf32c7a32daa/rendering/03.obj", "1.08190917969")</f>
        <v>1.08190917969</v>
      </c>
      <c r="G25" s="110" t="str">
        <f>HYPERLINK(AB2 &amp; "/bolt/sn_e20adc719974695ccd7ecf32c7a32daa/rendering/04.obj", "1.46452736855")</f>
        <v>1.46452736855</v>
      </c>
      <c r="H25" s="79" t="str">
        <f>HYPERLINK(AB2 &amp; "/bolt/sn_e20adc719974695ccd7ecf32c7a32daa/rendering/05.obj", "1.12291359901")</f>
        <v>1.12291359901</v>
      </c>
      <c r="I25" s="5" t="str">
        <f>HYPERLINK(AB2 &amp; "/bolt/sn_e20adc719974695ccd7ecf32c7a32daa/rendering/06.obj", "1.2308601141")</f>
        <v>1.2308601141</v>
      </c>
      <c r="J25" s="72" t="str">
        <f>HYPERLINK(AB2 &amp; "/bolt/sn_e20adc719974695ccd7ecf32c7a32daa/rendering/07.obj", "1.2888314724")</f>
        <v>1.2888314724</v>
      </c>
      <c r="K25" s="94" t="str">
        <f>HYPERLINK(AB2 &amp; "/bolt/sn_e20adc719974695ccd7ecf32c7a32daa/rendering/08.obj", "1.43319892883")</f>
        <v>1.43319892883</v>
      </c>
      <c r="L25" s="74" t="str">
        <f>HYPERLINK(AB2 &amp; "/bolt/sn_e20adc719974695ccd7ecf32c7a32daa/rendering/09.obj", "1.3524055481")</f>
        <v>1.3524055481</v>
      </c>
      <c r="M25" s="31" t="str">
        <f>HYPERLINK(AB2 &amp; "/bolt/sn_e20adc719974695ccd7ecf32c7a32daa/rendering/10.obj", "1.12692821026")</f>
        <v>1.12692821026</v>
      </c>
      <c r="N25" s="111" t="str">
        <f>HYPERLINK(AB2 &amp; "/bolt/sn_e20adc719974695ccd7ecf32c7a32daa/rendering/11.obj", "1.89818298817")</f>
        <v>1.89818298817</v>
      </c>
      <c r="O25" s="92" t="str">
        <f>HYPERLINK(AB2 &amp; "/bolt/sn_e20adc719974695ccd7ecf32c7a32daa/rendering/12.obj", "1.16849446297")</f>
        <v>1.16849446297</v>
      </c>
      <c r="P25" s="19" t="str">
        <f>HYPERLINK(AB2 &amp; "/bolt/sn_e20adc719974695ccd7ecf32c7a32daa/rendering/13.obj", "1.68190205097")</f>
        <v>1.68190205097</v>
      </c>
      <c r="Q25" s="33" t="str">
        <f>HYPERLINK(AB2 &amp; "/bolt/sn_e20adc719974695ccd7ecf32c7a32daa/rendering/14.obj", "1.19137787819")</f>
        <v>1.19137787819</v>
      </c>
      <c r="R25" s="112" t="str">
        <f>HYPERLINK(AB2 &amp; "/bolt/sn_e20adc719974695ccd7ecf32c7a32daa/rendering/15.obj", "2.12832665443")</f>
        <v>2.12832665443</v>
      </c>
      <c r="S25" s="38" t="str">
        <f>HYPERLINK(AB2 &amp; "/bolt/sn_e20adc719974695ccd7ecf32c7a32daa/rendering/16.obj", "1.45165979862")</f>
        <v>1.45165979862</v>
      </c>
      <c r="T25" s="34" t="str">
        <f>HYPERLINK(AB2 &amp; "/bolt/sn_e20adc719974695ccd7ecf32c7a32daa/rendering/17.obj", "1.26731467247")</f>
        <v>1.26731467247</v>
      </c>
      <c r="U25" s="76" t="str">
        <f>HYPERLINK(AB2 &amp; "/bolt/sn_e20adc719974695ccd7ecf32c7a32daa/rendering/18.obj", "1.08766591549")</f>
        <v>1.08766591549</v>
      </c>
      <c r="V25" s="38" t="str">
        <f>HYPERLINK(AB2 &amp; "/bolt/sn_e20adc719974695ccd7ecf32c7a32daa/rendering/19.obj", "1.21661579609")</f>
        <v>1.21661579609</v>
      </c>
      <c r="W25" s="12" t="s">
        <v>32</v>
      </c>
      <c r="X25" s="13">
        <v>1.333863705396652</v>
      </c>
      <c r="Y25" s="13">
        <v>0.27375516748007978</v>
      </c>
      <c r="Z25" s="82">
        <v>0.20523473753165281</v>
      </c>
    </row>
    <row r="26" spans="1:26" x14ac:dyDescent="0.2">
      <c r="A26" s="1">
        <v>24</v>
      </c>
      <c r="B26" s="2" t="s">
        <v>37</v>
      </c>
      <c r="C26" s="13" t="str">
        <f>HYPERLINK(AC2 &amp; "/bolt/sn_e20adc719974695ccd7ecf32c7a32daa/rendering/00.xyz", "0.0")</f>
        <v>0.0</v>
      </c>
      <c r="D26" s="13" t="str">
        <f>HYPERLINK(AC2 &amp; "/bolt/sn_e20adc719974695ccd7ecf32c7a32daa/rendering/01.xyz", "0.0")</f>
        <v>0.0</v>
      </c>
      <c r="E26" s="13" t="str">
        <f>HYPERLINK(AC2 &amp; "/bolt/sn_e20adc719974695ccd7ecf32c7a32daa/rendering/02.xyz", "0.0")</f>
        <v>0.0</v>
      </c>
      <c r="F26" s="13" t="str">
        <f>HYPERLINK(AC2 &amp; "/bolt/sn_e20adc719974695ccd7ecf32c7a32daa/rendering/03.xyz", "0.0")</f>
        <v>0.0</v>
      </c>
      <c r="G26" s="13" t="str">
        <f>HYPERLINK(AC2 &amp; "/bolt/sn_e20adc719974695ccd7ecf32c7a32daa/rendering/04.xyz", "0.0")</f>
        <v>0.0</v>
      </c>
      <c r="H26" s="13" t="str">
        <f>HYPERLINK(AC2 &amp; "/bolt/sn_e20adc719974695ccd7ecf32c7a32daa/rendering/05.xyz", "0.0")</f>
        <v>0.0</v>
      </c>
      <c r="I26" s="13" t="str">
        <f>HYPERLINK(AC2 &amp; "/bolt/sn_e20adc719974695ccd7ecf32c7a32daa/rendering/06.xyz", "0.0")</f>
        <v>0.0</v>
      </c>
      <c r="J26" s="13" t="str">
        <f>HYPERLINK(AC2 &amp; "/bolt/sn_e20adc719974695ccd7ecf32c7a32daa/rendering/07.xyz", "0.0")</f>
        <v>0.0</v>
      </c>
      <c r="K26" s="13" t="str">
        <f>HYPERLINK(AC2 &amp; "/bolt/sn_e20adc719974695ccd7ecf32c7a32daa/rendering/08.xyz", "0.0")</f>
        <v>0.0</v>
      </c>
      <c r="L26" s="13" t="str">
        <f>HYPERLINK(AC2 &amp; "/bolt/sn_e20adc719974695ccd7ecf32c7a32daa/rendering/09.xyz", "0.0")</f>
        <v>0.0</v>
      </c>
      <c r="M26" s="13" t="str">
        <f>HYPERLINK(AC2 &amp; "/bolt/sn_e20adc719974695ccd7ecf32c7a32daa/rendering/10.xyz", "0.0")</f>
        <v>0.0</v>
      </c>
      <c r="N26" s="13" t="str">
        <f>HYPERLINK(AC2 &amp; "/bolt/sn_e20adc719974695ccd7ecf32c7a32daa/rendering/11.xyz", "0.0")</f>
        <v>0.0</v>
      </c>
      <c r="O26" s="13" t="str">
        <f>HYPERLINK(AC2 &amp; "/bolt/sn_e20adc719974695ccd7ecf32c7a32daa/rendering/12.xyz", "0.0")</f>
        <v>0.0</v>
      </c>
      <c r="P26" s="13" t="str">
        <f>HYPERLINK(AC2 &amp; "/bolt/sn_e20adc719974695ccd7ecf32c7a32daa/rendering/13.xyz", "0.0")</f>
        <v>0.0</v>
      </c>
      <c r="Q26" s="13" t="str">
        <f>HYPERLINK(AC2 &amp; "/bolt/sn_e20adc719974695ccd7ecf32c7a32daa/rendering/14.xyz", "0.0")</f>
        <v>0.0</v>
      </c>
      <c r="R26" s="13" t="str">
        <f>HYPERLINK(AC2 &amp; "/bolt/sn_e20adc719974695ccd7ecf32c7a32daa/rendering/15.xyz", "0.0")</f>
        <v>0.0</v>
      </c>
      <c r="S26" s="13" t="str">
        <f>HYPERLINK(AC2 &amp; "/bolt/sn_e20adc719974695ccd7ecf32c7a32daa/rendering/16.xyz", "0.0")</f>
        <v>0.0</v>
      </c>
      <c r="T26" s="13" t="str">
        <f>HYPERLINK(AC2 &amp; "/bolt/sn_e20adc719974695ccd7ecf32c7a32daa/rendering/17.xyz", "0.0")</f>
        <v>0.0</v>
      </c>
      <c r="U26" s="13" t="str">
        <f>HYPERLINK(AC2 &amp; "/bolt/sn_e20adc719974695ccd7ecf32c7a32daa/rendering/18.xyz", "0.0")</f>
        <v>0.0</v>
      </c>
      <c r="V26" s="13" t="str">
        <f>HYPERLINK(AC2 &amp; "/bolt/sn_e20adc719974695ccd7ecf32c7a32daa/rendering/19.xyz", "0.0")</f>
        <v>0.0</v>
      </c>
      <c r="W26" s="12" t="s">
        <v>33</v>
      </c>
      <c r="X26" s="13">
        <v>0</v>
      </c>
      <c r="Y26" s="13">
        <v>0</v>
      </c>
      <c r="Z26" s="13">
        <v>0</v>
      </c>
    </row>
    <row r="27" spans="1:26" x14ac:dyDescent="0.2">
      <c r="A27" s="1">
        <v>25</v>
      </c>
      <c r="B27" s="2" t="s">
        <v>38</v>
      </c>
      <c r="C27" s="113" t="str">
        <f>HYPERLINK(AA2 &amp; "/bolt/sn_e58477f3255c8f56cd7ecf32c7a32daa/rendering/00.obj", "4.68420837402")</f>
        <v>4.68420837402</v>
      </c>
      <c r="D27" s="114" t="str">
        <f>HYPERLINK(AA2 &amp; "/bolt/sn_e58477f3255c8f56cd7ecf32c7a32daa/rendering/01.obj", "9.42755859375")</f>
        <v>9.42755859375</v>
      </c>
      <c r="E27" s="115" t="str">
        <f>HYPERLINK(AA2 &amp; "/bolt/sn_e58477f3255c8f56cd7ecf32c7a32daa/rendering/02.obj", "10.5811572266")</f>
        <v>10.5811572266</v>
      </c>
      <c r="F27" s="116" t="str">
        <f>HYPERLINK(AA2 &amp; "/bolt/sn_e58477f3255c8f56cd7ecf32c7a32daa/rendering/03.obj", "9.28486999512")</f>
        <v>9.28486999512</v>
      </c>
      <c r="G27" s="96" t="str">
        <f>HYPERLINK(AA2 &amp; "/bolt/sn_e58477f3255c8f56cd7ecf32c7a32daa/rendering/04.obj", "4.12562133789")</f>
        <v>4.12562133789</v>
      </c>
      <c r="H27" s="85" t="str">
        <f>HYPERLINK(AA2 &amp; "/bolt/sn_e58477f3255c8f56cd7ecf32c7a32daa/rendering/05.obj", "4.55703979492")</f>
        <v>4.55703979492</v>
      </c>
      <c r="I27" s="73" t="str">
        <f>HYPERLINK(AA2 &amp; "/bolt/sn_e58477f3255c8f56cd7ecf32c7a32daa/rendering/06.obj", "6.22330078125")</f>
        <v>6.22330078125</v>
      </c>
      <c r="J27" s="4" t="str">
        <f>HYPERLINK(AA2 &amp; "/bolt/sn_e58477f3255c8f56cd7ecf32c7a32daa/rendering/07.obj", "4.62449890137")</f>
        <v>4.62449890137</v>
      </c>
      <c r="K27" s="117" t="str">
        <f>HYPERLINK(AA2 &amp; "/bolt/sn_e58477f3255c8f56cd7ecf32c7a32daa/rendering/08.obj", "5.32698303223")</f>
        <v>5.32698303223</v>
      </c>
      <c r="L27" s="82" t="str">
        <f>HYPERLINK(AA2 &amp; "/bolt/sn_e58477f3255c8f56cd7ecf32c7a32daa/rendering/09.obj", "5.12613647461")</f>
        <v>5.12613647461</v>
      </c>
      <c r="M27" s="118" t="str">
        <f>HYPERLINK(AA2 &amp; "/bolt/sn_e58477f3255c8f56cd7ecf32c7a32daa/rendering/10.obj", "4.57323181152")</f>
        <v>4.57323181152</v>
      </c>
      <c r="N27" s="119" t="str">
        <f>HYPERLINK(AA2 &amp; "/bolt/sn_e58477f3255c8f56cd7ecf32c7a32daa/rendering/11.obj", "4.75804321289")</f>
        <v>4.75804321289</v>
      </c>
      <c r="O27" s="20" t="str">
        <f>HYPERLINK(AA2 &amp; "/bolt/sn_e58477f3255c8f56cd7ecf32c7a32daa/rendering/12.obj", "11.7383325195")</f>
        <v>11.7383325195</v>
      </c>
      <c r="P27" s="120" t="str">
        <f>HYPERLINK(AA2 &amp; "/bolt/sn_e58477f3255c8f56cd7ecf32c7a32daa/rendering/13.obj", "5.09806030273")</f>
        <v>5.09806030273</v>
      </c>
      <c r="Q27" s="54" t="str">
        <f>HYPERLINK(AA2 &amp; "/bolt/sn_e58477f3255c8f56cd7ecf32c7a32daa/rendering/14.obj", "4.35156677246")</f>
        <v>4.35156677246</v>
      </c>
      <c r="R27" s="109" t="str">
        <f>HYPERLINK(AA2 &amp; "/bolt/sn_e58477f3255c8f56cd7ecf32c7a32daa/rendering/15.obj", "7.70046203613")</f>
        <v>7.70046203613</v>
      </c>
      <c r="S27" s="99" t="str">
        <f>HYPERLINK(AA2 &amp; "/bolt/sn_e58477f3255c8f56cd7ecf32c7a32daa/rendering/16.obj", "4.71381896973")</f>
        <v>4.71381896973</v>
      </c>
      <c r="T27" s="121" t="str">
        <f>HYPERLINK(AA2 &amp; "/bolt/sn_e58477f3255c8f56cd7ecf32c7a32daa/rendering/17.obj", "8.74739440918")</f>
        <v>8.74739440918</v>
      </c>
      <c r="U27" s="122" t="str">
        <f>HYPERLINK(AA2 &amp; "/bolt/sn_e58477f3255c8f56cd7ecf32c7a32daa/rendering/18.obj", "9.06944458008")</f>
        <v>9.06944458008</v>
      </c>
      <c r="V27" s="118" t="str">
        <f>HYPERLINK(AA2 &amp; "/bolt/sn_e58477f3255c8f56cd7ecf32c7a32daa/rendering/19.obj", "4.5672479248")</f>
        <v>4.5672479248</v>
      </c>
      <c r="W27" s="12" t="s">
        <v>29</v>
      </c>
      <c r="X27" s="13">
        <v>6.4639488525390618</v>
      </c>
      <c r="Y27" s="13">
        <v>2.38024622071209</v>
      </c>
      <c r="Z27" s="123">
        <v>0.36823407409498943</v>
      </c>
    </row>
    <row r="28" spans="1:26" x14ac:dyDescent="0.2">
      <c r="A28" s="1">
        <v>26</v>
      </c>
      <c r="B28" s="2" t="s">
        <v>38</v>
      </c>
      <c r="C28" s="124" t="str">
        <f>HYPERLINK(AA2 &amp; "/bolt/sn_e58477f3255c8f56cd7ecf32c7a32daa/rendering/00.obj", "5.68105697632")</f>
        <v>5.68105697632</v>
      </c>
      <c r="D28" s="125" t="str">
        <f>HYPERLINK(AA2 &amp; "/bolt/sn_e58477f3255c8f56cd7ecf32c7a32daa/rendering/01.obj", "15.7217187881")</f>
        <v>15.7217187881</v>
      </c>
      <c r="E28" s="20" t="str">
        <f>HYPERLINK(AA2 &amp; "/bolt/sn_e58477f3255c8f56cd7ecf32c7a32daa/rendering/02.obj", "17.4859867096")</f>
        <v>17.4859867096</v>
      </c>
      <c r="F28" s="126" t="str">
        <f>HYPERLINK(AA2 &amp; "/bolt/sn_e58477f3255c8f56cd7ecf32c7a32daa/rendering/03.obj", "13.7853240967")</f>
        <v>13.7853240967</v>
      </c>
      <c r="G28" s="127" t="str">
        <f>HYPERLINK(AA2 &amp; "/bolt/sn_e58477f3255c8f56cd7ecf32c7a32daa/rendering/04.obj", "4.40238332748")</f>
        <v>4.40238332748</v>
      </c>
      <c r="H28" s="128" t="str">
        <f>HYPERLINK(AA2 &amp; "/bolt/sn_e58477f3255c8f56cd7ecf32c7a32daa/rendering/05.obj", "5.60083198547")</f>
        <v>5.60083198547</v>
      </c>
      <c r="I28" s="104" t="str">
        <f>HYPERLINK(AA2 &amp; "/bolt/sn_e58477f3255c8f56cd7ecf32c7a32daa/rendering/06.obj", "13.5383262634")</f>
        <v>13.5383262634</v>
      </c>
      <c r="J28" s="129" t="str">
        <f>HYPERLINK(AA2 &amp; "/bolt/sn_e58477f3255c8f56cd7ecf32c7a32daa/rendering/07.obj", "6.88509750366")</f>
        <v>6.88509750366</v>
      </c>
      <c r="K28" s="56" t="str">
        <f>HYPERLINK(AA2 &amp; "/bolt/sn_e58477f3255c8f56cd7ecf32c7a32daa/rendering/08.obj", "6.34437608719")</f>
        <v>6.34437608719</v>
      </c>
      <c r="L28" s="111" t="str">
        <f>HYPERLINK(AA2 &amp; "/bolt/sn_e58477f3255c8f56cd7ecf32c7a32daa/rendering/09.obj", "5.30943155289")</f>
        <v>5.30943155289</v>
      </c>
      <c r="M28" s="130" t="str">
        <f>HYPERLINK(AA2 &amp; "/bolt/sn_e58477f3255c8f56cd7ecf32c7a32daa/rendering/10.obj", "5.04467058182")</f>
        <v>5.04467058182</v>
      </c>
      <c r="N28" s="36" t="str">
        <f>HYPERLINK(AA2 &amp; "/bolt/sn_e58477f3255c8f56cd7ecf32c7a32daa/rendering/11.obj", "7.21179676056")</f>
        <v>7.21179676056</v>
      </c>
      <c r="O28" s="20" t="str">
        <f>HYPERLINK(AA2 &amp; "/bolt/sn_e58477f3255c8f56cd7ecf32c7a32daa/rendering/12.obj", "23.0548305511")</f>
        <v>23.0548305511</v>
      </c>
      <c r="P28" s="57" t="str">
        <f>HYPERLINK(AA2 &amp; "/bolt/sn_e58477f3255c8f56cd7ecf32c7a32daa/rendering/13.obj", "6.29505062103")</f>
        <v>6.29505062103</v>
      </c>
      <c r="Q28" s="131" t="str">
        <f>HYPERLINK(AA2 &amp; "/bolt/sn_e58477f3255c8f56cd7ecf32c7a32daa/rendering/14.obj", "4.93801355362")</f>
        <v>4.93801355362</v>
      </c>
      <c r="R28" s="38" t="str">
        <f>HYPERLINK(AA2 &amp; "/bolt/sn_e58477f3255c8f56cd7ecf32c7a32daa/rendering/15.obj", "8.36323165894")</f>
        <v>8.36323165894</v>
      </c>
      <c r="S28" s="95" t="str">
        <f>HYPERLINK(AA2 &amp; "/bolt/sn_e58477f3255c8f56cd7ecf32c7a32daa/rendering/16.obj", "6.60363721848")</f>
        <v>6.60363721848</v>
      </c>
      <c r="T28" s="8" t="str">
        <f>HYPERLINK(AA2 &amp; "/bolt/sn_e58477f3255c8f56cd7ecf32c7a32daa/rendering/17.obj", "10.4926700592")</f>
        <v>10.4926700592</v>
      </c>
      <c r="U28" s="19" t="str">
        <f>HYPERLINK(AA2 &amp; "/bolt/sn_e58477f3255c8f56cd7ecf32c7a32daa/rendering/18.obj", "11.592291832")</f>
        <v>11.592291832</v>
      </c>
      <c r="V28" s="132" t="str">
        <f>HYPERLINK(AA2 &amp; "/bolt/sn_e58477f3255c8f56cd7ecf32c7a32daa/rendering/19.obj", "5.34955453873")</f>
        <v>5.34955453873</v>
      </c>
      <c r="W28" s="12" t="s">
        <v>30</v>
      </c>
      <c r="X28" s="13">
        <v>9.1850140333175663</v>
      </c>
      <c r="Y28" s="13">
        <v>4.9873676593341223</v>
      </c>
      <c r="Z28" s="16">
        <v>0.54298966133780835</v>
      </c>
    </row>
    <row r="29" spans="1:26" x14ac:dyDescent="0.2">
      <c r="A29" s="1">
        <v>27</v>
      </c>
      <c r="B29" s="2" t="s">
        <v>38</v>
      </c>
      <c r="C29" s="35" t="str">
        <f>HYPERLINK(AB2 &amp; "/bolt/sn_e58477f3255c8f56cd7ecf32c7a32daa/rendering/00.obj", "4.79307983398")</f>
        <v>4.79307983398</v>
      </c>
      <c r="D29" s="27" t="str">
        <f>HYPERLINK(AB2 &amp; "/bolt/sn_e58477f3255c8f56cd7ecf32c7a32daa/rendering/01.obj", "4.21281311035")</f>
        <v>4.21281311035</v>
      </c>
      <c r="E29" s="73" t="str">
        <f>HYPERLINK(AB2 &amp; "/bolt/sn_e58477f3255c8f56cd7ecf32c7a32daa/rendering/02.obj", "4.6967791748")</f>
        <v>4.6967791748</v>
      </c>
      <c r="F29" s="117" t="str">
        <f>HYPERLINK(AB2 &amp; "/bolt/sn_e58477f3255c8f56cd7ecf32c7a32daa/rendering/03.obj", "5.34518066406")</f>
        <v>5.34518066406</v>
      </c>
      <c r="G29" s="92" t="str">
        <f>HYPERLINK(AB2 &amp; "/bolt/sn_e58477f3255c8f56cd7ecf32c7a32daa/rendering/04.obj", "3.96606018066")</f>
        <v>3.96606018066</v>
      </c>
      <c r="H29" s="47" t="str">
        <f>HYPERLINK(AB2 &amp; "/bolt/sn_e58477f3255c8f56cd7ecf32c7a32daa/rendering/05.obj", "4.49997009277")</f>
        <v>4.49997009277</v>
      </c>
      <c r="I29" s="26" t="str">
        <f>HYPERLINK(AB2 &amp; "/bolt/sn_e58477f3255c8f56cd7ecf32c7a32daa/rendering/06.obj", "4.82924316406")</f>
        <v>4.82924316406</v>
      </c>
      <c r="J29" s="27" t="str">
        <f>HYPERLINK(AB2 &amp; "/bolt/sn_e58477f3255c8f56cd7ecf32c7a32daa/rendering/07.obj", "4.85562866211")</f>
        <v>4.85562866211</v>
      </c>
      <c r="K29" s="91" t="str">
        <f>HYPERLINK(AB2 &amp; "/bolt/sn_e58477f3255c8f56cd7ecf32c7a32daa/rendering/08.obj", "4.40992736816")</f>
        <v>4.40992736816</v>
      </c>
      <c r="L29" s="46" t="str">
        <f>HYPERLINK(AB2 &amp; "/bolt/sn_e58477f3255c8f56cd7ecf32c7a32daa/rendering/09.obj", "4.61140869141")</f>
        <v>4.61140869141</v>
      </c>
      <c r="M29" s="79" t="str">
        <f>HYPERLINK(AB2 &amp; "/bolt/sn_e58477f3255c8f56cd7ecf32c7a32daa/rendering/10.obj", "3.82096252441")</f>
        <v>3.82096252441</v>
      </c>
      <c r="N29" s="110" t="str">
        <f>HYPERLINK(AB2 &amp; "/bolt/sn_e58477f3255c8f56cd7ecf32c7a32daa/rendering/11.obj", "4.98952880859")</f>
        <v>4.98952880859</v>
      </c>
      <c r="O29" s="17" t="str">
        <f>HYPERLINK(AB2 &amp; "/bolt/sn_e58477f3255c8f56cd7ecf32c7a32daa/rendering/12.obj", "4.44031066895")</f>
        <v>4.44031066895</v>
      </c>
      <c r="P29" s="31" t="str">
        <f>HYPERLINK(AB2 &amp; "/bolt/sn_e58477f3255c8f56cd7ecf32c7a32daa/rendering/13.obj", "5.23228393555")</f>
        <v>5.23228393555</v>
      </c>
      <c r="Q29" s="74" t="str">
        <f>HYPERLINK(AB2 &amp; "/bolt/sn_e58477f3255c8f56cd7ecf32c7a32daa/rendering/14.obj", "4.59296447754")</f>
        <v>4.59296447754</v>
      </c>
      <c r="R29" s="74" t="str">
        <f>HYPERLINK(AB2 &amp; "/bolt/sn_e58477f3255c8f56cd7ecf32c7a32daa/rendering/15.obj", "4.46632263184")</f>
        <v>4.46632263184</v>
      </c>
      <c r="S29" s="107" t="str">
        <f>HYPERLINK(AB2 &amp; "/bolt/sn_e58477f3255c8f56cd7ecf32c7a32daa/rendering/16.obj", "4.91721862793")</f>
        <v>4.91721862793</v>
      </c>
      <c r="T29" s="36" t="str">
        <f>HYPERLINK(AB2 &amp; "/bolt/sn_e58477f3255c8f56cd7ecf32c7a32daa/rendering/17.obj", "3.56356048584")</f>
        <v>3.56356048584</v>
      </c>
      <c r="U29" s="31" t="str">
        <f>HYPERLINK(AB2 &amp; "/bolt/sn_e58477f3255c8f56cd7ecf32c7a32daa/rendering/18.obj", "3.82882446289")</f>
        <v>3.82882446289</v>
      </c>
      <c r="V29" s="17" t="str">
        <f>HYPERLINK(AB2 &amp; "/bolt/sn_e58477f3255c8f56cd7ecf32c7a32daa/rendering/19.obj", "4.62341430664")</f>
        <v>4.62341430664</v>
      </c>
      <c r="W29" s="12" t="s">
        <v>31</v>
      </c>
      <c r="X29" s="13">
        <v>4.534774093627929</v>
      </c>
      <c r="Y29" s="13">
        <v>0.45851590944196879</v>
      </c>
      <c r="Z29" s="133">
        <v>0.1011110807231293</v>
      </c>
    </row>
    <row r="30" spans="1:26" x14ac:dyDescent="0.2">
      <c r="A30" s="1">
        <v>28</v>
      </c>
      <c r="B30" s="2" t="s">
        <v>38</v>
      </c>
      <c r="C30" s="6" t="str">
        <f>HYPERLINK(AB2 &amp; "/bolt/sn_e58477f3255c8f56cd7ecf32c7a32daa/rendering/00.obj", "5.1361989975")</f>
        <v>5.1361989975</v>
      </c>
      <c r="D30" s="46" t="str">
        <f>HYPERLINK(AB2 &amp; "/bolt/sn_e58477f3255c8f56cd7ecf32c7a32daa/rendering/01.obj", "5.28653669357")</f>
        <v>5.28653669357</v>
      </c>
      <c r="E30" s="31" t="str">
        <f>HYPERLINK(AB2 &amp; "/bolt/sn_e58477f3255c8f56cd7ecf32c7a32daa/rendering/02.obj", "6.21374177933")</f>
        <v>6.21374177933</v>
      </c>
      <c r="F30" s="108" t="str">
        <f>HYPERLINK(AB2 &amp; "/bolt/sn_e58477f3255c8f56cd7ecf32c7a32daa/rendering/03.obj", "6.70191526413")</f>
        <v>6.70191526413</v>
      </c>
      <c r="G30" s="134" t="str">
        <f>HYPERLINK(AB2 &amp; "/bolt/sn_e58477f3255c8f56cd7ecf32c7a32daa/rendering/04.obj", "4.40331077576")</f>
        <v>4.40331077576</v>
      </c>
      <c r="H30" s="5" t="str">
        <f>HYPERLINK(AB2 &amp; "/bolt/sn_e58477f3255c8f56cd7ecf32c7a32daa/rendering/05.obj", "4.96225595474")</f>
        <v>4.96225595474</v>
      </c>
      <c r="I30" s="135" t="str">
        <f>HYPERLINK(AB2 &amp; "/bolt/sn_e58477f3255c8f56cd7ecf32c7a32daa/rendering/06.obj", "6.7496137619")</f>
        <v>6.7496137619</v>
      </c>
      <c r="J30" s="64" t="str">
        <f>HYPERLINK(AB2 &amp; "/bolt/sn_e58477f3255c8f56cd7ecf32c7a32daa/rendering/07.obj", "6.2557349205")</f>
        <v>6.2557349205</v>
      </c>
      <c r="K30" s="8" t="str">
        <f>HYPERLINK(AB2 &amp; "/bolt/sn_e58477f3255c8f56cd7ecf32c7a32daa/rendering/08.obj", "4.61249732971")</f>
        <v>4.61249732971</v>
      </c>
      <c r="L30" s="68" t="str">
        <f>HYPERLINK(AB2 &amp; "/bolt/sn_e58477f3255c8f56cd7ecf32c7a32daa/rendering/09.obj", "5.15074777603")</f>
        <v>5.15074777603</v>
      </c>
      <c r="M30" s="8" t="str">
        <f>HYPERLINK(AB2 &amp; "/bolt/sn_e58477f3255c8f56cd7ecf32c7a32daa/rendering/10.obj", "4.60315752029")</f>
        <v>4.60315752029</v>
      </c>
      <c r="N30" s="98" t="str">
        <f>HYPERLINK(AB2 &amp; "/bolt/sn_e58477f3255c8f56cd7ecf32c7a32daa/rendering/11.obj", "6.61956977844")</f>
        <v>6.61956977844</v>
      </c>
      <c r="O30" s="94" t="str">
        <f>HYPERLINK(AB2 &amp; "/bolt/sn_e58477f3255c8f56cd7ecf32c7a32daa/rendering/12.obj", "5.77780151367")</f>
        <v>5.77780151367</v>
      </c>
      <c r="P30" s="24" t="str">
        <f>HYPERLINK(AB2 &amp; "/bolt/sn_e58477f3255c8f56cd7ecf32c7a32daa/rendering/13.obj", "6.28254175186")</f>
        <v>6.28254175186</v>
      </c>
      <c r="Q30" s="68" t="str">
        <f>HYPERLINK(AB2 &amp; "/bolt/sn_e58477f3255c8f56cd7ecf32c7a32daa/rendering/14.obj", "5.14903020859")</f>
        <v>5.14903020859</v>
      </c>
      <c r="R30" s="55" t="str">
        <f>HYPERLINK(AB2 &amp; "/bolt/sn_e58477f3255c8f56cd7ecf32c7a32daa/rendering/15.obj", "4.33108997345")</f>
        <v>4.33108997345</v>
      </c>
      <c r="S30" s="68" t="str">
        <f>HYPERLINK(AB2 &amp; "/bolt/sn_e58477f3255c8f56cd7ecf32c7a32daa/rendering/16.obj", "5.59246015549")</f>
        <v>5.59246015549</v>
      </c>
      <c r="T30" s="19" t="str">
        <f>HYPERLINK(AB2 &amp; "/bolt/sn_e58477f3255c8f56cd7ecf32c7a32daa/rendering/17.obj", "3.96948194504")</f>
        <v>3.96948194504</v>
      </c>
      <c r="U30" s="106" t="str">
        <f>HYPERLINK(AB2 &amp; "/bolt/sn_e58477f3255c8f56cd7ecf32c7a32daa/rendering/18.obj", "4.75514507294")</f>
        <v>4.75514507294</v>
      </c>
      <c r="V30" s="39" t="str">
        <f>HYPERLINK(AB2 &amp; "/bolt/sn_e58477f3255c8f56cd7ecf32c7a32daa/rendering/19.obj", "4.91221046448")</f>
        <v>4.91221046448</v>
      </c>
      <c r="W30" s="12" t="s">
        <v>32</v>
      </c>
      <c r="X30" s="13">
        <v>5.3732520818710334</v>
      </c>
      <c r="Y30" s="13">
        <v>0.83165578722319655</v>
      </c>
      <c r="Z30" s="31">
        <v>0.15477699064764591</v>
      </c>
    </row>
    <row r="31" spans="1:26" x14ac:dyDescent="0.2">
      <c r="A31" s="1">
        <v>29</v>
      </c>
      <c r="B31" s="2" t="s">
        <v>38</v>
      </c>
      <c r="C31" s="13" t="str">
        <f>HYPERLINK(AC2 &amp; "/bolt/sn_e58477f3255c8f56cd7ecf32c7a32daa/rendering/00.xyz", "0.0")</f>
        <v>0.0</v>
      </c>
      <c r="D31" s="13" t="str">
        <f>HYPERLINK(AC2 &amp; "/bolt/sn_e58477f3255c8f56cd7ecf32c7a32daa/rendering/01.xyz", "0.0")</f>
        <v>0.0</v>
      </c>
      <c r="E31" s="13" t="str">
        <f>HYPERLINK(AC2 &amp; "/bolt/sn_e58477f3255c8f56cd7ecf32c7a32daa/rendering/02.xyz", "0.0")</f>
        <v>0.0</v>
      </c>
      <c r="F31" s="13" t="str">
        <f>HYPERLINK(AC2 &amp; "/bolt/sn_e58477f3255c8f56cd7ecf32c7a32daa/rendering/03.xyz", "0.0")</f>
        <v>0.0</v>
      </c>
      <c r="G31" s="13" t="str">
        <f>HYPERLINK(AC2 &amp; "/bolt/sn_e58477f3255c8f56cd7ecf32c7a32daa/rendering/04.xyz", "0.0")</f>
        <v>0.0</v>
      </c>
      <c r="H31" s="13" t="str">
        <f>HYPERLINK(AC2 &amp; "/bolt/sn_e58477f3255c8f56cd7ecf32c7a32daa/rendering/05.xyz", "0.0")</f>
        <v>0.0</v>
      </c>
      <c r="I31" s="13" t="str">
        <f>HYPERLINK(AC2 &amp; "/bolt/sn_e58477f3255c8f56cd7ecf32c7a32daa/rendering/06.xyz", "0.0")</f>
        <v>0.0</v>
      </c>
      <c r="J31" s="13" t="str">
        <f>HYPERLINK(AC2 &amp; "/bolt/sn_e58477f3255c8f56cd7ecf32c7a32daa/rendering/07.xyz", "0.0")</f>
        <v>0.0</v>
      </c>
      <c r="K31" s="13" t="str">
        <f>HYPERLINK(AC2 &amp; "/bolt/sn_e58477f3255c8f56cd7ecf32c7a32daa/rendering/08.xyz", "0.0")</f>
        <v>0.0</v>
      </c>
      <c r="L31" s="13" t="str">
        <f>HYPERLINK(AC2 &amp; "/bolt/sn_e58477f3255c8f56cd7ecf32c7a32daa/rendering/09.xyz", "0.0")</f>
        <v>0.0</v>
      </c>
      <c r="M31" s="13" t="str">
        <f>HYPERLINK(AC2 &amp; "/bolt/sn_e58477f3255c8f56cd7ecf32c7a32daa/rendering/10.xyz", "0.0")</f>
        <v>0.0</v>
      </c>
      <c r="N31" s="13" t="str">
        <f>HYPERLINK(AC2 &amp; "/bolt/sn_e58477f3255c8f56cd7ecf32c7a32daa/rendering/11.xyz", "0.0")</f>
        <v>0.0</v>
      </c>
      <c r="O31" s="13" t="str">
        <f>HYPERLINK(AC2 &amp; "/bolt/sn_e58477f3255c8f56cd7ecf32c7a32daa/rendering/12.xyz", "0.0")</f>
        <v>0.0</v>
      </c>
      <c r="P31" s="13" t="str">
        <f>HYPERLINK(AC2 &amp; "/bolt/sn_e58477f3255c8f56cd7ecf32c7a32daa/rendering/13.xyz", "0.0")</f>
        <v>0.0</v>
      </c>
      <c r="Q31" s="13" t="str">
        <f>HYPERLINK(AC2 &amp; "/bolt/sn_e58477f3255c8f56cd7ecf32c7a32daa/rendering/14.xyz", "0.0")</f>
        <v>0.0</v>
      </c>
      <c r="R31" s="13" t="str">
        <f>HYPERLINK(AC2 &amp; "/bolt/sn_e58477f3255c8f56cd7ecf32c7a32daa/rendering/15.xyz", "0.0")</f>
        <v>0.0</v>
      </c>
      <c r="S31" s="13" t="str">
        <f>HYPERLINK(AC2 &amp; "/bolt/sn_e58477f3255c8f56cd7ecf32c7a32daa/rendering/16.xyz", "0.0")</f>
        <v>0.0</v>
      </c>
      <c r="T31" s="13" t="str">
        <f>HYPERLINK(AC2 &amp; "/bolt/sn_e58477f3255c8f56cd7ecf32c7a32daa/rendering/17.xyz", "0.0")</f>
        <v>0.0</v>
      </c>
      <c r="U31" s="13" t="str">
        <f>HYPERLINK(AC2 &amp; "/bolt/sn_e58477f3255c8f56cd7ecf32c7a32daa/rendering/18.xyz", "0.0")</f>
        <v>0.0</v>
      </c>
      <c r="V31" s="13" t="str">
        <f>HYPERLINK(AC2 &amp; "/bolt/sn_e58477f3255c8f56cd7ecf32c7a32daa/rendering/19.xyz", "0.0")</f>
        <v>0.0</v>
      </c>
      <c r="W31" s="12" t="s">
        <v>33</v>
      </c>
      <c r="X31" s="13">
        <v>0</v>
      </c>
      <c r="Y31" s="13">
        <v>0</v>
      </c>
      <c r="Z31" s="13">
        <v>0</v>
      </c>
    </row>
    <row r="32" spans="1:26" x14ac:dyDescent="0.2">
      <c r="A32" s="1">
        <v>30</v>
      </c>
      <c r="B32" s="2" t="s">
        <v>39</v>
      </c>
      <c r="C32" s="33" t="str">
        <f>HYPERLINK(AA2 &amp; "/bolt/sn_ea0c07647550a04619288150cd830791/rendering/00.obj", "4.81668212891")</f>
        <v>4.81668212891</v>
      </c>
      <c r="D32" s="26" t="str">
        <f>HYPERLINK(AA2 &amp; "/bolt/sn_ea0c07647550a04619288150cd830791/rendering/01.obj", "4.61556915283")</f>
        <v>4.61556915283</v>
      </c>
      <c r="E32" s="65" t="str">
        <f>HYPERLINK(AA2 &amp; "/bolt/sn_ea0c07647550a04619288150cd830791/rendering/02.obj", "3.75855773926")</f>
        <v>3.75855773926</v>
      </c>
      <c r="F32" s="68" t="str">
        <f>HYPERLINK(AA2 &amp; "/bolt/sn_ea0c07647550a04619288150cd830791/rendering/03.obj", "4.15750610352")</f>
        <v>4.15750610352</v>
      </c>
      <c r="G32" s="107" t="str">
        <f>HYPERLINK(AA2 &amp; "/bolt/sn_ea0c07647550a04619288150cd830791/rendering/04.obj", "3.98590423584")</f>
        <v>3.98590423584</v>
      </c>
      <c r="H32" s="110" t="str">
        <f>HYPERLINK(AA2 &amp; "/bolt/sn_ea0c07647550a04619288150cd830791/rendering/05.obj", "3.90806365967")</f>
        <v>3.90806365967</v>
      </c>
      <c r="I32" s="26" t="str">
        <f>HYPERLINK(AA2 &amp; "/bolt/sn_ea0c07647550a04619288150cd830791/rendering/06.obj", "4.06205444336")</f>
        <v>4.06205444336</v>
      </c>
      <c r="J32" s="34" t="str">
        <f>HYPERLINK(AA2 &amp; "/bolt/sn_ea0c07647550a04619288150cd830791/rendering/07.obj", "4.13122192383")</f>
        <v>4.13122192383</v>
      </c>
      <c r="K32" s="82" t="str">
        <f>HYPERLINK(AA2 &amp; "/bolt/sn_ea0c07647550a04619288150cd830791/rendering/08.obj", "5.23466674805")</f>
        <v>5.23466674805</v>
      </c>
      <c r="L32" s="76" t="str">
        <f>HYPERLINK(AA2 &amp; "/bolt/sn_ea0c07647550a04619288150cd830791/rendering/09.obj", "5.13404907227")</f>
        <v>5.13404907227</v>
      </c>
      <c r="M32" s="13" t="str">
        <f>HYPERLINK(AA2 &amp; "/bolt/sn_ea0c07647550a04619288150cd830791/rendering/10.obj", "4.33547363281")</f>
        <v>4.33547363281</v>
      </c>
      <c r="N32" s="6" t="str">
        <f>HYPERLINK(AA2 &amp; "/bolt/sn_ea0c07647550a04619288150cd830791/rendering/11.obj", "4.13877319336")</f>
        <v>4.13877319336</v>
      </c>
      <c r="O32" s="67" t="str">
        <f>HYPERLINK(AA2 &amp; "/bolt/sn_ea0c07647550a04619288150cd830791/rendering/12.obj", "3.94112609863")</f>
        <v>3.94112609863</v>
      </c>
      <c r="P32" s="74" t="str">
        <f>HYPERLINK(AA2 &amp; "/bolt/sn_ea0c07647550a04619288150cd830791/rendering/13.obj", "4.28611938477")</f>
        <v>4.28611938477</v>
      </c>
      <c r="Q32" s="120" t="str">
        <f>HYPERLINK(AA2 &amp; "/bolt/sn_ea0c07647550a04619288150cd830791/rendering/14.obj", "5.2624822998")</f>
        <v>5.2624822998</v>
      </c>
      <c r="R32" s="46" t="str">
        <f>HYPERLINK(AA2 &amp; "/bolt/sn_ea0c07647550a04619288150cd830791/rendering/15.obj", "4.41100646973")</f>
        <v>4.41100646973</v>
      </c>
      <c r="S32" s="38" t="str">
        <f>HYPERLINK(AA2 &amp; "/bolt/sn_ea0c07647550a04619288150cd830791/rendering/16.obj", "3.95393493652")</f>
        <v>3.95393493652</v>
      </c>
      <c r="T32" s="17" t="str">
        <f>HYPERLINK(AA2 &amp; "/bolt/sn_ea0c07647550a04619288150cd830791/rendering/17.obj", "4.42457763672")</f>
        <v>4.42457763672</v>
      </c>
      <c r="U32" s="41" t="str">
        <f>HYPERLINK(AA2 &amp; "/bolt/sn_ea0c07647550a04619288150cd830791/rendering/18.obj", "4.05289794922")</f>
        <v>4.05289794922</v>
      </c>
      <c r="V32" s="48" t="str">
        <f>HYPERLINK(AA2 &amp; "/bolt/sn_ea0c07647550a04619288150cd830791/rendering/19.obj", "4.23498046875")</f>
        <v>4.23498046875</v>
      </c>
      <c r="W32" s="12" t="s">
        <v>29</v>
      </c>
      <c r="X32" s="13">
        <v>4.3422823638916013</v>
      </c>
      <c r="Y32" s="13">
        <v>0.43854102073725831</v>
      </c>
      <c r="Z32" s="133">
        <v>0.1009932067946482</v>
      </c>
    </row>
    <row r="33" spans="1:26" x14ac:dyDescent="0.2">
      <c r="A33" s="1">
        <v>31</v>
      </c>
      <c r="B33" s="2" t="s">
        <v>39</v>
      </c>
      <c r="C33" s="23" t="str">
        <f>HYPERLINK(AA2 &amp; "/bolt/sn_ea0c07647550a04619288150cd830791/rendering/00.obj", "1.65418922901")</f>
        <v>1.65418922901</v>
      </c>
      <c r="D33" s="117" t="str">
        <f>HYPERLINK(AA2 &amp; "/bolt/sn_ea0c07647550a04619288150cd830791/rendering/01.obj", "2.02795863152")</f>
        <v>2.02795863152</v>
      </c>
      <c r="E33" s="88" t="str">
        <f>HYPERLINK(AA2 &amp; "/bolt/sn_ea0c07647550a04619288150cd830791/rendering/02.obj", "1.37607872486")</f>
        <v>1.37607872486</v>
      </c>
      <c r="F33" s="67" t="str">
        <f>HYPERLINK(AA2 &amp; "/bolt/sn_ea0c07647550a04619288150cd830791/rendering/03.obj", "1.5652872324")</f>
        <v>1.5652872324</v>
      </c>
      <c r="G33" s="51" t="str">
        <f>HYPERLINK(AA2 &amp; "/bolt/sn_ea0c07647550a04619288150cd830791/rendering/04.obj", "1.583365798")</f>
        <v>1.583365798</v>
      </c>
      <c r="H33" s="31" t="str">
        <f>HYPERLINK(AA2 &amp; "/bolt/sn_ea0c07647550a04619288150cd830791/rendering/05.obj", "1.45540559292")</f>
        <v>1.45540559292</v>
      </c>
      <c r="I33" s="136" t="str">
        <f>HYPERLINK(AA2 &amp; "/bolt/sn_ea0c07647550a04619288150cd830791/rendering/06.obj", "1.31270217896")</f>
        <v>1.31270217896</v>
      </c>
      <c r="J33" s="87" t="str">
        <f>HYPERLINK(AA2 &amp; "/bolt/sn_ea0c07647550a04619288150cd830791/rendering/07.obj", "1.32916581631")</f>
        <v>1.32916581631</v>
      </c>
      <c r="K33" s="72" t="str">
        <f>HYPERLINK(AA2 &amp; "/bolt/sn_ea0c07647550a04619288150cd830791/rendering/08.obj", "1.66715979576")</f>
        <v>1.66715979576</v>
      </c>
      <c r="L33" s="20" t="str">
        <f>HYPERLINK(AA2 &amp; "/bolt/sn_ea0c07647550a04619288150cd830791/rendering/09.obj", "3.74434924126")</f>
        <v>3.74434924126</v>
      </c>
      <c r="M33" s="87" t="str">
        <f>HYPERLINK(AA2 &amp; "/bolt/sn_ea0c07647550a04619288150cd830791/rendering/10.obj", "1.32925224304")</f>
        <v>1.32925224304</v>
      </c>
      <c r="N33" s="109" t="str">
        <f>HYPERLINK(AA2 &amp; "/bolt/sn_ea0c07647550a04619288150cd830791/rendering/11.obj", "1.39480066299")</f>
        <v>1.39480066299</v>
      </c>
      <c r="O33" s="109" t="str">
        <f>HYPERLINK(AA2 &amp; "/bolt/sn_ea0c07647550a04619288150cd830791/rendering/12.obj", "1.39367413521")</f>
        <v>1.39367413521</v>
      </c>
      <c r="P33" s="76" t="str">
        <f>HYPERLINK(AA2 &amp; "/bolt/sn_ea0c07647550a04619288150cd830791/rendering/13.obj", "1.40419888496")</f>
        <v>1.40419888496</v>
      </c>
      <c r="Q33" s="20" t="str">
        <f>HYPERLINK(AA2 &amp; "/bolt/sn_ea0c07647550a04619288150cd830791/rendering/14.obj", "3.21267533302")</f>
        <v>3.21267533302</v>
      </c>
      <c r="R33" s="89" t="str">
        <f>HYPERLINK(AA2 &amp; "/bolt/sn_ea0c07647550a04619288150cd830791/rendering/15.obj", "2.16972208023")</f>
        <v>2.16972208023</v>
      </c>
      <c r="S33" s="87" t="str">
        <f>HYPERLINK(AA2 &amp; "/bolt/sn_ea0c07647550a04619288150cd830791/rendering/16.obj", "1.33120846748")</f>
        <v>1.33120846748</v>
      </c>
      <c r="T33" s="106" t="str">
        <f>HYPERLINK(AA2 &amp; "/bolt/sn_ea0c07647550a04619288150cd830791/rendering/17.obj", "1.52637588978")</f>
        <v>1.52637588978</v>
      </c>
      <c r="U33" s="76" t="str">
        <f>HYPERLINK(AA2 &amp; "/bolt/sn_ea0c07647550a04619288150cd830791/rendering/18.obj", "1.40829610825")</f>
        <v>1.40829610825</v>
      </c>
      <c r="V33" s="39" t="str">
        <f>HYPERLINK(AA2 &amp; "/bolt/sn_ea0c07647550a04619288150cd830791/rendering/19.obj", "1.57586169243")</f>
        <v>1.57586169243</v>
      </c>
      <c r="W33" s="12" t="s">
        <v>30</v>
      </c>
      <c r="X33" s="13">
        <v>1.7230863869190221</v>
      </c>
      <c r="Y33" s="13">
        <v>0.63051059124678477</v>
      </c>
      <c r="Z33" s="137">
        <v>0.36591931549884399</v>
      </c>
    </row>
    <row r="34" spans="1:26" x14ac:dyDescent="0.2">
      <c r="A34" s="1">
        <v>32</v>
      </c>
      <c r="B34" s="2" t="s">
        <v>39</v>
      </c>
      <c r="C34" s="27" t="str">
        <f>HYPERLINK(AB2 &amp; "/bolt/sn_ea0c07647550a04619288150cd830791/rendering/00.obj", "4.11472930908")</f>
        <v>4.11472930908</v>
      </c>
      <c r="D34" s="6" t="str">
        <f>HYPERLINK(AB2 &amp; "/bolt/sn_ea0c07647550a04619288150cd830791/rendering/01.obj", "3.66809692383")</f>
        <v>3.66809692383</v>
      </c>
      <c r="E34" s="25" t="str">
        <f>HYPERLINK(AB2 &amp; "/bolt/sn_ea0c07647550a04619288150cd830791/rendering/02.obj", "3.87596588135")</f>
        <v>3.87596588135</v>
      </c>
      <c r="F34" s="69" t="str">
        <f>HYPERLINK(AB2 &amp; "/bolt/sn_ea0c07647550a04619288150cd830791/rendering/03.obj", "3.94888122559")</f>
        <v>3.94888122559</v>
      </c>
      <c r="G34" s="69" t="str">
        <f>HYPERLINK(AB2 &amp; "/bolt/sn_ea0c07647550a04619288150cd830791/rendering/04.obj", "3.9553527832")</f>
        <v>3.9553527832</v>
      </c>
      <c r="H34" s="73" t="str">
        <f>HYPERLINK(AB2 &amp; "/bolt/sn_ea0c07647550a04619288150cd830791/rendering/05.obj", "3.97355377197")</f>
        <v>3.97355377197</v>
      </c>
      <c r="I34" s="74" t="str">
        <f>HYPERLINK(AB2 &amp; "/bolt/sn_ea0c07647550a04619288150cd830791/rendering/06.obj", "3.89560058594")</f>
        <v>3.89560058594</v>
      </c>
      <c r="J34" s="23" t="str">
        <f>HYPERLINK(AB2 &amp; "/bolt/sn_ea0c07647550a04619288150cd830791/rendering/07.obj", "3.98747253418")</f>
        <v>3.98747253418</v>
      </c>
      <c r="K34" s="68" t="str">
        <f>HYPERLINK(AB2 &amp; "/bolt/sn_ea0c07647550a04619288150cd830791/rendering/08.obj", "3.68210876465")</f>
        <v>3.68210876465</v>
      </c>
      <c r="L34" s="13" t="str">
        <f>HYPERLINK(AB2 &amp; "/bolt/sn_ea0c07647550a04619288150cd830791/rendering/09.obj", "3.84786895752")</f>
        <v>3.84786895752</v>
      </c>
      <c r="M34" s="73" t="str">
        <f>HYPERLINK(AB2 &amp; "/bolt/sn_ea0c07647550a04619288150cd830791/rendering/10.obj", "3.97552032471")</f>
        <v>3.97552032471</v>
      </c>
      <c r="N34" s="27" t="str">
        <f>HYPERLINK(AB2 &amp; "/bolt/sn_ea0c07647550a04619288150cd830791/rendering/11.obj", "3.57095703125")</f>
        <v>3.57095703125</v>
      </c>
      <c r="O34" s="39" t="str">
        <f>HYPERLINK(AB2 &amp; "/bolt/sn_ea0c07647550a04619288150cd830791/rendering/12.obj", "3.50639129639")</f>
        <v>3.50639129639</v>
      </c>
      <c r="P34" s="30" t="str">
        <f>HYPERLINK(AB2 &amp; "/bolt/sn_ea0c07647550a04619288150cd830791/rendering/13.obj", "3.86151763916")</f>
        <v>3.86151763916</v>
      </c>
      <c r="Q34" s="10" t="str">
        <f>HYPERLINK(AB2 &amp; "/bolt/sn_ea0c07647550a04619288150cd830791/rendering/14.obj", "3.6262878418")</f>
        <v>3.6262878418</v>
      </c>
      <c r="R34" s="91" t="str">
        <f>HYPERLINK(AB2 &amp; "/bolt/sn_ea0c07647550a04619288150cd830791/rendering/15.obj", "3.73737304688")</f>
        <v>3.73737304688</v>
      </c>
      <c r="S34" s="48" t="str">
        <f>HYPERLINK(AB2 &amp; "/bolt/sn_ea0c07647550a04619288150cd830791/rendering/16.obj", "3.74544281006")</f>
        <v>3.74544281006</v>
      </c>
      <c r="T34" s="71" t="str">
        <f>HYPERLINK(AB2 &amp; "/bolt/sn_ea0c07647550a04619288150cd830791/rendering/17.obj", "4.29007629395")</f>
        <v>4.29007629395</v>
      </c>
      <c r="U34" s="46" t="str">
        <f>HYPERLINK(AB2 &amp; "/bolt/sn_ea0c07647550a04619288150cd830791/rendering/18.obj", "3.77731018066")</f>
        <v>3.77731018066</v>
      </c>
      <c r="V34" s="48" t="str">
        <f>HYPERLINK(AB2 &amp; "/bolt/sn_ea0c07647550a04619288150cd830791/rendering/19.obj", "3.7495803833")</f>
        <v>3.7495803833</v>
      </c>
      <c r="W34" s="12" t="s">
        <v>31</v>
      </c>
      <c r="X34" s="13">
        <v>3.8395043792724608</v>
      </c>
      <c r="Y34" s="13">
        <v>0.18459048042510659</v>
      </c>
      <c r="Z34" s="34">
        <v>4.8076642761919253E-2</v>
      </c>
    </row>
    <row r="35" spans="1:26" x14ac:dyDescent="0.2">
      <c r="A35" s="1">
        <v>33</v>
      </c>
      <c r="B35" s="2" t="s">
        <v>39</v>
      </c>
      <c r="C35" s="75" t="str">
        <f>HYPERLINK(AB2 &amp; "/bolt/sn_ea0c07647550a04619288150cd830791/rendering/00.obj", "1.72641599178")</f>
        <v>1.72641599178</v>
      </c>
      <c r="D35" s="72" t="str">
        <f>HYPERLINK(AB2 &amp; "/bolt/sn_ea0c07647550a04619288150cd830791/rendering/01.obj", "1.46149742603")</f>
        <v>1.46149742603</v>
      </c>
      <c r="E35" s="73" t="str">
        <f>HYPERLINK(AB2 &amp; "/bolt/sn_ea0c07647550a04619288150cd830791/rendering/02.obj", "1.36251318455")</f>
        <v>1.36251318455</v>
      </c>
      <c r="F35" s="8" t="str">
        <f>HYPERLINK(AB2 &amp; "/bolt/sn_ea0c07647550a04619288150cd830791/rendering/03.obj", "1.61704349518")</f>
        <v>1.61704349518</v>
      </c>
      <c r="G35" s="10" t="str">
        <f>HYPERLINK(AB2 &amp; "/bolt/sn_ea0c07647550a04619288150cd830791/rendering/04.obj", "1.3364379406")</f>
        <v>1.3364379406</v>
      </c>
      <c r="H35" s="110" t="str">
        <f>HYPERLINK(AB2 &amp; "/bolt/sn_ea0c07647550a04619288150cd830791/rendering/05.obj", "1.27312850952")</f>
        <v>1.27312850952</v>
      </c>
      <c r="I35" s="6" t="str">
        <f>HYPERLINK(AB2 &amp; "/bolt/sn_ea0c07647550a04619288150cd830791/rendering/06.obj", "1.35251021385")</f>
        <v>1.35251021385</v>
      </c>
      <c r="J35" s="42" t="str">
        <f>HYPERLINK(AB2 &amp; "/bolt/sn_ea0c07647550a04619288150cd830791/rendering/07.obj", "1.22037231922")</f>
        <v>1.22037231922</v>
      </c>
      <c r="K35" s="81" t="str">
        <f>HYPERLINK(AB2 &amp; "/bolt/sn_ea0c07647550a04619288150cd830791/rendering/08.obj", "1.72390127182")</f>
        <v>1.72390127182</v>
      </c>
      <c r="L35" s="70" t="str">
        <f>HYPERLINK(AB2 &amp; "/bolt/sn_ea0c07647550a04619288150cd830791/rendering/09.obj", "1.23567593098")</f>
        <v>1.23567593098</v>
      </c>
      <c r="M35" s="107" t="str">
        <f>HYPERLINK(AB2 &amp; "/bolt/sn_ea0c07647550a04619288150cd830791/rendering/10.obj", "1.29501545429")</f>
        <v>1.29501545429</v>
      </c>
      <c r="N35" s="72" t="str">
        <f>HYPERLINK(AB2 &amp; "/bolt/sn_ea0c07647550a04619288150cd830791/rendering/11.obj", "1.45943307877")</f>
        <v>1.45943307877</v>
      </c>
      <c r="O35" s="92" t="str">
        <f>HYPERLINK(AB2 &amp; "/bolt/sn_ea0c07647550a04619288150cd830791/rendering/12.obj", "1.23751461506")</f>
        <v>1.23751461506</v>
      </c>
      <c r="P35" s="6" t="str">
        <f>HYPERLINK(AB2 &amp; "/bolt/sn_ea0c07647550a04619288150cd830791/rendering/13.obj", "1.34936571121")</f>
        <v>1.34936571121</v>
      </c>
      <c r="Q35" s="71" t="str">
        <f>HYPERLINK(AB2 &amp; "/bolt/sn_ea0c07647550a04619288150cd830791/rendering/14.obj", "1.57960700989")</f>
        <v>1.57960700989</v>
      </c>
      <c r="R35" s="106" t="str">
        <f>HYPERLINK(AB2 &amp; "/bolt/sn_ea0c07647550a04619288150cd830791/rendering/15.obj", "1.57683885098")</f>
        <v>1.57683885098</v>
      </c>
      <c r="S35" s="106" t="str">
        <f>HYPERLINK(AB2 &amp; "/bolt/sn_ea0c07647550a04619288150cd830791/rendering/16.obj", "1.57712936401")</f>
        <v>1.57712936401</v>
      </c>
      <c r="T35" s="25" t="str">
        <f>HYPERLINK(AB2 &amp; "/bolt/sn_ea0c07647550a04619288150cd830791/rendering/17.obj", "1.43096876144")</f>
        <v>1.43096876144</v>
      </c>
      <c r="U35" s="28" t="str">
        <f>HYPERLINK(AB2 &amp; "/bolt/sn_ea0c07647550a04619288150cd830791/rendering/18.obj", "1.25539255142")</f>
        <v>1.25539255142</v>
      </c>
      <c r="V35" s="65" t="str">
        <f>HYPERLINK(AB2 &amp; "/bolt/sn_ea0c07647550a04619288150cd830791/rendering/19.obj", "1.2264598608")</f>
        <v>1.2264598608</v>
      </c>
      <c r="W35" s="12" t="s">
        <v>32</v>
      </c>
      <c r="X35" s="13">
        <v>1.4148610770702359</v>
      </c>
      <c r="Y35" s="13">
        <v>0.163004474299109</v>
      </c>
      <c r="Z35" s="106">
        <v>0.11520881939634919</v>
      </c>
    </row>
    <row r="36" spans="1:26" x14ac:dyDescent="0.2">
      <c r="A36" s="1">
        <v>34</v>
      </c>
      <c r="B36" s="2" t="s">
        <v>39</v>
      </c>
      <c r="C36" s="13" t="str">
        <f>HYPERLINK(AC2 &amp; "/bolt/sn_ea0c07647550a04619288150cd830791/rendering/00.xyz", "0.0")</f>
        <v>0.0</v>
      </c>
      <c r="D36" s="13" t="str">
        <f>HYPERLINK(AC2 &amp; "/bolt/sn_ea0c07647550a04619288150cd830791/rendering/01.xyz", "0.0")</f>
        <v>0.0</v>
      </c>
      <c r="E36" s="13" t="str">
        <f>HYPERLINK(AC2 &amp; "/bolt/sn_ea0c07647550a04619288150cd830791/rendering/02.xyz", "0.0")</f>
        <v>0.0</v>
      </c>
      <c r="F36" s="13" t="str">
        <f>HYPERLINK(AC2 &amp; "/bolt/sn_ea0c07647550a04619288150cd830791/rendering/03.xyz", "0.0")</f>
        <v>0.0</v>
      </c>
      <c r="G36" s="13" t="str">
        <f>HYPERLINK(AC2 &amp; "/bolt/sn_ea0c07647550a04619288150cd830791/rendering/04.xyz", "0.0")</f>
        <v>0.0</v>
      </c>
      <c r="H36" s="13" t="str">
        <f>HYPERLINK(AC2 &amp; "/bolt/sn_ea0c07647550a04619288150cd830791/rendering/05.xyz", "0.0")</f>
        <v>0.0</v>
      </c>
      <c r="I36" s="13" t="str">
        <f>HYPERLINK(AC2 &amp; "/bolt/sn_ea0c07647550a04619288150cd830791/rendering/06.xyz", "0.0")</f>
        <v>0.0</v>
      </c>
      <c r="J36" s="13" t="str">
        <f>HYPERLINK(AC2 &amp; "/bolt/sn_ea0c07647550a04619288150cd830791/rendering/07.xyz", "0.0")</f>
        <v>0.0</v>
      </c>
      <c r="K36" s="13" t="str">
        <f>HYPERLINK(AC2 &amp; "/bolt/sn_ea0c07647550a04619288150cd830791/rendering/08.xyz", "0.0")</f>
        <v>0.0</v>
      </c>
      <c r="L36" s="13" t="str">
        <f>HYPERLINK(AC2 &amp; "/bolt/sn_ea0c07647550a04619288150cd830791/rendering/09.xyz", "0.0")</f>
        <v>0.0</v>
      </c>
      <c r="M36" s="13" t="str">
        <f>HYPERLINK(AC2 &amp; "/bolt/sn_ea0c07647550a04619288150cd830791/rendering/10.xyz", "0.0")</f>
        <v>0.0</v>
      </c>
      <c r="N36" s="13" t="str">
        <f>HYPERLINK(AC2 &amp; "/bolt/sn_ea0c07647550a04619288150cd830791/rendering/11.xyz", "0.0")</f>
        <v>0.0</v>
      </c>
      <c r="O36" s="13" t="str">
        <f>HYPERLINK(AC2 &amp; "/bolt/sn_ea0c07647550a04619288150cd830791/rendering/12.xyz", "0.0")</f>
        <v>0.0</v>
      </c>
      <c r="P36" s="13" t="str">
        <f>HYPERLINK(AC2 &amp; "/bolt/sn_ea0c07647550a04619288150cd830791/rendering/13.xyz", "0.0")</f>
        <v>0.0</v>
      </c>
      <c r="Q36" s="13" t="str">
        <f>HYPERLINK(AC2 &amp; "/bolt/sn_ea0c07647550a04619288150cd830791/rendering/14.xyz", "0.0")</f>
        <v>0.0</v>
      </c>
      <c r="R36" s="13" t="str">
        <f>HYPERLINK(AC2 &amp; "/bolt/sn_ea0c07647550a04619288150cd830791/rendering/15.xyz", "0.0")</f>
        <v>0.0</v>
      </c>
      <c r="S36" s="13" t="str">
        <f>HYPERLINK(AC2 &amp; "/bolt/sn_ea0c07647550a04619288150cd830791/rendering/16.xyz", "0.0")</f>
        <v>0.0</v>
      </c>
      <c r="T36" s="13" t="str">
        <f>HYPERLINK(AC2 &amp; "/bolt/sn_ea0c07647550a04619288150cd830791/rendering/17.xyz", "0.0")</f>
        <v>0.0</v>
      </c>
      <c r="U36" s="13" t="str">
        <f>HYPERLINK(AC2 &amp; "/bolt/sn_ea0c07647550a04619288150cd830791/rendering/18.xyz", "0.0")</f>
        <v>0.0</v>
      </c>
      <c r="V36" s="13" t="str">
        <f>HYPERLINK(AC2 &amp; "/bolt/sn_ea0c07647550a04619288150cd830791/rendering/19.xyz", "0.0")</f>
        <v>0.0</v>
      </c>
      <c r="W36" s="12" t="s">
        <v>33</v>
      </c>
      <c r="X36" s="13">
        <v>0</v>
      </c>
      <c r="Y36" s="13">
        <v>0</v>
      </c>
      <c r="Z36" s="13">
        <v>0</v>
      </c>
    </row>
    <row r="37" spans="1:26" x14ac:dyDescent="0.2">
      <c r="A37" s="1">
        <v>35</v>
      </c>
      <c r="B37" s="2" t="s">
        <v>40</v>
      </c>
      <c r="C37" s="74" t="str">
        <f>HYPERLINK(AA2 &amp; "/bolt/sn_eaaab1dac838e73cebcfec6b269d3f01/rendering/00.obj", "4.0024798584")</f>
        <v>4.0024798584</v>
      </c>
      <c r="D37" s="23" t="str">
        <f>HYPERLINK(AA2 &amp; "/bolt/sn_eaaab1dac838e73cebcfec6b269d3f01/rendering/01.obj", "3.9034942627")</f>
        <v>3.9034942627</v>
      </c>
      <c r="E37" s="30" t="str">
        <f>HYPERLINK(AA2 &amp; "/bolt/sn_eaaab1dac838e73cebcfec6b269d3f01/rendering/02.obj", "4.04281494141")</f>
        <v>4.04281494141</v>
      </c>
      <c r="F37" s="47" t="str">
        <f>HYPERLINK(AA2 &amp; "/bolt/sn_eaaab1dac838e73cebcfec6b269d3f01/rendering/03.obj", "4.02627807617")</f>
        <v>4.02627807617</v>
      </c>
      <c r="G37" s="91" t="str">
        <f>HYPERLINK(AA2 &amp; "/bolt/sn_eaaab1dac838e73cebcfec6b269d3f01/rendering/04.obj", "3.94657409668")</f>
        <v>3.94657409668</v>
      </c>
      <c r="H37" s="8" t="str">
        <f>HYPERLINK(AA2 &amp; "/bolt/sn_eaaab1dac838e73cebcfec6b269d3f01/rendering/05.obj", "4.62924621582")</f>
        <v>4.62924621582</v>
      </c>
      <c r="I37" s="51" t="str">
        <f>HYPERLINK(AA2 &amp; "/bolt/sn_eaaab1dac838e73cebcfec6b269d3f01/rendering/06.obj", "3.7336114502")</f>
        <v>3.7336114502</v>
      </c>
      <c r="J37" s="47" t="str">
        <f>HYPERLINK(AA2 &amp; "/bolt/sn_eaaab1dac838e73cebcfec6b269d3f01/rendering/07.obj", "4.02438903809")</f>
        <v>4.02438903809</v>
      </c>
      <c r="K37" s="6" t="str">
        <f>HYPERLINK(AA2 &amp; "/bolt/sn_eaaab1dac838e73cebcfec6b269d3f01/rendering/08.obj", "3.87809814453")</f>
        <v>3.87809814453</v>
      </c>
      <c r="L37" s="94" t="str">
        <f>HYPERLINK(AA2 &amp; "/bolt/sn_eaaab1dac838e73cebcfec6b269d3f01/rendering/09.obj", "3.75793273926")</f>
        <v>3.75793273926</v>
      </c>
      <c r="M37" s="74" t="str">
        <f>HYPERLINK(AA2 &amp; "/bolt/sn_eaaab1dac838e73cebcfec6b269d3f01/rendering/10.obj", "4.11067260742")</f>
        <v>4.11067260742</v>
      </c>
      <c r="N37" s="94" t="str">
        <f>HYPERLINK(AA2 &amp; "/bolt/sn_eaaab1dac838e73cebcfec6b269d3f01/rendering/11.obj", "4.36034606934")</f>
        <v>4.36034606934</v>
      </c>
      <c r="O37" s="74" t="str">
        <f>HYPERLINK(AA2 &amp; "/bolt/sn_eaaab1dac838e73cebcfec6b269d3f01/rendering/12.obj", "3.99594665527")</f>
        <v>3.99594665527</v>
      </c>
      <c r="P37" s="30" t="str">
        <f>HYPERLINK(AA2 &amp; "/bolt/sn_eaaab1dac838e73cebcfec6b269d3f01/rendering/13.obj", "4.07422241211")</f>
        <v>4.07422241211</v>
      </c>
      <c r="Q37" s="48" t="str">
        <f>HYPERLINK(AA2 &amp; "/bolt/sn_eaaab1dac838e73cebcfec6b269d3f01/rendering/14.obj", "4.15430877686")</f>
        <v>4.15430877686</v>
      </c>
      <c r="R37" s="72" t="str">
        <f>HYPERLINK(AA2 &amp; "/bolt/sn_eaaab1dac838e73cebcfec6b269d3f01/rendering/15.obj", "3.9258972168")</f>
        <v>3.9258972168</v>
      </c>
      <c r="S37" s="30" t="str">
        <f>HYPERLINK(AA2 &amp; "/bolt/sn_eaaab1dac838e73cebcfec6b269d3f01/rendering/16.obj", "4.07824432373")</f>
        <v>4.07824432373</v>
      </c>
      <c r="T37" s="72" t="str">
        <f>HYPERLINK(AA2 &amp; "/bolt/sn_eaaab1dac838e73cebcfec6b269d3f01/rendering/17.obj", "3.92496704102")</f>
        <v>3.92496704102</v>
      </c>
      <c r="U37" s="27" t="str">
        <f>HYPERLINK(AA2 &amp; "/bolt/sn_eaaab1dac838e73cebcfec6b269d3f01/rendering/18.obj", "4.33783050537")</f>
        <v>4.33783050537</v>
      </c>
      <c r="V37" s="68" t="str">
        <f>HYPERLINK(AA2 &amp; "/bolt/sn_eaaab1dac838e73cebcfec6b269d3f01/rendering/19.obj", "4.2226385498")</f>
        <v>4.2226385498</v>
      </c>
      <c r="W37" s="12" t="s">
        <v>29</v>
      </c>
      <c r="X37" s="13">
        <v>4.0564996490478507</v>
      </c>
      <c r="Y37" s="13">
        <v>0.20544992284057301</v>
      </c>
      <c r="Z37" s="60">
        <v>5.0647094937823198E-2</v>
      </c>
    </row>
    <row r="38" spans="1:26" x14ac:dyDescent="0.2">
      <c r="A38" s="1">
        <v>36</v>
      </c>
      <c r="B38" s="2" t="s">
        <v>40</v>
      </c>
      <c r="C38" s="30" t="str">
        <f>HYPERLINK(AA2 &amp; "/bolt/sn_eaaab1dac838e73cebcfec6b269d3f01/rendering/00.obj", "2.40806269646")</f>
        <v>2.40806269646</v>
      </c>
      <c r="D38" s="10" t="str">
        <f>HYPERLINK(AA2 &amp; "/bolt/sn_eaaab1dac838e73cebcfec6b269d3f01/rendering/01.obj", "2.26064109802")</f>
        <v>2.26064109802</v>
      </c>
      <c r="E38" s="72" t="str">
        <f>HYPERLINK(AA2 &amp; "/bolt/sn_eaaab1dac838e73cebcfec6b269d3f01/rendering/02.obj", "2.31426620483")</f>
        <v>2.31426620483</v>
      </c>
      <c r="F38" s="60" t="str">
        <f>HYPERLINK(AA2 &amp; "/bolt/sn_eaaab1dac838e73cebcfec6b269d3f01/rendering/03.obj", "2.27296614647")</f>
        <v>2.27296614647</v>
      </c>
      <c r="G38" s="25" t="str">
        <f>HYPERLINK(AA2 &amp; "/bolt/sn_eaaab1dac838e73cebcfec6b269d3f01/rendering/04.obj", "2.36414551735")</f>
        <v>2.36414551735</v>
      </c>
      <c r="H38" s="50" t="str">
        <f>HYPERLINK(AA2 &amp; "/bolt/sn_eaaab1dac838e73cebcfec6b269d3f01/rendering/05.obj", "2.87115049362")</f>
        <v>2.87115049362</v>
      </c>
      <c r="I38" s="60" t="str">
        <f>HYPERLINK(AA2 &amp; "/bolt/sn_eaaab1dac838e73cebcfec6b269d3f01/rendering/06.obj", "2.26989340782")</f>
        <v>2.26989340782</v>
      </c>
      <c r="J38" s="17" t="str">
        <f>HYPERLINK(AA2 &amp; "/bolt/sn_eaaab1dac838e73cebcfec6b269d3f01/rendering/07.obj", "2.34854197502")</f>
        <v>2.34854197502</v>
      </c>
      <c r="K38" s="51" t="str">
        <f>HYPERLINK(AA2 &amp; "/bolt/sn_eaaab1dac838e73cebcfec6b269d3f01/rendering/08.obj", "2.58333849907")</f>
        <v>2.58333849907</v>
      </c>
      <c r="L38" s="48" t="str">
        <f>HYPERLINK(AA2 &amp; "/bolt/sn_eaaab1dac838e73cebcfec6b269d3f01/rendering/09.obj", "2.44701766968")</f>
        <v>2.44701766968</v>
      </c>
      <c r="M38" s="32" t="str">
        <f>HYPERLINK(AA2 &amp; "/bolt/sn_eaaab1dac838e73cebcfec6b269d3f01/rendering/10.obj", "2.64674901962")</f>
        <v>2.64674901962</v>
      </c>
      <c r="N38" s="72" t="str">
        <f>HYPERLINK(AA2 &amp; "/bolt/sn_eaaab1dac838e73cebcfec6b269d3f01/rendering/11.obj", "2.46950697899")</f>
        <v>2.46950697899</v>
      </c>
      <c r="O38" s="67" t="str">
        <f>HYPERLINK(AA2 &amp; "/bolt/sn_eaaab1dac838e73cebcfec6b269d3f01/rendering/12.obj", "2.17062902451")</f>
        <v>2.17062902451</v>
      </c>
      <c r="P38" s="107" t="str">
        <f>HYPERLINK(AA2 &amp; "/bolt/sn_eaaab1dac838e73cebcfec6b269d3f01/rendering/13.obj", "2.1922249794")</f>
        <v>2.1922249794</v>
      </c>
      <c r="Q38" s="46" t="str">
        <f>HYPERLINK(AA2 &amp; "/bolt/sn_eaaab1dac838e73cebcfec6b269d3f01/rendering/14.obj", "2.35426950455")</f>
        <v>2.35426950455</v>
      </c>
      <c r="R38" s="10" t="str">
        <f>HYPERLINK(AA2 &amp; "/bolt/sn_eaaab1dac838e73cebcfec6b269d3f01/rendering/15.obj", "2.52885079384")</f>
        <v>2.52885079384</v>
      </c>
      <c r="S38" s="68" t="str">
        <f>HYPERLINK(AA2 &amp; "/bolt/sn_eaaab1dac838e73cebcfec6b269d3f01/rendering/16.obj", "2.28926372528")</f>
        <v>2.28926372528</v>
      </c>
      <c r="T38" s="41" t="str">
        <f>HYPERLINK(AA2 &amp; "/bolt/sn_eaaab1dac838e73cebcfec6b269d3f01/rendering/17.obj", "2.22946667671")</f>
        <v>2.22946667671</v>
      </c>
      <c r="U38" s="13" t="str">
        <f>HYPERLINK(AA2 &amp; "/bolt/sn_eaaab1dac838e73cebcfec6b269d3f01/rendering/18.obj", "2.38906502724")</f>
        <v>2.38906502724</v>
      </c>
      <c r="V38" s="69" t="str">
        <f>HYPERLINK(AA2 &amp; "/bolt/sn_eaaab1dac838e73cebcfec6b269d3f01/rendering/19.obj", "2.465467453")</f>
        <v>2.465467453</v>
      </c>
      <c r="W38" s="12" t="s">
        <v>30</v>
      </c>
      <c r="X38" s="13">
        <v>2.393775844573975</v>
      </c>
      <c r="Y38" s="13">
        <v>0.16534931952302351</v>
      </c>
      <c r="Z38" s="27">
        <v>6.9074687965385129E-2</v>
      </c>
    </row>
    <row r="39" spans="1:26" x14ac:dyDescent="0.2">
      <c r="A39" s="1">
        <v>37</v>
      </c>
      <c r="B39" s="2" t="s">
        <v>40</v>
      </c>
      <c r="C39" s="73" t="str">
        <f>HYPERLINK(AB2 &amp; "/bolt/sn_eaaab1dac838e73cebcfec6b269d3f01/rendering/00.obj", "4.85823394775")</f>
        <v>4.85823394775</v>
      </c>
      <c r="D39" s="74" t="str">
        <f>HYPERLINK(AB2 &amp; "/bolt/sn_eaaab1dac838e73cebcfec6b269d3f01/rendering/01.obj", "4.61199890137")</f>
        <v>4.61199890137</v>
      </c>
      <c r="E39" s="30" t="str">
        <f>HYPERLINK(AB2 &amp; "/bolt/sn_eaaab1dac838e73cebcfec6b269d3f01/rendering/02.obj", "4.6613659668")</f>
        <v>4.6613659668</v>
      </c>
      <c r="F39" s="30" t="str">
        <f>HYPERLINK(AB2 &amp; "/bolt/sn_eaaab1dac838e73cebcfec6b269d3f01/rendering/03.obj", "4.70989868164")</f>
        <v>4.70989868164</v>
      </c>
      <c r="G39" s="17" t="str">
        <f>HYPERLINK(AB2 &amp; "/bolt/sn_eaaab1dac838e73cebcfec6b269d3f01/rendering/04.obj", "4.77808807373")</f>
        <v>4.77808807373</v>
      </c>
      <c r="H39" s="78" t="str">
        <f>HYPERLINK(AB2 &amp; "/bolt/sn_eaaab1dac838e73cebcfec6b269d3f01/rendering/05.obj", "4.97655334473")</f>
        <v>4.97655334473</v>
      </c>
      <c r="I39" s="91" t="str">
        <f>HYPERLINK(AB2 &amp; "/bolt/sn_eaaab1dac838e73cebcfec6b269d3f01/rendering/06.obj", "4.80552490234")</f>
        <v>4.80552490234</v>
      </c>
      <c r="J39" s="17" t="str">
        <f>HYPERLINK(AB2 &amp; "/bolt/sn_eaaab1dac838e73cebcfec6b269d3f01/rendering/07.obj", "4.78286346436")</f>
        <v>4.78286346436</v>
      </c>
      <c r="K39" s="46" t="str">
        <f>HYPERLINK(AB2 &amp; "/bolt/sn_eaaab1dac838e73cebcfec6b269d3f01/rendering/08.obj", "4.59969604492")</f>
        <v>4.59969604492</v>
      </c>
      <c r="L39" s="74" t="str">
        <f>HYPERLINK(AB2 &amp; "/bolt/sn_eaaab1dac838e73cebcfec6b269d3f01/rendering/09.obj", "4.61654907227")</f>
        <v>4.61654907227</v>
      </c>
      <c r="M39" s="46" t="str">
        <f>HYPERLINK(AB2 &amp; "/bolt/sn_eaaab1dac838e73cebcfec6b269d3f01/rendering/10.obj", "4.76752502441")</f>
        <v>4.76752502441</v>
      </c>
      <c r="N39" s="91" t="str">
        <f>HYPERLINK(AB2 &amp; "/bolt/sn_eaaab1dac838e73cebcfec6b269d3f01/rendering/11.obj", "4.5566583252")</f>
        <v>4.5566583252</v>
      </c>
      <c r="O39" s="46" t="str">
        <f>HYPERLINK(AB2 &amp; "/bolt/sn_eaaab1dac838e73cebcfec6b269d3f01/rendering/12.obj", "4.77032714844")</f>
        <v>4.77032714844</v>
      </c>
      <c r="P39" s="72" t="str">
        <f>HYPERLINK(AB2 &amp; "/bolt/sn_eaaab1dac838e73cebcfec6b269d3f01/rendering/13.obj", "4.83657196045")</f>
        <v>4.83657196045</v>
      </c>
      <c r="Q39" s="68" t="str">
        <f>HYPERLINK(AB2 &amp; "/bolt/sn_eaaab1dac838e73cebcfec6b269d3f01/rendering/14.obj", "4.48754394531")</f>
        <v>4.48754394531</v>
      </c>
      <c r="R39" s="48" t="str">
        <f>HYPERLINK(AB2 &amp; "/bolt/sn_eaaab1dac838e73cebcfec6b269d3f01/rendering/15.obj", "4.57075744629")</f>
        <v>4.57075744629</v>
      </c>
      <c r="S39" s="94" t="str">
        <f>HYPERLINK(AB2 &amp; "/bolt/sn_eaaab1dac838e73cebcfec6b269d3f01/rendering/16.obj", "4.34029571533")</f>
        <v>4.34029571533</v>
      </c>
      <c r="T39" s="30" t="str">
        <f>HYPERLINK(AB2 &amp; "/bolt/sn_eaaab1dac838e73cebcfec6b269d3f01/rendering/17.obj", "4.66233093262")</f>
        <v>4.66233093262</v>
      </c>
      <c r="U39" s="78" t="str">
        <f>HYPERLINK(AB2 &amp; "/bolt/sn_eaaab1dac838e73cebcfec6b269d3f01/rendering/18.obj", "4.40187988281")</f>
        <v>4.40187988281</v>
      </c>
      <c r="V39" s="23" t="str">
        <f>HYPERLINK(AB2 &amp; "/bolt/sn_eaaab1dac838e73cebcfec6b269d3f01/rendering/19.obj", "4.8611239624")</f>
        <v>4.8611239624</v>
      </c>
      <c r="W39" s="12" t="s">
        <v>31</v>
      </c>
      <c r="X39" s="13">
        <v>4.6827893371582032</v>
      </c>
      <c r="Y39" s="13">
        <v>0.15846814525363759</v>
      </c>
      <c r="Z39" s="72">
        <v>3.3840545419411401E-2</v>
      </c>
    </row>
    <row r="40" spans="1:26" x14ac:dyDescent="0.2">
      <c r="A40" s="1">
        <v>38</v>
      </c>
      <c r="B40" s="2" t="s">
        <v>40</v>
      </c>
      <c r="C40" s="30" t="str">
        <f>HYPERLINK(AB2 &amp; "/bolt/sn_eaaab1dac838e73cebcfec6b269d3f01/rendering/00.obj", "2.51244926453")</f>
        <v>2.51244926453</v>
      </c>
      <c r="D40" s="25" t="str">
        <f>HYPERLINK(AB2 &amp; "/bolt/sn_eaaab1dac838e73cebcfec6b269d3f01/rendering/01.obj", "2.49961304665")</f>
        <v>2.49961304665</v>
      </c>
      <c r="E40" s="34" t="str">
        <f>HYPERLINK(AB2 &amp; "/bolt/sn_eaaab1dac838e73cebcfec6b269d3f01/rendering/02.obj", "2.40680336952")</f>
        <v>2.40680336952</v>
      </c>
      <c r="F40" s="30" t="str">
        <f>HYPERLINK(AB2 &amp; "/bolt/sn_eaaab1dac838e73cebcfec6b269d3f01/rendering/03.obj", "2.53867316246")</f>
        <v>2.53867316246</v>
      </c>
      <c r="G40" s="73" t="str">
        <f>HYPERLINK(AB2 &amp; "/bolt/sn_eaaab1dac838e73cebcfec6b269d3f01/rendering/04.obj", "2.43614578247")</f>
        <v>2.43614578247</v>
      </c>
      <c r="H40" s="10" t="str">
        <f>HYPERLINK(AB2 &amp; "/bolt/sn_eaaab1dac838e73cebcfec6b269d3f01/rendering/05.obj", "2.6655061245")</f>
        <v>2.6655061245</v>
      </c>
      <c r="I40" s="69" t="str">
        <f>HYPERLINK(AB2 &amp; "/bolt/sn_eaaab1dac838e73cebcfec6b269d3f01/rendering/06.obj", "2.60244989395")</f>
        <v>2.60244989395</v>
      </c>
      <c r="J40" s="47" t="str">
        <f>HYPERLINK(AB2 &amp; "/bolt/sn_eaaab1dac838e73cebcfec6b269d3f01/rendering/07.obj", "2.54521369934")</f>
        <v>2.54521369934</v>
      </c>
      <c r="K40" s="48" t="str">
        <f>HYPERLINK(AB2 &amp; "/bolt/sn_eaaab1dac838e73cebcfec6b269d3f01/rendering/08.obj", "2.58624601364")</f>
        <v>2.58624601364</v>
      </c>
      <c r="L40" s="74" t="str">
        <f>HYPERLINK(AB2 &amp; "/bolt/sn_eaaab1dac838e73cebcfec6b269d3f01/rendering/09.obj", "2.56540894508")</f>
        <v>2.56540894508</v>
      </c>
      <c r="M40" s="74" t="str">
        <f>HYPERLINK(AB2 &amp; "/bolt/sn_eaaab1dac838e73cebcfec6b269d3f01/rendering/10.obj", "2.56544017792")</f>
        <v>2.56544017792</v>
      </c>
      <c r="N40" s="34" t="str">
        <f>HYPERLINK(AB2 &amp; "/bolt/sn_eaaab1dac838e73cebcfec6b269d3f01/rendering/11.obj", "2.40733027458")</f>
        <v>2.40733027458</v>
      </c>
      <c r="O40" s="13" t="str">
        <f>HYPERLINK(AB2 &amp; "/bolt/sn_eaaab1dac838e73cebcfec6b269d3f01/rendering/12.obj", "2.52990102768")</f>
        <v>2.52990102768</v>
      </c>
      <c r="P40" s="73" t="str">
        <f>HYPERLINK(AB2 &amp; "/bolt/sn_eaaab1dac838e73cebcfec6b269d3f01/rendering/13.obj", "2.62020802498")</f>
        <v>2.62020802498</v>
      </c>
      <c r="Q40" s="30" t="str">
        <f>HYPERLINK(AB2 &amp; "/bolt/sn_eaaab1dac838e73cebcfec6b269d3f01/rendering/14.obj", "2.51154828072")</f>
        <v>2.51154828072</v>
      </c>
      <c r="R40" s="73" t="str">
        <f>HYPERLINK(AB2 &amp; "/bolt/sn_eaaab1dac838e73cebcfec6b269d3f01/rendering/15.obj", "2.43640613556")</f>
        <v>2.43640613556</v>
      </c>
      <c r="S40" s="25" t="str">
        <f>HYPERLINK(AB2 &amp; "/bolt/sn_eaaab1dac838e73cebcfec6b269d3f01/rendering/16.obj", "2.5508441925")</f>
        <v>2.5508441925</v>
      </c>
      <c r="T40" s="30" t="str">
        <f>HYPERLINK(AB2 &amp; "/bolt/sn_eaaab1dac838e73cebcfec6b269d3f01/rendering/17.obj", "2.53501391411")</f>
        <v>2.53501391411</v>
      </c>
      <c r="U40" s="91" t="str">
        <f>HYPERLINK(AB2 &amp; "/bolt/sn_eaaab1dac838e73cebcfec6b269d3f01/rendering/18.obj", "2.4565114975")</f>
        <v>2.4565114975</v>
      </c>
      <c r="V40" s="74" t="str">
        <f>HYPERLINK(AB2 &amp; "/bolt/sn_eaaab1dac838e73cebcfec6b269d3f01/rendering/19.obj", "2.55980062485")</f>
        <v>2.55980062485</v>
      </c>
      <c r="W40" s="12" t="s">
        <v>32</v>
      </c>
      <c r="X40" s="13">
        <v>2.5265756726264952</v>
      </c>
      <c r="Y40" s="13">
        <v>6.8413369746086583E-2</v>
      </c>
      <c r="Z40" s="91">
        <v>2.7077506716815511E-2</v>
      </c>
    </row>
    <row r="41" spans="1:26" x14ac:dyDescent="0.2">
      <c r="A41" s="1">
        <v>39</v>
      </c>
      <c r="B41" s="2" t="s">
        <v>40</v>
      </c>
      <c r="C41" s="13" t="str">
        <f>HYPERLINK(AC2 &amp; "/bolt/sn_eaaab1dac838e73cebcfec6b269d3f01/rendering/00.xyz", "0.0")</f>
        <v>0.0</v>
      </c>
      <c r="D41" s="13" t="str">
        <f>HYPERLINK(AC2 &amp; "/bolt/sn_eaaab1dac838e73cebcfec6b269d3f01/rendering/01.xyz", "0.0")</f>
        <v>0.0</v>
      </c>
      <c r="E41" s="13" t="str">
        <f>HYPERLINK(AC2 &amp; "/bolt/sn_eaaab1dac838e73cebcfec6b269d3f01/rendering/02.xyz", "0.0")</f>
        <v>0.0</v>
      </c>
      <c r="F41" s="13" t="str">
        <f>HYPERLINK(AC2 &amp; "/bolt/sn_eaaab1dac838e73cebcfec6b269d3f01/rendering/03.xyz", "0.0")</f>
        <v>0.0</v>
      </c>
      <c r="G41" s="13" t="str">
        <f>HYPERLINK(AC2 &amp; "/bolt/sn_eaaab1dac838e73cebcfec6b269d3f01/rendering/04.xyz", "0.0")</f>
        <v>0.0</v>
      </c>
      <c r="H41" s="13" t="str">
        <f>HYPERLINK(AC2 &amp; "/bolt/sn_eaaab1dac838e73cebcfec6b269d3f01/rendering/05.xyz", "0.0")</f>
        <v>0.0</v>
      </c>
      <c r="I41" s="13" t="str">
        <f>HYPERLINK(AC2 &amp; "/bolt/sn_eaaab1dac838e73cebcfec6b269d3f01/rendering/06.xyz", "0.0")</f>
        <v>0.0</v>
      </c>
      <c r="J41" s="13" t="str">
        <f>HYPERLINK(AC2 &amp; "/bolt/sn_eaaab1dac838e73cebcfec6b269d3f01/rendering/07.xyz", "0.0")</f>
        <v>0.0</v>
      </c>
      <c r="K41" s="13" t="str">
        <f>HYPERLINK(AC2 &amp; "/bolt/sn_eaaab1dac838e73cebcfec6b269d3f01/rendering/08.xyz", "0.0")</f>
        <v>0.0</v>
      </c>
      <c r="L41" s="13" t="str">
        <f>HYPERLINK(AC2 &amp; "/bolt/sn_eaaab1dac838e73cebcfec6b269d3f01/rendering/09.xyz", "0.0")</f>
        <v>0.0</v>
      </c>
      <c r="M41" s="13" t="str">
        <f>HYPERLINK(AC2 &amp; "/bolt/sn_eaaab1dac838e73cebcfec6b269d3f01/rendering/10.xyz", "0.0")</f>
        <v>0.0</v>
      </c>
      <c r="N41" s="13" t="str">
        <f>HYPERLINK(AC2 &amp; "/bolt/sn_eaaab1dac838e73cebcfec6b269d3f01/rendering/11.xyz", "0.0")</f>
        <v>0.0</v>
      </c>
      <c r="O41" s="13" t="str">
        <f>HYPERLINK(AC2 &amp; "/bolt/sn_eaaab1dac838e73cebcfec6b269d3f01/rendering/12.xyz", "0.0")</f>
        <v>0.0</v>
      </c>
      <c r="P41" s="13" t="str">
        <f>HYPERLINK(AC2 &amp; "/bolt/sn_eaaab1dac838e73cebcfec6b269d3f01/rendering/13.xyz", "0.0")</f>
        <v>0.0</v>
      </c>
      <c r="Q41" s="13" t="str">
        <f>HYPERLINK(AC2 &amp; "/bolt/sn_eaaab1dac838e73cebcfec6b269d3f01/rendering/14.xyz", "0.0")</f>
        <v>0.0</v>
      </c>
      <c r="R41" s="13" t="str">
        <f>HYPERLINK(AC2 &amp; "/bolt/sn_eaaab1dac838e73cebcfec6b269d3f01/rendering/15.xyz", "0.0")</f>
        <v>0.0</v>
      </c>
      <c r="S41" s="13" t="str">
        <f>HYPERLINK(AC2 &amp; "/bolt/sn_eaaab1dac838e73cebcfec6b269d3f01/rendering/16.xyz", "0.0")</f>
        <v>0.0</v>
      </c>
      <c r="T41" s="13" t="str">
        <f>HYPERLINK(AC2 &amp; "/bolt/sn_eaaab1dac838e73cebcfec6b269d3f01/rendering/17.xyz", "0.0")</f>
        <v>0.0</v>
      </c>
      <c r="U41" s="13" t="str">
        <f>HYPERLINK(AC2 &amp; "/bolt/sn_eaaab1dac838e73cebcfec6b269d3f01/rendering/18.xyz", "0.0")</f>
        <v>0.0</v>
      </c>
      <c r="V41" s="13" t="str">
        <f>HYPERLINK(AC2 &amp; "/bolt/sn_eaaab1dac838e73cebcfec6b269d3f01/rendering/19.xyz", "0.0")</f>
        <v>0.0</v>
      </c>
      <c r="W41" s="12" t="s">
        <v>33</v>
      </c>
      <c r="X41" s="13">
        <v>0</v>
      </c>
      <c r="Y41" s="13">
        <v>0</v>
      </c>
      <c r="Z41" s="13">
        <v>0</v>
      </c>
    </row>
    <row r="42" spans="1:26" x14ac:dyDescent="0.2">
      <c r="A42" s="1">
        <v>40</v>
      </c>
      <c r="B42" s="2" t="s">
        <v>41</v>
      </c>
      <c r="C42" s="134" t="str">
        <f>HYPERLINK(AA2 &amp; "/bolt/sn_ecd3f40517ce1322cd7ecf32c7a32daa/rendering/00.obj", "4.46795440674")</f>
        <v>4.46795440674</v>
      </c>
      <c r="D42" s="63" t="str">
        <f>HYPERLINK(AA2 &amp; "/bolt/sn_ecd3f40517ce1322cd7ecf32c7a32daa/rendering/01.obj", "3.32385314941")</f>
        <v>3.32385314941</v>
      </c>
      <c r="E42" s="37" t="str">
        <f>HYPERLINK(AA2 &amp; "/bolt/sn_ecd3f40517ce1322cd7ecf32c7a32daa/rendering/02.obj", "3.12801757813")</f>
        <v>3.12801757813</v>
      </c>
      <c r="F42" s="109" t="str">
        <f>HYPERLINK(AA2 &amp; "/bolt/sn_ecd3f40517ce1322cd7ecf32c7a32daa/rendering/03.obj", "3.06239868164")</f>
        <v>3.06239868164</v>
      </c>
      <c r="G42" s="138" t="str">
        <f>HYPERLINK(AA2 &amp; "/bolt/sn_ecd3f40517ce1322cd7ecf32c7a32daa/rendering/04.obj", "2.50437072754")</f>
        <v>2.50437072754</v>
      </c>
      <c r="H42" s="95" t="str">
        <f>HYPERLINK(AA2 &amp; "/bolt/sn_ecd3f40517ce1322cd7ecf32c7a32daa/rendering/05.obj", "2.72708404541")</f>
        <v>2.72708404541</v>
      </c>
      <c r="I42" s="11" t="str">
        <f>HYPERLINK(AA2 &amp; "/bolt/sn_ecd3f40517ce1322cd7ecf32c7a32daa/rendering/06.obj", "2.94117248535")</f>
        <v>2.94117248535</v>
      </c>
      <c r="J42" s="118" t="str">
        <f>HYPERLINK(AA2 &amp; "/bolt/sn_ecd3f40517ce1322cd7ecf32c7a32daa/rendering/07.obj", "2.67040344238")</f>
        <v>2.67040344238</v>
      </c>
      <c r="K42" s="61" t="str">
        <f>HYPERLINK(AA2 &amp; "/bolt/sn_ecd3f40517ce1322cd7ecf32c7a32daa/rendering/08.obj", "2.64390686035")</f>
        <v>2.64390686035</v>
      </c>
      <c r="L42" s="67" t="str">
        <f>HYPERLINK(AA2 &amp; "/bolt/sn_ecd3f40517ce1322cd7ecf32c7a32daa/rendering/09.obj", "3.43963562012")</f>
        <v>3.43963562012</v>
      </c>
      <c r="M42" s="139" t="str">
        <f>HYPERLINK(AA2 &amp; "/bolt/sn_ecd3f40517ce1322cd7ecf32c7a32daa/rendering/10.obj", "5.60756958008")</f>
        <v>5.60756958008</v>
      </c>
      <c r="N42" s="93" t="str">
        <f>HYPERLINK(AA2 &amp; "/bolt/sn_ecd3f40517ce1322cd7ecf32c7a32daa/rendering/11.obj", "3.25733337402")</f>
        <v>3.25733337402</v>
      </c>
      <c r="O42" s="120" t="str">
        <f>HYPERLINK(AA2 &amp; "/bolt/sn_ecd3f40517ce1322cd7ecf32c7a32daa/rendering/12.obj", "2.98363830566")</f>
        <v>2.98363830566</v>
      </c>
      <c r="P42" s="82" t="str">
        <f>HYPERLINK(AA2 &amp; "/bolt/sn_ecd3f40517ce1322cd7ecf32c7a32daa/rendering/13.obj", "3.00605285645")</f>
        <v>3.00605285645</v>
      </c>
      <c r="Q42" s="90" t="str">
        <f>HYPERLINK(AA2 &amp; "/bolt/sn_ecd3f40517ce1322cd7ecf32c7a32daa/rendering/14.obj", "3.41674591064")</f>
        <v>3.41674591064</v>
      </c>
      <c r="R42" s="60" t="str">
        <f>HYPERLINK(AA2 &amp; "/bolt/sn_ecd3f40517ce1322cd7ecf32c7a32daa/rendering/15.obj", "3.97721008301")</f>
        <v>3.97721008301</v>
      </c>
      <c r="S42" s="140" t="str">
        <f>HYPERLINK(AA2 &amp; "/bolt/sn_ecd3f40517ce1322cd7ecf32c7a32daa/rendering/16.obj", "2.47028198242")</f>
        <v>2.47028198242</v>
      </c>
      <c r="T42" s="47" t="str">
        <f>HYPERLINK(AA2 &amp; "/bolt/sn_ecd3f40517ce1322cd7ecf32c7a32daa/rendering/17.obj", "3.75917114258")</f>
        <v>3.75917114258</v>
      </c>
      <c r="U42" s="26" t="str">
        <f>HYPERLINK(AA2 &amp; "/bolt/sn_ecd3f40517ce1322cd7ecf32c7a32daa/rendering/18.obj", "4.02474334717")</f>
        <v>4.02474334717</v>
      </c>
      <c r="V42" s="20" t="str">
        <f>HYPERLINK(AA2 &amp; "/bolt/sn_ecd3f40517ce1322cd7ecf32c7a32daa/rendering/19.obj", "12.2733398437")</f>
        <v>12.2733398437</v>
      </c>
      <c r="W42" s="12" t="s">
        <v>29</v>
      </c>
      <c r="X42" s="13">
        <v>3.7842441711425781</v>
      </c>
      <c r="Y42" s="13">
        <v>2.0812017678829662</v>
      </c>
      <c r="Z42" s="141">
        <v>0.54996497946764045</v>
      </c>
    </row>
    <row r="43" spans="1:26" x14ac:dyDescent="0.2">
      <c r="A43" s="1">
        <v>41</v>
      </c>
      <c r="B43" s="2" t="s">
        <v>41</v>
      </c>
      <c r="C43" s="113" t="str">
        <f>HYPERLINK(AA2 &amp; "/bolt/sn_ecd3f40517ce1322cd7ecf32c7a32daa/rendering/00.obj", "3.87874937057")</f>
        <v>3.87874937057</v>
      </c>
      <c r="D43" s="28" t="str">
        <f>HYPERLINK(AA2 &amp; "/bolt/sn_ecd3f40517ce1322cd7ecf32c7a32daa/rendering/01.obj", "2.69896459579")</f>
        <v>2.69896459579</v>
      </c>
      <c r="E43" s="142" t="str">
        <f>HYPERLINK(AA2 &amp; "/bolt/sn_ecd3f40517ce1322cd7ecf32c7a32daa/rendering/02.obj", "1.84304428101")</f>
        <v>1.84304428101</v>
      </c>
      <c r="F43" s="143" t="str">
        <f>HYPERLINK(AA2 &amp; "/bolt/sn_ecd3f40517ce1322cd7ecf32c7a32daa/rendering/03.obj", "1.60078620911")</f>
        <v>1.60078620911</v>
      </c>
      <c r="G43" s="144" t="str">
        <f>HYPERLINK(AA2 &amp; "/bolt/sn_ecd3f40517ce1322cd7ecf32c7a32daa/rendering/04.obj", "1.50635957718")</f>
        <v>1.50635957718</v>
      </c>
      <c r="H43" s="145" t="str">
        <f>HYPERLINK(AA2 &amp; "/bolt/sn_ecd3f40517ce1322cd7ecf32c7a32daa/rendering/05.obj", "1.54601585865")</f>
        <v>1.54601585865</v>
      </c>
      <c r="I43" s="137" t="str">
        <f>HYPERLINK(AA2 &amp; "/bolt/sn_ecd3f40517ce1322cd7ecf32c7a32daa/rendering/06.obj", "1.92642807961")</f>
        <v>1.92642807961</v>
      </c>
      <c r="J43" s="102" t="str">
        <f>HYPERLINK(AA2 &amp; "/bolt/sn_ecd3f40517ce1322cd7ecf32c7a32daa/rendering/07.obj", "1.53166759014")</f>
        <v>1.53166759014</v>
      </c>
      <c r="K43" s="116" t="str">
        <f>HYPERLINK(AA2 &amp; "/bolt/sn_ecd3f40517ce1322cd7ecf32c7a32daa/rendering/08.obj", "1.71290385723")</f>
        <v>1.71290385723</v>
      </c>
      <c r="L43" s="81" t="str">
        <f>HYPERLINK(AA2 &amp; "/bolt/sn_ecd3f40517ce1322cd7ecf32c7a32daa/rendering/09.obj", "2.37734913826")</f>
        <v>2.37734913826</v>
      </c>
      <c r="M43" s="146" t="str">
        <f>HYPERLINK(AA2 &amp; "/bolt/sn_ecd3f40517ce1322cd7ecf32c7a32daa/rendering/10.obj", "5.40314531326")</f>
        <v>5.40314531326</v>
      </c>
      <c r="N43" s="53" t="str">
        <f>HYPERLINK(AA2 &amp; "/bolt/sn_ecd3f40517ce1322cd7ecf32c7a32daa/rendering/11.obj", "1.791010499")</f>
        <v>1.791010499</v>
      </c>
      <c r="O43" s="111" t="str">
        <f>HYPERLINK(AA2 &amp; "/bolt/sn_ecd3f40517ce1322cd7ecf32c7a32daa/rendering/12.obj", "1.75735855103")</f>
        <v>1.75735855103</v>
      </c>
      <c r="P43" s="147" t="str">
        <f>HYPERLINK(AA2 &amp; "/bolt/sn_ecd3f40517ce1322cd7ecf32c7a32daa/rendering/13.obj", "1.55366706848")</f>
        <v>1.55366706848</v>
      </c>
      <c r="Q43" s="43" t="str">
        <f>HYPERLINK(AA2 &amp; "/bolt/sn_ecd3f40517ce1322cd7ecf32c7a32daa/rendering/14.obj", "1.8988866806")</f>
        <v>1.8988866806</v>
      </c>
      <c r="R43" s="91" t="str">
        <f>HYPERLINK(AA2 &amp; "/bolt/sn_ecd3f40517ce1322cd7ecf32c7a32daa/rendering/15.obj", "3.11977267265")</f>
        <v>3.11977267265</v>
      </c>
      <c r="S43" s="148" t="str">
        <f>HYPERLINK(AA2 &amp; "/bolt/sn_ecd3f40517ce1322cd7ecf32c7a32daa/rendering/16.obj", "1.56365787983")</f>
        <v>1.56365787983</v>
      </c>
      <c r="T43" s="64" t="str">
        <f>HYPERLINK(AA2 &amp; "/bolt/sn_ecd3f40517ce1322cd7ecf32c7a32daa/rendering/17.obj", "2.54439663887")</f>
        <v>2.54439663887</v>
      </c>
      <c r="U43" s="149" t="str">
        <f>HYPERLINK(AA2 &amp; "/bolt/sn_ecd3f40517ce1322cd7ecf32c7a32daa/rendering/18.obj", "4.08670520782")</f>
        <v>4.08670520782</v>
      </c>
      <c r="V43" s="20" t="str">
        <f>HYPERLINK(AA2 &amp; "/bolt/sn_ecd3f40517ce1322cd7ecf32c7a32daa/rendering/19.obj", "16.4726753235")</f>
        <v>16.4726753235</v>
      </c>
      <c r="W43" s="12" t="s">
        <v>30</v>
      </c>
      <c r="X43" s="13">
        <v>3.0406772196292882</v>
      </c>
      <c r="Y43" s="13">
        <v>3.2472152082693269</v>
      </c>
      <c r="Z43" s="20">
        <v>1.0679249962168691</v>
      </c>
    </row>
    <row r="44" spans="1:26" x14ac:dyDescent="0.2">
      <c r="A44" s="1">
        <v>42</v>
      </c>
      <c r="B44" s="2" t="s">
        <v>41</v>
      </c>
      <c r="C44" s="67" t="str">
        <f>HYPERLINK(AB2 &amp; "/bolt/sn_ecd3f40517ce1322cd7ecf32c7a32daa/rendering/00.obj", "2.34097381592")</f>
        <v>2.34097381592</v>
      </c>
      <c r="D44" s="74" t="str">
        <f>HYPERLINK(AB2 &amp; "/bolt/sn_ecd3f40517ce1322cd7ecf32c7a32daa/rendering/01.obj", "2.54833648682")</f>
        <v>2.54833648682</v>
      </c>
      <c r="E44" s="46" t="str">
        <f>HYPERLINK(AB2 &amp; "/bolt/sn_ecd3f40517ce1322cd7ecf32c7a32daa/rendering/02.obj", "2.54053833008")</f>
        <v>2.54053833008</v>
      </c>
      <c r="F44" s="69" t="str">
        <f>HYPERLINK(AB2 &amp; "/bolt/sn_ecd3f40517ce1322cd7ecf32c7a32daa/rendering/03.obj", "2.50401519775")</f>
        <v>2.50401519775</v>
      </c>
      <c r="G44" s="74" t="str">
        <f>HYPERLINK(AB2 &amp; "/bolt/sn_ecd3f40517ce1322cd7ecf32c7a32daa/rendering/04.obj", "2.62047637939")</f>
        <v>2.62047637939</v>
      </c>
      <c r="H44" s="6" t="str">
        <f>HYPERLINK(AB2 &amp; "/bolt/sn_ecd3f40517ce1322cd7ecf32c7a32daa/rendering/05.obj", "2.46517807007")</f>
        <v>2.46517807007</v>
      </c>
      <c r="I44" s="34" t="str">
        <f>HYPERLINK(AB2 &amp; "/bolt/sn_ecd3f40517ce1322cd7ecf32c7a32daa/rendering/06.obj", "2.46081420898")</f>
        <v>2.46081420898</v>
      </c>
      <c r="J44" s="78" t="str">
        <f>HYPERLINK(AB2 &amp; "/bolt/sn_ecd3f40517ce1322cd7ecf32c7a32daa/rendering/07.obj", "2.42594284058")</f>
        <v>2.42594284058</v>
      </c>
      <c r="K44" s="30" t="str">
        <f>HYPERLINK(AB2 &amp; "/bolt/sn_ecd3f40517ce1322cd7ecf32c7a32daa/rendering/08.obj", "2.56731018066")</f>
        <v>2.56731018066</v>
      </c>
      <c r="L44" s="30" t="str">
        <f>HYPERLINK(AB2 &amp; "/bolt/sn_ecd3f40517ce1322cd7ecf32c7a32daa/rendering/09.obj", "2.59292755127")</f>
        <v>2.59292755127</v>
      </c>
      <c r="M44" s="136" t="str">
        <f>HYPERLINK(AB2 &amp; "/bolt/sn_ecd3f40517ce1322cd7ecf32c7a32daa/rendering/10.obj", "3.19633453369")</f>
        <v>3.19633453369</v>
      </c>
      <c r="N44" s="68" t="str">
        <f>HYPERLINK(AB2 &amp; "/bolt/sn_ecd3f40517ce1322cd7ecf32c7a32daa/rendering/11.obj", "2.69314239502")</f>
        <v>2.69314239502</v>
      </c>
      <c r="O44" s="26" t="str">
        <f>HYPERLINK(AB2 &amp; "/bolt/sn_ecd3f40517ce1322cd7ecf32c7a32daa/rendering/12.obj", "2.41620056152")</f>
        <v>2.41620056152</v>
      </c>
      <c r="P44" s="17" t="str">
        <f>HYPERLINK(AB2 &amp; "/bolt/sn_ecd3f40517ce1322cd7ecf32c7a32daa/rendering/13.obj", "2.53173522949")</f>
        <v>2.53173522949</v>
      </c>
      <c r="Q44" s="94" t="str">
        <f>HYPERLINK(AB2 &amp; "/bolt/sn_ecd3f40517ce1322cd7ecf32c7a32daa/rendering/14.obj", "2.39340545654")</f>
        <v>2.39340545654</v>
      </c>
      <c r="R44" s="73" t="str">
        <f>HYPERLINK(AB2 &amp; "/bolt/sn_ecd3f40517ce1322cd7ecf32c7a32daa/rendering/15.obj", "2.4883102417")</f>
        <v>2.4883102417</v>
      </c>
      <c r="S44" s="30" t="str">
        <f>HYPERLINK(AB2 &amp; "/bolt/sn_ecd3f40517ce1322cd7ecf32c7a32daa/rendering/16.obj", "2.59631744385")</f>
        <v>2.59631744385</v>
      </c>
      <c r="T44" s="74" t="str">
        <f>HYPERLINK(AB2 &amp; "/bolt/sn_ecd3f40517ce1322cd7ecf32c7a32daa/rendering/17.obj", "2.61806915283")</f>
        <v>2.61806915283</v>
      </c>
      <c r="U44" s="25" t="str">
        <f>HYPERLINK(AB2 &amp; "/bolt/sn_ecd3f40517ce1322cd7ecf32c7a32daa/rendering/18.obj", "2.61141021729")</f>
        <v>2.61141021729</v>
      </c>
      <c r="V44" s="76" t="str">
        <f>HYPERLINK(AB2 &amp; "/bolt/sn_ecd3f40517ce1322cd7ecf32c7a32daa/rendering/19.obj", "3.05417236328")</f>
        <v>3.05417236328</v>
      </c>
      <c r="W44" s="12" t="s">
        <v>31</v>
      </c>
      <c r="X44" s="13">
        <v>2.5832805328369139</v>
      </c>
      <c r="Y44" s="13">
        <v>0.20136242043372971</v>
      </c>
      <c r="Z44" s="5">
        <v>7.7948336572101609E-2</v>
      </c>
    </row>
    <row r="45" spans="1:26" x14ac:dyDescent="0.2">
      <c r="A45" s="1">
        <v>43</v>
      </c>
      <c r="B45" s="2" t="s">
        <v>41</v>
      </c>
      <c r="C45" s="23" t="str">
        <f>HYPERLINK(AB2 &amp; "/bolt/sn_ecd3f40517ce1322cd7ecf32c7a32daa/rendering/00.obj", "1.57218420506")</f>
        <v>1.57218420506</v>
      </c>
      <c r="D45" s="48" t="str">
        <f>HYPERLINK(AB2 &amp; "/bolt/sn_ecd3f40517ce1322cd7ecf32c7a32daa/rendering/01.obj", "1.59654378891")</f>
        <v>1.59654378891</v>
      </c>
      <c r="E45" s="13" t="str">
        <f>HYPERLINK(AB2 &amp; "/bolt/sn_ecd3f40517ce1322cd7ecf32c7a32daa/rendering/02.obj", "1.63159894943")</f>
        <v>1.63159894943</v>
      </c>
      <c r="F45" s="25" t="str">
        <f>HYPERLINK(AB2 &amp; "/bolt/sn_ecd3f40517ce1322cd7ecf32c7a32daa/rendering/03.obj", "1.61854469776")</f>
        <v>1.61854469776</v>
      </c>
      <c r="G45" s="73" t="str">
        <f>HYPERLINK(AB2 &amp; "/bolt/sn_ecd3f40517ce1322cd7ecf32c7a32daa/rendering/04.obj", "1.692060709")</f>
        <v>1.692060709</v>
      </c>
      <c r="H45" s="92" t="str">
        <f>HYPERLINK(AB2 &amp; "/bolt/sn_ecd3f40517ce1322cd7ecf32c7a32daa/rendering/05.obj", "1.43310308456")</f>
        <v>1.43310308456</v>
      </c>
      <c r="I45" s="110" t="str">
        <f>HYPERLINK(AB2 &amp; "/bolt/sn_ecd3f40517ce1322cd7ecf32c7a32daa/rendering/06.obj", "1.47326481342")</f>
        <v>1.47326481342</v>
      </c>
      <c r="J45" s="34" t="str">
        <f>HYPERLINK(AB2 &amp; "/bolt/sn_ecd3f40517ce1322cd7ecf32c7a32daa/rendering/07.obj", "1.55382370949")</f>
        <v>1.55382370949</v>
      </c>
      <c r="K45" s="29" t="str">
        <f>HYPERLINK(AB2 &amp; "/bolt/sn_ecd3f40517ce1322cd7ecf32c7a32daa/rendering/08.obj", "1.42445933819")</f>
        <v>1.42445933819</v>
      </c>
      <c r="L45" s="90" t="str">
        <f>HYPERLINK(AB2 &amp; "/bolt/sn_ecd3f40517ce1322cd7ecf32c7a32daa/rendering/09.obj", "1.47707879543")</f>
        <v>1.47707879543</v>
      </c>
      <c r="M45" s="4" t="str">
        <f>HYPERLINK(AB2 &amp; "/bolt/sn_ecd3f40517ce1322cd7ecf32c7a32daa/rendering/10.obj", "2.09752893448")</f>
        <v>2.09752893448</v>
      </c>
      <c r="N45" s="17" t="str">
        <f>HYPERLINK(AB2 &amp; "/bolt/sn_ecd3f40517ce1322cd7ecf32c7a32daa/rendering/11.obj", "1.67028212547")</f>
        <v>1.67028212547</v>
      </c>
      <c r="O45" s="64" t="str">
        <f>HYPERLINK(AB2 &amp; "/bolt/sn_ecd3f40517ce1322cd7ecf32c7a32daa/rendering/12.obj", "1.90520763397")</f>
        <v>1.90520763397</v>
      </c>
      <c r="P45" s="17" t="str">
        <f>HYPERLINK(AB2 &amp; "/bolt/sn_ecd3f40517ce1322cd7ecf32c7a32daa/rendering/13.obj", "1.60070323944")</f>
        <v>1.60070323944</v>
      </c>
      <c r="Q45" s="39" t="str">
        <f>HYPERLINK(AB2 &amp; "/bolt/sn_ecd3f40517ce1322cd7ecf32c7a32daa/rendering/14.obj", "1.77789008617")</f>
        <v>1.77789008617</v>
      </c>
      <c r="R45" s="33" t="str">
        <f>HYPERLINK(AB2 &amp; "/bolt/sn_ecd3f40517ce1322cd7ecf32c7a32daa/rendering/15.obj", "1.81347239017")</f>
        <v>1.81347239017</v>
      </c>
      <c r="S45" s="38" t="str">
        <f>HYPERLINK(AB2 &amp; "/bolt/sn_ecd3f40517ce1322cd7ecf32c7a32daa/rendering/16.obj", "1.49145877361")</f>
        <v>1.49145877361</v>
      </c>
      <c r="T45" s="10" t="str">
        <f>HYPERLINK(AB2 &amp; "/bolt/sn_ecd3f40517ce1322cd7ecf32c7a32daa/rendering/17.obj", "1.72285401821")</f>
        <v>1.72285401821</v>
      </c>
      <c r="U45" s="29" t="str">
        <f>HYPERLINK(AB2 &amp; "/bolt/sn_ecd3f40517ce1322cd7ecf32c7a32daa/rendering/18.obj", "1.42249119282")</f>
        <v>1.42249119282</v>
      </c>
      <c r="V45" s="78" t="str">
        <f>HYPERLINK(AB2 &amp; "/bolt/sn_ecd3f40517ce1322cd7ecf32c7a32daa/rendering/19.obj", "1.73332619667")</f>
        <v>1.73332619667</v>
      </c>
      <c r="W45" s="12" t="s">
        <v>32</v>
      </c>
      <c r="X45" s="13">
        <v>1.635393834114075</v>
      </c>
      <c r="Y45" s="13">
        <v>0.16978269449481531</v>
      </c>
      <c r="Z45" s="32">
        <v>0.103817619311736</v>
      </c>
    </row>
    <row r="46" spans="1:26" x14ac:dyDescent="0.2">
      <c r="A46" s="1">
        <v>44</v>
      </c>
      <c r="B46" s="2" t="s">
        <v>41</v>
      </c>
      <c r="C46" s="13" t="str">
        <f>HYPERLINK(AC2 &amp; "/bolt/sn_ecd3f40517ce1322cd7ecf32c7a32daa/rendering/00.xyz", "0.0")</f>
        <v>0.0</v>
      </c>
      <c r="D46" s="13" t="str">
        <f>HYPERLINK(AC2 &amp; "/bolt/sn_ecd3f40517ce1322cd7ecf32c7a32daa/rendering/01.xyz", "0.0")</f>
        <v>0.0</v>
      </c>
      <c r="E46" s="13" t="str">
        <f>HYPERLINK(AC2 &amp; "/bolt/sn_ecd3f40517ce1322cd7ecf32c7a32daa/rendering/02.xyz", "0.0")</f>
        <v>0.0</v>
      </c>
      <c r="F46" s="13" t="str">
        <f>HYPERLINK(AC2 &amp; "/bolt/sn_ecd3f40517ce1322cd7ecf32c7a32daa/rendering/03.xyz", "0.0")</f>
        <v>0.0</v>
      </c>
      <c r="G46" s="13" t="str">
        <f>HYPERLINK(AC2 &amp; "/bolt/sn_ecd3f40517ce1322cd7ecf32c7a32daa/rendering/04.xyz", "0.0")</f>
        <v>0.0</v>
      </c>
      <c r="H46" s="13" t="str">
        <f>HYPERLINK(AC2 &amp; "/bolt/sn_ecd3f40517ce1322cd7ecf32c7a32daa/rendering/05.xyz", "0.0")</f>
        <v>0.0</v>
      </c>
      <c r="I46" s="13" t="str">
        <f>HYPERLINK(AC2 &amp; "/bolt/sn_ecd3f40517ce1322cd7ecf32c7a32daa/rendering/06.xyz", "0.0")</f>
        <v>0.0</v>
      </c>
      <c r="J46" s="13" t="str">
        <f>HYPERLINK(AC2 &amp; "/bolt/sn_ecd3f40517ce1322cd7ecf32c7a32daa/rendering/07.xyz", "0.0")</f>
        <v>0.0</v>
      </c>
      <c r="K46" s="13" t="str">
        <f>HYPERLINK(AC2 &amp; "/bolt/sn_ecd3f40517ce1322cd7ecf32c7a32daa/rendering/08.xyz", "0.0")</f>
        <v>0.0</v>
      </c>
      <c r="L46" s="13" t="str">
        <f>HYPERLINK(AC2 &amp; "/bolt/sn_ecd3f40517ce1322cd7ecf32c7a32daa/rendering/09.xyz", "0.0")</f>
        <v>0.0</v>
      </c>
      <c r="M46" s="13" t="str">
        <f>HYPERLINK(AC2 &amp; "/bolt/sn_ecd3f40517ce1322cd7ecf32c7a32daa/rendering/10.xyz", "0.0")</f>
        <v>0.0</v>
      </c>
      <c r="N46" s="13" t="str">
        <f>HYPERLINK(AC2 &amp; "/bolt/sn_ecd3f40517ce1322cd7ecf32c7a32daa/rendering/11.xyz", "0.0")</f>
        <v>0.0</v>
      </c>
      <c r="O46" s="13" t="str">
        <f>HYPERLINK(AC2 &amp; "/bolt/sn_ecd3f40517ce1322cd7ecf32c7a32daa/rendering/12.xyz", "0.0")</f>
        <v>0.0</v>
      </c>
      <c r="P46" s="13" t="str">
        <f>HYPERLINK(AC2 &amp; "/bolt/sn_ecd3f40517ce1322cd7ecf32c7a32daa/rendering/13.xyz", "0.0")</f>
        <v>0.0</v>
      </c>
      <c r="Q46" s="13" t="str">
        <f>HYPERLINK(AC2 &amp; "/bolt/sn_ecd3f40517ce1322cd7ecf32c7a32daa/rendering/14.xyz", "0.0")</f>
        <v>0.0</v>
      </c>
      <c r="R46" s="13" t="str">
        <f>HYPERLINK(AC2 &amp; "/bolt/sn_ecd3f40517ce1322cd7ecf32c7a32daa/rendering/15.xyz", "0.0")</f>
        <v>0.0</v>
      </c>
      <c r="S46" s="13" t="str">
        <f>HYPERLINK(AC2 &amp; "/bolt/sn_ecd3f40517ce1322cd7ecf32c7a32daa/rendering/16.xyz", "0.0")</f>
        <v>0.0</v>
      </c>
      <c r="T46" s="13" t="str">
        <f>HYPERLINK(AC2 &amp; "/bolt/sn_ecd3f40517ce1322cd7ecf32c7a32daa/rendering/17.xyz", "0.0")</f>
        <v>0.0</v>
      </c>
      <c r="U46" s="13" t="str">
        <f>HYPERLINK(AC2 &amp; "/bolt/sn_ecd3f40517ce1322cd7ecf32c7a32daa/rendering/18.xyz", "0.0")</f>
        <v>0.0</v>
      </c>
      <c r="V46" s="13" t="str">
        <f>HYPERLINK(AC2 &amp; "/bolt/sn_ecd3f40517ce1322cd7ecf32c7a32daa/rendering/19.xyz", "0.0")</f>
        <v>0.0</v>
      </c>
      <c r="W46" s="12" t="s">
        <v>33</v>
      </c>
      <c r="X46" s="13">
        <v>0</v>
      </c>
      <c r="Y46" s="13">
        <v>0</v>
      </c>
      <c r="Z46" s="13">
        <v>0</v>
      </c>
    </row>
    <row r="47" spans="1:26" x14ac:dyDescent="0.2">
      <c r="A47" s="1">
        <v>45</v>
      </c>
      <c r="B47" s="2" t="s">
        <v>42</v>
      </c>
      <c r="C47" s="70" t="str">
        <f>HYPERLINK(AA2 &amp; "/bolt/sn_ef5a253af7f4c8f6cd7ecf32c7a32daa/rendering/00.obj", "4.10898345947")</f>
        <v>4.10898345947</v>
      </c>
      <c r="D47" s="20" t="str">
        <f>HYPERLINK(AA2 &amp; "/bolt/sn_ef5a253af7f4c8f6cd7ecf32c7a32daa/rendering/01.obj", "8.56349731445")</f>
        <v>8.56349731445</v>
      </c>
      <c r="E47" s="37" t="str">
        <f>HYPERLINK(AA2 &amp; "/bolt/sn_ef5a253af7f4c8f6cd7ecf32c7a32daa/rendering/02.obj", "5.52180419922")</f>
        <v>5.52180419922</v>
      </c>
      <c r="F47" s="5" t="str">
        <f>HYPERLINK(AA2 &amp; "/bolt/sn_ef5a253af7f4c8f6cd7ecf32c7a32daa/rendering/03.obj", "4.34698059082")</f>
        <v>4.34698059082</v>
      </c>
      <c r="G47" s="29" t="str">
        <f>HYPERLINK(AA2 &amp; "/bolt/sn_ef5a253af7f4c8f6cd7ecf32c7a32daa/rendering/04.obj", "4.09124298096")</f>
        <v>4.09124298096</v>
      </c>
      <c r="H47" s="80" t="str">
        <f>HYPERLINK(AA2 &amp; "/bolt/sn_ef5a253af7f4c8f6cd7ecf32c7a32daa/rendering/05.obj", "4.01130737305")</f>
        <v>4.01130737305</v>
      </c>
      <c r="I47" s="150" t="str">
        <f>HYPERLINK(AA2 &amp; "/bolt/sn_ef5a253af7f4c8f6cd7ecf32c7a32daa/rendering/06.obj", "7.23774291992")</f>
        <v>7.23774291992</v>
      </c>
      <c r="J47" s="70" t="str">
        <f>HYPERLINK(AA2 &amp; "/bolt/sn_ef5a253af7f4c8f6cd7ecf32c7a32daa/rendering/07.obj", "4.1141796875")</f>
        <v>4.1141796875</v>
      </c>
      <c r="K47" s="10" t="str">
        <f>HYPERLINK(AA2 &amp; "/bolt/sn_ef5a253af7f4c8f6cd7ecf32c7a32daa/rendering/08.obj", "4.45449249268")</f>
        <v>4.45449249268</v>
      </c>
      <c r="L47" s="29" t="str">
        <f>HYPERLINK(AA2 &amp; "/bolt/sn_ef5a253af7f4c8f6cd7ecf32c7a32daa/rendering/09.obj", "4.09670898437")</f>
        <v>4.09670898437</v>
      </c>
      <c r="M47" s="107" t="str">
        <f>HYPERLINK(AA2 &amp; "/bolt/sn_ef5a253af7f4c8f6cd7ecf32c7a32daa/rendering/10.obj", "4.32249023438")</f>
        <v>4.32249023438</v>
      </c>
      <c r="N47" s="66" t="str">
        <f>HYPERLINK(AA2 &amp; "/bolt/sn_ef5a253af7f4c8f6cd7ecf32c7a32daa/rendering/11.obj", "3.94569824219")</f>
        <v>3.94569824219</v>
      </c>
      <c r="O47" s="94" t="str">
        <f>HYPERLINK(AA2 &amp; "/bolt/sn_ef5a253af7f4c8f6cd7ecf32c7a32daa/rendering/12.obj", "5.05472351074")</f>
        <v>5.05472351074</v>
      </c>
      <c r="P47" s="78" t="str">
        <f>HYPERLINK(AA2 &amp; "/bolt/sn_ef5a253af7f4c8f6cd7ecf32c7a32daa/rendering/13.obj", "4.99034545898")</f>
        <v>4.99034545898</v>
      </c>
      <c r="Q47" s="92" t="str">
        <f>HYPERLINK(AA2 &amp; "/bolt/sn_ef5a253af7f4c8f6cd7ecf32c7a32daa/rendering/14.obj", "4.12037597656")</f>
        <v>4.12037597656</v>
      </c>
      <c r="R47" s="135" t="str">
        <f>HYPERLINK(AA2 &amp; "/bolt/sn_ef5a253af7f4c8f6cd7ecf32c7a32daa/rendering/15.obj", "3.51062744141")</f>
        <v>3.51062744141</v>
      </c>
      <c r="S47" s="51" t="str">
        <f>HYPERLINK(AA2 &amp; "/bolt/sn_ef5a253af7f4c8f6cd7ecf32c7a32daa/rendering/16.obj", "4.33478546143")</f>
        <v>4.33478546143</v>
      </c>
      <c r="T47" s="29" t="str">
        <f>HYPERLINK(AA2 &amp; "/bolt/sn_ef5a253af7f4c8f6cd7ecf32c7a32daa/rendering/17.obj", "4.09755371094")</f>
        <v>4.09755371094</v>
      </c>
      <c r="U47" s="17" t="str">
        <f>HYPERLINK(AA2 &amp; "/bolt/sn_ef5a253af7f4c8f6cd7ecf32c7a32daa/rendering/18.obj", "4.61497497559")</f>
        <v>4.61497497559</v>
      </c>
      <c r="V47" s="74" t="str">
        <f>HYPERLINK(AA2 &amp; "/bolt/sn_ef5a253af7f4c8f6cd7ecf32c7a32daa/rendering/19.obj", "4.64160980225")</f>
        <v>4.64160980225</v>
      </c>
      <c r="W47" s="12" t="s">
        <v>29</v>
      </c>
      <c r="X47" s="13">
        <v>4.7090062408447269</v>
      </c>
      <c r="Y47" s="13">
        <v>1.1684575904527601</v>
      </c>
      <c r="Z47" s="129">
        <v>0.24813252110771369</v>
      </c>
    </row>
    <row r="48" spans="1:26" x14ac:dyDescent="0.2">
      <c r="A48" s="1">
        <v>46</v>
      </c>
      <c r="B48" s="2" t="s">
        <v>42</v>
      </c>
      <c r="C48" s="99" t="str">
        <f>HYPERLINK(AA2 &amp; "/bolt/sn_ef5a253af7f4c8f6cd7ecf32c7a32daa/rendering/00.obj", "1.69414567947")</f>
        <v>1.69414567947</v>
      </c>
      <c r="D48" s="20" t="str">
        <f>HYPERLINK(AA2 &amp; "/bolt/sn_ef5a253af7f4c8f6cd7ecf32c7a32daa/rendering/01.obj", "7.8288269043")</f>
        <v>7.8288269043</v>
      </c>
      <c r="E48" s="34" t="str">
        <f>HYPERLINK(AA2 &amp; "/bolt/sn_ef5a253af7f4c8f6cd7ecf32c7a32daa/rendering/02.obj", "2.44134879112")</f>
        <v>2.44134879112</v>
      </c>
      <c r="F48" s="77" t="str">
        <f>HYPERLINK(AA2 &amp; "/bolt/sn_ef5a253af7f4c8f6cd7ecf32c7a32daa/rendering/03.obj", "1.89168119431")</f>
        <v>1.89168119431</v>
      </c>
      <c r="G48" s="96" t="str">
        <f>HYPERLINK(AA2 &amp; "/bolt/sn_ef5a253af7f4c8f6cd7ecf32c7a32daa/rendering/04.obj", "1.48470926285")</f>
        <v>1.48470926285</v>
      </c>
      <c r="H48" s="24" t="str">
        <f>HYPERLINK(AA2 &amp; "/bolt/sn_ef5a253af7f4c8f6cd7ecf32c7a32daa/rendering/05.obj", "1.93704259396")</f>
        <v>1.93704259396</v>
      </c>
      <c r="I48" s="20" t="str">
        <f>HYPERLINK(AA2 &amp; "/bolt/sn_ef5a253af7f4c8f6cd7ecf32c7a32daa/rendering/06.obj", "6.90249967575")</f>
        <v>6.90249967575</v>
      </c>
      <c r="J48" s="103" t="str">
        <f>HYPERLINK(AA2 &amp; "/bolt/sn_ef5a253af7f4c8f6cd7ecf32c7a32daa/rendering/07.obj", "1.57000184059")</f>
        <v>1.57000184059</v>
      </c>
      <c r="K48" s="83" t="str">
        <f>HYPERLINK(AA2 &amp; "/bolt/sn_ef5a253af7f4c8f6cd7ecf32c7a32daa/rendering/08.obj", "1.97043287754")</f>
        <v>1.97043287754</v>
      </c>
      <c r="L48" s="151" t="str">
        <f>HYPERLINK(AA2 &amp; "/bolt/sn_ef5a253af7f4c8f6cd7ecf32c7a32daa/rendering/09.obj", "1.48676490784")</f>
        <v>1.48676490784</v>
      </c>
      <c r="M48" s="43" t="str">
        <f>HYPERLINK(AA2 &amp; "/bolt/sn_ef5a253af7f4c8f6cd7ecf32c7a32daa/rendering/10.obj", "1.45697593689")</f>
        <v>1.45697593689</v>
      </c>
      <c r="N48" s="152" t="str">
        <f>HYPERLINK(AA2 &amp; "/bolt/sn_ef5a253af7f4c8f6cd7ecf32c7a32daa/rendering/11.obj", "1.38259088993")</f>
        <v>1.38259088993</v>
      </c>
      <c r="O48" s="6" t="str">
        <f>HYPERLINK(AA2 &amp; "/bolt/sn_ef5a253af7f4c8f6cd7ecf32c7a32daa/rendering/12.obj", "2.42994832993")</f>
        <v>2.42994832993</v>
      </c>
      <c r="P48" s="136" t="str">
        <f>HYPERLINK(AA2 &amp; "/bolt/sn_ef5a253af7f4c8f6cd7ecf32c7a32daa/rendering/13.obj", "2.87751865387")</f>
        <v>2.87751865387</v>
      </c>
      <c r="Q48" s="14" t="str">
        <f>HYPERLINK(AA2 &amp; "/bolt/sn_ef5a253af7f4c8f6cd7ecf32c7a32daa/rendering/14.obj", "1.6495500803")</f>
        <v>1.6495500803</v>
      </c>
      <c r="R48" s="153" t="str">
        <f>HYPERLINK(AA2 &amp; "/bolt/sn_ef5a253af7f4c8f6cd7ecf32c7a32daa/rendering/15.obj", "1.49736368656")</f>
        <v>1.49736368656</v>
      </c>
      <c r="S48" s="118" t="str">
        <f>HYPERLINK(AA2 &amp; "/bolt/sn_ef5a253af7f4c8f6cd7ecf32c7a32daa/rendering/16.obj", "1.64553546906")</f>
        <v>1.64553546906</v>
      </c>
      <c r="T48" s="128" t="str">
        <f>HYPERLINK(AA2 &amp; "/bolt/sn_ef5a253af7f4c8f6cd7ecf32c7a32daa/rendering/17.obj", "1.41597628593")</f>
        <v>1.41597628593</v>
      </c>
      <c r="U48" s="128" t="str">
        <f>HYPERLINK(AA2 &amp; "/bolt/sn_ef5a253af7f4c8f6cd7ecf32c7a32daa/rendering/18.obj", "1.41779530048")</f>
        <v>1.41779530048</v>
      </c>
      <c r="V48" s="149" t="str">
        <f>HYPERLINK(AA2 &amp; "/bolt/sn_ef5a253af7f4c8f6cd7ecf32c7a32daa/rendering/19.obj", "1.52576565742")</f>
        <v>1.52576565742</v>
      </c>
      <c r="W48" s="12" t="s">
        <v>30</v>
      </c>
      <c r="X48" s="13">
        <v>2.3253237009048462</v>
      </c>
      <c r="Y48" s="13">
        <v>1.731311165432166</v>
      </c>
      <c r="Z48" s="154">
        <v>0.74454630327746052</v>
      </c>
    </row>
    <row r="49" spans="1:26" x14ac:dyDescent="0.2">
      <c r="A49" s="1">
        <v>47</v>
      </c>
      <c r="B49" s="2" t="s">
        <v>42</v>
      </c>
      <c r="C49" s="90" t="str">
        <f>HYPERLINK(AB2 &amp; "/bolt/sn_ef5a253af7f4c8f6cd7ecf32c7a32daa/rendering/00.obj", "4.29879211426")</f>
        <v>4.29879211426</v>
      </c>
      <c r="D49" s="48" t="str">
        <f>HYPERLINK(AB2 &amp; "/bolt/sn_ef5a253af7f4c8f6cd7ecf32c7a32daa/rendering/01.obj", "3.82575622559")</f>
        <v>3.82575622559</v>
      </c>
      <c r="E49" s="6" t="str">
        <f>HYPERLINK(AB2 &amp; "/bolt/sn_ef5a253af7f4c8f6cd7ecf32c7a32daa/rendering/02.obj", "3.74791381836")</f>
        <v>3.74791381836</v>
      </c>
      <c r="F49" s="66" t="str">
        <f>HYPERLINK(AB2 &amp; "/bolt/sn_ef5a253af7f4c8f6cd7ecf32c7a32daa/rendering/03.obj", "4.56138793945")</f>
        <v>4.56138793945</v>
      </c>
      <c r="G49" s="91" t="str">
        <f>HYPERLINK(AB2 &amp; "/bolt/sn_ef5a253af7f4c8f6cd7ecf32c7a32daa/rendering/04.obj", "4.03186828613")</f>
        <v>4.03186828613</v>
      </c>
      <c r="H49" s="47" t="str">
        <f>HYPERLINK(AB2 &amp; "/bolt/sn_ef5a253af7f4c8f6cd7ecf32c7a32daa/rendering/05.obj", "3.96029296875")</f>
        <v>3.96029296875</v>
      </c>
      <c r="I49" s="72" t="str">
        <f>HYPERLINK(AB2 &amp; "/bolt/sn_ef5a253af7f4c8f6cd7ecf32c7a32daa/rendering/06.obj", "3.79052215576")</f>
        <v>3.79052215576</v>
      </c>
      <c r="J49" s="106" t="str">
        <f>HYPERLINK(AB2 &amp; "/bolt/sn_ef5a253af7f4c8f6cd7ecf32c7a32daa/rendering/07.obj", "3.47357543945")</f>
        <v>3.47357543945</v>
      </c>
      <c r="K49" s="94" t="str">
        <f>HYPERLINK(AB2 &amp; "/bolt/sn_ef5a253af7f4c8f6cd7ecf32c7a32daa/rendering/08.obj", "3.63277435303")</f>
        <v>3.63277435303</v>
      </c>
      <c r="L49" s="60" t="str">
        <f>HYPERLINK(AB2 &amp; "/bolt/sn_ef5a253af7f4c8f6cd7ecf32c7a32daa/rendering/09.obj", "3.71546508789")</f>
        <v>3.71546508789</v>
      </c>
      <c r="M49" s="25" t="str">
        <f>HYPERLINK(AB2 &amp; "/bolt/sn_ef5a253af7f4c8f6cd7ecf32c7a32daa/rendering/10.obj", "3.87684020996")</f>
        <v>3.87684020996</v>
      </c>
      <c r="N49" s="69" t="str">
        <f>HYPERLINK(AB2 &amp; "/bolt/sn_ef5a253af7f4c8f6cd7ecf32c7a32daa/rendering/11.obj", "3.8103616333")</f>
        <v>3.8103616333</v>
      </c>
      <c r="O49" s="47" t="str">
        <f>HYPERLINK(AB2 &amp; "/bolt/sn_ef5a253af7f4c8f6cd7ecf32c7a32daa/rendering/12.obj", "3.95912384033")</f>
        <v>3.95912384033</v>
      </c>
      <c r="P49" s="48" t="str">
        <f>HYPERLINK(AB2 &amp; "/bolt/sn_ef5a253af7f4c8f6cd7ecf32c7a32daa/rendering/13.obj", "3.82821258545")</f>
        <v>3.82821258545</v>
      </c>
      <c r="Q49" s="73" t="str">
        <f>HYPERLINK(AB2 &amp; "/bolt/sn_ef5a253af7f4c8f6cd7ecf32c7a32daa/rendering/14.obj", "4.07088989258")</f>
        <v>4.07088989258</v>
      </c>
      <c r="R49" s="34" t="str">
        <f>HYPERLINK(AB2 &amp; "/bolt/sn_ef5a253af7f4c8f6cd7ecf32c7a32daa/rendering/15.obj", "4.1158013916")</f>
        <v>4.1158013916</v>
      </c>
      <c r="S49" s="46" t="str">
        <f>HYPERLINK(AB2 &amp; "/bolt/sn_ef5a253af7f4c8f6cd7ecf32c7a32daa/rendering/16.obj", "3.85581787109")</f>
        <v>3.85581787109</v>
      </c>
      <c r="T49" s="10" t="str">
        <f>HYPERLINK(AB2 &amp; "/bolt/sn_ef5a253af7f4c8f6cd7ecf32c7a32daa/rendering/17.obj", "3.70374572754")</f>
        <v>3.70374572754</v>
      </c>
      <c r="U49" s="41" t="str">
        <f>HYPERLINK(AB2 &amp; "/bolt/sn_ef5a253af7f4c8f6cd7ecf32c7a32daa/rendering/18.obj", "4.1834753418")</f>
        <v>4.1834753418</v>
      </c>
      <c r="V49" s="69" t="str">
        <f>HYPERLINK(AB2 &amp; "/bolt/sn_ef5a253af7f4c8f6cd7ecf32c7a32daa/rendering/19.obj", "4.03577667236")</f>
        <v>4.03577667236</v>
      </c>
      <c r="W49" s="12" t="s">
        <v>31</v>
      </c>
      <c r="X49" s="13">
        <v>3.923919677734375</v>
      </c>
      <c r="Y49" s="13">
        <v>0.24147819750769189</v>
      </c>
      <c r="Z49" s="78">
        <v>6.1540046010095342E-2</v>
      </c>
    </row>
    <row r="50" spans="1:26" x14ac:dyDescent="0.2">
      <c r="A50" s="1">
        <v>48</v>
      </c>
      <c r="B50" s="2" t="s">
        <v>42</v>
      </c>
      <c r="C50" s="107" t="str">
        <f>HYPERLINK(AB2 &amp; "/bolt/sn_ef5a253af7f4c8f6cd7ecf32c7a32daa/rendering/00.obj", "1.62270641327")</f>
        <v>1.62270641327</v>
      </c>
      <c r="D50" s="46" t="str">
        <f>HYPERLINK(AB2 &amp; "/bolt/sn_ef5a253af7f4c8f6cd7ecf32c7a32daa/rendering/01.obj", "1.47140216827")</f>
        <v>1.47140216827</v>
      </c>
      <c r="E50" s="107" t="str">
        <f>HYPERLINK(AB2 &amp; "/bolt/sn_ef5a253af7f4c8f6cd7ecf32c7a32daa/rendering/02.obj", "1.62361717224")</f>
        <v>1.62361717224</v>
      </c>
      <c r="F50" s="35" t="str">
        <f>HYPERLINK(AB2 &amp; "/bolt/sn_ef5a253af7f4c8f6cd7ecf32c7a32daa/rendering/03.obj", "1.5860877037")</f>
        <v>1.5860877037</v>
      </c>
      <c r="G50" s="51" t="str">
        <f>HYPERLINK(AB2 &amp; "/bolt/sn_ef5a253af7f4c8f6cd7ecf32c7a32daa/rendering/04.obj", "1.37726855278")</f>
        <v>1.37726855278</v>
      </c>
      <c r="H50" s="10" t="str">
        <f>HYPERLINK(AB2 &amp; "/bolt/sn_ef5a253af7f4c8f6cd7ecf32c7a32daa/rendering/05.obj", "1.41482102871")</f>
        <v>1.41482102871</v>
      </c>
      <c r="I50" s="90" t="str">
        <f>HYPERLINK(AB2 &amp; "/bolt/sn_ef5a253af7f4c8f6cd7ecf32c7a32daa/rendering/06.obj", "1.35359799862")</f>
        <v>1.35359799862</v>
      </c>
      <c r="J50" s="67" t="str">
        <f>HYPERLINK(AB2 &amp; "/bolt/sn_ef5a253af7f4c8f6cd7ecf32c7a32daa/rendering/07.obj", "1.6338685751")</f>
        <v>1.6338685751</v>
      </c>
      <c r="K50" s="94" t="str">
        <f>HYPERLINK(AB2 &amp; "/bolt/sn_ef5a253af7f4c8f6cd7ecf32c7a32daa/rendering/08.obj", "1.60888087749")</f>
        <v>1.60888087749</v>
      </c>
      <c r="L50" s="26" t="str">
        <f>HYPERLINK(AB2 &amp; "/bolt/sn_ef5a253af7f4c8f6cd7ecf32c7a32daa/rendering/09.obj", "1.4003046751")</f>
        <v>1.4003046751</v>
      </c>
      <c r="M50" s="110" t="str">
        <f>HYPERLINK(AB2 &amp; "/bolt/sn_ef5a253af7f4c8f6cd7ecf32c7a32daa/rendering/10.obj", "1.64714241028")</f>
        <v>1.64714241028</v>
      </c>
      <c r="N50" s="106" t="str">
        <f>HYPERLINK(AB2 &amp; "/bolt/sn_ef5a253af7f4c8f6cd7ecf32c7a32daa/rendering/11.obj", "1.3280851841")</f>
        <v>1.3280851841</v>
      </c>
      <c r="O50" s="26" t="str">
        <f>HYPERLINK(AB2 &amp; "/bolt/sn_ef5a253af7f4c8f6cd7ecf32c7a32daa/rendering/12.obj", "1.39990520477")</f>
        <v>1.39990520477</v>
      </c>
      <c r="P50" s="33" t="str">
        <f>HYPERLINK(AB2 &amp; "/bolt/sn_ef5a253af7f4c8f6cd7ecf32c7a32daa/rendering/13.obj", "1.33331799507")</f>
        <v>1.33331799507</v>
      </c>
      <c r="Q50" s="48" t="str">
        <f>HYPERLINK(AB2 &amp; "/bolt/sn_ef5a253af7f4c8f6cd7ecf32c7a32daa/rendering/14.obj", "1.46365225315")</f>
        <v>1.46365225315</v>
      </c>
      <c r="R50" s="80" t="str">
        <f>HYPERLINK(AB2 &amp; "/bolt/sn_ef5a253af7f4c8f6cd7ecf32c7a32daa/rendering/15.obj", "1.71872019768")</f>
        <v>1.71872019768</v>
      </c>
      <c r="S50" s="60" t="str">
        <f>HYPERLINK(AB2 &amp; "/bolt/sn_ef5a253af7f4c8f6cd7ecf32c7a32daa/rendering/16.obj", "1.42212629318")</f>
        <v>1.42212629318</v>
      </c>
      <c r="T50" s="28" t="str">
        <f>HYPERLINK(AB2 &amp; "/bolt/sn_ef5a253af7f4c8f6cd7ecf32c7a32daa/rendering/17.obj", "1.33266317844")</f>
        <v>1.33266317844</v>
      </c>
      <c r="U50" s="6" t="str">
        <f>HYPERLINK(AB2 &amp; "/bolt/sn_ef5a253af7f4c8f6cd7ecf32c7a32daa/rendering/18.obj", "1.43071901798")</f>
        <v>1.43071901798</v>
      </c>
      <c r="V50" s="109" t="str">
        <f>HYPERLINK(AB2 &amp; "/bolt/sn_ef5a253af7f4c8f6cd7ecf32c7a32daa/rendering/19.obj", "1.78166866302")</f>
        <v>1.78166866302</v>
      </c>
      <c r="W50" s="12" t="s">
        <v>32</v>
      </c>
      <c r="X50" s="13">
        <v>1.4975277781486509</v>
      </c>
      <c r="Y50" s="13">
        <v>0.13752852825282799</v>
      </c>
      <c r="Z50" s="67">
        <v>9.1837046537360648E-2</v>
      </c>
    </row>
    <row r="51" spans="1:26" x14ac:dyDescent="0.2">
      <c r="A51" s="1">
        <v>49</v>
      </c>
      <c r="B51" s="2" t="s">
        <v>42</v>
      </c>
      <c r="C51" s="13" t="str">
        <f>HYPERLINK(AC2 &amp; "/bolt/sn_ef5a253af7f4c8f6cd7ecf32c7a32daa/rendering/00.xyz", "0.0")</f>
        <v>0.0</v>
      </c>
      <c r="D51" s="13" t="str">
        <f>HYPERLINK(AC2 &amp; "/bolt/sn_ef5a253af7f4c8f6cd7ecf32c7a32daa/rendering/01.xyz", "0.0")</f>
        <v>0.0</v>
      </c>
      <c r="E51" s="13" t="str">
        <f>HYPERLINK(AC2 &amp; "/bolt/sn_ef5a253af7f4c8f6cd7ecf32c7a32daa/rendering/02.xyz", "0.0")</f>
        <v>0.0</v>
      </c>
      <c r="F51" s="13" t="str">
        <f>HYPERLINK(AC2 &amp; "/bolt/sn_ef5a253af7f4c8f6cd7ecf32c7a32daa/rendering/03.xyz", "0.0")</f>
        <v>0.0</v>
      </c>
      <c r="G51" s="13" t="str">
        <f>HYPERLINK(AC2 &amp; "/bolt/sn_ef5a253af7f4c8f6cd7ecf32c7a32daa/rendering/04.xyz", "0.0")</f>
        <v>0.0</v>
      </c>
      <c r="H51" s="13" t="str">
        <f>HYPERLINK(AC2 &amp; "/bolt/sn_ef5a253af7f4c8f6cd7ecf32c7a32daa/rendering/05.xyz", "0.0")</f>
        <v>0.0</v>
      </c>
      <c r="I51" s="13" t="str">
        <f>HYPERLINK(AC2 &amp; "/bolt/sn_ef5a253af7f4c8f6cd7ecf32c7a32daa/rendering/06.xyz", "0.0")</f>
        <v>0.0</v>
      </c>
      <c r="J51" s="13" t="str">
        <f>HYPERLINK(AC2 &amp; "/bolt/sn_ef5a253af7f4c8f6cd7ecf32c7a32daa/rendering/07.xyz", "0.0")</f>
        <v>0.0</v>
      </c>
      <c r="K51" s="13" t="str">
        <f>HYPERLINK(AC2 &amp; "/bolt/sn_ef5a253af7f4c8f6cd7ecf32c7a32daa/rendering/08.xyz", "0.0")</f>
        <v>0.0</v>
      </c>
      <c r="L51" s="13" t="str">
        <f>HYPERLINK(AC2 &amp; "/bolt/sn_ef5a253af7f4c8f6cd7ecf32c7a32daa/rendering/09.xyz", "0.0")</f>
        <v>0.0</v>
      </c>
      <c r="M51" s="13" t="str">
        <f>HYPERLINK(AC2 &amp; "/bolt/sn_ef5a253af7f4c8f6cd7ecf32c7a32daa/rendering/10.xyz", "0.0")</f>
        <v>0.0</v>
      </c>
      <c r="N51" s="13" t="str">
        <f>HYPERLINK(AC2 &amp; "/bolt/sn_ef5a253af7f4c8f6cd7ecf32c7a32daa/rendering/11.xyz", "0.0")</f>
        <v>0.0</v>
      </c>
      <c r="O51" s="13" t="str">
        <f>HYPERLINK(AC2 &amp; "/bolt/sn_ef5a253af7f4c8f6cd7ecf32c7a32daa/rendering/12.xyz", "0.0")</f>
        <v>0.0</v>
      </c>
      <c r="P51" s="13" t="str">
        <f>HYPERLINK(AC2 &amp; "/bolt/sn_ef5a253af7f4c8f6cd7ecf32c7a32daa/rendering/13.xyz", "0.0")</f>
        <v>0.0</v>
      </c>
      <c r="Q51" s="13" t="str">
        <f>HYPERLINK(AC2 &amp; "/bolt/sn_ef5a253af7f4c8f6cd7ecf32c7a32daa/rendering/14.xyz", "0.0")</f>
        <v>0.0</v>
      </c>
      <c r="R51" s="13" t="str">
        <f>HYPERLINK(AC2 &amp; "/bolt/sn_ef5a253af7f4c8f6cd7ecf32c7a32daa/rendering/15.xyz", "0.0")</f>
        <v>0.0</v>
      </c>
      <c r="S51" s="13" t="str">
        <f>HYPERLINK(AC2 &amp; "/bolt/sn_ef5a253af7f4c8f6cd7ecf32c7a32daa/rendering/16.xyz", "0.0")</f>
        <v>0.0</v>
      </c>
      <c r="T51" s="13" t="str">
        <f>HYPERLINK(AC2 &amp; "/bolt/sn_ef5a253af7f4c8f6cd7ecf32c7a32daa/rendering/17.xyz", "0.0")</f>
        <v>0.0</v>
      </c>
      <c r="U51" s="13" t="str">
        <f>HYPERLINK(AC2 &amp; "/bolt/sn_ef5a253af7f4c8f6cd7ecf32c7a32daa/rendering/18.xyz", "0.0")</f>
        <v>0.0</v>
      </c>
      <c r="V51" s="13" t="str">
        <f>HYPERLINK(AC2 &amp; "/bolt/sn_ef5a253af7f4c8f6cd7ecf32c7a32daa/rendering/19.xyz", "0.0")</f>
        <v>0.0</v>
      </c>
      <c r="W51" s="12" t="s">
        <v>33</v>
      </c>
      <c r="X51" s="13">
        <v>0</v>
      </c>
      <c r="Y51" s="13">
        <v>0</v>
      </c>
      <c r="Z51" s="13">
        <v>0</v>
      </c>
    </row>
    <row r="52" spans="1:26" x14ac:dyDescent="0.2">
      <c r="A52" s="1">
        <v>50</v>
      </c>
      <c r="B52" s="2" t="s">
        <v>43</v>
      </c>
      <c r="C52" s="81" t="str">
        <f>HYPERLINK(AA2 &amp; "/bolt/sn_efebbda1514cf4c7cd7ecf32c7a32daa/rendering/00.obj", "4.56366210938")</f>
        <v>4.56366210938</v>
      </c>
      <c r="D52" s="91" t="str">
        <f>HYPERLINK(AA2 &amp; "/bolt/sn_efebbda1514cf4c7cd7ecf32c7a32daa/rendering/01.obj", "5.98243652344")</f>
        <v>5.98243652344</v>
      </c>
      <c r="E52" s="155" t="str">
        <f>HYPERLINK(AA2 &amp; "/bolt/sn_efebbda1514cf4c7cd7ecf32c7a32daa/rendering/02.obj", "9.77651855469")</f>
        <v>9.77651855469</v>
      </c>
      <c r="F52" s="118" t="str">
        <f>HYPERLINK(AA2 &amp; "/bolt/sn_efebbda1514cf4c7cd7ecf32c7a32daa/rendering/03.obj", "4.12499023437")</f>
        <v>4.12499023437</v>
      </c>
      <c r="G52" s="156" t="str">
        <f>HYPERLINK(AA2 &amp; "/bolt/sn_efebbda1514cf4c7cd7ecf32c7a32daa/rendering/04.obj", "8.43634094238")</f>
        <v>8.43634094238</v>
      </c>
      <c r="H52" s="84" t="str">
        <f>HYPERLINK(AA2 &amp; "/bolt/sn_efebbda1514cf4c7cd7ecf32c7a32daa/rendering/05.obj", "4.97611450195")</f>
        <v>4.97611450195</v>
      </c>
      <c r="I52" s="142" t="str">
        <f>HYPERLINK(AA2 &amp; "/bolt/sn_efebbda1514cf4c7cd7ecf32c7a32daa/rendering/06.obj", "3.53591033936")</f>
        <v>3.53591033936</v>
      </c>
      <c r="J52" s="85" t="str">
        <f>HYPERLINK(AA2 &amp; "/bolt/sn_efebbda1514cf4c7cd7ecf32c7a32daa/rendering/07.obj", "4.109012146")</f>
        <v>4.109012146</v>
      </c>
      <c r="K52" s="20" t="str">
        <f>HYPERLINK(AA2 &amp; "/bolt/sn_efebbda1514cf4c7cd7ecf32c7a32daa/rendering/08.obj", "15.2595605469")</f>
        <v>15.2595605469</v>
      </c>
      <c r="L52" s="85" t="str">
        <f>HYPERLINK(AA2 &amp; "/bolt/sn_efebbda1514cf4c7cd7ecf32c7a32daa/rendering/09.obj", "7.54774108887")</f>
        <v>7.54774108887</v>
      </c>
      <c r="M52" s="134" t="str">
        <f>HYPERLINK(AA2 &amp; "/bolt/sn_efebbda1514cf4c7cd7ecf32c7a32daa/rendering/10.obj", "4.77421325684")</f>
        <v>4.77421325684</v>
      </c>
      <c r="N52" s="136" t="str">
        <f>HYPERLINK(AA2 &amp; "/bolt/sn_efebbda1514cf4c7cd7ecf32c7a32daa/rendering/11.obj", "4.45382202148")</f>
        <v>4.45382202148</v>
      </c>
      <c r="O52" s="89" t="str">
        <f>HYPERLINK(AA2 &amp; "/bolt/sn_efebbda1514cf4c7cd7ecf32c7a32daa/rendering/12.obj", "4.31923126221")</f>
        <v>4.31923126221</v>
      </c>
      <c r="P52" s="59" t="str">
        <f>HYPERLINK(AA2 &amp; "/bolt/sn_efebbda1514cf4c7cd7ecf32c7a32daa/rendering/13.obj", "4.43685028076")</f>
        <v>4.43685028076</v>
      </c>
      <c r="Q52" s="78" t="str">
        <f>HYPERLINK(AA2 &amp; "/bolt/sn_efebbda1514cf4c7cd7ecf32c7a32daa/rendering/14.obj", "6.18284790039")</f>
        <v>6.18284790039</v>
      </c>
      <c r="R52" s="134" t="str">
        <f>HYPERLINK(AA2 &amp; "/bolt/sn_efebbda1514cf4c7cd7ecf32c7a32daa/rendering/15.obj", "4.78231445313")</f>
        <v>4.78231445313</v>
      </c>
      <c r="S52" s="157" t="str">
        <f>HYPERLINK(AA2 &amp; "/bolt/sn_efebbda1514cf4c7cd7ecf32c7a32daa/rendering/16.obj", "3.39886474609")</f>
        <v>3.39886474609</v>
      </c>
      <c r="T52" s="133" t="str">
        <f>HYPERLINK(AA2 &amp; "/bolt/sn_efebbda1514cf4c7cd7ecf32c7a32daa/rendering/17.obj", "5.22612670898")</f>
        <v>5.22612670898</v>
      </c>
      <c r="U52" s="59" t="str">
        <f>HYPERLINK(AA2 &amp; "/bolt/sn_efebbda1514cf4c7cd7ecf32c7a32daa/rendering/18.obj", "7.23069641113")</f>
        <v>7.23069641113</v>
      </c>
      <c r="V52" s="158" t="str">
        <f>HYPERLINK(AA2 &amp; "/bolt/sn_efebbda1514cf4c7cd7ecf32c7a32daa/rendering/19.obj", "3.44759155273")</f>
        <v>3.44759155273</v>
      </c>
      <c r="W52" s="12" t="s">
        <v>29</v>
      </c>
      <c r="X52" s="13">
        <v>5.8282422790527351</v>
      </c>
      <c r="Y52" s="13">
        <v>2.7394321390718579</v>
      </c>
      <c r="Z52" s="159">
        <v>0.47002715534281092</v>
      </c>
    </row>
    <row r="53" spans="1:26" x14ac:dyDescent="0.2">
      <c r="A53" s="1">
        <v>51</v>
      </c>
      <c r="B53" s="2" t="s">
        <v>43</v>
      </c>
      <c r="C53" s="160" t="str">
        <f>HYPERLINK(AA2 &amp; "/bolt/sn_efebbda1514cf4c7cd7ecf32c7a32daa/rendering/00.obj", "3.38233208656")</f>
        <v>3.38233208656</v>
      </c>
      <c r="D53" s="7" t="str">
        <f>HYPERLINK(AA2 &amp; "/bolt/sn_efebbda1514cf4c7cd7ecf32c7a32daa/rendering/01.obj", "9.193816185")</f>
        <v>9.193816185</v>
      </c>
      <c r="E53" s="20" t="str">
        <f>HYPERLINK(AA2 &amp; "/bolt/sn_efebbda1514cf4c7cd7ecf32c7a32daa/rendering/02.obj", "18.0833473206")</f>
        <v>18.0833473206</v>
      </c>
      <c r="F53" s="161" t="str">
        <f>HYPERLINK(AA2 &amp; "/bolt/sn_efebbda1514cf4c7cd7ecf32c7a32daa/rendering/03.obj", "2.9870800972")</f>
        <v>2.9870800972</v>
      </c>
      <c r="G53" s="20" t="str">
        <f>HYPERLINK(AA2 &amp; "/bolt/sn_efebbda1514cf4c7cd7ecf32c7a32daa/rendering/04.obj", "14.6608114243")</f>
        <v>14.6608114243</v>
      </c>
      <c r="H53" s="123" t="str">
        <f>HYPERLINK(AA2 &amp; "/bolt/sn_efebbda1514cf4c7cd7ecf32c7a32daa/rendering/05.obj", "4.5440363884")</f>
        <v>4.5440363884</v>
      </c>
      <c r="I53" s="127" t="str">
        <f>HYPERLINK(AA2 &amp; "/bolt/sn_efebbda1514cf4c7cd7ecf32c7a32daa/rendering/06.obj", "3.46299099922")</f>
        <v>3.46299099922</v>
      </c>
      <c r="J53" s="16" t="str">
        <f>HYPERLINK(AA2 &amp; "/bolt/sn_efebbda1514cf4c7cd7ecf32c7a32daa/rendering/07.obj", "3.29039406776")</f>
        <v>3.29039406776</v>
      </c>
      <c r="K53" s="20" t="str">
        <f>HYPERLINK(AA2 &amp; "/bolt/sn_efebbda1514cf4c7cd7ecf32c7a32daa/rendering/08.obj", "26.9201374054")</f>
        <v>26.9201374054</v>
      </c>
      <c r="L53" s="156" t="str">
        <f>HYPERLINK(AA2 &amp; "/bolt/sn_efebbda1514cf4c7cd7ecf32c7a32daa/rendering/09.obj", "10.4161329269")</f>
        <v>10.4161329269</v>
      </c>
      <c r="M53" s="162" t="str">
        <f>HYPERLINK(AA2 &amp; "/bolt/sn_efebbda1514cf4c7cd7ecf32c7a32daa/rendering/10.obj", "4.12856578827")</f>
        <v>4.12856578827</v>
      </c>
      <c r="N53" s="131" t="str">
        <f>HYPERLINK(AA2 &amp; "/bolt/sn_efebbda1514cf4c7cd7ecf32c7a32daa/rendering/11.obj", "3.8595123291")</f>
        <v>3.8595123291</v>
      </c>
      <c r="O53" s="122" t="str">
        <f>HYPERLINK(AA2 &amp; "/bolt/sn_efebbda1514cf4c7cd7ecf32c7a32daa/rendering/12.obj", "4.30442333221")</f>
        <v>4.30442333221</v>
      </c>
      <c r="P53" s="163" t="str">
        <f>HYPERLINK(AA2 &amp; "/bolt/sn_efebbda1514cf4c7cd7ecf32c7a32daa/rendering/13.obj", "4.02898597717")</f>
        <v>4.02898597717</v>
      </c>
      <c r="Q53" s="107" t="str">
        <f>HYPERLINK(AA2 &amp; "/bolt/sn_efebbda1514cf4c7cd7ecf32c7a32daa/rendering/14.obj", "7.78976678848")</f>
        <v>7.78976678848</v>
      </c>
      <c r="R53" s="145" t="str">
        <f>HYPERLINK(AA2 &amp; "/bolt/sn_efebbda1514cf4c7cd7ecf32c7a32daa/rendering/15.obj", "3.65855813026")</f>
        <v>3.65855813026</v>
      </c>
      <c r="S53" s="164" t="str">
        <f>HYPERLINK(AA2 &amp; "/bolt/sn_efebbda1514cf4c7cd7ecf32c7a32daa/rendering/16.obj", "2.61681675911")</f>
        <v>2.61681675911</v>
      </c>
      <c r="T53" s="24" t="str">
        <f>HYPERLINK(AA2 &amp; "/bolt/sn_efebbda1514cf4c7cd7ecf32c7a32daa/rendering/17.obj", "5.99634981155")</f>
        <v>5.99634981155</v>
      </c>
      <c r="U53" s="40" t="str">
        <f>HYPERLINK(AA2 &amp; "/bolt/sn_efebbda1514cf4c7cd7ecf32c7a32daa/rendering/18.obj", "8.4251832962")</f>
        <v>8.4251832962</v>
      </c>
      <c r="V53" s="165" t="str">
        <f>HYPERLINK(AA2 &amp; "/bolt/sn_efebbda1514cf4c7cd7ecf32c7a32daa/rendering/19.obj", "2.22953081131")</f>
        <v>2.22953081131</v>
      </c>
      <c r="W53" s="12" t="s">
        <v>30</v>
      </c>
      <c r="X53" s="13">
        <v>7.1989385962486274</v>
      </c>
      <c r="Y53" s="13">
        <v>6.1095176678948881</v>
      </c>
      <c r="Z53" s="20">
        <v>0.84866922897197139</v>
      </c>
    </row>
    <row r="54" spans="1:26" x14ac:dyDescent="0.2">
      <c r="A54" s="1">
        <v>52</v>
      </c>
      <c r="B54" s="2" t="s">
        <v>43</v>
      </c>
      <c r="C54" s="23" t="str">
        <f>HYPERLINK(AB2 &amp; "/bolt/sn_efebbda1514cf4c7cd7ecf32c7a32daa/rendering/00.obj", "3.55906433105")</f>
        <v>3.55906433105</v>
      </c>
      <c r="D54" s="25" t="str">
        <f>HYPERLINK(AB2 &amp; "/bolt/sn_efebbda1514cf4c7cd7ecf32c7a32daa/rendering/01.obj", "3.75126586914")</f>
        <v>3.75126586914</v>
      </c>
      <c r="E54" s="34" t="str">
        <f>HYPERLINK(AB2 &amp; "/bolt/sn_efebbda1514cf4c7cd7ecf32c7a32daa/rendering/02.obj", "3.88126281738")</f>
        <v>3.88126281738</v>
      </c>
      <c r="F54" s="32" t="str">
        <f>HYPERLINK(AB2 &amp; "/bolt/sn_efebbda1514cf4c7cd7ecf32c7a32daa/rendering/03.obj", "3.3208795166")</f>
        <v>3.3208795166</v>
      </c>
      <c r="G54" s="35" t="str">
        <f>HYPERLINK(AB2 &amp; "/bolt/sn_efebbda1514cf4c7cd7ecf32c7a32daa/rendering/04.obj", "3.48900726318")</f>
        <v>3.48900726318</v>
      </c>
      <c r="H54" s="136" t="str">
        <f>HYPERLINK(AB2 &amp; "/bolt/sn_efebbda1514cf4c7cd7ecf32c7a32daa/rendering/05.obj", "4.57914855957")</f>
        <v>4.57914855957</v>
      </c>
      <c r="I54" s="93" t="str">
        <f>HYPERLINK(AB2 &amp; "/bolt/sn_efebbda1514cf4c7cd7ecf32c7a32daa/rendering/06.obj", "4.22181060791")</f>
        <v>4.22181060791</v>
      </c>
      <c r="J54" s="37" t="str">
        <f>HYPERLINK(AB2 &amp; "/bolt/sn_efebbda1514cf4c7cd7ecf32c7a32daa/rendering/07.obj", "4.34927062988")</f>
        <v>4.34927062988</v>
      </c>
      <c r="K54" s="103" t="str">
        <f>HYPERLINK(AB2 &amp; "/bolt/sn_efebbda1514cf4c7cd7ecf32c7a32daa/rendering/08.obj", "4.91082580566")</f>
        <v>4.91082580566</v>
      </c>
      <c r="L54" s="166" t="str">
        <f>HYPERLINK(AB2 &amp; "/bolt/sn_efebbda1514cf4c7cd7ecf32c7a32daa/rendering/09.obj", "2.63942260742")</f>
        <v>2.63942260742</v>
      </c>
      <c r="M54" s="60" t="str">
        <f>HYPERLINK(AB2 &amp; "/bolt/sn_efebbda1514cf4c7cd7ecf32c7a32daa/rendering/10.obj", "3.50925720215")</f>
        <v>3.50925720215</v>
      </c>
      <c r="N54" s="32" t="str">
        <f>HYPERLINK(AB2 &amp; "/bolt/sn_efebbda1514cf4c7cd7ecf32c7a32daa/rendering/11.obj", "3.31687713623")</f>
        <v>3.31687713623</v>
      </c>
      <c r="O54" s="51" t="str">
        <f>HYPERLINK(AB2 &amp; "/bolt/sn_efebbda1514cf4c7cd7ecf32c7a32daa/rendering/12.obj", "3.41482757568")</f>
        <v>3.41482757568</v>
      </c>
      <c r="P54" s="91" t="str">
        <f>HYPERLINK(AB2 &amp; "/bolt/sn_efebbda1514cf4c7cd7ecf32c7a32daa/rendering/13.obj", "3.6016973877")</f>
        <v>3.6016973877</v>
      </c>
      <c r="Q54" s="29" t="str">
        <f>HYPERLINK(AB2 &amp; "/bolt/sn_efebbda1514cf4c7cd7ecf32c7a32daa/rendering/14.obj", "3.21854858398")</f>
        <v>3.21854858398</v>
      </c>
      <c r="R54" s="78" t="str">
        <f>HYPERLINK(AB2 &amp; "/bolt/sn_efebbda1514cf4c7cd7ecf32c7a32daa/rendering/15.obj", "3.48267150879")</f>
        <v>3.48267150879</v>
      </c>
      <c r="S54" s="47" t="str">
        <f>HYPERLINK(AB2 &amp; "/bolt/sn_efebbda1514cf4c7cd7ecf32c7a32daa/rendering/16.obj", "3.67554626465")</f>
        <v>3.67554626465</v>
      </c>
      <c r="T54" s="29" t="str">
        <f>HYPERLINK(AB2 &amp; "/bolt/sn_efebbda1514cf4c7cd7ecf32c7a32daa/rendering/17.obj", "3.22648406982")</f>
        <v>3.22648406982</v>
      </c>
      <c r="U54" s="98" t="str">
        <f>HYPERLINK(AB2 &amp; "/bolt/sn_efebbda1514cf4c7cd7ecf32c7a32daa/rendering/18.obj", "4.56374603271")</f>
        <v>4.56374603271</v>
      </c>
      <c r="V54" s="107" t="str">
        <f>HYPERLINK(AB2 &amp; "/bolt/sn_efebbda1514cf4c7cd7ecf32c7a32daa/rendering/19.obj", "3.40164245605")</f>
        <v>3.40164245605</v>
      </c>
      <c r="W54" s="12" t="s">
        <v>31</v>
      </c>
      <c r="X54" s="13">
        <v>3.7056628112792969</v>
      </c>
      <c r="Y54" s="13">
        <v>0.54376879871528516</v>
      </c>
      <c r="Z54" s="84">
        <v>0.1467399562259582</v>
      </c>
    </row>
    <row r="55" spans="1:26" x14ac:dyDescent="0.2">
      <c r="A55" s="1">
        <v>53</v>
      </c>
      <c r="B55" s="2" t="s">
        <v>43</v>
      </c>
      <c r="C55" s="72" t="str">
        <f>HYPERLINK(AB2 &amp; "/bolt/sn_efebbda1514cf4c7cd7ecf32c7a32daa/rendering/00.obj", "2.75809788704")</f>
        <v>2.75809788704</v>
      </c>
      <c r="D55" s="33" t="str">
        <f>HYPERLINK(AB2 &amp; "/bolt/sn_efebbda1514cf4c7cd7ecf32c7a32daa/rendering/01.obj", "2.54074501991")</f>
        <v>2.54074501991</v>
      </c>
      <c r="E55" s="76" t="str">
        <f>HYPERLINK(AB2 &amp; "/bolt/sn_efebbda1514cf4c7cd7ecf32c7a32daa/rendering/02.obj", "3.37432146072")</f>
        <v>3.37432146072</v>
      </c>
      <c r="F55" s="71" t="str">
        <f>HYPERLINK(AB2 &amp; "/bolt/sn_efebbda1514cf4c7cd7ecf32c7a32daa/rendering/03.obj", "2.51875925064")</f>
        <v>2.51875925064</v>
      </c>
      <c r="G55" s="78" t="str">
        <f>HYPERLINK(AB2 &amp; "/bolt/sn_efebbda1514cf4c7cd7ecf32c7a32daa/rendering/04.obj", "3.02427220345")</f>
        <v>3.02427220345</v>
      </c>
      <c r="H55" s="58" t="str">
        <f>HYPERLINK(AB2 &amp; "/bolt/sn_efebbda1514cf4c7cd7ecf32c7a32daa/rendering/05.obj", "3.55063247681")</f>
        <v>3.55063247681</v>
      </c>
      <c r="I55" s="37" t="str">
        <f>HYPERLINK(AB2 &amp; "/bolt/sn_efebbda1514cf4c7cd7ecf32c7a32daa/rendering/06.obj", "2.35520792007")</f>
        <v>2.35520792007</v>
      </c>
      <c r="J55" s="42" t="str">
        <f>HYPERLINK(AB2 &amp; "/bolt/sn_efebbda1514cf4c7cd7ecf32c7a32daa/rendering/07.obj", "3.2407169342")</f>
        <v>3.2407169342</v>
      </c>
      <c r="K55" s="20" t="str">
        <f>HYPERLINK(AB2 &amp; "/bolt/sn_efebbda1514cf4c7cd7ecf32c7a32daa/rendering/08.obj", "5.85146665573")</f>
        <v>5.85146665573</v>
      </c>
      <c r="L55" s="50" t="str">
        <f>HYPERLINK(AB2 &amp; "/bolt/sn_efebbda1514cf4c7cd7ecf32c7a32daa/rendering/09.obj", "2.28856611252")</f>
        <v>2.28856611252</v>
      </c>
      <c r="M55" s="24" t="str">
        <f>HYPERLINK(AB2 &amp; "/bolt/sn_efebbda1514cf4c7cd7ecf32c7a32daa/rendering/10.obj", "2.37771821022")</f>
        <v>2.37771821022</v>
      </c>
      <c r="N55" s="129" t="str">
        <f>HYPERLINK(AB2 &amp; "/bolt/sn_efebbda1514cf4c7cd7ecf32c7a32daa/rendering/11.obj", "2.14286136627")</f>
        <v>2.14286136627</v>
      </c>
      <c r="O55" s="113" t="str">
        <f>HYPERLINK(AB2 &amp; "/bolt/sn_efebbda1514cf4c7cd7ecf32c7a32daa/rendering/12.obj", "2.07054567337")</f>
        <v>2.07054567337</v>
      </c>
      <c r="P55" s="28" t="str">
        <f>HYPERLINK(AB2 &amp; "/bolt/sn_efebbda1514cf4c7cd7ecf32c7a32daa/rendering/13.obj", "2.53916835785")</f>
        <v>2.53916835785</v>
      </c>
      <c r="Q55" s="17" t="str">
        <f>HYPERLINK(AB2 &amp; "/bolt/sn_efebbda1514cf4c7cd7ecf32c7a32daa/rendering/14.obj", "2.90950345993")</f>
        <v>2.90950345993</v>
      </c>
      <c r="R55" s="40" t="str">
        <f>HYPERLINK(AB2 &amp; "/bolt/sn_efebbda1514cf4c7cd7ecf32c7a32daa/rendering/15.obj", "2.36292719841")</f>
        <v>2.36292719841</v>
      </c>
      <c r="S55" s="38" t="str">
        <f>HYPERLINK(AB2 &amp; "/bolt/sn_efebbda1514cf4c7cd7ecf32c7a32daa/rendering/16.obj", "2.59601545334")</f>
        <v>2.59601545334</v>
      </c>
      <c r="T55" s="7" t="str">
        <f>HYPERLINK(AB2 &amp; "/bolt/sn_efebbda1514cf4c7cd7ecf32c7a32daa/rendering/17.obj", "2.06487464905")</f>
        <v>2.06487464905</v>
      </c>
      <c r="U55" s="167" t="str">
        <f>HYPERLINK(AB2 &amp; "/bolt/sn_efebbda1514cf4c7cd7ecf32c7a32daa/rendering/18.obj", "4.57257652283")</f>
        <v>4.57257652283</v>
      </c>
      <c r="V55" s="103" t="str">
        <f>HYPERLINK(AB2 &amp; "/bolt/sn_efebbda1514cf4c7cd7ecf32c7a32daa/rendering/19.obj", "1.92518019676")</f>
        <v>1.92518019676</v>
      </c>
      <c r="W55" s="12" t="s">
        <v>32</v>
      </c>
      <c r="X55" s="13">
        <v>2.8532078504562381</v>
      </c>
      <c r="Y55" s="13">
        <v>0.91931470491304645</v>
      </c>
      <c r="Z55" s="168">
        <v>0.32220390279875499</v>
      </c>
    </row>
    <row r="56" spans="1:26" x14ac:dyDescent="0.2">
      <c r="A56" s="1">
        <v>54</v>
      </c>
      <c r="B56" s="2" t="s">
        <v>43</v>
      </c>
      <c r="C56" s="13" t="str">
        <f>HYPERLINK(AC2 &amp; "/bolt/sn_efebbda1514cf4c7cd7ecf32c7a32daa/rendering/00.xyz", "0.0")</f>
        <v>0.0</v>
      </c>
      <c r="D56" s="13" t="str">
        <f>HYPERLINK(AC2 &amp; "/bolt/sn_efebbda1514cf4c7cd7ecf32c7a32daa/rendering/01.xyz", "0.0")</f>
        <v>0.0</v>
      </c>
      <c r="E56" s="13" t="str">
        <f>HYPERLINK(AC2 &amp; "/bolt/sn_efebbda1514cf4c7cd7ecf32c7a32daa/rendering/02.xyz", "0.0")</f>
        <v>0.0</v>
      </c>
      <c r="F56" s="13" t="str">
        <f>HYPERLINK(AC2 &amp; "/bolt/sn_efebbda1514cf4c7cd7ecf32c7a32daa/rendering/03.xyz", "0.0")</f>
        <v>0.0</v>
      </c>
      <c r="G56" s="13" t="str">
        <f>HYPERLINK(AC2 &amp; "/bolt/sn_efebbda1514cf4c7cd7ecf32c7a32daa/rendering/04.xyz", "0.0")</f>
        <v>0.0</v>
      </c>
      <c r="H56" s="13" t="str">
        <f>HYPERLINK(AC2 &amp; "/bolt/sn_efebbda1514cf4c7cd7ecf32c7a32daa/rendering/05.xyz", "0.0")</f>
        <v>0.0</v>
      </c>
      <c r="I56" s="13" t="str">
        <f>HYPERLINK(AC2 &amp; "/bolt/sn_efebbda1514cf4c7cd7ecf32c7a32daa/rendering/06.xyz", "0.0")</f>
        <v>0.0</v>
      </c>
      <c r="J56" s="13" t="str">
        <f>HYPERLINK(AC2 &amp; "/bolt/sn_efebbda1514cf4c7cd7ecf32c7a32daa/rendering/07.xyz", "0.0")</f>
        <v>0.0</v>
      </c>
      <c r="K56" s="13" t="str">
        <f>HYPERLINK(AC2 &amp; "/bolt/sn_efebbda1514cf4c7cd7ecf32c7a32daa/rendering/08.xyz", "0.0")</f>
        <v>0.0</v>
      </c>
      <c r="L56" s="13" t="str">
        <f>HYPERLINK(AC2 &amp; "/bolt/sn_efebbda1514cf4c7cd7ecf32c7a32daa/rendering/09.xyz", "0.0")</f>
        <v>0.0</v>
      </c>
      <c r="M56" s="13" t="str">
        <f>HYPERLINK(AC2 &amp; "/bolt/sn_efebbda1514cf4c7cd7ecf32c7a32daa/rendering/10.xyz", "0.0")</f>
        <v>0.0</v>
      </c>
      <c r="N56" s="13" t="str">
        <f>HYPERLINK(AC2 &amp; "/bolt/sn_efebbda1514cf4c7cd7ecf32c7a32daa/rendering/11.xyz", "0.0")</f>
        <v>0.0</v>
      </c>
      <c r="O56" s="13" t="str">
        <f>HYPERLINK(AC2 &amp; "/bolt/sn_efebbda1514cf4c7cd7ecf32c7a32daa/rendering/12.xyz", "0.0")</f>
        <v>0.0</v>
      </c>
      <c r="P56" s="13" t="str">
        <f>HYPERLINK(AC2 &amp; "/bolt/sn_efebbda1514cf4c7cd7ecf32c7a32daa/rendering/13.xyz", "0.0")</f>
        <v>0.0</v>
      </c>
      <c r="Q56" s="13" t="str">
        <f>HYPERLINK(AC2 &amp; "/bolt/sn_efebbda1514cf4c7cd7ecf32c7a32daa/rendering/14.xyz", "0.0")</f>
        <v>0.0</v>
      </c>
      <c r="R56" s="13" t="str">
        <f>HYPERLINK(AC2 &amp; "/bolt/sn_efebbda1514cf4c7cd7ecf32c7a32daa/rendering/15.xyz", "0.0")</f>
        <v>0.0</v>
      </c>
      <c r="S56" s="13" t="str">
        <f>HYPERLINK(AC2 &amp; "/bolt/sn_efebbda1514cf4c7cd7ecf32c7a32daa/rendering/16.xyz", "0.0")</f>
        <v>0.0</v>
      </c>
      <c r="T56" s="13" t="str">
        <f>HYPERLINK(AC2 &amp; "/bolt/sn_efebbda1514cf4c7cd7ecf32c7a32daa/rendering/17.xyz", "0.0")</f>
        <v>0.0</v>
      </c>
      <c r="U56" s="13" t="str">
        <f>HYPERLINK(AC2 &amp; "/bolt/sn_efebbda1514cf4c7cd7ecf32c7a32daa/rendering/18.xyz", "0.0")</f>
        <v>0.0</v>
      </c>
      <c r="V56" s="13" t="str">
        <f>HYPERLINK(AC2 &amp; "/bolt/sn_efebbda1514cf4c7cd7ecf32c7a32daa/rendering/19.xyz", "0.0")</f>
        <v>0.0</v>
      </c>
      <c r="W56" s="12" t="s">
        <v>33</v>
      </c>
      <c r="X56" s="13">
        <v>0</v>
      </c>
      <c r="Y56" s="13">
        <v>0</v>
      </c>
      <c r="Z56" s="13">
        <v>0</v>
      </c>
    </row>
    <row r="57" spans="1:26" x14ac:dyDescent="0.2">
      <c r="A57" s="1">
        <v>55</v>
      </c>
      <c r="B57" s="2" t="s">
        <v>44</v>
      </c>
      <c r="C57" s="69" t="str">
        <f>HYPERLINK(AA2 &amp; "/bolt/sn_f12b65ee82dbafbece32bc0bb6b95f5c/rendering/00.obj", "4.1085369873")</f>
        <v>4.1085369873</v>
      </c>
      <c r="D57" s="74" t="str">
        <f>HYPERLINK(AA2 &amp; "/bolt/sn_f12b65ee82dbafbece32bc0bb6b95f5c/rendering/01.obj", "4.29395080566")</f>
        <v>4.29395080566</v>
      </c>
      <c r="E57" s="74" t="str">
        <f>HYPERLINK(AA2 &amp; "/bolt/sn_f12b65ee82dbafbece32bc0bb6b95f5c/rendering/02.obj", "4.16575286865")</f>
        <v>4.16575286865</v>
      </c>
      <c r="F57" s="13" t="str">
        <f>HYPERLINK(AA2 &amp; "/bolt/sn_f12b65ee82dbafbece32bc0bb6b95f5c/rendering/03.obj", "4.2250201416")</f>
        <v>4.2250201416</v>
      </c>
      <c r="G57" s="5" t="str">
        <f>HYPERLINK(AA2 &amp; "/bolt/sn_f12b65ee82dbafbece32bc0bb6b95f5c/rendering/04.obj", "4.55084442139")</f>
        <v>4.55084442139</v>
      </c>
      <c r="H57" s="133" t="str">
        <f>HYPERLINK(AA2 &amp; "/bolt/sn_f12b65ee82dbafbece32bc0bb6b95f5c/rendering/05.obj", "4.66093444824")</f>
        <v>4.66093444824</v>
      </c>
      <c r="I57" s="34" t="str">
        <f>HYPERLINK(AA2 &amp; "/bolt/sn_f12b65ee82dbafbece32bc0bb6b95f5c/rendering/06.obj", "4.44383087158")</f>
        <v>4.44383087158</v>
      </c>
      <c r="J57" s="46" t="str">
        <f>HYPERLINK(AA2 &amp; "/bolt/sn_f12b65ee82dbafbece32bc0bb6b95f5c/rendering/07.obj", "4.15971313477")</f>
        <v>4.15971313477</v>
      </c>
      <c r="K57" s="46" t="str">
        <f>HYPERLINK(AA2 &amp; "/bolt/sn_f12b65ee82dbafbece32bc0bb6b95f5c/rendering/08.obj", "4.16013183594")</f>
        <v>4.16013183594</v>
      </c>
      <c r="L57" s="51" t="str">
        <f>HYPERLINK(AA2 &amp; "/bolt/sn_f12b65ee82dbafbece32bc0bb6b95f5c/rendering/09.obj", "3.89703491211")</f>
        <v>3.89703491211</v>
      </c>
      <c r="M57" s="107" t="str">
        <f>HYPERLINK(AA2 &amp; "/bolt/sn_f12b65ee82dbafbece32bc0bb6b95f5c/rendering/10.obj", "3.87524993896")</f>
        <v>3.87524993896</v>
      </c>
      <c r="N57" s="47" t="str">
        <f>HYPERLINK(AA2 &amp; "/bolt/sn_f12b65ee82dbafbece32bc0bb6b95f5c/rendering/11.obj", "4.20188842773")</f>
        <v>4.20188842773</v>
      </c>
      <c r="O57" s="74" t="str">
        <f>HYPERLINK(AA2 &amp; "/bolt/sn_f12b65ee82dbafbece32bc0bb6b95f5c/rendering/12.obj", "4.29054534912")</f>
        <v>4.29054534912</v>
      </c>
      <c r="P57" s="6" t="str">
        <f>HYPERLINK(AA2 &amp; "/bolt/sn_f12b65ee82dbafbece32bc0bb6b95f5c/rendering/13.obj", "4.04316650391")</f>
        <v>4.04316650391</v>
      </c>
      <c r="Q57" s="17" t="str">
        <f>HYPERLINK(AA2 &amp; "/bolt/sn_f12b65ee82dbafbece32bc0bb6b95f5c/rendering/14.obj", "4.15049041748")</f>
        <v>4.15049041748</v>
      </c>
      <c r="R57" s="60" t="str">
        <f>HYPERLINK(AA2 &amp; "/bolt/sn_f12b65ee82dbafbece32bc0bb6b95f5c/rendering/15.obj", "4.00861022949")</f>
        <v>4.00861022949</v>
      </c>
      <c r="S57" s="91" t="str">
        <f>HYPERLINK(AA2 &amp; "/bolt/sn_f12b65ee82dbafbece32bc0bb6b95f5c/rendering/16.obj", "4.33894378662")</f>
        <v>4.33894378662</v>
      </c>
      <c r="T57" s="34" t="str">
        <f>HYPERLINK(AA2 &amp; "/bolt/sn_f12b65ee82dbafbece32bc0bb6b95f5c/rendering/17.obj", "4.43604736328")</f>
        <v>4.43604736328</v>
      </c>
      <c r="U57" s="46" t="str">
        <f>HYPERLINK(AA2 &amp; "/bolt/sn_f12b65ee82dbafbece32bc0bb6b95f5c/rendering/18.obj", "4.30658935547")</f>
        <v>4.30658935547</v>
      </c>
      <c r="V57" s="17" t="str">
        <f>HYPERLINK(AA2 &amp; "/bolt/sn_f12b65ee82dbafbece32bc0bb6b95f5c/rendering/19.obj", "4.32005737305")</f>
        <v>4.32005737305</v>
      </c>
      <c r="W57" s="12" t="s">
        <v>29</v>
      </c>
      <c r="X57" s="13">
        <v>4.2318669586181636</v>
      </c>
      <c r="Y57" s="13">
        <v>0.19580968786055369</v>
      </c>
      <c r="Z57" s="6">
        <v>4.6270284433632493E-2</v>
      </c>
    </row>
    <row r="58" spans="1:26" x14ac:dyDescent="0.2">
      <c r="A58" s="1">
        <v>56</v>
      </c>
      <c r="B58" s="2" t="s">
        <v>44</v>
      </c>
      <c r="C58" s="48" t="str">
        <f>HYPERLINK(AA2 &amp; "/bolt/sn_f12b65ee82dbafbece32bc0bb6b95f5c/rendering/00.obj", "6.71194505692")</f>
        <v>6.71194505692</v>
      </c>
      <c r="D58" s="46" t="str">
        <f>HYPERLINK(AA2 &amp; "/bolt/sn_f12b65ee82dbafbece32bc0bb6b95f5c/rendering/01.obj", "6.65950393677")</f>
        <v>6.65950393677</v>
      </c>
      <c r="E58" s="5" t="str">
        <f>HYPERLINK(AA2 &amp; "/bolt/sn_f12b65ee82dbafbece32bc0bb6b95f5c/rendering/02.obj", "7.04941654205")</f>
        <v>7.04941654205</v>
      </c>
      <c r="F58" s="13" t="str">
        <f>HYPERLINK(AA2 &amp; "/bolt/sn_f12b65ee82dbafbece32bc0bb6b95f5c/rendering/03.obj", "6.54016590118")</f>
        <v>6.54016590118</v>
      </c>
      <c r="G58" s="6" t="str">
        <f>HYPERLINK(AA2 &amp; "/bolt/sn_f12b65ee82dbafbece32bc0bb6b95f5c/rendering/04.obj", "6.86098766327")</f>
        <v>6.86098766327</v>
      </c>
      <c r="H58" s="70" t="str">
        <f>HYPERLINK(AA2 &amp; "/bolt/sn_f12b65ee82dbafbece32bc0bb6b95f5c/rendering/05.obj", "7.38661670685")</f>
        <v>7.38661670685</v>
      </c>
      <c r="I58" s="74" t="str">
        <f>HYPERLINK(AA2 &amp; "/bolt/sn_f12b65ee82dbafbece32bc0bb6b95f5c/rendering/06.obj", "6.65085220337")</f>
        <v>6.65085220337</v>
      </c>
      <c r="J58" s="23" t="str">
        <f>HYPERLINK(AA2 &amp; "/bolt/sn_f12b65ee82dbafbece32bc0bb6b95f5c/rendering/07.obj", "6.29006481171")</f>
        <v>6.29006481171</v>
      </c>
      <c r="K58" s="46" t="str">
        <f>HYPERLINK(AA2 &amp; "/bolt/sn_f12b65ee82dbafbece32bc0bb6b95f5c/rendering/08.obj", "6.66044378281")</f>
        <v>6.66044378281</v>
      </c>
      <c r="L58" s="70" t="str">
        <f>HYPERLINK(AA2 &amp; "/bolt/sn_f12b65ee82dbafbece32bc0bb6b95f5c/rendering/09.obj", "5.721804142")</f>
        <v>5.721804142</v>
      </c>
      <c r="M58" s="32" t="str">
        <f>HYPERLINK(AA2 &amp; "/bolt/sn_f12b65ee82dbafbece32bc0bb6b95f5c/rendering/10.obj", "5.86740732193")</f>
        <v>5.86740732193</v>
      </c>
      <c r="N58" s="48" t="str">
        <f>HYPERLINK(AA2 &amp; "/bolt/sn_f12b65ee82dbafbece32bc0bb6b95f5c/rendering/11.obj", "6.69976091385")</f>
        <v>6.69976091385</v>
      </c>
      <c r="O58" s="90" t="str">
        <f>HYPERLINK(AA2 &amp; "/bolt/sn_f12b65ee82dbafbece32bc0bb6b95f5c/rendering/12.obj", "5.93066167831")</f>
        <v>5.93066167831</v>
      </c>
      <c r="P58" s="51" t="str">
        <f>HYPERLINK(AA2 &amp; "/bolt/sn_f12b65ee82dbafbece32bc0bb6b95f5c/rendering/13.obj", "6.03605890274")</f>
        <v>6.03605890274</v>
      </c>
      <c r="Q58" s="13" t="str">
        <f>HYPERLINK(AA2 &amp; "/bolt/sn_f12b65ee82dbafbece32bc0bb6b95f5c/rendering/14.obj", "6.55369520187")</f>
        <v>6.55369520187</v>
      </c>
      <c r="R58" s="74" t="str">
        <f>HYPERLINK(AA2 &amp; "/bolt/sn_f12b65ee82dbafbece32bc0bb6b95f5c/rendering/15.obj", "6.65096950531")</f>
        <v>6.65096950531</v>
      </c>
      <c r="S58" s="46" t="str">
        <f>HYPERLINK(AA2 &amp; "/bolt/sn_f12b65ee82dbafbece32bc0bb6b95f5c/rendering/16.obj", "6.67528247833")</f>
        <v>6.67528247833</v>
      </c>
      <c r="T58" s="72" t="str">
        <f>HYPERLINK(AA2 &amp; "/bolt/sn_f12b65ee82dbafbece32bc0bb6b95f5c/rendering/17.obj", "6.77966547012")</f>
        <v>6.77966547012</v>
      </c>
      <c r="U58" s="91" t="str">
        <f>HYPERLINK(AA2 &amp; "/bolt/sn_f12b65ee82dbafbece32bc0bb6b95f5c/rendering/18.obj", "6.37899971008")</f>
        <v>6.37899971008</v>
      </c>
      <c r="V58" s="41" t="str">
        <f>HYPERLINK(AA2 &amp; "/bolt/sn_f12b65ee82dbafbece32bc0bb6b95f5c/rendering/19.obj", "7.00120735168")</f>
        <v>7.00120735168</v>
      </c>
      <c r="W58" s="12" t="s">
        <v>30</v>
      </c>
      <c r="X58" s="13">
        <v>6.5552754640579227</v>
      </c>
      <c r="Y58" s="13">
        <v>0.40664572501974272</v>
      </c>
      <c r="Z58" s="78">
        <v>6.2033354242602048E-2</v>
      </c>
    </row>
    <row r="59" spans="1:26" x14ac:dyDescent="0.2">
      <c r="A59" s="1">
        <v>57</v>
      </c>
      <c r="B59" s="2" t="s">
        <v>44</v>
      </c>
      <c r="C59" s="106" t="str">
        <f>HYPERLINK(AB2 &amp; "/bolt/sn_f12b65ee82dbafbece32bc0bb6b95f5c/rendering/00.obj", "5.08179016113")</f>
        <v>5.08179016113</v>
      </c>
      <c r="D59" s="6" t="str">
        <f>HYPERLINK(AB2 &amp; "/bolt/sn_f12b65ee82dbafbece32bc0bb6b95f5c/rendering/01.obj", "4.76414306641")</f>
        <v>4.76414306641</v>
      </c>
      <c r="E59" s="74" t="str">
        <f>HYPERLINK(AB2 &amp; "/bolt/sn_f12b65ee82dbafbece32bc0bb6b95f5c/rendering/02.obj", "4.62979248047")</f>
        <v>4.62979248047</v>
      </c>
      <c r="F59" s="10" t="str">
        <f>HYPERLINK(AB2 &amp; "/bolt/sn_f12b65ee82dbafbece32bc0bb6b95f5c/rendering/03.obj", "4.8109979248")</f>
        <v>4.8109979248</v>
      </c>
      <c r="G59" s="133" t="str">
        <f>HYPERLINK(AB2 &amp; "/bolt/sn_f12b65ee82dbafbece32bc0bb6b95f5c/rendering/04.obj", "4.09221496582")</f>
        <v>4.09221496582</v>
      </c>
      <c r="H59" s="94" t="str">
        <f>HYPERLINK(AB2 &amp; "/bolt/sn_f12b65ee82dbafbece32bc0bb6b95f5c/rendering/05.obj", "4.21639099121")</f>
        <v>4.21639099121</v>
      </c>
      <c r="I59" s="10" t="str">
        <f>HYPERLINK(AB2 &amp; "/bolt/sn_f12b65ee82dbafbece32bc0bb6b95f5c/rendering/06.obj", "4.3130065918")</f>
        <v>4.3130065918</v>
      </c>
      <c r="J59" s="72" t="str">
        <f>HYPERLINK(AB2 &amp; "/bolt/sn_f12b65ee82dbafbece32bc0bb6b95f5c/rendering/07.obj", "4.70803497314")</f>
        <v>4.70803497314</v>
      </c>
      <c r="K59" s="17" t="str">
        <f>HYPERLINK(AB2 &amp; "/bolt/sn_f12b65ee82dbafbece32bc0bb6b95f5c/rendering/08.obj", "4.47352661133")</f>
        <v>4.47352661133</v>
      </c>
      <c r="L59" s="48" t="str">
        <f>HYPERLINK(AB2 &amp; "/bolt/sn_f12b65ee82dbafbece32bc0bb6b95f5c/rendering/09.obj", "4.45631713867")</f>
        <v>4.45631713867</v>
      </c>
      <c r="M59" s="38" t="str">
        <f>HYPERLINK(AB2 &amp; "/bolt/sn_f12b65ee82dbafbece32bc0bb6b95f5c/rendering/10.obj", "4.96387939453")</f>
        <v>4.96387939453</v>
      </c>
      <c r="N59" s="17" t="str">
        <f>HYPERLINK(AB2 &amp; "/bolt/sn_f12b65ee82dbafbece32bc0bb6b95f5c/rendering/11.obj", "4.46472900391")</f>
        <v>4.46472900391</v>
      </c>
      <c r="O59" s="92" t="str">
        <f>HYPERLINK(AB2 &amp; "/bolt/sn_f12b65ee82dbafbece32bc0bb6b95f5c/rendering/12.obj", "3.98768310547")</f>
        <v>3.98768310547</v>
      </c>
      <c r="P59" s="69" t="str">
        <f>HYPERLINK(AB2 &amp; "/bolt/sn_f12b65ee82dbafbece32bc0bb6b95f5c/rendering/13.obj", "4.42146362305")</f>
        <v>4.42146362305</v>
      </c>
      <c r="Q59" s="48" t="str">
        <f>HYPERLINK(AB2 &amp; "/bolt/sn_f12b65ee82dbafbece32bc0bb6b95f5c/rendering/14.obj", "4.67020568848")</f>
        <v>4.67020568848</v>
      </c>
      <c r="R59" s="90" t="str">
        <f>HYPERLINK(AB2 &amp; "/bolt/sn_f12b65ee82dbafbece32bc0bb6b95f5c/rendering/15.obj", "4.99596008301")</f>
        <v>4.99596008301</v>
      </c>
      <c r="S59" s="72" t="str">
        <f>HYPERLINK(AB2 &amp; "/bolt/sn_f12b65ee82dbafbece32bc0bb6b95f5c/rendering/16.obj", "4.71641967773")</f>
        <v>4.71641967773</v>
      </c>
      <c r="T59" s="60" t="str">
        <f>HYPERLINK(AB2 &amp; "/bolt/sn_f12b65ee82dbafbece32bc0bb6b95f5c/rendering/17.obj", "4.33016326904")</f>
        <v>4.33016326904</v>
      </c>
      <c r="U59" s="30" t="str">
        <f>HYPERLINK(AB2 &amp; "/bolt/sn_f12b65ee82dbafbece32bc0bb6b95f5c/rendering/18.obj", "4.53795166016")</f>
        <v>4.53795166016</v>
      </c>
      <c r="V59" s="13" t="str">
        <f>HYPERLINK(AB2 &amp; "/bolt/sn_f12b65ee82dbafbece32bc0bb6b95f5c/rendering/19.obj", "4.5570489502")</f>
        <v>4.5570489502</v>
      </c>
      <c r="W59" s="12" t="s">
        <v>31</v>
      </c>
      <c r="X59" s="13">
        <v>4.5595859680175783</v>
      </c>
      <c r="Y59" s="13">
        <v>0.28449711777714581</v>
      </c>
      <c r="Z59" s="78">
        <v>6.2395384092481479E-2</v>
      </c>
    </row>
    <row r="60" spans="1:26" x14ac:dyDescent="0.2">
      <c r="A60" s="1">
        <v>58</v>
      </c>
      <c r="B60" s="2" t="s">
        <v>44</v>
      </c>
      <c r="C60" s="106" t="str">
        <f>HYPERLINK(AB2 &amp; "/bolt/sn_f12b65ee82dbafbece32bc0bb6b95f5c/rendering/00.obj", "7.57641458511")</f>
        <v>7.57641458511</v>
      </c>
      <c r="D60" s="34" t="str">
        <f>HYPERLINK(AB2 &amp; "/bolt/sn_f12b65ee82dbafbece32bc0bb6b95f5c/rendering/01.obj", "7.12081766129")</f>
        <v>7.12081766129</v>
      </c>
      <c r="E60" s="107" t="str">
        <f>HYPERLINK(AB2 &amp; "/bolt/sn_f12b65ee82dbafbece32bc0bb6b95f5c/rendering/02.obj", "7.3546705246")</f>
        <v>7.3546705246</v>
      </c>
      <c r="F60" s="48" t="str">
        <f>HYPERLINK(AB2 &amp; "/bolt/sn_f12b65ee82dbafbece32bc0bb6b95f5c/rendering/03.obj", "6.94460964203")</f>
        <v>6.94460964203</v>
      </c>
      <c r="G60" s="63" t="str">
        <f>HYPERLINK(AB2 &amp; "/bolt/sn_f12b65ee82dbafbece32bc0bb6b95f5c/rendering/04.obj", "5.98016166687")</f>
        <v>5.98016166687</v>
      </c>
      <c r="H60" s="29" t="str">
        <f>HYPERLINK(AB2 &amp; "/bolt/sn_f12b65ee82dbafbece32bc0bb6b95f5c/rendering/05.obj", "5.90227127075")</f>
        <v>5.90227127075</v>
      </c>
      <c r="I60" s="110" t="str">
        <f>HYPERLINK(AB2 &amp; "/bolt/sn_f12b65ee82dbafbece32bc0bb6b95f5c/rendering/06.obj", "6.1218328476")</f>
        <v>6.1218328476</v>
      </c>
      <c r="J60" s="10" t="str">
        <f>HYPERLINK(AB2 &amp; "/bolt/sn_f12b65ee82dbafbece32bc0bb6b95f5c/rendering/07.obj", "7.16395139694")</f>
        <v>7.16395139694</v>
      </c>
      <c r="K60" s="73" t="str">
        <f>HYPERLINK(AB2 &amp; "/bolt/sn_f12b65ee82dbafbece32bc0bb6b95f5c/rendering/08.obj", "6.55247879028")</f>
        <v>6.55247879028</v>
      </c>
      <c r="L60" s="10" t="str">
        <f>HYPERLINK(AB2 &amp; "/bolt/sn_f12b65ee82dbafbece32bc0bb6b95f5c/rendering/09.obj", "6.4282913208")</f>
        <v>6.4282913208</v>
      </c>
      <c r="M60" s="33" t="str">
        <f>HYPERLINK(AB2 &amp; "/bolt/sn_f12b65ee82dbafbece32bc0bb6b95f5c/rendering/10.obj", "7.53224039078")</f>
        <v>7.53224039078</v>
      </c>
      <c r="N60" s="48" t="str">
        <f>HYPERLINK(AB2 &amp; "/bolt/sn_f12b65ee82dbafbece32bc0bb6b95f5c/rendering/11.obj", "6.62740850449")</f>
        <v>6.62740850449</v>
      </c>
      <c r="O60" s="76" t="str">
        <f>HYPERLINK(AB2 &amp; "/bolt/sn_f12b65ee82dbafbece32bc0bb6b95f5c/rendering/12.obj", "5.54183340073")</f>
        <v>5.54183340073</v>
      </c>
      <c r="P60" s="17" t="str">
        <f>HYPERLINK(AB2 &amp; "/bolt/sn_f12b65ee82dbafbece32bc0bb6b95f5c/rendering/13.obj", "6.64696311951")</f>
        <v>6.64696311951</v>
      </c>
      <c r="Q60" s="94" t="str">
        <f>HYPERLINK(AB2 &amp; "/bolt/sn_f12b65ee82dbafbece32bc0bb6b95f5c/rendering/14.obj", "7.30186223984")</f>
        <v>7.30186223984</v>
      </c>
      <c r="R60" s="38" t="str">
        <f>HYPERLINK(AB2 &amp; "/bolt/sn_f12b65ee82dbafbece32bc0bb6b95f5c/rendering/15.obj", "7.40934753418")</f>
        <v>7.40934753418</v>
      </c>
      <c r="S60" s="69" t="str">
        <f>HYPERLINK(AB2 &amp; "/bolt/sn_f12b65ee82dbafbece32bc0bb6b95f5c/rendering/16.obj", "6.99087095261")</f>
        <v>6.99087095261</v>
      </c>
      <c r="T60" s="107" t="str">
        <f>HYPERLINK(AB2 &amp; "/bolt/sn_f12b65ee82dbafbece32bc0bb6b95f5c/rendering/17.obj", "6.21828317642")</f>
        <v>6.21828317642</v>
      </c>
      <c r="U60" s="69" t="str">
        <f>HYPERLINK(AB2 &amp; "/bolt/sn_f12b65ee82dbafbece32bc0bb6b95f5c/rendering/18.obj", "6.99750757217")</f>
        <v>6.99750757217</v>
      </c>
      <c r="V60" s="110" t="str">
        <f>HYPERLINK(AB2 &amp; "/bolt/sn_f12b65ee82dbafbece32bc0bb6b95f5c/rendering/19.obj", "7.45565319061")</f>
        <v>7.45565319061</v>
      </c>
      <c r="W60" s="12" t="s">
        <v>32</v>
      </c>
      <c r="X60" s="13">
        <v>6.7933734893798832</v>
      </c>
      <c r="Y60" s="13">
        <v>0.58917517836519251</v>
      </c>
      <c r="Z60" s="39">
        <v>8.6727923804903878E-2</v>
      </c>
    </row>
    <row r="61" spans="1:26" x14ac:dyDescent="0.2">
      <c r="A61" s="1">
        <v>59</v>
      </c>
      <c r="B61" s="2" t="s">
        <v>44</v>
      </c>
      <c r="C61" s="13" t="str">
        <f>HYPERLINK(AC2 &amp; "/bolt/sn_f12b65ee82dbafbece32bc0bb6b95f5c/rendering/00.xyz", "0.0")</f>
        <v>0.0</v>
      </c>
      <c r="D61" s="13" t="str">
        <f>HYPERLINK(AC2 &amp; "/bolt/sn_f12b65ee82dbafbece32bc0bb6b95f5c/rendering/01.xyz", "0.0")</f>
        <v>0.0</v>
      </c>
      <c r="E61" s="13" t="str">
        <f>HYPERLINK(AC2 &amp; "/bolt/sn_f12b65ee82dbafbece32bc0bb6b95f5c/rendering/02.xyz", "0.0")</f>
        <v>0.0</v>
      </c>
      <c r="F61" s="13" t="str">
        <f>HYPERLINK(AC2 &amp; "/bolt/sn_f12b65ee82dbafbece32bc0bb6b95f5c/rendering/03.xyz", "0.0")</f>
        <v>0.0</v>
      </c>
      <c r="G61" s="13" t="str">
        <f>HYPERLINK(AC2 &amp; "/bolt/sn_f12b65ee82dbafbece32bc0bb6b95f5c/rendering/04.xyz", "0.0")</f>
        <v>0.0</v>
      </c>
      <c r="H61" s="13" t="str">
        <f>HYPERLINK(AC2 &amp; "/bolt/sn_f12b65ee82dbafbece32bc0bb6b95f5c/rendering/05.xyz", "0.0")</f>
        <v>0.0</v>
      </c>
      <c r="I61" s="13" t="str">
        <f>HYPERLINK(AC2 &amp; "/bolt/sn_f12b65ee82dbafbece32bc0bb6b95f5c/rendering/06.xyz", "0.0")</f>
        <v>0.0</v>
      </c>
      <c r="J61" s="13" t="str">
        <f>HYPERLINK(AC2 &amp; "/bolt/sn_f12b65ee82dbafbece32bc0bb6b95f5c/rendering/07.xyz", "0.0")</f>
        <v>0.0</v>
      </c>
      <c r="K61" s="13" t="str">
        <f>HYPERLINK(AC2 &amp; "/bolt/sn_f12b65ee82dbafbece32bc0bb6b95f5c/rendering/08.xyz", "0.0")</f>
        <v>0.0</v>
      </c>
      <c r="L61" s="13" t="str">
        <f>HYPERLINK(AC2 &amp; "/bolt/sn_f12b65ee82dbafbece32bc0bb6b95f5c/rendering/09.xyz", "0.0")</f>
        <v>0.0</v>
      </c>
      <c r="M61" s="13" t="str">
        <f>HYPERLINK(AC2 &amp; "/bolt/sn_f12b65ee82dbafbece32bc0bb6b95f5c/rendering/10.xyz", "0.0")</f>
        <v>0.0</v>
      </c>
      <c r="N61" s="13" t="str">
        <f>HYPERLINK(AC2 &amp; "/bolt/sn_f12b65ee82dbafbece32bc0bb6b95f5c/rendering/11.xyz", "0.0")</f>
        <v>0.0</v>
      </c>
      <c r="O61" s="13" t="str">
        <f>HYPERLINK(AC2 &amp; "/bolt/sn_f12b65ee82dbafbece32bc0bb6b95f5c/rendering/12.xyz", "0.0")</f>
        <v>0.0</v>
      </c>
      <c r="P61" s="13" t="str">
        <f>HYPERLINK(AC2 &amp; "/bolt/sn_f12b65ee82dbafbece32bc0bb6b95f5c/rendering/13.xyz", "0.0")</f>
        <v>0.0</v>
      </c>
      <c r="Q61" s="13" t="str">
        <f>HYPERLINK(AC2 &amp; "/bolt/sn_f12b65ee82dbafbece32bc0bb6b95f5c/rendering/14.xyz", "0.0")</f>
        <v>0.0</v>
      </c>
      <c r="R61" s="13" t="str">
        <f>HYPERLINK(AC2 &amp; "/bolt/sn_f12b65ee82dbafbece32bc0bb6b95f5c/rendering/15.xyz", "0.0")</f>
        <v>0.0</v>
      </c>
      <c r="S61" s="13" t="str">
        <f>HYPERLINK(AC2 &amp; "/bolt/sn_f12b65ee82dbafbece32bc0bb6b95f5c/rendering/16.xyz", "0.0")</f>
        <v>0.0</v>
      </c>
      <c r="T61" s="13" t="str">
        <f>HYPERLINK(AC2 &amp; "/bolt/sn_f12b65ee82dbafbece32bc0bb6b95f5c/rendering/17.xyz", "0.0")</f>
        <v>0.0</v>
      </c>
      <c r="U61" s="13" t="str">
        <f>HYPERLINK(AC2 &amp; "/bolt/sn_f12b65ee82dbafbece32bc0bb6b95f5c/rendering/18.xyz", "0.0")</f>
        <v>0.0</v>
      </c>
      <c r="V61" s="13" t="str">
        <f>HYPERLINK(AC2 &amp; "/bolt/sn_f12b65ee82dbafbece32bc0bb6b95f5c/rendering/19.xyz", "0.0")</f>
        <v>0.0</v>
      </c>
      <c r="W61" s="12" t="s">
        <v>33</v>
      </c>
      <c r="X61" s="13">
        <v>0</v>
      </c>
      <c r="Y61" s="13">
        <v>0</v>
      </c>
      <c r="Z61" s="13">
        <v>0</v>
      </c>
    </row>
    <row r="62" spans="1:26" x14ac:dyDescent="0.2">
      <c r="A62" s="1">
        <v>60</v>
      </c>
      <c r="B62" s="2" t="s">
        <v>45</v>
      </c>
      <c r="C62" s="169" t="str">
        <f>HYPERLINK(AA2 &amp; "/bolt/sn_f1969539c535067f39512f871cca8e31/rendering/00.obj", "4.34094818115")</f>
        <v>4.34094818115</v>
      </c>
      <c r="D62" s="23" t="str">
        <f>HYPERLINK(AA2 &amp; "/bolt/sn_f1969539c535067f39512f871cca8e31/rendering/01.obj", "3.18326812744")</f>
        <v>3.18326812744</v>
      </c>
      <c r="E62" s="42" t="str">
        <f>HYPERLINK(AA2 &amp; "/bolt/sn_f1969539c535067f39512f871cca8e31/rendering/02.obj", "2.86121643066")</f>
        <v>2.86121643066</v>
      </c>
      <c r="F62" s="63" t="str">
        <f>HYPERLINK(AA2 &amp; "/bolt/sn_f1969539c535067f39512f871cca8e31/rendering/03.obj", "3.70984649658")</f>
        <v>3.70984649658</v>
      </c>
      <c r="G62" s="170" t="str">
        <f>HYPERLINK(AA2 &amp; "/bolt/sn_f1969539c535067f39512f871cca8e31/rendering/04.obj", "4.14573974609")</f>
        <v>4.14573974609</v>
      </c>
      <c r="H62" s="42" t="str">
        <f>HYPERLINK(AA2 &amp; "/bolt/sn_f1969539c535067f39512f871cca8e31/rendering/05.obj", "3.76199279785")</f>
        <v>3.76199279785</v>
      </c>
      <c r="I62" s="17" t="str">
        <f>HYPERLINK(AA2 &amp; "/bolt/sn_f1969539c535067f39512f871cca8e31/rendering/06.obj", "3.24531036377")</f>
        <v>3.24531036377</v>
      </c>
      <c r="J62" s="151" t="str">
        <f>HYPERLINK(AA2 &amp; "/bolt/sn_f1969539c535067f39512f871cca8e31/rendering/07.obj", "4.50096862793")</f>
        <v>4.50096862793</v>
      </c>
      <c r="K62" s="70" t="str">
        <f>HYPERLINK(AA2 &amp; "/bolt/sn_f1969539c535067f39512f871cca8e31/rendering/08.obj", "3.73000366211")</f>
        <v>3.73000366211</v>
      </c>
      <c r="L62" s="67" t="str">
        <f>HYPERLINK(AA2 &amp; "/bolt/sn_f1969539c535067f39512f871cca8e31/rendering/09.obj", "3.00004119873")</f>
        <v>3.00004119873</v>
      </c>
      <c r="M62" s="83" t="str">
        <f>HYPERLINK(AA2 &amp; "/bolt/sn_f1969539c535067f39512f871cca8e31/rendering/10.obj", "2.81037902832")</f>
        <v>2.81037902832</v>
      </c>
      <c r="N62" s="70" t="str">
        <f>HYPERLINK(AA2 &amp; "/bolt/sn_f1969539c535067f39512f871cca8e31/rendering/11.obj", "2.88980773926")</f>
        <v>2.88980773926</v>
      </c>
      <c r="O62" s="27" t="str">
        <f>HYPERLINK(AA2 &amp; "/bolt/sn_f1969539c535067f39512f871cca8e31/rendering/12.obj", "3.07903656006")</f>
        <v>3.07903656006</v>
      </c>
      <c r="P62" s="65" t="str">
        <f>HYPERLINK(AA2 &amp; "/bolt/sn_f1969539c535067f39512f871cca8e31/rendering/13.obj", "2.86645965576")</f>
        <v>2.86645965576</v>
      </c>
      <c r="Q62" s="5" t="str">
        <f>HYPERLINK(AA2 &amp; "/bolt/sn_f1969539c535067f39512f871cca8e31/rendering/14.obj", "3.56650726318")</f>
        <v>3.56650726318</v>
      </c>
      <c r="R62" s="84" t="str">
        <f>HYPERLINK(AA2 &amp; "/bolt/sn_f1969539c535067f39512f871cca8e31/rendering/15.obj", "2.82257781982")</f>
        <v>2.82257781982</v>
      </c>
      <c r="S62" s="78" t="str">
        <f>HYPERLINK(AA2 &amp; "/bolt/sn_f1969539c535067f39512f871cca8e31/rendering/16.obj", "3.10453979492")</f>
        <v>3.10453979492</v>
      </c>
      <c r="T62" s="24" t="str">
        <f>HYPERLINK(AA2 &amp; "/bolt/sn_f1969539c535067f39512f871cca8e31/rendering/17.obj", "2.75427978516")</f>
        <v>2.75427978516</v>
      </c>
      <c r="U62" s="33" t="str">
        <f>HYPERLINK(AA2 &amp; "/bolt/sn_f1969539c535067f39512f871cca8e31/rendering/18.obj", "2.9468069458")</f>
        <v>2.9468069458</v>
      </c>
      <c r="V62" s="29" t="str">
        <f>HYPERLINK(AA2 &amp; "/bolt/sn_f1969539c535067f39512f871cca8e31/rendering/19.obj", "2.87682189941")</f>
        <v>2.87682189941</v>
      </c>
      <c r="W62" s="12" t="s">
        <v>29</v>
      </c>
      <c r="X62" s="13">
        <v>3.3098276062011718</v>
      </c>
      <c r="Y62" s="13">
        <v>0.53330328512004677</v>
      </c>
      <c r="Z62" s="66">
        <v>0.16112720919991999</v>
      </c>
    </row>
    <row r="63" spans="1:26" x14ac:dyDescent="0.2">
      <c r="A63" s="1">
        <v>61</v>
      </c>
      <c r="B63" s="2" t="s">
        <v>45</v>
      </c>
      <c r="C63" s="89" t="str">
        <f>HYPERLINK(AA2 &amp; "/bolt/sn_f1969539c535067f39512f871cca8e31/rendering/00.obj", "4.96539497375")</f>
        <v>4.96539497375</v>
      </c>
      <c r="D63" s="34" t="str">
        <f>HYPERLINK(AA2 &amp; "/bolt/sn_f1969539c535067f39512f871cca8e31/rendering/01.obj", "3.74643564224")</f>
        <v>3.74643564224</v>
      </c>
      <c r="E63" s="67" t="str">
        <f>HYPERLINK(AA2 &amp; "/bolt/sn_f1969539c535067f39512f871cca8e31/rendering/02.obj", "3.58461666107")</f>
        <v>3.58461666107</v>
      </c>
      <c r="F63" s="27" t="str">
        <f>HYPERLINK(AA2 &amp; "/bolt/sn_f1969539c535067f39512f871cca8e31/rendering/03.obj", "4.22004938126")</f>
        <v>4.22004938126</v>
      </c>
      <c r="G63" s="76" t="str">
        <f>HYPERLINK(AA2 &amp; "/bolt/sn_f1969539c535067f39512f871cca8e31/rendering/04.obj", "4.66538286209")</f>
        <v>4.66538286209</v>
      </c>
      <c r="H63" s="63" t="str">
        <f>HYPERLINK(AA2 &amp; "/bolt/sn_f1969539c535067f39512f871cca8e31/rendering/05.obj", "4.4265537262")</f>
        <v>4.4265537262</v>
      </c>
      <c r="I63" s="13" t="str">
        <f>HYPERLINK(AA2 &amp; "/bolt/sn_f1969539c535067f39512f871cca8e31/rendering/06.obj", "3.94087982178")</f>
        <v>3.94087982178</v>
      </c>
      <c r="J63" s="113" t="str">
        <f>HYPERLINK(AA2 &amp; "/bolt/sn_f1969539c535067f39512f871cca8e31/rendering/07.obj", "5.02768659592")</f>
        <v>5.02768659592</v>
      </c>
      <c r="K63" s="79" t="str">
        <f>HYPERLINK(AA2 &amp; "/bolt/sn_f1969539c535067f39512f871cca8e31/rendering/08.obj", "4.56309318542")</f>
        <v>4.56309318542</v>
      </c>
      <c r="L63" s="10" t="str">
        <f>HYPERLINK(AA2 &amp; "/bolt/sn_f1969539c535067f39512f871cca8e31/rendering/09.obj", "3.72827243805")</f>
        <v>3.72827243805</v>
      </c>
      <c r="M63" s="70" t="str">
        <f>HYPERLINK(AA2 &amp; "/bolt/sn_f1969539c535067f39512f871cca8e31/rendering/10.obj", "3.44404959679")</f>
        <v>3.44404959679</v>
      </c>
      <c r="N63" s="70" t="str">
        <f>HYPERLINK(AA2 &amp; "/bolt/sn_f1969539c535067f39512f871cca8e31/rendering/11.obj", "3.44844698906")</f>
        <v>3.44844698906</v>
      </c>
      <c r="O63" s="27" t="str">
        <f>HYPERLINK(AA2 &amp; "/bolt/sn_f1969539c535067f39512f871cca8e31/rendering/12.obj", "3.66548204422")</f>
        <v>3.66548204422</v>
      </c>
      <c r="P63" s="39" t="str">
        <f>HYPERLINK(AA2 &amp; "/bolt/sn_f1969539c535067f39512f871cca8e31/rendering/13.obj", "3.60692119598")</f>
        <v>3.60692119598</v>
      </c>
      <c r="Q63" s="27" t="str">
        <f>HYPERLINK(AA2 &amp; "/bolt/sn_f1969539c535067f39512f871cca8e31/rendering/14.obj", "4.22273206711")</f>
        <v>4.22273206711</v>
      </c>
      <c r="R63" s="92" t="str">
        <f>HYPERLINK(AA2 &amp; "/bolt/sn_f1969539c535067f39512f871cca8e31/rendering/15.obj", "3.46081376076")</f>
        <v>3.46081376076</v>
      </c>
      <c r="S63" s="90" t="str">
        <f>HYPERLINK(AA2 &amp; "/bolt/sn_f1969539c535067f39512f871cca8e31/rendering/16.obj", "3.56459856033")</f>
        <v>3.56459856033</v>
      </c>
      <c r="T63" s="63" t="str">
        <f>HYPERLINK(AA2 &amp; "/bolt/sn_f1969539c535067f39512f871cca8e31/rendering/17.obj", "3.46580982208")</f>
        <v>3.46580982208</v>
      </c>
      <c r="U63" s="39" t="str">
        <f>HYPERLINK(AA2 &amp; "/bolt/sn_f1969539c535067f39512f871cca8e31/rendering/18.obj", "3.60854768753")</f>
        <v>3.60854768753</v>
      </c>
      <c r="V63" s="32" t="str">
        <f>HYPERLINK(AA2 &amp; "/bolt/sn_f1969539c535067f39512f871cca8e31/rendering/19.obj", "3.53102087975")</f>
        <v>3.53102087975</v>
      </c>
      <c r="W63" s="12" t="s">
        <v>30</v>
      </c>
      <c r="X63" s="13">
        <v>3.944339394569397</v>
      </c>
      <c r="Y63" s="13">
        <v>0.51471635616735223</v>
      </c>
      <c r="Z63" s="29">
        <v>0.13049494596636849</v>
      </c>
    </row>
    <row r="64" spans="1:26" x14ac:dyDescent="0.2">
      <c r="A64" s="1">
        <v>62</v>
      </c>
      <c r="B64" s="2" t="s">
        <v>45</v>
      </c>
      <c r="C64" s="23" t="str">
        <f>HYPERLINK(AB2 &amp; "/bolt/sn_f1969539c535067f39512f871cca8e31/rendering/00.obj", "3.89274261475")</f>
        <v>3.89274261475</v>
      </c>
      <c r="D64" s="17" t="str">
        <f>HYPERLINK(AB2 &amp; "/bolt/sn_f1969539c535067f39512f871cca8e31/rendering/01.obj", "3.96429016113")</f>
        <v>3.96429016113</v>
      </c>
      <c r="E64" s="34" t="str">
        <f>HYPERLINK(AB2 &amp; "/bolt/sn_f1969539c535067f39512f871cca8e31/rendering/02.obj", "4.23845214844")</f>
        <v>4.23845214844</v>
      </c>
      <c r="F64" s="25" t="str">
        <f>HYPERLINK(AB2 &amp; "/bolt/sn_f1969539c535067f39512f871cca8e31/rendering/03.obj", "4.00823242188")</f>
        <v>4.00823242188</v>
      </c>
      <c r="G64" s="69" t="str">
        <f>HYPERLINK(AB2 &amp; "/bolt/sn_f1969539c535067f39512f871cca8e31/rendering/04.obj", "3.93306274414")</f>
        <v>3.93306274414</v>
      </c>
      <c r="H64" s="13" t="str">
        <f>HYPERLINK(AB2 &amp; "/bolt/sn_f1969539c535067f39512f871cca8e31/rendering/05.obj", "4.05302246094")</f>
        <v>4.05302246094</v>
      </c>
      <c r="I64" s="30" t="str">
        <f>HYPERLINK(AB2 &amp; "/bolt/sn_f1969539c535067f39512f871cca8e31/rendering/06.obj", "4.03132202148")</f>
        <v>4.03132202148</v>
      </c>
      <c r="J64" s="67" t="str">
        <f>HYPERLINK(AB2 &amp; "/bolt/sn_f1969539c535067f39512f871cca8e31/rendering/07.obj", "3.67086547852")</f>
        <v>3.67086547852</v>
      </c>
      <c r="K64" s="26" t="str">
        <f>HYPERLINK(AB2 &amp; "/bolt/sn_f1969539c535067f39512f871cca8e31/rendering/08.obj", "3.79242431641")</f>
        <v>3.79242431641</v>
      </c>
      <c r="L64" s="29" t="str">
        <f>HYPERLINK(AB2 &amp; "/bolt/sn_f1969539c535067f39512f871cca8e31/rendering/09.obj", "4.57748199463")</f>
        <v>4.57748199463</v>
      </c>
      <c r="M64" s="72" t="str">
        <f>HYPERLINK(AB2 &amp; "/bolt/sn_f1969539c535067f39512f871cca8e31/rendering/10.obj", "3.91286468506")</f>
        <v>3.91286468506</v>
      </c>
      <c r="N64" s="13" t="str">
        <f>HYPERLINK(AB2 &amp; "/bolt/sn_f1969539c535067f39512f871cca8e31/rendering/11.obj", "4.03616577148")</f>
        <v>4.03616577148</v>
      </c>
      <c r="O64" s="46" t="str">
        <f>HYPERLINK(AB2 &amp; "/bolt/sn_f1969539c535067f39512f871cca8e31/rendering/12.obj", "4.12094970703")</f>
        <v>4.12094970703</v>
      </c>
      <c r="P64" s="72" t="str">
        <f>HYPERLINK(AB2 &amp; "/bolt/sn_f1969539c535067f39512f871cca8e31/rendering/13.obj", "4.18238922119")</f>
        <v>4.18238922119</v>
      </c>
      <c r="Q64" s="13" t="str">
        <f>HYPERLINK(AB2 &amp; "/bolt/sn_f1969539c535067f39512f871cca8e31/rendering/14.obj", "4.05982971191")</f>
        <v>4.05982971191</v>
      </c>
      <c r="R64" s="60" t="str">
        <f>HYPERLINK(AB2 &amp; "/bolt/sn_f1969539c535067f39512f871cca8e31/rendering/15.obj", "3.84288482666")</f>
        <v>3.84288482666</v>
      </c>
      <c r="S64" s="33" t="str">
        <f>HYPERLINK(AB2 &amp; "/bolt/sn_f1969539c535067f39512f871cca8e31/rendering/16.obj", "4.48777709961")</f>
        <v>4.48777709961</v>
      </c>
      <c r="T64" s="30" t="str">
        <f>HYPERLINK(AB2 &amp; "/bolt/sn_f1969539c535067f39512f871cca8e31/rendering/17.obj", "4.07076599121")</f>
        <v>4.07076599121</v>
      </c>
      <c r="U64" s="46" t="str">
        <f>HYPERLINK(AB2 &amp; "/bolt/sn_f1969539c535067f39512f871cca8e31/rendering/18.obj", "4.12334289551")</f>
        <v>4.12334289551</v>
      </c>
      <c r="V64" s="48" t="str">
        <f>HYPERLINK(AB2 &amp; "/bolt/sn_f1969539c535067f39512f871cca8e31/rendering/19.obj", "3.95326843262")</f>
        <v>3.95326843262</v>
      </c>
      <c r="W64" s="12" t="s">
        <v>31</v>
      </c>
      <c r="X64" s="13">
        <v>4.0476067352294924</v>
      </c>
      <c r="Y64" s="13">
        <v>0.2077192581738439</v>
      </c>
      <c r="Z64" s="60">
        <v>5.1319031655397883E-2</v>
      </c>
    </row>
    <row r="65" spans="1:26" x14ac:dyDescent="0.2">
      <c r="A65" s="1">
        <v>63</v>
      </c>
      <c r="B65" s="2" t="s">
        <v>45</v>
      </c>
      <c r="C65" s="107" t="str">
        <f>HYPERLINK(AB2 &amp; "/bolt/sn_f1969539c535067f39512f871cca8e31/rendering/00.obj", "4.16547775269")</f>
        <v>4.16547775269</v>
      </c>
      <c r="D65" s="68" t="str">
        <f>HYPERLINK(AB2 &amp; "/bolt/sn_f1969539c535067f39512f871cca8e31/rendering/01.obj", "4.3496556282")</f>
        <v>4.3496556282</v>
      </c>
      <c r="E65" s="51" t="str">
        <f>HYPERLINK(AB2 &amp; "/bolt/sn_f1969539c535067f39512f871cca8e31/rendering/02.obj", "4.90506696701")</f>
        <v>4.90506696701</v>
      </c>
      <c r="F65" s="91" t="str">
        <f>HYPERLINK(AB2 &amp; "/bolt/sn_f1969539c535067f39512f871cca8e31/rendering/03.obj", "4.66922616959")</f>
        <v>4.66922616959</v>
      </c>
      <c r="G65" s="10" t="str">
        <f>HYPERLINK(AB2 &amp; "/bolt/sn_f1969539c535067f39512f871cca8e31/rendering/04.obj", "4.29193210602")</f>
        <v>4.29193210602</v>
      </c>
      <c r="H65" s="10" t="str">
        <f>HYPERLINK(AB2 &amp; "/bolt/sn_f1969539c535067f39512f871cca8e31/rendering/05.obj", "4.29696893692")</f>
        <v>4.29696893692</v>
      </c>
      <c r="I65" s="46" t="str">
        <f>HYPERLINK(AB2 &amp; "/bolt/sn_f1969539c535067f39512f871cca8e31/rendering/06.obj", "4.47002220154")</f>
        <v>4.47002220154</v>
      </c>
      <c r="J65" s="71" t="str">
        <f>HYPERLINK(AB2 &amp; "/bolt/sn_f1969539c535067f39512f871cca8e31/rendering/07.obj", "4.01224708557")</f>
        <v>4.01224708557</v>
      </c>
      <c r="K65" s="133" t="str">
        <f>HYPERLINK(AB2 &amp; "/bolt/sn_f1969539c535067f39512f871cca8e31/rendering/08.obj", "4.08158826828")</f>
        <v>4.08158826828</v>
      </c>
      <c r="L65" s="79" t="str">
        <f>HYPERLINK(AB2 &amp; "/bolt/sn_f1969539c535067f39512f871cca8e31/rendering/09.obj", "5.26787853241")</f>
        <v>5.26787853241</v>
      </c>
      <c r="M65" s="25" t="str">
        <f>HYPERLINK(AB2 &amp; "/bolt/sn_f1969539c535067f39512f871cca8e31/rendering/10.obj", "4.59681415558")</f>
        <v>4.59681415558</v>
      </c>
      <c r="N65" s="91" t="str">
        <f>HYPERLINK(AB2 &amp; "/bolt/sn_f1969539c535067f39512f871cca8e31/rendering/11.obj", "4.67281675339")</f>
        <v>4.67281675339</v>
      </c>
      <c r="O65" s="13" t="str">
        <f>HYPERLINK(AB2 &amp; "/bolt/sn_f1969539c535067f39512f871cca8e31/rendering/12.obj", "4.55161905289")</f>
        <v>4.55161905289</v>
      </c>
      <c r="P65" s="68" t="str">
        <f>HYPERLINK(AB2 &amp; "/bolt/sn_f1969539c535067f39512f871cca8e31/rendering/13.obj", "4.74341392517")</f>
        <v>4.74341392517</v>
      </c>
      <c r="Q65" s="69" t="str">
        <f>HYPERLINK(AB2 &amp; "/bolt/sn_f1969539c535067f39512f871cca8e31/rendering/14.obj", "4.40784311295")</f>
        <v>4.40784311295</v>
      </c>
      <c r="R65" s="13" t="str">
        <f>HYPERLINK(AB2 &amp; "/bolt/sn_f1969539c535067f39512f871cca8e31/rendering/15.obj", "4.53672885895")</f>
        <v>4.53672885895</v>
      </c>
      <c r="S65" s="10" t="str">
        <f>HYPERLINK(AB2 &amp; "/bolt/sn_f1969539c535067f39512f871cca8e31/rendering/16.obj", "4.79812526703")</f>
        <v>4.79812526703</v>
      </c>
      <c r="T65" s="72" t="str">
        <f>HYPERLINK(AB2 &amp; "/bolt/sn_f1969539c535067f39512f871cca8e31/rendering/17.obj", "4.70340585709")</f>
        <v>4.70340585709</v>
      </c>
      <c r="U65" s="6" t="str">
        <f>HYPERLINK(AB2 &amp; "/bolt/sn_f1969539c535067f39512f871cca8e31/rendering/18.obj", "4.75569391251")</f>
        <v>4.75569391251</v>
      </c>
      <c r="V65" s="69" t="str">
        <f>HYPERLINK(AB2 &amp; "/bolt/sn_f1969539c535067f39512f871cca8e31/rendering/19.obj", "4.68988990784")</f>
        <v>4.68988990784</v>
      </c>
      <c r="W65" s="12" t="s">
        <v>32</v>
      </c>
      <c r="X65" s="13">
        <v>4.5483207225799562</v>
      </c>
      <c r="Y65" s="13">
        <v>0.29250933878203511</v>
      </c>
      <c r="Z65" s="26">
        <v>6.431150233752958E-2</v>
      </c>
    </row>
    <row r="66" spans="1:26" x14ac:dyDescent="0.2">
      <c r="A66" s="1">
        <v>64</v>
      </c>
      <c r="B66" s="2" t="s">
        <v>45</v>
      </c>
      <c r="C66" s="13" t="str">
        <f>HYPERLINK(AC2 &amp; "/bolt/sn_f1969539c535067f39512f871cca8e31/rendering/00.xyz", "0.0")</f>
        <v>0.0</v>
      </c>
      <c r="D66" s="13" t="str">
        <f>HYPERLINK(AC2 &amp; "/bolt/sn_f1969539c535067f39512f871cca8e31/rendering/01.xyz", "0.0")</f>
        <v>0.0</v>
      </c>
      <c r="E66" s="13" t="str">
        <f>HYPERLINK(AC2 &amp; "/bolt/sn_f1969539c535067f39512f871cca8e31/rendering/02.xyz", "0.0")</f>
        <v>0.0</v>
      </c>
      <c r="F66" s="13" t="str">
        <f>HYPERLINK(AC2 &amp; "/bolt/sn_f1969539c535067f39512f871cca8e31/rendering/03.xyz", "0.0")</f>
        <v>0.0</v>
      </c>
      <c r="G66" s="13" t="str">
        <f>HYPERLINK(AC2 &amp; "/bolt/sn_f1969539c535067f39512f871cca8e31/rendering/04.xyz", "0.0")</f>
        <v>0.0</v>
      </c>
      <c r="H66" s="13" t="str">
        <f>HYPERLINK(AC2 &amp; "/bolt/sn_f1969539c535067f39512f871cca8e31/rendering/05.xyz", "0.0")</f>
        <v>0.0</v>
      </c>
      <c r="I66" s="13" t="str">
        <f>HYPERLINK(AC2 &amp; "/bolt/sn_f1969539c535067f39512f871cca8e31/rendering/06.xyz", "0.0")</f>
        <v>0.0</v>
      </c>
      <c r="J66" s="13" t="str">
        <f>HYPERLINK(AC2 &amp; "/bolt/sn_f1969539c535067f39512f871cca8e31/rendering/07.xyz", "0.0")</f>
        <v>0.0</v>
      </c>
      <c r="K66" s="13" t="str">
        <f>HYPERLINK(AC2 &amp; "/bolt/sn_f1969539c535067f39512f871cca8e31/rendering/08.xyz", "0.0")</f>
        <v>0.0</v>
      </c>
      <c r="L66" s="13" t="str">
        <f>HYPERLINK(AC2 &amp; "/bolt/sn_f1969539c535067f39512f871cca8e31/rendering/09.xyz", "0.0")</f>
        <v>0.0</v>
      </c>
      <c r="M66" s="13" t="str">
        <f>HYPERLINK(AC2 &amp; "/bolt/sn_f1969539c535067f39512f871cca8e31/rendering/10.xyz", "0.0")</f>
        <v>0.0</v>
      </c>
      <c r="N66" s="13" t="str">
        <f>HYPERLINK(AC2 &amp; "/bolt/sn_f1969539c535067f39512f871cca8e31/rendering/11.xyz", "0.0")</f>
        <v>0.0</v>
      </c>
      <c r="O66" s="13" t="str">
        <f>HYPERLINK(AC2 &amp; "/bolt/sn_f1969539c535067f39512f871cca8e31/rendering/12.xyz", "0.0")</f>
        <v>0.0</v>
      </c>
      <c r="P66" s="13" t="str">
        <f>HYPERLINK(AC2 &amp; "/bolt/sn_f1969539c535067f39512f871cca8e31/rendering/13.xyz", "0.0")</f>
        <v>0.0</v>
      </c>
      <c r="Q66" s="13" t="str">
        <f>HYPERLINK(AC2 &amp; "/bolt/sn_f1969539c535067f39512f871cca8e31/rendering/14.xyz", "0.0")</f>
        <v>0.0</v>
      </c>
      <c r="R66" s="13" t="str">
        <f>HYPERLINK(AC2 &amp; "/bolt/sn_f1969539c535067f39512f871cca8e31/rendering/15.xyz", "0.0")</f>
        <v>0.0</v>
      </c>
      <c r="S66" s="13" t="str">
        <f>HYPERLINK(AC2 &amp; "/bolt/sn_f1969539c535067f39512f871cca8e31/rendering/16.xyz", "0.0")</f>
        <v>0.0</v>
      </c>
      <c r="T66" s="13" t="str">
        <f>HYPERLINK(AC2 &amp; "/bolt/sn_f1969539c535067f39512f871cca8e31/rendering/17.xyz", "0.0")</f>
        <v>0.0</v>
      </c>
      <c r="U66" s="13" t="str">
        <f>HYPERLINK(AC2 &amp; "/bolt/sn_f1969539c535067f39512f871cca8e31/rendering/18.xyz", "0.0")</f>
        <v>0.0</v>
      </c>
      <c r="V66" s="13" t="str">
        <f>HYPERLINK(AC2 &amp; "/bolt/sn_f1969539c535067f39512f871cca8e31/rendering/19.xyz", "0.0")</f>
        <v>0.0</v>
      </c>
      <c r="W66" s="12" t="s">
        <v>33</v>
      </c>
      <c r="X66" s="13">
        <v>0</v>
      </c>
      <c r="Y66" s="13">
        <v>0</v>
      </c>
      <c r="Z66" s="13">
        <v>0</v>
      </c>
    </row>
    <row r="67" spans="1:26" x14ac:dyDescent="0.2">
      <c r="A67" s="1">
        <v>65</v>
      </c>
      <c r="B67" s="2" t="s">
        <v>46</v>
      </c>
      <c r="C67" s="171" t="str">
        <f>HYPERLINK(AA2 &amp; "/bolt/sn_f40e1edd8da4f1c878e5e4e4fbf53ad0/rendering/00.obj", "2.86181732178")</f>
        <v>2.86181732178</v>
      </c>
      <c r="D67" s="85" t="str">
        <f>HYPERLINK(AA2 &amp; "/bolt/sn_f40e1edd8da4f1c878e5e4e4fbf53ad0/rendering/01.obj", "2.90299804688")</f>
        <v>2.90299804688</v>
      </c>
      <c r="E67" s="126" t="str">
        <f>HYPERLINK(AA2 &amp; "/bolt/sn_f40e1edd8da4f1c878e5e4e4fbf53ad0/rendering/02.obj", "6.18134094238")</f>
        <v>6.18134094238</v>
      </c>
      <c r="F67" s="35" t="str">
        <f>HYPERLINK(AA2 &amp; "/bolt/sn_f40e1edd8da4f1c878e5e4e4fbf53ad0/rendering/03.obj", "3.87505523682")</f>
        <v>3.87505523682</v>
      </c>
      <c r="G67" s="84" t="str">
        <f>HYPERLINK(AA2 &amp; "/bolt/sn_f40e1edd8da4f1c878e5e4e4fbf53ad0/rendering/04.obj", "3.51527038574")</f>
        <v>3.51527038574</v>
      </c>
      <c r="H67" s="26" t="str">
        <f>HYPERLINK(AA2 &amp; "/bolt/sn_f40e1edd8da4f1c878e5e4e4fbf53ad0/rendering/05.obj", "4.38059417725")</f>
        <v>4.38059417725</v>
      </c>
      <c r="I67" s="51" t="str">
        <f>HYPERLINK(AA2 &amp; "/bolt/sn_f40e1edd8da4f1c878e5e4e4fbf53ad0/rendering/06.obj", "4.44478973389")</f>
        <v>4.44478973389</v>
      </c>
      <c r="J67" s="52" t="str">
        <f>HYPERLINK(AA2 &amp; "/bolt/sn_f40e1edd8da4f1c878e5e4e4fbf53ad0/rendering/07.obj", "5.76391235352")</f>
        <v>5.76391235352</v>
      </c>
      <c r="K67" s="73" t="str">
        <f>HYPERLINK(AA2 &amp; "/bolt/sn_f40e1edd8da4f1c878e5e4e4fbf53ad0/rendering/08.obj", "3.96805114746")</f>
        <v>3.96805114746</v>
      </c>
      <c r="L67" s="6" t="str">
        <f>HYPERLINK(AA2 &amp; "/bolt/sn_f40e1edd8da4f1c878e5e4e4fbf53ad0/rendering/09.obj", "3.9259979248")</f>
        <v>3.9259979248</v>
      </c>
      <c r="M67" s="40" t="str">
        <f>HYPERLINK(AA2 &amp; "/bolt/sn_f40e1edd8da4f1c878e5e4e4fbf53ad0/rendering/10.obj", "4.82379272461")</f>
        <v>4.82379272461</v>
      </c>
      <c r="N67" s="60" t="str">
        <f>HYPERLINK(AA2 &amp; "/bolt/sn_f40e1edd8da4f1c878e5e4e4fbf53ad0/rendering/11.obj", "4.33765625")</f>
        <v>4.33765625</v>
      </c>
      <c r="O67" s="41" t="str">
        <f>HYPERLINK(AA2 &amp; "/bolt/sn_f40e1edd8da4f1c878e5e4e4fbf53ad0/rendering/12.obj", "4.39817749023")</f>
        <v>4.39817749023</v>
      </c>
      <c r="P67" s="99" t="str">
        <f>HYPERLINK(AA2 &amp; "/bolt/sn_f40e1edd8da4f1c878e5e4e4fbf53ad0/rendering/13.obj", "3.00508422852")</f>
        <v>3.00508422852</v>
      </c>
      <c r="Q67" s="63" t="str">
        <f>HYPERLINK(AA2 &amp; "/bolt/sn_f40e1edd8da4f1c878e5e4e4fbf53ad0/rendering/14.obj", "3.6197833252")</f>
        <v>3.6197833252</v>
      </c>
      <c r="R67" s="85" t="str">
        <f>HYPERLINK(AA2 &amp; "/bolt/sn_f40e1edd8da4f1c878e5e4e4fbf53ad0/rendering/15.obj", "5.33730102539")</f>
        <v>5.33730102539</v>
      </c>
      <c r="S67" s="47" t="str">
        <f>HYPERLINK(AA2 &amp; "/bolt/sn_f40e1edd8da4f1c878e5e4e4fbf53ad0/rendering/16.obj", "4.08441101074")</f>
        <v>4.08441101074</v>
      </c>
      <c r="T67" s="25" t="str">
        <f>HYPERLINK(AA2 &amp; "/bolt/sn_f40e1edd8da4f1c878e5e4e4fbf53ad0/rendering/17.obj", "4.07965209961")</f>
        <v>4.07965209961</v>
      </c>
      <c r="U67" s="81" t="str">
        <f>HYPERLINK(AA2 &amp; "/bolt/sn_f40e1edd8da4f1c878e5e4e4fbf53ad0/rendering/18.obj", "3.22096679687")</f>
        <v>3.22096679687</v>
      </c>
      <c r="V67" s="106" t="str">
        <f>HYPERLINK(AA2 &amp; "/bolt/sn_f40e1edd8da4f1c878e5e4e4fbf53ad0/rendering/19.obj", "3.64450927734")</f>
        <v>3.64450927734</v>
      </c>
      <c r="W67" s="12" t="s">
        <v>29</v>
      </c>
      <c r="X67" s="13">
        <v>4.1185580749511734</v>
      </c>
      <c r="Y67" s="13">
        <v>0.87486777370383628</v>
      </c>
      <c r="Z67" s="120">
        <v>0.21242089046278859</v>
      </c>
    </row>
    <row r="68" spans="1:26" x14ac:dyDescent="0.2">
      <c r="A68" s="1">
        <v>66</v>
      </c>
      <c r="B68" s="2" t="s">
        <v>46</v>
      </c>
      <c r="C68" s="43" t="str">
        <f>HYPERLINK(AA2 &amp; "/bolt/sn_f40e1edd8da4f1c878e5e4e4fbf53ad0/rendering/00.obj", "2.76603841782")</f>
        <v>2.76603841782</v>
      </c>
      <c r="D68" s="172" t="str">
        <f>HYPERLINK(AA2 &amp; "/bolt/sn_f40e1edd8da4f1c878e5e4e4fbf53ad0/rendering/01.obj", "2.7221698761")</f>
        <v>2.7221698761</v>
      </c>
      <c r="E68" s="173" t="str">
        <f>HYPERLINK(AA2 &amp; "/bolt/sn_f40e1edd8da4f1c878e5e4e4fbf53ad0/rendering/02.obj", "7.4580783844")</f>
        <v>7.4580783844</v>
      </c>
      <c r="F68" s="67" t="str">
        <f>HYPERLINK(AA2 &amp; "/bolt/sn_f40e1edd8da4f1c878e5e4e4fbf53ad0/rendering/03.obj", "4.00564432144")</f>
        <v>4.00564432144</v>
      </c>
      <c r="G68" s="117" t="str">
        <f>HYPERLINK(AA2 &amp; "/bolt/sn_f40e1edd8da4f1c878e5e4e4fbf53ad0/rendering/04.obj", "3.63096833229")</f>
        <v>3.63096833229</v>
      </c>
      <c r="H68" s="110" t="str">
        <f>HYPERLINK(AA2 &amp; "/bolt/sn_f40e1edd8da4f1c878e5e4e4fbf53ad0/rendering/05.obj", "4.84683656693")</f>
        <v>4.84683656693</v>
      </c>
      <c r="I68" s="133" t="str">
        <f>HYPERLINK(AA2 &amp; "/bolt/sn_f40e1edd8da4f1c878e5e4e4fbf53ad0/rendering/06.obj", "4.87189006805")</f>
        <v>4.87189006805</v>
      </c>
      <c r="J68" s="174" t="str">
        <f>HYPERLINK(AA2 &amp; "/bolt/sn_f40e1edd8da4f1c878e5e4e4fbf53ad0/rendering/07.obj", "6.74039888382")</f>
        <v>6.74039888382</v>
      </c>
      <c r="K68" s="67" t="str">
        <f>HYPERLINK(AA2 &amp; "/bolt/sn_f40e1edd8da4f1c878e5e4e4fbf53ad0/rendering/08.obj", "4.00731515884")</f>
        <v>4.00731515884</v>
      </c>
      <c r="L68" s="39" t="str">
        <f>HYPERLINK(AA2 &amp; "/bolt/sn_f40e1edd8da4f1c878e5e4e4fbf53ad0/rendering/09.obj", "4.04167604446")</f>
        <v>4.04167604446</v>
      </c>
      <c r="M68" s="175" t="str">
        <f>HYPERLINK(AA2 &amp; "/bolt/sn_f40e1edd8da4f1c878e5e4e4fbf53ad0/rendering/10.obj", "5.4463186264")</f>
        <v>5.4463186264</v>
      </c>
      <c r="N68" s="68" t="str">
        <f>HYPERLINK(AA2 &amp; "/bolt/sn_f40e1edd8da4f1c878e5e4e4fbf53ad0/rendering/11.obj", "4.60877943039")</f>
        <v>4.60877943039</v>
      </c>
      <c r="O68" s="133" t="str">
        <f>HYPERLINK(AA2 &amp; "/bolt/sn_f40e1edd8da4f1c878e5e4e4fbf53ad0/rendering/12.obj", "4.87022638321")</f>
        <v>4.87022638321</v>
      </c>
      <c r="P68" s="54" t="str">
        <f>HYPERLINK(AA2 &amp; "/bolt/sn_f40e1edd8da4f1c878e5e4e4fbf53ad0/rendering/13.obj", "2.96994400024")</f>
        <v>2.96994400024</v>
      </c>
      <c r="Q68" s="42" t="str">
        <f>HYPERLINK(AA2 &amp; "/bolt/sn_f40e1edd8da4f1c878e5e4e4fbf53ad0/rendering/14.obj", "3.81075954437")</f>
        <v>3.81075954437</v>
      </c>
      <c r="R68" s="138" t="str">
        <f>HYPERLINK(AA2 &amp; "/bolt/sn_f40e1edd8da4f1c878e5e4e4fbf53ad0/rendering/15.obj", "5.90173959732")</f>
        <v>5.90173959732</v>
      </c>
      <c r="S68" s="13" t="str">
        <f>HYPERLINK(AA2 &amp; "/bolt/sn_f40e1edd8da4f1c878e5e4e4fbf53ad0/rendering/16.obj", "4.42873287201")</f>
        <v>4.42873287201</v>
      </c>
      <c r="T68" s="17" t="str">
        <f>HYPERLINK(AA2 &amp; "/bolt/sn_f40e1edd8da4f1c878e5e4e4fbf53ad0/rendering/17.obj", "4.32516288757")</f>
        <v>4.32516288757</v>
      </c>
      <c r="U68" s="85" t="str">
        <f>HYPERLINK(AA2 &amp; "/bolt/sn_f40e1edd8da4f1c878e5e4e4fbf53ad0/rendering/18.obj", "3.10431265831")</f>
        <v>3.10431265831</v>
      </c>
      <c r="V68" s="8" t="str">
        <f>HYPERLINK(AA2 &amp; "/bolt/sn_f40e1edd8da4f1c878e5e4e4fbf53ad0/rendering/19.obj", "3.78035449982")</f>
        <v>3.78035449982</v>
      </c>
      <c r="W68" s="12" t="s">
        <v>30</v>
      </c>
      <c r="X68" s="13">
        <v>4.4168673276901247</v>
      </c>
      <c r="Y68" s="13">
        <v>1.22140481321191</v>
      </c>
      <c r="Z68" s="7">
        <v>0.27653192242264257</v>
      </c>
    </row>
    <row r="69" spans="1:26" x14ac:dyDescent="0.2">
      <c r="A69" s="1">
        <v>67</v>
      </c>
      <c r="B69" s="2" t="s">
        <v>46</v>
      </c>
      <c r="C69" s="34" t="str">
        <f>HYPERLINK(AB2 &amp; "/bolt/sn_f40e1edd8da4f1c878e5e4e4fbf53ad0/rendering/00.obj", "4.1047668457")</f>
        <v>4.1047668457</v>
      </c>
      <c r="D69" s="74" t="str">
        <f>HYPERLINK(AB2 &amp; "/bolt/sn_f40e1edd8da4f1c878e5e4e4fbf53ad0/rendering/01.obj", "3.96925292969")</f>
        <v>3.96925292969</v>
      </c>
      <c r="E69" s="69" t="str">
        <f>HYPERLINK(AB2 &amp; "/bolt/sn_f40e1edd8da4f1c878e5e4e4fbf53ad0/rendering/02.obj", "3.79879516602")</f>
        <v>3.79879516602</v>
      </c>
      <c r="F69" s="23" t="str">
        <f>HYPERLINK(AB2 &amp; "/bolt/sn_f40e1edd8da4f1c878e5e4e4fbf53ad0/rendering/03.obj", "3.76521636963")</f>
        <v>3.76521636963</v>
      </c>
      <c r="G69" s="30" t="str">
        <f>HYPERLINK(AB2 &amp; "/bolt/sn_f40e1edd8da4f1c878e5e4e4fbf53ad0/rendering/04.obj", "3.93640258789")</f>
        <v>3.93640258789</v>
      </c>
      <c r="H69" s="25" t="str">
        <f>HYPERLINK(AB2 &amp; "/bolt/sn_f40e1edd8da4f1c878e5e4e4fbf53ad0/rendering/05.obj", "3.95084991455")</f>
        <v>3.95084991455</v>
      </c>
      <c r="I69" s="13" t="str">
        <f>HYPERLINK(AB2 &amp; "/bolt/sn_f40e1edd8da4f1c878e5e4e4fbf53ad0/rendering/06.obj", "3.91681488037")</f>
        <v>3.91681488037</v>
      </c>
      <c r="J69" s="46" t="str">
        <f>HYPERLINK(AB2 &amp; "/bolt/sn_f40e1edd8da4f1c878e5e4e4fbf53ad0/rendering/07.obj", "3.84557220459")</f>
        <v>3.84557220459</v>
      </c>
      <c r="K69" s="74" t="str">
        <f>HYPERLINK(AB2 &amp; "/bolt/sn_f40e1edd8da4f1c878e5e4e4fbf53ad0/rendering/08.obj", "3.8571105957")</f>
        <v>3.8571105957</v>
      </c>
      <c r="L69" s="13" t="str">
        <f>HYPERLINK(AB2 &amp; "/bolt/sn_f40e1edd8da4f1c878e5e4e4fbf53ad0/rendering/09.obj", "3.91276123047")</f>
        <v>3.91276123047</v>
      </c>
      <c r="M69" s="13" t="str">
        <f>HYPERLINK(AB2 &amp; "/bolt/sn_f40e1edd8da4f1c878e5e4e4fbf53ad0/rendering/10.obj", "3.92124938965")</f>
        <v>3.92124938965</v>
      </c>
      <c r="N69" s="30" t="str">
        <f>HYPERLINK(AB2 &amp; "/bolt/sn_f40e1edd8da4f1c878e5e4e4fbf53ad0/rendering/11.obj", "3.88973510742")</f>
        <v>3.88973510742</v>
      </c>
      <c r="O69" s="73" t="str">
        <f>HYPERLINK(AB2 &amp; "/bolt/sn_f40e1edd8da4f1c878e5e4e4fbf53ad0/rendering/12.obj", "3.77007354736")</f>
        <v>3.77007354736</v>
      </c>
      <c r="P69" s="13" t="str">
        <f>HYPERLINK(AB2 &amp; "/bolt/sn_f40e1edd8da4f1c878e5e4e4fbf53ad0/rendering/13.obj", "3.9011819458")</f>
        <v>3.9011819458</v>
      </c>
      <c r="Q69" s="73" t="str">
        <f>HYPERLINK(AB2 &amp; "/bolt/sn_f40e1edd8da4f1c878e5e4e4fbf53ad0/rendering/14.obj", "4.0578994751")</f>
        <v>4.0578994751</v>
      </c>
      <c r="R69" s="74" t="str">
        <f>HYPERLINK(AB2 &amp; "/bolt/sn_f40e1edd8da4f1c878e5e4e4fbf53ad0/rendering/15.obj", "3.85471374512")</f>
        <v>3.85471374512</v>
      </c>
      <c r="S69" s="47" t="str">
        <f>HYPERLINK(AB2 &amp; "/bolt/sn_f40e1edd8da4f1c878e5e4e4fbf53ad0/rendering/16.obj", "3.94641357422")</f>
        <v>3.94641357422</v>
      </c>
      <c r="T69" s="30" t="str">
        <f>HYPERLINK(AB2 &amp; "/bolt/sn_f40e1edd8da4f1c878e5e4e4fbf53ad0/rendering/17.obj", "3.89360595703")</f>
        <v>3.89360595703</v>
      </c>
      <c r="U69" s="73" t="str">
        <f>HYPERLINK(AB2 &amp; "/bolt/sn_f40e1edd8da4f1c878e5e4e4fbf53ad0/rendering/18.obj", "4.05310668945")</f>
        <v>4.05310668945</v>
      </c>
      <c r="V69" s="13" t="str">
        <f>HYPERLINK(AB2 &amp; "/bolt/sn_f40e1edd8da4f1c878e5e4e4fbf53ad0/rendering/19.obj", "3.9211050415")</f>
        <v>3.9211050415</v>
      </c>
      <c r="W69" s="12" t="s">
        <v>31</v>
      </c>
      <c r="X69" s="13">
        <v>3.9133313598632822</v>
      </c>
      <c r="Y69" s="13">
        <v>8.6960556461787838E-2</v>
      </c>
      <c r="Z69" s="48">
        <v>2.2221618479255471E-2</v>
      </c>
    </row>
    <row r="70" spans="1:26" x14ac:dyDescent="0.2">
      <c r="A70" s="1">
        <v>68</v>
      </c>
      <c r="B70" s="2" t="s">
        <v>46</v>
      </c>
      <c r="C70" s="72" t="str">
        <f>HYPERLINK(AB2 &amp; "/bolt/sn_f40e1edd8da4f1c878e5e4e4fbf53ad0/rendering/00.obj", "2.86804246902")</f>
        <v>2.86804246902</v>
      </c>
      <c r="D70" s="25" t="str">
        <f>HYPERLINK(AB2 &amp; "/bolt/sn_f40e1edd8da4f1c878e5e4e4fbf53ad0/rendering/01.obj", "2.74501776695")</f>
        <v>2.74501776695</v>
      </c>
      <c r="E70" s="34" t="str">
        <f>HYPERLINK(AB2 &amp; "/bolt/sn_f40e1edd8da4f1c878e5e4e4fbf53ad0/rendering/02.obj", "2.90769648552")</f>
        <v>2.90769648552</v>
      </c>
      <c r="F70" s="5" t="str">
        <f>HYPERLINK(AB2 &amp; "/bolt/sn_f40e1edd8da4f1c878e5e4e4fbf53ad0/rendering/03.obj", "2.56318593025")</f>
        <v>2.56318593025</v>
      </c>
      <c r="G70" s="35" t="str">
        <f>HYPERLINK(AB2 &amp; "/bolt/sn_f40e1edd8da4f1c878e5e4e4fbf53ad0/rendering/04.obj", "2.93352532387")</f>
        <v>2.93352532387</v>
      </c>
      <c r="H70" s="60" t="str">
        <f>HYPERLINK(AB2 &amp; "/bolt/sn_f40e1edd8da4f1c878e5e4e4fbf53ad0/rendering/05.obj", "2.63449835777")</f>
        <v>2.63449835777</v>
      </c>
      <c r="I70" s="34" t="str">
        <f>HYPERLINK(AB2 &amp; "/bolt/sn_f40e1edd8da4f1c878e5e4e4fbf53ad0/rendering/06.obj", "2.64094495773")</f>
        <v>2.64094495773</v>
      </c>
      <c r="J70" s="60" t="str">
        <f>HYPERLINK(AB2 &amp; "/bolt/sn_f40e1edd8da4f1c878e5e4e4fbf53ad0/rendering/07.obj", "2.62770056725")</f>
        <v>2.62770056725</v>
      </c>
      <c r="K70" s="23" t="str">
        <f>HYPERLINK(AB2 &amp; "/bolt/sn_f40e1edd8da4f1c878e5e4e4fbf53ad0/rendering/08.obj", "2.66978287697")</f>
        <v>2.66978287697</v>
      </c>
      <c r="L70" s="41" t="str">
        <f>HYPERLINK(AB2 &amp; "/bolt/sn_f40e1edd8da4f1c878e5e4e4fbf53ad0/rendering/09.obj", "2.95773911476")</f>
        <v>2.95773911476</v>
      </c>
      <c r="M70" s="10" t="str">
        <f>HYPERLINK(AB2 &amp; "/bolt/sn_f40e1edd8da4f1c878e5e4e4fbf53ad0/rendering/10.obj", "2.62327432632")</f>
        <v>2.62327432632</v>
      </c>
      <c r="N70" s="35" t="str">
        <f>HYPERLINK(AB2 &amp; "/bolt/sn_f40e1edd8da4f1c878e5e4e4fbf53ad0/rendering/11.obj", "2.93198752403")</f>
        <v>2.93198752403</v>
      </c>
      <c r="O70" s="46" t="str">
        <f>HYPERLINK(AB2 &amp; "/bolt/sn_f40e1edd8da4f1c878e5e4e4fbf53ad0/rendering/12.obj", "2.73115801811")</f>
        <v>2.73115801811</v>
      </c>
      <c r="P70" s="47" t="str">
        <f>HYPERLINK(AB2 &amp; "/bolt/sn_f40e1edd8da4f1c878e5e4e4fbf53ad0/rendering/13.obj", "2.79617786407")</f>
        <v>2.79617786407</v>
      </c>
      <c r="Q70" s="30" t="str">
        <f>HYPERLINK(AB2 &amp; "/bolt/sn_f40e1edd8da4f1c878e5e4e4fbf53ad0/rendering/14.obj", "2.76071596146")</f>
        <v>2.76071596146</v>
      </c>
      <c r="R70" s="91" t="str">
        <f>HYPERLINK(AB2 &amp; "/bolt/sn_f40e1edd8da4f1c878e5e4e4fbf53ad0/rendering/15.obj", "2.85310482979")</f>
        <v>2.85310482979</v>
      </c>
      <c r="S70" s="30" t="str">
        <f>HYPERLINK(AB2 &amp; "/bolt/sn_f40e1edd8da4f1c878e5e4e4fbf53ad0/rendering/16.obj", "2.78606557846")</f>
        <v>2.78606557846</v>
      </c>
      <c r="T70" s="23" t="str">
        <f>HYPERLINK(AB2 &amp; "/bolt/sn_f40e1edd8da4f1c878e5e4e4fbf53ad0/rendering/17.obj", "2.66243505478")</f>
        <v>2.66243505478</v>
      </c>
      <c r="U70" s="17" t="str">
        <f>HYPERLINK(AB2 &amp; "/bolt/sn_f40e1edd8da4f1c878e5e4e4fbf53ad0/rendering/18.obj", "2.83321142197")</f>
        <v>2.83321142197</v>
      </c>
      <c r="V70" s="27" t="str">
        <f>HYPERLINK(AB2 &amp; "/bolt/sn_f40e1edd8da4f1c878e5e4e4fbf53ad0/rendering/19.obj", "2.96936058998")</f>
        <v>2.96936058998</v>
      </c>
      <c r="W70" s="12" t="s">
        <v>32</v>
      </c>
      <c r="X70" s="13">
        <v>2.7747812509536738</v>
      </c>
      <c r="Y70" s="13">
        <v>0.12476582756317629</v>
      </c>
      <c r="Z70" s="6">
        <v>4.4964203041337081E-2</v>
      </c>
    </row>
    <row r="71" spans="1:26" x14ac:dyDescent="0.2">
      <c r="A71" s="1">
        <v>69</v>
      </c>
      <c r="B71" s="2" t="s">
        <v>46</v>
      </c>
      <c r="C71" s="13" t="str">
        <f>HYPERLINK(AC2 &amp; "/bolt/sn_f40e1edd8da4f1c878e5e4e4fbf53ad0/rendering/00.xyz", "0.0")</f>
        <v>0.0</v>
      </c>
      <c r="D71" s="13" t="str">
        <f>HYPERLINK(AC2 &amp; "/bolt/sn_f40e1edd8da4f1c878e5e4e4fbf53ad0/rendering/01.xyz", "0.0")</f>
        <v>0.0</v>
      </c>
      <c r="E71" s="13" t="str">
        <f>HYPERLINK(AC2 &amp; "/bolt/sn_f40e1edd8da4f1c878e5e4e4fbf53ad0/rendering/02.xyz", "0.0")</f>
        <v>0.0</v>
      </c>
      <c r="F71" s="13" t="str">
        <f>HYPERLINK(AC2 &amp; "/bolt/sn_f40e1edd8da4f1c878e5e4e4fbf53ad0/rendering/03.xyz", "0.0")</f>
        <v>0.0</v>
      </c>
      <c r="G71" s="13" t="str">
        <f>HYPERLINK(AC2 &amp; "/bolt/sn_f40e1edd8da4f1c878e5e4e4fbf53ad0/rendering/04.xyz", "0.0")</f>
        <v>0.0</v>
      </c>
      <c r="H71" s="13" t="str">
        <f>HYPERLINK(AC2 &amp; "/bolt/sn_f40e1edd8da4f1c878e5e4e4fbf53ad0/rendering/05.xyz", "0.0")</f>
        <v>0.0</v>
      </c>
      <c r="I71" s="13" t="str">
        <f>HYPERLINK(AC2 &amp; "/bolt/sn_f40e1edd8da4f1c878e5e4e4fbf53ad0/rendering/06.xyz", "0.0")</f>
        <v>0.0</v>
      </c>
      <c r="J71" s="13" t="str">
        <f>HYPERLINK(AC2 &amp; "/bolt/sn_f40e1edd8da4f1c878e5e4e4fbf53ad0/rendering/07.xyz", "0.0")</f>
        <v>0.0</v>
      </c>
      <c r="K71" s="13" t="str">
        <f>HYPERLINK(AC2 &amp; "/bolt/sn_f40e1edd8da4f1c878e5e4e4fbf53ad0/rendering/08.xyz", "0.0")</f>
        <v>0.0</v>
      </c>
      <c r="L71" s="13" t="str">
        <f>HYPERLINK(AC2 &amp; "/bolt/sn_f40e1edd8da4f1c878e5e4e4fbf53ad0/rendering/09.xyz", "0.0")</f>
        <v>0.0</v>
      </c>
      <c r="M71" s="13" t="str">
        <f>HYPERLINK(AC2 &amp; "/bolt/sn_f40e1edd8da4f1c878e5e4e4fbf53ad0/rendering/10.xyz", "0.0")</f>
        <v>0.0</v>
      </c>
      <c r="N71" s="13" t="str">
        <f>HYPERLINK(AC2 &amp; "/bolt/sn_f40e1edd8da4f1c878e5e4e4fbf53ad0/rendering/11.xyz", "0.0")</f>
        <v>0.0</v>
      </c>
      <c r="O71" s="13" t="str">
        <f>HYPERLINK(AC2 &amp; "/bolt/sn_f40e1edd8da4f1c878e5e4e4fbf53ad0/rendering/12.xyz", "0.0")</f>
        <v>0.0</v>
      </c>
      <c r="P71" s="13" t="str">
        <f>HYPERLINK(AC2 &amp; "/bolt/sn_f40e1edd8da4f1c878e5e4e4fbf53ad0/rendering/13.xyz", "0.0")</f>
        <v>0.0</v>
      </c>
      <c r="Q71" s="13" t="str">
        <f>HYPERLINK(AC2 &amp; "/bolt/sn_f40e1edd8da4f1c878e5e4e4fbf53ad0/rendering/14.xyz", "0.0")</f>
        <v>0.0</v>
      </c>
      <c r="R71" s="13" t="str">
        <f>HYPERLINK(AC2 &amp; "/bolt/sn_f40e1edd8da4f1c878e5e4e4fbf53ad0/rendering/15.xyz", "0.0")</f>
        <v>0.0</v>
      </c>
      <c r="S71" s="13" t="str">
        <f>HYPERLINK(AC2 &amp; "/bolt/sn_f40e1edd8da4f1c878e5e4e4fbf53ad0/rendering/16.xyz", "0.0")</f>
        <v>0.0</v>
      </c>
      <c r="T71" s="13" t="str">
        <f>HYPERLINK(AC2 &amp; "/bolt/sn_f40e1edd8da4f1c878e5e4e4fbf53ad0/rendering/17.xyz", "0.0")</f>
        <v>0.0</v>
      </c>
      <c r="U71" s="13" t="str">
        <f>HYPERLINK(AC2 &amp; "/bolt/sn_f40e1edd8da4f1c878e5e4e4fbf53ad0/rendering/18.xyz", "0.0")</f>
        <v>0.0</v>
      </c>
      <c r="V71" s="13" t="str">
        <f>HYPERLINK(AC2 &amp; "/bolt/sn_f40e1edd8da4f1c878e5e4e4fbf53ad0/rendering/19.xyz", "0.0")</f>
        <v>0.0</v>
      </c>
      <c r="W71" s="12" t="s">
        <v>33</v>
      </c>
      <c r="X71" s="13">
        <v>0</v>
      </c>
      <c r="Y71" s="13">
        <v>0</v>
      </c>
      <c r="Z71" s="13">
        <v>0</v>
      </c>
    </row>
    <row r="72" spans="1:26" x14ac:dyDescent="0.2">
      <c r="A72" s="1">
        <v>70</v>
      </c>
      <c r="B72" s="2" t="s">
        <v>47</v>
      </c>
      <c r="C72" s="40" t="str">
        <f>HYPERLINK(AA2 &amp; "/bolt/sn_f51a9abd1e17cdd6132ee5631e293a9c/rendering/00.obj", "3.1641104126")</f>
        <v>3.1641104126</v>
      </c>
      <c r="D72" s="17" t="str">
        <f>HYPERLINK(AA2 &amp; "/bolt/sn_f51a9abd1e17cdd6132ee5631e293a9c/rendering/01.obj", "3.73867218018")</f>
        <v>3.73867218018</v>
      </c>
      <c r="E72" s="109" t="str">
        <f>HYPERLINK(AA2 &amp; "/bolt/sn_f51a9abd1e17cdd6132ee5631e293a9c/rendering/02.obj", "3.08950805664")</f>
        <v>3.08950805664</v>
      </c>
      <c r="F72" s="64" t="str">
        <f>HYPERLINK(AA2 &amp; "/bolt/sn_f51a9abd1e17cdd6132ee5631e293a9c/rendering/03.obj", "4.44487548828")</f>
        <v>4.44487548828</v>
      </c>
      <c r="G72" s="64" t="str">
        <f>HYPERLINK(AA2 &amp; "/bolt/sn_f51a9abd1e17cdd6132ee5631e293a9c/rendering/04.obj", "3.18786224365")</f>
        <v>3.18786224365</v>
      </c>
      <c r="H72" s="134" t="str">
        <f>HYPERLINK(AA2 &amp; "/bolt/sn_f51a9abd1e17cdd6132ee5631e293a9c/rendering/05.obj", "3.13226013184")</f>
        <v>3.13226013184</v>
      </c>
      <c r="I72" s="93" t="str">
        <f>HYPERLINK(AA2 &amp; "/bolt/sn_f51a9abd1e17cdd6132ee5631e293a9c/rendering/06.obj", "4.35818847656")</f>
        <v>4.35818847656</v>
      </c>
      <c r="J72" s="74" t="str">
        <f>HYPERLINK(AA2 &amp; "/bolt/sn_f51a9abd1e17cdd6132ee5631e293a9c/rendering/07.obj", "3.7619934082")</f>
        <v>3.7619934082</v>
      </c>
      <c r="K72" s="135" t="str">
        <f>HYPERLINK(AA2 &amp; "/bolt/sn_f51a9abd1e17cdd6132ee5631e293a9c/rendering/08.obj", "4.79794219971")</f>
        <v>4.79794219971</v>
      </c>
      <c r="L72" s="74" t="str">
        <f>HYPERLINK(AA2 &amp; "/bolt/sn_f51a9abd1e17cdd6132ee5631e293a9c/rendering/09.obj", "3.76324951172")</f>
        <v>3.76324951172</v>
      </c>
      <c r="M72" s="149" t="str">
        <f>HYPERLINK(AA2 &amp; "/bolt/sn_f51a9abd1e17cdd6132ee5631e293a9c/rendering/10.obj", "5.12647705078")</f>
        <v>5.12647705078</v>
      </c>
      <c r="N72" s="34" t="str">
        <f>HYPERLINK(AA2 &amp; "/bolt/sn_f51a9abd1e17cdd6132ee5631e293a9c/rendering/11.obj", "3.63477966309")</f>
        <v>3.63477966309</v>
      </c>
      <c r="O72" s="11" t="str">
        <f>HYPERLINK(AA2 &amp; "/bolt/sn_f51a9abd1e17cdd6132ee5631e293a9c/rendering/12.obj", "2.96022827148")</f>
        <v>2.96022827148</v>
      </c>
      <c r="P72" s="68" t="str">
        <f>HYPERLINK(AA2 &amp; "/bolt/sn_f51a9abd1e17cdd6132ee5631e293a9c/rendering/13.obj", "3.65804382324")</f>
        <v>3.65804382324</v>
      </c>
      <c r="Q72" s="68" t="str">
        <f>HYPERLINK(AA2 &amp; "/bolt/sn_f51a9abd1e17cdd6132ee5631e293a9c/rendering/14.obj", "3.66108856201")</f>
        <v>3.66108856201</v>
      </c>
      <c r="R72" s="6" t="str">
        <f>HYPERLINK(AA2 &amp; "/bolt/sn_f51a9abd1e17cdd6132ee5631e293a9c/rendering/15.obj", "3.98746154785")</f>
        <v>3.98746154785</v>
      </c>
      <c r="S72" s="80" t="str">
        <f>HYPERLINK(AA2 &amp; "/bolt/sn_f51a9abd1e17cdd6132ee5631e293a9c/rendering/16.obj", "4.39181213379")</f>
        <v>4.39181213379</v>
      </c>
      <c r="T72" s="26" t="str">
        <f>HYPERLINK(AA2 &amp; "/bolt/sn_f51a9abd1e17cdd6132ee5631e293a9c/rendering/17.obj", "3.57187774658")</f>
        <v>3.57187774658</v>
      </c>
      <c r="U72" s="32" t="str">
        <f>HYPERLINK(AA2 &amp; "/bolt/sn_f51a9abd1e17cdd6132ee5631e293a9c/rendering/18.obj", "3.42212982178")</f>
        <v>3.42212982178</v>
      </c>
      <c r="V72" s="77" t="str">
        <f>HYPERLINK(AA2 &amp; "/bolt/sn_f51a9abd1e17cdd6132ee5631e293a9c/rendering/19.obj", "4.53067199707")</f>
        <v>4.53067199707</v>
      </c>
      <c r="W72" s="12" t="s">
        <v>29</v>
      </c>
      <c r="X72" s="13">
        <v>3.8191616363525389</v>
      </c>
      <c r="Y72" s="13">
        <v>0.59572972199702456</v>
      </c>
      <c r="Z72" s="31">
        <v>0.15598442242574781</v>
      </c>
    </row>
    <row r="73" spans="1:26" x14ac:dyDescent="0.2">
      <c r="A73" s="1">
        <v>71</v>
      </c>
      <c r="B73" s="2" t="s">
        <v>47</v>
      </c>
      <c r="C73" s="91" t="str">
        <f>HYPERLINK(AA2 &amp; "/bolt/sn_f51a9abd1e17cdd6132ee5631e293a9c/rendering/00.obj", "5.65673971176")</f>
        <v>5.65673971176</v>
      </c>
      <c r="D73" s="133" t="str">
        <f>HYPERLINK(AA2 &amp; "/bolt/sn_f51a9abd1e17cdd6132ee5631e293a9c/rendering/01.obj", "5.22809696198")</f>
        <v>5.22809696198</v>
      </c>
      <c r="E73" s="5" t="str">
        <f>HYPERLINK(AA2 &amp; "/bolt/sn_f51a9abd1e17cdd6132ee5631e293a9c/rendering/02.obj", "5.36133289337")</f>
        <v>5.36133289337</v>
      </c>
      <c r="F73" s="13" t="str">
        <f>HYPERLINK(AA2 &amp; "/bolt/sn_f51a9abd1e17cdd6132ee5631e293a9c/rendering/03.obj", "5.82215213776")</f>
        <v>5.82215213776</v>
      </c>
      <c r="G73" s="23" t="str">
        <f>HYPERLINK(AA2 &amp; "/bolt/sn_f51a9abd1e17cdd6132ee5631e293a9c/rendering/04.obj", "5.585896492")</f>
        <v>5.585896492</v>
      </c>
      <c r="H73" s="90" t="str">
        <f>HYPERLINK(AA2 &amp; "/bolt/sn_f51a9abd1e17cdd6132ee5631e293a9c/rendering/05.obj", "5.25586175919")</f>
        <v>5.25586175919</v>
      </c>
      <c r="I73" s="73" t="str">
        <f>HYPERLINK(AA2 &amp; "/bolt/sn_f51a9abd1e17cdd6132ee5631e293a9c/rendering/06.obj", "5.60769844055")</f>
        <v>5.60769844055</v>
      </c>
      <c r="J73" s="110" t="str">
        <f>HYPERLINK(AA2 &amp; "/bolt/sn_f51a9abd1e17cdd6132ee5631e293a9c/rendering/07.obj", "6.39062404633")</f>
        <v>6.39062404633</v>
      </c>
      <c r="K73" s="28" t="str">
        <f>HYPERLINK(AA2 &amp; "/bolt/sn_f51a9abd1e17cdd6132ee5631e293a9c/rendering/08.obj", "6.46518516541")</f>
        <v>6.46518516541</v>
      </c>
      <c r="L73" s="13" t="str">
        <f>HYPERLINK(AA2 &amp; "/bolt/sn_f51a9abd1e17cdd6132ee5631e293a9c/rendering/09.obj", "5.81501722336")</f>
        <v>5.81501722336</v>
      </c>
      <c r="M73" s="79" t="str">
        <f>HYPERLINK(AA2 &amp; "/bolt/sn_f51a9abd1e17cdd6132ee5631e293a9c/rendering/10.obj", "6.73132181168")</f>
        <v>6.73132181168</v>
      </c>
      <c r="N73" s="42" t="str">
        <f>HYPERLINK(AA2 &amp; "/bolt/sn_f51a9abd1e17cdd6132ee5631e293a9c/rendering/11.obj", "5.01334476471")</f>
        <v>5.01334476471</v>
      </c>
      <c r="O73" s="42" t="str">
        <f>HYPERLINK(AA2 &amp; "/bolt/sn_f51a9abd1e17cdd6132ee5631e293a9c/rendering/12.obj", "5.02115488052")</f>
        <v>5.02115488052</v>
      </c>
      <c r="P73" s="41" t="str">
        <f>HYPERLINK(AA2 &amp; "/bolt/sn_f51a9abd1e17cdd6132ee5631e293a9c/rendering/13.obj", "5.42874479294")</f>
        <v>5.42874479294</v>
      </c>
      <c r="Q73" s="39" t="str">
        <f>HYPERLINK(AA2 &amp; "/bolt/sn_f51a9abd1e17cdd6132ee5631e293a9c/rendering/14.obj", "5.31489038467")</f>
        <v>5.31489038467</v>
      </c>
      <c r="R73" s="81" t="str">
        <f>HYPERLINK(AA2 &amp; "/bolt/sn_f51a9abd1e17cdd6132ee5631e293a9c/rendering/15.obj", "7.08809423447")</f>
        <v>7.08809423447</v>
      </c>
      <c r="S73" s="35" t="str">
        <f>HYPERLINK(AA2 &amp; "/bolt/sn_f51a9abd1e17cdd6132ee5631e293a9c/rendering/16.obj", "5.48453378677")</f>
        <v>5.48453378677</v>
      </c>
      <c r="T73" s="73" t="str">
        <f>HYPERLINK(AA2 &amp; "/bolt/sn_f51a9abd1e17cdd6132ee5631e293a9c/rendering/17.obj", "5.60686349869")</f>
        <v>5.60686349869</v>
      </c>
      <c r="U73" s="47" t="str">
        <f>HYPERLINK(AA2 &amp; "/bolt/sn_f51a9abd1e17cdd6132ee5631e293a9c/rendering/18.obj", "5.86061143875")</f>
        <v>5.86061143875</v>
      </c>
      <c r="V73" s="61" t="str">
        <f>HYPERLINK(AA2 &amp; "/bolt/sn_f51a9abd1e17cdd6132ee5631e293a9c/rendering/19.obj", "7.58044338226")</f>
        <v>7.58044338226</v>
      </c>
      <c r="W73" s="12" t="s">
        <v>30</v>
      </c>
      <c r="X73" s="13">
        <v>5.8159303903579724</v>
      </c>
      <c r="Y73" s="13">
        <v>0.67607280868727149</v>
      </c>
      <c r="Z73" s="71">
        <v>0.11624499664028121</v>
      </c>
    </row>
    <row r="74" spans="1:26" x14ac:dyDescent="0.2">
      <c r="A74" s="1">
        <v>72</v>
      </c>
      <c r="B74" s="2" t="s">
        <v>47</v>
      </c>
      <c r="C74" s="10" t="str">
        <f>HYPERLINK(AB2 &amp; "/bolt/sn_f51a9abd1e17cdd6132ee5631e293a9c/rendering/00.obj", "3.96218231201")</f>
        <v>3.96218231201</v>
      </c>
      <c r="D74" s="133" t="str">
        <f>HYPERLINK(AB2 &amp; "/bolt/sn_f51a9abd1e17cdd6132ee5631e293a9c/rendering/01.obj", "3.76333740234")</f>
        <v>3.76333740234</v>
      </c>
      <c r="E74" s="94" t="str">
        <f>HYPERLINK(AB2 &amp; "/bolt/sn_f51a9abd1e17cdd6132ee5631e293a9c/rendering/02.obj", "3.87960205078")</f>
        <v>3.87960205078</v>
      </c>
      <c r="F74" s="34" t="str">
        <f>HYPERLINK(AB2 &amp; "/bolt/sn_f51a9abd1e17cdd6132ee5631e293a9c/rendering/03.obj", "3.98490661621")</f>
        <v>3.98490661621</v>
      </c>
      <c r="G74" s="48" t="str">
        <f>HYPERLINK(AB2 &amp; "/bolt/sn_f51a9abd1e17cdd6132ee5631e293a9c/rendering/04.obj", "4.0898059082")</f>
        <v>4.0898059082</v>
      </c>
      <c r="H74" s="67" t="str">
        <f>HYPERLINK(AB2 &amp; "/bolt/sn_f51a9abd1e17cdd6132ee5631e293a9c/rendering/05.obj", "3.80083984375")</f>
        <v>3.80083984375</v>
      </c>
      <c r="I74" s="25" t="str">
        <f>HYPERLINK(AB2 &amp; "/bolt/sn_f51a9abd1e17cdd6132ee5631e293a9c/rendering/06.obj", "4.14151672363")</f>
        <v>4.14151672363</v>
      </c>
      <c r="J74" s="110" t="str">
        <f>HYPERLINK(AB2 &amp; "/bolt/sn_f51a9abd1e17cdd6132ee5631e293a9c/rendering/07.obj", "4.60504577637")</f>
        <v>4.60504577637</v>
      </c>
      <c r="K74" s="106" t="str">
        <f>HYPERLINK(AB2 &amp; "/bolt/sn_f51a9abd1e17cdd6132ee5631e293a9c/rendering/08.obj", "4.66106872559")</f>
        <v>4.66106872559</v>
      </c>
      <c r="L74" s="69" t="str">
        <f>HYPERLINK(AB2 &amp; "/bolt/sn_f51a9abd1e17cdd6132ee5631e293a9c/rendering/09.obj", "4.31050262451")</f>
        <v>4.31050262451</v>
      </c>
      <c r="M74" s="35" t="str">
        <f>HYPERLINK(AB2 &amp; "/bolt/sn_f51a9abd1e17cdd6132ee5631e293a9c/rendering/10.obj", "4.42493713379")</f>
        <v>4.42493713379</v>
      </c>
      <c r="N74" s="73" t="str">
        <f>HYPERLINK(AB2 &amp; "/bolt/sn_f51a9abd1e17cdd6132ee5631e293a9c/rendering/11.obj", "4.03776794434")</f>
        <v>4.03776794434</v>
      </c>
      <c r="O74" s="35" t="str">
        <f>HYPERLINK(AB2 &amp; "/bolt/sn_f51a9abd1e17cdd6132ee5631e293a9c/rendering/12.obj", "3.94644042969")</f>
        <v>3.94644042969</v>
      </c>
      <c r="P74" s="68" t="str">
        <f>HYPERLINK(AB2 &amp; "/bolt/sn_f51a9abd1e17cdd6132ee5631e293a9c/rendering/13.obj", "4.36900482178")</f>
        <v>4.36900482178</v>
      </c>
      <c r="Q74" s="91" t="str">
        <f>HYPERLINK(AB2 &amp; "/bolt/sn_f51a9abd1e17cdd6132ee5631e293a9c/rendering/14.obj", "4.07291595459")</f>
        <v>4.07291595459</v>
      </c>
      <c r="R74" s="34" t="str">
        <f>HYPERLINK(AB2 &amp; "/bolt/sn_f51a9abd1e17cdd6132ee5631e293a9c/rendering/15.obj", "4.39352111816")</f>
        <v>4.39352111816</v>
      </c>
      <c r="S74" s="60" t="str">
        <f>HYPERLINK(AB2 &amp; "/bolt/sn_f51a9abd1e17cdd6132ee5631e293a9c/rendering/16.obj", "3.96392822266")</f>
        <v>3.96392822266</v>
      </c>
      <c r="T74" s="29" t="str">
        <f>HYPERLINK(AB2 &amp; "/bolt/sn_f51a9abd1e17cdd6132ee5631e293a9c/rendering/17.obj", "4.73452758789")</f>
        <v>4.73452758789</v>
      </c>
      <c r="U74" s="10" t="str">
        <f>HYPERLINK(AB2 &amp; "/bolt/sn_f51a9abd1e17cdd6132ee5631e293a9c/rendering/18.obj", "4.41166625977")</f>
        <v>4.41166625977</v>
      </c>
      <c r="V74" s="13" t="str">
        <f>HYPERLINK(AB2 &amp; "/bolt/sn_f51a9abd1e17cdd6132ee5631e293a9c/rendering/19.obj", "4.18525817871")</f>
        <v>4.18525817871</v>
      </c>
      <c r="W74" s="12" t="s">
        <v>31</v>
      </c>
      <c r="X74" s="13">
        <v>4.1869387817382817</v>
      </c>
      <c r="Y74" s="13">
        <v>0.27985086126133962</v>
      </c>
      <c r="Z74" s="41">
        <v>6.6839014337141706E-2</v>
      </c>
    </row>
    <row r="75" spans="1:26" x14ac:dyDescent="0.2">
      <c r="A75" s="1">
        <v>73</v>
      </c>
      <c r="B75" s="2" t="s">
        <v>47</v>
      </c>
      <c r="C75" s="72" t="str">
        <f>HYPERLINK(AB2 &amp; "/bolt/sn_f51a9abd1e17cdd6132ee5631e293a9c/rendering/00.obj", "4.79792976379")</f>
        <v>4.79792976379</v>
      </c>
      <c r="D75" s="78" t="str">
        <f>HYPERLINK(AB2 &amp; "/bolt/sn_f51a9abd1e17cdd6132ee5631e293a9c/rendering/01.obj", "4.64851093292")</f>
        <v>4.64851093292</v>
      </c>
      <c r="E75" s="72" t="str">
        <f>HYPERLINK(AB2 &amp; "/bolt/sn_f51a9abd1e17cdd6132ee5631e293a9c/rendering/02.obj", "4.78715801239")</f>
        <v>4.78715801239</v>
      </c>
      <c r="F75" s="6" t="str">
        <f>HYPERLINK(AB2 &amp; "/bolt/sn_f51a9abd1e17cdd6132ee5631e293a9c/rendering/03.obj", "4.73177433014")</f>
        <v>4.73177433014</v>
      </c>
      <c r="G75" s="74" t="str">
        <f>HYPERLINK(AB2 &amp; "/bolt/sn_f51a9abd1e17cdd6132ee5631e293a9c/rendering/04.obj", "4.88587093353")</f>
        <v>4.88587093353</v>
      </c>
      <c r="H75" s="34" t="str">
        <f>HYPERLINK(AB2 &amp; "/bolt/sn_f51a9abd1e17cdd6132ee5631e293a9c/rendering/05.obj", "4.70788145065")</f>
        <v>4.70788145065</v>
      </c>
      <c r="I75" s="25" t="str">
        <f>HYPERLINK(AB2 &amp; "/bolt/sn_f51a9abd1e17cdd6132ee5631e293a9c/rendering/06.obj", "4.90605640411")</f>
        <v>4.90605640411</v>
      </c>
      <c r="J75" s="51" t="str">
        <f>HYPERLINK(AB2 &amp; "/bolt/sn_f51a9abd1e17cdd6132ee5631e293a9c/rendering/07.obj", "5.35685396194")</f>
        <v>5.35685396194</v>
      </c>
      <c r="K75" s="6" t="str">
        <f>HYPERLINK(AB2 &amp; "/bolt/sn_f51a9abd1e17cdd6132ee5631e293a9c/rendering/08.obj", "5.18386220932")</f>
        <v>5.18386220932</v>
      </c>
      <c r="L75" s="91" t="str">
        <f>HYPERLINK(AB2 &amp; "/bolt/sn_f51a9abd1e17cdd6132ee5631e293a9c/rendering/09.obj", "4.82201719284")</f>
        <v>4.82201719284</v>
      </c>
      <c r="M75" s="46" t="str">
        <f>HYPERLINK(AB2 &amp; "/bolt/sn_f51a9abd1e17cdd6132ee5631e293a9c/rendering/10.obj", "5.03565883636")</f>
        <v>5.03565883636</v>
      </c>
      <c r="N75" s="73" t="str">
        <f>HYPERLINK(AB2 &amp; "/bolt/sn_f51a9abd1e17cdd6132ee5631e293a9c/rendering/11.obj", "4.77659749985")</f>
        <v>4.77659749985</v>
      </c>
      <c r="O75" s="73" t="str">
        <f>HYPERLINK(AB2 &amp; "/bolt/sn_f51a9abd1e17cdd6132ee5631e293a9c/rendering/12.obj", "4.77129268646")</f>
        <v>4.77129268646</v>
      </c>
      <c r="P75" s="25" t="str">
        <f>HYPERLINK(AB2 &amp; "/bolt/sn_f51a9abd1e17cdd6132ee5631e293a9c/rendering/13.obj", "4.9028301239")</f>
        <v>4.9028301239</v>
      </c>
      <c r="Q75" s="6" t="str">
        <f>HYPERLINK(AB2 &amp; "/bolt/sn_f51a9abd1e17cdd6132ee5631e293a9c/rendering/14.obj", "4.73673868179")</f>
        <v>4.73673868179</v>
      </c>
      <c r="R75" s="94" t="str">
        <f>HYPERLINK(AB2 &amp; "/bolt/sn_f51a9abd1e17cdd6132ee5631e293a9c/rendering/15.obj", "5.31554222107")</f>
        <v>5.31554222107</v>
      </c>
      <c r="S75" s="73" t="str">
        <f>HYPERLINK(AB2 &amp; "/bolt/sn_f51a9abd1e17cdd6132ee5631e293a9c/rendering/16.obj", "4.77016973495")</f>
        <v>4.77016973495</v>
      </c>
      <c r="T75" s="110" t="str">
        <f>HYPERLINK(AB2 &amp; "/bolt/sn_f51a9abd1e17cdd6132ee5631e293a9c/rendering/17.obj", "5.44993400574")</f>
        <v>5.44993400574</v>
      </c>
      <c r="U75" s="5" t="str">
        <f>HYPERLINK(AB2 &amp; "/bolt/sn_f51a9abd1e17cdd6132ee5631e293a9c/rendering/18.obj", "5.33710050583")</f>
        <v>5.33710050583</v>
      </c>
      <c r="V75" s="34" t="str">
        <f>HYPERLINK(AB2 &amp; "/bolt/sn_f51a9abd1e17cdd6132ee5631e293a9c/rendering/19.obj", "5.19647312164")</f>
        <v>5.19647312164</v>
      </c>
      <c r="W75" s="12" t="s">
        <v>32</v>
      </c>
      <c r="X75" s="13">
        <v>4.9560126304626468</v>
      </c>
      <c r="Y75" s="13">
        <v>0.24821780636685459</v>
      </c>
      <c r="Z75" s="34">
        <v>5.0084175500513868E-2</v>
      </c>
    </row>
    <row r="76" spans="1:26" x14ac:dyDescent="0.2">
      <c r="A76" s="1">
        <v>74</v>
      </c>
      <c r="B76" s="2" t="s">
        <v>47</v>
      </c>
      <c r="C76" s="13" t="str">
        <f>HYPERLINK(AC2 &amp; "/bolt/sn_f51a9abd1e17cdd6132ee5631e293a9c/rendering/00.xyz", "0.0")</f>
        <v>0.0</v>
      </c>
      <c r="D76" s="13" t="str">
        <f>HYPERLINK(AC2 &amp; "/bolt/sn_f51a9abd1e17cdd6132ee5631e293a9c/rendering/01.xyz", "0.0")</f>
        <v>0.0</v>
      </c>
      <c r="E76" s="13" t="str">
        <f>HYPERLINK(AC2 &amp; "/bolt/sn_f51a9abd1e17cdd6132ee5631e293a9c/rendering/02.xyz", "0.0")</f>
        <v>0.0</v>
      </c>
      <c r="F76" s="13" t="str">
        <f>HYPERLINK(AC2 &amp; "/bolt/sn_f51a9abd1e17cdd6132ee5631e293a9c/rendering/03.xyz", "0.0")</f>
        <v>0.0</v>
      </c>
      <c r="G76" s="13" t="str">
        <f>HYPERLINK(AC2 &amp; "/bolt/sn_f51a9abd1e17cdd6132ee5631e293a9c/rendering/04.xyz", "0.0")</f>
        <v>0.0</v>
      </c>
      <c r="H76" s="13" t="str">
        <f>HYPERLINK(AC2 &amp; "/bolt/sn_f51a9abd1e17cdd6132ee5631e293a9c/rendering/05.xyz", "0.0")</f>
        <v>0.0</v>
      </c>
      <c r="I76" s="13" t="str">
        <f>HYPERLINK(AC2 &amp; "/bolt/sn_f51a9abd1e17cdd6132ee5631e293a9c/rendering/06.xyz", "0.0")</f>
        <v>0.0</v>
      </c>
      <c r="J76" s="13" t="str">
        <f>HYPERLINK(AC2 &amp; "/bolt/sn_f51a9abd1e17cdd6132ee5631e293a9c/rendering/07.xyz", "0.0")</f>
        <v>0.0</v>
      </c>
      <c r="K76" s="13" t="str">
        <f>HYPERLINK(AC2 &amp; "/bolt/sn_f51a9abd1e17cdd6132ee5631e293a9c/rendering/08.xyz", "0.0")</f>
        <v>0.0</v>
      </c>
      <c r="L76" s="13" t="str">
        <f>HYPERLINK(AC2 &amp; "/bolt/sn_f51a9abd1e17cdd6132ee5631e293a9c/rendering/09.xyz", "0.0")</f>
        <v>0.0</v>
      </c>
      <c r="M76" s="13" t="str">
        <f>HYPERLINK(AC2 &amp; "/bolt/sn_f51a9abd1e17cdd6132ee5631e293a9c/rendering/10.xyz", "0.0")</f>
        <v>0.0</v>
      </c>
      <c r="N76" s="13" t="str">
        <f>HYPERLINK(AC2 &amp; "/bolt/sn_f51a9abd1e17cdd6132ee5631e293a9c/rendering/11.xyz", "0.0")</f>
        <v>0.0</v>
      </c>
      <c r="O76" s="13" t="str">
        <f>HYPERLINK(AC2 &amp; "/bolt/sn_f51a9abd1e17cdd6132ee5631e293a9c/rendering/12.xyz", "0.0")</f>
        <v>0.0</v>
      </c>
      <c r="P76" s="13" t="str">
        <f>HYPERLINK(AC2 &amp; "/bolt/sn_f51a9abd1e17cdd6132ee5631e293a9c/rendering/13.xyz", "0.0")</f>
        <v>0.0</v>
      </c>
      <c r="Q76" s="13" t="str">
        <f>HYPERLINK(AC2 &amp; "/bolt/sn_f51a9abd1e17cdd6132ee5631e293a9c/rendering/14.xyz", "0.0")</f>
        <v>0.0</v>
      </c>
      <c r="R76" s="13" t="str">
        <f>HYPERLINK(AC2 &amp; "/bolt/sn_f51a9abd1e17cdd6132ee5631e293a9c/rendering/15.xyz", "0.0")</f>
        <v>0.0</v>
      </c>
      <c r="S76" s="13" t="str">
        <f>HYPERLINK(AC2 &amp; "/bolt/sn_f51a9abd1e17cdd6132ee5631e293a9c/rendering/16.xyz", "0.0")</f>
        <v>0.0</v>
      </c>
      <c r="T76" s="13" t="str">
        <f>HYPERLINK(AC2 &amp; "/bolt/sn_f51a9abd1e17cdd6132ee5631e293a9c/rendering/17.xyz", "0.0")</f>
        <v>0.0</v>
      </c>
      <c r="U76" s="13" t="str">
        <f>HYPERLINK(AC2 &amp; "/bolt/sn_f51a9abd1e17cdd6132ee5631e293a9c/rendering/18.xyz", "0.0")</f>
        <v>0.0</v>
      </c>
      <c r="V76" s="13" t="str">
        <f>HYPERLINK(AC2 &amp; "/bolt/sn_f51a9abd1e17cdd6132ee5631e293a9c/rendering/19.xyz", "0.0")</f>
        <v>0.0</v>
      </c>
      <c r="W76" s="12" t="s">
        <v>33</v>
      </c>
      <c r="X76" s="13">
        <v>0</v>
      </c>
      <c r="Y76" s="13">
        <v>0</v>
      </c>
      <c r="Z76" s="13">
        <v>0</v>
      </c>
    </row>
    <row r="77" spans="1:26" x14ac:dyDescent="0.2">
      <c r="A77" s="1">
        <v>75</v>
      </c>
      <c r="B77" s="2" t="s">
        <v>48</v>
      </c>
      <c r="C77" s="117" t="str">
        <f>HYPERLINK(AA2 &amp; "/bolt/sn_f76857b1e2dc638f7547e55e81deb31f/rendering/00.obj", "3.08795837402")</f>
        <v>3.08795837402</v>
      </c>
      <c r="D77" s="176" t="str">
        <f>HYPERLINK(AA2 &amp; "/bolt/sn_f76857b1e2dc638f7547e55e81deb31f/rendering/01.obj", "2.55443527222")</f>
        <v>2.55443527222</v>
      </c>
      <c r="E77" s="90" t="str">
        <f>HYPERLINK(AA2 &amp; "/bolt/sn_f76857b1e2dc638f7547e55e81deb31f/rendering/02.obj", "3.38624572754")</f>
        <v>3.38624572754</v>
      </c>
      <c r="F77" s="177" t="str">
        <f>HYPERLINK(AA2 &amp; "/bolt/sn_f76857b1e2dc638f7547e55e81deb31f/rendering/03.obj", "5.74795288086")</f>
        <v>5.74795288086</v>
      </c>
      <c r="G77" s="68" t="str">
        <f>HYPERLINK(AA2 &amp; "/bolt/sn_f76857b1e2dc638f7547e55e81deb31f/rendering/04.obj", "3.90237792969")</f>
        <v>3.90237792969</v>
      </c>
      <c r="H77" s="26" t="str">
        <f>HYPERLINK(AA2 &amp; "/bolt/sn_f76857b1e2dc638f7547e55e81deb31f/rendering/05.obj", "3.50954772949")</f>
        <v>3.50954772949</v>
      </c>
      <c r="I77" s="69" t="str">
        <f>HYPERLINK(AA2 &amp; "/bolt/sn_f76857b1e2dc638f7547e55e81deb31f/rendering/06.obj", "3.85713256836")</f>
        <v>3.85713256836</v>
      </c>
      <c r="J77" s="94" t="str">
        <f>HYPERLINK(AA2 &amp; "/bolt/sn_f76857b1e2dc638f7547e55e81deb31f/rendering/07.obj", "4.02786437988")</f>
        <v>4.02786437988</v>
      </c>
      <c r="K77" s="170" t="str">
        <f>HYPERLINK(AA2 &amp; "/bolt/sn_f76857b1e2dc638f7547e55e81deb31f/rendering/08.obj", "4.69537719727")</f>
        <v>4.69537719727</v>
      </c>
      <c r="L77" s="25" t="str">
        <f>HYPERLINK(AA2 &amp; "/bolt/sn_f76857b1e2dc638f7547e55e81deb31f/rendering/09.obj", "3.78158691406")</f>
        <v>3.78158691406</v>
      </c>
      <c r="M77" s="94" t="str">
        <f>HYPERLINK(AA2 &amp; "/bolt/sn_f76857b1e2dc638f7547e55e81deb31f/rendering/10.obj", "3.47338745117")</f>
        <v>3.47338745117</v>
      </c>
      <c r="N77" s="10" t="str">
        <f>HYPERLINK(AA2 &amp; "/bolt/sn_f76857b1e2dc638f7547e55e81deb31f/rendering/11.obj", "3.54303833008")</f>
        <v>3.54303833008</v>
      </c>
      <c r="O77" s="77" t="str">
        <f>HYPERLINK(AA2 &amp; "/bolt/sn_f76857b1e2dc638f7547e55e81deb31f/rendering/12.obj", "3.04828125")</f>
        <v>3.04828125</v>
      </c>
      <c r="P77" s="31" t="str">
        <f>HYPERLINK(AA2 &amp; "/bolt/sn_f76857b1e2dc638f7547e55e81deb31f/rendering/13.obj", "3.16536529541")</f>
        <v>3.16536529541</v>
      </c>
      <c r="Q77" s="156" t="str">
        <f>HYPERLINK(AA2 &amp; "/bolt/sn_f76857b1e2dc638f7547e55e81deb31f/rendering/14.obj", "5.42427856445")</f>
        <v>5.42427856445</v>
      </c>
      <c r="R77" s="48" t="str">
        <f>HYPERLINK(AA2 &amp; "/bolt/sn_f76857b1e2dc638f7547e55e81deb31f/rendering/15.obj", "3.83070922852")</f>
        <v>3.83070922852</v>
      </c>
      <c r="S77" s="68" t="str">
        <f>HYPERLINK(AA2 &amp; "/bolt/sn_f76857b1e2dc638f7547e55e81deb31f/rendering/16.obj", "3.90132629395")</f>
        <v>3.90132629395</v>
      </c>
      <c r="T77" s="8" t="str">
        <f>HYPERLINK(AA2 &amp; "/bolt/sn_f76857b1e2dc638f7547e55e81deb31f/rendering/17.obj", "3.21584899902")</f>
        <v>3.21584899902</v>
      </c>
      <c r="U77" s="28" t="str">
        <f>HYPERLINK(AA2 &amp; "/bolt/sn_f76857b1e2dc638f7547e55e81deb31f/rendering/18.obj", "3.33039398193")</f>
        <v>3.33039398193</v>
      </c>
      <c r="V77" s="51" t="str">
        <f>HYPERLINK(AA2 &amp; "/bolt/sn_f76857b1e2dc638f7547e55e81deb31f/rendering/19.obj", "3.44246002197")</f>
        <v>3.44246002197</v>
      </c>
      <c r="W77" s="12" t="s">
        <v>29</v>
      </c>
      <c r="X77" s="13">
        <v>3.746278419494629</v>
      </c>
      <c r="Y77" s="13">
        <v>0.75492159781039581</v>
      </c>
      <c r="Z77" s="88">
        <v>0.2015124113258604</v>
      </c>
    </row>
    <row r="78" spans="1:26" x14ac:dyDescent="0.2">
      <c r="A78" s="1">
        <v>76</v>
      </c>
      <c r="B78" s="2" t="s">
        <v>48</v>
      </c>
      <c r="C78" s="89" t="str">
        <f>HYPERLINK(AA2 &amp; "/bolt/sn_f76857b1e2dc638f7547e55e81deb31f/rendering/00.obj", "2.47469210625")</f>
        <v>2.47469210625</v>
      </c>
      <c r="D78" s="119" t="str">
        <f>HYPERLINK(AA2 &amp; "/bolt/sn_f76857b1e2dc638f7547e55e81deb31f/rendering/01.obj", "2.45751094818")</f>
        <v>2.45751094818</v>
      </c>
      <c r="E78" s="44" t="str">
        <f>HYPERLINK(AA2 &amp; "/bolt/sn_f76857b1e2dc638f7547e55e81deb31f/rendering/02.obj", "2.68727469444")</f>
        <v>2.68727469444</v>
      </c>
      <c r="F78" s="178" t="str">
        <f>HYPERLINK(AA2 &amp; "/bolt/sn_f76857b1e2dc638f7547e55e81deb31f/rendering/03.obj", "5.50343942642")</f>
        <v>5.50343942642</v>
      </c>
      <c r="G78" s="60" t="str">
        <f>HYPERLINK(AA2 &amp; "/bolt/sn_f76857b1e2dc638f7547e55e81deb31f/rendering/04.obj", "3.51069068909")</f>
        <v>3.51069068909</v>
      </c>
      <c r="H78" s="94" t="str">
        <f>HYPERLINK(AA2 &amp; "/bolt/sn_f76857b1e2dc638f7547e55e81deb31f/rendering/05.obj", "3.09641838074")</f>
        <v>3.09641838074</v>
      </c>
      <c r="I78" s="69" t="str">
        <f>HYPERLINK(AA2 &amp; "/bolt/sn_f76857b1e2dc638f7547e55e81deb31f/rendering/06.obj", "3.43355464935")</f>
        <v>3.43355464935</v>
      </c>
      <c r="J78" s="179" t="str">
        <f>HYPERLINK(AA2 &amp; "/bolt/sn_f76857b1e2dc638f7547e55e81deb31f/rendering/07.obj", "4.77296543121")</f>
        <v>4.77296543121</v>
      </c>
      <c r="K78" s="44" t="str">
        <f>HYPERLINK(AA2 &amp; "/bolt/sn_f76857b1e2dc638f7547e55e81deb31f/rendering/08.obj", "3.99551939964")</f>
        <v>3.99551939964</v>
      </c>
      <c r="L78" s="49" t="str">
        <f>HYPERLINK(AA2 &amp; "/bolt/sn_f76857b1e2dc638f7547e55e81deb31f/rendering/09.obj", "4.03861904144")</f>
        <v>4.03861904144</v>
      </c>
      <c r="M78" s="58" t="str">
        <f>HYPERLINK(AA2 &amp; "/bolt/sn_f76857b1e2dc638f7547e55e81deb31f/rendering/10.obj", "2.53149557114")</f>
        <v>2.53149557114</v>
      </c>
      <c r="N78" s="8" t="str">
        <f>HYPERLINK(AA2 &amp; "/bolt/sn_f76857b1e2dc638f7547e55e81deb31f/rendering/11.obj", "2.86636590958")</f>
        <v>2.86636590958</v>
      </c>
      <c r="O78" s="129" t="str">
        <f>HYPERLINK(AA2 &amp; "/bolt/sn_f76857b1e2dc638f7547e55e81deb31f/rendering/12.obj", "2.50746560097")</f>
        <v>2.50746560097</v>
      </c>
      <c r="P78" s="76" t="str">
        <f>HYPERLINK(AA2 &amp; "/bolt/sn_f76857b1e2dc638f7547e55e81deb31f/rendering/13.obj", "2.72758126259")</f>
        <v>2.72758126259</v>
      </c>
      <c r="Q78" s="180" t="str">
        <f>HYPERLINK(AA2 &amp; "/bolt/sn_f76857b1e2dc638f7547e55e81deb31f/rendering/14.obj", "5.97359371185")</f>
        <v>5.97359371185</v>
      </c>
      <c r="R78" s="84" t="str">
        <f>HYPERLINK(AA2 &amp; "/bolt/sn_f76857b1e2dc638f7547e55e81deb31f/rendering/15.obj", "2.84678220749")</f>
        <v>2.84678220749</v>
      </c>
      <c r="S78" s="98" t="str">
        <f>HYPERLINK(AA2 &amp; "/bolt/sn_f76857b1e2dc638f7547e55e81deb31f/rendering/16.obj", "2.56614899635")</f>
        <v>2.56614899635</v>
      </c>
      <c r="T78" s="133" t="str">
        <f>HYPERLINK(AA2 &amp; "/bolt/sn_f76857b1e2dc638f7547e55e81deb31f/rendering/17.obj", "2.99898743629")</f>
        <v>2.99898743629</v>
      </c>
      <c r="U78" s="8" t="str">
        <f>HYPERLINK(AA2 &amp; "/bolt/sn_f76857b1e2dc638f7547e55e81deb31f/rendering/18.obj", "2.86117649078")</f>
        <v>2.86117649078</v>
      </c>
      <c r="V78" s="92" t="str">
        <f>HYPERLINK(AA2 &amp; "/bolt/sn_f76857b1e2dc638f7547e55e81deb31f/rendering/19.obj", "2.92116260529")</f>
        <v>2.92116260529</v>
      </c>
      <c r="W78" s="12" t="s">
        <v>30</v>
      </c>
      <c r="X78" s="13">
        <v>3.338572227954864</v>
      </c>
      <c r="Y78" s="13">
        <v>0.99868660091290695</v>
      </c>
      <c r="Z78" s="100">
        <v>0.29913583793413401</v>
      </c>
    </row>
    <row r="79" spans="1:26" x14ac:dyDescent="0.2">
      <c r="A79" s="1">
        <v>77</v>
      </c>
      <c r="B79" s="2" t="s">
        <v>48</v>
      </c>
      <c r="C79" s="30" t="str">
        <f>HYPERLINK(AB2 &amp; "/bolt/sn_f76857b1e2dc638f7547e55e81deb31f/rendering/00.obj", "3.53115783691")</f>
        <v>3.53115783691</v>
      </c>
      <c r="D79" s="33" t="str">
        <f>HYPERLINK(AB2 &amp; "/bolt/sn_f76857b1e2dc638f7547e55e81deb31f/rendering/01.obj", "3.93532531738")</f>
        <v>3.93532531738</v>
      </c>
      <c r="E79" s="94" t="str">
        <f>HYPERLINK(AB2 &amp; "/bolt/sn_f76857b1e2dc638f7547e55e81deb31f/rendering/02.obj", "3.29178100586")</f>
        <v>3.29178100586</v>
      </c>
      <c r="F79" s="6" t="str">
        <f>HYPERLINK(AB2 &amp; "/bolt/sn_f76857b1e2dc638f7547e55e81deb31f/rendering/03.obj", "3.70786621094")</f>
        <v>3.70786621094</v>
      </c>
      <c r="G79" s="23" t="str">
        <f>HYPERLINK(AB2 &amp; "/bolt/sn_f76857b1e2dc638f7547e55e81deb31f/rendering/04.obj", "3.69038513184")</f>
        <v>3.69038513184</v>
      </c>
      <c r="H79" s="34" t="str">
        <f>HYPERLINK(AB2 &amp; "/bolt/sn_f76857b1e2dc638f7547e55e81deb31f/rendering/05.obj", "3.72314727783")</f>
        <v>3.72314727783</v>
      </c>
      <c r="I79" s="72" t="str">
        <f>HYPERLINK(AB2 &amp; "/bolt/sn_f76857b1e2dc638f7547e55e81deb31f/rendering/06.obj", "3.42981445313")</f>
        <v>3.42981445313</v>
      </c>
      <c r="J79" s="41" t="str">
        <f>HYPERLINK(AB2 &amp; "/bolt/sn_f76857b1e2dc638f7547e55e81deb31f/rendering/07.obj", "3.7841595459")</f>
        <v>3.7841595459</v>
      </c>
      <c r="K79" s="71" t="str">
        <f>HYPERLINK(AB2 &amp; "/bolt/sn_f76857b1e2dc638f7547e55e81deb31f/rendering/08.obj", "3.9675201416")</f>
        <v>3.9675201416</v>
      </c>
      <c r="L79" s="38" t="str">
        <f>HYPERLINK(AB2 &amp; "/bolt/sn_f76857b1e2dc638f7547e55e81deb31f/rendering/09.obj", "3.23120819092")</f>
        <v>3.23120819092</v>
      </c>
      <c r="M79" s="17" t="str">
        <f>HYPERLINK(AB2 &amp; "/bolt/sn_f76857b1e2dc638f7547e55e81deb31f/rendering/10.obj", "3.47879516602")</f>
        <v>3.47879516602</v>
      </c>
      <c r="N79" s="78" t="str">
        <f>HYPERLINK(AB2 &amp; "/bolt/sn_f76857b1e2dc638f7547e55e81deb31f/rendering/11.obj", "3.32770172119")</f>
        <v>3.32770172119</v>
      </c>
      <c r="O79" s="10" t="str">
        <f>HYPERLINK(AB2 &amp; "/bolt/sn_f76857b1e2dc638f7547e55e81deb31f/rendering/12.obj", "3.74989349365")</f>
        <v>3.74989349365</v>
      </c>
      <c r="P79" s="60" t="str">
        <f>HYPERLINK(AB2 &amp; "/bolt/sn_f76857b1e2dc638f7547e55e81deb31f/rendering/13.obj", "3.36898010254")</f>
        <v>3.36898010254</v>
      </c>
      <c r="Q79" s="171" t="str">
        <f>HYPERLINK(AB2 &amp; "/bolt/sn_f76857b1e2dc638f7547e55e81deb31f/rendering/14.obj", "2.46477890015")</f>
        <v>2.46477890015</v>
      </c>
      <c r="R79" s="41" t="str">
        <f>HYPERLINK(AB2 &amp; "/bolt/sn_f76857b1e2dc638f7547e55e81deb31f/rendering/15.obj", "3.30512298584")</f>
        <v>3.30512298584</v>
      </c>
      <c r="S79" s="79" t="str">
        <f>HYPERLINK(AB2 &amp; "/bolt/sn_f76857b1e2dc638f7547e55e81deb31f/rendering/16.obj", "4.11328582764")</f>
        <v>4.11328582764</v>
      </c>
      <c r="T79" s="80" t="str">
        <f>HYPERLINK(AB2 &amp; "/bolt/sn_f76857b1e2dc638f7547e55e81deb31f/rendering/17.obj", "4.07882263184")</f>
        <v>4.07882263184</v>
      </c>
      <c r="U79" s="67" t="str">
        <f>HYPERLINK(AB2 &amp; "/bolt/sn_f76857b1e2dc638f7547e55e81deb31f/rendering/18.obj", "3.21889892578")</f>
        <v>3.21889892578</v>
      </c>
      <c r="V79" s="25" t="str">
        <f>HYPERLINK(AB2 &amp; "/bolt/sn_f76857b1e2dc638f7547e55e81deb31f/rendering/19.obj", "3.59128723145")</f>
        <v>3.59128723145</v>
      </c>
      <c r="W79" s="12" t="s">
        <v>31</v>
      </c>
      <c r="X79" s="13">
        <v>3.5494966049194332</v>
      </c>
      <c r="Y79" s="13">
        <v>0.36800119346162752</v>
      </c>
      <c r="Z79" s="32">
        <v>0.1036770095656932</v>
      </c>
    </row>
    <row r="80" spans="1:26" x14ac:dyDescent="0.2">
      <c r="A80" s="1">
        <v>78</v>
      </c>
      <c r="B80" s="2" t="s">
        <v>48</v>
      </c>
      <c r="C80" s="48" t="str">
        <f>HYPERLINK(AB2 &amp; "/bolt/sn_f76857b1e2dc638f7547e55e81deb31f/rendering/00.obj", "3.29210543633")</f>
        <v>3.29210543633</v>
      </c>
      <c r="D80" s="69" t="str">
        <f>HYPERLINK(AB2 &amp; "/bolt/sn_f76857b1e2dc638f7547e55e81deb31f/rendering/01.obj", "3.12087106705")</f>
        <v>3.12087106705</v>
      </c>
      <c r="E80" s="33" t="str">
        <f>HYPERLINK(AB2 &amp; "/bolt/sn_f76857b1e2dc638f7547e55e81deb31f/rendering/02.obj", "2.86363267899")</f>
        <v>2.86363267899</v>
      </c>
      <c r="F80" s="73" t="str">
        <f>HYPERLINK(AB2 &amp; "/bolt/sn_f76857b1e2dc638f7547e55e81deb31f/rendering/03.obj", "3.32703852654")</f>
        <v>3.32703852654</v>
      </c>
      <c r="G80" s="169" t="str">
        <f>HYPERLINK(AB2 &amp; "/bolt/sn_f76857b1e2dc638f7547e55e81deb31f/rendering/04.obj", "4.21681451797")</f>
        <v>4.21681451797</v>
      </c>
      <c r="H80" s="7" t="str">
        <f>HYPERLINK(AB2 &amp; "/bolt/sn_f76857b1e2dc638f7547e55e81deb31f/rendering/05.obj", "2.32157945633")</f>
        <v>2.32157945633</v>
      </c>
      <c r="I80" s="34" t="str">
        <f>HYPERLINK(AB2 &amp; "/bolt/sn_f76857b1e2dc638f7547e55e81deb31f/rendering/06.obj", "3.05601763725")</f>
        <v>3.05601763725</v>
      </c>
      <c r="J80" s="181" t="str">
        <f>HYPERLINK(AB2 &amp; "/bolt/sn_f76857b1e2dc638f7547e55e81deb31f/rendering/07.obj", "4.63738870621")</f>
        <v>4.63738870621</v>
      </c>
      <c r="K80" s="175" t="str">
        <f>HYPERLINK(AB2 &amp; "/bolt/sn_f76857b1e2dc638f7547e55e81deb31f/rendering/08.obj", "3.96709775925")</f>
        <v>3.96709775925</v>
      </c>
      <c r="L80" s="117" t="str">
        <f>HYPERLINK(AB2 &amp; "/bolt/sn_f76857b1e2dc638f7547e55e81deb31f/rendering/09.obj", "2.64191007614")</f>
        <v>2.64191007614</v>
      </c>
      <c r="M80" s="133" t="str">
        <f>HYPERLINK(AB2 &amp; "/bolt/sn_f76857b1e2dc638f7547e55e81deb31f/rendering/10.obj", "3.53748273849")</f>
        <v>3.53748273849</v>
      </c>
      <c r="N80" s="66" t="str">
        <f>HYPERLINK(AB2 &amp; "/bolt/sn_f76857b1e2dc638f7547e55e81deb31f/rendering/11.obj", "2.694658041")</f>
        <v>2.694658041</v>
      </c>
      <c r="O80" s="108" t="str">
        <f>HYPERLINK(AB2 &amp; "/bolt/sn_f76857b1e2dc638f7547e55e81deb31f/rendering/12.obj", "2.42176890373")</f>
        <v>2.42176890373</v>
      </c>
      <c r="P80" s="135" t="str">
        <f>HYPERLINK(AB2 &amp; "/bolt/sn_f76857b1e2dc638f7547e55e81deb31f/rendering/13.obj", "2.39015340805")</f>
        <v>2.39015340805</v>
      </c>
      <c r="Q80" s="73" t="str">
        <f>HYPERLINK(AB2 &amp; "/bolt/sn_f76857b1e2dc638f7547e55e81deb31f/rendering/14.obj", "3.10215711594")</f>
        <v>3.10215711594</v>
      </c>
      <c r="R80" s="46" t="str">
        <f>HYPERLINK(AB2 &amp; "/bolt/sn_f76857b1e2dc638f7547e55e81deb31f/rendering/15.obj", "3.15631222725")</f>
        <v>3.15631222725</v>
      </c>
      <c r="S80" s="43" t="str">
        <f>HYPERLINK(AB2 &amp; "/bolt/sn_f76857b1e2dc638f7547e55e81deb31f/rendering/16.obj", "4.42046117783")</f>
        <v>4.42046117783</v>
      </c>
      <c r="T80" s="72" t="str">
        <f>HYPERLINK(AB2 &amp; "/bolt/sn_f76857b1e2dc638f7547e55e81deb31f/rendering/17.obj", "3.32235002518")</f>
        <v>3.32235002518</v>
      </c>
      <c r="U80" s="93" t="str">
        <f>HYPERLINK(AB2 &amp; "/bolt/sn_f76857b1e2dc638f7547e55e81deb31f/rendering/18.obj", "2.76168656349")</f>
        <v>2.76168656349</v>
      </c>
      <c r="V80" s="10" t="str">
        <f>HYPERLINK(AB2 &amp; "/bolt/sn_f76857b1e2dc638f7547e55e81deb31f/rendering/19.obj", "3.03506827354")</f>
        <v>3.03506827354</v>
      </c>
      <c r="W80" s="12" t="s">
        <v>32</v>
      </c>
      <c r="X80" s="13">
        <v>3.214327716827392</v>
      </c>
      <c r="Y80" s="13">
        <v>0.64413640255738258</v>
      </c>
      <c r="Z80" s="50">
        <v>0.20039537324873599</v>
      </c>
    </row>
    <row r="81" spans="1:26" x14ac:dyDescent="0.2">
      <c r="A81" s="1">
        <v>79</v>
      </c>
      <c r="B81" s="2" t="s">
        <v>48</v>
      </c>
      <c r="C81" s="13" t="str">
        <f>HYPERLINK(AC2 &amp; "/bolt/sn_f76857b1e2dc638f7547e55e81deb31f/rendering/00.xyz", "0.0")</f>
        <v>0.0</v>
      </c>
      <c r="D81" s="13" t="str">
        <f>HYPERLINK(AC2 &amp; "/bolt/sn_f76857b1e2dc638f7547e55e81deb31f/rendering/01.xyz", "0.0")</f>
        <v>0.0</v>
      </c>
      <c r="E81" s="13" t="str">
        <f>HYPERLINK(AC2 &amp; "/bolt/sn_f76857b1e2dc638f7547e55e81deb31f/rendering/02.xyz", "0.0")</f>
        <v>0.0</v>
      </c>
      <c r="F81" s="13" t="str">
        <f>HYPERLINK(AC2 &amp; "/bolt/sn_f76857b1e2dc638f7547e55e81deb31f/rendering/03.xyz", "0.0")</f>
        <v>0.0</v>
      </c>
      <c r="G81" s="13" t="str">
        <f>HYPERLINK(AC2 &amp; "/bolt/sn_f76857b1e2dc638f7547e55e81deb31f/rendering/04.xyz", "0.0")</f>
        <v>0.0</v>
      </c>
      <c r="H81" s="13" t="str">
        <f>HYPERLINK(AC2 &amp; "/bolt/sn_f76857b1e2dc638f7547e55e81deb31f/rendering/05.xyz", "0.0")</f>
        <v>0.0</v>
      </c>
      <c r="I81" s="13" t="str">
        <f>HYPERLINK(AC2 &amp; "/bolt/sn_f76857b1e2dc638f7547e55e81deb31f/rendering/06.xyz", "0.0")</f>
        <v>0.0</v>
      </c>
      <c r="J81" s="13" t="str">
        <f>HYPERLINK(AC2 &amp; "/bolt/sn_f76857b1e2dc638f7547e55e81deb31f/rendering/07.xyz", "0.0")</f>
        <v>0.0</v>
      </c>
      <c r="K81" s="13" t="str">
        <f>HYPERLINK(AC2 &amp; "/bolt/sn_f76857b1e2dc638f7547e55e81deb31f/rendering/08.xyz", "0.0")</f>
        <v>0.0</v>
      </c>
      <c r="L81" s="13" t="str">
        <f>HYPERLINK(AC2 &amp; "/bolt/sn_f76857b1e2dc638f7547e55e81deb31f/rendering/09.xyz", "0.0")</f>
        <v>0.0</v>
      </c>
      <c r="M81" s="13" t="str">
        <f>HYPERLINK(AC2 &amp; "/bolt/sn_f76857b1e2dc638f7547e55e81deb31f/rendering/10.xyz", "0.0")</f>
        <v>0.0</v>
      </c>
      <c r="N81" s="13" t="str">
        <f>HYPERLINK(AC2 &amp; "/bolt/sn_f76857b1e2dc638f7547e55e81deb31f/rendering/11.xyz", "0.0")</f>
        <v>0.0</v>
      </c>
      <c r="O81" s="13" t="str">
        <f>HYPERLINK(AC2 &amp; "/bolt/sn_f76857b1e2dc638f7547e55e81deb31f/rendering/12.xyz", "0.0")</f>
        <v>0.0</v>
      </c>
      <c r="P81" s="13" t="str">
        <f>HYPERLINK(AC2 &amp; "/bolt/sn_f76857b1e2dc638f7547e55e81deb31f/rendering/13.xyz", "0.0")</f>
        <v>0.0</v>
      </c>
      <c r="Q81" s="13" t="str">
        <f>HYPERLINK(AC2 &amp; "/bolt/sn_f76857b1e2dc638f7547e55e81deb31f/rendering/14.xyz", "0.0")</f>
        <v>0.0</v>
      </c>
      <c r="R81" s="13" t="str">
        <f>HYPERLINK(AC2 &amp; "/bolt/sn_f76857b1e2dc638f7547e55e81deb31f/rendering/15.xyz", "0.0")</f>
        <v>0.0</v>
      </c>
      <c r="S81" s="13" t="str">
        <f>HYPERLINK(AC2 &amp; "/bolt/sn_f76857b1e2dc638f7547e55e81deb31f/rendering/16.xyz", "0.0")</f>
        <v>0.0</v>
      </c>
      <c r="T81" s="13" t="str">
        <f>HYPERLINK(AC2 &amp; "/bolt/sn_f76857b1e2dc638f7547e55e81deb31f/rendering/17.xyz", "0.0")</f>
        <v>0.0</v>
      </c>
      <c r="U81" s="13" t="str">
        <f>HYPERLINK(AC2 &amp; "/bolt/sn_f76857b1e2dc638f7547e55e81deb31f/rendering/18.xyz", "0.0")</f>
        <v>0.0</v>
      </c>
      <c r="V81" s="13" t="str">
        <f>HYPERLINK(AC2 &amp; "/bolt/sn_f76857b1e2dc638f7547e55e81deb31f/rendering/19.xyz", "0.0")</f>
        <v>0.0</v>
      </c>
      <c r="W81" s="12" t="s">
        <v>33</v>
      </c>
      <c r="X81" s="13">
        <v>0</v>
      </c>
      <c r="Y81" s="13">
        <v>0</v>
      </c>
      <c r="Z81" s="13">
        <v>0</v>
      </c>
    </row>
    <row r="82" spans="1:26" x14ac:dyDescent="0.2">
      <c r="A82" s="1">
        <v>80</v>
      </c>
      <c r="B82" s="2" t="s">
        <v>49</v>
      </c>
      <c r="C82" s="63" t="str">
        <f>HYPERLINK(AA2 &amp; "/bolt/sn_f9db8b49cad0ae1f66e2eaad5b4b65e/rendering/00.obj", "2.05445968628")</f>
        <v>2.05445968628</v>
      </c>
      <c r="D82" s="109" t="str">
        <f>HYPERLINK(AA2 &amp; "/bolt/sn_f9db8b49cad0ae1f66e2eaad5b4b65e/rendering/01.obj", "2.77393554688")</f>
        <v>2.77393554688</v>
      </c>
      <c r="E82" s="68" t="str">
        <f>HYPERLINK(AA2 &amp; "/bolt/sn_f9db8b49cad0ae1f66e2eaad5b4b65e/rendering/02.obj", "2.23759353638")</f>
        <v>2.23759353638</v>
      </c>
      <c r="F82" s="81" t="str">
        <f>HYPERLINK(AA2 &amp; "/bolt/sn_f9db8b49cad0ae1f66e2eaad5b4b65e/rendering/03.obj", "2.84384277344")</f>
        <v>2.84384277344</v>
      </c>
      <c r="G82" s="5" t="str">
        <f>HYPERLINK(AA2 &amp; "/bolt/sn_f9db8b49cad0ae1f66e2eaad5b4b65e/rendering/04.obj", "2.15236328125")</f>
        <v>2.15236328125</v>
      </c>
      <c r="H82" s="94" t="str">
        <f>HYPERLINK(AA2 &amp; "/bolt/sn_f9db8b49cad0ae1f66e2eaad5b4b65e/rendering/05.obj", "2.16238601685")</f>
        <v>2.16238601685</v>
      </c>
      <c r="I82" s="106" t="str">
        <f>HYPERLINK(AA2 &amp; "/bolt/sn_f9db8b49cad0ae1f66e2eaad5b4b65e/rendering/06.obj", "2.06472839355")</f>
        <v>2.06472839355</v>
      </c>
      <c r="J82" s="133" t="str">
        <f>HYPERLINK(AA2 &amp; "/bolt/sn_f9db8b49cad0ae1f66e2eaad5b4b65e/rendering/07.obj", "2.09701324463")</f>
        <v>2.09701324463</v>
      </c>
      <c r="K82" s="75" t="str">
        <f>HYPERLINK(AA2 &amp; "/bolt/sn_f9db8b49cad0ae1f66e2eaad5b4b65e/rendering/08.obj", "2.85167877197")</f>
        <v>2.85167877197</v>
      </c>
      <c r="L82" s="23" t="str">
        <f>HYPERLINK(AA2 &amp; "/bolt/sn_f9db8b49cad0ae1f66e2eaad5b4b65e/rendering/09.obj", "2.42930236816")</f>
        <v>2.42930236816</v>
      </c>
      <c r="M82" s="28" t="str">
        <f>HYPERLINK(AA2 &amp; "/bolt/sn_f9db8b49cad0ae1f66e2eaad5b4b65e/rendering/10.obj", "2.07438476563")</f>
        <v>2.07438476563</v>
      </c>
      <c r="N82" s="46" t="str">
        <f>HYPERLINK(AA2 &amp; "/bolt/sn_f9db8b49cad0ae1f66e2eaad5b4b65e/rendering/11.obj", "2.29244689941")</f>
        <v>2.29244689941</v>
      </c>
      <c r="O82" s="34" t="str">
        <f>HYPERLINK(AA2 &amp; "/bolt/sn_f9db8b49cad0ae1f66e2eaad5b4b65e/rendering/12.obj", "2.21954330444")</f>
        <v>2.21954330444</v>
      </c>
      <c r="P82" s="27" t="str">
        <f>HYPERLINK(AA2 &amp; "/bolt/sn_f9db8b49cad0ae1f66e2eaad5b4b65e/rendering/13.obj", "2.5012638855")</f>
        <v>2.5012638855</v>
      </c>
      <c r="Q82" s="17" t="str">
        <f>HYPERLINK(AA2 &amp; "/bolt/sn_f9db8b49cad0ae1f66e2eaad5b4b65e/rendering/14.obj", "2.28435119629")</f>
        <v>2.28435119629</v>
      </c>
      <c r="R82" s="35" t="str">
        <f>HYPERLINK(AA2 &amp; "/bolt/sn_f9db8b49cad0ae1f66e2eaad5b4b65e/rendering/15.obj", "2.1958821106")</f>
        <v>2.1958821106</v>
      </c>
      <c r="S82" s="19" t="str">
        <f>HYPERLINK(AA2 &amp; "/bolt/sn_f9db8b49cad0ae1f66e2eaad5b4b65e/rendering/16.obj", "2.94642089844")</f>
        <v>2.94642089844</v>
      </c>
      <c r="T82" s="33" t="str">
        <f>HYPERLINK(AA2 &amp; "/bolt/sn_f9db8b49cad0ae1f66e2eaad5b4b65e/rendering/17.obj", "2.07842437744")</f>
        <v>2.07842437744</v>
      </c>
      <c r="U82" s="46" t="str">
        <f>HYPERLINK(AA2 &amp; "/bolt/sn_f9db8b49cad0ae1f66e2eaad5b4b65e/rendering/18.obj", "2.2909173584")</f>
        <v>2.2909173584</v>
      </c>
      <c r="V82" s="39" t="str">
        <f>HYPERLINK(AA2 &amp; "/bolt/sn_f9db8b49cad0ae1f66e2eaad5b4b65e/rendering/19.obj", "2.13501800537")</f>
        <v>2.13501800537</v>
      </c>
      <c r="W82" s="12" t="s">
        <v>29</v>
      </c>
      <c r="X82" s="13">
        <v>2.334297821044923</v>
      </c>
      <c r="Y82" s="13">
        <v>0.28484023761669153</v>
      </c>
      <c r="Z82" s="63">
        <v>0.1220239487218413</v>
      </c>
    </row>
    <row r="83" spans="1:26" x14ac:dyDescent="0.2">
      <c r="A83" s="1">
        <v>81</v>
      </c>
      <c r="B83" s="2" t="s">
        <v>49</v>
      </c>
      <c r="C83" s="80" t="str">
        <f>HYPERLINK(AA2 &amp; "/bolt/sn_f9db8b49cad0ae1f66e2eaad5b4b65e/rendering/00.obj", "2.07195448875")</f>
        <v>2.07195448875</v>
      </c>
      <c r="D83" s="110" t="str">
        <f>HYPERLINK(AA2 &amp; "/bolt/sn_f9db8b49cad0ae1f66e2eaad5b4b65e/rendering/01.obj", "2.67533707619")</f>
        <v>2.67533707619</v>
      </c>
      <c r="E83" s="26" t="str">
        <f>HYPERLINK(AA2 &amp; "/bolt/sn_f9db8b49cad0ae1f66e2eaad5b4b65e/rendering/02.obj", "2.59240841866")</f>
        <v>2.59240841866</v>
      </c>
      <c r="F83" s="182" t="str">
        <f>HYPERLINK(AA2 &amp; "/bolt/sn_f9db8b49cad0ae1f66e2eaad5b4b65e/rendering/03.obj", "3.24898886681")</f>
        <v>3.24898886681</v>
      </c>
      <c r="G83" s="110" t="str">
        <f>HYPERLINK(AA2 &amp; "/bolt/sn_f9db8b49cad0ae1f66e2eaad5b4b65e/rendering/04.obj", "2.19380760193")</f>
        <v>2.19380760193</v>
      </c>
      <c r="H83" s="92" t="str">
        <f>HYPERLINK(AA2 &amp; "/bolt/sn_f9db8b49cad0ae1f66e2eaad5b4b65e/rendering/05.obj", "2.13612318039")</f>
        <v>2.13612318039</v>
      </c>
      <c r="I83" s="65" t="str">
        <f>HYPERLINK(AA2 &amp; "/bolt/sn_f9db8b49cad0ae1f66e2eaad5b4b65e/rendering/06.obj", "2.1121931076")</f>
        <v>2.1121931076</v>
      </c>
      <c r="J83" s="92" t="str">
        <f>HYPERLINK(AA2 &amp; "/bolt/sn_f9db8b49cad0ae1f66e2eaad5b4b65e/rendering/07.obj", "2.13554215431")</f>
        <v>2.13554215431</v>
      </c>
      <c r="K83" s="79" t="str">
        <f>HYPERLINK(AA2 &amp; "/bolt/sn_f9db8b49cad0ae1f66e2eaad5b4b65e/rendering/08.obj", "2.82325196266")</f>
        <v>2.82325196266</v>
      </c>
      <c r="L83" s="46" t="str">
        <f>HYPERLINK(AA2 &amp; "/bolt/sn_f9db8b49cad0ae1f66e2eaad5b4b65e/rendering/09.obj", "2.38893818855")</f>
        <v>2.38893818855</v>
      </c>
      <c r="M83" s="93" t="str">
        <f>HYPERLINK(AA2 &amp; "/bolt/sn_f9db8b49cad0ae1f66e2eaad5b4b65e/rendering/10.obj", "2.0970158577")</f>
        <v>2.0970158577</v>
      </c>
      <c r="N83" s="51" t="str">
        <f>HYPERLINK(AA2 &amp; "/bolt/sn_f9db8b49cad0ae1f66e2eaad5b4b65e/rendering/11.obj", "2.23713850975")</f>
        <v>2.23713850975</v>
      </c>
      <c r="O83" s="30" t="str">
        <f>HYPERLINK(AA2 &amp; "/bolt/sn_f9db8b49cad0ae1f66e2eaad5b4b65e/rendering/12.obj", "2.44396615028")</f>
        <v>2.44396615028</v>
      </c>
      <c r="P83" s="117" t="str">
        <f>HYPERLINK(AA2 &amp; "/bolt/sn_f9db8b49cad0ae1f66e2eaad5b4b65e/rendering/13.obj", "2.86883449554")</f>
        <v>2.86883449554</v>
      </c>
      <c r="Q83" s="41" t="str">
        <f>HYPERLINK(AA2 &amp; "/bolt/sn_f9db8b49cad0ae1f66e2eaad5b4b65e/rendering/14.obj", "2.26951789856")</f>
        <v>2.26951789856</v>
      </c>
      <c r="R83" s="29" t="str">
        <f>HYPERLINK(AA2 &amp; "/bolt/sn_f9db8b49cad0ae1f66e2eaad5b4b65e/rendering/15.obj", "2.12127733231")</f>
        <v>2.12127733231</v>
      </c>
      <c r="S83" s="151" t="str">
        <f>HYPERLINK(AA2 &amp; "/bolt/sn_f9db8b49cad0ae1f66e2eaad5b4b65e/rendering/16.obj", "3.3128361702")</f>
        <v>3.3128361702</v>
      </c>
      <c r="T83" s="65" t="str">
        <f>HYPERLINK(AA2 &amp; "/bolt/sn_f9db8b49cad0ae1f66e2eaad5b4b65e/rendering/17.obj", "2.10752511024")</f>
        <v>2.10752511024</v>
      </c>
      <c r="U83" s="46" t="str">
        <f>HYPERLINK(AA2 &amp; "/bolt/sn_f9db8b49cad0ae1f66e2eaad5b4b65e/rendering/18.obj", "2.47863912582")</f>
        <v>2.47863912582</v>
      </c>
      <c r="V83" s="48" t="str">
        <f>HYPERLINK(AA2 &amp; "/bolt/sn_f9db8b49cad0ae1f66e2eaad5b4b65e/rendering/19.obj", "2.37843084335")</f>
        <v>2.37843084335</v>
      </c>
      <c r="W83" s="12" t="s">
        <v>30</v>
      </c>
      <c r="X83" s="13">
        <v>2.4346863269805912</v>
      </c>
      <c r="Y83" s="13">
        <v>0.36888894010489781</v>
      </c>
      <c r="Z83" s="83">
        <v>0.15151394905247631</v>
      </c>
    </row>
    <row r="84" spans="1:26" x14ac:dyDescent="0.2">
      <c r="A84" s="1">
        <v>82</v>
      </c>
      <c r="B84" s="2" t="s">
        <v>49</v>
      </c>
      <c r="C84" s="47" t="str">
        <f>HYPERLINK(AB2 &amp; "/bolt/sn_f9db8b49cad0ae1f66e2eaad5b4b65e/rendering/00.obj", "3.65835418701")</f>
        <v>3.65835418701</v>
      </c>
      <c r="D84" s="74" t="str">
        <f>HYPERLINK(AB2 &amp; "/bolt/sn_f9db8b49cad0ae1f66e2eaad5b4b65e/rendering/01.obj", "3.63018493652")</f>
        <v>3.63018493652</v>
      </c>
      <c r="E84" s="73" t="str">
        <f>HYPERLINK(AB2 &amp; "/bolt/sn_f9db8b49cad0ae1f66e2eaad5b4b65e/rendering/02.obj", "3.55834320068")</f>
        <v>3.55834320068</v>
      </c>
      <c r="F84" s="91" t="str">
        <f>HYPERLINK(AB2 &amp; "/bolt/sn_f9db8b49cad0ae1f66e2eaad5b4b65e/rendering/03.obj", "3.78463684082")</f>
        <v>3.78463684082</v>
      </c>
      <c r="G84" s="30" t="str">
        <f>HYPERLINK(AB2 &amp; "/bolt/sn_f9db8b49cad0ae1f66e2eaad5b4b65e/rendering/04.obj", "3.69946777344")</f>
        <v>3.69946777344</v>
      </c>
      <c r="H84" s="25" t="str">
        <f>HYPERLINK(AB2 &amp; "/bolt/sn_f9db8b49cad0ae1f66e2eaad5b4b65e/rendering/05.obj", "3.72108398437")</f>
        <v>3.72108398437</v>
      </c>
      <c r="I84" s="30" t="str">
        <f>HYPERLINK(AB2 &amp; "/bolt/sn_f9db8b49cad0ae1f66e2eaad5b4b65e/rendering/06.obj", "3.70673522949")</f>
        <v>3.70673522949</v>
      </c>
      <c r="J84" s="47" t="str">
        <f>HYPERLINK(AB2 &amp; "/bolt/sn_f9db8b49cad0ae1f66e2eaad5b4b65e/rendering/07.obj", "3.71341888428")</f>
        <v>3.71341888428</v>
      </c>
      <c r="K84" s="25" t="str">
        <f>HYPERLINK(AB2 &amp; "/bolt/sn_f9db8b49cad0ae1f66e2eaad5b4b65e/rendering/08.obj", "3.64956878662")</f>
        <v>3.64956878662</v>
      </c>
      <c r="L84" s="74" t="str">
        <f>HYPERLINK(AB2 &amp; "/bolt/sn_f9db8b49cad0ae1f66e2eaad5b4b65e/rendering/09.obj", "3.63004577637")</f>
        <v>3.63004577637</v>
      </c>
      <c r="M84" s="48" t="str">
        <f>HYPERLINK(AB2 &amp; "/bolt/sn_f9db8b49cad0ae1f66e2eaad5b4b65e/rendering/10.obj", "3.60146362305")</f>
        <v>3.60146362305</v>
      </c>
      <c r="N84" s="48" t="str">
        <f>HYPERLINK(AB2 &amp; "/bolt/sn_f9db8b49cad0ae1f66e2eaad5b4b65e/rendering/11.obj", "3.59352416992")</f>
        <v>3.59352416992</v>
      </c>
      <c r="O84" s="51" t="str">
        <f>HYPERLINK(AB2 &amp; "/bolt/sn_f9db8b49cad0ae1f66e2eaad5b4b65e/rendering/12.obj", "3.97603637695")</f>
        <v>3.97603637695</v>
      </c>
      <c r="P84" s="60" t="str">
        <f>HYPERLINK(AB2 &amp; "/bolt/sn_f9db8b49cad0ae1f66e2eaad5b4b65e/rendering/13.obj", "3.87590667725")</f>
        <v>3.87590667725</v>
      </c>
      <c r="Q84" s="91" t="str">
        <f>HYPERLINK(AB2 &amp; "/bolt/sn_f9db8b49cad0ae1f66e2eaad5b4b65e/rendering/14.obj", "3.58856689453")</f>
        <v>3.58856689453</v>
      </c>
      <c r="R84" s="13" t="str">
        <f>HYPERLINK(AB2 &amp; "/bolt/sn_f9db8b49cad0ae1f66e2eaad5b4b65e/rendering/15.obj", "3.68225891113")</f>
        <v>3.68225891113</v>
      </c>
      <c r="S84" s="68" t="str">
        <f>HYPERLINK(AB2 &amp; "/bolt/sn_f9db8b49cad0ae1f66e2eaad5b4b65e/rendering/16.obj", "3.52540100098")</f>
        <v>3.52540100098</v>
      </c>
      <c r="T84" s="74" t="str">
        <f>HYPERLINK(AB2 &amp; "/bolt/sn_f9db8b49cad0ae1f66e2eaad5b4b65e/rendering/17.obj", "3.74089355469")</f>
        <v>3.74089355469</v>
      </c>
      <c r="U84" s="17" t="str">
        <f>HYPERLINK(AB2 &amp; "/bolt/sn_f9db8b49cad0ae1f66e2eaad5b4b65e/rendering/18.obj", "3.6093548584")</f>
        <v>3.6093548584</v>
      </c>
      <c r="V84" s="48" t="str">
        <f>HYPERLINK(AB2 &amp; "/bolt/sn_f9db8b49cad0ae1f66e2eaad5b4b65e/rendering/19.obj", "3.76773193359")</f>
        <v>3.76773193359</v>
      </c>
      <c r="W84" s="12" t="s">
        <v>31</v>
      </c>
      <c r="X84" s="13">
        <v>3.6856488800048832</v>
      </c>
      <c r="Y84" s="13">
        <v>0.10576050991879821</v>
      </c>
      <c r="Z84" s="69">
        <v>2.8695221211266889E-2</v>
      </c>
    </row>
    <row r="85" spans="1:26" x14ac:dyDescent="0.2">
      <c r="A85" s="1">
        <v>83</v>
      </c>
      <c r="B85" s="2" t="s">
        <v>49</v>
      </c>
      <c r="C85" s="23" t="str">
        <f>HYPERLINK(AB2 &amp; "/bolt/sn_f9db8b49cad0ae1f66e2eaad5b4b65e/rendering/00.obj", "2.56064915657")</f>
        <v>2.56064915657</v>
      </c>
      <c r="D85" s="10" t="str">
        <f>HYPERLINK(AB2 &amp; "/bolt/sn_f9db8b49cad0ae1f66e2eaad5b4b65e/rendering/01.obj", "2.60582566261")</f>
        <v>2.60582566261</v>
      </c>
      <c r="E85" s="34" t="str">
        <f>HYPERLINK(AB2 &amp; "/bolt/sn_f9db8b49cad0ae1f66e2eaad5b4b65e/rendering/02.obj", "2.34390759468")</f>
        <v>2.34390759468</v>
      </c>
      <c r="F85" s="25" t="str">
        <f>HYPERLINK(AB2 &amp; "/bolt/sn_f9db8b49cad0ae1f66e2eaad5b4b65e/rendering/03.obj", "2.49245834351")</f>
        <v>2.49245834351</v>
      </c>
      <c r="G85" s="35" t="str">
        <f>HYPERLINK(AB2 &amp; "/bolt/sn_f9db8b49cad0ae1f66e2eaad5b4b65e/rendering/04.obj", "2.32110118866")</f>
        <v>2.32110118866</v>
      </c>
      <c r="H85" s="25" t="str">
        <f>HYPERLINK(AB2 &amp; "/bolt/sn_f9db8b49cad0ae1f66e2eaad5b4b65e/rendering/05.obj", "2.49705147743")</f>
        <v>2.49705147743</v>
      </c>
      <c r="I85" s="6" t="str">
        <f>HYPERLINK(AB2 &amp; "/bolt/sn_f9db8b49cad0ae1f66e2eaad5b4b65e/rendering/06.obj", "2.57692480087")</f>
        <v>2.57692480087</v>
      </c>
      <c r="J85" s="48" t="str">
        <f>HYPERLINK(AB2 &amp; "/bolt/sn_f9db8b49cad0ae1f66e2eaad5b4b65e/rendering/07.obj", "2.4085688591")</f>
        <v>2.4085688591</v>
      </c>
      <c r="K85" s="73" t="str">
        <f>HYPERLINK(AB2 &amp; "/bolt/sn_f9db8b49cad0ae1f66e2eaad5b4b65e/rendering/08.obj", "2.55852532387")</f>
        <v>2.55852532387</v>
      </c>
      <c r="L85" s="13" t="str">
        <f>HYPERLINK(AB2 &amp; "/bolt/sn_f9db8b49cad0ae1f66e2eaad5b4b65e/rendering/09.obj", "2.46735668182")</f>
        <v>2.46735668182</v>
      </c>
      <c r="M85" s="72" t="str">
        <f>HYPERLINK(AB2 &amp; "/bolt/sn_f9db8b49cad0ae1f66e2eaad5b4b65e/rendering/10.obj", "2.38872146606")</f>
        <v>2.38872146606</v>
      </c>
      <c r="N85" s="25" t="str">
        <f>HYPERLINK(AB2 &amp; "/bolt/sn_f9db8b49cad0ae1f66e2eaad5b4b65e/rendering/11.obj", "2.49011158943")</f>
        <v>2.49011158943</v>
      </c>
      <c r="O85" s="34" t="str">
        <f>HYPERLINK(AB2 &amp; "/bolt/sn_f9db8b49cad0ae1f66e2eaad5b4b65e/rendering/12.obj", "2.34325695038")</f>
        <v>2.34325695038</v>
      </c>
      <c r="P85" s="73" t="str">
        <f>HYPERLINK(AB2 &amp; "/bolt/sn_f9db8b49cad0ae1f66e2eaad5b4b65e/rendering/13.obj", "2.37706947327")</f>
        <v>2.37706947327</v>
      </c>
      <c r="Q85" s="46" t="str">
        <f>HYPERLINK(AB2 &amp; "/bolt/sn_f9db8b49cad0ae1f66e2eaad5b4b65e/rendering/14.obj", "2.42417860031")</f>
        <v>2.42417860031</v>
      </c>
      <c r="R85" s="72" t="str">
        <f>HYPERLINK(AB2 &amp; "/bolt/sn_f9db8b49cad0ae1f66e2eaad5b4b65e/rendering/15.obj", "2.54564476013")</f>
        <v>2.54564476013</v>
      </c>
      <c r="S85" s="17" t="str">
        <f>HYPERLINK(AB2 &amp; "/bolt/sn_f9db8b49cad0ae1f66e2eaad5b4b65e/rendering/16.obj", "2.41750454903")</f>
        <v>2.41750454903</v>
      </c>
      <c r="T85" s="60" t="str">
        <f>HYPERLINK(AB2 &amp; "/bolt/sn_f9db8b49cad0ae1f66e2eaad5b4b65e/rendering/17.obj", "2.59709024429")</f>
        <v>2.59709024429</v>
      </c>
      <c r="U85" s="26" t="str">
        <f>HYPERLINK(AB2 &amp; "/bolt/sn_f9db8b49cad0ae1f66e2eaad5b4b65e/rendering/18.obj", "2.62834215164")</f>
        <v>2.62834215164</v>
      </c>
      <c r="V85" s="27" t="str">
        <f>HYPERLINK(AB2 &amp; "/bolt/sn_f9db8b49cad0ae1f66e2eaad5b4b65e/rendering/19.obj", "2.29278349876")</f>
        <v>2.29278349876</v>
      </c>
      <c r="W85" s="12" t="s">
        <v>32</v>
      </c>
      <c r="X85" s="13">
        <v>2.4668536186218262</v>
      </c>
      <c r="Y85" s="13">
        <v>0.1009312964922493</v>
      </c>
      <c r="Z85" s="68">
        <v>4.0914992170730143E-2</v>
      </c>
    </row>
    <row r="86" spans="1:26" x14ac:dyDescent="0.2">
      <c r="A86" s="1">
        <v>84</v>
      </c>
      <c r="B86" s="2" t="s">
        <v>49</v>
      </c>
      <c r="C86" s="13" t="str">
        <f>HYPERLINK(AC2 &amp; "/bolt/sn_f9db8b49cad0ae1f66e2eaad5b4b65e/rendering/00.xyz", "0.0")</f>
        <v>0.0</v>
      </c>
      <c r="D86" s="13" t="str">
        <f>HYPERLINK(AC2 &amp; "/bolt/sn_f9db8b49cad0ae1f66e2eaad5b4b65e/rendering/01.xyz", "0.0")</f>
        <v>0.0</v>
      </c>
      <c r="E86" s="13" t="str">
        <f>HYPERLINK(AC2 &amp; "/bolt/sn_f9db8b49cad0ae1f66e2eaad5b4b65e/rendering/02.xyz", "0.0")</f>
        <v>0.0</v>
      </c>
      <c r="F86" s="13" t="str">
        <f>HYPERLINK(AC2 &amp; "/bolt/sn_f9db8b49cad0ae1f66e2eaad5b4b65e/rendering/03.xyz", "0.0")</f>
        <v>0.0</v>
      </c>
      <c r="G86" s="13" t="str">
        <f>HYPERLINK(AC2 &amp; "/bolt/sn_f9db8b49cad0ae1f66e2eaad5b4b65e/rendering/04.xyz", "0.0")</f>
        <v>0.0</v>
      </c>
      <c r="H86" s="13" t="str">
        <f>HYPERLINK(AC2 &amp; "/bolt/sn_f9db8b49cad0ae1f66e2eaad5b4b65e/rendering/05.xyz", "0.0")</f>
        <v>0.0</v>
      </c>
      <c r="I86" s="13" t="str">
        <f>HYPERLINK(AC2 &amp; "/bolt/sn_f9db8b49cad0ae1f66e2eaad5b4b65e/rendering/06.xyz", "0.0")</f>
        <v>0.0</v>
      </c>
      <c r="J86" s="13" t="str">
        <f>HYPERLINK(AC2 &amp; "/bolt/sn_f9db8b49cad0ae1f66e2eaad5b4b65e/rendering/07.xyz", "0.0")</f>
        <v>0.0</v>
      </c>
      <c r="K86" s="13" t="str">
        <f>HYPERLINK(AC2 &amp; "/bolt/sn_f9db8b49cad0ae1f66e2eaad5b4b65e/rendering/08.xyz", "0.0")</f>
        <v>0.0</v>
      </c>
      <c r="L86" s="13" t="str">
        <f>HYPERLINK(AC2 &amp; "/bolt/sn_f9db8b49cad0ae1f66e2eaad5b4b65e/rendering/09.xyz", "0.0")</f>
        <v>0.0</v>
      </c>
      <c r="M86" s="13" t="str">
        <f>HYPERLINK(AC2 &amp; "/bolt/sn_f9db8b49cad0ae1f66e2eaad5b4b65e/rendering/10.xyz", "0.0")</f>
        <v>0.0</v>
      </c>
      <c r="N86" s="13" t="str">
        <f>HYPERLINK(AC2 &amp; "/bolt/sn_f9db8b49cad0ae1f66e2eaad5b4b65e/rendering/11.xyz", "0.0")</f>
        <v>0.0</v>
      </c>
      <c r="O86" s="13" t="str">
        <f>HYPERLINK(AC2 &amp; "/bolt/sn_f9db8b49cad0ae1f66e2eaad5b4b65e/rendering/12.xyz", "0.0")</f>
        <v>0.0</v>
      </c>
      <c r="P86" s="13" t="str">
        <f>HYPERLINK(AC2 &amp; "/bolt/sn_f9db8b49cad0ae1f66e2eaad5b4b65e/rendering/13.xyz", "0.0")</f>
        <v>0.0</v>
      </c>
      <c r="Q86" s="13" t="str">
        <f>HYPERLINK(AC2 &amp; "/bolt/sn_f9db8b49cad0ae1f66e2eaad5b4b65e/rendering/14.xyz", "0.0")</f>
        <v>0.0</v>
      </c>
      <c r="R86" s="13" t="str">
        <f>HYPERLINK(AC2 &amp; "/bolt/sn_f9db8b49cad0ae1f66e2eaad5b4b65e/rendering/15.xyz", "0.0")</f>
        <v>0.0</v>
      </c>
      <c r="S86" s="13" t="str">
        <f>HYPERLINK(AC2 &amp; "/bolt/sn_f9db8b49cad0ae1f66e2eaad5b4b65e/rendering/16.xyz", "0.0")</f>
        <v>0.0</v>
      </c>
      <c r="T86" s="13" t="str">
        <f>HYPERLINK(AC2 &amp; "/bolt/sn_f9db8b49cad0ae1f66e2eaad5b4b65e/rendering/17.xyz", "0.0")</f>
        <v>0.0</v>
      </c>
      <c r="U86" s="13" t="str">
        <f>HYPERLINK(AC2 &amp; "/bolt/sn_f9db8b49cad0ae1f66e2eaad5b4b65e/rendering/18.xyz", "0.0")</f>
        <v>0.0</v>
      </c>
      <c r="V86" s="13" t="str">
        <f>HYPERLINK(AC2 &amp; "/bolt/sn_f9db8b49cad0ae1f66e2eaad5b4b65e/rendering/19.xyz", "0.0")</f>
        <v>0.0</v>
      </c>
      <c r="W86" s="12" t="s">
        <v>33</v>
      </c>
      <c r="X86" s="13">
        <v>0</v>
      </c>
      <c r="Y86" s="13">
        <v>0</v>
      </c>
      <c r="Z86" s="13">
        <v>0</v>
      </c>
    </row>
    <row r="87" spans="1:26" x14ac:dyDescent="0.2">
      <c r="A87" s="1">
        <v>85</v>
      </c>
      <c r="B87" s="2" t="s">
        <v>50</v>
      </c>
      <c r="C87" s="73" t="str">
        <f>HYPERLINK(AA2 &amp; "/bolt/sn_fa242e8986128d80f7a1b626d9f6545b/rendering/00.obj", "2.36725494385")</f>
        <v>2.36725494385</v>
      </c>
      <c r="D87" s="91" t="str">
        <f>HYPERLINK(AA2 &amp; "/bolt/sn_fa242e8986128d80f7a1b626d9f6545b/rendering/01.obj", "2.39179885864")</f>
        <v>2.39179885864</v>
      </c>
      <c r="E87" s="25" t="str">
        <f>HYPERLINK(AA2 &amp; "/bolt/sn_fa242e8986128d80f7a1b626d9f6545b/rendering/02.obj", "2.48852203369")</f>
        <v>2.48852203369</v>
      </c>
      <c r="F87" s="41" t="str">
        <f>HYPERLINK(AA2 &amp; "/bolt/sn_fa242e8986128d80f7a1b626d9f6545b/rendering/03.obj", "2.62578186035")</f>
        <v>2.62578186035</v>
      </c>
      <c r="G87" s="68" t="str">
        <f>HYPERLINK(AA2 &amp; "/bolt/sn_fa242e8986128d80f7a1b626d9f6545b/rendering/04.obj", "2.56125701904")</f>
        <v>2.56125701904</v>
      </c>
      <c r="H87" s="68" t="str">
        <f>HYPERLINK(AA2 &amp; "/bolt/sn_fa242e8986128d80f7a1b626d9f6545b/rendering/05.obj", "2.35603317261")</f>
        <v>2.35603317261</v>
      </c>
      <c r="I87" s="73" t="str">
        <f>HYPERLINK(AA2 &amp; "/bolt/sn_fa242e8986128d80f7a1b626d9f6545b/rendering/06.obj", "2.55076126099")</f>
        <v>2.55076126099</v>
      </c>
      <c r="J87" s="10" t="str">
        <f>HYPERLINK(AA2 &amp; "/bolt/sn_fa242e8986128d80f7a1b626d9f6545b/rendering/07.obj", "2.59391174316")</f>
        <v>2.59391174316</v>
      </c>
      <c r="K87" s="10" t="str">
        <f>HYPERLINK(AA2 &amp; "/bolt/sn_fa242e8986128d80f7a1b626d9f6545b/rendering/08.obj", "2.59774658203")</f>
        <v>2.59774658203</v>
      </c>
      <c r="L87" s="10" t="str">
        <f>HYPERLINK(AA2 &amp; "/bolt/sn_fa242e8986128d80f7a1b626d9f6545b/rendering/09.obj", "2.32103118896")</f>
        <v>2.32103118896</v>
      </c>
      <c r="M87" s="74" t="str">
        <f>HYPERLINK(AA2 &amp; "/bolt/sn_fa242e8986128d80f7a1b626d9f6545b/rendering/10.obj", "2.49458572388")</f>
        <v>2.49458572388</v>
      </c>
      <c r="N87" s="48" t="str">
        <f>HYPERLINK(AA2 &amp; "/bolt/sn_fa242e8986128d80f7a1b626d9f6545b/rendering/11.obj", "2.40132843018")</f>
        <v>2.40132843018</v>
      </c>
      <c r="O87" s="47" t="str">
        <f>HYPERLINK(AA2 &amp; "/bolt/sn_fa242e8986128d80f7a1b626d9f6545b/rendering/12.obj", "2.47754364014")</f>
        <v>2.47754364014</v>
      </c>
      <c r="P87" s="48" t="str">
        <f>HYPERLINK(AA2 &amp; "/bolt/sn_fa242e8986128d80f7a1b626d9f6545b/rendering/13.obj", "2.51468933105")</f>
        <v>2.51468933105</v>
      </c>
      <c r="Q87" s="78" t="str">
        <f>HYPERLINK(AA2 &amp; "/bolt/sn_fa242e8986128d80f7a1b626d9f6545b/rendering/14.obj", "2.307684021")</f>
        <v>2.307684021</v>
      </c>
      <c r="R87" s="13" t="str">
        <f>HYPERLINK(AA2 &amp; "/bolt/sn_fa242e8986128d80f7a1b626d9f6545b/rendering/15.obj", "2.46241516113")</f>
        <v>2.46241516113</v>
      </c>
      <c r="S87" s="23" t="str">
        <f>HYPERLINK(AA2 &amp; "/bolt/sn_fa242e8986128d80f7a1b626d9f6545b/rendering/16.obj", "2.3665411377")</f>
        <v>2.3665411377</v>
      </c>
      <c r="T87" s="68" t="str">
        <f>HYPERLINK(AA2 &amp; "/bolt/sn_fa242e8986128d80f7a1b626d9f6545b/rendering/17.obj", "2.35595611572")</f>
        <v>2.35595611572</v>
      </c>
      <c r="U87" s="90" t="str">
        <f>HYPERLINK(AA2 &amp; "/bolt/sn_fa242e8986128d80f7a1b626d9f6545b/rendering/18.obj", "2.69192993164")</f>
        <v>2.69192993164</v>
      </c>
      <c r="V87" s="51" t="str">
        <f>HYPERLINK(AA2 &amp; "/bolt/sn_fa242e8986128d80f7a1b626d9f6545b/rendering/19.obj", "2.26199783325")</f>
        <v>2.26199783325</v>
      </c>
      <c r="W87" s="12" t="s">
        <v>29</v>
      </c>
      <c r="X87" s="13">
        <v>2.459438499450683</v>
      </c>
      <c r="Y87" s="13">
        <v>0.1163532601785871</v>
      </c>
      <c r="Z87" s="34">
        <v>4.730887159999108E-2</v>
      </c>
    </row>
    <row r="88" spans="1:26" x14ac:dyDescent="0.2">
      <c r="A88" s="1">
        <v>86</v>
      </c>
      <c r="B88" s="2" t="s">
        <v>50</v>
      </c>
      <c r="C88" s="48" t="str">
        <f>HYPERLINK(AA2 &amp; "/bolt/sn_fa242e8986128d80f7a1b626d9f6545b/rendering/00.obj", "2.08266782761")</f>
        <v>2.08266782761</v>
      </c>
      <c r="D88" s="69" t="str">
        <f>HYPERLINK(AA2 &amp; "/bolt/sn_fa242e8986128d80f7a1b626d9f6545b/rendering/01.obj", "2.0709862709")</f>
        <v>2.0709862709</v>
      </c>
      <c r="E88" s="91" t="str">
        <f>HYPERLINK(AA2 &amp; "/bolt/sn_fa242e8986128d80f7a1b626d9f6545b/rendering/02.obj", "2.18658494949")</f>
        <v>2.18658494949</v>
      </c>
      <c r="F88" s="30" t="str">
        <f>HYPERLINK(AA2 &amp; "/bolt/sn_fa242e8986128d80f7a1b626d9f6545b/rendering/03.obj", "2.14327955246")</f>
        <v>2.14327955246</v>
      </c>
      <c r="G88" s="68" t="str">
        <f>HYPERLINK(AA2 &amp; "/bolt/sn_fa242e8986128d80f7a1b626d9f6545b/rendering/04.obj", "2.21974205971")</f>
        <v>2.21974205971</v>
      </c>
      <c r="H88" s="47" t="str">
        <f>HYPERLINK(AA2 &amp; "/bolt/sn_fa242e8986128d80f7a1b626d9f6545b/rendering/05.obj", "2.11241769791")</f>
        <v>2.11241769791</v>
      </c>
      <c r="I88" s="48" t="str">
        <f>HYPERLINK(AA2 &amp; "/bolt/sn_fa242e8986128d80f7a1b626d9f6545b/rendering/06.obj", "2.07960319519")</f>
        <v>2.07960319519</v>
      </c>
      <c r="J88" s="30" t="str">
        <f>HYPERLINK(AA2 &amp; "/bolt/sn_fa242e8986128d80f7a1b626d9f6545b/rendering/07.obj", "2.12291741371")</f>
        <v>2.12291741371</v>
      </c>
      <c r="K88" s="47" t="str">
        <f>HYPERLINK(AA2 &amp; "/bolt/sn_fa242e8986128d80f7a1b626d9f6545b/rendering/08.obj", "2.11757254601")</f>
        <v>2.11757254601</v>
      </c>
      <c r="L88" s="13" t="str">
        <f>HYPERLINK(AA2 &amp; "/bolt/sn_fa242e8986128d80f7a1b626d9f6545b/rendering/09.obj", "2.13260769844")</f>
        <v>2.13260769844</v>
      </c>
      <c r="M88" s="6" t="str">
        <f>HYPERLINK(AA2 &amp; "/bolt/sn_fa242e8986128d80f7a1b626d9f6545b/rendering/10.obj", "2.22754669189")</f>
        <v>2.22754669189</v>
      </c>
      <c r="N88" s="13" t="str">
        <f>HYPERLINK(AA2 &amp; "/bolt/sn_fa242e8986128d80f7a1b626d9f6545b/rendering/11.obj", "2.13618063927")</f>
        <v>2.13618063927</v>
      </c>
      <c r="O88" s="17" t="str">
        <f>HYPERLINK(AA2 &amp; "/bolt/sn_fa242e8986128d80f7a1b626d9f6545b/rendering/12.obj", "2.08903193474")</f>
        <v>2.08903193474</v>
      </c>
      <c r="P88" s="13" t="str">
        <f>HYPERLINK(AA2 &amp; "/bolt/sn_fa242e8986128d80f7a1b626d9f6545b/rendering/13.obj", "2.13064074516")</f>
        <v>2.13064074516</v>
      </c>
      <c r="Q88" s="74" t="str">
        <f>HYPERLINK(AA2 &amp; "/bolt/sn_fa242e8986128d80f7a1b626d9f6545b/rendering/14.obj", "2.09875154495")</f>
        <v>2.09875154495</v>
      </c>
      <c r="R88" s="25" t="str">
        <f>HYPERLINK(AA2 &amp; "/bolt/sn_fa242e8986128d80f7a1b626d9f6545b/rendering/15.obj", "2.1105735302")</f>
        <v>2.1105735302</v>
      </c>
      <c r="S88" s="47" t="str">
        <f>HYPERLINK(AA2 &amp; "/bolt/sn_fa242e8986128d80f7a1b626d9f6545b/rendering/16.obj", "2.11672663689")</f>
        <v>2.11672663689</v>
      </c>
      <c r="T88" s="13" t="str">
        <f>HYPERLINK(AA2 &amp; "/bolt/sn_fa242e8986128d80f7a1b626d9f6545b/rendering/17.obj", "2.12952423096")</f>
        <v>2.12952423096</v>
      </c>
      <c r="U88" s="72" t="str">
        <f>HYPERLINK(AA2 &amp; "/bolt/sn_fa242e8986128d80f7a1b626d9f6545b/rendering/18.obj", "2.20490646362")</f>
        <v>2.20490646362</v>
      </c>
      <c r="V88" s="30" t="str">
        <f>HYPERLINK(AA2 &amp; "/bolt/sn_fa242e8986128d80f7a1b626d9f6545b/rendering/19.obj", "2.12439489365")</f>
        <v>2.12439489365</v>
      </c>
      <c r="W88" s="12" t="s">
        <v>30</v>
      </c>
      <c r="X88" s="13">
        <v>2.131832826137543</v>
      </c>
      <c r="Y88" s="13">
        <v>4.3905010011982423E-2</v>
      </c>
      <c r="Z88" s="17">
        <v>2.0594959170194209E-2</v>
      </c>
    </row>
    <row r="89" spans="1:26" x14ac:dyDescent="0.2">
      <c r="A89" s="1">
        <v>87</v>
      </c>
      <c r="B89" s="2" t="s">
        <v>50</v>
      </c>
      <c r="C89" s="91" t="str">
        <f>HYPERLINK(AB2 &amp; "/bolt/sn_fa242e8986128d80f7a1b626d9f6545b/rendering/00.obj", "4.20226623535")</f>
        <v>4.20226623535</v>
      </c>
      <c r="D89" s="46" t="str">
        <f>HYPERLINK(AB2 &amp; "/bolt/sn_fa242e8986128d80f7a1b626d9f6545b/rendering/01.obj", "4.01299621582")</f>
        <v>4.01299621582</v>
      </c>
      <c r="E89" s="30" t="str">
        <f>HYPERLINK(AB2 &amp; "/bolt/sn_fa242e8986128d80f7a1b626d9f6545b/rendering/02.obj", "4.07692199707")</f>
        <v>4.07692199707</v>
      </c>
      <c r="F89" s="133" t="str">
        <f>HYPERLINK(AB2 &amp; "/bolt/sn_fa242e8986128d80f7a1b626d9f6545b/rendering/03.obj", "3.6700692749")</f>
        <v>3.6700692749</v>
      </c>
      <c r="G89" s="78" t="str">
        <f>HYPERLINK(AB2 &amp; "/bolt/sn_fa242e8986128d80f7a1b626d9f6545b/rendering/04.obj", "4.33724365234")</f>
        <v>4.33724365234</v>
      </c>
      <c r="H89" s="25" t="str">
        <f>HYPERLINK(AB2 &amp; "/bolt/sn_fa242e8986128d80f7a1b626d9f6545b/rendering/05.obj", "4.04756652832")</f>
        <v>4.04756652832</v>
      </c>
      <c r="I89" s="73" t="str">
        <f>HYPERLINK(AB2 &amp; "/bolt/sn_fa242e8986128d80f7a1b626d9f6545b/rendering/06.obj", "4.24054412842")</f>
        <v>4.24054412842</v>
      </c>
      <c r="J89" s="78" t="str">
        <f>HYPERLINK(AB2 &amp; "/bolt/sn_fa242e8986128d80f7a1b626d9f6545b/rendering/07.obj", "4.34088195801")</f>
        <v>4.34088195801</v>
      </c>
      <c r="K89" s="107" t="str">
        <f>HYPERLINK(AB2 &amp; "/bolt/sn_fa242e8986128d80f7a1b626d9f6545b/rendering/08.obj", "3.74669067383")</f>
        <v>3.74669067383</v>
      </c>
      <c r="L89" s="30" t="str">
        <f>HYPERLINK(AB2 &amp; "/bolt/sn_fa242e8986128d80f7a1b626d9f6545b/rendering/09.obj", "4.11290466309")</f>
        <v>4.11290466309</v>
      </c>
      <c r="M89" s="13" t="str">
        <f>HYPERLINK(AB2 &amp; "/bolt/sn_fa242e8986128d80f7a1b626d9f6545b/rendering/10.obj", "4.08398925781")</f>
        <v>4.08398925781</v>
      </c>
      <c r="N89" s="74" t="str">
        <f>HYPERLINK(AB2 &amp; "/bolt/sn_fa242e8986128d80f7a1b626d9f6545b/rendering/11.obj", "4.15343200684")</f>
        <v>4.15343200684</v>
      </c>
      <c r="O89" s="91" t="str">
        <f>HYPERLINK(AB2 &amp; "/bolt/sn_fa242e8986128d80f7a1b626d9f6545b/rendering/12.obj", "4.20273590088")</f>
        <v>4.20273590088</v>
      </c>
      <c r="P89" s="47" t="str">
        <f>HYPERLINK(AB2 &amp; "/bolt/sn_fa242e8986128d80f7a1b626d9f6545b/rendering/13.obj", "4.11930114746")</f>
        <v>4.11930114746</v>
      </c>
      <c r="Q89" s="69" t="str">
        <f>HYPERLINK(AB2 &amp; "/bolt/sn_fa242e8986128d80f7a1b626d9f6545b/rendering/14.obj", "4.21563079834")</f>
        <v>4.21563079834</v>
      </c>
      <c r="R89" s="17" t="str">
        <f>HYPERLINK(AB2 &amp; "/bolt/sn_fa242e8986128d80f7a1b626d9f6545b/rendering/15.obj", "4.17297851563")</f>
        <v>4.17297851563</v>
      </c>
      <c r="S89" s="25" t="str">
        <f>HYPERLINK(AB2 &amp; "/bolt/sn_fa242e8986128d80f7a1b626d9f6545b/rendering/16.obj", "4.13094360352")</f>
        <v>4.13094360352</v>
      </c>
      <c r="T89" s="74" t="str">
        <f>HYPERLINK(AB2 &amp; "/bolt/sn_fa242e8986128d80f7a1b626d9f6545b/rendering/17.obj", "4.14578186035")</f>
        <v>4.14578186035</v>
      </c>
      <c r="U89" s="110" t="str">
        <f>HYPERLINK(AB2 &amp; "/bolt/sn_fa242e8986128d80f7a1b626d9f6545b/rendering/18.obj", "3.6862121582")</f>
        <v>3.6862121582</v>
      </c>
      <c r="V89" s="13" t="str">
        <f>HYPERLINK(AB2 &amp; "/bolt/sn_fa242e8986128d80f7a1b626d9f6545b/rendering/19.obj", "4.09920593262")</f>
        <v>4.09920593262</v>
      </c>
      <c r="W89" s="12" t="s">
        <v>31</v>
      </c>
      <c r="X89" s="13">
        <v>4.0899148254394522</v>
      </c>
      <c r="Y89" s="13">
        <v>0.18305474735607549</v>
      </c>
      <c r="Z89" s="6">
        <v>4.4757594025544703E-2</v>
      </c>
    </row>
    <row r="90" spans="1:26" x14ac:dyDescent="0.2">
      <c r="A90" s="1">
        <v>88</v>
      </c>
      <c r="B90" s="2" t="s">
        <v>50</v>
      </c>
      <c r="C90" s="25" t="str">
        <f>HYPERLINK(AB2 &amp; "/bolt/sn_fa242e8986128d80f7a1b626d9f6545b/rendering/00.obj", "2.37255215645")</f>
        <v>2.37255215645</v>
      </c>
      <c r="D90" s="69" t="str">
        <f>HYPERLINK(AB2 &amp; "/bolt/sn_fa242e8986128d80f7a1b626d9f6545b/rendering/01.obj", "2.47341752052")</f>
        <v>2.47341752052</v>
      </c>
      <c r="E90" s="17" t="str">
        <f>HYPERLINK(AB2 &amp; "/bolt/sn_fa242e8986128d80f7a1b626d9f6545b/rendering/02.obj", "2.44952559471")</f>
        <v>2.44952559471</v>
      </c>
      <c r="F90" s="35" t="str">
        <f>HYPERLINK(AB2 &amp; "/bolt/sn_fa242e8986128d80f7a1b626d9f6545b/rendering/03.obj", "2.25869655609")</f>
        <v>2.25869655609</v>
      </c>
      <c r="G90" s="23" t="str">
        <f>HYPERLINK(AB2 &amp; "/bolt/sn_fa242e8986128d80f7a1b626d9f6545b/rendering/04.obj", "2.49394798279")</f>
        <v>2.49394798279</v>
      </c>
      <c r="H90" s="17" t="str">
        <f>HYPERLINK(AB2 &amp; "/bolt/sn_fa242e8986128d80f7a1b626d9f6545b/rendering/05.obj", "2.34740781784")</f>
        <v>2.34740781784</v>
      </c>
      <c r="I90" s="73" t="str">
        <f>HYPERLINK(AB2 &amp; "/bolt/sn_fa242e8986128d80f7a1b626d9f6545b/rendering/06.obj", "2.48873758316")</f>
        <v>2.48873758316</v>
      </c>
      <c r="J90" s="48" t="str">
        <f>HYPERLINK(AB2 &amp; "/bolt/sn_fa242e8986128d80f7a1b626d9f6545b/rendering/07.obj", "2.45687508583")</f>
        <v>2.45687508583</v>
      </c>
      <c r="K90" s="35" t="str">
        <f>HYPERLINK(AB2 &amp; "/bolt/sn_fa242e8986128d80f7a1b626d9f6545b/rendering/08.obj", "2.26307225227")</f>
        <v>2.26307225227</v>
      </c>
      <c r="L90" s="35" t="str">
        <f>HYPERLINK(AB2 &amp; "/bolt/sn_fa242e8986128d80f7a1b626d9f6545b/rendering/09.obj", "2.53626298904")</f>
        <v>2.53626298904</v>
      </c>
      <c r="M90" s="48" t="str">
        <f>HYPERLINK(AB2 &amp; "/bolt/sn_fa242e8986128d80f7a1b626d9f6545b/rendering/10.obj", "2.34128856659")</f>
        <v>2.34128856659</v>
      </c>
      <c r="N90" s="30" t="str">
        <f>HYPERLINK(AB2 &amp; "/bolt/sn_fa242e8986128d80f7a1b626d9f6545b/rendering/11.obj", "2.40924143791")</f>
        <v>2.40924143791</v>
      </c>
      <c r="O90" s="30" t="str">
        <f>HYPERLINK(AB2 &amp; "/bolt/sn_fa242e8986128d80f7a1b626d9f6545b/rendering/12.obj", "2.41072964668")</f>
        <v>2.41072964668</v>
      </c>
      <c r="P90" s="46" t="str">
        <f>HYPERLINK(AB2 &amp; "/bolt/sn_fa242e8986128d80f7a1b626d9f6545b/rendering/13.obj", "2.44418787956")</f>
        <v>2.44418787956</v>
      </c>
      <c r="Q90" s="72" t="str">
        <f>HYPERLINK(AB2 &amp; "/bolt/sn_fa242e8986128d80f7a1b626d9f6545b/rendering/14.obj", "2.47917437553")</f>
        <v>2.47917437553</v>
      </c>
      <c r="R90" s="46" t="str">
        <f>HYPERLINK(AB2 &amp; "/bolt/sn_fa242e8986128d80f7a1b626d9f6545b/rendering/15.obj", "2.35562157631")</f>
        <v>2.35562157631</v>
      </c>
      <c r="S90" s="74" t="str">
        <f>HYPERLINK(AB2 &amp; "/bolt/sn_fa242e8986128d80f7a1b626d9f6545b/rendering/16.obj", "2.36598372459")</f>
        <v>2.36598372459</v>
      </c>
      <c r="T90" s="13" t="str">
        <f>HYPERLINK(AB2 &amp; "/bolt/sn_fa242e8986128d80f7a1b626d9f6545b/rendering/17.obj", "2.398178339")</f>
        <v>2.398178339</v>
      </c>
      <c r="U90" s="35" t="str">
        <f>HYPERLINK(AB2 &amp; "/bolt/sn_fa242e8986128d80f7a1b626d9f6545b/rendering/18.obj", "2.26036500931")</f>
        <v>2.26036500931</v>
      </c>
      <c r="V90" s="30" t="str">
        <f>HYPERLINK(AB2 &amp; "/bolt/sn_fa242e8986128d80f7a1b626d9f6545b/rendering/19.obj", "2.39105677605")</f>
        <v>2.39105677605</v>
      </c>
      <c r="W90" s="12" t="s">
        <v>32</v>
      </c>
      <c r="X90" s="13">
        <v>2.3998161435127261</v>
      </c>
      <c r="Y90" s="13">
        <v>7.8471933756448162E-2</v>
      </c>
      <c r="Z90" s="72">
        <v>3.269914404425376E-2</v>
      </c>
    </row>
    <row r="91" spans="1:26" x14ac:dyDescent="0.2">
      <c r="A91" s="1">
        <v>89</v>
      </c>
      <c r="B91" s="2" t="s">
        <v>50</v>
      </c>
      <c r="C91" s="13" t="str">
        <f>HYPERLINK(AC2 &amp; "/bolt/sn_fa242e8986128d80f7a1b626d9f6545b/rendering/00.xyz", "0.0")</f>
        <v>0.0</v>
      </c>
      <c r="D91" s="13" t="str">
        <f>HYPERLINK(AC2 &amp; "/bolt/sn_fa242e8986128d80f7a1b626d9f6545b/rendering/01.xyz", "0.0")</f>
        <v>0.0</v>
      </c>
      <c r="E91" s="13" t="str">
        <f>HYPERLINK(AC2 &amp; "/bolt/sn_fa242e8986128d80f7a1b626d9f6545b/rendering/02.xyz", "0.0")</f>
        <v>0.0</v>
      </c>
      <c r="F91" s="13" t="str">
        <f>HYPERLINK(AC2 &amp; "/bolt/sn_fa242e8986128d80f7a1b626d9f6545b/rendering/03.xyz", "0.0")</f>
        <v>0.0</v>
      </c>
      <c r="G91" s="13" t="str">
        <f>HYPERLINK(AC2 &amp; "/bolt/sn_fa242e8986128d80f7a1b626d9f6545b/rendering/04.xyz", "0.0")</f>
        <v>0.0</v>
      </c>
      <c r="H91" s="13" t="str">
        <f>HYPERLINK(AC2 &amp; "/bolt/sn_fa242e8986128d80f7a1b626d9f6545b/rendering/05.xyz", "0.0")</f>
        <v>0.0</v>
      </c>
      <c r="I91" s="13" t="str">
        <f>HYPERLINK(AC2 &amp; "/bolt/sn_fa242e8986128d80f7a1b626d9f6545b/rendering/06.xyz", "0.0")</f>
        <v>0.0</v>
      </c>
      <c r="J91" s="13" t="str">
        <f>HYPERLINK(AC2 &amp; "/bolt/sn_fa242e8986128d80f7a1b626d9f6545b/rendering/07.xyz", "0.0")</f>
        <v>0.0</v>
      </c>
      <c r="K91" s="13" t="str">
        <f>HYPERLINK(AC2 &amp; "/bolt/sn_fa242e8986128d80f7a1b626d9f6545b/rendering/08.xyz", "0.0")</f>
        <v>0.0</v>
      </c>
      <c r="L91" s="13" t="str">
        <f>HYPERLINK(AC2 &amp; "/bolt/sn_fa242e8986128d80f7a1b626d9f6545b/rendering/09.xyz", "0.0")</f>
        <v>0.0</v>
      </c>
      <c r="M91" s="13" t="str">
        <f>HYPERLINK(AC2 &amp; "/bolt/sn_fa242e8986128d80f7a1b626d9f6545b/rendering/10.xyz", "0.0")</f>
        <v>0.0</v>
      </c>
      <c r="N91" s="13" t="str">
        <f>HYPERLINK(AC2 &amp; "/bolt/sn_fa242e8986128d80f7a1b626d9f6545b/rendering/11.xyz", "0.0")</f>
        <v>0.0</v>
      </c>
      <c r="O91" s="13" t="str">
        <f>HYPERLINK(AC2 &amp; "/bolt/sn_fa242e8986128d80f7a1b626d9f6545b/rendering/12.xyz", "0.0")</f>
        <v>0.0</v>
      </c>
      <c r="P91" s="13" t="str">
        <f>HYPERLINK(AC2 &amp; "/bolt/sn_fa242e8986128d80f7a1b626d9f6545b/rendering/13.xyz", "0.0")</f>
        <v>0.0</v>
      </c>
      <c r="Q91" s="13" t="str">
        <f>HYPERLINK(AC2 &amp; "/bolt/sn_fa242e8986128d80f7a1b626d9f6545b/rendering/14.xyz", "0.0")</f>
        <v>0.0</v>
      </c>
      <c r="R91" s="13" t="str">
        <f>HYPERLINK(AC2 &amp; "/bolt/sn_fa242e8986128d80f7a1b626d9f6545b/rendering/15.xyz", "0.0")</f>
        <v>0.0</v>
      </c>
      <c r="S91" s="13" t="str">
        <f>HYPERLINK(AC2 &amp; "/bolt/sn_fa242e8986128d80f7a1b626d9f6545b/rendering/16.xyz", "0.0")</f>
        <v>0.0</v>
      </c>
      <c r="T91" s="13" t="str">
        <f>HYPERLINK(AC2 &amp; "/bolt/sn_fa242e8986128d80f7a1b626d9f6545b/rendering/17.xyz", "0.0")</f>
        <v>0.0</v>
      </c>
      <c r="U91" s="13" t="str">
        <f>HYPERLINK(AC2 &amp; "/bolt/sn_fa242e8986128d80f7a1b626d9f6545b/rendering/18.xyz", "0.0")</f>
        <v>0.0</v>
      </c>
      <c r="V91" s="13" t="str">
        <f>HYPERLINK(AC2 &amp; "/bolt/sn_fa242e8986128d80f7a1b626d9f6545b/rendering/19.xyz", "0.0")</f>
        <v>0.0</v>
      </c>
      <c r="W91" s="12" t="s">
        <v>33</v>
      </c>
      <c r="X91" s="13">
        <v>0</v>
      </c>
      <c r="Y91" s="13">
        <v>0</v>
      </c>
      <c r="Z91" s="13">
        <v>0</v>
      </c>
    </row>
    <row r="92" spans="1:26" x14ac:dyDescent="0.2">
      <c r="A92" s="1">
        <v>90</v>
      </c>
      <c r="B92" s="2" t="s">
        <v>51</v>
      </c>
      <c r="C92" s="46" t="str">
        <f>HYPERLINK(AA2 &amp; "/bolt/sn_fd202e5cf5cf6dfe7533fae337723aaf/rendering/00.obj", "3.10275848389")</f>
        <v>3.10275848389</v>
      </c>
      <c r="D92" s="133" t="str">
        <f>HYPERLINK(AA2 &amp; "/bolt/sn_fd202e5cf5cf6dfe7533fae337723aaf/rendering/01.obj", "2.8356060791")</f>
        <v>2.8356060791</v>
      </c>
      <c r="E92" s="34" t="str">
        <f>HYPERLINK(AA2 &amp; "/bolt/sn_fd202e5cf5cf6dfe7533fae337723aaf/rendering/02.obj", "3.31313415527")</f>
        <v>3.31313415527</v>
      </c>
      <c r="F92" s="133" t="str">
        <f>HYPERLINK(AA2 &amp; "/bolt/sn_fd202e5cf5cf6dfe7533fae337723aaf/rendering/03.obj", "2.8362387085")</f>
        <v>2.8362387085</v>
      </c>
      <c r="G92" s="38" t="str">
        <f>HYPERLINK(AA2 &amp; "/bolt/sn_fd202e5cf5cf6dfe7533fae337723aaf/rendering/04.obj", "2.87812255859")</f>
        <v>2.87812255859</v>
      </c>
      <c r="H92" s="26" t="str">
        <f>HYPERLINK(AA2 &amp; "/bolt/sn_fd202e5cf5cf6dfe7533fae337723aaf/rendering/05.obj", "2.9594909668")</f>
        <v>2.9594909668</v>
      </c>
      <c r="I92" s="44" t="str">
        <f>HYPERLINK(AA2 &amp; "/bolt/sn_fd202e5cf5cf6dfe7533fae337723aaf/rendering/06.obj", "3.77911010742")</f>
        <v>3.77911010742</v>
      </c>
      <c r="J92" s="32" t="str">
        <f>HYPERLINK(AA2 &amp; "/bolt/sn_fd202e5cf5cf6dfe7533fae337723aaf/rendering/07.obj", "2.8259677124")</f>
        <v>2.8259677124</v>
      </c>
      <c r="K92" s="33" t="str">
        <f>HYPERLINK(AA2 &amp; "/bolt/sn_fd202e5cf5cf6dfe7533fae337723aaf/rendering/08.obj", "3.50851226807")</f>
        <v>3.50851226807</v>
      </c>
      <c r="L92" s="10" t="str">
        <f>HYPERLINK(AA2 &amp; "/bolt/sn_fd202e5cf5cf6dfe7533fae337723aaf/rendering/09.obj", "2.98800231934")</f>
        <v>2.98800231934</v>
      </c>
      <c r="M92" s="168" t="str">
        <f>HYPERLINK(AA2 &amp; "/bolt/sn_fd202e5cf5cf6dfe7533fae337723aaf/rendering/10.obj", "4.17815429688")</f>
        <v>4.17815429688</v>
      </c>
      <c r="N92" s="27" t="str">
        <f>HYPERLINK(AA2 &amp; "/bolt/sn_fd202e5cf5cf6dfe7533fae337723aaf/rendering/11.obj", "2.93574371338")</f>
        <v>2.93574371338</v>
      </c>
      <c r="O92" s="5" t="str">
        <f>HYPERLINK(AA2 &amp; "/bolt/sn_fd202e5cf5cf6dfe7533fae337723aaf/rendering/12.obj", "2.91390869141")</f>
        <v>2.91390869141</v>
      </c>
      <c r="P92" s="171" t="str">
        <f>HYPERLINK(AA2 &amp; "/bolt/sn_fd202e5cf5cf6dfe7533fae337723aaf/rendering/13.obj", "4.13217681885")</f>
        <v>4.13217681885</v>
      </c>
      <c r="Q92" s="72" t="str">
        <f>HYPERLINK(AA2 &amp; "/bolt/sn_fd202e5cf5cf6dfe7533fae337723aaf/rendering/14.obj", "3.26185394287")</f>
        <v>3.26185394287</v>
      </c>
      <c r="R92" s="80" t="str">
        <f>HYPERLINK(AA2 &amp; "/bolt/sn_fd202e5cf5cf6dfe7533fae337723aaf/rendering/15.obj", "2.69057861328")</f>
        <v>2.69057861328</v>
      </c>
      <c r="S92" s="78" t="str">
        <f>HYPERLINK(AA2 &amp; "/bolt/sn_fd202e5cf5cf6dfe7533fae337723aaf/rendering/16.obj", "2.97002807617")</f>
        <v>2.97002807617</v>
      </c>
      <c r="T92" s="35" t="str">
        <f>HYPERLINK(AA2 &amp; "/bolt/sn_fd202e5cf5cf6dfe7533fae337723aaf/rendering/17.obj", "2.97878143311")</f>
        <v>2.97878143311</v>
      </c>
      <c r="U92" s="25" t="str">
        <f>HYPERLINK(AA2 &amp; "/bolt/sn_fd202e5cf5cf6dfe7533fae337723aaf/rendering/18.obj", "3.12497314453")</f>
        <v>3.12497314453</v>
      </c>
      <c r="V92" s="6" t="str">
        <f>HYPERLINK(AA2 &amp; "/bolt/sn_fd202e5cf5cf6dfe7533fae337723aaf/rendering/19.obj", "3.02067260742")</f>
        <v>3.02067260742</v>
      </c>
      <c r="W92" s="12" t="s">
        <v>29</v>
      </c>
      <c r="X92" s="13">
        <v>3.161690734863281</v>
      </c>
      <c r="Y92" s="13">
        <v>0.4132321902948376</v>
      </c>
      <c r="Z92" s="29">
        <v>0.13069975052848001</v>
      </c>
    </row>
    <row r="93" spans="1:26" x14ac:dyDescent="0.2">
      <c r="A93" s="1">
        <v>91</v>
      </c>
      <c r="B93" s="2" t="s">
        <v>51</v>
      </c>
      <c r="C93" s="78" t="str">
        <f>HYPERLINK(AA2 &amp; "/bolt/sn_fd202e5cf5cf6dfe7533fae337723aaf/rendering/00.obj", "2.32360029221")</f>
        <v>2.32360029221</v>
      </c>
      <c r="D93" s="51" t="str">
        <f>HYPERLINK(AA2 &amp; "/bolt/sn_fd202e5cf5cf6dfe7533fae337723aaf/rendering/01.obj", "2.27903342247")</f>
        <v>2.27903342247</v>
      </c>
      <c r="E93" s="27" t="str">
        <f>HYPERLINK(AA2 &amp; "/bolt/sn_fd202e5cf5cf6dfe7533fae337723aaf/rendering/02.obj", "2.64979577065")</f>
        <v>2.64979577065</v>
      </c>
      <c r="F93" s="10" t="str">
        <f>HYPERLINK(AA2 &amp; "/bolt/sn_fd202e5cf5cf6dfe7533fae337723aaf/rendering/03.obj", "2.33579111099")</f>
        <v>2.33579111099</v>
      </c>
      <c r="G93" s="133" t="str">
        <f>HYPERLINK(AA2 &amp; "/bolt/sn_fd202e5cf5cf6dfe7533fae337723aaf/rendering/04.obj", "2.22663426399")</f>
        <v>2.22663426399</v>
      </c>
      <c r="H93" s="33" t="str">
        <f>HYPERLINK(AA2 &amp; "/bolt/sn_fd202e5cf5cf6dfe7533fae337723aaf/rendering/05.obj", "2.20448613167")</f>
        <v>2.20448613167</v>
      </c>
      <c r="I93" s="106" t="str">
        <f>HYPERLINK(AA2 &amp; "/bolt/sn_fd202e5cf5cf6dfe7533fae337723aaf/rendering/06.obj", "2.75568389893")</f>
        <v>2.75568389893</v>
      </c>
      <c r="J93" s="32" t="str">
        <f>HYPERLINK(AA2 &amp; "/bolt/sn_fd202e5cf5cf6dfe7533fae337723aaf/rendering/07.obj", "2.21316814423")</f>
        <v>2.21316814423</v>
      </c>
      <c r="K93" s="32" t="str">
        <f>HYPERLINK(AA2 &amp; "/bolt/sn_fd202e5cf5cf6dfe7533fae337723aaf/rendering/08.obj", "2.73583459854")</f>
        <v>2.73583459854</v>
      </c>
      <c r="L93" s="10" t="str">
        <f>HYPERLINK(AA2 &amp; "/bolt/sn_fd202e5cf5cf6dfe7533fae337723aaf/rendering/09.obj", "2.34276366234")</f>
        <v>2.34276366234</v>
      </c>
      <c r="M93" s="85" t="str">
        <f>HYPERLINK(AA2 &amp; "/bolt/sn_fd202e5cf5cf6dfe7533fae337723aaf/rendering/10.obj", "3.20762014389")</f>
        <v>3.20762014389</v>
      </c>
      <c r="N93" s="6" t="str">
        <f>HYPERLINK(AA2 &amp; "/bolt/sn_fd202e5cf5cf6dfe7533fae337723aaf/rendering/11.obj", "2.36529421806")</f>
        <v>2.36529421806</v>
      </c>
      <c r="O93" s="67" t="str">
        <f>HYPERLINK(AA2 &amp; "/bolt/sn_fd202e5cf5cf6dfe7533fae337723aaf/rendering/12.obj", "2.2486717701")</f>
        <v>2.2486717701</v>
      </c>
      <c r="P93" s="61" t="str">
        <f>HYPERLINK(AA2 &amp; "/bolt/sn_fd202e5cf5cf6dfe7533fae337723aaf/rendering/13.obj", "3.22676324844")</f>
        <v>3.22676324844</v>
      </c>
      <c r="Q93" s="90" t="str">
        <f>HYPERLINK(AA2 &amp; "/bolt/sn_fd202e5cf5cf6dfe7533fae337723aaf/rendering/14.obj", "2.70964479446")</f>
        <v>2.70964479446</v>
      </c>
      <c r="R93" s="29" t="str">
        <f>HYPERLINK(AA2 &amp; "/bolt/sn_fd202e5cf5cf6dfe7533fae337723aaf/rendering/15.obj", "2.15183925629")</f>
        <v>2.15183925629</v>
      </c>
      <c r="S93" s="72" t="str">
        <f>HYPERLINK(AA2 &amp; "/bolt/sn_fd202e5cf5cf6dfe7533fae337723aaf/rendering/16.obj", "2.39388275146")</f>
        <v>2.39388275146</v>
      </c>
      <c r="T93" s="91" t="str">
        <f>HYPERLINK(AA2 &amp; "/bolt/sn_fd202e5cf5cf6dfe7533fae337723aaf/rendering/17.obj", "2.40649080276")</f>
        <v>2.40649080276</v>
      </c>
      <c r="U93" s="78" t="str">
        <f>HYPERLINK(AA2 &amp; "/bolt/sn_fd202e5cf5cf6dfe7533fae337723aaf/rendering/18.obj", "2.322889328")</f>
        <v>2.322889328</v>
      </c>
      <c r="V93" s="91" t="str">
        <f>HYPERLINK(AA2 &amp; "/bolt/sn_fd202e5cf5cf6dfe7533fae337723aaf/rendering/19.obj", "2.41041564941")</f>
        <v>2.41041564941</v>
      </c>
      <c r="W93" s="12" t="s">
        <v>30</v>
      </c>
      <c r="X93" s="13">
        <v>2.4755151629447938</v>
      </c>
      <c r="Y93" s="13">
        <v>0.30349541856521889</v>
      </c>
      <c r="Z93" s="92">
        <v>0.1225988929933237</v>
      </c>
    </row>
    <row r="94" spans="1:26" x14ac:dyDescent="0.2">
      <c r="A94" s="1">
        <v>92</v>
      </c>
      <c r="B94" s="2" t="s">
        <v>51</v>
      </c>
      <c r="C94" s="25" t="str">
        <f>HYPERLINK(AB2 &amp; "/bolt/sn_fd202e5cf5cf6dfe7533fae337723aaf/rendering/00.obj", "4.78563781738")</f>
        <v>4.78563781738</v>
      </c>
      <c r="D94" s="48" t="str">
        <f>HYPERLINK(AB2 &amp; "/bolt/sn_fd202e5cf5cf6dfe7533fae337723aaf/rendering/01.obj", "4.8427243042")</f>
        <v>4.8427243042</v>
      </c>
      <c r="E94" s="25" t="str">
        <f>HYPERLINK(AB2 &amp; "/bolt/sn_fd202e5cf5cf6dfe7533fae337723aaf/rendering/02.obj", "4.67528991699")</f>
        <v>4.67528991699</v>
      </c>
      <c r="F94" s="17" t="str">
        <f>HYPERLINK(AB2 &amp; "/bolt/sn_fd202e5cf5cf6dfe7533fae337723aaf/rendering/03.obj", "4.64286010742")</f>
        <v>4.64286010742</v>
      </c>
      <c r="G94" s="46" t="str">
        <f>HYPERLINK(AB2 &amp; "/bolt/sn_fd202e5cf5cf6dfe7533fae337723aaf/rendering/04.obj", "4.8079675293")</f>
        <v>4.8079675293</v>
      </c>
      <c r="H94" s="13" t="str">
        <f>HYPERLINK(AB2 &amp; "/bolt/sn_fd202e5cf5cf6dfe7533fae337723aaf/rendering/05.obj", "4.72757232666")</f>
        <v>4.72757232666</v>
      </c>
      <c r="I94" s="25" t="str">
        <f>HYPERLINK(AB2 &amp; "/bolt/sn_fd202e5cf5cf6dfe7533fae337723aaf/rendering/06.obj", "4.68688232422")</f>
        <v>4.68688232422</v>
      </c>
      <c r="J94" s="48" t="str">
        <f>HYPERLINK(AB2 &amp; "/bolt/sn_fd202e5cf5cf6dfe7533fae337723aaf/rendering/07.obj", "4.61721557617")</f>
        <v>4.61721557617</v>
      </c>
      <c r="K94" s="30" t="str">
        <f>HYPERLINK(AB2 &amp; "/bolt/sn_fd202e5cf5cf6dfe7533fae337723aaf/rendering/08.obj", "4.71028198242")</f>
        <v>4.71028198242</v>
      </c>
      <c r="L94" s="74" t="str">
        <f>HYPERLINK(AB2 &amp; "/bolt/sn_fd202e5cf5cf6dfe7533fae337723aaf/rendering/09.obj", "4.6678137207")</f>
        <v>4.6678137207</v>
      </c>
      <c r="M94" s="30" t="str">
        <f>HYPERLINK(AB2 &amp; "/bolt/sn_fd202e5cf5cf6dfe7533fae337723aaf/rendering/10.obj", "4.70716918945")</f>
        <v>4.70716918945</v>
      </c>
      <c r="N94" s="74" t="str">
        <f>HYPERLINK(AB2 &amp; "/bolt/sn_fd202e5cf5cf6dfe7533fae337723aaf/rendering/11.obj", "4.66971862793")</f>
        <v>4.66971862793</v>
      </c>
      <c r="O94" s="25" t="str">
        <f>HYPERLINK(AB2 &amp; "/bolt/sn_fd202e5cf5cf6dfe7533fae337723aaf/rendering/12.obj", "4.6772833252")</f>
        <v>4.6772833252</v>
      </c>
      <c r="P94" s="74" t="str">
        <f>HYPERLINK(AB2 &amp; "/bolt/sn_fd202e5cf5cf6dfe7533fae337723aaf/rendering/13.obj", "4.65886657715")</f>
        <v>4.65886657715</v>
      </c>
      <c r="Q94" s="6" t="str">
        <f>HYPERLINK(AB2 &amp; "/bolt/sn_fd202e5cf5cf6dfe7533fae337723aaf/rendering/14.obj", "4.94193786621")</f>
        <v>4.94193786621</v>
      </c>
      <c r="R94" s="30" t="str">
        <f>HYPERLINK(AB2 &amp; "/bolt/sn_fd202e5cf5cf6dfe7533fae337723aaf/rendering/15.obj", "4.70976745605")</f>
        <v>4.70976745605</v>
      </c>
      <c r="S94" s="13" t="str">
        <f>HYPERLINK(AB2 &amp; "/bolt/sn_fd202e5cf5cf6dfe7533fae337723aaf/rendering/16.obj", "4.72179138184")</f>
        <v>4.72179138184</v>
      </c>
      <c r="T94" s="25" t="str">
        <f>HYPERLINK(AB2 &amp; "/bolt/sn_fd202e5cf5cf6dfe7533fae337723aaf/rendering/17.obj", "4.79062835693")</f>
        <v>4.79062835693</v>
      </c>
      <c r="U94" s="30" t="str">
        <f>HYPERLINK(AB2 &amp; "/bolt/sn_fd202e5cf5cf6dfe7533fae337723aaf/rendering/18.obj", "4.76069610596")</f>
        <v>4.76069610596</v>
      </c>
      <c r="V94" s="91" t="str">
        <f>HYPERLINK(AB2 &amp; "/bolt/sn_fd202e5cf5cf6dfe7533fae337723aaf/rendering/19.obj", "4.85149993896")</f>
        <v>4.85149993896</v>
      </c>
      <c r="W94" s="12" t="s">
        <v>31</v>
      </c>
      <c r="X94" s="13">
        <v>4.7326802215576178</v>
      </c>
      <c r="Y94" s="13">
        <v>7.9979441826523626E-2</v>
      </c>
      <c r="Z94" s="46">
        <v>1.689939697641368E-2</v>
      </c>
    </row>
    <row r="95" spans="1:26" x14ac:dyDescent="0.2">
      <c r="A95" s="1">
        <v>93</v>
      </c>
      <c r="B95" s="2" t="s">
        <v>51</v>
      </c>
      <c r="C95" s="47" t="str">
        <f>HYPERLINK(AB2 &amp; "/bolt/sn_fd202e5cf5cf6dfe7533fae337723aaf/rendering/00.obj", "2.55235624313")</f>
        <v>2.55235624313</v>
      </c>
      <c r="D95" s="69" t="str">
        <f>HYPERLINK(AB2 &amp; "/bolt/sn_fd202e5cf5cf6dfe7533fae337723aaf/rendering/01.obj", "2.45743918419")</f>
        <v>2.45743918419</v>
      </c>
      <c r="E95" s="47" t="str">
        <f>HYPERLINK(AB2 &amp; "/bolt/sn_fd202e5cf5cf6dfe7533fae337723aaf/rendering/02.obj", "2.51937747002")</f>
        <v>2.51937747002</v>
      </c>
      <c r="F95" s="91" t="str">
        <f>HYPERLINK(AB2 &amp; "/bolt/sn_fd202e5cf5cf6dfe7533fae337723aaf/rendering/03.obj", "2.47256827354")</f>
        <v>2.47256827354</v>
      </c>
      <c r="G95" s="47" t="str">
        <f>HYPERLINK(AB2 &amp; "/bolt/sn_fd202e5cf5cf6dfe7533fae337723aaf/rendering/04.obj", "2.55625128746")</f>
        <v>2.55625128746</v>
      </c>
      <c r="H95" s="13" t="str">
        <f>HYPERLINK(AB2 &amp; "/bolt/sn_fd202e5cf5cf6dfe7533fae337723aaf/rendering/05.obj", "2.53413939476")</f>
        <v>2.53413939476</v>
      </c>
      <c r="I95" s="27" t="str">
        <f>HYPERLINK(AB2 &amp; "/bolt/sn_fd202e5cf5cf6dfe7533fae337723aaf/rendering/06.obj", "2.71473407745")</f>
        <v>2.71473407745</v>
      </c>
      <c r="J95" s="68" t="str">
        <f>HYPERLINK(AB2 &amp; "/bolt/sn_fd202e5cf5cf6dfe7533fae337723aaf/rendering/07.obj", "2.4297888279")</f>
        <v>2.4297888279</v>
      </c>
      <c r="K95" s="17" t="str">
        <f>HYPERLINK(AB2 &amp; "/bolt/sn_fd202e5cf5cf6dfe7533fae337723aaf/rendering/08.obj", "2.48398351669")</f>
        <v>2.48398351669</v>
      </c>
      <c r="L95" s="6" t="str">
        <f>HYPERLINK(AB2 &amp; "/bolt/sn_fd202e5cf5cf6dfe7533fae337723aaf/rendering/09.obj", "2.42028236389")</f>
        <v>2.42028236389</v>
      </c>
      <c r="M95" s="48" t="str">
        <f>HYPERLINK(AB2 &amp; "/bolt/sn_fd202e5cf5cf6dfe7533fae337723aaf/rendering/10.obj", "2.59265351295")</f>
        <v>2.59265351295</v>
      </c>
      <c r="N95" s="68" t="str">
        <f>HYPERLINK(AB2 &amp; "/bolt/sn_fd202e5cf5cf6dfe7533fae337723aaf/rendering/11.obj", "2.43245172501")</f>
        <v>2.43245172501</v>
      </c>
      <c r="O95" s="74" t="str">
        <f>HYPERLINK(AB2 &amp; "/bolt/sn_fd202e5cf5cf6dfe7533fae337723aaf/rendering/12.obj", "2.50175619125")</f>
        <v>2.50175619125</v>
      </c>
      <c r="P95" s="41" t="str">
        <f>HYPERLINK(AB2 &amp; "/bolt/sn_fd202e5cf5cf6dfe7533fae337723aaf/rendering/13.obj", "2.70408558846")</f>
        <v>2.70408558846</v>
      </c>
      <c r="Q95" s="23" t="str">
        <f>HYPERLINK(AB2 &amp; "/bolt/sn_fd202e5cf5cf6dfe7533fae337723aaf/rendering/14.obj", "2.63494801521")</f>
        <v>2.63494801521</v>
      </c>
      <c r="R95" s="47" t="str">
        <f>HYPERLINK(AB2 &amp; "/bolt/sn_fd202e5cf5cf6dfe7533fae337723aaf/rendering/15.obj", "2.51715564728")</f>
        <v>2.51715564728</v>
      </c>
      <c r="S95" s="91" t="str">
        <f>HYPERLINK(AB2 &amp; "/bolt/sn_fd202e5cf5cf6dfe7533fae337723aaf/rendering/16.obj", "2.46867728233")</f>
        <v>2.46867728233</v>
      </c>
      <c r="T95" s="13" t="str">
        <f>HYPERLINK(AB2 &amp; "/bolt/sn_fd202e5cf5cf6dfe7533fae337723aaf/rendering/17.obj", "2.53604006767")</f>
        <v>2.53604006767</v>
      </c>
      <c r="U95" s="25" t="str">
        <f>HYPERLINK(AB2 &amp; "/bolt/sn_fd202e5cf5cf6dfe7533fae337723aaf/rendering/18.obj", "2.51002645493")</f>
        <v>2.51002645493</v>
      </c>
      <c r="V95" s="35" t="str">
        <f>HYPERLINK(AB2 &amp; "/bolt/sn_fd202e5cf5cf6dfe7533fae337723aaf/rendering/19.obj", "2.68697810173")</f>
        <v>2.68697810173</v>
      </c>
      <c r="W95" s="12" t="s">
        <v>32</v>
      </c>
      <c r="X95" s="13">
        <v>2.5362846612930299</v>
      </c>
      <c r="Y95" s="13">
        <v>8.7171840892481894E-2</v>
      </c>
      <c r="Z95" s="72">
        <v>3.4369896338071373E-2</v>
      </c>
    </row>
    <row r="96" spans="1:26" x14ac:dyDescent="0.2">
      <c r="A96" s="1">
        <v>94</v>
      </c>
      <c r="B96" s="2" t="s">
        <v>51</v>
      </c>
      <c r="C96" s="13" t="str">
        <f>HYPERLINK(AC2 &amp; "/bolt/sn_fd202e5cf5cf6dfe7533fae337723aaf/rendering/00.xyz", "0.0")</f>
        <v>0.0</v>
      </c>
      <c r="D96" s="13" t="str">
        <f>HYPERLINK(AC2 &amp; "/bolt/sn_fd202e5cf5cf6dfe7533fae337723aaf/rendering/01.xyz", "0.0")</f>
        <v>0.0</v>
      </c>
      <c r="E96" s="13" t="str">
        <f>HYPERLINK(AC2 &amp; "/bolt/sn_fd202e5cf5cf6dfe7533fae337723aaf/rendering/02.xyz", "0.0")</f>
        <v>0.0</v>
      </c>
      <c r="F96" s="13" t="str">
        <f>HYPERLINK(AC2 &amp; "/bolt/sn_fd202e5cf5cf6dfe7533fae337723aaf/rendering/03.xyz", "0.0")</f>
        <v>0.0</v>
      </c>
      <c r="G96" s="13" t="str">
        <f>HYPERLINK(AC2 &amp; "/bolt/sn_fd202e5cf5cf6dfe7533fae337723aaf/rendering/04.xyz", "0.0")</f>
        <v>0.0</v>
      </c>
      <c r="H96" s="13" t="str">
        <f>HYPERLINK(AC2 &amp; "/bolt/sn_fd202e5cf5cf6dfe7533fae337723aaf/rendering/05.xyz", "0.0")</f>
        <v>0.0</v>
      </c>
      <c r="I96" s="13" t="str">
        <f>HYPERLINK(AC2 &amp; "/bolt/sn_fd202e5cf5cf6dfe7533fae337723aaf/rendering/06.xyz", "0.0")</f>
        <v>0.0</v>
      </c>
      <c r="J96" s="13" t="str">
        <f>HYPERLINK(AC2 &amp; "/bolt/sn_fd202e5cf5cf6dfe7533fae337723aaf/rendering/07.xyz", "0.0")</f>
        <v>0.0</v>
      </c>
      <c r="K96" s="13" t="str">
        <f>HYPERLINK(AC2 &amp; "/bolt/sn_fd202e5cf5cf6dfe7533fae337723aaf/rendering/08.xyz", "0.0")</f>
        <v>0.0</v>
      </c>
      <c r="L96" s="13" t="str">
        <f>HYPERLINK(AC2 &amp; "/bolt/sn_fd202e5cf5cf6dfe7533fae337723aaf/rendering/09.xyz", "0.0")</f>
        <v>0.0</v>
      </c>
      <c r="M96" s="13" t="str">
        <f>HYPERLINK(AC2 &amp; "/bolt/sn_fd202e5cf5cf6dfe7533fae337723aaf/rendering/10.xyz", "0.0")</f>
        <v>0.0</v>
      </c>
      <c r="N96" s="13" t="str">
        <f>HYPERLINK(AC2 &amp; "/bolt/sn_fd202e5cf5cf6dfe7533fae337723aaf/rendering/11.xyz", "0.0")</f>
        <v>0.0</v>
      </c>
      <c r="O96" s="13" t="str">
        <f>HYPERLINK(AC2 &amp; "/bolt/sn_fd202e5cf5cf6dfe7533fae337723aaf/rendering/12.xyz", "0.0")</f>
        <v>0.0</v>
      </c>
      <c r="P96" s="13" t="str">
        <f>HYPERLINK(AC2 &amp; "/bolt/sn_fd202e5cf5cf6dfe7533fae337723aaf/rendering/13.xyz", "0.0")</f>
        <v>0.0</v>
      </c>
      <c r="Q96" s="13" t="str">
        <f>HYPERLINK(AC2 &amp; "/bolt/sn_fd202e5cf5cf6dfe7533fae337723aaf/rendering/14.xyz", "0.0")</f>
        <v>0.0</v>
      </c>
      <c r="R96" s="13" t="str">
        <f>HYPERLINK(AC2 &amp; "/bolt/sn_fd202e5cf5cf6dfe7533fae337723aaf/rendering/15.xyz", "0.0")</f>
        <v>0.0</v>
      </c>
      <c r="S96" s="13" t="str">
        <f>HYPERLINK(AC2 &amp; "/bolt/sn_fd202e5cf5cf6dfe7533fae337723aaf/rendering/16.xyz", "0.0")</f>
        <v>0.0</v>
      </c>
      <c r="T96" s="13" t="str">
        <f>HYPERLINK(AC2 &amp; "/bolt/sn_fd202e5cf5cf6dfe7533fae337723aaf/rendering/17.xyz", "0.0")</f>
        <v>0.0</v>
      </c>
      <c r="U96" s="13" t="str">
        <f>HYPERLINK(AC2 &amp; "/bolt/sn_fd202e5cf5cf6dfe7533fae337723aaf/rendering/18.xyz", "0.0")</f>
        <v>0.0</v>
      </c>
      <c r="V96" s="13" t="str">
        <f>HYPERLINK(AC2 &amp; "/bolt/sn_fd202e5cf5cf6dfe7533fae337723aaf/rendering/19.xyz", "0.0")</f>
        <v>0.0</v>
      </c>
      <c r="W96" s="12" t="s">
        <v>33</v>
      </c>
      <c r="X96" s="13">
        <v>0</v>
      </c>
      <c r="Y96" s="13">
        <v>0</v>
      </c>
      <c r="Z96" s="13">
        <v>0</v>
      </c>
    </row>
    <row r="97" spans="1:26" x14ac:dyDescent="0.2">
      <c r="A97" s="1">
        <v>95</v>
      </c>
      <c r="B97" s="2" t="s">
        <v>52</v>
      </c>
      <c r="C97" s="66" t="str">
        <f>HYPERLINK(AA2 &amp; "/bolt/sn_fd271f83ec45affa19288150cd830791/rendering/00.obj", "4.66308166504")</f>
        <v>4.66308166504</v>
      </c>
      <c r="D97" s="175" t="str">
        <f>HYPERLINK(AA2 &amp; "/bolt/sn_fd271f83ec45affa19288150cd830791/rendering/01.obj", "6.85995422363")</f>
        <v>6.85995422363</v>
      </c>
      <c r="E97" s="90" t="str">
        <f>HYPERLINK(AA2 &amp; "/bolt/sn_fd271f83ec45affa19288150cd830791/rendering/02.obj", "5.03101226807")</f>
        <v>5.03101226807</v>
      </c>
      <c r="F97" s="175" t="str">
        <f>HYPERLINK(AA2 &amp; "/bolt/sn_fd271f83ec45affa19288150cd830791/rendering/03.obj", "4.26333007812")</f>
        <v>4.26333007812</v>
      </c>
      <c r="G97" s="93" t="str">
        <f>HYPERLINK(AA2 &amp; "/bolt/sn_fd271f83ec45affa19288150cd830791/rendering/04.obj", "4.78099822998")</f>
        <v>4.78099822998</v>
      </c>
      <c r="H97" s="42" t="str">
        <f>HYPERLINK(AA2 &amp; "/bolt/sn_fd271f83ec45affa19288150cd830791/rendering/05.obj", "4.79893981934")</f>
        <v>4.79893981934</v>
      </c>
      <c r="I97" s="75" t="str">
        <f>HYPERLINK(AA2 &amp; "/bolt/sn_fd271f83ec45affa19288150cd830791/rendering/06.obj", "4.33900695801")</f>
        <v>4.33900695801</v>
      </c>
      <c r="J97" s="183" t="str">
        <f>HYPERLINK(AA2 &amp; "/bolt/sn_fd271f83ec45affa19288150cd830791/rendering/07.obj", "9.735234375")</f>
        <v>9.735234375</v>
      </c>
      <c r="K97" s="8" t="str">
        <f>HYPERLINK(AA2 &amp; "/bolt/sn_fd271f83ec45affa19288150cd830791/rendering/08.obj", "4.7620223999")</f>
        <v>4.7620223999</v>
      </c>
      <c r="L97" s="84" t="str">
        <f>HYPERLINK(AA2 &amp; "/bolt/sn_fd271f83ec45affa19288150cd830791/rendering/09.obj", "4.75815185547")</f>
        <v>4.75815185547</v>
      </c>
      <c r="M97" s="63" t="str">
        <f>HYPERLINK(AA2 &amp; "/bolt/sn_fd271f83ec45affa19288150cd830791/rendering/10.obj", "4.89629150391")</f>
        <v>4.89629150391</v>
      </c>
      <c r="N97" s="93" t="str">
        <f>HYPERLINK(AA2 &amp; "/bolt/sn_fd271f83ec45affa19288150cd830791/rendering/11.obj", "4.7878302002")</f>
        <v>4.7878302002</v>
      </c>
      <c r="O97" s="106" t="str">
        <f>HYPERLINK(AA2 &amp; "/bolt/sn_fd271f83ec45affa19288150cd830791/rendering/12.obj", "4.92619110107")</f>
        <v>4.92619110107</v>
      </c>
      <c r="P97" s="56" t="str">
        <f>HYPERLINK(AA2 &amp; "/bolt/sn_fd271f83ec45affa19288150cd830791/rendering/13.obj", "7.27382324219")</f>
        <v>7.27382324219</v>
      </c>
      <c r="Q97" s="29" t="str">
        <f>HYPERLINK(AA2 &amp; "/bolt/sn_fd271f83ec45affa19288150cd830791/rendering/14.obj", "6.29466674805")</f>
        <v>6.29466674805</v>
      </c>
      <c r="R97" s="110" t="str">
        <f>HYPERLINK(AA2 &amp; "/bolt/sn_fd271f83ec45affa19288150cd830791/rendering/15.obj", "5.00503540039")</f>
        <v>5.00503540039</v>
      </c>
      <c r="S97" s="62" t="str">
        <f>HYPERLINK(AA2 &amp; "/bolt/sn_fd271f83ec45affa19288150cd830791/rendering/16.obj", "8.88918823242")</f>
        <v>8.88918823242</v>
      </c>
      <c r="T97" s="28" t="str">
        <f>HYPERLINK(AA2 &amp; "/bolt/sn_fd271f83ec45affa19288150cd830791/rendering/17.obj", "4.937940979")</f>
        <v>4.937940979</v>
      </c>
      <c r="U97" s="8" t="str">
        <f>HYPERLINK(AA2 &amp; "/bolt/sn_fd271f83ec45affa19288150cd830791/rendering/18.obj", "4.7654284668")</f>
        <v>4.7654284668</v>
      </c>
      <c r="V97" s="25" t="str">
        <f>HYPERLINK(AA2 &amp; "/bolt/sn_fd271f83ec45affa19288150cd830791/rendering/19.obj", "5.49869750977")</f>
        <v>5.49869750977</v>
      </c>
      <c r="W97" s="12" t="s">
        <v>29</v>
      </c>
      <c r="X97" s="13">
        <v>5.5633412628173833</v>
      </c>
      <c r="Y97" s="13">
        <v>1.4692417401069671</v>
      </c>
      <c r="Z97" s="119">
        <v>0.26409340550914079</v>
      </c>
    </row>
    <row r="98" spans="1:26" x14ac:dyDescent="0.2">
      <c r="A98" s="1">
        <v>96</v>
      </c>
      <c r="B98" s="2" t="s">
        <v>52</v>
      </c>
      <c r="C98" s="145" t="str">
        <f>HYPERLINK(AA2 &amp; "/bolt/sn_fd271f83ec45affa19288150cd830791/rendering/00.obj", "2.19559383392")</f>
        <v>2.19559383392</v>
      </c>
      <c r="D98" s="86" t="str">
        <f>HYPERLINK(AA2 &amp; "/bolt/sn_fd271f83ec45affa19288150cd830791/rendering/01.obj", "5.47944307327")</f>
        <v>5.47944307327</v>
      </c>
      <c r="E98" s="67" t="str">
        <f>HYPERLINK(AA2 &amp; "/bolt/sn_fd271f83ec45affa19288150cd830791/rendering/02.obj", "3.91866755486")</f>
        <v>3.91866755486</v>
      </c>
      <c r="F98" s="153" t="str">
        <f>HYPERLINK(AA2 &amp; "/bolt/sn_fd271f83ec45affa19288150cd830791/rendering/03.obj", "2.7839653492")</f>
        <v>2.7839653492</v>
      </c>
      <c r="G98" s="156" t="str">
        <f>HYPERLINK(AA2 &amp; "/bolt/sn_fd271f83ec45affa19288150cd830791/rendering/04.obj", "2.38396906853")</f>
        <v>2.38396906853</v>
      </c>
      <c r="H98" s="111" t="str">
        <f>HYPERLINK(AA2 &amp; "/bolt/sn_fd271f83ec45affa19288150cd830791/rendering/05.obj", "2.49649500847")</f>
        <v>2.49649500847</v>
      </c>
      <c r="I98" s="102" t="str">
        <f>HYPERLINK(AA2 &amp; "/bolt/sn_fd271f83ec45affa19288150cd830791/rendering/06.obj", "2.16939401627")</f>
        <v>2.16939401627</v>
      </c>
      <c r="J98" s="20" t="str">
        <f>HYPERLINK(AA2 &amp; "/bolt/sn_fd271f83ec45affa19288150cd830791/rendering/07.obj", "13.4601755142")</f>
        <v>13.4601755142</v>
      </c>
      <c r="K98" s="138" t="str">
        <f>HYPERLINK(AA2 &amp; "/bolt/sn_fd271f83ec45affa19288150cd830791/rendering/08.obj", "2.86165976524")</f>
        <v>2.86165976524</v>
      </c>
      <c r="L98" s="153" t="str">
        <f>HYPERLINK(AA2 &amp; "/bolt/sn_fd271f83ec45affa19288150cd830791/rendering/09.obj", "2.78943109512")</f>
        <v>2.78943109512</v>
      </c>
      <c r="M98" s="176" t="str">
        <f>HYPERLINK(AA2 &amp; "/bolt/sn_fd271f83ec45affa19288150cd830791/rendering/10.obj", "2.95036292076")</f>
        <v>2.95036292076</v>
      </c>
      <c r="N98" s="142" t="str">
        <f>HYPERLINK(AA2 &amp; "/bolt/sn_fd271f83ec45affa19288150cd830791/rendering/11.obj", "2.62742948532")</f>
        <v>2.62742948532</v>
      </c>
      <c r="O98" s="7" t="str">
        <f>HYPERLINK(AA2 &amp; "/bolt/sn_fd271f83ec45affa19288150cd830791/rendering/12.obj", "3.12174844742")</f>
        <v>3.12174844742</v>
      </c>
      <c r="P98" s="84" t="str">
        <f>HYPERLINK(AA2 &amp; "/bolt/sn_fd271f83ec45affa19288150cd830791/rendering/13.obj", "4.96108293533")</f>
        <v>4.96108293533</v>
      </c>
      <c r="Q98" s="23" t="str">
        <f>HYPERLINK(AA2 &amp; "/bolt/sn_fd271f83ec45affa19288150cd830791/rendering/14.obj", "4.49691915512")</f>
        <v>4.49691915512</v>
      </c>
      <c r="R98" s="31" t="str">
        <f>HYPERLINK(AA2 &amp; "/bolt/sn_fd271f83ec45affa19288150cd830791/rendering/15.obj", "3.64648723602")</f>
        <v>3.64648723602</v>
      </c>
      <c r="S98" s="20" t="str">
        <f>HYPERLINK(AA2 &amp; "/bolt/sn_fd271f83ec45affa19288150cd830791/rendering/16.obj", "13.4653482437")</f>
        <v>13.4653482437</v>
      </c>
      <c r="T98" s="23" t="str">
        <f>HYPERLINK(AA2 &amp; "/bolt/sn_fd271f83ec45affa19288150cd830791/rendering/17.obj", "4.49513721466")</f>
        <v>4.49513721466</v>
      </c>
      <c r="U98" s="118" t="str">
        <f>HYPERLINK(AA2 &amp; "/bolt/sn_fd271f83ec45affa19288150cd830791/rendering/18.obj", "3.05349802971")</f>
        <v>3.05349802971</v>
      </c>
      <c r="V98" s="95" t="str">
        <f>HYPERLINK(AA2 &amp; "/bolt/sn_fd271f83ec45affa19288150cd830791/rendering/19.obj", "3.11554455757")</f>
        <v>3.11554455757</v>
      </c>
      <c r="W98" s="12" t="s">
        <v>30</v>
      </c>
      <c r="X98" s="13">
        <v>4.3236176252365111</v>
      </c>
      <c r="Y98" s="13">
        <v>3.1771334463102789</v>
      </c>
      <c r="Z98" s="184">
        <v>0.73483219879706252</v>
      </c>
    </row>
    <row r="99" spans="1:26" x14ac:dyDescent="0.2">
      <c r="A99" s="1">
        <v>97</v>
      </c>
      <c r="B99" s="2" t="s">
        <v>52</v>
      </c>
      <c r="C99" s="41" t="str">
        <f>HYPERLINK(AB2 &amp; "/bolt/sn_fd271f83ec45affa19288150cd830791/rendering/00.obj", "3.91405029297")</f>
        <v>3.91405029297</v>
      </c>
      <c r="D99" s="117" t="str">
        <f>HYPERLINK(AB2 &amp; "/bolt/sn_fd271f83ec45affa19288150cd830791/rendering/01.obj", "3.46414764404")</f>
        <v>3.46414764404</v>
      </c>
      <c r="E99" s="27" t="str">
        <f>HYPERLINK(AB2 &amp; "/bolt/sn_fd271f83ec45affa19288150cd830791/rendering/02.obj", "4.50081604004")</f>
        <v>4.50081604004</v>
      </c>
      <c r="F99" s="78" t="str">
        <f>HYPERLINK(AB2 &amp; "/bolt/sn_fd271f83ec45affa19288150cd830791/rendering/03.obj", "4.4596270752")</f>
        <v>4.4596270752</v>
      </c>
      <c r="G99" s="5" t="str">
        <f>HYPERLINK(AB2 &amp; "/bolt/sn_fd271f83ec45affa19288150cd830791/rendering/04.obj", "4.52776367188")</f>
        <v>4.52776367188</v>
      </c>
      <c r="H99" s="41" t="str">
        <f>HYPERLINK(AB2 &amp; "/bolt/sn_fd271f83ec45affa19288150cd830791/rendering/05.obj", "3.92498962402")</f>
        <v>3.92498962402</v>
      </c>
      <c r="I99" s="51" t="str">
        <f>HYPERLINK(AB2 &amp; "/bolt/sn_fd271f83ec45affa19288150cd830791/rendering/06.obj", "4.5346484375")</f>
        <v>4.5346484375</v>
      </c>
      <c r="J99" s="78" t="str">
        <f>HYPERLINK(AB2 &amp; "/bolt/sn_fd271f83ec45affa19288150cd830791/rendering/07.obj", "4.45389892578")</f>
        <v>4.45389892578</v>
      </c>
      <c r="K99" s="41" t="str">
        <f>HYPERLINK(AB2 &amp; "/bolt/sn_fd271f83ec45affa19288150cd830791/rendering/08.obj", "4.49005859375")</f>
        <v>4.49005859375</v>
      </c>
      <c r="L99" s="39" t="str">
        <f>HYPERLINK(AB2 &amp; "/bolt/sn_fd271f83ec45affa19288150cd830791/rendering/09.obj", "3.83610473633")</f>
        <v>3.83610473633</v>
      </c>
      <c r="M99" s="17" t="str">
        <f>HYPERLINK(AB2 &amp; "/bolt/sn_fd271f83ec45affa19288150cd830791/rendering/10.obj", "4.28644561768")</f>
        <v>4.28644561768</v>
      </c>
      <c r="N99" s="23" t="str">
        <f>HYPERLINK(AB2 &amp; "/bolt/sn_fd271f83ec45affa19288150cd830791/rendering/11.obj", "4.0444909668")</f>
        <v>4.0444909668</v>
      </c>
      <c r="O99" s="94" t="str">
        <f>HYPERLINK(AB2 &amp; "/bolt/sn_fd271f83ec45affa19288150cd830791/rendering/12.obj", "4.51813537598")</f>
        <v>4.51813537598</v>
      </c>
      <c r="P99" s="10" t="str">
        <f>HYPERLINK(AB2 &amp; "/bolt/sn_fd271f83ec45affa19288150cd830791/rendering/13.obj", "4.4379598999")</f>
        <v>4.4379598999</v>
      </c>
      <c r="Q99" s="110" t="str">
        <f>HYPERLINK(AB2 &amp; "/bolt/sn_fd271f83ec45affa19288150cd830791/rendering/14.obj", "3.79317932129")</f>
        <v>3.79317932129</v>
      </c>
      <c r="R99" s="51" t="str">
        <f>HYPERLINK(AB2 &amp; "/bolt/sn_fd271f83ec45affa19288150cd830791/rendering/15.obj", "3.86609985352")</f>
        <v>3.86609985352</v>
      </c>
      <c r="S99" s="67" t="str">
        <f>HYPERLINK(AB2 &amp; "/bolt/sn_fd271f83ec45affa19288150cd830791/rendering/16.obj", "3.81375946045")</f>
        <v>3.81375946045</v>
      </c>
      <c r="T99" s="88" t="str">
        <f>HYPERLINK(AB2 &amp; "/bolt/sn_fd271f83ec45affa19288150cd830791/rendering/17.obj", "5.052371521")</f>
        <v>5.052371521</v>
      </c>
      <c r="U99" s="107" t="str">
        <f>HYPERLINK(AB2 &amp; "/bolt/sn_fd271f83ec45affa19288150cd830791/rendering/18.obj", "3.85113647461")</f>
        <v>3.85113647461</v>
      </c>
      <c r="V99" s="17" t="str">
        <f>HYPERLINK(AB2 &amp; "/bolt/sn_fd271f83ec45affa19288150cd830791/rendering/19.obj", "4.29153991699")</f>
        <v>4.29153991699</v>
      </c>
      <c r="W99" s="12" t="s">
        <v>31</v>
      </c>
      <c r="X99" s="13">
        <v>4.2030611724853513</v>
      </c>
      <c r="Y99" s="13">
        <v>0.37611901898131223</v>
      </c>
      <c r="Z99" s="38">
        <v>8.9486924778424223E-2</v>
      </c>
    </row>
    <row r="100" spans="1:26" x14ac:dyDescent="0.2">
      <c r="A100" s="1">
        <v>98</v>
      </c>
      <c r="B100" s="2" t="s">
        <v>52</v>
      </c>
      <c r="C100" s="31" t="str">
        <f>HYPERLINK(AB2 &amp; "/bolt/sn_fd271f83ec45affa19288150cd830791/rendering/00.obj", "1.82481348515")</f>
        <v>1.82481348515</v>
      </c>
      <c r="D100" s="110" t="str">
        <f>HYPERLINK(AB2 &amp; "/bolt/sn_fd271f83ec45affa19288150cd830791/rendering/01.obj", "1.95087242126")</f>
        <v>1.95087242126</v>
      </c>
      <c r="E100" s="63" t="str">
        <f>HYPERLINK(AB2 &amp; "/bolt/sn_fd271f83ec45affa19288150cd830791/rendering/02.obj", "1.90124297142")</f>
        <v>1.90124297142</v>
      </c>
      <c r="F100" s="27" t="str">
        <f>HYPERLINK(AB2 &amp; "/bolt/sn_fd271f83ec45affa19288150cd830791/rendering/03.obj", "2.01004624367")</f>
        <v>2.01004624367</v>
      </c>
      <c r="G100" s="60" t="str">
        <f>HYPERLINK(AB2 &amp; "/bolt/sn_fd271f83ec45affa19288150cd830791/rendering/04.obj", "2.27337098122")</f>
        <v>2.27337098122</v>
      </c>
      <c r="H100" s="71" t="str">
        <f>HYPERLINK(AB2 &amp; "/bolt/sn_fd271f83ec45affa19288150cd830791/rendering/05.obj", "1.90855538845")</f>
        <v>1.90855538845</v>
      </c>
      <c r="I100" s="93" t="str">
        <f>HYPERLINK(AB2 &amp; "/bolt/sn_fd271f83ec45affa19288150cd830791/rendering/06.obj", "2.46679234505")</f>
        <v>2.46679234505</v>
      </c>
      <c r="J100" s="110" t="str">
        <f>HYPERLINK(AB2 &amp; "/bolt/sn_fd271f83ec45affa19288150cd830791/rendering/07.obj", "2.37607598305")</f>
        <v>2.37607598305</v>
      </c>
      <c r="K100" s="83" t="str">
        <f>HYPERLINK(AB2 &amp; "/bolt/sn_fd271f83ec45affa19288150cd830791/rendering/08.obj", "1.83031868935")</f>
        <v>1.83031868935</v>
      </c>
      <c r="L100" s="28" t="str">
        <f>HYPERLINK(AB2 &amp; "/bolt/sn_fd271f83ec45affa19288150cd830791/rendering/09.obj", "1.92424702644")</f>
        <v>1.92424702644</v>
      </c>
      <c r="M100" s="27" t="str">
        <f>HYPERLINK(AB2 &amp; "/bolt/sn_fd271f83ec45affa19288150cd830791/rendering/10.obj", "2.31655597687")</f>
        <v>2.31655597687</v>
      </c>
      <c r="N100" s="64" t="str">
        <f>HYPERLINK(AB2 &amp; "/bolt/sn_fd271f83ec45affa19288150cd830791/rendering/11.obj", "1.80616116524")</f>
        <v>1.80616116524</v>
      </c>
      <c r="O100" s="92" t="str">
        <f>HYPERLINK(AB2 &amp; "/bolt/sn_fd271f83ec45affa19288150cd830791/rendering/12.obj", "1.89533925056")</f>
        <v>1.89533925056</v>
      </c>
      <c r="P100" s="75" t="str">
        <f>HYPERLINK(AB2 &amp; "/bolt/sn_fd271f83ec45affa19288150cd830791/rendering/13.obj", "2.64074897766")</f>
        <v>2.64074897766</v>
      </c>
      <c r="Q100" s="30" t="str">
        <f>HYPERLINK(AB2 &amp; "/bolt/sn_fd271f83ec45affa19288150cd830791/rendering/14.obj", "2.1522731781")</f>
        <v>2.1522731781</v>
      </c>
      <c r="R100" s="11" t="str">
        <f>HYPERLINK(AB2 &amp; "/bolt/sn_fd271f83ec45affa19288150cd830791/rendering/15.obj", "1.67866551876")</f>
        <v>1.67866551876</v>
      </c>
      <c r="S100" s="50" t="str">
        <f>HYPERLINK(AB2 &amp; "/bolt/sn_fd271f83ec45affa19288150cd830791/rendering/16.obj", "2.590321064")</f>
        <v>2.590321064</v>
      </c>
      <c r="T100" s="52" t="str">
        <f>HYPERLINK(AB2 &amp; "/bolt/sn_fd271f83ec45affa19288150cd830791/rendering/17.obj", "3.03107881546")</f>
        <v>3.03107881546</v>
      </c>
      <c r="U100" s="117" t="str">
        <f>HYPERLINK(AB2 &amp; "/bolt/sn_fd271f83ec45affa19288150cd830791/rendering/18.obj", "1.77919149399")</f>
        <v>1.77919149399</v>
      </c>
      <c r="V100" s="185" t="str">
        <f>HYPERLINK(AB2 &amp; "/bolt/sn_fd271f83ec45affa19288150cd830791/rendering/19.obj", "2.89722061157")</f>
        <v>2.89722061157</v>
      </c>
      <c r="W100" s="12" t="s">
        <v>32</v>
      </c>
      <c r="X100" s="13">
        <v>2.1626945793628689</v>
      </c>
      <c r="Y100" s="13">
        <v>0.38351143899561302</v>
      </c>
      <c r="Z100" s="117">
        <v>0.1773303741800637</v>
      </c>
    </row>
    <row r="101" spans="1:26" x14ac:dyDescent="0.2">
      <c r="A101" s="1">
        <v>99</v>
      </c>
      <c r="B101" s="2" t="s">
        <v>52</v>
      </c>
      <c r="C101" s="13" t="str">
        <f>HYPERLINK(AC2 &amp; "/bolt/sn_fd271f83ec45affa19288150cd830791/rendering/00.xyz", "0.0")</f>
        <v>0.0</v>
      </c>
      <c r="D101" s="13" t="str">
        <f>HYPERLINK(AC2 &amp; "/bolt/sn_fd271f83ec45affa19288150cd830791/rendering/01.xyz", "0.0")</f>
        <v>0.0</v>
      </c>
      <c r="E101" s="13" t="str">
        <f>HYPERLINK(AC2 &amp; "/bolt/sn_fd271f83ec45affa19288150cd830791/rendering/02.xyz", "0.0")</f>
        <v>0.0</v>
      </c>
      <c r="F101" s="13" t="str">
        <f>HYPERLINK(AC2 &amp; "/bolt/sn_fd271f83ec45affa19288150cd830791/rendering/03.xyz", "0.0")</f>
        <v>0.0</v>
      </c>
      <c r="G101" s="13" t="str">
        <f>HYPERLINK(AC2 &amp; "/bolt/sn_fd271f83ec45affa19288150cd830791/rendering/04.xyz", "0.0")</f>
        <v>0.0</v>
      </c>
      <c r="H101" s="13" t="str">
        <f>HYPERLINK(AC2 &amp; "/bolt/sn_fd271f83ec45affa19288150cd830791/rendering/05.xyz", "0.0")</f>
        <v>0.0</v>
      </c>
      <c r="I101" s="13" t="str">
        <f>HYPERLINK(AC2 &amp; "/bolt/sn_fd271f83ec45affa19288150cd830791/rendering/06.xyz", "0.0")</f>
        <v>0.0</v>
      </c>
      <c r="J101" s="13" t="str">
        <f>HYPERLINK(AC2 &amp; "/bolt/sn_fd271f83ec45affa19288150cd830791/rendering/07.xyz", "0.0")</f>
        <v>0.0</v>
      </c>
      <c r="K101" s="13" t="str">
        <f>HYPERLINK(AC2 &amp; "/bolt/sn_fd271f83ec45affa19288150cd830791/rendering/08.xyz", "0.0")</f>
        <v>0.0</v>
      </c>
      <c r="L101" s="13" t="str">
        <f>HYPERLINK(AC2 &amp; "/bolt/sn_fd271f83ec45affa19288150cd830791/rendering/09.xyz", "0.0")</f>
        <v>0.0</v>
      </c>
      <c r="M101" s="13" t="str">
        <f>HYPERLINK(AC2 &amp; "/bolt/sn_fd271f83ec45affa19288150cd830791/rendering/10.xyz", "0.0")</f>
        <v>0.0</v>
      </c>
      <c r="N101" s="13" t="str">
        <f>HYPERLINK(AC2 &amp; "/bolt/sn_fd271f83ec45affa19288150cd830791/rendering/11.xyz", "0.0")</f>
        <v>0.0</v>
      </c>
      <c r="O101" s="13" t="str">
        <f>HYPERLINK(AC2 &amp; "/bolt/sn_fd271f83ec45affa19288150cd830791/rendering/12.xyz", "0.0")</f>
        <v>0.0</v>
      </c>
      <c r="P101" s="13" t="str">
        <f>HYPERLINK(AC2 &amp; "/bolt/sn_fd271f83ec45affa19288150cd830791/rendering/13.xyz", "0.0")</f>
        <v>0.0</v>
      </c>
      <c r="Q101" s="13" t="str">
        <f>HYPERLINK(AC2 &amp; "/bolt/sn_fd271f83ec45affa19288150cd830791/rendering/14.xyz", "0.0")</f>
        <v>0.0</v>
      </c>
      <c r="R101" s="13" t="str">
        <f>HYPERLINK(AC2 &amp; "/bolt/sn_fd271f83ec45affa19288150cd830791/rendering/15.xyz", "0.0")</f>
        <v>0.0</v>
      </c>
      <c r="S101" s="13" t="str">
        <f>HYPERLINK(AC2 &amp; "/bolt/sn_fd271f83ec45affa19288150cd830791/rendering/16.xyz", "0.0")</f>
        <v>0.0</v>
      </c>
      <c r="T101" s="13" t="str">
        <f>HYPERLINK(AC2 &amp; "/bolt/sn_fd271f83ec45affa19288150cd830791/rendering/17.xyz", "0.0")</f>
        <v>0.0</v>
      </c>
      <c r="U101" s="13" t="str">
        <f>HYPERLINK(AC2 &amp; "/bolt/sn_fd271f83ec45affa19288150cd830791/rendering/18.xyz", "0.0")</f>
        <v>0.0</v>
      </c>
      <c r="V101" s="13" t="str">
        <f>HYPERLINK(AC2 &amp; "/bolt/sn_fd271f83ec45affa19288150cd830791/rendering/19.xyz", "0.0")</f>
        <v>0.0</v>
      </c>
      <c r="W101" s="12" t="s">
        <v>33</v>
      </c>
      <c r="X101" s="13">
        <v>0</v>
      </c>
      <c r="Y101" s="13">
        <v>0</v>
      </c>
      <c r="Z101" s="13">
        <v>0</v>
      </c>
    </row>
    <row r="102" spans="1:26" x14ac:dyDescent="0.2">
      <c r="A102" s="1">
        <v>100</v>
      </c>
      <c r="B102" s="2" t="s">
        <v>53</v>
      </c>
      <c r="C102" s="65" t="str">
        <f>HYPERLINK(AA2 &amp; "/bolt/sn_fe209382042d97b619288150cd830791/rendering/00.obj", "4.16034820557")</f>
        <v>4.16034820557</v>
      </c>
      <c r="D102" s="177" t="str">
        <f>HYPERLINK(AA2 &amp; "/bolt/sn_fe209382042d97b619288150cd830791/rendering/01.obj", "7.36265991211")</f>
        <v>7.36265991211</v>
      </c>
      <c r="E102" s="84" t="str">
        <f>HYPERLINK(AA2 &amp; "/bolt/sn_fe209382042d97b619288150cd830791/rendering/02.obj", "4.10171661377")</f>
        <v>4.10171661377</v>
      </c>
      <c r="F102" s="74" t="str">
        <f>HYPERLINK(AA2 &amp; "/bolt/sn_fe209382042d97b619288150cd830791/rendering/03.obj", "4.72888092041")</f>
        <v>4.72888092041</v>
      </c>
      <c r="G102" s="90" t="str">
        <f>HYPERLINK(AA2 &amp; "/bolt/sn_fe209382042d97b619288150cd830791/rendering/04.obj", "5.26506958008")</f>
        <v>5.26506958008</v>
      </c>
      <c r="H102" s="67" t="str">
        <f>HYPERLINK(AA2 &amp; "/bolt/sn_fe209382042d97b619288150cd830791/rendering/05.obj", "4.35194549561")</f>
        <v>4.35194549561</v>
      </c>
      <c r="I102" s="92" t="str">
        <f>HYPERLINK(AA2 &amp; "/bolt/sn_fe209382042d97b619288150cd830791/rendering/06.obj", "5.39641662598")</f>
        <v>5.39641662598</v>
      </c>
      <c r="J102" s="31" t="str">
        <f>HYPERLINK(AA2 &amp; "/bolt/sn_fe209382042d97b619288150cd830791/rendering/07.obj", "4.05286132813")</f>
        <v>4.05286132813</v>
      </c>
      <c r="K102" s="107" t="str">
        <f>HYPERLINK(AA2 &amp; "/bolt/sn_fe209382042d97b619288150cd830791/rendering/08.obj", "4.39314331055")</f>
        <v>4.39314331055</v>
      </c>
      <c r="L102" s="70" t="str">
        <f>HYPERLINK(AA2 &amp; "/bolt/sn_fe209382042d97b619288150cd830791/rendering/09.obj", "4.182940979")</f>
        <v>4.182940979</v>
      </c>
      <c r="M102" s="78" t="str">
        <f>HYPERLINK(AA2 &amp; "/bolt/sn_fe209382042d97b619288150cd830791/rendering/10.obj", "4.51294128418")</f>
        <v>4.51294128418</v>
      </c>
      <c r="N102" s="41" t="str">
        <f>HYPERLINK(AA2 &amp; "/bolt/sn_fe209382042d97b619288150cd830791/rendering/11.obj", "5.12210021973")</f>
        <v>5.12210021973</v>
      </c>
      <c r="O102" s="68" t="str">
        <f>HYPERLINK(AA2 &amp; "/bolt/sn_fe209382042d97b619288150cd830791/rendering/12.obj", "4.59558898926")</f>
        <v>4.59558898926</v>
      </c>
      <c r="P102" s="63" t="str">
        <f>HYPERLINK(AA2 &amp; "/bolt/sn_fe209382042d97b619288150cd830791/rendering/13.obj", "5.37254821777")</f>
        <v>5.37254821777</v>
      </c>
      <c r="Q102" s="72" t="str">
        <f>HYPERLINK(AA2 &amp; "/bolt/sn_fe209382042d97b619288150cd830791/rendering/14.obj", "4.63728393555")</f>
        <v>4.63728393555</v>
      </c>
      <c r="R102" s="106" t="str">
        <f>HYPERLINK(AA2 &amp; "/bolt/sn_fe209382042d97b619288150cd830791/rendering/15.obj", "4.24455688477")</f>
        <v>4.24455688477</v>
      </c>
      <c r="S102" s="51" t="str">
        <f>HYPERLINK(AA2 &amp; "/bolt/sn_fe209382042d97b619288150cd830791/rendering/16.obj", "4.41836669922")</f>
        <v>4.41836669922</v>
      </c>
      <c r="T102" s="94" t="str">
        <f>HYPERLINK(AA2 &amp; "/bolt/sn_fe209382042d97b619288150cd830791/rendering/17.obj", "4.44603149414")</f>
        <v>4.44603149414</v>
      </c>
      <c r="U102" s="138" t="str">
        <f>HYPERLINK(AA2 &amp; "/bolt/sn_fe209382042d97b619288150cd830791/rendering/18.obj", "6.41235839844")</f>
        <v>6.41235839844</v>
      </c>
      <c r="V102" s="63" t="str">
        <f>HYPERLINK(AA2 &amp; "/bolt/sn_fe209382042d97b619288150cd830791/rendering/19.obj", "4.22346435547")</f>
        <v>4.22346435547</v>
      </c>
      <c r="W102" s="12" t="s">
        <v>29</v>
      </c>
      <c r="X102" s="13">
        <v>4.7990611724853522</v>
      </c>
      <c r="Y102" s="13">
        <v>0.8197577920943836</v>
      </c>
      <c r="Z102" s="40">
        <v>0.17081628315019889</v>
      </c>
    </row>
    <row r="103" spans="1:26" x14ac:dyDescent="0.2">
      <c r="A103" s="1">
        <v>101</v>
      </c>
      <c r="B103" s="2" t="s">
        <v>53</v>
      </c>
      <c r="C103" s="121" t="str">
        <f>HYPERLINK(AA2 &amp; "/bolt/sn_fe209382042d97b619288150cd830791/rendering/00.obj", "1.34645545483")</f>
        <v>1.34645545483</v>
      </c>
      <c r="D103" s="20" t="str">
        <f>HYPERLINK(AA2 &amp; "/bolt/sn_fe209382042d97b619288150cd830791/rendering/01.obj", "6.65760278702")</f>
        <v>6.65760278702</v>
      </c>
      <c r="E103" s="97" t="str">
        <f>HYPERLINK(AA2 &amp; "/bolt/sn_fe209382042d97b619288150cd830791/rendering/02.obj", "1.17665743828")</f>
        <v>1.17665743828</v>
      </c>
      <c r="F103" s="64" t="str">
        <f>HYPERLINK(AA2 &amp; "/bolt/sn_fe209382042d97b619288150cd830791/rendering/03.obj", "1.73941040039")</f>
        <v>1.73941040039</v>
      </c>
      <c r="G103" s="159" t="str">
        <f>HYPERLINK(AA2 &amp; "/bolt/sn_fe209382042d97b619288150cd830791/rendering/04.obj", "3.06515049934")</f>
        <v>3.06515049934</v>
      </c>
      <c r="H103" s="163" t="str">
        <f>HYPERLINK(AA2 &amp; "/bolt/sn_fe209382042d97b619288150cd830791/rendering/05.obj", "1.16584014893")</f>
        <v>1.16584014893</v>
      </c>
      <c r="I103" s="186" t="str">
        <f>HYPERLINK(AA2 &amp; "/bolt/sn_fe209382042d97b619288150cd830791/rendering/06.obj", "3.33605623245")</f>
        <v>3.33605623245</v>
      </c>
      <c r="J103" s="159" t="str">
        <f>HYPERLINK(AA2 &amp; "/bolt/sn_fe209382042d97b619288150cd830791/rendering/07.obj", "1.10980343819")</f>
        <v>1.10980343819</v>
      </c>
      <c r="K103" s="121" t="str">
        <f>HYPERLINK(AA2 &amp; "/bolt/sn_fe209382042d97b619288150cd830791/rendering/08.obj", "1.34676146507")</f>
        <v>1.34676146507</v>
      </c>
      <c r="L103" s="156" t="str">
        <f>HYPERLINK(AA2 &amp; "/bolt/sn_fe209382042d97b619288150cd830791/rendering/09.obj", "1.1557186842")</f>
        <v>1.1557186842</v>
      </c>
      <c r="M103" s="76" t="str">
        <f>HYPERLINK(AA2 &amp; "/bolt/sn_fe209382042d97b619288150cd830791/rendering/10.obj", "1.70374166965")</f>
        <v>1.70374166965</v>
      </c>
      <c r="N103" s="94" t="str">
        <f>HYPERLINK(AA2 &amp; "/bolt/sn_fe209382042d97b619288150cd830791/rendering/11.obj", "2.24188256264")</f>
        <v>2.24188256264</v>
      </c>
      <c r="O103" s="153" t="str">
        <f>HYPERLINK(AA2 &amp; "/bolt/sn_fe209382042d97b619288150cd830791/rendering/12.obj", "1.34511625767")</f>
        <v>1.34511625767</v>
      </c>
      <c r="P103" s="84" t="str">
        <f>HYPERLINK(AA2 &amp; "/bolt/sn_fe209382042d97b619288150cd830791/rendering/13.obj", "2.38712215424")</f>
        <v>2.38712215424</v>
      </c>
      <c r="Q103" s="175" t="str">
        <f>HYPERLINK(AA2 &amp; "/bolt/sn_fe209382042d97b619288150cd830791/rendering/14.obj", "1.60061860085")</f>
        <v>1.60061860085</v>
      </c>
      <c r="R103" s="159" t="str">
        <f>HYPERLINK(AA2 &amp; "/bolt/sn_fe209382042d97b619288150cd830791/rendering/15.obj", "1.10431039333")</f>
        <v>1.10431039333</v>
      </c>
      <c r="S103" s="187" t="str">
        <f>HYPERLINK(AA2 &amp; "/bolt/sn_fe209382042d97b619288150cd830791/rendering/16.obj", "1.35359680653")</f>
        <v>1.35359680653</v>
      </c>
      <c r="T103" s="57" t="str">
        <f>HYPERLINK(AA2 &amp; "/bolt/sn_fe209382042d97b619288150cd830791/rendering/17.obj", "1.43096590042")</f>
        <v>1.43096590042</v>
      </c>
      <c r="U103" s="20" t="str">
        <f>HYPERLINK(AA2 &amp; "/bolt/sn_fe209382042d97b619288150cd830791/rendering/18.obj", "4.77144527435")</f>
        <v>4.77144527435</v>
      </c>
      <c r="V103" s="44" t="str">
        <f>HYPERLINK(AA2 &amp; "/bolt/sn_fe209382042d97b619288150cd830791/rendering/19.obj", "1.67764592171")</f>
        <v>1.67764592171</v>
      </c>
      <c r="W103" s="12" t="s">
        <v>30</v>
      </c>
      <c r="X103" s="13">
        <v>2.085795104503632</v>
      </c>
      <c r="Y103" s="13">
        <v>1.3870760582996311</v>
      </c>
      <c r="Z103" s="45">
        <v>0.6650106979849878</v>
      </c>
    </row>
    <row r="104" spans="1:26" x14ac:dyDescent="0.2">
      <c r="A104" s="1">
        <v>102</v>
      </c>
      <c r="B104" s="2" t="s">
        <v>53</v>
      </c>
      <c r="C104" s="48" t="str">
        <f>HYPERLINK(AB2 &amp; "/bolt/sn_fe209382042d97b619288150cd830791/rendering/00.obj", "3.67861053467")</f>
        <v>3.67861053467</v>
      </c>
      <c r="D104" s="46" t="str">
        <f>HYPERLINK(AB2 &amp; "/bolt/sn_fe209382042d97b619288150cd830791/rendering/01.obj", "3.82433837891")</f>
        <v>3.82433837891</v>
      </c>
      <c r="E104" s="26" t="str">
        <f>HYPERLINK(AB2 &amp; "/bolt/sn_fe209382042d97b619288150cd830791/rendering/02.obj", "4.0122543335")</f>
        <v>4.0122543335</v>
      </c>
      <c r="F104" s="72" t="str">
        <f>HYPERLINK(AB2 &amp; "/bolt/sn_fe209382042d97b619288150cd830791/rendering/03.obj", "3.63743164063")</f>
        <v>3.63743164063</v>
      </c>
      <c r="G104" s="107" t="str">
        <f>HYPERLINK(AB2 &amp; "/bolt/sn_fe209382042d97b619288150cd830791/rendering/04.obj", "3.45286102295")</f>
        <v>3.45286102295</v>
      </c>
      <c r="H104" s="30" t="str">
        <f>HYPERLINK(AB2 &amp; "/bolt/sn_fe209382042d97b619288150cd830791/rendering/05.obj", "3.78347625732")</f>
        <v>3.78347625732</v>
      </c>
      <c r="I104" s="25" t="str">
        <f>HYPERLINK(AB2 &amp; "/bolt/sn_fe209382042d97b619288150cd830791/rendering/06.obj", "3.72190734863")</f>
        <v>3.72190734863</v>
      </c>
      <c r="J104" s="77" t="str">
        <f>HYPERLINK(AB2 &amp; "/bolt/sn_fe209382042d97b619288150cd830791/rendering/07.obj", "4.47282073975")</f>
        <v>4.47282073975</v>
      </c>
      <c r="K104" s="48" t="str">
        <f>HYPERLINK(AB2 &amp; "/bolt/sn_fe209382042d97b619288150cd830791/rendering/08.obj", "3.6777255249")</f>
        <v>3.6777255249</v>
      </c>
      <c r="L104" s="34" t="str">
        <f>HYPERLINK(AB2 &amp; "/bolt/sn_fe209382042d97b619288150cd830791/rendering/09.obj", "3.57743347168")</f>
        <v>3.57743347168</v>
      </c>
      <c r="M104" s="51" t="str">
        <f>HYPERLINK(AB2 &amp; "/bolt/sn_fe209382042d97b619288150cd830791/rendering/10.obj", "3.46296051025")</f>
        <v>3.46296051025</v>
      </c>
      <c r="N104" s="39" t="str">
        <f>HYPERLINK(AB2 &amp; "/bolt/sn_fe209382042d97b619288150cd830791/rendering/11.obj", "3.44217834473")</f>
        <v>3.44217834473</v>
      </c>
      <c r="O104" s="27" t="str">
        <f>HYPERLINK(AB2 &amp; "/bolt/sn_fe209382042d97b619288150cd830791/rendering/12.obj", "3.49723327637")</f>
        <v>3.49723327637</v>
      </c>
      <c r="P104" s="73" t="str">
        <f>HYPERLINK(AB2 &amp; "/bolt/sn_fe209382042d97b619288150cd830791/rendering/13.obj", "3.90627624512")</f>
        <v>3.90627624512</v>
      </c>
      <c r="Q104" s="30" t="str">
        <f>HYPERLINK(AB2 &amp; "/bolt/sn_fe209382042d97b619288150cd830791/rendering/14.obj", "3.78093597412")</f>
        <v>3.78093597412</v>
      </c>
      <c r="R104" s="25" t="str">
        <f>HYPERLINK(AB2 &amp; "/bolt/sn_fe209382042d97b619288150cd830791/rendering/15.obj", "3.81141479492")</f>
        <v>3.81141479492</v>
      </c>
      <c r="S104" s="107" t="str">
        <f>HYPERLINK(AB2 &amp; "/bolt/sn_fe209382042d97b619288150cd830791/rendering/16.obj", "4.07589416504")</f>
        <v>4.07589416504</v>
      </c>
      <c r="T104" s="41" t="str">
        <f>HYPERLINK(AB2 &amp; "/bolt/sn_fe209382042d97b619288150cd830791/rendering/17.obj", "4.01549072266")</f>
        <v>4.01549072266</v>
      </c>
      <c r="U104" s="63" t="str">
        <f>HYPERLINK(AB2 &amp; "/bolt/sn_fe209382042d97b619288150cd830791/rendering/18.obj", "3.31006347656")</f>
        <v>3.31006347656</v>
      </c>
      <c r="V104" s="32" t="str">
        <f>HYPERLINK(AB2 &amp; "/bolt/sn_fe209382042d97b619288150cd830791/rendering/19.obj", "4.16365600586")</f>
        <v>4.16365600586</v>
      </c>
      <c r="W104" s="12" t="s">
        <v>31</v>
      </c>
      <c r="X104" s="13">
        <v>3.7652481384277352</v>
      </c>
      <c r="Y104" s="13">
        <v>0.27808553208362807</v>
      </c>
      <c r="Z104" s="94">
        <v>7.3855831504307967E-2</v>
      </c>
    </row>
    <row r="105" spans="1:26" x14ac:dyDescent="0.2">
      <c r="A105" s="1">
        <v>103</v>
      </c>
      <c r="B105" s="2" t="s">
        <v>53</v>
      </c>
      <c r="C105" s="78" t="str">
        <f>HYPERLINK(AB2 &amp; "/bolt/sn_fe209382042d97b619288150cd830791/rendering/00.obj", "1.30509841442")</f>
        <v>1.30509841442</v>
      </c>
      <c r="D105" s="77" t="str">
        <f>HYPERLINK(AB2 &amp; "/bolt/sn_fe209382042d97b619288150cd830791/rendering/01.obj", "1.45691359043")</f>
        <v>1.45691359043</v>
      </c>
      <c r="E105" s="51" t="str">
        <f>HYPERLINK(AB2 &amp; "/bolt/sn_fe209382042d97b619288150cd830791/rendering/02.obj", "1.13152825832")</f>
        <v>1.13152825832</v>
      </c>
      <c r="F105" s="71" t="str">
        <f>HYPERLINK(AB2 &amp; "/bolt/sn_fe209382042d97b619288150cd830791/rendering/03.obj", "1.37219762802")</f>
        <v>1.37219762802</v>
      </c>
      <c r="G105" s="69" t="str">
        <f>HYPERLINK(AB2 &amp; "/bolt/sn_fe209382042d97b619288150cd830791/rendering/04.obj", "1.19193375111")</f>
        <v>1.19193375111</v>
      </c>
      <c r="H105" s="133" t="str">
        <f>HYPERLINK(AB2 &amp; "/bolt/sn_fe209382042d97b619288150cd830791/rendering/05.obj", "1.35457909107")</f>
        <v>1.35457909107</v>
      </c>
      <c r="I105" s="83" t="str">
        <f>HYPERLINK(AB2 &amp; "/bolt/sn_fe209382042d97b619288150cd830791/rendering/06.obj", "1.03985750675")</f>
        <v>1.03985750675</v>
      </c>
      <c r="J105" s="84" t="str">
        <f>HYPERLINK(AB2 &amp; "/bolt/sn_fe209382042d97b619288150cd830791/rendering/07.obj", "1.40813302994")</f>
        <v>1.40813302994</v>
      </c>
      <c r="K105" s="8" t="str">
        <f>HYPERLINK(AB2 &amp; "/bolt/sn_fe209382042d97b619288150cd830791/rendering/08.obj", "1.05370438099")</f>
        <v>1.05370438099</v>
      </c>
      <c r="L105" s="83" t="str">
        <f>HYPERLINK(AB2 &amp; "/bolt/sn_fe209382042d97b619288150cd830791/rendering/09.obj", "1.04099786282")</f>
        <v>1.04099786282</v>
      </c>
      <c r="M105" s="69" t="str">
        <f>HYPERLINK(AB2 &amp; "/bolt/sn_fe209382042d97b619288150cd830791/rendering/10.obj", "1.19153499603")</f>
        <v>1.19153499603</v>
      </c>
      <c r="N105" s="33" t="str">
        <f>HYPERLINK(AB2 &amp; "/bolt/sn_fe209382042d97b619288150cd830791/rendering/11.obj", "1.09636974335")</f>
        <v>1.09636974335</v>
      </c>
      <c r="O105" s="133" t="str">
        <f>HYPERLINK(AB2 &amp; "/bolt/sn_fe209382042d97b619288150cd830791/rendering/12.obj", "1.1016368866")</f>
        <v>1.1016368866</v>
      </c>
      <c r="P105" s="65" t="str">
        <f>HYPERLINK(AB2 &amp; "/bolt/sn_fe209382042d97b619288150cd830791/rendering/13.obj", "1.39201498032")</f>
        <v>1.39201498032</v>
      </c>
      <c r="Q105" s="27" t="str">
        <f>HYPERLINK(AB2 &amp; "/bolt/sn_fe209382042d97b619288150cd830791/rendering/14.obj", "1.31507277489")</f>
        <v>1.31507277489</v>
      </c>
      <c r="R105" s="72" t="str">
        <f>HYPERLINK(AB2 &amp; "/bolt/sn_fe209382042d97b619288150cd830791/rendering/15.obj", "1.18832564354")</f>
        <v>1.18832564354</v>
      </c>
      <c r="S105" s="88" t="str">
        <f>HYPERLINK(AB2 &amp; "/bolt/sn_fe209382042d97b619288150cd830791/rendering/16.obj", "1.47880721092")</f>
        <v>1.47880721092</v>
      </c>
      <c r="T105" s="133" t="str">
        <f>HYPERLINK(AB2 &amp; "/bolt/sn_fe209382042d97b619288150cd830791/rendering/17.obj", "1.1015034914")</f>
        <v>1.1015034914</v>
      </c>
      <c r="U105" s="29" t="str">
        <f>HYPERLINK(AB2 &amp; "/bolt/sn_fe209382042d97b619288150cd830791/rendering/18.obj", "1.06823897362")</f>
        <v>1.06823897362</v>
      </c>
      <c r="V105" s="68" t="str">
        <f>HYPERLINK(AB2 &amp; "/bolt/sn_fe209382042d97b619288150cd830791/rendering/19.obj", "1.2810022831")</f>
        <v>1.2810022831</v>
      </c>
      <c r="W105" s="12" t="s">
        <v>32</v>
      </c>
      <c r="X105" s="13">
        <v>1.228472524881363</v>
      </c>
      <c r="Y105" s="13">
        <v>0.14437401753697371</v>
      </c>
      <c r="Z105" s="71">
        <v>0.1175231961747914</v>
      </c>
    </row>
    <row r="106" spans="1:26" x14ac:dyDescent="0.2">
      <c r="A106" s="1">
        <v>104</v>
      </c>
      <c r="B106" s="2" t="s">
        <v>53</v>
      </c>
      <c r="C106" s="13" t="str">
        <f>HYPERLINK(AC2 &amp; "/bolt/sn_fe209382042d97b619288150cd830791/rendering/00.xyz", "0.0")</f>
        <v>0.0</v>
      </c>
      <c r="D106" s="13" t="str">
        <f>HYPERLINK(AC2 &amp; "/bolt/sn_fe209382042d97b619288150cd830791/rendering/01.xyz", "0.0")</f>
        <v>0.0</v>
      </c>
      <c r="E106" s="13" t="str">
        <f>HYPERLINK(AC2 &amp; "/bolt/sn_fe209382042d97b619288150cd830791/rendering/02.xyz", "0.0")</f>
        <v>0.0</v>
      </c>
      <c r="F106" s="13" t="str">
        <f>HYPERLINK(AC2 &amp; "/bolt/sn_fe209382042d97b619288150cd830791/rendering/03.xyz", "0.0")</f>
        <v>0.0</v>
      </c>
      <c r="G106" s="13" t="str">
        <f>HYPERLINK(AC2 &amp; "/bolt/sn_fe209382042d97b619288150cd830791/rendering/04.xyz", "0.0")</f>
        <v>0.0</v>
      </c>
      <c r="H106" s="13" t="str">
        <f>HYPERLINK(AC2 &amp; "/bolt/sn_fe209382042d97b619288150cd830791/rendering/05.xyz", "0.0")</f>
        <v>0.0</v>
      </c>
      <c r="I106" s="13" t="str">
        <f>HYPERLINK(AC2 &amp; "/bolt/sn_fe209382042d97b619288150cd830791/rendering/06.xyz", "0.0")</f>
        <v>0.0</v>
      </c>
      <c r="J106" s="13" t="str">
        <f>HYPERLINK(AC2 &amp; "/bolt/sn_fe209382042d97b619288150cd830791/rendering/07.xyz", "0.0")</f>
        <v>0.0</v>
      </c>
      <c r="K106" s="13" t="str">
        <f>HYPERLINK(AC2 &amp; "/bolt/sn_fe209382042d97b619288150cd830791/rendering/08.xyz", "0.0")</f>
        <v>0.0</v>
      </c>
      <c r="L106" s="13" t="str">
        <f>HYPERLINK(AC2 &amp; "/bolt/sn_fe209382042d97b619288150cd830791/rendering/09.xyz", "0.0")</f>
        <v>0.0</v>
      </c>
      <c r="M106" s="13" t="str">
        <f>HYPERLINK(AC2 &amp; "/bolt/sn_fe209382042d97b619288150cd830791/rendering/10.xyz", "0.0")</f>
        <v>0.0</v>
      </c>
      <c r="N106" s="13" t="str">
        <f>HYPERLINK(AC2 &amp; "/bolt/sn_fe209382042d97b619288150cd830791/rendering/11.xyz", "0.0")</f>
        <v>0.0</v>
      </c>
      <c r="O106" s="13" t="str">
        <f>HYPERLINK(AC2 &amp; "/bolt/sn_fe209382042d97b619288150cd830791/rendering/12.xyz", "0.0")</f>
        <v>0.0</v>
      </c>
      <c r="P106" s="13" t="str">
        <f>HYPERLINK(AC2 &amp; "/bolt/sn_fe209382042d97b619288150cd830791/rendering/13.xyz", "0.0")</f>
        <v>0.0</v>
      </c>
      <c r="Q106" s="13" t="str">
        <f>HYPERLINK(AC2 &amp; "/bolt/sn_fe209382042d97b619288150cd830791/rendering/14.xyz", "0.0")</f>
        <v>0.0</v>
      </c>
      <c r="R106" s="13" t="str">
        <f>HYPERLINK(AC2 &amp; "/bolt/sn_fe209382042d97b619288150cd830791/rendering/15.xyz", "0.0")</f>
        <v>0.0</v>
      </c>
      <c r="S106" s="13" t="str">
        <f>HYPERLINK(AC2 &amp; "/bolt/sn_fe209382042d97b619288150cd830791/rendering/16.xyz", "0.0")</f>
        <v>0.0</v>
      </c>
      <c r="T106" s="13" t="str">
        <f>HYPERLINK(AC2 &amp; "/bolt/sn_fe209382042d97b619288150cd830791/rendering/17.xyz", "0.0")</f>
        <v>0.0</v>
      </c>
      <c r="U106" s="13" t="str">
        <f>HYPERLINK(AC2 &amp; "/bolt/sn_fe209382042d97b619288150cd830791/rendering/18.xyz", "0.0")</f>
        <v>0.0</v>
      </c>
      <c r="V106" s="13" t="str">
        <f>HYPERLINK(AC2 &amp; "/bolt/sn_fe209382042d97b619288150cd830791/rendering/19.xyz", "0.0")</f>
        <v>0.0</v>
      </c>
      <c r="W106" s="12" t="s">
        <v>33</v>
      </c>
      <c r="X106" s="13">
        <v>0</v>
      </c>
      <c r="Y106" s="13">
        <v>0</v>
      </c>
      <c r="Z106" s="13">
        <v>0</v>
      </c>
    </row>
    <row r="107" spans="1:26" x14ac:dyDescent="0.2">
      <c r="A107" s="1">
        <v>105</v>
      </c>
      <c r="B107" s="2" t="s">
        <v>54</v>
      </c>
      <c r="C107" s="3" t="str">
        <f>HYPERLINK(AA2 &amp; "/bottle/sn_c5eb3234b73037562825656dc457df78/rendering/00.obj", "nan")</f>
        <v>nan</v>
      </c>
      <c r="D107" s="3" t="str">
        <f>HYPERLINK(AA2 &amp; "/bottle/sn_c5eb3234b73037562825656dc457df78/rendering/01.obj", "nan")</f>
        <v>nan</v>
      </c>
      <c r="E107" s="3" t="str">
        <f>HYPERLINK(AA2 &amp; "/bottle/sn_c5eb3234b73037562825656dc457df78/rendering/02.obj", "nan")</f>
        <v>nan</v>
      </c>
      <c r="F107" s="3" t="str">
        <f>HYPERLINK(AA2 &amp; "/bottle/sn_c5eb3234b73037562825656dc457df78/rendering/03.obj", "nan")</f>
        <v>nan</v>
      </c>
      <c r="G107" s="110" t="str">
        <f>HYPERLINK(AA2 &amp; "/bottle/sn_c5eb3234b73037562825656dc457df78/rendering/04.obj", "0.651016769409")</f>
        <v>0.651016769409</v>
      </c>
      <c r="H107" s="94" t="str">
        <f>HYPERLINK(AA2 &amp; "/bottle/sn_c5eb3234b73037562825656dc457df78/rendering/05.obj", "0.667132644653")</f>
        <v>0.667132644653</v>
      </c>
      <c r="I107" s="26" t="str">
        <f>HYPERLINK(AA2 &amp; "/bottle/sn_c5eb3234b73037562825656dc457df78/rendering/06.obj", "0.67508392334")</f>
        <v>0.67508392334</v>
      </c>
      <c r="J107" s="39" t="str">
        <f>HYPERLINK(AA2 &amp; "/bottle/sn_c5eb3234b73037562825656dc457df78/rendering/07.obj", "0.659202804565")</f>
        <v>0.659202804565</v>
      </c>
      <c r="K107" s="47" t="str">
        <f>HYPERLINK(AA2 &amp; "/bottle/sn_c5eb3234b73037562825656dc457df78/rendering/08.obj", "0.715656585693")</f>
        <v>0.715656585693</v>
      </c>
      <c r="L107" s="28" t="str">
        <f>HYPERLINK(AA2 &amp; "/bottle/sn_c5eb3234b73037562825656dc457df78/rendering/09.obj", "0.641882705688")</f>
        <v>0.641882705688</v>
      </c>
      <c r="M107" s="55" t="str">
        <f>HYPERLINK(AA2 &amp; "/bottle/sn_c5eb3234b73037562825656dc457df78/rendering/10.obj", "0.861475296021")</f>
        <v>0.861475296021</v>
      </c>
      <c r="N107" s="73" t="str">
        <f>HYPERLINK(AA2 &amp; "/bottle/sn_c5eb3234b73037562825656dc457df78/rendering/11.obj", "0.694572906494")</f>
        <v>0.694572906494</v>
      </c>
      <c r="O107" s="27" t="str">
        <f>HYPERLINK(AA2 &amp; "/bottle/sn_c5eb3234b73037562825656dc457df78/rendering/12.obj", "0.670533370972")</f>
        <v>0.670533370972</v>
      </c>
      <c r="P107" s="10" t="str">
        <f>HYPERLINK(AA2 &amp; "/bottle/sn_c5eb3234b73037562825656dc457df78/rendering/13.obj", "0.680677185059")</f>
        <v>0.680677185059</v>
      </c>
      <c r="Q107" s="46" t="str">
        <f>HYPERLINK(AA2 &amp; "/bottle/sn_c5eb3234b73037562825656dc457df78/rendering/14.obj", "0.709199905396")</f>
        <v>0.709199905396</v>
      </c>
      <c r="R107" s="119" t="str">
        <f>HYPERLINK(AA2 &amp; "/bottle/sn_c5eb3234b73037562825656dc457df78/rendering/15.obj", "0.912987365723")</f>
        <v>0.912987365723</v>
      </c>
      <c r="S107" s="85" t="str">
        <f>HYPERLINK(AA2 &amp; "/bottle/sn_c5eb3234b73037562825656dc457df78/rendering/16.obj", "0.935670776367")</f>
        <v>0.935670776367</v>
      </c>
      <c r="T107" s="41" t="str">
        <f>HYPERLINK(AA2 &amp; "/bottle/sn_c5eb3234b73037562825656dc457df78/rendering/17.obj", "0.671916809082")</f>
        <v>0.671916809082</v>
      </c>
      <c r="U107" s="47" t="str">
        <f>HYPERLINK(AA2 &amp; "/bottle/sn_c5eb3234b73037562825656dc457df78/rendering/18.obj", "0.71609664917")</f>
        <v>0.71609664917</v>
      </c>
      <c r="V107" s="78" t="str">
        <f>HYPERLINK(AA2 &amp; "/bottle/sn_c5eb3234b73037562825656dc457df78/rendering/19.obj", "0.677133026123")</f>
        <v>0.677133026123</v>
      </c>
      <c r="W107" s="12" t="s">
        <v>29</v>
      </c>
      <c r="X107" s="13">
        <v>0.72126492023468014</v>
      </c>
      <c r="Y107" s="13">
        <v>9.0849276432834247E-2</v>
      </c>
      <c r="Z107" s="70">
        <v>0.12595826288525769</v>
      </c>
    </row>
    <row r="108" spans="1:26" x14ac:dyDescent="0.2">
      <c r="A108" s="1">
        <v>106</v>
      </c>
      <c r="B108" s="2" t="s">
        <v>54</v>
      </c>
      <c r="C108" s="3" t="str">
        <f>HYPERLINK(AA2 &amp; "/bottle/sn_c5eb3234b73037562825656dc457df78/rendering/00.obj", "nan")</f>
        <v>nan</v>
      </c>
      <c r="D108" s="3" t="str">
        <f>HYPERLINK(AA2 &amp; "/bottle/sn_c5eb3234b73037562825656dc457df78/rendering/01.obj", "nan")</f>
        <v>nan</v>
      </c>
      <c r="E108" s="3" t="str">
        <f>HYPERLINK(AA2 &amp; "/bottle/sn_c5eb3234b73037562825656dc457df78/rendering/02.obj", "nan")</f>
        <v>nan</v>
      </c>
      <c r="F108" s="3" t="str">
        <f>HYPERLINK(AA2 &amp; "/bottle/sn_c5eb3234b73037562825656dc457df78/rendering/03.obj", "nan")</f>
        <v>nan</v>
      </c>
      <c r="G108" s="107" t="str">
        <f>HYPERLINK(AA2 &amp; "/bottle/sn_c5eb3234b73037562825656dc457df78/rendering/04.obj", "1.73218226433")</f>
        <v>1.73218226433</v>
      </c>
      <c r="H108" s="39" t="str">
        <f>HYPERLINK(AA2 &amp; "/bottle/sn_c5eb3234b73037562825656dc457df78/rendering/05.obj", "1.72940599918")</f>
        <v>1.72940599918</v>
      </c>
      <c r="I108" s="60" t="str">
        <f>HYPERLINK(AA2 &amp; "/bottle/sn_c5eb3234b73037562825656dc457df78/rendering/06.obj", "1.79015612602")</f>
        <v>1.79015612602</v>
      </c>
      <c r="J108" s="107" t="str">
        <f>HYPERLINK(AA2 &amp; "/bottle/sn_c5eb3234b73037562825656dc457df78/rendering/07.obj", "1.73008811474")</f>
        <v>1.73008811474</v>
      </c>
      <c r="K108" s="17" t="str">
        <f>HYPERLINK(AA2 &amp; "/bottle/sn_c5eb3234b73037562825656dc457df78/rendering/08.obj", "1.85054147243")</f>
        <v>1.85054147243</v>
      </c>
      <c r="L108" s="110" t="str">
        <f>HYPERLINK(AA2 &amp; "/bottle/sn_c5eb3234b73037562825656dc457df78/rendering/09.obj", "1.70146608353")</f>
        <v>1.70146608353</v>
      </c>
      <c r="M108" s="81" t="str">
        <f>HYPERLINK(AA2 &amp; "/bottle/sn_c5eb3234b73037562825656dc457df78/rendering/10.obj", "2.30229449272")</f>
        <v>2.30229449272</v>
      </c>
      <c r="N108" s="23" t="str">
        <f>HYPERLINK(AA2 &amp; "/bottle/sn_c5eb3234b73037562825656dc457df78/rendering/11.obj", "1.81674027443")</f>
        <v>1.81674027443</v>
      </c>
      <c r="O108" s="10" t="str">
        <f>HYPERLINK(AA2 &amp; "/bottle/sn_c5eb3234b73037562825656dc457df78/rendering/12.obj", "1.7843157053")</f>
        <v>1.7843157053</v>
      </c>
      <c r="P108" s="27" t="str">
        <f>HYPERLINK(AA2 &amp; "/bottle/sn_c5eb3234b73037562825656dc457df78/rendering/13.obj", "1.75416874886")</f>
        <v>1.75416874886</v>
      </c>
      <c r="Q108" s="17" t="str">
        <f>HYPERLINK(AA2 &amp; "/bottle/sn_c5eb3234b73037562825656dc457df78/rendering/14.obj", "1.85235285759")</f>
        <v>1.85235285759</v>
      </c>
      <c r="R108" s="135" t="str">
        <f>HYPERLINK(AA2 &amp; "/bottle/sn_c5eb3234b73037562825656dc457df78/rendering/15.obj", "2.37162923813")</f>
        <v>2.37162923813</v>
      </c>
      <c r="S108" s="59" t="str">
        <f>HYPERLINK(AA2 &amp; "/bottle/sn_c5eb3234b73037562825656dc457df78/rendering/16.obj", "2.34395670891")</f>
        <v>2.34395670891</v>
      </c>
      <c r="T108" s="26" t="str">
        <f>HYPERLINK(AA2 &amp; "/bottle/sn_c5eb3234b73037562825656dc457df78/rendering/17.obj", "1.76691102982")</f>
        <v>1.76691102982</v>
      </c>
      <c r="U108" s="25" t="str">
        <f>HYPERLINK(AA2 &amp; "/bottle/sn_c5eb3234b73037562825656dc457df78/rendering/18.obj", "1.91032040119")</f>
        <v>1.91032040119</v>
      </c>
      <c r="V108" s="34" t="str">
        <f>HYPERLINK(AA2 &amp; "/bottle/sn_c5eb3234b73037562825656dc457df78/rendering/19.obj", "1.79630088806")</f>
        <v>1.79630088806</v>
      </c>
      <c r="W108" s="12" t="s">
        <v>30</v>
      </c>
      <c r="X108" s="13">
        <v>1.8895519003272061</v>
      </c>
      <c r="Y108" s="13">
        <v>0.22250187881318681</v>
      </c>
      <c r="Z108" s="71">
        <v>0.1177537800230081</v>
      </c>
    </row>
    <row r="109" spans="1:26" x14ac:dyDescent="0.2">
      <c r="A109" s="1">
        <v>107</v>
      </c>
      <c r="B109" s="2" t="s">
        <v>54</v>
      </c>
      <c r="C109" s="3" t="str">
        <f>HYPERLINK(AB2 &amp; "/bottle/sn_c5eb3234b73037562825656dc457df78/rendering/00.obj", "nan")</f>
        <v>nan</v>
      </c>
      <c r="D109" s="3" t="str">
        <f>HYPERLINK(AB2 &amp; "/bottle/sn_c5eb3234b73037562825656dc457df78/rendering/01.obj", "nan")</f>
        <v>nan</v>
      </c>
      <c r="E109" s="3" t="str">
        <f>HYPERLINK(AB2 &amp; "/bottle/sn_c5eb3234b73037562825656dc457df78/rendering/02.obj", "nan")</f>
        <v>nan</v>
      </c>
      <c r="F109" s="3" t="str">
        <f>HYPERLINK(AB2 &amp; "/bottle/sn_c5eb3234b73037562825656dc457df78/rendering/03.obj", "nan")</f>
        <v>nan</v>
      </c>
      <c r="G109" s="47" t="str">
        <f>HYPERLINK(AB2 &amp; "/bottle/sn_c5eb3234b73037562825656dc457df78/rendering/04.obj", "1.06628837585")</f>
        <v>1.06628837585</v>
      </c>
      <c r="H109" s="47" t="str">
        <f>HYPERLINK(AB2 &amp; "/bottle/sn_c5eb3234b73037562825656dc457df78/rendering/05.obj", "1.08191375732")</f>
        <v>1.08191375732</v>
      </c>
      <c r="I109" s="17" t="str">
        <f>HYPERLINK(AB2 &amp; "/bottle/sn_c5eb3234b73037562825656dc457df78/rendering/06.obj", "1.09472145081")</f>
        <v>1.09472145081</v>
      </c>
      <c r="J109" s="13" t="str">
        <f>HYPERLINK(AB2 &amp; "/bottle/sn_c5eb3234b73037562825656dc457df78/rendering/07.obj", "1.07692802429")</f>
        <v>1.07692802429</v>
      </c>
      <c r="K109" s="30" t="str">
        <f>HYPERLINK(AB2 &amp; "/bottle/sn_c5eb3234b73037562825656dc457df78/rendering/08.obj", "1.0682522583")</f>
        <v>1.0682522583</v>
      </c>
      <c r="L109" s="13" t="str">
        <f>HYPERLINK(AB2 &amp; "/bottle/sn_c5eb3234b73037562825656dc457df78/rendering/09.obj", "1.0763432312")</f>
        <v>1.0763432312</v>
      </c>
      <c r="M109" s="90" t="str">
        <f>HYPERLINK(AB2 &amp; "/bottle/sn_c5eb3234b73037562825656dc457df78/rendering/10.obj", "0.97279006958")</f>
        <v>0.97279006958</v>
      </c>
      <c r="N109" s="6" t="str">
        <f>HYPERLINK(AB2 &amp; "/bottle/sn_c5eb3234b73037562825656dc457df78/rendering/11.obj", "1.12388160706")</f>
        <v>1.12388160706</v>
      </c>
      <c r="O109" s="74" t="str">
        <f>HYPERLINK(AB2 &amp; "/bottle/sn_c5eb3234b73037562825656dc457df78/rendering/12.obj", "1.09074996948")</f>
        <v>1.09074996948</v>
      </c>
      <c r="P109" s="47" t="str">
        <f>HYPERLINK(AB2 &amp; "/bottle/sn_c5eb3234b73037562825656dc457df78/rendering/13.obj", "1.08397079468")</f>
        <v>1.08397079468</v>
      </c>
      <c r="Q109" s="23" t="str">
        <f>HYPERLINK(AB2 &amp; "/bottle/sn_c5eb3234b73037562825656dc457df78/rendering/14.obj", "1.11725868225")</f>
        <v>1.11725868225</v>
      </c>
      <c r="R109" s="46" t="str">
        <f>HYPERLINK(AB2 &amp; "/bottle/sn_c5eb3234b73037562825656dc457df78/rendering/15.obj", "1.05505661011")</f>
        <v>1.05505661011</v>
      </c>
      <c r="S109" s="68" t="str">
        <f>HYPERLINK(AB2 &amp; "/bottle/sn_c5eb3234b73037562825656dc457df78/rendering/16.obj", "1.02911247253")</f>
        <v>1.02911247253</v>
      </c>
      <c r="T109" s="46" t="str">
        <f>HYPERLINK(AB2 &amp; "/bottle/sn_c5eb3234b73037562825656dc457df78/rendering/17.obj", "1.09210517883")</f>
        <v>1.09210517883</v>
      </c>
      <c r="U109" s="73" t="str">
        <f>HYPERLINK(AB2 &amp; "/bottle/sn_c5eb3234b73037562825656dc457df78/rendering/18.obj", "1.03551506042")</f>
        <v>1.03551506042</v>
      </c>
      <c r="V109" s="6" t="str">
        <f>HYPERLINK(AB2 &amp; "/bottle/sn_c5eb3234b73037562825656dc457df78/rendering/19.obj", "1.12245147705")</f>
        <v>1.12245147705</v>
      </c>
      <c r="W109" s="12" t="s">
        <v>31</v>
      </c>
      <c r="X109" s="13">
        <v>1.0742086887359621</v>
      </c>
      <c r="Y109" s="13">
        <v>3.7174395927339669E-2</v>
      </c>
      <c r="Z109" s="73">
        <v>3.4606307244715508E-2</v>
      </c>
    </row>
    <row r="110" spans="1:26" x14ac:dyDescent="0.2">
      <c r="A110" s="1">
        <v>108</v>
      </c>
      <c r="B110" s="2" t="s">
        <v>54</v>
      </c>
      <c r="C110" s="3" t="str">
        <f>HYPERLINK(AB2 &amp; "/bottle/sn_c5eb3234b73037562825656dc457df78/rendering/00.obj", "nan")</f>
        <v>nan</v>
      </c>
      <c r="D110" s="3" t="str">
        <f>HYPERLINK(AB2 &amp; "/bottle/sn_c5eb3234b73037562825656dc457df78/rendering/01.obj", "nan")</f>
        <v>nan</v>
      </c>
      <c r="E110" s="3" t="str">
        <f>HYPERLINK(AB2 &amp; "/bottle/sn_c5eb3234b73037562825656dc457df78/rendering/02.obj", "nan")</f>
        <v>nan</v>
      </c>
      <c r="F110" s="3" t="str">
        <f>HYPERLINK(AB2 &amp; "/bottle/sn_c5eb3234b73037562825656dc457df78/rendering/03.obj", "nan")</f>
        <v>nan</v>
      </c>
      <c r="G110" s="46" t="str">
        <f>HYPERLINK(AB2 &amp; "/bottle/sn_c5eb3234b73037562825656dc457df78/rendering/04.obj", "2.20973753929")</f>
        <v>2.20973753929</v>
      </c>
      <c r="H110" s="30" t="str">
        <f>HYPERLINK(AB2 &amp; "/bottle/sn_c5eb3234b73037562825656dc457df78/rendering/05.obj", "2.2625348568")</f>
        <v>2.2625348568</v>
      </c>
      <c r="I110" s="46" t="str">
        <f>HYPERLINK(AB2 &amp; "/bottle/sn_c5eb3234b73037562825656dc457df78/rendering/06.obj", "2.28828763962")</f>
        <v>2.28828763962</v>
      </c>
      <c r="J110" s="47" t="str">
        <f>HYPERLINK(AB2 &amp; "/bottle/sn_c5eb3234b73037562825656dc457df78/rendering/07.obj", "2.23611593246")</f>
        <v>2.23611593246</v>
      </c>
      <c r="K110" s="48" t="str">
        <f>HYPERLINK(AB2 &amp; "/bottle/sn_c5eb3234b73037562825656dc457df78/rendering/08.obj", "2.30279254913")</f>
        <v>2.30279254913</v>
      </c>
      <c r="L110" s="13" t="str">
        <f>HYPERLINK(AB2 &amp; "/bottle/sn_c5eb3234b73037562825656dc457df78/rendering/09.obj", "2.25552201271")</f>
        <v>2.25552201271</v>
      </c>
      <c r="M110" s="92" t="str">
        <f>HYPERLINK(AB2 &amp; "/bottle/sn_c5eb3234b73037562825656dc457df78/rendering/10.obj", "1.97484946251")</f>
        <v>1.97484946251</v>
      </c>
      <c r="N110" s="72" t="str">
        <f>HYPERLINK(AB2 &amp; "/bottle/sn_c5eb3234b73037562825656dc457df78/rendering/11.obj", "2.32716989517")</f>
        <v>2.32716989517</v>
      </c>
      <c r="O110" s="69" t="str">
        <f>HYPERLINK(AB2 &amp; "/bottle/sn_c5eb3234b73037562825656dc457df78/rendering/12.obj", "2.31680655479")</f>
        <v>2.31680655479</v>
      </c>
      <c r="P110" s="30" t="str">
        <f>HYPERLINK(AB2 &amp; "/bottle/sn_c5eb3234b73037562825656dc457df78/rendering/13.obj", "2.26158905029")</f>
        <v>2.26158905029</v>
      </c>
      <c r="Q110" s="35" t="str">
        <f>HYPERLINK(AB2 &amp; "/bottle/sn_c5eb3234b73037562825656dc457df78/rendering/14.obj", "2.38478112221")</f>
        <v>2.38478112221</v>
      </c>
      <c r="R110" s="48" t="str">
        <f>HYPERLINK(AB2 &amp; "/bottle/sn_c5eb3234b73037562825656dc457df78/rendering/15.obj", "2.1952662468")</f>
        <v>2.1952662468</v>
      </c>
      <c r="S110" s="34" t="str">
        <f>HYPERLINK(AB2 &amp; "/bottle/sn_c5eb3234b73037562825656dc457df78/rendering/16.obj", "2.14424300194")</f>
        <v>2.14424300194</v>
      </c>
      <c r="T110" s="27" t="str">
        <f>HYPERLINK(AB2 &amp; "/bottle/sn_c5eb3234b73037562825656dc457df78/rendering/17.obj", "2.40696334839")</f>
        <v>2.40696334839</v>
      </c>
      <c r="U110" s="133" t="str">
        <f>HYPERLINK(AB2 &amp; "/bottle/sn_c5eb3234b73037562825656dc457df78/rendering/18.obj", "2.02136135101")</f>
        <v>2.02136135101</v>
      </c>
      <c r="V110" s="51" t="str">
        <f>HYPERLINK(AB2 &amp; "/bottle/sn_c5eb3234b73037562825656dc457df78/rendering/19.obj", "2.43111920357")</f>
        <v>2.43111920357</v>
      </c>
      <c r="W110" s="12" t="s">
        <v>32</v>
      </c>
      <c r="X110" s="13">
        <v>2.2511962354183201</v>
      </c>
      <c r="Y110" s="13">
        <v>0.12107733836310169</v>
      </c>
      <c r="Z110" s="10">
        <v>5.3783555808320248E-2</v>
      </c>
    </row>
    <row r="111" spans="1:26" x14ac:dyDescent="0.2">
      <c r="A111" s="1">
        <v>109</v>
      </c>
      <c r="B111" s="2" t="s">
        <v>54</v>
      </c>
      <c r="C111" s="13" t="str">
        <f>HYPERLINK(AC2 &amp; "/bottle/sn_c5eb3234b73037562825656dc457df78/rendering/00.xyz", "0.0")</f>
        <v>0.0</v>
      </c>
      <c r="D111" s="13" t="str">
        <f>HYPERLINK(AC2 &amp; "/bottle/sn_c5eb3234b73037562825656dc457df78/rendering/01.xyz", "0.0")</f>
        <v>0.0</v>
      </c>
      <c r="E111" s="13" t="str">
        <f>HYPERLINK(AC2 &amp; "/bottle/sn_c5eb3234b73037562825656dc457df78/rendering/02.xyz", "0.0")</f>
        <v>0.0</v>
      </c>
      <c r="F111" s="13" t="str">
        <f>HYPERLINK(AC2 &amp; "/bottle/sn_c5eb3234b73037562825656dc457df78/rendering/03.xyz", "0.0")</f>
        <v>0.0</v>
      </c>
      <c r="G111" s="13" t="str">
        <f>HYPERLINK(AC2 &amp; "/bottle/sn_c5eb3234b73037562825656dc457df78/rendering/04.xyz", "0.0")</f>
        <v>0.0</v>
      </c>
      <c r="H111" s="13" t="str">
        <f>HYPERLINK(AC2 &amp; "/bottle/sn_c5eb3234b73037562825656dc457df78/rendering/05.xyz", "0.0")</f>
        <v>0.0</v>
      </c>
      <c r="I111" s="13" t="str">
        <f>HYPERLINK(AC2 &amp; "/bottle/sn_c5eb3234b73037562825656dc457df78/rendering/06.xyz", "0.0")</f>
        <v>0.0</v>
      </c>
      <c r="J111" s="13" t="str">
        <f>HYPERLINK(AC2 &amp; "/bottle/sn_c5eb3234b73037562825656dc457df78/rendering/07.xyz", "0.0")</f>
        <v>0.0</v>
      </c>
      <c r="K111" s="13" t="str">
        <f>HYPERLINK(AC2 &amp; "/bottle/sn_c5eb3234b73037562825656dc457df78/rendering/08.xyz", "0.0")</f>
        <v>0.0</v>
      </c>
      <c r="L111" s="13" t="str">
        <f>HYPERLINK(AC2 &amp; "/bottle/sn_c5eb3234b73037562825656dc457df78/rendering/09.xyz", "0.0")</f>
        <v>0.0</v>
      </c>
      <c r="M111" s="13" t="str">
        <f>HYPERLINK(AC2 &amp; "/bottle/sn_c5eb3234b73037562825656dc457df78/rendering/10.xyz", "0.0")</f>
        <v>0.0</v>
      </c>
      <c r="N111" s="13" t="str">
        <f>HYPERLINK(AC2 &amp; "/bottle/sn_c5eb3234b73037562825656dc457df78/rendering/11.xyz", "0.0")</f>
        <v>0.0</v>
      </c>
      <c r="O111" s="13" t="str">
        <f>HYPERLINK(AC2 &amp; "/bottle/sn_c5eb3234b73037562825656dc457df78/rendering/12.xyz", "0.0")</f>
        <v>0.0</v>
      </c>
      <c r="P111" s="13" t="str">
        <f>HYPERLINK(AC2 &amp; "/bottle/sn_c5eb3234b73037562825656dc457df78/rendering/13.xyz", "0.0")</f>
        <v>0.0</v>
      </c>
      <c r="Q111" s="13" t="str">
        <f>HYPERLINK(AC2 &amp; "/bottle/sn_c5eb3234b73037562825656dc457df78/rendering/14.xyz", "0.0")</f>
        <v>0.0</v>
      </c>
      <c r="R111" s="13" t="str">
        <f>HYPERLINK(AC2 &amp; "/bottle/sn_c5eb3234b73037562825656dc457df78/rendering/15.xyz", "0.0")</f>
        <v>0.0</v>
      </c>
      <c r="S111" s="13" t="str">
        <f>HYPERLINK(AC2 &amp; "/bottle/sn_c5eb3234b73037562825656dc457df78/rendering/16.xyz", "0.0")</f>
        <v>0.0</v>
      </c>
      <c r="T111" s="13" t="str">
        <f>HYPERLINK(AC2 &amp; "/bottle/sn_c5eb3234b73037562825656dc457df78/rendering/17.xyz", "0.0")</f>
        <v>0.0</v>
      </c>
      <c r="U111" s="13" t="str">
        <f>HYPERLINK(AC2 &amp; "/bottle/sn_c5eb3234b73037562825656dc457df78/rendering/18.xyz", "0.0")</f>
        <v>0.0</v>
      </c>
      <c r="V111" s="13" t="str">
        <f>HYPERLINK(AC2 &amp; "/bottle/sn_c5eb3234b73037562825656dc457df78/rendering/19.xyz", "0.0")</f>
        <v>0.0</v>
      </c>
      <c r="W111" s="12" t="s">
        <v>33</v>
      </c>
      <c r="X111" s="13">
        <v>0</v>
      </c>
      <c r="Y111" s="13">
        <v>0</v>
      </c>
      <c r="Z111" s="13">
        <v>0</v>
      </c>
    </row>
    <row r="112" spans="1:26" x14ac:dyDescent="0.2">
      <c r="A112" s="1">
        <v>110</v>
      </c>
      <c r="B112" s="2" t="s">
        <v>55</v>
      </c>
      <c r="C112" s="46" t="str">
        <f>HYPERLINK(AA2 &amp; "/bottle/sn_c6e0373f1f23ac8134076b5960251711/rendering/00.obj", "0.913891296387")</f>
        <v>0.913891296387</v>
      </c>
      <c r="D112" s="78" t="str">
        <f>HYPERLINK(AA2 &amp; "/bottle/sn_c6e0373f1f23ac8134076b5960251711/rendering/01.obj", "0.986056213379")</f>
        <v>0.986056213379</v>
      </c>
      <c r="E112" s="42" t="str">
        <f>HYPERLINK(AA2 &amp; "/bottle/sn_c6e0373f1f23ac8134076b5960251711/rendering/02.obj", "1.05666793823")</f>
        <v>1.05666793823</v>
      </c>
      <c r="F112" s="91" t="str">
        <f>HYPERLINK(AA2 &amp; "/bottle/sn_c6e0373f1f23ac8134076b5960251711/rendering/03.obj", "0.904983444214")</f>
        <v>0.904983444214</v>
      </c>
      <c r="G112" s="39" t="str">
        <f>HYPERLINK(AA2 &amp; "/bottle/sn_c6e0373f1f23ac8134076b5960251711/rendering/04.obj", "1.00875015259")</f>
        <v>1.00875015259</v>
      </c>
      <c r="H112" s="67" t="str">
        <f>HYPERLINK(AA2 &amp; "/bottle/sn_c6e0373f1f23ac8134076b5960251711/rendering/05.obj", "0.843115081787")</f>
        <v>0.843115081787</v>
      </c>
      <c r="I112" s="25" t="str">
        <f>HYPERLINK(AA2 &amp; "/bottle/sn_c6e0373f1f23ac8134076b5960251711/rendering/06.obj", "0.940108566284")</f>
        <v>0.940108566284</v>
      </c>
      <c r="J112" s="46" t="str">
        <f>HYPERLINK(AA2 &amp; "/bottle/sn_c6e0373f1f23ac8134076b5960251711/rendering/07.obj", "0.946034240723")</f>
        <v>0.946034240723</v>
      </c>
      <c r="K112" s="69" t="str">
        <f>HYPERLINK(AA2 &amp; "/bottle/sn_c6e0373f1f23ac8134076b5960251711/rendering/08.obj", "0.903334960937")</f>
        <v>0.903334960937</v>
      </c>
      <c r="L112" s="133" t="str">
        <f>HYPERLINK(AA2 &amp; "/bottle/sn_c6e0373f1f23ac8134076b5960251711/rendering/09.obj", "0.836095733643")</f>
        <v>0.836095733643</v>
      </c>
      <c r="M112" s="10" t="str">
        <f>HYPERLINK(AA2 &amp; "/bottle/sn_c6e0373f1f23ac8134076b5960251711/rendering/10.obj", "0.879477615356")</f>
        <v>0.879477615356</v>
      </c>
      <c r="N112" s="35" t="str">
        <f>HYPERLINK(AA2 &amp; "/bottle/sn_c6e0373f1f23ac8134076b5960251711/rendering/11.obj", "0.984210662842")</f>
        <v>0.984210662842</v>
      </c>
      <c r="O112" s="13" t="str">
        <f>HYPERLINK(AA2 &amp; "/bottle/sn_c6e0373f1f23ac8134076b5960251711/rendering/12.obj", "0.931683959961")</f>
        <v>0.931683959961</v>
      </c>
      <c r="P112" s="72" t="str">
        <f>HYPERLINK(AA2 &amp; "/bottle/sn_c6e0373f1f23ac8134076b5960251711/rendering/13.obj", "0.959670715332")</f>
        <v>0.959670715332</v>
      </c>
      <c r="Q112" s="74" t="str">
        <f>HYPERLINK(AA2 &amp; "/bottle/sn_c6e0373f1f23ac8134076b5960251711/rendering/14.obj", "0.942492523193")</f>
        <v>0.942492523193</v>
      </c>
      <c r="R112" s="17" t="str">
        <f>HYPERLINK(AA2 &amp; "/bottle/sn_c6e0373f1f23ac8134076b5960251711/rendering/15.obj", "0.912108154297")</f>
        <v>0.912108154297</v>
      </c>
      <c r="S112" s="46" t="str">
        <f>HYPERLINK(AA2 &amp; "/bottle/sn_c6e0373f1f23ac8134076b5960251711/rendering/16.obj", "0.912528076172")</f>
        <v>0.912528076172</v>
      </c>
      <c r="T112" s="13" t="str">
        <f>HYPERLINK(AA2 &amp; "/bottle/sn_c6e0373f1f23ac8134076b5960251711/rendering/17.obj", "0.92862411499")</f>
        <v>0.92862411499</v>
      </c>
      <c r="U112" s="60" t="str">
        <f>HYPERLINK(AA2 &amp; "/bottle/sn_c6e0373f1f23ac8134076b5960251711/rendering/18.obj", "0.880658187866")</f>
        <v>0.880658187866</v>
      </c>
      <c r="V112" s="47" t="str">
        <f>HYPERLINK(AA2 &amp; "/bottle/sn_c6e0373f1f23ac8134076b5960251711/rendering/19.obj", "0.922634735107")</f>
        <v>0.922634735107</v>
      </c>
      <c r="W112" s="12" t="s">
        <v>29</v>
      </c>
      <c r="X112" s="13">
        <v>0.9296563186645509</v>
      </c>
      <c r="Y112" s="13">
        <v>5.1650562035418887E-2</v>
      </c>
      <c r="Z112" s="10">
        <v>5.5558770481563331E-2</v>
      </c>
    </row>
    <row r="113" spans="1:26" x14ac:dyDescent="0.2">
      <c r="A113" s="1">
        <v>111</v>
      </c>
      <c r="B113" s="2" t="s">
        <v>55</v>
      </c>
      <c r="C113" s="17" t="str">
        <f>HYPERLINK(AA2 &amp; "/bottle/sn_c6e0373f1f23ac8134076b5960251711/rendering/00.obj", "1.85688447952")</f>
        <v>1.85688447952</v>
      </c>
      <c r="D113" s="13" t="str">
        <f>HYPERLINK(AA2 &amp; "/bottle/sn_c6e0373f1f23ac8134076b5960251711/rendering/01.obj", "1.82687342167")</f>
        <v>1.82687342167</v>
      </c>
      <c r="E113" s="60" t="str">
        <f>HYPERLINK(AA2 &amp; "/bottle/sn_c6e0373f1f23ac8134076b5960251711/rendering/02.obj", "1.91858887672")</f>
        <v>1.91858887672</v>
      </c>
      <c r="F113" s="13" t="str">
        <f>HYPERLINK(AA2 &amp; "/bottle/sn_c6e0373f1f23ac8134076b5960251711/rendering/03.obj", "1.82708787918")</f>
        <v>1.82708787918</v>
      </c>
      <c r="G113" s="41" t="str">
        <f>HYPERLINK(AA2 &amp; "/bottle/sn_c6e0373f1f23ac8134076b5960251711/rendering/04.obj", "1.70138072968")</f>
        <v>1.70138072968</v>
      </c>
      <c r="H113" s="23" t="str">
        <f>HYPERLINK(AA2 &amp; "/bottle/sn_c6e0373f1f23ac8134076b5960251711/rendering/05.obj", "1.74861514568")</f>
        <v>1.74861514568</v>
      </c>
      <c r="I113" s="74" t="str">
        <f>HYPERLINK(AA2 &amp; "/bottle/sn_c6e0373f1f23ac8134076b5960251711/rendering/06.obj", "1.79725217819")</f>
        <v>1.79725217819</v>
      </c>
      <c r="J113" s="74" t="str">
        <f>HYPERLINK(AA2 &amp; "/bottle/sn_c6e0373f1f23ac8134076b5960251711/rendering/07.obj", "1.8463113308")</f>
        <v>1.8463113308</v>
      </c>
      <c r="K113" s="17" t="str">
        <f>HYPERLINK(AA2 &amp; "/bottle/sn_c6e0373f1f23ac8134076b5960251711/rendering/08.obj", "1.78285503387")</f>
        <v>1.78285503387</v>
      </c>
      <c r="L113" s="17" t="str">
        <f>HYPERLINK(AA2 &amp; "/bottle/sn_c6e0373f1f23ac8134076b5960251711/rendering/09.obj", "1.78260672092")</f>
        <v>1.78260672092</v>
      </c>
      <c r="M113" s="78" t="str">
        <f>HYPERLINK(AA2 &amp; "/bottle/sn_c6e0373f1f23ac8134076b5960251711/rendering/10.obj", "1.70740938187")</f>
        <v>1.70740938187</v>
      </c>
      <c r="N113" s="79" t="str">
        <f>HYPERLINK(AA2 &amp; "/bottle/sn_c6e0373f1f23ac8134076b5960251711/rendering/11.obj", "2.11282157898")</f>
        <v>2.11282157898</v>
      </c>
      <c r="O113" s="26" t="str">
        <f>HYPERLINK(AA2 &amp; "/bottle/sn_c6e0373f1f23ac8134076b5960251711/rendering/12.obj", "1.70678055286")</f>
        <v>1.70678055286</v>
      </c>
      <c r="P113" s="25" t="str">
        <f>HYPERLINK(AA2 &amp; "/bottle/sn_c6e0373f1f23ac8134076b5960251711/rendering/13.obj", "1.80247008801")</f>
        <v>1.80247008801</v>
      </c>
      <c r="Q113" s="91" t="str">
        <f>HYPERLINK(AA2 &amp; "/bottle/sn_c6e0373f1f23ac8134076b5960251711/rendering/14.obj", "1.77390348911")</f>
        <v>1.77390348911</v>
      </c>
      <c r="R113" s="74" t="str">
        <f>HYPERLINK(AA2 &amp; "/bottle/sn_c6e0373f1f23ac8134076b5960251711/rendering/15.obj", "1.79668450356")</f>
        <v>1.79668450356</v>
      </c>
      <c r="S113" s="48" t="str">
        <f>HYPERLINK(AA2 &amp; "/bottle/sn_c6e0373f1f23ac8134076b5960251711/rendering/16.obj", "1.78103363514")</f>
        <v>1.78103363514</v>
      </c>
      <c r="T113" s="69" t="str">
        <f>HYPERLINK(AA2 &amp; "/bottle/sn_c6e0373f1f23ac8134076b5960251711/rendering/17.obj", "1.76628804207")</f>
        <v>1.76628804207</v>
      </c>
      <c r="U113" s="38" t="str">
        <f>HYPERLINK(AA2 &amp; "/bottle/sn_c6e0373f1f23ac8134076b5960251711/rendering/18.obj", "1.98594868183")</f>
        <v>1.98594868183</v>
      </c>
      <c r="V113" s="34" t="str">
        <f>HYPERLINK(AA2 &amp; "/bottle/sn_c6e0373f1f23ac8134076b5960251711/rendering/19.obj", "1.91174781322")</f>
        <v>1.91174781322</v>
      </c>
      <c r="W113" s="12" t="s">
        <v>30</v>
      </c>
      <c r="X113" s="13">
        <v>1.821677178144455</v>
      </c>
      <c r="Y113" s="13">
        <v>9.7172805689741612E-2</v>
      </c>
      <c r="Z113" s="10">
        <v>5.3342494957707598E-2</v>
      </c>
    </row>
    <row r="114" spans="1:26" x14ac:dyDescent="0.2">
      <c r="A114" s="1">
        <v>112</v>
      </c>
      <c r="B114" s="2" t="s">
        <v>55</v>
      </c>
      <c r="C114" s="94" t="str">
        <f>HYPERLINK(AB2 &amp; "/bottle/sn_c6e0373f1f23ac8134076b5960251711/rendering/00.obj", "1.42040771484")</f>
        <v>1.42040771484</v>
      </c>
      <c r="D114" s="48" t="str">
        <f>HYPERLINK(AB2 &amp; "/bottle/sn_c6e0373f1f23ac8134076b5960251711/rendering/01.obj", "1.57135681152")</f>
        <v>1.57135681152</v>
      </c>
      <c r="E114" s="30" t="str">
        <f>HYPERLINK(AB2 &amp; "/bottle/sn_c6e0373f1f23ac8134076b5960251711/rendering/02.obj", "1.53030303955")</f>
        <v>1.53030303955</v>
      </c>
      <c r="F114" s="33" t="str">
        <f>HYPERLINK(AB2 &amp; "/bottle/sn_c6e0373f1f23ac8134076b5960251711/rendering/03.obj", "1.36914978027")</f>
        <v>1.36914978027</v>
      </c>
      <c r="G114" s="72" t="str">
        <f>HYPERLINK(AB2 &amp; "/bottle/sn_c6e0373f1f23ac8134076b5960251711/rendering/04.obj", "1.5839163208")</f>
        <v>1.5839163208</v>
      </c>
      <c r="H114" s="34" t="str">
        <f>HYPERLINK(AB2 &amp; "/bottle/sn_c6e0373f1f23ac8134076b5960251711/rendering/05.obj", "1.46274078369")</f>
        <v>1.46274078369</v>
      </c>
      <c r="I114" s="110" t="str">
        <f>HYPERLINK(AB2 &amp; "/bottle/sn_c6e0373f1f23ac8134076b5960251711/rendering/06.obj", "1.38328735352")</f>
        <v>1.38328735352</v>
      </c>
      <c r="J114" s="10" t="str">
        <f>HYPERLINK(AB2 &amp; "/bottle/sn_c6e0373f1f23ac8134076b5960251711/rendering/07.obj", "1.44972747803")</f>
        <v>1.44972747803</v>
      </c>
      <c r="K114" s="64" t="str">
        <f>HYPERLINK(AB2 &amp; "/bottle/sn_c6e0373f1f23ac8134076b5960251711/rendering/08.obj", "1.78571685791")</f>
        <v>1.78571685791</v>
      </c>
      <c r="L114" s="32" t="str">
        <f>HYPERLINK(AB2 &amp; "/bottle/sn_c6e0373f1f23ac8134076b5960251711/rendering/09.obj", "1.37318481445")</f>
        <v>1.37318481445</v>
      </c>
      <c r="M114" s="92" t="str">
        <f>HYPERLINK(AB2 &amp; "/bottle/sn_c6e0373f1f23ac8134076b5960251711/rendering/10.obj", "1.34707275391")</f>
        <v>1.34707275391</v>
      </c>
      <c r="N114" s="33" t="str">
        <f>HYPERLINK(AB2 &amp; "/bottle/sn_c6e0373f1f23ac8134076b5960251711/rendering/11.obj", "1.698956604")</f>
        <v>1.698956604</v>
      </c>
      <c r="O114" s="74" t="str">
        <f>HYPERLINK(AB2 &amp; "/bottle/sn_c6e0373f1f23ac8134076b5960251711/rendering/12.obj", "1.51223510742")</f>
        <v>1.51223510742</v>
      </c>
      <c r="P114" s="90" t="str">
        <f>HYPERLINK(AB2 &amp; "/bottle/sn_c6e0373f1f23ac8134076b5960251711/rendering/13.obj", "1.38768066406")</f>
        <v>1.38768066406</v>
      </c>
      <c r="Q114" s="41" t="str">
        <f>HYPERLINK(AB2 &amp; "/bottle/sn_c6e0373f1f23ac8134076b5960251711/rendering/14.obj", "1.63783584595")</f>
        <v>1.63783584595</v>
      </c>
      <c r="R114" s="34" t="str">
        <f>HYPERLINK(AB2 &amp; "/bottle/sn_c6e0373f1f23ac8134076b5960251711/rendering/15.obj", "1.61041137695")</f>
        <v>1.61041137695</v>
      </c>
      <c r="S114" s="26" t="str">
        <f>HYPERLINK(AB2 &amp; "/bottle/sn_c6e0373f1f23ac8134076b5960251711/rendering/16.obj", "1.63255523682")</f>
        <v>1.63255523682</v>
      </c>
      <c r="T114" s="6" t="str">
        <f>HYPERLINK(AB2 &amp; "/bottle/sn_c6e0373f1f23ac8134076b5960251711/rendering/17.obj", "1.46399291992")</f>
        <v>1.46399291992</v>
      </c>
      <c r="U114" s="24" t="str">
        <f>HYPERLINK(AB2 &amp; "/bottle/sn_c6e0373f1f23ac8134076b5960251711/rendering/18.obj", "1.79453262329")</f>
        <v>1.79453262329</v>
      </c>
      <c r="V114" s="110" t="str">
        <f>HYPERLINK(AB2 &amp; "/bottle/sn_c6e0373f1f23ac8134076b5960251711/rendering/19.obj", "1.68868988037")</f>
        <v>1.68868988037</v>
      </c>
      <c r="W114" s="12" t="s">
        <v>31</v>
      </c>
      <c r="X114" s="13">
        <v>1.5351876983642581</v>
      </c>
      <c r="Y114" s="13">
        <v>0.1369570759737857</v>
      </c>
      <c r="Z114" s="38">
        <v>8.9211942044424536E-2</v>
      </c>
    </row>
    <row r="115" spans="1:26" x14ac:dyDescent="0.2">
      <c r="A115" s="1">
        <v>113</v>
      </c>
      <c r="B115" s="2" t="s">
        <v>55</v>
      </c>
      <c r="C115" s="13" t="str">
        <f>HYPERLINK(AB2 &amp; "/bottle/sn_c6e0373f1f23ac8134076b5960251711/rendering/00.obj", "2.71902394295")</f>
        <v>2.71902394295</v>
      </c>
      <c r="D115" s="35" t="str">
        <f>HYPERLINK(AB2 &amp; "/bottle/sn_c6e0373f1f23ac8134076b5960251711/rendering/01.obj", "2.86685371399")</f>
        <v>2.86685371399</v>
      </c>
      <c r="E115" s="32" t="str">
        <f>HYPERLINK(AB2 &amp; "/bottle/sn_c6e0373f1f23ac8134076b5960251711/rendering/02.obj", "3.00049734116")</f>
        <v>3.00049734116</v>
      </c>
      <c r="F115" s="64" t="str">
        <f>HYPERLINK(AB2 &amp; "/bottle/sn_c6e0373f1f23ac8134076b5960251711/rendering/03.obj", "2.26710176468")</f>
        <v>2.26710176468</v>
      </c>
      <c r="G115" s="47" t="str">
        <f>HYPERLINK(AB2 &amp; "/bottle/sn_c6e0373f1f23ac8134076b5960251711/rendering/04.obj", "2.73037624359")</f>
        <v>2.73037624359</v>
      </c>
      <c r="H115" s="51" t="str">
        <f>HYPERLINK(AB2 &amp; "/bottle/sn_c6e0373f1f23ac8134076b5960251711/rendering/05.obj", "2.49633622169")</f>
        <v>2.49633622169</v>
      </c>
      <c r="I115" s="136" t="str">
        <f>HYPERLINK(AB2 &amp; "/bottle/sn_c6e0373f1f23ac8134076b5960251711/rendering/06.obj", "2.07127785683")</f>
        <v>2.07127785683</v>
      </c>
      <c r="J115" s="41" t="str">
        <f>HYPERLINK(AB2 &amp; "/bottle/sn_c6e0373f1f23ac8134076b5960251711/rendering/07.obj", "2.52905774117")</f>
        <v>2.52905774117</v>
      </c>
      <c r="K115" s="90" t="str">
        <f>HYPERLINK(AB2 &amp; "/bottle/sn_c6e0373f1f23ac8134076b5960251711/rendering/08.obj", "2.97305655479")</f>
        <v>2.97305655479</v>
      </c>
      <c r="L115" s="86" t="str">
        <f>HYPERLINK(AB2 &amp; "/bottle/sn_c6e0373f1f23ac8134076b5960251711/rendering/09.obj", "1.98358273506")</f>
        <v>1.98358273506</v>
      </c>
      <c r="M115" s="87" t="str">
        <f>HYPERLINK(AB2 &amp; "/bottle/sn_c6e0373f1f23ac8134076b5960251711/rendering/10.obj", "2.0996556282")</f>
        <v>2.0996556282</v>
      </c>
      <c r="N115" s="99" t="str">
        <f>HYPERLINK(AB2 &amp; "/bottle/sn_c6e0373f1f23ac8134076b5960251711/rendering/11.obj", "3.44823122025")</f>
        <v>3.44823122025</v>
      </c>
      <c r="O115" s="66" t="str">
        <f>HYPERLINK(AB2 &amp; "/bottle/sn_c6e0373f1f23ac8134076b5960251711/rendering/12.obj", "3.14775681496")</f>
        <v>3.14775681496</v>
      </c>
      <c r="P115" s="66" t="str">
        <f>HYPERLINK(AB2 &amp; "/bottle/sn_c6e0373f1f23ac8134076b5960251711/rendering/13.obj", "2.27066087723")</f>
        <v>2.27066087723</v>
      </c>
      <c r="Q115" s="75" t="str">
        <f>HYPERLINK(AB2 &amp; "/bottle/sn_c6e0373f1f23ac8134076b5960251711/rendering/14.obj", "3.31396174431")</f>
        <v>3.31396174431</v>
      </c>
      <c r="R115" s="68" t="str">
        <f>HYPERLINK(AB2 &amp; "/bottle/sn_c6e0373f1f23ac8134076b5960251711/rendering/15.obj", "2.82998108864")</f>
        <v>2.82998108864</v>
      </c>
      <c r="S115" s="72" t="str">
        <f>HYPERLINK(AB2 &amp; "/bottle/sn_c6e0373f1f23ac8134076b5960251711/rendering/16.obj", "2.6234061718")</f>
        <v>2.6234061718</v>
      </c>
      <c r="T115" s="91" t="str">
        <f>HYPERLINK(AB2 &amp; "/bottle/sn_c6e0373f1f23ac8134076b5960251711/rendering/17.obj", "2.64391160011")</f>
        <v>2.64391160011</v>
      </c>
      <c r="U115" s="106" t="str">
        <f>HYPERLINK(AB2 &amp; "/bottle/sn_c6e0373f1f23ac8134076b5960251711/rendering/18.obj", "3.02268624306")</f>
        <v>3.02268624306</v>
      </c>
      <c r="V115" s="77" t="str">
        <f>HYPERLINK(AB2 &amp; "/bottle/sn_c6e0373f1f23ac8134076b5960251711/rendering/19.obj", "3.22231411934")</f>
        <v>3.22231411934</v>
      </c>
      <c r="W115" s="12" t="s">
        <v>32</v>
      </c>
      <c r="X115" s="13">
        <v>2.712986481189728</v>
      </c>
      <c r="Y115" s="13">
        <v>0.41485740346801459</v>
      </c>
      <c r="Z115" s="83">
        <v>0.1529153964991698</v>
      </c>
    </row>
    <row r="116" spans="1:26" x14ac:dyDescent="0.2">
      <c r="A116" s="1">
        <v>114</v>
      </c>
      <c r="B116" s="2" t="s">
        <v>55</v>
      </c>
      <c r="C116" s="13" t="str">
        <f>HYPERLINK(AC2 &amp; "/bottle/sn_c6e0373f1f23ac8134076b5960251711/rendering/00.xyz", "0.0")</f>
        <v>0.0</v>
      </c>
      <c r="D116" s="13" t="str">
        <f>HYPERLINK(AC2 &amp; "/bottle/sn_c6e0373f1f23ac8134076b5960251711/rendering/01.xyz", "0.0")</f>
        <v>0.0</v>
      </c>
      <c r="E116" s="13" t="str">
        <f>HYPERLINK(AC2 &amp; "/bottle/sn_c6e0373f1f23ac8134076b5960251711/rendering/02.xyz", "0.0")</f>
        <v>0.0</v>
      </c>
      <c r="F116" s="13" t="str">
        <f>HYPERLINK(AC2 &amp; "/bottle/sn_c6e0373f1f23ac8134076b5960251711/rendering/03.xyz", "0.0")</f>
        <v>0.0</v>
      </c>
      <c r="G116" s="13" t="str">
        <f>HYPERLINK(AC2 &amp; "/bottle/sn_c6e0373f1f23ac8134076b5960251711/rendering/04.xyz", "0.0")</f>
        <v>0.0</v>
      </c>
      <c r="H116" s="13" t="str">
        <f>HYPERLINK(AC2 &amp; "/bottle/sn_c6e0373f1f23ac8134076b5960251711/rendering/05.xyz", "0.0")</f>
        <v>0.0</v>
      </c>
      <c r="I116" s="13" t="str">
        <f>HYPERLINK(AC2 &amp; "/bottle/sn_c6e0373f1f23ac8134076b5960251711/rendering/06.xyz", "0.0")</f>
        <v>0.0</v>
      </c>
      <c r="J116" s="13" t="str">
        <f>HYPERLINK(AC2 &amp; "/bottle/sn_c6e0373f1f23ac8134076b5960251711/rendering/07.xyz", "0.0")</f>
        <v>0.0</v>
      </c>
      <c r="K116" s="13" t="str">
        <f>HYPERLINK(AC2 &amp; "/bottle/sn_c6e0373f1f23ac8134076b5960251711/rendering/08.xyz", "0.0")</f>
        <v>0.0</v>
      </c>
      <c r="L116" s="13" t="str">
        <f>HYPERLINK(AC2 &amp; "/bottle/sn_c6e0373f1f23ac8134076b5960251711/rendering/09.xyz", "0.0")</f>
        <v>0.0</v>
      </c>
      <c r="M116" s="13" t="str">
        <f>HYPERLINK(AC2 &amp; "/bottle/sn_c6e0373f1f23ac8134076b5960251711/rendering/10.xyz", "0.0")</f>
        <v>0.0</v>
      </c>
      <c r="N116" s="13" t="str">
        <f>HYPERLINK(AC2 &amp; "/bottle/sn_c6e0373f1f23ac8134076b5960251711/rendering/11.xyz", "0.0")</f>
        <v>0.0</v>
      </c>
      <c r="O116" s="13" t="str">
        <f>HYPERLINK(AC2 &amp; "/bottle/sn_c6e0373f1f23ac8134076b5960251711/rendering/12.xyz", "0.0")</f>
        <v>0.0</v>
      </c>
      <c r="P116" s="13" t="str">
        <f>HYPERLINK(AC2 &amp; "/bottle/sn_c6e0373f1f23ac8134076b5960251711/rendering/13.xyz", "0.0")</f>
        <v>0.0</v>
      </c>
      <c r="Q116" s="13" t="str">
        <f>HYPERLINK(AC2 &amp; "/bottle/sn_c6e0373f1f23ac8134076b5960251711/rendering/14.xyz", "0.0")</f>
        <v>0.0</v>
      </c>
      <c r="R116" s="13" t="str">
        <f>HYPERLINK(AC2 &amp; "/bottle/sn_c6e0373f1f23ac8134076b5960251711/rendering/15.xyz", "0.0")</f>
        <v>0.0</v>
      </c>
      <c r="S116" s="13" t="str">
        <f>HYPERLINK(AC2 &amp; "/bottle/sn_c6e0373f1f23ac8134076b5960251711/rendering/16.xyz", "0.0")</f>
        <v>0.0</v>
      </c>
      <c r="T116" s="13" t="str">
        <f>HYPERLINK(AC2 &amp; "/bottle/sn_c6e0373f1f23ac8134076b5960251711/rendering/17.xyz", "0.0")</f>
        <v>0.0</v>
      </c>
      <c r="U116" s="13" t="str">
        <f>HYPERLINK(AC2 &amp; "/bottle/sn_c6e0373f1f23ac8134076b5960251711/rendering/18.xyz", "0.0")</f>
        <v>0.0</v>
      </c>
      <c r="V116" s="13" t="str">
        <f>HYPERLINK(AC2 &amp; "/bottle/sn_c6e0373f1f23ac8134076b5960251711/rendering/19.xyz", "0.0")</f>
        <v>0.0</v>
      </c>
      <c r="W116" s="12" t="s">
        <v>33</v>
      </c>
      <c r="X116" s="13">
        <v>0</v>
      </c>
      <c r="Y116" s="13">
        <v>0</v>
      </c>
      <c r="Z116" s="13">
        <v>0</v>
      </c>
    </row>
    <row r="117" spans="1:26" x14ac:dyDescent="0.2">
      <c r="A117" s="1">
        <v>115</v>
      </c>
      <c r="B117" s="2" t="s">
        <v>56</v>
      </c>
      <c r="C117" s="34" t="str">
        <f>HYPERLINK(AA2 &amp; "/bottle/sn_c771267feb7ee16761d12ece735ab44/rendering/00.obj", "3.85578582764")</f>
        <v>3.85578582764</v>
      </c>
      <c r="D117" s="48" t="str">
        <f>HYPERLINK(AA2 &amp; "/bottle/sn_c771267feb7ee16761d12ece735ab44/rendering/01.obj", "3.76692077637")</f>
        <v>3.76692077637</v>
      </c>
      <c r="E117" s="23" t="str">
        <f>HYPERLINK(AA2 &amp; "/bottle/sn_c771267feb7ee16761d12ece735ab44/rendering/02.obj", "3.53121154785")</f>
        <v>3.53121154785</v>
      </c>
      <c r="F117" s="6" t="str">
        <f>HYPERLINK(AA2 &amp; "/bottle/sn_c771267feb7ee16761d12ece735ab44/rendering/03.obj", "3.50897216797")</f>
        <v>3.50897216797</v>
      </c>
      <c r="G117" s="63" t="str">
        <f>HYPERLINK(AA2 &amp; "/bottle/sn_c771267feb7ee16761d12ece735ab44/rendering/04.obj", "3.23347320557")</f>
        <v>3.23347320557</v>
      </c>
      <c r="H117" s="73" t="str">
        <f>HYPERLINK(AA2 &amp; "/bottle/sn_c771267feb7ee16761d12ece735ab44/rendering/05.obj", "3.81345611572")</f>
        <v>3.81345611572</v>
      </c>
      <c r="I117" s="35" t="str">
        <f>HYPERLINK(AA2 &amp; "/bottle/sn_c771267feb7ee16761d12ece735ab44/rendering/06.obj", "3.46674438477")</f>
        <v>3.46674438477</v>
      </c>
      <c r="J117" s="60" t="str">
        <f>HYPERLINK(AA2 &amp; "/bottle/sn_c771267feb7ee16761d12ece735ab44/rendering/07.obj", "3.86445678711")</f>
        <v>3.86445678711</v>
      </c>
      <c r="K117" s="107" t="str">
        <f>HYPERLINK(AA2 &amp; "/bottle/sn_c771267feb7ee16761d12ece735ab44/rendering/08.obj", "3.98364746094")</f>
        <v>3.98364746094</v>
      </c>
      <c r="L117" s="30" t="str">
        <f>HYPERLINK(AA2 &amp; "/bottle/sn_c771267feb7ee16761d12ece735ab44/rendering/09.obj", "3.69234558105")</f>
        <v>3.69234558105</v>
      </c>
      <c r="M117" s="13" t="str">
        <f>HYPERLINK(AA2 &amp; "/bottle/sn_c771267feb7ee16761d12ece735ab44/rendering/10.obj", "3.67009857178")</f>
        <v>3.67009857178</v>
      </c>
      <c r="N117" s="23" t="str">
        <f>HYPERLINK(AA2 &amp; "/bottle/sn_c771267feb7ee16761d12ece735ab44/rendering/11.obj", "3.52853881836")</f>
        <v>3.52853881836</v>
      </c>
      <c r="O117" s="69" t="str">
        <f>HYPERLINK(AA2 &amp; "/bottle/sn_c771267feb7ee16761d12ece735ab44/rendering/12.obj", "3.5668460083")</f>
        <v>3.5668460083</v>
      </c>
      <c r="P117" s="48" t="str">
        <f>HYPERLINK(AA2 &amp; "/bottle/sn_c771267feb7ee16761d12ece735ab44/rendering/13.obj", "3.76500396729")</f>
        <v>3.76500396729</v>
      </c>
      <c r="Q117" s="17" t="str">
        <f>HYPERLINK(AA2 &amp; "/bottle/sn_c771267feb7ee16761d12ece735ab44/rendering/14.obj", "3.74551116943")</f>
        <v>3.74551116943</v>
      </c>
      <c r="R117" s="25" t="str">
        <f>HYPERLINK(AA2 &amp; "/bottle/sn_c771267feb7ee16761d12ece735ab44/rendering/15.obj", "3.7166229248")</f>
        <v>3.7166229248</v>
      </c>
      <c r="S117" s="10" t="str">
        <f>HYPERLINK(AA2 &amp; "/bottle/sn_c771267feb7ee16761d12ece735ab44/rendering/16.obj", "3.8715838623")</f>
        <v>3.8715838623</v>
      </c>
      <c r="T117" s="25" t="str">
        <f>HYPERLINK(AA2 &amp; "/bottle/sn_c771267feb7ee16761d12ece735ab44/rendering/17.obj", "3.71406890869")</f>
        <v>3.71406890869</v>
      </c>
      <c r="U117" s="51" t="str">
        <f>HYPERLINK(AA2 &amp; "/bottle/sn_c771267feb7ee16761d12ece735ab44/rendering/18.obj", "3.37894042969")</f>
        <v>3.37894042969</v>
      </c>
      <c r="V117" s="68" t="str">
        <f>HYPERLINK(AA2 &amp; "/bottle/sn_c771267feb7ee16761d12ece735ab44/rendering/19.obj", "3.83607971191")</f>
        <v>3.83607971191</v>
      </c>
      <c r="W117" s="12" t="s">
        <v>29</v>
      </c>
      <c r="X117" s="13">
        <v>3.6755154113769541</v>
      </c>
      <c r="Y117" s="13">
        <v>0.18439890584533219</v>
      </c>
      <c r="Z117" s="34">
        <v>5.0169536842249583E-2</v>
      </c>
    </row>
    <row r="118" spans="1:26" x14ac:dyDescent="0.2">
      <c r="A118" s="1">
        <v>116</v>
      </c>
      <c r="B118" s="2" t="s">
        <v>56</v>
      </c>
      <c r="C118" s="136" t="str">
        <f>HYPERLINK(AA2 &amp; "/bottle/sn_c771267feb7ee16761d12ece735ab44/rendering/00.obj", "2.80848884583")</f>
        <v>2.80848884583</v>
      </c>
      <c r="D118" s="175" t="str">
        <f>HYPERLINK(AA2 &amp; "/bottle/sn_c771267feb7ee16761d12ece735ab44/rendering/01.obj", "2.80339193344")</f>
        <v>2.80339193344</v>
      </c>
      <c r="E118" s="6" t="str">
        <f>HYPERLINK(AA2 &amp; "/bottle/sn_c771267feb7ee16761d12ece735ab44/rendering/02.obj", "2.16831612587")</f>
        <v>2.16831612587</v>
      </c>
      <c r="F118" s="83" t="str">
        <f>HYPERLINK(AA2 &amp; "/bottle/sn_c771267feb7ee16761d12ece735ab44/rendering/03.obj", "1.92776620388")</f>
        <v>1.92776620388</v>
      </c>
      <c r="G118" s="80" t="str">
        <f>HYPERLINK(AA2 &amp; "/bottle/sn_c771267feb7ee16761d12ece735ab44/rendering/04.obj", "1.93687653542")</f>
        <v>1.93687653542</v>
      </c>
      <c r="H118" s="35" t="str">
        <f>HYPERLINK(AA2 &amp; "/bottle/sn_c771267feb7ee16761d12ece735ab44/rendering/05.obj", "2.40088248253")</f>
        <v>2.40088248253</v>
      </c>
      <c r="I118" s="66" t="str">
        <f>HYPERLINK(AA2 &amp; "/bottle/sn_c771267feb7ee16761d12ece735ab44/rendering/06.obj", "1.90742051601")</f>
        <v>1.90742051601</v>
      </c>
      <c r="J118" s="110" t="str">
        <f>HYPERLINK(AA2 &amp; "/bottle/sn_c771267feb7ee16761d12ece735ab44/rendering/07.obj", "2.04703307152")</f>
        <v>2.04703307152</v>
      </c>
      <c r="K118" s="41" t="str">
        <f>HYPERLINK(AA2 &amp; "/bottle/sn_c771267feb7ee16761d12ece735ab44/rendering/08.obj", "2.12029480934")</f>
        <v>2.12029480934</v>
      </c>
      <c r="L118" s="83" t="str">
        <f>HYPERLINK(AA2 &amp; "/bottle/sn_c771267feb7ee16761d12ece735ab44/rendering/09.obj", "1.9283465147")</f>
        <v>1.9283465147</v>
      </c>
      <c r="M118" s="61" t="str">
        <f>HYPERLINK(AA2 &amp; "/bottle/sn_c771267feb7ee16761d12ece735ab44/rendering/10.obj", "2.96287107468")</f>
        <v>2.96287107468</v>
      </c>
      <c r="N118" s="32" t="str">
        <f>HYPERLINK(AA2 &amp; "/bottle/sn_c771267feb7ee16761d12ece735ab44/rendering/11.obj", "2.03518629074")</f>
        <v>2.03518629074</v>
      </c>
      <c r="O118" s="25" t="str">
        <f>HYPERLINK(AA2 &amp; "/bottle/sn_c771267feb7ee16761d12ece735ab44/rendering/12.obj", "2.24516487122")</f>
        <v>2.24516487122</v>
      </c>
      <c r="P118" s="124" t="str">
        <f>HYPERLINK(AA2 &amp; "/bottle/sn_c771267feb7ee16761d12ece735ab44/rendering/13.obj", "3.13641834259")</f>
        <v>3.13641834259</v>
      </c>
      <c r="Q118" s="51" t="str">
        <f>HYPERLINK(AA2 &amp; "/bottle/sn_c771267feb7ee16761d12ece735ab44/rendering/14.obj", "2.45216941833")</f>
        <v>2.45216941833</v>
      </c>
      <c r="R118" s="67" t="str">
        <f>HYPERLINK(AA2 &amp; "/bottle/sn_c771267feb7ee16761d12ece735ab44/rendering/15.obj", "2.05971646309")</f>
        <v>2.05971646309</v>
      </c>
      <c r="S118" s="90" t="str">
        <f>HYPERLINK(AA2 &amp; "/bottle/sn_c771267feb7ee16761d12ece735ab44/rendering/16.obj", "2.05705785751")</f>
        <v>2.05705785751</v>
      </c>
      <c r="T118" s="46" t="str">
        <f>HYPERLINK(AA2 &amp; "/bottle/sn_c771267feb7ee16761d12ece735ab44/rendering/17.obj", "2.23560237885")</f>
        <v>2.23560237885</v>
      </c>
      <c r="U118" s="67" t="str">
        <f>HYPERLINK(AA2 &amp; "/bottle/sn_c771267feb7ee16761d12ece735ab44/rendering/18.obj", "2.06299304962")</f>
        <v>2.06299304962</v>
      </c>
      <c r="V118" s="35" t="str">
        <f>HYPERLINK(AA2 &amp; "/bottle/sn_c771267feb7ee16761d12ece735ab44/rendering/19.obj", "2.14202570915")</f>
        <v>2.14202570915</v>
      </c>
      <c r="W118" s="12" t="s">
        <v>30</v>
      </c>
      <c r="X118" s="13">
        <v>2.271901124715805</v>
      </c>
      <c r="Y118" s="13">
        <v>0.36193603579780909</v>
      </c>
      <c r="Z118" s="79">
        <v>0.15930976566732591</v>
      </c>
    </row>
    <row r="119" spans="1:26" x14ac:dyDescent="0.2">
      <c r="A119" s="1">
        <v>117</v>
      </c>
      <c r="B119" s="2" t="s">
        <v>56</v>
      </c>
      <c r="C119" s="38" t="str">
        <f>HYPERLINK(AB2 &amp; "/bottle/sn_c771267feb7ee16761d12ece735ab44/rendering/00.obj", "5.52698181152")</f>
        <v>5.52698181152</v>
      </c>
      <c r="D119" s="69" t="str">
        <f>HYPERLINK(AB2 &amp; "/bottle/sn_c771267feb7ee16761d12ece735ab44/rendering/01.obj", "4.9254309082")</f>
        <v>4.9254309082</v>
      </c>
      <c r="E119" s="70" t="str">
        <f>HYPERLINK(AB2 &amp; "/bottle/sn_c771267feb7ee16761d12ece735ab44/rendering/02.obj", "5.72856140137")</f>
        <v>5.72856140137</v>
      </c>
      <c r="F119" s="42" t="str">
        <f>HYPERLINK(AB2 &amp; "/bottle/sn_c771267feb7ee16761d12ece735ab44/rendering/03.obj", "4.38703674316")</f>
        <v>4.38703674316</v>
      </c>
      <c r="G119" s="71" t="str">
        <f>HYPERLINK(AB2 &amp; "/bottle/sn_c771267feb7ee16761d12ece735ab44/rendering/04.obj", "4.48059143066")</f>
        <v>4.48059143066</v>
      </c>
      <c r="H119" s="68" t="str">
        <f>HYPERLINK(AB2 &amp; "/bottle/sn_c771267feb7ee16761d12ece735ab44/rendering/05.obj", "4.85930847168")</f>
        <v>4.85930847168</v>
      </c>
      <c r="I119" s="90" t="str">
        <f>HYPERLINK(AB2 &amp; "/bottle/sn_c771267feb7ee16761d12ece735ab44/rendering/06.obj", "4.58623809814")</f>
        <v>4.58623809814</v>
      </c>
      <c r="J119" s="91" t="str">
        <f>HYPERLINK(AB2 &amp; "/bottle/sn_c771267feb7ee16761d12ece735ab44/rendering/07.obj", "4.94735961914")</f>
        <v>4.94735961914</v>
      </c>
      <c r="K119" s="6" t="str">
        <f>HYPERLINK(AB2 &amp; "/bottle/sn_c771267feb7ee16761d12ece735ab44/rendering/08.obj", "5.31262207031")</f>
        <v>5.31262207031</v>
      </c>
      <c r="L119" s="26" t="str">
        <f>HYPERLINK(AB2 &amp; "/bottle/sn_c771267feb7ee16761d12ece735ab44/rendering/09.obj", "4.75644042969")</f>
        <v>4.75644042969</v>
      </c>
      <c r="M119" s="107" t="str">
        <f>HYPERLINK(AB2 &amp; "/bottle/sn_c771267feb7ee16761d12ece735ab44/rendering/10.obj", "4.65508056641")</f>
        <v>4.65508056641</v>
      </c>
      <c r="N119" s="67" t="str">
        <f>HYPERLINK(AB2 &amp; "/bottle/sn_c771267feb7ee16761d12ece735ab44/rendering/11.obj", "5.54180786133")</f>
        <v>5.54180786133</v>
      </c>
      <c r="O119" s="47" t="str">
        <f>HYPERLINK(AB2 &amp; "/bottle/sn_c771267feb7ee16761d12ece735ab44/rendering/12.obj", "5.03419616699")</f>
        <v>5.03419616699</v>
      </c>
      <c r="P119" s="34" t="str">
        <f>HYPERLINK(AB2 &amp; "/bottle/sn_c771267feb7ee16761d12ece735ab44/rendering/13.obj", "5.32452392578")</f>
        <v>5.32452392578</v>
      </c>
      <c r="Q119" s="27" t="str">
        <f>HYPERLINK(AB2 &amp; "/bottle/sn_c771267feb7ee16761d12ece735ab44/rendering/14.obj", "4.72216217041")</f>
        <v>4.72216217041</v>
      </c>
      <c r="R119" s="110" t="str">
        <f>HYPERLINK(AB2 &amp; "/bottle/sn_c771267feb7ee16761d12ece735ab44/rendering/15.obj", "5.57771057129")</f>
        <v>5.57771057129</v>
      </c>
      <c r="S119" s="30" t="str">
        <f>HYPERLINK(AB2 &amp; "/bottle/sn_c771267feb7ee16761d12ece735ab44/rendering/16.obj", "5.06076843262")</f>
        <v>5.06076843262</v>
      </c>
      <c r="T119" s="30" t="str">
        <f>HYPERLINK(AB2 &amp; "/bottle/sn_c771267feb7ee16761d12ece735ab44/rendering/17.obj", "5.10156005859")</f>
        <v>5.10156005859</v>
      </c>
      <c r="U119" s="67" t="str">
        <f>HYPERLINK(AB2 &amp; "/bottle/sn_c771267feb7ee16761d12ece735ab44/rendering/18.obj", "5.54195739746")</f>
        <v>5.54195739746</v>
      </c>
      <c r="V119" s="5" t="str">
        <f>HYPERLINK(AB2 &amp; "/bottle/sn_c771267feb7ee16761d12ece735ab44/rendering/19.obj", "5.4640814209")</f>
        <v>5.4640814209</v>
      </c>
      <c r="W119" s="12" t="s">
        <v>31</v>
      </c>
      <c r="X119" s="13">
        <v>5.0767209777832019</v>
      </c>
      <c r="Y119" s="13">
        <v>0.39659345182518091</v>
      </c>
      <c r="Z119" s="5">
        <v>7.8120001780826093E-2</v>
      </c>
    </row>
    <row r="120" spans="1:26" x14ac:dyDescent="0.2">
      <c r="A120" s="1">
        <v>118</v>
      </c>
      <c r="B120" s="2" t="s">
        <v>56</v>
      </c>
      <c r="C120" s="83" t="str">
        <f>HYPERLINK(AB2 &amp; "/bottle/sn_c771267feb7ee16761d12ece735ab44/rendering/00.obj", "2.91466093063")</f>
        <v>2.91466093063</v>
      </c>
      <c r="D120" s="6" t="str">
        <f>HYPERLINK(AB2 &amp; "/bottle/sn_c771267feb7ee16761d12ece735ab44/rendering/01.obj", "2.41488027573")</f>
        <v>2.41488027573</v>
      </c>
      <c r="E120" s="55" t="str">
        <f>HYPERLINK(AB2 &amp; "/bottle/sn_c771267feb7ee16761d12ece735ab44/rendering/02.obj", "3.01270246506")</f>
        <v>3.01270246506</v>
      </c>
      <c r="F120" s="93" t="str">
        <f>HYPERLINK(AB2 &amp; "/bottle/sn_c771267feb7ee16761d12ece735ab44/rendering/03.obj", "2.17295694351")</f>
        <v>2.17295694351</v>
      </c>
      <c r="G120" s="8" t="str">
        <f>HYPERLINK(AB2 &amp; "/bottle/sn_c771267feb7ee16761d12ece735ab44/rendering/04.obj", "2.16921615601")</f>
        <v>2.16921615601</v>
      </c>
      <c r="H120" s="63" t="str">
        <f>HYPERLINK(AB2 &amp; "/bottle/sn_c771267feb7ee16761d12ece735ab44/rendering/05.obj", "2.22102975845")</f>
        <v>2.22102975845</v>
      </c>
      <c r="I120" s="8" t="str">
        <f>HYPERLINK(AB2 &amp; "/bottle/sn_c771267feb7ee16761d12ece735ab44/rendering/06.obj", "2.16810107231")</f>
        <v>2.16810107231</v>
      </c>
      <c r="J120" s="17" t="str">
        <f>HYPERLINK(AB2 &amp; "/bottle/sn_c771267feb7ee16761d12ece735ab44/rendering/07.obj", "2.47916007042")</f>
        <v>2.47916007042</v>
      </c>
      <c r="K120" s="90" t="str">
        <f>HYPERLINK(AB2 &amp; "/bottle/sn_c771267feb7ee16761d12ece735ab44/rendering/08.obj", "2.77294421196")</f>
        <v>2.77294421196</v>
      </c>
      <c r="L120" s="78" t="str">
        <f>HYPERLINK(AB2 &amp; "/bottle/sn_c771267feb7ee16761d12ece735ab44/rendering/09.obj", "2.37635612488")</f>
        <v>2.37635612488</v>
      </c>
      <c r="M120" s="64" t="str">
        <f>HYPERLINK(AB2 &amp; "/bottle/sn_c771267feb7ee16761d12ece735ab44/rendering/10.obj", "2.11392617226")</f>
        <v>2.11392617226</v>
      </c>
      <c r="N120" s="65" t="str">
        <f>HYPERLINK(AB2 &amp; "/bottle/sn_c771267feb7ee16761d12ece735ab44/rendering/11.obj", "2.86690759659")</f>
        <v>2.86690759659</v>
      </c>
      <c r="O120" s="68" t="str">
        <f>HYPERLINK(AB2 &amp; "/bottle/sn_c771267feb7ee16761d12ece735ab44/rendering/12.obj", "2.41891717911")</f>
        <v>2.41891717911</v>
      </c>
      <c r="P120" s="23" t="str">
        <f>HYPERLINK(AB2 &amp; "/bottle/sn_c771267feb7ee16761d12ece735ab44/rendering/13.obj", "2.42477273941")</f>
        <v>2.42477273941</v>
      </c>
      <c r="Q120" s="6" t="str">
        <f>HYPERLINK(AB2 &amp; "/bottle/sn_c771267feb7ee16761d12ece735ab44/rendering/14.obj", "2.41492652893")</f>
        <v>2.41492652893</v>
      </c>
      <c r="R120" s="82" t="str">
        <f>HYPERLINK(AB2 &amp; "/bottle/sn_c771267feb7ee16761d12ece735ab44/rendering/15.obj", "3.04557037354")</f>
        <v>3.04557037354</v>
      </c>
      <c r="S120" s="48" t="str">
        <f>HYPERLINK(AB2 &amp; "/bottle/sn_c771267feb7ee16761d12ece735ab44/rendering/16.obj", "2.58672404289")</f>
        <v>2.58672404289</v>
      </c>
      <c r="T120" s="69" t="str">
        <f>HYPERLINK(AB2 &amp; "/bottle/sn_c771267feb7ee16761d12ece735ab44/rendering/17.obj", "2.60303783417")</f>
        <v>2.60303783417</v>
      </c>
      <c r="U120" s="30" t="str">
        <f>HYPERLINK(AB2 &amp; "/bottle/sn_c771267feb7ee16761d12ece735ab44/rendering/18.obj", "2.51304411888")</f>
        <v>2.51304411888</v>
      </c>
      <c r="V120" s="65" t="str">
        <f>HYPERLINK(AB2 &amp; "/bottle/sn_c771267feb7ee16761d12ece735ab44/rendering/19.obj", "2.86389088631")</f>
        <v>2.86389088631</v>
      </c>
      <c r="W120" s="12" t="s">
        <v>32</v>
      </c>
      <c r="X120" s="13">
        <v>2.5276862740516659</v>
      </c>
      <c r="Y120" s="13">
        <v>0.28920720902934482</v>
      </c>
      <c r="Z120" s="106">
        <v>0.11441578490109459</v>
      </c>
    </row>
    <row r="121" spans="1:26" x14ac:dyDescent="0.2">
      <c r="A121" s="1">
        <v>119</v>
      </c>
      <c r="B121" s="2" t="s">
        <v>56</v>
      </c>
      <c r="C121" s="13" t="str">
        <f>HYPERLINK(AC2 &amp; "/bottle/sn_c771267feb7ee16761d12ece735ab44/rendering/00.xyz", "0.0")</f>
        <v>0.0</v>
      </c>
      <c r="D121" s="13" t="str">
        <f>HYPERLINK(AC2 &amp; "/bottle/sn_c771267feb7ee16761d12ece735ab44/rendering/01.xyz", "0.0")</f>
        <v>0.0</v>
      </c>
      <c r="E121" s="13" t="str">
        <f>HYPERLINK(AC2 &amp; "/bottle/sn_c771267feb7ee16761d12ece735ab44/rendering/02.xyz", "0.0")</f>
        <v>0.0</v>
      </c>
      <c r="F121" s="13" t="str">
        <f>HYPERLINK(AC2 &amp; "/bottle/sn_c771267feb7ee16761d12ece735ab44/rendering/03.xyz", "0.0")</f>
        <v>0.0</v>
      </c>
      <c r="G121" s="13" t="str">
        <f>HYPERLINK(AC2 &amp; "/bottle/sn_c771267feb7ee16761d12ece735ab44/rendering/04.xyz", "0.0")</f>
        <v>0.0</v>
      </c>
      <c r="H121" s="13" t="str">
        <f>HYPERLINK(AC2 &amp; "/bottle/sn_c771267feb7ee16761d12ece735ab44/rendering/05.xyz", "0.0")</f>
        <v>0.0</v>
      </c>
      <c r="I121" s="13" t="str">
        <f>HYPERLINK(AC2 &amp; "/bottle/sn_c771267feb7ee16761d12ece735ab44/rendering/06.xyz", "0.0")</f>
        <v>0.0</v>
      </c>
      <c r="J121" s="13" t="str">
        <f>HYPERLINK(AC2 &amp; "/bottle/sn_c771267feb7ee16761d12ece735ab44/rendering/07.xyz", "0.0")</f>
        <v>0.0</v>
      </c>
      <c r="K121" s="13" t="str">
        <f>HYPERLINK(AC2 &amp; "/bottle/sn_c771267feb7ee16761d12ece735ab44/rendering/08.xyz", "0.0")</f>
        <v>0.0</v>
      </c>
      <c r="L121" s="13" t="str">
        <f>HYPERLINK(AC2 &amp; "/bottle/sn_c771267feb7ee16761d12ece735ab44/rendering/09.xyz", "0.0")</f>
        <v>0.0</v>
      </c>
      <c r="M121" s="13" t="str">
        <f>HYPERLINK(AC2 &amp; "/bottle/sn_c771267feb7ee16761d12ece735ab44/rendering/10.xyz", "0.0")</f>
        <v>0.0</v>
      </c>
      <c r="N121" s="13" t="str">
        <f>HYPERLINK(AC2 &amp; "/bottle/sn_c771267feb7ee16761d12ece735ab44/rendering/11.xyz", "0.0")</f>
        <v>0.0</v>
      </c>
      <c r="O121" s="13" t="str">
        <f>HYPERLINK(AC2 &amp; "/bottle/sn_c771267feb7ee16761d12ece735ab44/rendering/12.xyz", "0.0")</f>
        <v>0.0</v>
      </c>
      <c r="P121" s="13" t="str">
        <f>HYPERLINK(AC2 &amp; "/bottle/sn_c771267feb7ee16761d12ece735ab44/rendering/13.xyz", "0.0")</f>
        <v>0.0</v>
      </c>
      <c r="Q121" s="13" t="str">
        <f>HYPERLINK(AC2 &amp; "/bottle/sn_c771267feb7ee16761d12ece735ab44/rendering/14.xyz", "0.0")</f>
        <v>0.0</v>
      </c>
      <c r="R121" s="13" t="str">
        <f>HYPERLINK(AC2 &amp; "/bottle/sn_c771267feb7ee16761d12ece735ab44/rendering/15.xyz", "0.0")</f>
        <v>0.0</v>
      </c>
      <c r="S121" s="13" t="str">
        <f>HYPERLINK(AC2 &amp; "/bottle/sn_c771267feb7ee16761d12ece735ab44/rendering/16.xyz", "0.0")</f>
        <v>0.0</v>
      </c>
      <c r="T121" s="13" t="str">
        <f>HYPERLINK(AC2 &amp; "/bottle/sn_c771267feb7ee16761d12ece735ab44/rendering/17.xyz", "0.0")</f>
        <v>0.0</v>
      </c>
      <c r="U121" s="13" t="str">
        <f>HYPERLINK(AC2 &amp; "/bottle/sn_c771267feb7ee16761d12ece735ab44/rendering/18.xyz", "0.0")</f>
        <v>0.0</v>
      </c>
      <c r="V121" s="13" t="str">
        <f>HYPERLINK(AC2 &amp; "/bottle/sn_c771267feb7ee16761d12ece735ab44/rendering/19.xyz", "0.0")</f>
        <v>0.0</v>
      </c>
      <c r="W121" s="12" t="s">
        <v>33</v>
      </c>
      <c r="X121" s="13">
        <v>0</v>
      </c>
      <c r="Y121" s="13">
        <v>0</v>
      </c>
      <c r="Z121" s="13">
        <v>0</v>
      </c>
    </row>
    <row r="122" spans="1:26" x14ac:dyDescent="0.2">
      <c r="A122" s="1">
        <v>120</v>
      </c>
      <c r="B122" s="2" t="s">
        <v>57</v>
      </c>
      <c r="C122" s="98" t="str">
        <f>HYPERLINK(AA2 &amp; "/bottle/sn_c80173e23efaac35535deb3b0c692a2a/rendering/00.obj", "1.8434954834")</f>
        <v>1.8434954834</v>
      </c>
      <c r="D122" s="93" t="str">
        <f>HYPERLINK(AA2 &amp; "/bottle/sn_c80173e23efaac35535deb3b0c692a2a/rendering/01.obj", "2.06486541748")</f>
        <v>2.06486541748</v>
      </c>
      <c r="E122" s="136" t="str">
        <f>HYPERLINK(AA2 &amp; "/bottle/sn_c80173e23efaac35535deb3b0c692a2a/rendering/02.obj", "1.82658599854")</f>
        <v>1.82658599854</v>
      </c>
      <c r="F122" s="107" t="str">
        <f>HYPERLINK(AA2 &amp; "/bottle/sn_c80173e23efaac35535deb3b0c692a2a/rendering/03.obj", "2.19838409424")</f>
        <v>2.19838409424</v>
      </c>
      <c r="G122" s="93" t="str">
        <f>HYPERLINK(AA2 &amp; "/bottle/sn_c80173e23efaac35535deb3b0c692a2a/rendering/04.obj", "2.05981933594")</f>
        <v>2.05981933594</v>
      </c>
      <c r="H122" s="24" t="str">
        <f>HYPERLINK(AA2 &amp; "/bottle/sn_c80173e23efaac35535deb3b0c692a2a/rendering/05.obj", "1.99547271729")</f>
        <v>1.99547271729</v>
      </c>
      <c r="I122" s="188" t="str">
        <f>HYPERLINK(AA2 &amp; "/bottle/sn_c80173e23efaac35535deb3b0c692a2a/rendering/06.obj", "4.11753265381")</f>
        <v>4.11753265381</v>
      </c>
      <c r="J122" s="105" t="str">
        <f>HYPERLINK(AA2 &amp; "/bottle/sn_c80173e23efaac35535deb3b0c692a2a/rendering/07.obj", "3.62284851074")</f>
        <v>3.62284851074</v>
      </c>
      <c r="K122" s="68" t="str">
        <f>HYPERLINK(AA2 &amp; "/bottle/sn_c80173e23efaac35535deb3b0c692a2a/rendering/08.obj", "2.49543960571")</f>
        <v>2.49543960571</v>
      </c>
      <c r="L122" s="59" t="str">
        <f>HYPERLINK(AA2 &amp; "/bottle/sn_c80173e23efaac35535deb3b0c692a2a/rendering/09.obj", "1.81946762085")</f>
        <v>1.81946762085</v>
      </c>
      <c r="M122" s="117" t="str">
        <f>HYPERLINK(AA2 &amp; "/bottle/sn_c80173e23efaac35535deb3b0c692a2a/rendering/10.obj", "1.97112091064")</f>
        <v>1.97112091064</v>
      </c>
      <c r="N122" s="72" t="str">
        <f>HYPERLINK(AA2 &amp; "/bottle/sn_c80173e23efaac35535deb3b0c692a2a/rendering/11.obj", "2.31595794678")</f>
        <v>2.31595794678</v>
      </c>
      <c r="O122" s="51" t="str">
        <f>HYPERLINK(AA2 &amp; "/bottle/sn_c80173e23efaac35535deb3b0c692a2a/rendering/12.obj", "2.20596237183")</f>
        <v>2.20596237183</v>
      </c>
      <c r="P122" s="67" t="str">
        <f>HYPERLINK(AA2 &amp; "/bottle/sn_c80173e23efaac35535deb3b0c692a2a/rendering/13.obj", "2.17277252197")</f>
        <v>2.17277252197</v>
      </c>
      <c r="Q122" s="43" t="str">
        <f>HYPERLINK(AA2 &amp; "/bottle/sn_c80173e23efaac35535deb3b0c692a2a/rendering/14.obj", "3.29370697021")</f>
        <v>3.29370697021</v>
      </c>
      <c r="R122" s="73" t="str">
        <f>HYPERLINK(AA2 &amp; "/bottle/sn_c80173e23efaac35535deb3b0c692a2a/rendering/15.obj", "2.31082397461")</f>
        <v>2.31082397461</v>
      </c>
      <c r="S122" s="24" t="str">
        <f>HYPERLINK(AA2 &amp; "/bottle/sn_c80173e23efaac35535deb3b0c692a2a/rendering/16.obj", "1.99352966309")</f>
        <v>1.99352966309</v>
      </c>
      <c r="T122" s="163" t="str">
        <f>HYPERLINK(AA2 &amp; "/bottle/sn_c80173e23efaac35535deb3b0c692a2a/rendering/17.obj", "3.45432617188")</f>
        <v>3.45432617188</v>
      </c>
      <c r="U122" s="30" t="str">
        <f>HYPERLINK(AA2 &amp; "/bottle/sn_c80173e23efaac35535deb3b0c692a2a/rendering/18.obj", "2.40541564941")</f>
        <v>2.40541564941</v>
      </c>
      <c r="V122" s="19" t="str">
        <f>HYPERLINK(AA2 &amp; "/bottle/sn_c80173e23efaac35535deb3b0c692a2a/rendering/19.obj", "1.76882446289")</f>
        <v>1.76882446289</v>
      </c>
      <c r="W122" s="12" t="s">
        <v>29</v>
      </c>
      <c r="X122" s="13">
        <v>2.396817604064942</v>
      </c>
      <c r="Y122" s="13">
        <v>0.65666630215978306</v>
      </c>
      <c r="Z122" s="113">
        <v>0.27397424862287972</v>
      </c>
    </row>
    <row r="123" spans="1:26" x14ac:dyDescent="0.2">
      <c r="A123" s="1">
        <v>121</v>
      </c>
      <c r="B123" s="2" t="s">
        <v>57</v>
      </c>
      <c r="C123" s="58" t="str">
        <f>HYPERLINK(AA2 &amp; "/bottle/sn_c80173e23efaac35535deb3b0c692a2a/rendering/00.obj", "2.10472083092")</f>
        <v>2.10472083092</v>
      </c>
      <c r="D123" s="32" t="str">
        <f>HYPERLINK(AA2 &amp; "/bottle/sn_c80173e23efaac35535deb3b0c692a2a/rendering/01.obj", "2.4846303463")</f>
        <v>2.4846303463</v>
      </c>
      <c r="E123" s="75" t="str">
        <f>HYPERLINK(AA2 &amp; "/bottle/sn_c80173e23efaac35535deb3b0c692a2a/rendering/02.obj", "2.16173577309")</f>
        <v>2.16173577309</v>
      </c>
      <c r="F123" s="47" t="str">
        <f>HYPERLINK(AA2 &amp; "/bottle/sn_c80173e23efaac35535deb3b0c692a2a/rendering/03.obj", "2.79810833931")</f>
        <v>2.79810833931</v>
      </c>
      <c r="G123" s="47" t="str">
        <f>HYPERLINK(AA2 &amp; "/bottle/sn_c80173e23efaac35535deb3b0c692a2a/rendering/04.obj", "2.75994181633")</f>
        <v>2.75994181633</v>
      </c>
      <c r="H123" s="117" t="str">
        <f>HYPERLINK(AA2 &amp; "/bottle/sn_c80173e23efaac35535deb3b0c692a2a/rendering/05.obj", "2.28638458252")</f>
        <v>2.28638458252</v>
      </c>
      <c r="I123" s="20" t="str">
        <f>HYPERLINK(AA2 &amp; "/bottle/sn_c80173e23efaac35535deb3b0c692a2a/rendering/06.obj", "5.84879922867")</f>
        <v>5.84879922867</v>
      </c>
      <c r="J123" s="41" t="str">
        <f>HYPERLINK(AA2 &amp; "/bottle/sn_c80173e23efaac35535deb3b0c692a2a/rendering/07.obj", "2.96619510651")</f>
        <v>2.96619510651</v>
      </c>
      <c r="K123" s="26" t="str">
        <f>HYPERLINK(AA2 &amp; "/bottle/sn_c80173e23efaac35535deb3b0c692a2a/rendering/08.obj", "2.95798802376")</f>
        <v>2.95798802376</v>
      </c>
      <c r="L123" s="88" t="str">
        <f>HYPERLINK(AA2 &amp; "/bottle/sn_c80173e23efaac35535deb3b0c692a2a/rendering/09.obj", "2.21778273582")</f>
        <v>2.21778273582</v>
      </c>
      <c r="M123" s="50" t="str">
        <f>HYPERLINK(AA2 &amp; "/bottle/sn_c80173e23efaac35535deb3b0c692a2a/rendering/10.obj", "2.220962286")</f>
        <v>2.220962286</v>
      </c>
      <c r="N123" s="10" t="str">
        <f>HYPERLINK(AA2 &amp; "/bottle/sn_c80173e23efaac35535deb3b0c692a2a/rendering/11.obj", "2.62531757355")</f>
        <v>2.62531757355</v>
      </c>
      <c r="O123" s="63" t="str">
        <f>HYPERLINK(AA2 &amp; "/bottle/sn_c80173e23efaac35535deb3b0c692a2a/rendering/12.obj", "2.44699048996")</f>
        <v>2.44699048996</v>
      </c>
      <c r="P123" s="136" t="str">
        <f>HYPERLINK(AA2 &amp; "/bottle/sn_c80173e23efaac35535deb3b0c692a2a/rendering/13.obj", "2.12407445908")</f>
        <v>2.12407445908</v>
      </c>
      <c r="Q123" s="28" t="str">
        <f>HYPERLINK(AA2 &amp; "/bottle/sn_c80173e23efaac35535deb3b0c692a2a/rendering/14.obj", "3.08591604233")</f>
        <v>3.08591604233</v>
      </c>
      <c r="R123" s="72" t="str">
        <f>HYPERLINK(AA2 &amp; "/bottle/sn_c80173e23efaac35535deb3b0c692a2a/rendering/15.obj", "2.86975312233")</f>
        <v>2.86975312233</v>
      </c>
      <c r="S123" s="36" t="str">
        <f>HYPERLINK(AA2 &amp; "/bottle/sn_c80173e23efaac35535deb3b0c692a2a/rendering/16.obj", "2.17781496048")</f>
        <v>2.17781496048</v>
      </c>
      <c r="T123" s="189" t="str">
        <f>HYPERLINK(AA2 &amp; "/bottle/sn_c80173e23efaac35535deb3b0c692a2a/rendering/17.obj", "4.52137184143")</f>
        <v>4.52137184143</v>
      </c>
      <c r="U123" s="48" t="str">
        <f>HYPERLINK(AA2 &amp; "/bottle/sn_c80173e23efaac35535deb3b0c692a2a/rendering/18.obj", "2.84808754921")</f>
        <v>2.84808754921</v>
      </c>
      <c r="V123" s="135" t="str">
        <f>HYPERLINK(AA2 &amp; "/bottle/sn_c80173e23efaac35535deb3b0c692a2a/rendering/19.obj", "2.06946396828")</f>
        <v>2.06946396828</v>
      </c>
      <c r="W123" s="12" t="s">
        <v>30</v>
      </c>
      <c r="X123" s="13">
        <v>2.7788019537925721</v>
      </c>
      <c r="Y123" s="13">
        <v>0.8903241731589091</v>
      </c>
      <c r="Z123" s="168">
        <v>0.32039857030608981</v>
      </c>
    </row>
    <row r="124" spans="1:26" x14ac:dyDescent="0.2">
      <c r="A124" s="1">
        <v>122</v>
      </c>
      <c r="B124" s="2" t="s">
        <v>57</v>
      </c>
      <c r="C124" s="83" t="str">
        <f>HYPERLINK(AB2 &amp; "/bottle/sn_c80173e23efaac35535deb3b0c692a2a/rendering/00.obj", "1.92904266357")</f>
        <v>1.92904266357</v>
      </c>
      <c r="D124" s="71" t="str">
        <f>HYPERLINK(AB2 &amp; "/bottle/sn_c80173e23efaac35535deb3b0c692a2a/rendering/01.obj", "2.00755783081")</f>
        <v>2.00755783081</v>
      </c>
      <c r="E124" s="38" t="str">
        <f>HYPERLINK(AB2 &amp; "/bottle/sn_c80173e23efaac35535deb3b0c692a2a/rendering/02.obj", "2.07321777344")</f>
        <v>2.07321777344</v>
      </c>
      <c r="F124" s="6" t="str">
        <f>HYPERLINK(AB2 &amp; "/bottle/sn_c80173e23efaac35535deb3b0c692a2a/rendering/03.obj", "2.37461151123")</f>
        <v>2.37461151123</v>
      </c>
      <c r="G124" s="6" t="str">
        <f>HYPERLINK(AB2 &amp; "/bottle/sn_c80173e23efaac35535deb3b0c692a2a/rendering/04.obj", "2.37952056885")</f>
        <v>2.37952056885</v>
      </c>
      <c r="H124" s="33" t="str">
        <f>HYPERLINK(AB2 &amp; "/bottle/sn_c80173e23efaac35535deb3b0c692a2a/rendering/05.obj", "2.03086120605")</f>
        <v>2.03086120605</v>
      </c>
      <c r="I124" s="72" t="str">
        <f>HYPERLINK(AB2 &amp; "/bottle/sn_c80173e23efaac35535deb3b0c692a2a/rendering/06.obj", "2.34514801025")</f>
        <v>2.34514801025</v>
      </c>
      <c r="J124" s="84" t="str">
        <f>HYPERLINK(AB2 &amp; "/bottle/sn_c80173e23efaac35535deb3b0c692a2a/rendering/07.obj", "2.60619445801")</f>
        <v>2.60619445801</v>
      </c>
      <c r="K124" s="73" t="str">
        <f>HYPERLINK(AB2 &amp; "/bottle/sn_c80173e23efaac35535deb3b0c692a2a/rendering/08.obj", "2.19200286865")</f>
        <v>2.19200286865</v>
      </c>
      <c r="L124" s="8" t="str">
        <f>HYPERLINK(AB2 &amp; "/bottle/sn_c80173e23efaac35535deb3b0c692a2a/rendering/09.obj", "1.94806060791")</f>
        <v>1.94806060791</v>
      </c>
      <c r="M124" s="90" t="str">
        <f>HYPERLINK(AB2 &amp; "/bottle/sn_c80173e23efaac35535deb3b0c692a2a/rendering/10.obj", "2.49033248901")</f>
        <v>2.49033248901</v>
      </c>
      <c r="N124" s="88" t="str">
        <f>HYPERLINK(AB2 &amp; "/bottle/sn_c80173e23efaac35535deb3b0c692a2a/rendering/11.obj", "2.73151367188")</f>
        <v>2.73151367188</v>
      </c>
      <c r="O124" s="29" t="str">
        <f>HYPERLINK(AB2 &amp; "/bottle/sn_c80173e23efaac35535deb3b0c692a2a/rendering/12.obj", "1.97922424316")</f>
        <v>1.97922424316</v>
      </c>
      <c r="P124" s="120" t="str">
        <f>HYPERLINK(AB2 &amp; "/bottle/sn_c80173e23efaac35535deb3b0c692a2a/rendering/13.obj", "2.75754089355")</f>
        <v>2.75754089355</v>
      </c>
      <c r="Q124" s="98" t="str">
        <f>HYPERLINK(AB2 &amp; "/bottle/sn_c80173e23efaac35535deb3b0c692a2a/rendering/14.obj", "2.79408203125")</f>
        <v>2.79408203125</v>
      </c>
      <c r="R124" s="48" t="str">
        <f>HYPERLINK(AB2 &amp; "/bottle/sn_c80173e23efaac35535deb3b0c692a2a/rendering/15.obj", "2.32841064453")</f>
        <v>2.32841064453</v>
      </c>
      <c r="S124" s="37" t="str">
        <f>HYPERLINK(AB2 &amp; "/bottle/sn_c80173e23efaac35535deb3b0c692a2a/rendering/16.obj", "1.87944030762")</f>
        <v>1.87944030762</v>
      </c>
      <c r="T124" s="6" t="str">
        <f>HYPERLINK(AB2 &amp; "/bottle/sn_c80173e23efaac35535deb3b0c692a2a/rendering/17.obj", "2.37925842285")</f>
        <v>2.37925842285</v>
      </c>
      <c r="U124" s="74" t="str">
        <f>HYPERLINK(AB2 &amp; "/bottle/sn_c80173e23efaac35535deb3b0c692a2a/rendering/18.obj", "2.24246536255")</f>
        <v>2.24246536255</v>
      </c>
      <c r="V124" s="63" t="str">
        <f>HYPERLINK(AB2 &amp; "/bottle/sn_c80173e23efaac35535deb3b0c692a2a/rendering/19.obj", "1.99905212402")</f>
        <v>1.99905212402</v>
      </c>
      <c r="W124" s="12" t="s">
        <v>31</v>
      </c>
      <c r="X124" s="13">
        <v>2.2733768844604492</v>
      </c>
      <c r="Y124" s="13">
        <v>0.28571472000240672</v>
      </c>
      <c r="Z124" s="70">
        <v>0.125678554205154</v>
      </c>
    </row>
    <row r="125" spans="1:26" x14ac:dyDescent="0.2">
      <c r="A125" s="1">
        <v>123</v>
      </c>
      <c r="B125" s="2" t="s">
        <v>57</v>
      </c>
      <c r="C125" s="75" t="str">
        <f>HYPERLINK(AB2 &amp; "/bottle/sn_c80173e23efaac35535deb3b0c692a2a/rendering/00.obj", "1.90075588226")</f>
        <v>1.90075588226</v>
      </c>
      <c r="D125" s="117" t="str">
        <f>HYPERLINK(AB2 &amp; "/bottle/sn_c80173e23efaac35535deb3b0c692a2a/rendering/01.obj", "2.01206588745")</f>
        <v>2.01206588745</v>
      </c>
      <c r="E125" s="26" t="str">
        <f>HYPERLINK(AB2 &amp; "/bottle/sn_c80173e23efaac35535deb3b0c692a2a/rendering/02.obj", "2.28962469101")</f>
        <v>2.28962469101</v>
      </c>
      <c r="F125" s="134" t="str">
        <f>HYPERLINK(AB2 &amp; "/bottle/sn_c80173e23efaac35535deb3b0c692a2a/rendering/03.obj", "2.88576364517")</f>
        <v>2.88576364517</v>
      </c>
      <c r="G125" s="35" t="str">
        <f>HYPERLINK(AB2 &amp; "/bottle/sn_c80173e23efaac35535deb3b0c692a2a/rendering/04.obj", "2.58907604218")</f>
        <v>2.58907604218</v>
      </c>
      <c r="H125" s="32" t="str">
        <f>HYPERLINK(AB2 &amp; "/bottle/sn_c80173e23efaac35535deb3b0c692a2a/rendering/05.obj", "2.18950271606")</f>
        <v>2.18950271606</v>
      </c>
      <c r="I125" s="33" t="str">
        <f>HYPERLINK(AB2 &amp; "/bottle/sn_c80173e23efaac35535deb3b0c692a2a/rendering/06.obj", "2.71156573296")</f>
        <v>2.71156573296</v>
      </c>
      <c r="J125" s="10" t="str">
        <f>HYPERLINK(AB2 &amp; "/bottle/sn_c80173e23efaac35535deb3b0c692a2a/rendering/07.obj", "2.58103942871")</f>
        <v>2.58103942871</v>
      </c>
      <c r="K125" s="78" t="str">
        <f>HYPERLINK(AB2 &amp; "/bottle/sn_c80173e23efaac35535deb3b0c692a2a/rendering/08.obj", "2.29372930527")</f>
        <v>2.29372930527</v>
      </c>
      <c r="L125" s="134" t="str">
        <f>HYPERLINK(AB2 &amp; "/bottle/sn_c80173e23efaac35535deb3b0c692a2a/rendering/09.obj", "2.00610160828")</f>
        <v>2.00610160828</v>
      </c>
      <c r="M125" s="39" t="str">
        <f>HYPERLINK(AB2 &amp; "/bottle/sn_c80173e23efaac35535deb3b0c692a2a/rendering/10.obj", "2.65228557587")</f>
        <v>2.65228557587</v>
      </c>
      <c r="N125" s="120" t="str">
        <f>HYPERLINK(AB2 &amp; "/bottle/sn_c80173e23efaac35535deb3b0c692a2a/rendering/11.obj", "2.96157884598")</f>
        <v>2.96157884598</v>
      </c>
      <c r="O125" s="117" t="str">
        <f>HYPERLINK(AB2 &amp; "/bottle/sn_c80173e23efaac35535deb3b0c692a2a/rendering/12.obj", "2.01219248772")</f>
        <v>2.01219248772</v>
      </c>
      <c r="P125" s="19" t="str">
        <f>HYPERLINK(AB2 &amp; "/bottle/sn_c80173e23efaac35535deb3b0c692a2a/rendering/13.obj", "3.08304667473")</f>
        <v>3.08304667473</v>
      </c>
      <c r="Q125" s="86" t="str">
        <f>HYPERLINK(AB2 &amp; "/bottle/sn_c80173e23efaac35535deb3b0c692a2a/rendering/14.obj", "3.10022902489")</f>
        <v>3.10022902489</v>
      </c>
      <c r="R125" s="78" t="str">
        <f>HYPERLINK(AB2 &amp; "/bottle/sn_c80173e23efaac35535deb3b0c692a2a/rendering/15.obj", "2.59599637985")</f>
        <v>2.59599637985</v>
      </c>
      <c r="S125" s="44" t="str">
        <f>HYPERLINK(AB2 &amp; "/bottle/sn_c80173e23efaac35535deb3b0c692a2a/rendering/16.obj", "1.96406674385")</f>
        <v>1.96406674385</v>
      </c>
      <c r="T125" s="32" t="str">
        <f>HYPERLINK(AB2 &amp; "/bottle/sn_c80173e23efaac35535deb3b0c692a2a/rendering/17.obj", "2.70338129997")</f>
        <v>2.70338129997</v>
      </c>
      <c r="U125" s="27" t="str">
        <f>HYPERLINK(AB2 &amp; "/bottle/sn_c80173e23efaac35535deb3b0c692a2a/rendering/18.obj", "2.27301883698")</f>
        <v>2.27301883698</v>
      </c>
      <c r="V125" s="83" t="str">
        <f>HYPERLINK(AB2 &amp; "/bottle/sn_c80173e23efaac35535deb3b0c692a2a/rendering/19.obj", "2.06806278229")</f>
        <v>2.06806278229</v>
      </c>
      <c r="W125" s="12" t="s">
        <v>32</v>
      </c>
      <c r="X125" s="13">
        <v>2.4436541795730591</v>
      </c>
      <c r="Y125" s="13">
        <v>0.38204814102234358</v>
      </c>
      <c r="Z125" s="31">
        <v>0.1563429654719363</v>
      </c>
    </row>
    <row r="126" spans="1:26" x14ac:dyDescent="0.2">
      <c r="A126" s="1">
        <v>124</v>
      </c>
      <c r="B126" s="2" t="s">
        <v>57</v>
      </c>
      <c r="C126" s="13" t="str">
        <f>HYPERLINK(AC2 &amp; "/bottle/sn_c80173e23efaac35535deb3b0c692a2a/rendering/00.xyz", "0.0")</f>
        <v>0.0</v>
      </c>
      <c r="D126" s="13" t="str">
        <f>HYPERLINK(AC2 &amp; "/bottle/sn_c80173e23efaac35535deb3b0c692a2a/rendering/01.xyz", "0.0")</f>
        <v>0.0</v>
      </c>
      <c r="E126" s="13" t="str">
        <f>HYPERLINK(AC2 &amp; "/bottle/sn_c80173e23efaac35535deb3b0c692a2a/rendering/02.xyz", "0.0")</f>
        <v>0.0</v>
      </c>
      <c r="F126" s="13" t="str">
        <f>HYPERLINK(AC2 &amp; "/bottle/sn_c80173e23efaac35535deb3b0c692a2a/rendering/03.xyz", "0.0")</f>
        <v>0.0</v>
      </c>
      <c r="G126" s="13" t="str">
        <f>HYPERLINK(AC2 &amp; "/bottle/sn_c80173e23efaac35535deb3b0c692a2a/rendering/04.xyz", "0.0")</f>
        <v>0.0</v>
      </c>
      <c r="H126" s="13" t="str">
        <f>HYPERLINK(AC2 &amp; "/bottle/sn_c80173e23efaac35535deb3b0c692a2a/rendering/05.xyz", "0.0")</f>
        <v>0.0</v>
      </c>
      <c r="I126" s="13" t="str">
        <f>HYPERLINK(AC2 &amp; "/bottle/sn_c80173e23efaac35535deb3b0c692a2a/rendering/06.xyz", "0.0")</f>
        <v>0.0</v>
      </c>
      <c r="J126" s="13" t="str">
        <f>HYPERLINK(AC2 &amp; "/bottle/sn_c80173e23efaac35535deb3b0c692a2a/rendering/07.xyz", "0.0")</f>
        <v>0.0</v>
      </c>
      <c r="K126" s="13" t="str">
        <f>HYPERLINK(AC2 &amp; "/bottle/sn_c80173e23efaac35535deb3b0c692a2a/rendering/08.xyz", "0.0")</f>
        <v>0.0</v>
      </c>
      <c r="L126" s="13" t="str">
        <f>HYPERLINK(AC2 &amp; "/bottle/sn_c80173e23efaac35535deb3b0c692a2a/rendering/09.xyz", "0.0")</f>
        <v>0.0</v>
      </c>
      <c r="M126" s="13" t="str">
        <f>HYPERLINK(AC2 &amp; "/bottle/sn_c80173e23efaac35535deb3b0c692a2a/rendering/10.xyz", "0.0")</f>
        <v>0.0</v>
      </c>
      <c r="N126" s="13" t="str">
        <f>HYPERLINK(AC2 &amp; "/bottle/sn_c80173e23efaac35535deb3b0c692a2a/rendering/11.xyz", "0.0")</f>
        <v>0.0</v>
      </c>
      <c r="O126" s="13" t="str">
        <f>HYPERLINK(AC2 &amp; "/bottle/sn_c80173e23efaac35535deb3b0c692a2a/rendering/12.xyz", "0.0")</f>
        <v>0.0</v>
      </c>
      <c r="P126" s="13" t="str">
        <f>HYPERLINK(AC2 &amp; "/bottle/sn_c80173e23efaac35535deb3b0c692a2a/rendering/13.xyz", "0.0")</f>
        <v>0.0</v>
      </c>
      <c r="Q126" s="13" t="str">
        <f>HYPERLINK(AC2 &amp; "/bottle/sn_c80173e23efaac35535deb3b0c692a2a/rendering/14.xyz", "0.0")</f>
        <v>0.0</v>
      </c>
      <c r="R126" s="13" t="str">
        <f>HYPERLINK(AC2 &amp; "/bottle/sn_c80173e23efaac35535deb3b0c692a2a/rendering/15.xyz", "0.0")</f>
        <v>0.0</v>
      </c>
      <c r="S126" s="13" t="str">
        <f>HYPERLINK(AC2 &amp; "/bottle/sn_c80173e23efaac35535deb3b0c692a2a/rendering/16.xyz", "0.0")</f>
        <v>0.0</v>
      </c>
      <c r="T126" s="13" t="str">
        <f>HYPERLINK(AC2 &amp; "/bottle/sn_c80173e23efaac35535deb3b0c692a2a/rendering/17.xyz", "0.0")</f>
        <v>0.0</v>
      </c>
      <c r="U126" s="13" t="str">
        <f>HYPERLINK(AC2 &amp; "/bottle/sn_c80173e23efaac35535deb3b0c692a2a/rendering/18.xyz", "0.0")</f>
        <v>0.0</v>
      </c>
      <c r="V126" s="13" t="str">
        <f>HYPERLINK(AC2 &amp; "/bottle/sn_c80173e23efaac35535deb3b0c692a2a/rendering/19.xyz", "0.0")</f>
        <v>0.0</v>
      </c>
      <c r="W126" s="12" t="s">
        <v>33</v>
      </c>
      <c r="X126" s="13">
        <v>0</v>
      </c>
      <c r="Y126" s="13">
        <v>0</v>
      </c>
      <c r="Z126" s="13">
        <v>0</v>
      </c>
    </row>
    <row r="127" spans="1:26" x14ac:dyDescent="0.2">
      <c r="A127" s="1">
        <v>125</v>
      </c>
      <c r="B127" s="2" t="s">
        <v>58</v>
      </c>
      <c r="C127" s="48" t="str">
        <f>HYPERLINK(AA2 &amp; "/bottle/sn_c89e84046c3ce618137d82f25c4540a4/rendering/00.obj", "1.84178878784")</f>
        <v>1.84178878784</v>
      </c>
      <c r="D127" s="42" t="str">
        <f>HYPERLINK(AA2 &amp; "/bottle/sn_c89e84046c3ce618137d82f25c4540a4/rendering/01.obj", "2.04195022583")</f>
        <v>2.04195022583</v>
      </c>
      <c r="E127" s="68" t="str">
        <f>HYPERLINK(AA2 &amp; "/bottle/sn_c89e84046c3ce618137d82f25c4540a4/rendering/02.obj", "1.71963882446")</f>
        <v>1.71963882446</v>
      </c>
      <c r="F127" s="72" t="str">
        <f>HYPERLINK(AA2 &amp; "/bottle/sn_c89e84046c3ce618137d82f25c4540a4/rendering/03.obj", "1.85474578857")</f>
        <v>1.85474578857</v>
      </c>
      <c r="G127" s="72" t="str">
        <f>HYPERLINK(AA2 &amp; "/bottle/sn_c89e84046c3ce618137d82f25c4540a4/rendering/04.obj", "1.73934783936")</f>
        <v>1.73934783936</v>
      </c>
      <c r="H127" s="30" t="str">
        <f>HYPERLINK(AA2 &amp; "/bottle/sn_c89e84046c3ce618137d82f25c4540a4/rendering/05.obj", "1.7875177002")</f>
        <v>1.7875177002</v>
      </c>
      <c r="I127" s="27" t="str">
        <f>HYPERLINK(AA2 &amp; "/bottle/sn_c89e84046c3ce618137d82f25c4540a4/rendering/06.obj", "1.92419891357")</f>
        <v>1.92419891357</v>
      </c>
      <c r="J127" s="90" t="str">
        <f>HYPERLINK(AA2 &amp; "/bottle/sn_c89e84046c3ce618137d82f25c4540a4/rendering/07.obj", "1.62469940186")</f>
        <v>1.62469940186</v>
      </c>
      <c r="K127" s="10" t="str">
        <f>HYPERLINK(AA2 &amp; "/bottle/sn_c89e84046c3ce618137d82f25c4540a4/rendering/08.obj", "1.89742156982")</f>
        <v>1.89742156982</v>
      </c>
      <c r="L127" s="17" t="str">
        <f>HYPERLINK(AA2 &amp; "/bottle/sn_c89e84046c3ce618137d82f25c4540a4/rendering/09.obj", "1.76118286133")</f>
        <v>1.76118286133</v>
      </c>
      <c r="M127" s="46" t="str">
        <f>HYPERLINK(AA2 &amp; "/bottle/sn_c89e84046c3ce618137d82f25c4540a4/rendering/10.obj", "1.82857833862")</f>
        <v>1.82857833862</v>
      </c>
      <c r="N127" s="17" t="str">
        <f>HYPERLINK(AA2 &amp; "/bottle/sn_c89e84046c3ce618137d82f25c4540a4/rendering/11.obj", "1.83192779541")</f>
        <v>1.83192779541</v>
      </c>
      <c r="O127" s="78" t="str">
        <f>HYPERLINK(AA2 &amp; "/bottle/sn_c89e84046c3ce618137d82f25c4540a4/rendering/12.obj", "1.90505310059")</f>
        <v>1.90505310059</v>
      </c>
      <c r="P127" s="35" t="str">
        <f>HYPERLINK(AA2 &amp; "/bottle/sn_c89e84046c3ce618137d82f25c4540a4/rendering/13.obj", "1.90276260376")</f>
        <v>1.90276260376</v>
      </c>
      <c r="Q127" s="17" t="str">
        <f>HYPERLINK(AA2 &amp; "/bottle/sn_c89e84046c3ce618137d82f25c4540a4/rendering/14.obj", "1.76042953491")</f>
        <v>1.76042953491</v>
      </c>
      <c r="R127" s="13" t="str">
        <f>HYPERLINK(AA2 &amp; "/bottle/sn_c89e84046c3ce618137d82f25c4540a4/rendering/15.obj", "1.79972930908")</f>
        <v>1.79972930908</v>
      </c>
      <c r="S127" s="31" t="str">
        <f>HYPERLINK(AA2 &amp; "/bottle/sn_c89e84046c3ce618137d82f25c4540a4/rendering/16.obj", "1.5181590271")</f>
        <v>1.5181590271</v>
      </c>
      <c r="T127" s="10" t="str">
        <f>HYPERLINK(AA2 &amp; "/bottle/sn_c89e84046c3ce618137d82f25c4540a4/rendering/17.obj", "1.70050643921")</f>
        <v>1.70050643921</v>
      </c>
      <c r="U127" s="106" t="str">
        <f>HYPERLINK(AA2 &amp; "/bottle/sn_c89e84046c3ce618137d82f25c4540a4/rendering/18.obj", "1.59041015625")</f>
        <v>1.59041015625</v>
      </c>
      <c r="V127" s="26" t="str">
        <f>HYPERLINK(AA2 &amp; "/bottle/sn_c89e84046c3ce618137d82f25c4540a4/rendering/19.obj", "1.91258850098")</f>
        <v>1.91258850098</v>
      </c>
      <c r="W127" s="12" t="s">
        <v>29</v>
      </c>
      <c r="X127" s="13">
        <v>1.7971318359374999</v>
      </c>
      <c r="Y127" s="13">
        <v>0.1227803495970978</v>
      </c>
      <c r="Z127" s="41">
        <v>6.8320168360407232E-2</v>
      </c>
    </row>
    <row r="128" spans="1:26" x14ac:dyDescent="0.2">
      <c r="A128" s="1">
        <v>126</v>
      </c>
      <c r="B128" s="2" t="s">
        <v>58</v>
      </c>
      <c r="C128" s="73" t="str">
        <f>HYPERLINK(AA2 &amp; "/bottle/sn_c89e84046c3ce618137d82f25c4540a4/rendering/00.obj", "3.0186612606")</f>
        <v>3.0186612606</v>
      </c>
      <c r="D128" s="136" t="str">
        <f>HYPERLINK(AA2 &amp; "/bottle/sn_c89e84046c3ce618137d82f25c4540a4/rendering/01.obj", "3.60454297066")</f>
        <v>3.60454297066</v>
      </c>
      <c r="E128" s="48" t="str">
        <f>HYPERLINK(AA2 &amp; "/bottle/sn_c89e84046c3ce618137d82f25c4540a4/rendering/02.obj", "2.84415173531")</f>
        <v>2.84415173531</v>
      </c>
      <c r="F128" s="91" t="str">
        <f>HYPERLINK(AA2 &amp; "/bottle/sn_c89e84046c3ce618137d82f25c4540a4/rendering/03.obj", "2.99231791496")</f>
        <v>2.99231791496</v>
      </c>
      <c r="G128" s="69" t="str">
        <f>HYPERLINK(AA2 &amp; "/bottle/sn_c89e84046c3ce618137d82f25c4540a4/rendering/04.obj", "2.83173084259")</f>
        <v>2.83173084259</v>
      </c>
      <c r="H128" s="38" t="str">
        <f>HYPERLINK(AA2 &amp; "/bottle/sn_c89e84046c3ce618137d82f25c4540a4/rendering/05.obj", "2.65500950813")</f>
        <v>2.65500950813</v>
      </c>
      <c r="I128" s="51" t="str">
        <f>HYPERLINK(AA2 &amp; "/bottle/sn_c89e84046c3ce618137d82f25c4540a4/rendering/06.obj", "2.68164515495")</f>
        <v>2.68164515495</v>
      </c>
      <c r="J128" s="65" t="str">
        <f>HYPERLINK(AA2 &amp; "/bottle/sn_c89e84046c3ce618137d82f25c4540a4/rendering/07.obj", "2.53114771843")</f>
        <v>2.53114771843</v>
      </c>
      <c r="K128" s="41" t="str">
        <f>HYPERLINK(AA2 &amp; "/bottle/sn_c89e84046c3ce618137d82f25c4540a4/rendering/08.obj", "3.11345553398")</f>
        <v>3.11345553398</v>
      </c>
      <c r="L128" s="23" t="str">
        <f>HYPERLINK(AA2 &amp; "/bottle/sn_c89e84046c3ce618137d82f25c4540a4/rendering/09.obj", "2.80590772629")</f>
        <v>2.80590772629</v>
      </c>
      <c r="M128" s="46" t="str">
        <f>HYPERLINK(AA2 &amp; "/bottle/sn_c89e84046c3ce618137d82f25c4540a4/rendering/10.obj", "2.86592459679")</f>
        <v>2.86592459679</v>
      </c>
      <c r="N128" s="68" t="str">
        <f>HYPERLINK(AA2 &amp; "/bottle/sn_c89e84046c3ce618137d82f25c4540a4/rendering/11.obj", "2.78989863396")</f>
        <v>2.78989863396</v>
      </c>
      <c r="O128" s="32" t="str">
        <f>HYPERLINK(AA2 &amp; "/bottle/sn_c89e84046c3ce618137d82f25c4540a4/rendering/12.obj", "3.22491621971")</f>
        <v>3.22491621971</v>
      </c>
      <c r="P128" s="76" t="str">
        <f>HYPERLINK(AA2 &amp; "/bottle/sn_c89e84046c3ce618137d82f25c4540a4/rendering/13.obj", "3.45586824417")</f>
        <v>3.45586824417</v>
      </c>
      <c r="Q128" s="6" t="str">
        <f>HYPERLINK(AA2 &amp; "/bottle/sn_c89e84046c3ce618137d82f25c4540a4/rendering/14.obj", "2.78621935844")</f>
        <v>2.78621935844</v>
      </c>
      <c r="R128" s="68" t="str">
        <f>HYPERLINK(AA2 &amp; "/bottle/sn_c89e84046c3ce618137d82f25c4540a4/rendering/15.obj", "2.78971862793")</f>
        <v>2.78971862793</v>
      </c>
      <c r="S128" s="30" t="str">
        <f>HYPERLINK(AA2 &amp; "/bottle/sn_c89e84046c3ce618137d82f25c4540a4/rendering/16.obj", "2.92676091194")</f>
        <v>2.92676091194</v>
      </c>
      <c r="T128" s="133" t="str">
        <f>HYPERLINK(AA2 &amp; "/bottle/sn_c89e84046c3ce618137d82f25c4540a4/rendering/17.obj", "2.61776423454")</f>
        <v>2.61776423454</v>
      </c>
      <c r="U128" s="90" t="str">
        <f>HYPERLINK(AA2 &amp; "/bottle/sn_c89e84046c3ce618137d82f25c4540a4/rendering/18.obj", "2.63609480858")</f>
        <v>2.63609480858</v>
      </c>
      <c r="V128" s="51" t="str">
        <f>HYPERLINK(AA2 &amp; "/bottle/sn_c89e84046c3ce618137d82f25c4540a4/rendering/19.obj", "3.15206384659")</f>
        <v>3.15206384659</v>
      </c>
      <c r="W128" s="12" t="s">
        <v>30</v>
      </c>
      <c r="X128" s="13">
        <v>2.9161899924278258</v>
      </c>
      <c r="Y128" s="13">
        <v>0.27259823052658372</v>
      </c>
      <c r="Z128" s="67">
        <v>9.3477527607738795E-2</v>
      </c>
    </row>
    <row r="129" spans="1:26" x14ac:dyDescent="0.2">
      <c r="A129" s="1">
        <v>127</v>
      </c>
      <c r="B129" s="2" t="s">
        <v>58</v>
      </c>
      <c r="C129" s="72" t="str">
        <f>HYPERLINK(AB2 &amp; "/bottle/sn_c89e84046c3ce618137d82f25c4540a4/rendering/00.obj", "2.50429626465")</f>
        <v>2.50429626465</v>
      </c>
      <c r="D129" s="78" t="str">
        <f>HYPERLINK(AB2 &amp; "/bottle/sn_c89e84046c3ce618137d82f25c4540a4/rendering/01.obj", "2.27731658936")</f>
        <v>2.27731658936</v>
      </c>
      <c r="E129" s="34" t="str">
        <f>HYPERLINK(AB2 &amp; "/bottle/sn_c89e84046c3ce618137d82f25c4540a4/rendering/02.obj", "2.30776245117")</f>
        <v>2.30776245117</v>
      </c>
      <c r="F129" s="72" t="str">
        <f>HYPERLINK(AB2 &amp; "/bottle/sn_c89e84046c3ce618137d82f25c4540a4/rendering/03.obj", "2.34114303589")</f>
        <v>2.34114303589</v>
      </c>
      <c r="G129" s="17" t="str">
        <f>HYPERLINK(AB2 &amp; "/bottle/sn_c89e84046c3ce618137d82f25c4540a4/rendering/04.obj", "2.47188980103")</f>
        <v>2.47188980103</v>
      </c>
      <c r="H129" s="17" t="str">
        <f>HYPERLINK(AB2 &amp; "/bottle/sn_c89e84046c3ce618137d82f25c4540a4/rendering/05.obj", "2.37436248779")</f>
        <v>2.37436248779</v>
      </c>
      <c r="I129" s="26" t="str">
        <f>HYPERLINK(AB2 &amp; "/bottle/sn_c89e84046c3ce618137d82f25c4540a4/rendering/06.obj", "2.26796035767")</f>
        <v>2.26796035767</v>
      </c>
      <c r="J129" s="72" t="str">
        <f>HYPERLINK(AB2 &amp; "/bottle/sn_c89e84046c3ce618137d82f25c4540a4/rendering/07.obj", "2.34810668945")</f>
        <v>2.34810668945</v>
      </c>
      <c r="K129" s="13" t="str">
        <f>HYPERLINK(AB2 &amp; "/bottle/sn_c89e84046c3ce618137d82f25c4540a4/rendering/08.obj", "2.43016540527")</f>
        <v>2.43016540527</v>
      </c>
      <c r="L129" s="63" t="str">
        <f>HYPERLINK(AB2 &amp; "/bottle/sn_c89e84046c3ce618137d82f25c4540a4/rendering/09.obj", "2.71705810547")</f>
        <v>2.71705810547</v>
      </c>
      <c r="M129" s="5" t="str">
        <f>HYPERLINK(AB2 &amp; "/bottle/sn_c89e84046c3ce618137d82f25c4540a4/rendering/10.obj", "2.23678878784")</f>
        <v>2.23678878784</v>
      </c>
      <c r="N129" s="65" t="str">
        <f>HYPERLINK(AB2 &amp; "/bottle/sn_c89e84046c3ce618137d82f25c4540a4/rendering/11.obj", "2.74613525391")</f>
        <v>2.74613525391</v>
      </c>
      <c r="O129" s="39" t="str">
        <f>HYPERLINK(AB2 &amp; "/bottle/sn_c89e84046c3ce618137d82f25c4540a4/rendering/12.obj", "2.63095397949")</f>
        <v>2.63095397949</v>
      </c>
      <c r="P129" s="39" t="str">
        <f>HYPERLINK(AB2 &amp; "/bottle/sn_c89e84046c3ce618137d82f25c4540a4/rendering/13.obj", "2.21778808594")</f>
        <v>2.21778808594</v>
      </c>
      <c r="Q129" s="17" t="str">
        <f>HYPERLINK(AB2 &amp; "/bottle/sn_c89e84046c3ce618137d82f25c4540a4/rendering/14.obj", "2.37518096924")</f>
        <v>2.37518096924</v>
      </c>
      <c r="R129" s="92" t="str">
        <f>HYPERLINK(AB2 &amp; "/bottle/sn_c89e84046c3ce618137d82f25c4540a4/rendering/15.obj", "2.72516723633")</f>
        <v>2.72516723633</v>
      </c>
      <c r="S129" s="28" t="str">
        <f>HYPERLINK(AB2 &amp; "/bottle/sn_c89e84046c3ce618137d82f25c4540a4/rendering/16.obj", "2.15310028076")</f>
        <v>2.15310028076</v>
      </c>
      <c r="T129" s="8" t="str">
        <f>HYPERLINK(AB2 &amp; "/bottle/sn_c89e84046c3ce618137d82f25c4540a4/rendering/17.obj", "2.77224914551")</f>
        <v>2.77224914551</v>
      </c>
      <c r="U129" s="94" t="str">
        <f>HYPERLINK(AB2 &amp; "/bottle/sn_c89e84046c3ce618137d82f25c4540a4/rendering/18.obj", "2.24493270874")</f>
        <v>2.24493270874</v>
      </c>
      <c r="V129" s="69" t="str">
        <f>HYPERLINK(AB2 &amp; "/bottle/sn_c89e84046c3ce618137d82f25c4540a4/rendering/19.obj", "2.35125137329")</f>
        <v>2.35125137329</v>
      </c>
      <c r="W129" s="12" t="s">
        <v>31</v>
      </c>
      <c r="X129" s="13">
        <v>2.4246804504394528</v>
      </c>
      <c r="Y129" s="13">
        <v>0.18952523451014569</v>
      </c>
      <c r="Z129" s="5">
        <v>7.8165035922896905E-2</v>
      </c>
    </row>
    <row r="130" spans="1:26" x14ac:dyDescent="0.2">
      <c r="A130" s="1">
        <v>128</v>
      </c>
      <c r="B130" s="2" t="s">
        <v>58</v>
      </c>
      <c r="C130" s="78" t="str">
        <f>HYPERLINK(AB2 &amp; "/bottle/sn_c89e84046c3ce618137d82f25c4540a4/rendering/00.obj", "2.93876266479")</f>
        <v>2.93876266479</v>
      </c>
      <c r="D130" s="26" t="str">
        <f>HYPERLINK(AB2 &amp; "/bottle/sn_c89e84046c3ce618137d82f25c4540a4/rendering/01.obj", "2.58968830109")</f>
        <v>2.58968830109</v>
      </c>
      <c r="E130" s="78" t="str">
        <f>HYPERLINK(AB2 &amp; "/bottle/sn_c89e84046c3ce618137d82f25c4540a4/rendering/02.obj", "2.60141277313")</f>
        <v>2.60141277313</v>
      </c>
      <c r="F130" s="78" t="str">
        <f>HYPERLINK(AB2 &amp; "/bottle/sn_c89e84046c3ce618137d82f25c4540a4/rendering/03.obj", "2.60150337219")</f>
        <v>2.60150337219</v>
      </c>
      <c r="G130" s="70" t="str">
        <f>HYPERLINK(AB2 &amp; "/bottle/sn_c89e84046c3ce618137d82f25c4540a4/rendering/04.obj", "3.12040948868")</f>
        <v>3.12040948868</v>
      </c>
      <c r="H130" s="5" t="str">
        <f>HYPERLINK(AB2 &amp; "/bottle/sn_c89e84046c3ce618137d82f25c4540a4/rendering/05.obj", "2.55353403091")</f>
        <v>2.55353403091</v>
      </c>
      <c r="I130" s="69" t="str">
        <f>HYPERLINK(AB2 &amp; "/bottle/sn_c89e84046c3ce618137d82f25c4540a4/rendering/06.obj", "2.68380475044")</f>
        <v>2.68380475044</v>
      </c>
      <c r="J130" s="13" t="str">
        <f>HYPERLINK(AB2 &amp; "/bottle/sn_c89e84046c3ce618137d82f25c4540a4/rendering/07.obj", "2.76788330078")</f>
        <v>2.76788330078</v>
      </c>
      <c r="K130" s="46" t="str">
        <f>HYPERLINK(AB2 &amp; "/bottle/sn_c89e84046c3ce618137d82f25c4540a4/rendering/08.obj", "2.72138357162")</f>
        <v>2.72138357162</v>
      </c>
      <c r="L130" s="68" t="str">
        <f>HYPERLINK(AB2 &amp; "/bottle/sn_c89e84046c3ce618137d82f25c4540a4/rendering/09.obj", "2.8882086277")</f>
        <v>2.8882086277</v>
      </c>
      <c r="M130" s="68" t="str">
        <f>HYPERLINK(AB2 &amp; "/bottle/sn_c89e84046c3ce618137d82f25c4540a4/rendering/10.obj", "2.65468239784")</f>
        <v>2.65468239784</v>
      </c>
      <c r="N130" s="94" t="str">
        <f>HYPERLINK(AB2 &amp; "/bottle/sn_c89e84046c3ce618137d82f25c4540a4/rendering/11.obj", "2.97295618057")</f>
        <v>2.97295618057</v>
      </c>
      <c r="O130" s="73" t="str">
        <f>HYPERLINK(AB2 &amp; "/bottle/sn_c89e84046c3ce618137d82f25c4540a4/rendering/12.obj", "2.8667845726")</f>
        <v>2.8667845726</v>
      </c>
      <c r="P130" s="33" t="str">
        <f>HYPERLINK(AB2 &amp; "/bottle/sn_c89e84046c3ce618137d82f25c4540a4/rendering/13.obj", "2.4718310833")</f>
        <v>2.4718310833</v>
      </c>
      <c r="Q130" s="38" t="str">
        <f>HYPERLINK(AB2 &amp; "/bottle/sn_c89e84046c3ce618137d82f25c4540a4/rendering/14.obj", "3.01803970337")</f>
        <v>3.01803970337</v>
      </c>
      <c r="R130" s="39" t="str">
        <f>HYPERLINK(AB2 &amp; "/bottle/sn_c89e84046c3ce618137d82f25c4540a4/rendering/15.obj", "3.00687241554")</f>
        <v>3.00687241554</v>
      </c>
      <c r="S130" s="29" t="str">
        <f>HYPERLINK(AB2 &amp; "/bottle/sn_c89e84046c3ce618137d82f25c4540a4/rendering/16.obj", "2.41167759895")</f>
        <v>2.41167759895</v>
      </c>
      <c r="T130" s="5" t="str">
        <f>HYPERLINK(AB2 &amp; "/bottle/sn_c89e84046c3ce618137d82f25c4540a4/rendering/17.obj", "2.98399233818")</f>
        <v>2.98399233818</v>
      </c>
      <c r="U130" s="92" t="str">
        <f>HYPERLINK(AB2 &amp; "/bottle/sn_c89e84046c3ce618137d82f25c4540a4/rendering/18.obj", "2.42245125771")</f>
        <v>2.42245125771</v>
      </c>
      <c r="V130" s="63" t="str">
        <f>HYPERLINK(AB2 &amp; "/bottle/sn_c89e84046c3ce618137d82f25c4540a4/rendering/19.obj", "3.10006713867")</f>
        <v>3.10006713867</v>
      </c>
      <c r="W130" s="12" t="s">
        <v>32</v>
      </c>
      <c r="X130" s="13">
        <v>2.7687972784042358</v>
      </c>
      <c r="Y130" s="13">
        <v>0.2219806192307929</v>
      </c>
      <c r="Z130" s="51">
        <v>8.0172218082621372E-2</v>
      </c>
    </row>
    <row r="131" spans="1:26" x14ac:dyDescent="0.2">
      <c r="A131" s="1">
        <v>129</v>
      </c>
      <c r="B131" s="2" t="s">
        <v>58</v>
      </c>
      <c r="C131" s="13" t="str">
        <f>HYPERLINK(AC2 &amp; "/bottle/sn_c89e84046c3ce618137d82f25c4540a4/rendering/00.xyz", "0.0")</f>
        <v>0.0</v>
      </c>
      <c r="D131" s="13" t="str">
        <f>HYPERLINK(AC2 &amp; "/bottle/sn_c89e84046c3ce618137d82f25c4540a4/rendering/01.xyz", "0.0")</f>
        <v>0.0</v>
      </c>
      <c r="E131" s="13" t="str">
        <f>HYPERLINK(AC2 &amp; "/bottle/sn_c89e84046c3ce618137d82f25c4540a4/rendering/02.xyz", "0.0")</f>
        <v>0.0</v>
      </c>
      <c r="F131" s="13" t="str">
        <f>HYPERLINK(AC2 &amp; "/bottle/sn_c89e84046c3ce618137d82f25c4540a4/rendering/03.xyz", "0.0")</f>
        <v>0.0</v>
      </c>
      <c r="G131" s="13" t="str">
        <f>HYPERLINK(AC2 &amp; "/bottle/sn_c89e84046c3ce618137d82f25c4540a4/rendering/04.xyz", "0.0")</f>
        <v>0.0</v>
      </c>
      <c r="H131" s="13" t="str">
        <f>HYPERLINK(AC2 &amp; "/bottle/sn_c89e84046c3ce618137d82f25c4540a4/rendering/05.xyz", "0.0")</f>
        <v>0.0</v>
      </c>
      <c r="I131" s="13" t="str">
        <f>HYPERLINK(AC2 &amp; "/bottle/sn_c89e84046c3ce618137d82f25c4540a4/rendering/06.xyz", "0.0")</f>
        <v>0.0</v>
      </c>
      <c r="J131" s="13" t="str">
        <f>HYPERLINK(AC2 &amp; "/bottle/sn_c89e84046c3ce618137d82f25c4540a4/rendering/07.xyz", "0.0")</f>
        <v>0.0</v>
      </c>
      <c r="K131" s="13" t="str">
        <f>HYPERLINK(AC2 &amp; "/bottle/sn_c89e84046c3ce618137d82f25c4540a4/rendering/08.xyz", "0.0")</f>
        <v>0.0</v>
      </c>
      <c r="L131" s="13" t="str">
        <f>HYPERLINK(AC2 &amp; "/bottle/sn_c89e84046c3ce618137d82f25c4540a4/rendering/09.xyz", "0.0")</f>
        <v>0.0</v>
      </c>
      <c r="M131" s="13" t="str">
        <f>HYPERLINK(AC2 &amp; "/bottle/sn_c89e84046c3ce618137d82f25c4540a4/rendering/10.xyz", "0.0")</f>
        <v>0.0</v>
      </c>
      <c r="N131" s="13" t="str">
        <f>HYPERLINK(AC2 &amp; "/bottle/sn_c89e84046c3ce618137d82f25c4540a4/rendering/11.xyz", "0.0")</f>
        <v>0.0</v>
      </c>
      <c r="O131" s="13" t="str">
        <f>HYPERLINK(AC2 &amp; "/bottle/sn_c89e84046c3ce618137d82f25c4540a4/rendering/12.xyz", "0.0")</f>
        <v>0.0</v>
      </c>
      <c r="P131" s="13" t="str">
        <f>HYPERLINK(AC2 &amp; "/bottle/sn_c89e84046c3ce618137d82f25c4540a4/rendering/13.xyz", "0.0")</f>
        <v>0.0</v>
      </c>
      <c r="Q131" s="13" t="str">
        <f>HYPERLINK(AC2 &amp; "/bottle/sn_c89e84046c3ce618137d82f25c4540a4/rendering/14.xyz", "0.0")</f>
        <v>0.0</v>
      </c>
      <c r="R131" s="13" t="str">
        <f>HYPERLINK(AC2 &amp; "/bottle/sn_c89e84046c3ce618137d82f25c4540a4/rendering/15.xyz", "0.0")</f>
        <v>0.0</v>
      </c>
      <c r="S131" s="13" t="str">
        <f>HYPERLINK(AC2 &amp; "/bottle/sn_c89e84046c3ce618137d82f25c4540a4/rendering/16.xyz", "0.0")</f>
        <v>0.0</v>
      </c>
      <c r="T131" s="13" t="str">
        <f>HYPERLINK(AC2 &amp; "/bottle/sn_c89e84046c3ce618137d82f25c4540a4/rendering/17.xyz", "0.0")</f>
        <v>0.0</v>
      </c>
      <c r="U131" s="13" t="str">
        <f>HYPERLINK(AC2 &amp; "/bottle/sn_c89e84046c3ce618137d82f25c4540a4/rendering/18.xyz", "0.0")</f>
        <v>0.0</v>
      </c>
      <c r="V131" s="13" t="str">
        <f>HYPERLINK(AC2 &amp; "/bottle/sn_c89e84046c3ce618137d82f25c4540a4/rendering/19.xyz", "0.0")</f>
        <v>0.0</v>
      </c>
      <c r="W131" s="12" t="s">
        <v>33</v>
      </c>
      <c r="X131" s="13">
        <v>0</v>
      </c>
      <c r="Y131" s="13">
        <v>0</v>
      </c>
      <c r="Z131" s="13">
        <v>0</v>
      </c>
    </row>
    <row r="132" spans="1:26" x14ac:dyDescent="0.2">
      <c r="A132" s="1">
        <v>130</v>
      </c>
      <c r="B132" s="2" t="s">
        <v>59</v>
      </c>
      <c r="C132" s="118" t="str">
        <f>HYPERLINK(AA2 &amp; "/bottle/sn_c9abedf6797223facb153d42b53a546e/rendering/00.obj", "3.34189239502")</f>
        <v>3.34189239502</v>
      </c>
      <c r="D132" s="80" t="str">
        <f>HYPERLINK(AA2 &amp; "/bottle/sn_c9abedf6797223facb153d42b53a546e/rendering/01.obj", "4.01884552002")</f>
        <v>4.01884552002</v>
      </c>
      <c r="E132" s="20" t="str">
        <f>HYPERLINK(AA2 &amp; "/bottle/sn_c9abedf6797223facb153d42b53a546e/rendering/02.obj", "8.89247192383")</f>
        <v>8.89247192383</v>
      </c>
      <c r="F132" s="94" t="str">
        <f>HYPERLINK(AA2 &amp; "/bottle/sn_c9abedf6797223facb153d42b53a546e/rendering/03.obj", "4.37402252197")</f>
        <v>4.37402252197</v>
      </c>
      <c r="G132" s="68" t="str">
        <f>HYPERLINK(AA2 &amp; "/bottle/sn_c9abedf6797223facb153d42b53a546e/rendering/04.obj", "4.52166320801")</f>
        <v>4.52166320801</v>
      </c>
      <c r="H132" s="129" t="str">
        <f>HYPERLINK(AA2 &amp; "/bottle/sn_c9abedf6797223facb153d42b53a546e/rendering/05.obj", "3.54249633789")</f>
        <v>3.54249633789</v>
      </c>
      <c r="I132" s="20" t="str">
        <f>HYPERLINK(AA2 &amp; "/bottle/sn_c9abedf6797223facb153d42b53a546e/rendering/06.obj", "15.9405786133")</f>
        <v>15.9405786133</v>
      </c>
      <c r="J132" s="39" t="str">
        <f>HYPERLINK(AA2 &amp; "/bottle/sn_c9abedf6797223facb153d42b53a546e/rendering/07.obj", "4.31794952393")</f>
        <v>4.31794952393</v>
      </c>
      <c r="K132" s="81" t="str">
        <f>HYPERLINK(AA2 &amp; "/bottle/sn_c9abedf6797223facb153d42b53a546e/rendering/08.obj", "3.69518493652")</f>
        <v>3.69518493652</v>
      </c>
      <c r="L132" s="128" t="str">
        <f>HYPERLINK(AA2 &amp; "/bottle/sn_c9abedf6797223facb153d42b53a546e/rendering/09.obj", "2.87975891113")</f>
        <v>2.87975891113</v>
      </c>
      <c r="M132" s="110" t="str">
        <f>HYPERLINK(AA2 &amp; "/bottle/sn_c9abedf6797223facb153d42b53a546e/rendering/10.obj", "4.2608416748")</f>
        <v>4.2608416748</v>
      </c>
      <c r="N132" s="113" t="str">
        <f>HYPERLINK(AA2 &amp; "/bottle/sn_c9abedf6797223facb153d42b53a546e/rendering/11.obj", "3.42849334717")</f>
        <v>3.42849334717</v>
      </c>
      <c r="O132" s="76" t="str">
        <f>HYPERLINK(AA2 &amp; "/bottle/sn_c9abedf6797223facb153d42b53a546e/rendering/12.obj", "3.84931091309")</f>
        <v>3.84931091309</v>
      </c>
      <c r="P132" s="100" t="str">
        <f>HYPERLINK(AA2 &amp; "/bottle/sn_c9abedf6797223facb153d42b53a546e/rendering/13.obj", "3.31148803711")</f>
        <v>3.31148803711</v>
      </c>
      <c r="Q132" s="82" t="str">
        <f>HYPERLINK(AA2 &amp; "/bottle/sn_c9abedf6797223facb153d42b53a546e/rendering/14.obj", "3.75097717285")</f>
        <v>3.75097717285</v>
      </c>
      <c r="R132" s="78" t="str">
        <f>HYPERLINK(AA2 &amp; "/bottle/sn_c9abedf6797223facb153d42b53a546e/rendering/15.obj", "4.43684143066")</f>
        <v>4.43684143066</v>
      </c>
      <c r="S132" s="133" t="str">
        <f>HYPERLINK(AA2 &amp; "/bottle/sn_c9abedf6797223facb153d42b53a546e/rendering/16.obj", "4.24245880127")</f>
        <v>4.24245880127</v>
      </c>
      <c r="T132" s="87" t="str">
        <f>HYPERLINK(AA2 &amp; "/bottle/sn_c9abedf6797223facb153d42b53a546e/rendering/17.obj", "3.65368164062")</f>
        <v>3.65368164062</v>
      </c>
      <c r="U132" s="136" t="str">
        <f>HYPERLINK(AA2 &amp; "/bottle/sn_c9abedf6797223facb153d42b53a546e/rendering/18.obj", "3.59973815918")</f>
        <v>3.59973815918</v>
      </c>
      <c r="V132" s="5" t="str">
        <f>HYPERLINK(AA2 &amp; "/bottle/sn_c9abedf6797223facb153d42b53a546e/rendering/19.obj", "4.36046264648")</f>
        <v>4.36046264648</v>
      </c>
      <c r="W132" s="12" t="s">
        <v>29</v>
      </c>
      <c r="X132" s="13">
        <v>4.7209578857421883</v>
      </c>
      <c r="Y132" s="13">
        <v>2.8305031012816131</v>
      </c>
      <c r="Z132" s="186">
        <v>0.59956118435837846</v>
      </c>
    </row>
    <row r="133" spans="1:26" x14ac:dyDescent="0.2">
      <c r="A133" s="1">
        <v>131</v>
      </c>
      <c r="B133" s="2" t="s">
        <v>59</v>
      </c>
      <c r="C133" s="138" t="str">
        <f>HYPERLINK(AA2 &amp; "/bottle/sn_c9abedf6797223facb153d42b53a546e/rendering/00.obj", "4.30122470856")</f>
        <v>4.30122470856</v>
      </c>
      <c r="D133" s="88" t="str">
        <f>HYPERLINK(AA2 &amp; "/bottle/sn_c9abedf6797223facb153d42b53a546e/rendering/01.obj", "5.1695022583")</f>
        <v>5.1695022583</v>
      </c>
      <c r="E133" s="9" t="str">
        <f>HYPERLINK(AA2 &amp; "/bottle/sn_c9abedf6797223facb153d42b53a546e/rendering/02.obj", "10.7421188354")</f>
        <v>10.7421188354</v>
      </c>
      <c r="F133" s="134" t="str">
        <f>HYPERLINK(AA2 &amp; "/bottle/sn_c9abedf6797223facb153d42b53a546e/rendering/03.obj", "7.65020608902")</f>
        <v>7.65020608902</v>
      </c>
      <c r="G133" s="35" t="str">
        <f>HYPERLINK(AA2 &amp; "/bottle/sn_c9abedf6797223facb153d42b53a546e/rendering/04.obj", "6.09570550919")</f>
        <v>6.09570550919</v>
      </c>
      <c r="H133" s="56" t="str">
        <f>HYPERLINK(AA2 &amp; "/bottle/sn_c9abedf6797223facb153d42b53a546e/rendering/05.obj", "4.48015356064")</f>
        <v>4.48015356064</v>
      </c>
      <c r="I133" s="20" t="str">
        <f>HYPERLINK(AA2 &amp; "/bottle/sn_c9abedf6797223facb153d42b53a546e/rendering/06.obj", "25.1048603058")</f>
        <v>25.1048603058</v>
      </c>
      <c r="J133" s="63" t="str">
        <f>HYPERLINK(AA2 &amp; "/bottle/sn_c9abedf6797223facb153d42b53a546e/rendering/07.obj", "5.70639514923")</f>
        <v>5.70639514923</v>
      </c>
      <c r="K133" s="85" t="str">
        <f>HYPERLINK(AA2 &amp; "/bottle/sn_c9abedf6797223facb153d42b53a546e/rendering/08.obj", "4.55811691284")</f>
        <v>4.55811691284</v>
      </c>
      <c r="L133" s="175" t="str">
        <f>HYPERLINK(AA2 &amp; "/bottle/sn_c9abedf6797223facb153d42b53a546e/rendering/09.obj", "4.96444416046")</f>
        <v>4.96444416046</v>
      </c>
      <c r="M133" s="136" t="str">
        <f>HYPERLINK(AA2 &amp; "/bottle/sn_c9abedf6797223facb153d42b53a546e/rendering/10.obj", "4.93772554398")</f>
        <v>4.93772554398</v>
      </c>
      <c r="N133" s="66" t="str">
        <f>HYPERLINK(AA2 &amp; "/bottle/sn_c9abedf6797223facb153d42b53a546e/rendering/11.obj", "5.43804931641")</f>
        <v>5.43804931641</v>
      </c>
      <c r="O133" s="135" t="str">
        <f>HYPERLINK(AA2 &amp; "/bottle/sn_c9abedf6797223facb153d42b53a546e/rendering/12.obj", "4.82539558411")</f>
        <v>4.82539558411</v>
      </c>
      <c r="P133" s="137" t="str">
        <f>HYPERLINK(AA2 &amp; "/bottle/sn_c9abedf6797223facb153d42b53a546e/rendering/13.obj", "4.11013031006")</f>
        <v>4.11013031006</v>
      </c>
      <c r="Q133" s="129" t="str">
        <f>HYPERLINK(AA2 &amp; "/bottle/sn_c9abedf6797223facb153d42b53a546e/rendering/14.obj", "4.85844707489")</f>
        <v>4.85844707489</v>
      </c>
      <c r="R133" s="88" t="str">
        <f>HYPERLINK(AA2 &amp; "/bottle/sn_c9abedf6797223facb153d42b53a546e/rendering/15.obj", "5.16579246521")</f>
        <v>5.16579246521</v>
      </c>
      <c r="S133" s="40" t="str">
        <f>HYPERLINK(AA2 &amp; "/bottle/sn_c9abedf6797223facb153d42b53a546e/rendering/16.obj", "5.36993503571")</f>
        <v>5.36993503571</v>
      </c>
      <c r="T133" s="98" t="str">
        <f>HYPERLINK(AA2 &amp; "/bottle/sn_c9abedf6797223facb153d42b53a546e/rendering/17.obj", "4.9888753891")</f>
        <v>4.9888753891</v>
      </c>
      <c r="U133" s="117" t="str">
        <f>HYPERLINK(AA2 &amp; "/bottle/sn_c9abedf6797223facb153d42b53a546e/rendering/18.obj", "5.32619333267")</f>
        <v>5.32619333267</v>
      </c>
      <c r="V133" s="32" t="str">
        <f>HYPERLINK(AA2 &amp; "/bottle/sn_c9abedf6797223facb153d42b53a546e/rendering/19.obj", "5.80619716644")</f>
        <v>5.80619716644</v>
      </c>
      <c r="W133" s="12" t="s">
        <v>30</v>
      </c>
      <c r="X133" s="13">
        <v>6.4799734354019174</v>
      </c>
      <c r="Y133" s="13">
        <v>4.5002045812048523</v>
      </c>
      <c r="Z133" s="190">
        <v>0.69447886261677705</v>
      </c>
    </row>
    <row r="134" spans="1:26" x14ac:dyDescent="0.2">
      <c r="A134" s="1">
        <v>132</v>
      </c>
      <c r="B134" s="2" t="s">
        <v>59</v>
      </c>
      <c r="C134" s="25" t="str">
        <f>HYPERLINK(AB2 &amp; "/bottle/sn_c9abedf6797223facb153d42b53a546e/rendering/00.obj", "3.41166168213")</f>
        <v>3.41166168213</v>
      </c>
      <c r="D134" s="69" t="str">
        <f>HYPERLINK(AB2 &amp; "/bottle/sn_c9abedf6797223facb153d42b53a546e/rendering/01.obj", "3.54446350098")</f>
        <v>3.54446350098</v>
      </c>
      <c r="E134" s="129" t="str">
        <f>HYPERLINK(AB2 &amp; "/bottle/sn_c9abedf6797223facb153d42b53a546e/rendering/02.obj", "4.30836181641")</f>
        <v>4.30836181641</v>
      </c>
      <c r="F134" s="5" t="str">
        <f>HYPERLINK(AB2 &amp; "/bottle/sn_c9abedf6797223facb153d42b53a546e/rendering/03.obj", "3.70900146484")</f>
        <v>3.70900146484</v>
      </c>
      <c r="G134" s="71" t="str">
        <f>HYPERLINK(AB2 &amp; "/bottle/sn_c9abedf6797223facb153d42b53a546e/rendering/04.obj", "3.03815887451")</f>
        <v>3.03815887451</v>
      </c>
      <c r="H134" s="63" t="str">
        <f>HYPERLINK(AB2 &amp; "/bottle/sn_c9abedf6797223facb153d42b53a546e/rendering/05.obj", "3.03442626953")</f>
        <v>3.03442626953</v>
      </c>
      <c r="I134" s="191" t="str">
        <f>HYPERLINK(AB2 &amp; "/bottle/sn_c9abedf6797223facb153d42b53a546e/rendering/06.obj", "5.01486846924")</f>
        <v>5.01486846924</v>
      </c>
      <c r="J134" s="60" t="str">
        <f>HYPERLINK(AB2 &amp; "/bottle/sn_c9abedf6797223facb153d42b53a546e/rendering/07.obj", "3.26756958008")</f>
        <v>3.26756958008</v>
      </c>
      <c r="K134" s="71" t="str">
        <f>HYPERLINK(AB2 &amp; "/bottle/sn_c9abedf6797223facb153d42b53a546e/rendering/08.obj", "3.04169921875")</f>
        <v>3.04169921875</v>
      </c>
      <c r="L134" s="106" t="str">
        <f>HYPERLINK(AB2 &amp; "/bottle/sn_c9abedf6797223facb153d42b53a546e/rendering/09.obj", "3.05508483887")</f>
        <v>3.05508483887</v>
      </c>
      <c r="M134" s="48" t="str">
        <f>HYPERLINK(AB2 &amp; "/bottle/sn_c9abedf6797223facb153d42b53a546e/rendering/10.obj", "3.36400390625")</f>
        <v>3.36400390625</v>
      </c>
      <c r="N134" s="10" t="str">
        <f>HYPERLINK(AB2 &amp; "/bottle/sn_c9abedf6797223facb153d42b53a546e/rendering/11.obj", "3.64054016113")</f>
        <v>3.64054016113</v>
      </c>
      <c r="O134" s="91" t="str">
        <f>HYPERLINK(AB2 &amp; "/bottle/sn_c9abedf6797223facb153d42b53a546e/rendering/12.obj", "3.35406463623")</f>
        <v>3.35406463623</v>
      </c>
      <c r="P134" s="60" t="str">
        <f>HYPERLINK(AB2 &amp; "/bottle/sn_c9abedf6797223facb153d42b53a546e/rendering/13.obj", "3.27267700195")</f>
        <v>3.27267700195</v>
      </c>
      <c r="Q134" s="73" t="str">
        <f>HYPERLINK(AB2 &amp; "/bottle/sn_c9abedf6797223facb153d42b53a546e/rendering/14.obj", "3.57164276123")</f>
        <v>3.57164276123</v>
      </c>
      <c r="R134" s="46" t="str">
        <f>HYPERLINK(AB2 &amp; "/bottle/sn_c9abedf6797223facb153d42b53a546e/rendering/15.obj", "3.38855407715")</f>
        <v>3.38855407715</v>
      </c>
      <c r="S134" s="42" t="str">
        <f>HYPERLINK(AB2 &amp; "/bottle/sn_c9abedf6797223facb153d42b53a546e/rendering/16.obj", "2.97767486572")</f>
        <v>2.97767486572</v>
      </c>
      <c r="T134" s="13" t="str">
        <f>HYPERLINK(AB2 &amp; "/bottle/sn_c9abedf6797223facb153d42b53a546e/rendering/17.obj", "3.44886779785")</f>
        <v>3.44886779785</v>
      </c>
      <c r="U134" s="71" t="str">
        <f>HYPERLINK(AB2 &amp; "/bottle/sn_c9abedf6797223facb153d42b53a546e/rendering/18.obj", "3.03672180176")</f>
        <v>3.03672180176</v>
      </c>
      <c r="V134" s="30" t="str">
        <f>HYPERLINK(AB2 &amp; "/bottle/sn_c9abedf6797223facb153d42b53a546e/rendering/19.obj", "3.4610357666")</f>
        <v>3.4610357666</v>
      </c>
      <c r="W134" s="12" t="s">
        <v>31</v>
      </c>
      <c r="X134" s="13">
        <v>3.4470539245605472</v>
      </c>
      <c r="Y134" s="13">
        <v>0.47212795664977092</v>
      </c>
      <c r="Z134" s="42">
        <v>0.13696564283077201</v>
      </c>
    </row>
    <row r="135" spans="1:26" x14ac:dyDescent="0.2">
      <c r="A135" s="1">
        <v>133</v>
      </c>
      <c r="B135" s="2" t="s">
        <v>59</v>
      </c>
      <c r="C135" s="71" t="str">
        <f>HYPERLINK(AB2 &amp; "/bottle/sn_c9abedf6797223facb153d42b53a546e/rendering/00.obj", "4.35086917877")</f>
        <v>4.35086917877</v>
      </c>
      <c r="D135" s="5" t="str">
        <f>HYPERLINK(AB2 &amp; "/bottle/sn_c9abedf6797223facb153d42b53a546e/rendering/01.obj", "4.5616850853")</f>
        <v>4.5616850853</v>
      </c>
      <c r="E135" s="28" t="str">
        <f>HYPERLINK(AB2 &amp; "/bottle/sn_c9abedf6797223facb153d42b53a546e/rendering/02.obj", "5.47978067398")</f>
        <v>5.47978067398</v>
      </c>
      <c r="F135" s="175" t="str">
        <f>HYPERLINK(AB2 &amp; "/bottle/sn_c9abedf6797223facb153d42b53a546e/rendering/03.obj", "6.08774089813")</f>
        <v>6.08774089813</v>
      </c>
      <c r="G135" s="25" t="str">
        <f>HYPERLINK(AB2 &amp; "/bottle/sn_c9abedf6797223facb153d42b53a546e/rendering/04.obj", "4.88251829147")</f>
        <v>4.88251829147</v>
      </c>
      <c r="H135" s="78" t="str">
        <f>HYPERLINK(AB2 &amp; "/bottle/sn_c9abedf6797223facb153d42b53a546e/rendering/05.obj", "4.64138031006")</f>
        <v>4.64138031006</v>
      </c>
      <c r="I135" s="11" t="str">
        <f>HYPERLINK(AB2 &amp; "/bottle/sn_c9abedf6797223facb153d42b53a546e/rendering/06.obj", "6.04024410248")</f>
        <v>6.04024410248</v>
      </c>
      <c r="J135" s="79" t="str">
        <f>HYPERLINK(AB2 &amp; "/bottle/sn_c9abedf6797223facb153d42b53a546e/rendering/07.obj", "4.15200710297")</f>
        <v>4.15200710297</v>
      </c>
      <c r="K135" s="80" t="str">
        <f>HYPERLINK(AB2 &amp; "/bottle/sn_c9abedf6797223facb153d42b53a546e/rendering/08.obj", "4.20214653015")</f>
        <v>4.20214653015</v>
      </c>
      <c r="L135" s="94" t="str">
        <f>HYPERLINK(AB2 &amp; "/bottle/sn_c9abedf6797223facb153d42b53a546e/rendering/09.obj", "5.30651950836")</f>
        <v>5.30651950836</v>
      </c>
      <c r="M135" s="74" t="str">
        <f>HYPERLINK(AB2 &amp; "/bottle/sn_c9abedf6797223facb153d42b53a546e/rendering/10.obj", "5.00655651093")</f>
        <v>5.00655651093</v>
      </c>
      <c r="N135" s="42" t="str">
        <f>HYPERLINK(AB2 &amp; "/bottle/sn_c9abedf6797223facb153d42b53a546e/rendering/11.obj", "5.60775518417")</f>
        <v>5.60775518417</v>
      </c>
      <c r="O135" s="46" t="str">
        <f>HYPERLINK(AB2 &amp; "/bottle/sn_c9abedf6797223facb153d42b53a546e/rendering/12.obj", "5.02299070358")</f>
        <v>5.02299070358</v>
      </c>
      <c r="P135" s="48" t="str">
        <f>HYPERLINK(AB2 &amp; "/bottle/sn_c9abedf6797223facb153d42b53a546e/rendering/13.obj", "5.06026887894")</f>
        <v>5.06026887894</v>
      </c>
      <c r="Q135" s="10" t="str">
        <f>HYPERLINK(AB2 &amp; "/bottle/sn_c9abedf6797223facb153d42b53a546e/rendering/14.obj", "4.66218137741")</f>
        <v>4.66218137741</v>
      </c>
      <c r="R135" s="26" t="str">
        <f>HYPERLINK(AB2 &amp; "/bottle/sn_c9abedf6797223facb153d42b53a546e/rendering/15.obj", "5.252825737")</f>
        <v>5.252825737</v>
      </c>
      <c r="S135" s="51" t="str">
        <f>HYPERLINK(AB2 &amp; "/bottle/sn_c9abedf6797223facb153d42b53a546e/rendering/16.obj", "4.54354476929")</f>
        <v>4.54354476929</v>
      </c>
      <c r="T135" s="83" t="str">
        <f>HYPERLINK(AB2 &amp; "/bottle/sn_c9abedf6797223facb153d42b53a546e/rendering/17.obj", "4.19015169144")</f>
        <v>4.19015169144</v>
      </c>
      <c r="U135" s="110" t="str">
        <f>HYPERLINK(AB2 &amp; "/bottle/sn_c9abedf6797223facb153d42b53a546e/rendering/18.obj", "4.44800329208")</f>
        <v>4.44800329208</v>
      </c>
      <c r="V135" s="78" t="str">
        <f>HYPERLINK(AB2 &amp; "/bottle/sn_c9abedf6797223facb153d42b53a546e/rendering/19.obj", "5.24091768265")</f>
        <v>5.24091768265</v>
      </c>
      <c r="W135" s="12" t="s">
        <v>32</v>
      </c>
      <c r="X135" s="13">
        <v>4.9370043754577626</v>
      </c>
      <c r="Y135" s="13">
        <v>0.56569362782101529</v>
      </c>
      <c r="Z135" s="106">
        <v>0.1145823630688121</v>
      </c>
    </row>
    <row r="136" spans="1:26" x14ac:dyDescent="0.2">
      <c r="A136" s="1">
        <v>134</v>
      </c>
      <c r="B136" s="2" t="s">
        <v>59</v>
      </c>
      <c r="C136" s="13" t="str">
        <f>HYPERLINK(AC2 &amp; "/bottle/sn_c9abedf6797223facb153d42b53a546e/rendering/00.xyz", "0.0")</f>
        <v>0.0</v>
      </c>
      <c r="D136" s="13" t="str">
        <f>HYPERLINK(AC2 &amp; "/bottle/sn_c9abedf6797223facb153d42b53a546e/rendering/01.xyz", "0.0")</f>
        <v>0.0</v>
      </c>
      <c r="E136" s="13" t="str">
        <f>HYPERLINK(AC2 &amp; "/bottle/sn_c9abedf6797223facb153d42b53a546e/rendering/02.xyz", "0.0")</f>
        <v>0.0</v>
      </c>
      <c r="F136" s="13" t="str">
        <f>HYPERLINK(AC2 &amp; "/bottle/sn_c9abedf6797223facb153d42b53a546e/rendering/03.xyz", "0.0")</f>
        <v>0.0</v>
      </c>
      <c r="G136" s="13" t="str">
        <f>HYPERLINK(AC2 &amp; "/bottle/sn_c9abedf6797223facb153d42b53a546e/rendering/04.xyz", "0.0")</f>
        <v>0.0</v>
      </c>
      <c r="H136" s="13" t="str">
        <f>HYPERLINK(AC2 &amp; "/bottle/sn_c9abedf6797223facb153d42b53a546e/rendering/05.xyz", "0.0")</f>
        <v>0.0</v>
      </c>
      <c r="I136" s="13" t="str">
        <f>HYPERLINK(AC2 &amp; "/bottle/sn_c9abedf6797223facb153d42b53a546e/rendering/06.xyz", "0.0")</f>
        <v>0.0</v>
      </c>
      <c r="J136" s="13" t="str">
        <f>HYPERLINK(AC2 &amp; "/bottle/sn_c9abedf6797223facb153d42b53a546e/rendering/07.xyz", "0.0")</f>
        <v>0.0</v>
      </c>
      <c r="K136" s="13" t="str">
        <f>HYPERLINK(AC2 &amp; "/bottle/sn_c9abedf6797223facb153d42b53a546e/rendering/08.xyz", "0.0")</f>
        <v>0.0</v>
      </c>
      <c r="L136" s="13" t="str">
        <f>HYPERLINK(AC2 &amp; "/bottle/sn_c9abedf6797223facb153d42b53a546e/rendering/09.xyz", "0.0")</f>
        <v>0.0</v>
      </c>
      <c r="M136" s="13" t="str">
        <f>HYPERLINK(AC2 &amp; "/bottle/sn_c9abedf6797223facb153d42b53a546e/rendering/10.xyz", "0.0")</f>
        <v>0.0</v>
      </c>
      <c r="N136" s="13" t="str">
        <f>HYPERLINK(AC2 &amp; "/bottle/sn_c9abedf6797223facb153d42b53a546e/rendering/11.xyz", "0.0")</f>
        <v>0.0</v>
      </c>
      <c r="O136" s="13" t="str">
        <f>HYPERLINK(AC2 &amp; "/bottle/sn_c9abedf6797223facb153d42b53a546e/rendering/12.xyz", "0.0")</f>
        <v>0.0</v>
      </c>
      <c r="P136" s="13" t="str">
        <f>HYPERLINK(AC2 &amp; "/bottle/sn_c9abedf6797223facb153d42b53a546e/rendering/13.xyz", "0.0")</f>
        <v>0.0</v>
      </c>
      <c r="Q136" s="13" t="str">
        <f>HYPERLINK(AC2 &amp; "/bottle/sn_c9abedf6797223facb153d42b53a546e/rendering/14.xyz", "0.0")</f>
        <v>0.0</v>
      </c>
      <c r="R136" s="13" t="str">
        <f>HYPERLINK(AC2 &amp; "/bottle/sn_c9abedf6797223facb153d42b53a546e/rendering/15.xyz", "0.0")</f>
        <v>0.0</v>
      </c>
      <c r="S136" s="13" t="str">
        <f>HYPERLINK(AC2 &amp; "/bottle/sn_c9abedf6797223facb153d42b53a546e/rendering/16.xyz", "0.0")</f>
        <v>0.0</v>
      </c>
      <c r="T136" s="13" t="str">
        <f>HYPERLINK(AC2 &amp; "/bottle/sn_c9abedf6797223facb153d42b53a546e/rendering/17.xyz", "0.0")</f>
        <v>0.0</v>
      </c>
      <c r="U136" s="13" t="str">
        <f>HYPERLINK(AC2 &amp; "/bottle/sn_c9abedf6797223facb153d42b53a546e/rendering/18.xyz", "0.0")</f>
        <v>0.0</v>
      </c>
      <c r="V136" s="13" t="str">
        <f>HYPERLINK(AC2 &amp; "/bottle/sn_c9abedf6797223facb153d42b53a546e/rendering/19.xyz", "0.0")</f>
        <v>0.0</v>
      </c>
      <c r="W136" s="12" t="s">
        <v>33</v>
      </c>
      <c r="X136" s="13">
        <v>0</v>
      </c>
      <c r="Y136" s="13">
        <v>0</v>
      </c>
      <c r="Z136" s="13">
        <v>0</v>
      </c>
    </row>
    <row r="137" spans="1:26" x14ac:dyDescent="0.2">
      <c r="A137" s="1">
        <v>135</v>
      </c>
      <c r="B137" s="2" t="s">
        <v>60</v>
      </c>
      <c r="C137" s="109" t="str">
        <f>HYPERLINK(AA2 &amp; "/bottle/sn_ca210c6696357f98e8ec08b84f068b50/rendering/00.obj", "3.52066589355")</f>
        <v>3.52066589355</v>
      </c>
      <c r="D137" s="60" t="str">
        <f>HYPERLINK(AA2 &amp; "/bottle/sn_ca210c6696357f98e8ec08b84f068b50/rendering/01.obj", "2.80570220947")</f>
        <v>2.80570220947</v>
      </c>
      <c r="E137" s="19" t="str">
        <f>HYPERLINK(AA2 &amp; "/bottle/sn_ca210c6696357f98e8ec08b84f068b50/rendering/02.obj", "2.18350036621")</f>
        <v>2.18350036621</v>
      </c>
      <c r="F137" s="6" t="str">
        <f>HYPERLINK(AA2 &amp; "/bottle/sn_ca210c6696357f98e8ec08b84f068b50/rendering/03.obj", "3.09443664551")</f>
        <v>3.09443664551</v>
      </c>
      <c r="G137" s="51" t="str">
        <f>HYPERLINK(AA2 &amp; "/bottle/sn_ca210c6696357f98e8ec08b84f068b50/rendering/04.obj", "2.71637084961")</f>
        <v>2.71637084961</v>
      </c>
      <c r="H137" s="83" t="str">
        <f>HYPERLINK(AA2 &amp; "/bottle/sn_ca210c6696357f98e8ec08b84f068b50/rendering/05.obj", "2.50601837158")</f>
        <v>2.50601837158</v>
      </c>
      <c r="I137" s="39" t="str">
        <f>HYPERLINK(AA2 &amp; "/bottle/sn_ca210c6696357f98e8ec08b84f068b50/rendering/06.obj", "2.70607543945")</f>
        <v>2.70607543945</v>
      </c>
      <c r="J137" s="192" t="str">
        <f>HYPERLINK(AA2 &amp; "/bottle/sn_ca210c6696357f98e8ec08b84f068b50/rendering/07.obj", "4.06023376465")</f>
        <v>4.06023376465</v>
      </c>
      <c r="K137" s="110" t="str">
        <f>HYPERLINK(AA2 &amp; "/bottle/sn_ca210c6696357f98e8ec08b84f068b50/rendering/08.obj", "2.66382202148")</f>
        <v>2.66382202148</v>
      </c>
      <c r="L137" s="113" t="str">
        <f>HYPERLINK(AA2 &amp; "/bottle/sn_ca210c6696357f98e8ec08b84f068b50/rendering/09.obj", "2.14223999023")</f>
        <v>2.14223999023</v>
      </c>
      <c r="M137" s="24" t="str">
        <f>HYPERLINK(AA2 &amp; "/bottle/sn_ca210c6696357f98e8ec08b84f068b50/rendering/10.obj", "2.46090637207")</f>
        <v>2.46090637207</v>
      </c>
      <c r="N137" s="79" t="str">
        <f>HYPERLINK(AA2 &amp; "/bottle/sn_ca210c6696357f98e8ec08b84f068b50/rendering/11.obj", "2.49095443726")</f>
        <v>2.49095443726</v>
      </c>
      <c r="O137" s="5" t="str">
        <f>HYPERLINK(AA2 &amp; "/bottle/sn_ca210c6696357f98e8ec08b84f068b50/rendering/12.obj", "2.72894714355")</f>
        <v>2.72894714355</v>
      </c>
      <c r="P137" s="135" t="str">
        <f>HYPERLINK(AA2 &amp; "/bottle/sn_ca210c6696357f98e8ec08b84f068b50/rendering/13.obj", "3.708984375")</f>
        <v>3.708984375</v>
      </c>
      <c r="Q137" s="127" t="str">
        <f>HYPERLINK(AA2 &amp; "/bottle/sn_ca210c6696357f98e8ec08b84f068b50/rendering/14.obj", "4.49583496094")</f>
        <v>4.49583496094</v>
      </c>
      <c r="R137" s="48" t="str">
        <f>HYPERLINK(AA2 &amp; "/bottle/sn_ca210c6696357f98e8ec08b84f068b50/rendering/15.obj", "3.02284912109")</f>
        <v>3.02284912109</v>
      </c>
      <c r="S137" s="36" t="str">
        <f>HYPERLINK(AA2 &amp; "/bottle/sn_ca210c6696357f98e8ec08b84f068b50/rendering/16.obj", "2.32545761108")</f>
        <v>2.32545761108</v>
      </c>
      <c r="T137" s="60" t="str">
        <f>HYPERLINK(AA2 &amp; "/bottle/sn_ca210c6696357f98e8ec08b84f068b50/rendering/17.obj", "3.11212341309")</f>
        <v>3.11212341309</v>
      </c>
      <c r="U137" s="24" t="str">
        <f>HYPERLINK(AA2 &amp; "/bottle/sn_ca210c6696357f98e8ec08b84f068b50/rendering/18.obj", "2.46310333252")</f>
        <v>2.46310333252</v>
      </c>
      <c r="V137" s="193" t="str">
        <f>HYPERLINK(AA2 &amp; "/bottle/sn_ca210c6696357f98e8ec08b84f068b50/rendering/19.obj", "3.93877410889")</f>
        <v>3.93877410889</v>
      </c>
      <c r="W137" s="12" t="s">
        <v>29</v>
      </c>
      <c r="X137" s="13">
        <v>2.9573500213623052</v>
      </c>
      <c r="Y137" s="13">
        <v>0.64547767981858017</v>
      </c>
      <c r="Z137" s="81">
        <v>0.21826218579336121</v>
      </c>
    </row>
    <row r="138" spans="1:26" x14ac:dyDescent="0.2">
      <c r="A138" s="1">
        <v>136</v>
      </c>
      <c r="B138" s="2" t="s">
        <v>60</v>
      </c>
      <c r="C138" s="64" t="str">
        <f>HYPERLINK(AA2 &amp; "/bottle/sn_ca210c6696357f98e8ec08b84f068b50/rendering/00.obj", "3.68630290031")</f>
        <v>3.68630290031</v>
      </c>
      <c r="D138" s="38" t="str">
        <f>HYPERLINK(AA2 &amp; "/bottle/sn_ca210c6696357f98e8ec08b84f068b50/rendering/01.obj", "2.88012337685")</f>
        <v>2.88012337685</v>
      </c>
      <c r="E138" s="129" t="str">
        <f>HYPERLINK(AA2 &amp; "/bottle/sn_ca210c6696357f98e8ec08b84f068b50/rendering/02.obj", "2.37974691391")</f>
        <v>2.37974691391</v>
      </c>
      <c r="F138" s="46" t="str">
        <f>HYPERLINK(AA2 &amp; "/bottle/sn_ca210c6696357f98e8ec08b84f068b50/rendering/03.obj", "3.11271047592")</f>
        <v>3.11271047592</v>
      </c>
      <c r="G138" s="84" t="str">
        <f>HYPERLINK(AA2 &amp; "/bottle/sn_ca210c6696357f98e8ec08b84f068b50/rendering/04.obj", "2.70357489586")</f>
        <v>2.70357489586</v>
      </c>
      <c r="H138" s="88" t="str">
        <f>HYPERLINK(AA2 &amp; "/bottle/sn_ca210c6696357f98e8ec08b84f068b50/rendering/05.obj", "2.52846360207")</f>
        <v>2.52846360207</v>
      </c>
      <c r="I138" s="35" t="str">
        <f>HYPERLINK(AA2 &amp; "/bottle/sn_ca210c6696357f98e8ec08b84f068b50/rendering/06.obj", "2.98625254631")</f>
        <v>2.98625254631</v>
      </c>
      <c r="J138" s="159" t="str">
        <f>HYPERLINK(AA2 &amp; "/bottle/sn_ca210c6696357f98e8ec08b84f068b50/rendering/07.obj", "4.65779829025")</f>
        <v>4.65779829025</v>
      </c>
      <c r="K138" s="66" t="str">
        <f>HYPERLINK(AA2 &amp; "/bottle/sn_ca210c6696357f98e8ec08b84f068b50/rendering/08.obj", "2.65193080902")</f>
        <v>2.65193080902</v>
      </c>
      <c r="L138" s="89" t="str">
        <f>HYPERLINK(AA2 &amp; "/bottle/sn_ca210c6696357f98e8ec08b84f068b50/rendering/09.obj", "2.35093140602")</f>
        <v>2.35093140602</v>
      </c>
      <c r="M138" s="80" t="str">
        <f>HYPERLINK(AA2 &amp; "/bottle/sn_ca210c6696357f98e8ec08b84f068b50/rendering/10.obj", "2.69350004196")</f>
        <v>2.69350004196</v>
      </c>
      <c r="N138" s="64" t="str">
        <f>HYPERLINK(AA2 &amp; "/bottle/sn_ca210c6696357f98e8ec08b84f068b50/rendering/11.obj", "2.65101361275")</f>
        <v>2.65101361275</v>
      </c>
      <c r="O138" s="90" t="str">
        <f>HYPERLINK(AA2 &amp; "/bottle/sn_ca210c6696357f98e8ec08b84f068b50/rendering/12.obj", "2.86804032326")</f>
        <v>2.86804032326</v>
      </c>
      <c r="P138" s="11" t="str">
        <f>HYPERLINK(AA2 &amp; "/bottle/sn_ca210c6696357f98e8ec08b84f068b50/rendering/13.obj", "3.8773162365")</f>
        <v>3.8773162365</v>
      </c>
      <c r="Q138" s="194" t="str">
        <f>HYPERLINK(AA2 &amp; "/bottle/sn_ca210c6696357f98e8ec08b84f068b50/rendering/14.obj", "5.13712358475")</f>
        <v>5.13712358475</v>
      </c>
      <c r="R138" s="23" t="str">
        <f>HYPERLINK(AA2 &amp; "/bottle/sn_ca210c6696357f98e8ec08b84f068b50/rendering/15.obj", "3.04077553749")</f>
        <v>3.04077553749</v>
      </c>
      <c r="S138" s="29" t="str">
        <f>HYPERLINK(AA2 &amp; "/bottle/sn_ca210c6696357f98e8ec08b84f068b50/rendering/16.obj", "2.75207686424")</f>
        <v>2.75207686424</v>
      </c>
      <c r="T138" s="34" t="str">
        <f>HYPERLINK(AA2 &amp; "/bottle/sn_ca210c6696357f98e8ec08b84f068b50/rendering/17.obj", "3.32517933846")</f>
        <v>3.32517933846</v>
      </c>
      <c r="U138" s="42" t="str">
        <f>HYPERLINK(AA2 &amp; "/bottle/sn_ca210c6696357f98e8ec08b84f068b50/rendering/18.obj", "2.73489022255")</f>
        <v>2.73489022255</v>
      </c>
      <c r="V138" s="192" t="str">
        <f>HYPERLINK(AA2 &amp; "/bottle/sn_ca210c6696357f98e8ec08b84f068b50/rendering/19.obj", "4.34834814072")</f>
        <v>4.34834814072</v>
      </c>
      <c r="W138" s="12" t="s">
        <v>30</v>
      </c>
      <c r="X138" s="13">
        <v>3.1683049559593202</v>
      </c>
      <c r="Y138" s="13">
        <v>0.75976092755586833</v>
      </c>
      <c r="Z138" s="59">
        <v>0.23980044159790259</v>
      </c>
    </row>
    <row r="139" spans="1:26" x14ac:dyDescent="0.2">
      <c r="A139" s="1">
        <v>137</v>
      </c>
      <c r="B139" s="2" t="s">
        <v>60</v>
      </c>
      <c r="C139" s="25" t="str">
        <f>HYPERLINK(AB2 &amp; "/bottle/sn_ca210c6696357f98e8ec08b84f068b50/rendering/00.obj", "3.23231994629")</f>
        <v>3.23231994629</v>
      </c>
      <c r="D139" s="13" t="str">
        <f>HYPERLINK(AB2 &amp; "/bottle/sn_ca210c6696357f98e8ec08b84f068b50/rendering/01.obj", "3.18657287598")</f>
        <v>3.18657287598</v>
      </c>
      <c r="E139" s="25" t="str">
        <f>HYPERLINK(AB2 &amp; "/bottle/sn_ca210c6696357f98e8ec08b84f068b50/rendering/02.obj", "3.22716918945")</f>
        <v>3.22716918945</v>
      </c>
      <c r="F139" s="30" t="str">
        <f>HYPERLINK(AB2 &amp; "/bottle/sn_ca210c6696357f98e8ec08b84f068b50/rendering/03.obj", "3.17785675049")</f>
        <v>3.17785675049</v>
      </c>
      <c r="G139" s="72" t="str">
        <f>HYPERLINK(AB2 &amp; "/bottle/sn_ca210c6696357f98e8ec08b84f068b50/rendering/04.obj", "3.09435974121")</f>
        <v>3.09435974121</v>
      </c>
      <c r="H139" s="69" t="str">
        <f>HYPERLINK(AB2 &amp; "/bottle/sn_ca210c6696357f98e8ec08b84f068b50/rendering/05.obj", "3.0978338623")</f>
        <v>3.0978338623</v>
      </c>
      <c r="I139" s="10" t="str">
        <f>HYPERLINK(AB2 &amp; "/bottle/sn_ca210c6696357f98e8ec08b84f068b50/rendering/06.obj", "3.36656494141")</f>
        <v>3.36656494141</v>
      </c>
      <c r="J139" s="46" t="str">
        <f>HYPERLINK(AB2 &amp; "/bottle/sn_ca210c6696357f98e8ec08b84f068b50/rendering/07.obj", "3.25268890381")</f>
        <v>3.25268890381</v>
      </c>
      <c r="K139" s="25" t="str">
        <f>HYPERLINK(AB2 &amp; "/bottle/sn_ca210c6696357f98e8ec08b84f068b50/rendering/08.obj", "3.15882415771")</f>
        <v>3.15882415771</v>
      </c>
      <c r="L139" s="46" t="str">
        <f>HYPERLINK(AB2 &amp; "/bottle/sn_ca210c6696357f98e8ec08b84f068b50/rendering/09.obj", "3.24963775635")</f>
        <v>3.24963775635</v>
      </c>
      <c r="M139" s="46" t="str">
        <f>HYPERLINK(AB2 &amp; "/bottle/sn_ca210c6696357f98e8ec08b84f068b50/rendering/10.obj", "3.25221862793")</f>
        <v>3.25221862793</v>
      </c>
      <c r="N139" s="10" t="str">
        <f>HYPERLINK(AB2 &amp; "/bottle/sn_ca210c6696357f98e8ec08b84f068b50/rendering/11.obj", "3.36828613281")</f>
        <v>3.36828613281</v>
      </c>
      <c r="O139" s="72" t="str">
        <f>HYPERLINK(AB2 &amp; "/bottle/sn_ca210c6696357f98e8ec08b84f068b50/rendering/12.obj", "3.29722839355")</f>
        <v>3.29722839355</v>
      </c>
      <c r="P139" s="69" t="str">
        <f>HYPERLINK(AB2 &amp; "/bottle/sn_ca210c6696357f98e8ec08b84f068b50/rendering/13.obj", "3.09719451904")</f>
        <v>3.09719451904</v>
      </c>
      <c r="Q139" s="23" t="str">
        <f>HYPERLINK(AB2 &amp; "/bottle/sn_ca210c6696357f98e8ec08b84f068b50/rendering/14.obj", "3.0685748291")</f>
        <v>3.0685748291</v>
      </c>
      <c r="R139" s="72" t="str">
        <f>HYPERLINK(AB2 &amp; "/bottle/sn_ca210c6696357f98e8ec08b84f068b50/rendering/15.obj", "3.09100830078")</f>
        <v>3.09100830078</v>
      </c>
      <c r="S139" s="25" t="str">
        <f>HYPERLINK(AB2 &amp; "/bottle/sn_ca210c6696357f98e8ec08b84f068b50/rendering/16.obj", "3.15690948486")</f>
        <v>3.15690948486</v>
      </c>
      <c r="T139" s="69" t="str">
        <f>HYPERLINK(AB2 &amp; "/bottle/sn_ca210c6696357f98e8ec08b84f068b50/rendering/17.obj", "3.10033630371")</f>
        <v>3.10033630371</v>
      </c>
      <c r="U139" s="133" t="str">
        <f>HYPERLINK(AB2 &amp; "/bottle/sn_ca210c6696357f98e8ec08b84f068b50/rendering/18.obj", "3.51622802734")</f>
        <v>3.51622802734</v>
      </c>
      <c r="V139" s="38" t="str">
        <f>HYPERLINK(AB2 &amp; "/bottle/sn_ca210c6696357f98e8ec08b84f068b50/rendering/19.obj", "2.91436126709")</f>
        <v>2.91436126709</v>
      </c>
      <c r="W139" s="12" t="s">
        <v>31</v>
      </c>
      <c r="X139" s="13">
        <v>3.1953087005615242</v>
      </c>
      <c r="Y139" s="13">
        <v>0.12881978248250381</v>
      </c>
      <c r="Z139" s="23">
        <v>4.0315285487084809E-2</v>
      </c>
    </row>
    <row r="140" spans="1:26" x14ac:dyDescent="0.2">
      <c r="A140" s="1">
        <v>138</v>
      </c>
      <c r="B140" s="2" t="s">
        <v>60</v>
      </c>
      <c r="C140" s="30" t="str">
        <f>HYPERLINK(AB2 &amp; "/bottle/sn_ca210c6696357f98e8ec08b84f068b50/rendering/00.obj", "2.66679191589")</f>
        <v>2.66679191589</v>
      </c>
      <c r="D140" s="73" t="str">
        <f>HYPERLINK(AB2 &amp; "/bottle/sn_ca210c6696357f98e8ec08b84f068b50/rendering/01.obj", "2.75163030624")</f>
        <v>2.75163030624</v>
      </c>
      <c r="E140" s="91" t="str">
        <f>HYPERLINK(AB2 &amp; "/bottle/sn_ca210c6696357f98e8ec08b84f068b50/rendering/02.obj", "2.58140254021")</f>
        <v>2.58140254021</v>
      </c>
      <c r="F140" s="74" t="str">
        <f>HYPERLINK(AB2 &amp; "/bottle/sn_ca210c6696357f98e8ec08b84f068b50/rendering/03.obj", "2.6951777935")</f>
        <v>2.6951777935</v>
      </c>
      <c r="G140" s="30" t="str">
        <f>HYPERLINK(AB2 &amp; "/bottle/sn_ca210c6696357f98e8ec08b84f068b50/rendering/04.obj", "2.66300535202")</f>
        <v>2.66300535202</v>
      </c>
      <c r="H140" s="13" t="str">
        <f>HYPERLINK(AB2 &amp; "/bottle/sn_ca210c6696357f98e8ec08b84f068b50/rendering/05.obj", "2.64718532562")</f>
        <v>2.64718532562</v>
      </c>
      <c r="I140" s="60" t="str">
        <f>HYPERLINK(AB2 &amp; "/bottle/sn_ca210c6696357f98e8ec08b84f068b50/rendering/06.obj", "2.78785443306")</f>
        <v>2.78785443306</v>
      </c>
      <c r="J140" s="91" t="str">
        <f>HYPERLINK(AB2 &amp; "/bottle/sn_ca210c6696357f98e8ec08b84f068b50/rendering/07.obj", "2.72628903389")</f>
        <v>2.72628903389</v>
      </c>
      <c r="K140" s="47" t="str">
        <f>HYPERLINK(AB2 &amp; "/bottle/sn_ca210c6696357f98e8ec08b84f068b50/rendering/08.obj", "2.67161512375")</f>
        <v>2.67161512375</v>
      </c>
      <c r="L140" s="25" t="str">
        <f>HYPERLINK(AB2 &amp; "/bottle/sn_ca210c6696357f98e8ec08b84f068b50/rendering/09.obj", "2.62171769142")</f>
        <v>2.62171769142</v>
      </c>
      <c r="M140" s="13" t="str">
        <f>HYPERLINK(AB2 &amp; "/bottle/sn_ca210c6696357f98e8ec08b84f068b50/rendering/10.obj", "2.64900898933")</f>
        <v>2.64900898933</v>
      </c>
      <c r="N140" s="69" t="str">
        <f>HYPERLINK(AB2 &amp; "/bottle/sn_ca210c6696357f98e8ec08b84f068b50/rendering/11.obj", "2.73627066612")</f>
        <v>2.73627066612</v>
      </c>
      <c r="O140" s="46" t="str">
        <f>HYPERLINK(AB2 &amp; "/bottle/sn_ca210c6696357f98e8ec08b84f068b50/rendering/12.obj", "2.69953393936")</f>
        <v>2.69953393936</v>
      </c>
      <c r="P140" s="69" t="str">
        <f>HYPERLINK(AB2 &amp; "/bottle/sn_ca210c6696357f98e8ec08b84f068b50/rendering/13.obj", "2.57807707787")</f>
        <v>2.57807707787</v>
      </c>
      <c r="Q140" s="48" t="str">
        <f>HYPERLINK(AB2 &amp; "/bottle/sn_ca210c6696357f98e8ec08b84f068b50/rendering/14.obj", "2.59113669395")</f>
        <v>2.59113669395</v>
      </c>
      <c r="R140" s="30" t="str">
        <f>HYPERLINK(AB2 &amp; "/bottle/sn_ca210c6696357f98e8ec08b84f068b50/rendering/15.obj", "2.63829517365")</f>
        <v>2.63829517365</v>
      </c>
      <c r="S140" s="68" t="str">
        <f>HYPERLINK(AB2 &amp; "/bottle/sn_ca210c6696357f98e8ec08b84f068b50/rendering/16.obj", "2.54171538353")</f>
        <v>2.54171538353</v>
      </c>
      <c r="T140" s="48" t="str">
        <f>HYPERLINK(AB2 &amp; "/bottle/sn_ca210c6696357f98e8ec08b84f068b50/rendering/17.obj", "2.59347391129")</f>
        <v>2.59347391129</v>
      </c>
      <c r="U140" s="35" t="str">
        <f>HYPERLINK(AB2 &amp; "/bottle/sn_ca210c6696357f98e8ec08b84f068b50/rendering/18.obj", "2.80716991425")</f>
        <v>2.80716991425</v>
      </c>
      <c r="V140" s="107" t="str">
        <f>HYPERLINK(AB2 &amp; "/bottle/sn_ca210c6696357f98e8ec08b84f068b50/rendering/19.obj", "2.43351268768")</f>
        <v>2.43351268768</v>
      </c>
      <c r="W140" s="12" t="s">
        <v>32</v>
      </c>
      <c r="X140" s="13">
        <v>2.6540431976318359</v>
      </c>
      <c r="Y140" s="13">
        <v>8.6156927600619493E-2</v>
      </c>
      <c r="Z140" s="72">
        <v>3.2462518951272563E-2</v>
      </c>
    </row>
    <row r="141" spans="1:26" x14ac:dyDescent="0.2">
      <c r="A141" s="1">
        <v>139</v>
      </c>
      <c r="B141" s="2" t="s">
        <v>60</v>
      </c>
      <c r="C141" s="13" t="str">
        <f>HYPERLINK(AC2 &amp; "/bottle/sn_ca210c6696357f98e8ec08b84f068b50/rendering/00.xyz", "0.0")</f>
        <v>0.0</v>
      </c>
      <c r="D141" s="13" t="str">
        <f>HYPERLINK(AC2 &amp; "/bottle/sn_ca210c6696357f98e8ec08b84f068b50/rendering/01.xyz", "0.0")</f>
        <v>0.0</v>
      </c>
      <c r="E141" s="13" t="str">
        <f>HYPERLINK(AC2 &amp; "/bottle/sn_ca210c6696357f98e8ec08b84f068b50/rendering/02.xyz", "0.0")</f>
        <v>0.0</v>
      </c>
      <c r="F141" s="13" t="str">
        <f>HYPERLINK(AC2 &amp; "/bottle/sn_ca210c6696357f98e8ec08b84f068b50/rendering/03.xyz", "0.0")</f>
        <v>0.0</v>
      </c>
      <c r="G141" s="13" t="str">
        <f>HYPERLINK(AC2 &amp; "/bottle/sn_ca210c6696357f98e8ec08b84f068b50/rendering/04.xyz", "0.0")</f>
        <v>0.0</v>
      </c>
      <c r="H141" s="13" t="str">
        <f>HYPERLINK(AC2 &amp; "/bottle/sn_ca210c6696357f98e8ec08b84f068b50/rendering/05.xyz", "0.0")</f>
        <v>0.0</v>
      </c>
      <c r="I141" s="13" t="str">
        <f>HYPERLINK(AC2 &amp; "/bottle/sn_ca210c6696357f98e8ec08b84f068b50/rendering/06.xyz", "0.0")</f>
        <v>0.0</v>
      </c>
      <c r="J141" s="13" t="str">
        <f>HYPERLINK(AC2 &amp; "/bottle/sn_ca210c6696357f98e8ec08b84f068b50/rendering/07.xyz", "0.0")</f>
        <v>0.0</v>
      </c>
      <c r="K141" s="13" t="str">
        <f>HYPERLINK(AC2 &amp; "/bottle/sn_ca210c6696357f98e8ec08b84f068b50/rendering/08.xyz", "0.0")</f>
        <v>0.0</v>
      </c>
      <c r="L141" s="13" t="str">
        <f>HYPERLINK(AC2 &amp; "/bottle/sn_ca210c6696357f98e8ec08b84f068b50/rendering/09.xyz", "0.0")</f>
        <v>0.0</v>
      </c>
      <c r="M141" s="13" t="str">
        <f>HYPERLINK(AC2 &amp; "/bottle/sn_ca210c6696357f98e8ec08b84f068b50/rendering/10.xyz", "0.0")</f>
        <v>0.0</v>
      </c>
      <c r="N141" s="13" t="str">
        <f>HYPERLINK(AC2 &amp; "/bottle/sn_ca210c6696357f98e8ec08b84f068b50/rendering/11.xyz", "0.0")</f>
        <v>0.0</v>
      </c>
      <c r="O141" s="13" t="str">
        <f>HYPERLINK(AC2 &amp; "/bottle/sn_ca210c6696357f98e8ec08b84f068b50/rendering/12.xyz", "0.0")</f>
        <v>0.0</v>
      </c>
      <c r="P141" s="13" t="str">
        <f>HYPERLINK(AC2 &amp; "/bottle/sn_ca210c6696357f98e8ec08b84f068b50/rendering/13.xyz", "0.0")</f>
        <v>0.0</v>
      </c>
      <c r="Q141" s="13" t="str">
        <f>HYPERLINK(AC2 &amp; "/bottle/sn_ca210c6696357f98e8ec08b84f068b50/rendering/14.xyz", "0.0")</f>
        <v>0.0</v>
      </c>
      <c r="R141" s="13" t="str">
        <f>HYPERLINK(AC2 &amp; "/bottle/sn_ca210c6696357f98e8ec08b84f068b50/rendering/15.xyz", "0.0")</f>
        <v>0.0</v>
      </c>
      <c r="S141" s="13" t="str">
        <f>HYPERLINK(AC2 &amp; "/bottle/sn_ca210c6696357f98e8ec08b84f068b50/rendering/16.xyz", "0.0")</f>
        <v>0.0</v>
      </c>
      <c r="T141" s="13" t="str">
        <f>HYPERLINK(AC2 &amp; "/bottle/sn_ca210c6696357f98e8ec08b84f068b50/rendering/17.xyz", "0.0")</f>
        <v>0.0</v>
      </c>
      <c r="U141" s="13" t="str">
        <f>HYPERLINK(AC2 &amp; "/bottle/sn_ca210c6696357f98e8ec08b84f068b50/rendering/18.xyz", "0.0")</f>
        <v>0.0</v>
      </c>
      <c r="V141" s="13" t="str">
        <f>HYPERLINK(AC2 &amp; "/bottle/sn_ca210c6696357f98e8ec08b84f068b50/rendering/19.xyz", "0.0")</f>
        <v>0.0</v>
      </c>
      <c r="W141" s="12" t="s">
        <v>33</v>
      </c>
      <c r="X141" s="13">
        <v>0</v>
      </c>
      <c r="Y141" s="13">
        <v>0</v>
      </c>
      <c r="Z141" s="13">
        <v>0</v>
      </c>
    </row>
    <row r="142" spans="1:26" x14ac:dyDescent="0.2">
      <c r="A142" s="1">
        <v>140</v>
      </c>
      <c r="B142" s="2" t="s">
        <v>61</v>
      </c>
      <c r="C142" s="132" t="str">
        <f>HYPERLINK(AA2 &amp; "/bottle/sn_ca2341f33cd4995dae7fdc0845a47bf5/rendering/00.obj", "2.06567840576")</f>
        <v>2.06567840576</v>
      </c>
      <c r="D142" s="118" t="str">
        <f>HYPERLINK(AA2 &amp; "/bottle/sn_ca2341f33cd4995dae7fdc0845a47bf5/rendering/01.obj", "4.60885131836")</f>
        <v>4.60885131836</v>
      </c>
      <c r="E142" s="138" t="str">
        <f>HYPERLINK(AA2 &amp; "/bottle/sn_ca2341f33cd4995dae7fdc0845a47bf5/rendering/02.obj", "2.36089752197")</f>
        <v>2.36089752197</v>
      </c>
      <c r="F142" s="20" t="str">
        <f>HYPERLINK(AA2 &amp; "/bottle/sn_ca2341f33cd4995dae7fdc0845a47bf5/rendering/03.obj", "11.1038256836")</f>
        <v>11.1038256836</v>
      </c>
      <c r="G142" s="24" t="str">
        <f>HYPERLINK(AA2 &amp; "/bottle/sn_ca2341f33cd4995dae7fdc0845a47bf5/rendering/04.obj", "2.9680480957")</f>
        <v>2.9680480957</v>
      </c>
      <c r="H142" s="20" t="str">
        <f>HYPERLINK(AA2 &amp; "/bottle/sn_ca2341f33cd4995dae7fdc0845a47bf5/rendering/05.obj", "6.7711706543")</f>
        <v>6.7711706543</v>
      </c>
      <c r="I142" s="84" t="str">
        <f>HYPERLINK(AA2 &amp; "/bottle/sn_ca2341f33cd4995dae7fdc0845a47bf5/rendering/06.obj", "3.04682037354")</f>
        <v>3.04682037354</v>
      </c>
      <c r="J142" s="74" t="str">
        <f>HYPERLINK(AA2 &amp; "/bottle/sn_ca2341f33cd4995dae7fdc0845a47bf5/rendering/07.obj", "3.51184692383")</f>
        <v>3.51184692383</v>
      </c>
      <c r="K142" s="98" t="str">
        <f>HYPERLINK(AA2 &amp; "/bottle/sn_ca2341f33cd4995dae7fdc0845a47bf5/rendering/08.obj", "2.73584838867")</f>
        <v>2.73584838867</v>
      </c>
      <c r="L142" s="138" t="str">
        <f>HYPERLINK(AA2 &amp; "/bottle/sn_ca2341f33cd4995dae7fdc0845a47bf5/rendering/09.obj", "2.36262451172")</f>
        <v>2.36262451172</v>
      </c>
      <c r="M142" s="107" t="str">
        <f>HYPERLINK(AA2 &amp; "/bottle/sn_ca2341f33cd4995dae7fdc0845a47bf5/rendering/10.obj", "3.86044677734")</f>
        <v>3.86044677734</v>
      </c>
      <c r="N142" s="119" t="str">
        <f>HYPERLINK(AA2 &amp; "/bottle/sn_ca2341f33cd4995dae7fdc0845a47bf5/rendering/11.obj", "4.50682189941")</f>
        <v>4.50682189941</v>
      </c>
      <c r="O142" s="29" t="str">
        <f>HYPERLINK(AA2 &amp; "/bottle/sn_ca2341f33cd4995dae7fdc0845a47bf5/rendering/12.obj", "4.02973815918")</f>
        <v>4.02973815918</v>
      </c>
      <c r="P142" s="76" t="str">
        <f>HYPERLINK(AA2 &amp; "/bottle/sn_ca2341f33cd4995dae7fdc0845a47bf5/rendering/13.obj", "2.90920959473")</f>
        <v>2.90920959473</v>
      </c>
      <c r="Q142" s="54" t="str">
        <f>HYPERLINK(AA2 &amp; "/bottle/sn_ca2341f33cd4995dae7fdc0845a47bf5/rendering/14.obj", "2.39518341064")</f>
        <v>2.39518341064</v>
      </c>
      <c r="R142" s="176" t="str">
        <f>HYPERLINK(AA2 &amp; "/bottle/sn_ca2341f33cd4995dae7fdc0845a47bf5/rendering/15.obj", "2.42252746582")</f>
        <v>2.42252746582</v>
      </c>
      <c r="S142" s="151" t="str">
        <f>HYPERLINK(AA2 &amp; "/bottle/sn_ca2341f33cd4995dae7fdc0845a47bf5/rendering/16.obj", "2.28201599121")</f>
        <v>2.28201599121</v>
      </c>
      <c r="T142" s="158" t="str">
        <f>HYPERLINK(AA2 &amp; "/bottle/sn_ca2341f33cd4995dae7fdc0845a47bf5/rendering/17.obj", "2.09904602051")</f>
        <v>2.09904602051</v>
      </c>
      <c r="U142" s="120" t="str">
        <f>HYPERLINK(AA2 &amp; "/bottle/sn_ca2341f33cd4995dae7fdc0845a47bf5/rendering/18.obj", "2.80964416504")</f>
        <v>2.80964416504</v>
      </c>
      <c r="V142" s="182" t="str">
        <f>HYPERLINK(AA2 &amp; "/bottle/sn_ca2341f33cd4995dae7fdc0845a47bf5/rendering/19.obj", "2.37393386841")</f>
        <v>2.37393386841</v>
      </c>
      <c r="W142" s="12" t="s">
        <v>29</v>
      </c>
      <c r="X142" s="13">
        <v>3.5612089614868161</v>
      </c>
      <c r="Y142" s="13">
        <v>2.0583952428658221</v>
      </c>
      <c r="Z142" s="18">
        <v>0.5780046229038005</v>
      </c>
    </row>
    <row r="143" spans="1:26" x14ac:dyDescent="0.2">
      <c r="A143" s="1">
        <v>141</v>
      </c>
      <c r="B143" s="2" t="s">
        <v>61</v>
      </c>
      <c r="C143" s="174" t="str">
        <f>HYPERLINK(AA2 &amp; "/bottle/sn_ca2341f33cd4995dae7fdc0845a47bf5/rendering/00.obj", "1.64874184132")</f>
        <v>1.64874184132</v>
      </c>
      <c r="D143" s="56" t="str">
        <f>HYPERLINK(AA2 &amp; "/bottle/sn_ca2341f33cd4995dae7fdc0845a47bf5/rendering/01.obj", "4.55358695984")</f>
        <v>4.55358695984</v>
      </c>
      <c r="E143" s="139" t="str">
        <f>HYPERLINK(AA2 &amp; "/bottle/sn_ca2341f33cd4995dae7fdc0845a47bf5/rendering/02.obj", "1.80338597298")</f>
        <v>1.80338597298</v>
      </c>
      <c r="F143" s="20" t="str">
        <f>HYPERLINK(AA2 &amp; "/bottle/sn_ca2341f33cd4995dae7fdc0845a47bf5/rendering/03.obj", "15.9307317734")</f>
        <v>15.9307317734</v>
      </c>
      <c r="G143" s="101" t="str">
        <f>HYPERLINK(AA2 &amp; "/bottle/sn_ca2341f33cd4995dae7fdc0845a47bf5/rendering/04.obj", "2.16188383102")</f>
        <v>2.16188383102</v>
      </c>
      <c r="H143" s="20" t="str">
        <f>HYPERLINK(AA2 &amp; "/bottle/sn_ca2341f33cd4995dae7fdc0845a47bf5/rendering/05.obj", "8.26397895813")</f>
        <v>8.26397895813</v>
      </c>
      <c r="I143" s="122" t="str">
        <f>HYPERLINK(AA2 &amp; "/bottle/sn_ca2341f33cd4995dae7fdc0845a47bf5/rendering/06.obj", "2.0768289566")</f>
        <v>2.0768289566</v>
      </c>
      <c r="J143" s="66" t="str">
        <f>HYPERLINK(AA2 &amp; "/bottle/sn_ca2341f33cd4995dae7fdc0845a47bf5/rendering/07.obj", "2.91288924217")</f>
        <v>2.91288924217</v>
      </c>
      <c r="K143" s="157" t="str">
        <f>HYPERLINK(AA2 &amp; "/bottle/sn_ca2341f33cd4995dae7fdc0845a47bf5/rendering/08.obj", "2.03681564331")</f>
        <v>2.03681564331</v>
      </c>
      <c r="L143" s="139" t="str">
        <f>HYPERLINK(AA2 &amp; "/bottle/sn_ca2341f33cd4995dae7fdc0845a47bf5/rendering/09.obj", "1.8040047884")</f>
        <v>1.8040047884</v>
      </c>
      <c r="M143" s="27" t="str">
        <f>HYPERLINK(AA2 &amp; "/bottle/sn_ca2341f33cd4995dae7fdc0845a47bf5/rendering/10.obj", "3.72211885452")</f>
        <v>3.72211885452</v>
      </c>
      <c r="N143" s="191" t="str">
        <f>HYPERLINK(AA2 &amp; "/bottle/sn_ca2341f33cd4995dae7fdc0845a47bf5/rendering/11.obj", "5.04910039902")</f>
        <v>5.04910039902</v>
      </c>
      <c r="O143" s="87" t="str">
        <f>HYPERLINK(AA2 &amp; "/bottle/sn_ca2341f33cd4995dae7fdc0845a47bf5/rendering/12.obj", "4.26707077026")</f>
        <v>4.26707077026</v>
      </c>
      <c r="P143" s="185" t="str">
        <f>HYPERLINK(AA2 &amp; "/bottle/sn_ca2341f33cd4995dae7fdc0845a47bf5/rendering/13.obj", "2.29402089119")</f>
        <v>2.29402089119</v>
      </c>
      <c r="Q143" s="156" t="str">
        <f>HYPERLINK(AA2 &amp; "/bottle/sn_ca2341f33cd4995dae7fdc0845a47bf5/rendering/14.obj", "1.91880702972")</f>
        <v>1.91880702972</v>
      </c>
      <c r="R143" s="159" t="str">
        <f>HYPERLINK(AA2 &amp; "/bottle/sn_ca2341f33cd4995dae7fdc0845a47bf5/rendering/15.obj", "1.84880125523")</f>
        <v>1.84880125523</v>
      </c>
      <c r="S143" s="144" t="str">
        <f>HYPERLINK(AA2 &amp; "/bottle/sn_ca2341f33cd4995dae7fdc0845a47bf5/rendering/16.obj", "1.7285015583")</f>
        <v>1.7285015583</v>
      </c>
      <c r="T143" s="145" t="str">
        <f>HYPERLINK(AA2 &amp; "/bottle/sn_ca2341f33cd4995dae7fdc0845a47bf5/rendering/17.obj", "1.76994216442")</f>
        <v>1.76994216442</v>
      </c>
      <c r="U143" s="162" t="str">
        <f>HYPERLINK(AA2 &amp; "/bottle/sn_ca2341f33cd4995dae7fdc0845a47bf5/rendering/18.obj", "1.99693512917")</f>
        <v>1.99693512917</v>
      </c>
      <c r="V143" s="102" t="str">
        <f>HYPERLINK(AA2 &amp; "/bottle/sn_ca2341f33cd4995dae7fdc0845a47bf5/rendering/19.obj", "1.74713718891")</f>
        <v>1.74713718891</v>
      </c>
      <c r="W143" s="12" t="s">
        <v>30</v>
      </c>
      <c r="X143" s="13">
        <v>3.476764160394668</v>
      </c>
      <c r="Y143" s="13">
        <v>3.278589396508079</v>
      </c>
      <c r="Z143" s="20">
        <v>0.943000228159251</v>
      </c>
    </row>
    <row r="144" spans="1:26" x14ac:dyDescent="0.2">
      <c r="A144" s="1">
        <v>142</v>
      </c>
      <c r="B144" s="2" t="s">
        <v>61</v>
      </c>
      <c r="C144" s="69" t="str">
        <f>HYPERLINK(AB2 &amp; "/bottle/sn_ca2341f33cd4995dae7fdc0845a47bf5/rendering/00.obj", "2.30917022705")</f>
        <v>2.30917022705</v>
      </c>
      <c r="D144" s="46" t="str">
        <f>HYPERLINK(AB2 &amp; "/bottle/sn_ca2341f33cd4995dae7fdc0845a47bf5/rendering/01.obj", "2.41980895996")</f>
        <v>2.41980895996</v>
      </c>
      <c r="E144" s="91" t="str">
        <f>HYPERLINK(AB2 &amp; "/bottle/sn_ca2341f33cd4995dae7fdc0845a47bf5/rendering/02.obj", "2.31899032593")</f>
        <v>2.31899032593</v>
      </c>
      <c r="F144" s="34" t="str">
        <f>HYPERLINK(AB2 &amp; "/bottle/sn_ca2341f33cd4995dae7fdc0845a47bf5/rendering/03.obj", "2.26637939453")</f>
        <v>2.26637939453</v>
      </c>
      <c r="G144" s="33" t="str">
        <f>HYPERLINK(AB2 &amp; "/bottle/sn_ca2341f33cd4995dae7fdc0845a47bf5/rendering/04.obj", "2.12179382324")</f>
        <v>2.12179382324</v>
      </c>
      <c r="H144" s="117" t="str">
        <f>HYPERLINK(AB2 &amp; "/bottle/sn_ca2341f33cd4995dae7fdc0845a47bf5/rendering/05.obj", "2.80352722168")</f>
        <v>2.80352722168</v>
      </c>
      <c r="I144" s="17" t="str">
        <f>HYPERLINK(AB2 &amp; "/bottle/sn_ca2341f33cd4995dae7fdc0845a47bf5/rendering/06.obj", "2.42765838623")</f>
        <v>2.42765838623</v>
      </c>
      <c r="J144" s="46" t="str">
        <f>HYPERLINK(AB2 &amp; "/bottle/sn_ca2341f33cd4995dae7fdc0845a47bf5/rendering/07.obj", "2.4171282959")</f>
        <v>2.4171282959</v>
      </c>
      <c r="K144" s="25" t="str">
        <f>HYPERLINK(AB2 &amp; "/bottle/sn_ca2341f33cd4995dae7fdc0845a47bf5/rendering/08.obj", "2.35610748291")</f>
        <v>2.35610748291</v>
      </c>
      <c r="L144" s="41" t="str">
        <f>HYPERLINK(AB2 &amp; "/bottle/sn_ca2341f33cd4995dae7fdc0845a47bf5/rendering/09.obj", "2.22165924072")</f>
        <v>2.22165924072</v>
      </c>
      <c r="M144" s="24" t="str">
        <f>HYPERLINK(AB2 &amp; "/bottle/sn_ca2341f33cd4995dae7fdc0845a47bf5/rendering/10.obj", "2.77988220215")</f>
        <v>2.77988220215</v>
      </c>
      <c r="N144" s="68" t="str">
        <f>HYPERLINK(AB2 &amp; "/bottle/sn_ca2341f33cd4995dae7fdc0845a47bf5/rendering/11.obj", "2.28207733154")</f>
        <v>2.28207733154</v>
      </c>
      <c r="O144" s="110" t="str">
        <f>HYPERLINK(AB2 &amp; "/bottle/sn_ca2341f33cd4995dae7fdc0845a47bf5/rendering/12.obj", "2.14536712646")</f>
        <v>2.14536712646</v>
      </c>
      <c r="P144" s="51" t="str">
        <f>HYPERLINK(AB2 &amp; "/bottle/sn_ca2341f33cd4995dae7fdc0845a47bf5/rendering/13.obj", "2.56873931885")</f>
        <v>2.56873931885</v>
      </c>
      <c r="Q144" s="60" t="str">
        <f>HYPERLINK(AB2 &amp; "/bottle/sn_ca2341f33cd4995dae7fdc0845a47bf5/rendering/14.obj", "2.25557037354")</f>
        <v>2.25557037354</v>
      </c>
      <c r="R144" s="34" t="str">
        <f>HYPERLINK(AB2 &amp; "/bottle/sn_ca2341f33cd4995dae7fdc0845a47bf5/rendering/15.obj", "2.49224884033")</f>
        <v>2.49224884033</v>
      </c>
      <c r="S144" s="73" t="str">
        <f>HYPERLINK(AB2 &amp; "/bottle/sn_ca2341f33cd4995dae7fdc0845a47bf5/rendering/16.obj", "2.46822906494")</f>
        <v>2.46822906494</v>
      </c>
      <c r="T144" s="80" t="str">
        <f>HYPERLINK(AB2 &amp; "/bottle/sn_ca2341f33cd4995dae7fdc0845a47bf5/rendering/17.obj", "2.02698883057")</f>
        <v>2.02698883057</v>
      </c>
      <c r="U144" s="110" t="str">
        <f>HYPERLINK(AB2 &amp; "/bottle/sn_ca2341f33cd4995dae7fdc0845a47bf5/rendering/18.obj", "2.61188293457")</f>
        <v>2.61188293457</v>
      </c>
      <c r="V144" s="72" t="str">
        <f>HYPERLINK(AB2 &amp; "/bottle/sn_ca2341f33cd4995dae7fdc0845a47bf5/rendering/19.obj", "2.2985369873")</f>
        <v>2.2985369873</v>
      </c>
      <c r="W144" s="12" t="s">
        <v>31</v>
      </c>
      <c r="X144" s="13">
        <v>2.3795873184204099</v>
      </c>
      <c r="Y144" s="13">
        <v>0.19743703932410819</v>
      </c>
      <c r="Z144" s="107">
        <v>8.297112604179141E-2</v>
      </c>
    </row>
    <row r="145" spans="1:26" x14ac:dyDescent="0.2">
      <c r="A145" s="1">
        <v>143</v>
      </c>
      <c r="B145" s="2" t="s">
        <v>61</v>
      </c>
      <c r="C145" s="69" t="str">
        <f>HYPERLINK(AB2 &amp; "/bottle/sn_ca2341f33cd4995dae7fdc0845a47bf5/rendering/00.obj", "1.96254813671")</f>
        <v>1.96254813671</v>
      </c>
      <c r="D145" s="60" t="str">
        <f>HYPERLINK(AB2 &amp; "/bottle/sn_ca2341f33cd4995dae7fdc0845a47bf5/rendering/01.obj", "1.91845297813")</f>
        <v>1.91845297813</v>
      </c>
      <c r="E145" s="23" t="str">
        <f>HYPERLINK(AB2 &amp; "/bottle/sn_ca2341f33cd4995dae7fdc0845a47bf5/rendering/02.obj", "1.94058513641")</f>
        <v>1.94058513641</v>
      </c>
      <c r="F145" s="73" t="str">
        <f>HYPERLINK(AB2 &amp; "/bottle/sn_ca2341f33cd4995dae7fdc0845a47bf5/rendering/03.obj", "1.94565558434")</f>
        <v>1.94565558434</v>
      </c>
      <c r="G145" s="133" t="str">
        <f>HYPERLINK(AB2 &amp; "/bottle/sn_ca2341f33cd4995dae7fdc0845a47bf5/rendering/04.obj", "1.81777334213")</f>
        <v>1.81777334213</v>
      </c>
      <c r="H145" s="123" t="str">
        <f>HYPERLINK(AB2 &amp; "/bottle/sn_ca2341f33cd4995dae7fdc0845a47bf5/rendering/05.obj", "2.76620197296")</f>
        <v>2.76620197296</v>
      </c>
      <c r="I145" s="6" t="str">
        <f>HYPERLINK(AB2 &amp; "/bottle/sn_ca2341f33cd4995dae7fdc0845a47bf5/rendering/06.obj", "2.11133432388")</f>
        <v>2.11133432388</v>
      </c>
      <c r="J145" s="79" t="str">
        <f>HYPERLINK(AB2 &amp; "/bottle/sn_ca2341f33cd4995dae7fdc0845a47bf5/rendering/07.obj", "2.33878278732")</f>
        <v>2.33878278732</v>
      </c>
      <c r="K145" s="46" t="str">
        <f>HYPERLINK(AB2 &amp; "/bottle/sn_ca2341f33cd4995dae7fdc0845a47bf5/rendering/08.obj", "2.05795741081")</f>
        <v>2.05795741081</v>
      </c>
      <c r="L145" s="10" t="str">
        <f>HYPERLINK(AB2 &amp; "/bottle/sn_ca2341f33cd4995dae7fdc0845a47bf5/rendering/09.obj", "2.13318562508")</f>
        <v>2.13318562508</v>
      </c>
      <c r="M145" s="70" t="str">
        <f>HYPERLINK(AB2 &amp; "/bottle/sn_ca2341f33cd4995dae7fdc0845a47bf5/rendering/10.obj", "2.27936625481")</f>
        <v>2.27936625481</v>
      </c>
      <c r="N145" s="33" t="str">
        <f>HYPERLINK(AB2 &amp; "/bottle/sn_ca2341f33cd4995dae7fdc0845a47bf5/rendering/11.obj", "1.80003428459")</f>
        <v>1.80003428459</v>
      </c>
      <c r="O145" s="23" t="str">
        <f>HYPERLINK(AB2 &amp; "/bottle/sn_ca2341f33cd4995dae7fdc0845a47bf5/rendering/12.obj", "1.93949532509")</f>
        <v>1.93949532509</v>
      </c>
      <c r="P145" s="73" t="str">
        <f>HYPERLINK(AB2 &amp; "/bottle/sn_ca2341f33cd4995dae7fdc0845a47bf5/rendering/13.obj", "1.94983243942")</f>
        <v>1.94983243942</v>
      </c>
      <c r="Q145" s="33" t="str">
        <f>HYPERLINK(AB2 &amp; "/bottle/sn_ca2341f33cd4995dae7fdc0845a47bf5/rendering/14.obj", "1.80379366875")</f>
        <v>1.80379366875</v>
      </c>
      <c r="R145" s="76" t="str">
        <f>HYPERLINK(AB2 &amp; "/bottle/sn_ca2341f33cd4995dae7fdc0845a47bf5/rendering/15.obj", "1.64768648148")</f>
        <v>1.64768648148</v>
      </c>
      <c r="S145" s="30" t="str">
        <f>HYPERLINK(AB2 &amp; "/bottle/sn_ca2341f33cd4995dae7fdc0845a47bf5/rendering/16.obj", "2.03010773659")</f>
        <v>2.03010773659</v>
      </c>
      <c r="T145" s="51" t="str">
        <f>HYPERLINK(AB2 &amp; "/bottle/sn_ca2341f33cd4995dae7fdc0845a47bf5/rendering/17.obj", "1.86100542545")</f>
        <v>1.86100542545</v>
      </c>
      <c r="U145" s="11" t="str">
        <f>HYPERLINK(AB2 &amp; "/bottle/sn_ca2341f33cd4995dae7fdc0845a47bf5/rendering/18.obj", "2.47254252434")</f>
        <v>2.47254252434</v>
      </c>
      <c r="V145" s="77" t="str">
        <f>HYPERLINK(AB2 &amp; "/bottle/sn_ca2341f33cd4995dae7fdc0845a47bf5/rendering/19.obj", "1.644297719")</f>
        <v>1.644297719</v>
      </c>
      <c r="W145" s="12" t="s">
        <v>32</v>
      </c>
      <c r="X145" s="13">
        <v>2.021031957864762</v>
      </c>
      <c r="Y145" s="13">
        <v>0.26749816664904658</v>
      </c>
      <c r="Z145" s="65">
        <v>0.13235721761256111</v>
      </c>
    </row>
    <row r="146" spans="1:26" x14ac:dyDescent="0.2">
      <c r="A146" s="1">
        <v>144</v>
      </c>
      <c r="B146" s="2" t="s">
        <v>61</v>
      </c>
      <c r="C146" s="13" t="str">
        <f>HYPERLINK(AC2 &amp; "/bottle/sn_ca2341f33cd4995dae7fdc0845a47bf5/rendering/00.xyz", "0.0")</f>
        <v>0.0</v>
      </c>
      <c r="D146" s="13" t="str">
        <f>HYPERLINK(AC2 &amp; "/bottle/sn_ca2341f33cd4995dae7fdc0845a47bf5/rendering/01.xyz", "0.0")</f>
        <v>0.0</v>
      </c>
      <c r="E146" s="13" t="str">
        <f>HYPERLINK(AC2 &amp; "/bottle/sn_ca2341f33cd4995dae7fdc0845a47bf5/rendering/02.xyz", "0.0")</f>
        <v>0.0</v>
      </c>
      <c r="F146" s="13" t="str">
        <f>HYPERLINK(AC2 &amp; "/bottle/sn_ca2341f33cd4995dae7fdc0845a47bf5/rendering/03.xyz", "0.0")</f>
        <v>0.0</v>
      </c>
      <c r="G146" s="13" t="str">
        <f>HYPERLINK(AC2 &amp; "/bottle/sn_ca2341f33cd4995dae7fdc0845a47bf5/rendering/04.xyz", "0.0")</f>
        <v>0.0</v>
      </c>
      <c r="H146" s="13" t="str">
        <f>HYPERLINK(AC2 &amp; "/bottle/sn_ca2341f33cd4995dae7fdc0845a47bf5/rendering/05.xyz", "0.0")</f>
        <v>0.0</v>
      </c>
      <c r="I146" s="13" t="str">
        <f>HYPERLINK(AC2 &amp; "/bottle/sn_ca2341f33cd4995dae7fdc0845a47bf5/rendering/06.xyz", "0.0")</f>
        <v>0.0</v>
      </c>
      <c r="J146" s="13" t="str">
        <f>HYPERLINK(AC2 &amp; "/bottle/sn_ca2341f33cd4995dae7fdc0845a47bf5/rendering/07.xyz", "0.0")</f>
        <v>0.0</v>
      </c>
      <c r="K146" s="13" t="str">
        <f>HYPERLINK(AC2 &amp; "/bottle/sn_ca2341f33cd4995dae7fdc0845a47bf5/rendering/08.xyz", "0.0")</f>
        <v>0.0</v>
      </c>
      <c r="L146" s="13" t="str">
        <f>HYPERLINK(AC2 &amp; "/bottle/sn_ca2341f33cd4995dae7fdc0845a47bf5/rendering/09.xyz", "0.0")</f>
        <v>0.0</v>
      </c>
      <c r="M146" s="13" t="str">
        <f>HYPERLINK(AC2 &amp; "/bottle/sn_ca2341f33cd4995dae7fdc0845a47bf5/rendering/10.xyz", "0.0")</f>
        <v>0.0</v>
      </c>
      <c r="N146" s="13" t="str">
        <f>HYPERLINK(AC2 &amp; "/bottle/sn_ca2341f33cd4995dae7fdc0845a47bf5/rendering/11.xyz", "0.0")</f>
        <v>0.0</v>
      </c>
      <c r="O146" s="13" t="str">
        <f>HYPERLINK(AC2 &amp; "/bottle/sn_ca2341f33cd4995dae7fdc0845a47bf5/rendering/12.xyz", "0.0")</f>
        <v>0.0</v>
      </c>
      <c r="P146" s="13" t="str">
        <f>HYPERLINK(AC2 &amp; "/bottle/sn_ca2341f33cd4995dae7fdc0845a47bf5/rendering/13.xyz", "0.0")</f>
        <v>0.0</v>
      </c>
      <c r="Q146" s="13" t="str">
        <f>HYPERLINK(AC2 &amp; "/bottle/sn_ca2341f33cd4995dae7fdc0845a47bf5/rendering/14.xyz", "0.0")</f>
        <v>0.0</v>
      </c>
      <c r="R146" s="13" t="str">
        <f>HYPERLINK(AC2 &amp; "/bottle/sn_ca2341f33cd4995dae7fdc0845a47bf5/rendering/15.xyz", "0.0")</f>
        <v>0.0</v>
      </c>
      <c r="S146" s="13" t="str">
        <f>HYPERLINK(AC2 &amp; "/bottle/sn_ca2341f33cd4995dae7fdc0845a47bf5/rendering/16.xyz", "0.0")</f>
        <v>0.0</v>
      </c>
      <c r="T146" s="13" t="str">
        <f>HYPERLINK(AC2 &amp; "/bottle/sn_ca2341f33cd4995dae7fdc0845a47bf5/rendering/17.xyz", "0.0")</f>
        <v>0.0</v>
      </c>
      <c r="U146" s="13" t="str">
        <f>HYPERLINK(AC2 &amp; "/bottle/sn_ca2341f33cd4995dae7fdc0845a47bf5/rendering/18.xyz", "0.0")</f>
        <v>0.0</v>
      </c>
      <c r="V146" s="13" t="str">
        <f>HYPERLINK(AC2 &amp; "/bottle/sn_ca2341f33cd4995dae7fdc0845a47bf5/rendering/19.xyz", "0.0")</f>
        <v>0.0</v>
      </c>
      <c r="W146" s="12" t="s">
        <v>33</v>
      </c>
      <c r="X146" s="13">
        <v>0</v>
      </c>
      <c r="Y146" s="13">
        <v>0</v>
      </c>
      <c r="Z146" s="13">
        <v>0</v>
      </c>
    </row>
    <row r="147" spans="1:26" x14ac:dyDescent="0.2">
      <c r="A147" s="1">
        <v>145</v>
      </c>
      <c r="B147" s="2" t="s">
        <v>62</v>
      </c>
      <c r="C147" s="69" t="str">
        <f>HYPERLINK(AA2 &amp; "/bottle/sn_cad69599b8726c218fd72ac33112a7b/rendering/00.obj", "1.69958114624")</f>
        <v>1.69958114624</v>
      </c>
      <c r="D147" s="34" t="str">
        <f>HYPERLINK(AA2 &amp; "/bottle/sn_cad69599b8726c218fd72ac33112a7b/rendering/01.obj", "1.6639491272")</f>
        <v>1.6639491272</v>
      </c>
      <c r="E147" s="90" t="str">
        <f>HYPERLINK(AA2 &amp; "/bottle/sn_cad69599b8726c218fd72ac33112a7b/rendering/02.obj", "1.91784622192")</f>
        <v>1.91784622192</v>
      </c>
      <c r="F147" s="35" t="str">
        <f>HYPERLINK(AA2 &amp; "/bottle/sn_cad69599b8726c218fd72ac33112a7b/rendering/03.obj", "1.6498828125")</f>
        <v>1.6498828125</v>
      </c>
      <c r="G147" s="46" t="str">
        <f>HYPERLINK(AA2 &amp; "/bottle/sn_cad69599b8726c218fd72ac33112a7b/rendering/04.obj", "1.72254348755")</f>
        <v>1.72254348755</v>
      </c>
      <c r="H147" s="73" t="str">
        <f>HYPERLINK(AA2 &amp; "/bottle/sn_cad69599b8726c218fd72ac33112a7b/rendering/05.obj", "1.68769683838")</f>
        <v>1.68769683838</v>
      </c>
      <c r="I147" s="72" t="str">
        <f>HYPERLINK(AA2 &amp; "/bottle/sn_cad69599b8726c218fd72ac33112a7b/rendering/06.obj", "1.8075")</f>
        <v>1.8075</v>
      </c>
      <c r="J147" s="13" t="str">
        <f>HYPERLINK(AA2 &amp; "/bottle/sn_cad69599b8726c218fd72ac33112a7b/rendering/07.obj", "1.75059448242")</f>
        <v>1.75059448242</v>
      </c>
      <c r="K147" s="23" t="str">
        <f>HYPERLINK(AA2 &amp; "/bottle/sn_cad69599b8726c218fd72ac33112a7b/rendering/08.obj", "1.81885192871")</f>
        <v>1.81885192871</v>
      </c>
      <c r="L147" s="26" t="str">
        <f>HYPERLINK(AA2 &amp; "/bottle/sn_cad69599b8726c218fd72ac33112a7b/rendering/09.obj", "1.6404548645")</f>
        <v>1.6404548645</v>
      </c>
      <c r="M147" s="17" t="str">
        <f>HYPERLINK(AA2 &amp; "/bottle/sn_cad69599b8726c218fd72ac33112a7b/rendering/10.obj", "1.71313766479")</f>
        <v>1.71313766479</v>
      </c>
      <c r="N147" s="51" t="str">
        <f>HYPERLINK(AA2 &amp; "/bottle/sn_cad69599b8726c218fd72ac33112a7b/rendering/11.obj", "1.89058685303")</f>
        <v>1.89058685303</v>
      </c>
      <c r="O147" s="69" t="str">
        <f>HYPERLINK(AA2 &amp; "/bottle/sn_cad69599b8726c218fd72ac33112a7b/rendering/12.obj", "1.69739105225")</f>
        <v>1.69739105225</v>
      </c>
      <c r="P147" s="74" t="str">
        <f>HYPERLINK(AA2 &amp; "/bottle/sn_cad69599b8726c218fd72ac33112a7b/rendering/13.obj", "1.72326751709")</f>
        <v>1.72326751709</v>
      </c>
      <c r="Q147" s="25" t="str">
        <f>HYPERLINK(AA2 &amp; "/bottle/sn_cad69599b8726c218fd72ac33112a7b/rendering/14.obj", "1.72850402832")</f>
        <v>1.72850402832</v>
      </c>
      <c r="R147" s="6" t="str">
        <f>HYPERLINK(AA2 &amp; "/bottle/sn_cad69599b8726c218fd72ac33112a7b/rendering/15.obj", "1.67081283569")</f>
        <v>1.67081283569</v>
      </c>
      <c r="S147" s="63" t="str">
        <f>HYPERLINK(AA2 &amp; "/bottle/sn_cad69599b8726c218fd72ac33112a7b/rendering/16.obj", "1.96128204346")</f>
        <v>1.96128204346</v>
      </c>
      <c r="T147" s="35" t="str">
        <f>HYPERLINK(AA2 &amp; "/bottle/sn_cad69599b8726c218fd72ac33112a7b/rendering/17.obj", "1.64814682007")</f>
        <v>1.64814682007</v>
      </c>
      <c r="U147" s="92" t="str">
        <f>HYPERLINK(AA2 &amp; "/bottle/sn_cad69599b8726c218fd72ac33112a7b/rendering/18.obj", "1.96749298096")</f>
        <v>1.96749298096</v>
      </c>
      <c r="V147" s="35" t="str">
        <f>HYPERLINK(AA2 &amp; "/bottle/sn_cad69599b8726c218fd72ac33112a7b/rendering/19.obj", "1.64796432495")</f>
        <v>1.64796432495</v>
      </c>
      <c r="W147" s="12" t="s">
        <v>29</v>
      </c>
      <c r="X147" s="13">
        <v>1.7503743515014649</v>
      </c>
      <c r="Y147" s="13">
        <v>0.10413689119060281</v>
      </c>
      <c r="Z147" s="35">
        <v>5.9494068283892837E-2</v>
      </c>
    </row>
    <row r="148" spans="1:26" x14ac:dyDescent="0.2">
      <c r="A148" s="1">
        <v>146</v>
      </c>
      <c r="B148" s="2" t="s">
        <v>62</v>
      </c>
      <c r="C148" s="6" t="str">
        <f>HYPERLINK(AA2 &amp; "/bottle/sn_cad69599b8726c218fd72ac33112a7b/rendering/00.obj", "1.78433144093")</f>
        <v>1.78433144093</v>
      </c>
      <c r="D148" s="13" t="str">
        <f>HYPERLINK(AA2 &amp; "/bottle/sn_cad69599b8726c218fd72ac33112a7b/rendering/01.obj", "1.86746716499")</f>
        <v>1.86746716499</v>
      </c>
      <c r="E148" s="60" t="str">
        <f>HYPERLINK(AA2 &amp; "/bottle/sn_cad69599b8726c218fd72ac33112a7b/rendering/02.obj", "1.96910011768")</f>
        <v>1.96910011768</v>
      </c>
      <c r="F148" s="34" t="str">
        <f>HYPERLINK(AA2 &amp; "/bottle/sn_cad69599b8726c218fd72ac33112a7b/rendering/03.obj", "1.77835047245")</f>
        <v>1.77835047245</v>
      </c>
      <c r="G148" s="69" t="str">
        <f>HYPERLINK(AA2 &amp; "/bottle/sn_cad69599b8726c218fd72ac33112a7b/rendering/04.obj", "1.81321394444")</f>
        <v>1.81321394444</v>
      </c>
      <c r="H148" s="6" t="str">
        <f>HYPERLINK(AA2 &amp; "/bottle/sn_cad69599b8726c218fd72ac33112a7b/rendering/05.obj", "1.78239202499")</f>
        <v>1.78239202499</v>
      </c>
      <c r="I148" s="46" t="str">
        <f>HYPERLINK(AA2 &amp; "/bottle/sn_cad69599b8726c218fd72ac33112a7b/rendering/06.obj", "1.90361773968")</f>
        <v>1.90361773968</v>
      </c>
      <c r="J148" s="47" t="str">
        <f>HYPERLINK(AA2 &amp; "/bottle/sn_cad69599b8726c218fd72ac33112a7b/rendering/07.obj", "1.85632669926")</f>
        <v>1.85632669926</v>
      </c>
      <c r="K148" s="46" t="str">
        <f>HYPERLINK(AA2 &amp; "/bottle/sn_cad69599b8726c218fd72ac33112a7b/rendering/08.obj", "1.90375566483")</f>
        <v>1.90375566483</v>
      </c>
      <c r="L148" s="13" t="str">
        <f>HYPERLINK(AA2 &amp; "/bottle/sn_cad69599b8726c218fd72ac33112a7b/rendering/09.obj", "1.87486672401")</f>
        <v>1.87486672401</v>
      </c>
      <c r="M148" s="91" t="str">
        <f>HYPERLINK(AA2 &amp; "/bottle/sn_cad69599b8726c218fd72ac33112a7b/rendering/10.obj", "1.82006406784")</f>
        <v>1.82006406784</v>
      </c>
      <c r="N148" s="60" t="str">
        <f>HYPERLINK(AA2 &amp; "/bottle/sn_cad69599b8726c218fd72ac33112a7b/rendering/11.obj", "1.96894776821")</f>
        <v>1.96894776821</v>
      </c>
      <c r="O148" s="69" t="str">
        <f>HYPERLINK(AA2 &amp; "/bottle/sn_cad69599b8726c218fd72ac33112a7b/rendering/12.obj", "1.81621158123")</f>
        <v>1.81621158123</v>
      </c>
      <c r="P148" s="6" t="str">
        <f>HYPERLINK(AA2 &amp; "/bottle/sn_cad69599b8726c218fd72ac33112a7b/rendering/13.obj", "1.78427863121")</f>
        <v>1.78427863121</v>
      </c>
      <c r="Q148" s="74" t="str">
        <f>HYPERLINK(AA2 &amp; "/bottle/sn_cad69599b8726c218fd72ac33112a7b/rendering/14.obj", "1.89351153374")</f>
        <v>1.89351153374</v>
      </c>
      <c r="R148" s="30" t="str">
        <f>HYPERLINK(AA2 &amp; "/bottle/sn_cad69599b8726c218fd72ac33112a7b/rendering/15.obj", "1.85918629169")</f>
        <v>1.85918629169</v>
      </c>
      <c r="S148" s="35" t="str">
        <f>HYPERLINK(AA2 &amp; "/bottle/sn_cad69599b8726c218fd72ac33112a7b/rendering/16.obj", "1.98071467876")</f>
        <v>1.98071467876</v>
      </c>
      <c r="T148" s="46" t="str">
        <f>HYPERLINK(AA2 &amp; "/bottle/sn_cad69599b8726c218fd72ac33112a7b/rendering/17.obj", "1.83896112442")</f>
        <v>1.83896112442</v>
      </c>
      <c r="U148" s="67" t="str">
        <f>HYPERLINK(AA2 &amp; "/bottle/sn_cad69599b8726c218fd72ac33112a7b/rendering/18.obj", "2.0413479805")</f>
        <v>2.0413479805</v>
      </c>
      <c r="V148" s="30" t="str">
        <f>HYPERLINK(AA2 &amp; "/bottle/sn_cad69599b8726c218fd72ac33112a7b/rendering/19.obj", "1.86225938797")</f>
        <v>1.86225938797</v>
      </c>
      <c r="W148" s="12" t="s">
        <v>30</v>
      </c>
      <c r="X148" s="13">
        <v>1.869945251941681</v>
      </c>
      <c r="Y148" s="13">
        <v>7.2381805217010098E-2</v>
      </c>
      <c r="Z148" s="23">
        <v>3.8707980964603941E-2</v>
      </c>
    </row>
    <row r="149" spans="1:26" x14ac:dyDescent="0.2">
      <c r="A149" s="1">
        <v>147</v>
      </c>
      <c r="B149" s="2" t="s">
        <v>62</v>
      </c>
      <c r="C149" s="91" t="str">
        <f>HYPERLINK(AB2 &amp; "/bottle/sn_cad69599b8726c218fd72ac33112a7b/rendering/00.obj", "2.42994903564")</f>
        <v>2.42994903564</v>
      </c>
      <c r="D149" s="110" t="str">
        <f>HYPERLINK(AB2 &amp; "/bottle/sn_cad69599b8726c218fd72ac33112a7b/rendering/01.obj", "2.74831329346")</f>
        <v>2.74831329346</v>
      </c>
      <c r="E149" s="26" t="str">
        <f>HYPERLINK(AB2 &amp; "/bottle/sn_cad69599b8726c218fd72ac33112a7b/rendering/02.obj", "2.3382925415")</f>
        <v>2.3382925415</v>
      </c>
      <c r="F149" s="17" t="str">
        <f>HYPERLINK(AB2 &amp; "/bottle/sn_cad69599b8726c218fd72ac33112a7b/rendering/03.obj", "2.4517980957")</f>
        <v>2.4517980957</v>
      </c>
      <c r="G149" s="6" t="str">
        <f>HYPERLINK(AB2 &amp; "/bottle/sn_cad69599b8726c218fd72ac33112a7b/rendering/04.obj", "2.3829776001")</f>
        <v>2.3829776001</v>
      </c>
      <c r="H149" s="34" t="str">
        <f>HYPERLINK(AB2 &amp; "/bottle/sn_cad69599b8726c218fd72ac33112a7b/rendering/05.obj", "2.37982452393")</f>
        <v>2.37982452393</v>
      </c>
      <c r="I149" s="47" t="str">
        <f>HYPERLINK(AB2 &amp; "/bottle/sn_cad69599b8726c218fd72ac33112a7b/rendering/06.obj", "2.52128097534")</f>
        <v>2.52128097534</v>
      </c>
      <c r="J149" s="32" t="str">
        <f>HYPERLINK(AB2 &amp; "/bottle/sn_cad69599b8726c218fd72ac33112a7b/rendering/07.obj", "2.76447357178")</f>
        <v>2.76447357178</v>
      </c>
      <c r="K149" s="67" t="str">
        <f>HYPERLINK(AB2 &amp; "/bottle/sn_cad69599b8726c218fd72ac33112a7b/rendering/08.obj", "2.26418807983")</f>
        <v>2.26418807983</v>
      </c>
      <c r="L149" s="65" t="str">
        <f>HYPERLINK(AB2 &amp; "/bottle/sn_cad69599b8726c218fd72ac33112a7b/rendering/09.obj", "2.83354248047")</f>
        <v>2.83354248047</v>
      </c>
      <c r="M149" s="34" t="str">
        <f>HYPERLINK(AB2 &amp; "/bottle/sn_cad69599b8726c218fd72ac33112a7b/rendering/10.obj", "2.37413330078")</f>
        <v>2.37413330078</v>
      </c>
      <c r="N149" s="39" t="str">
        <f>HYPERLINK(AB2 &amp; "/bottle/sn_cad69599b8726c218fd72ac33112a7b/rendering/11.obj", "2.28470733643")</f>
        <v>2.28470733643</v>
      </c>
      <c r="O149" s="60" t="str">
        <f>HYPERLINK(AB2 &amp; "/bottle/sn_cad69599b8726c218fd72ac33112a7b/rendering/12.obj", "2.36754882812")</f>
        <v>2.36754882812</v>
      </c>
      <c r="P149" s="68" t="str">
        <f>HYPERLINK(AB2 &amp; "/bottle/sn_cad69599b8726c218fd72ac33112a7b/rendering/13.obj", "2.39451324463")</f>
        <v>2.39451324463</v>
      </c>
      <c r="Q149" s="33" t="str">
        <f>HYPERLINK(AB2 &amp; "/bottle/sn_cad69599b8726c218fd72ac33112a7b/rendering/14.obj", "2.76741271973")</f>
        <v>2.76741271973</v>
      </c>
      <c r="R149" s="107" t="str">
        <f>HYPERLINK(AB2 &amp; "/bottle/sn_cad69599b8726c218fd72ac33112a7b/rendering/15.obj", "2.7047454834")</f>
        <v>2.7047454834</v>
      </c>
      <c r="S149" s="110" t="str">
        <f>HYPERLINK(AB2 &amp; "/bottle/sn_cad69599b8726c218fd72ac33112a7b/rendering/16.obj", "2.24870010376")</f>
        <v>2.24870010376</v>
      </c>
      <c r="T149" s="91" t="str">
        <f>HYPERLINK(AB2 &amp; "/bottle/sn_cad69599b8726c218fd72ac33112a7b/rendering/17.obj", "2.43210678101")</f>
        <v>2.43210678101</v>
      </c>
      <c r="U149" s="33" t="str">
        <f>HYPERLINK(AB2 &amp; "/bottle/sn_cad69599b8726c218fd72ac33112a7b/rendering/18.obj", "2.7682723999")</f>
        <v>2.7682723999</v>
      </c>
      <c r="V149" s="25" t="str">
        <f>HYPERLINK(AB2 &amp; "/bottle/sn_cad69599b8726c218fd72ac33112a7b/rendering/19.obj", "2.5242666626")</f>
        <v>2.5242666626</v>
      </c>
      <c r="W149" s="12" t="s">
        <v>31</v>
      </c>
      <c r="X149" s="13">
        <v>2.4990523529052728</v>
      </c>
      <c r="Y149" s="13">
        <v>0.18775372953645869</v>
      </c>
      <c r="Z149" s="94">
        <v>7.512997049388967E-2</v>
      </c>
    </row>
    <row r="150" spans="1:26" x14ac:dyDescent="0.2">
      <c r="A150" s="1">
        <v>148</v>
      </c>
      <c r="B150" s="2" t="s">
        <v>62</v>
      </c>
      <c r="C150" s="78" t="str">
        <f>HYPERLINK(AB2 &amp; "/bottle/sn_cad69599b8726c218fd72ac33112a7b/rendering/00.obj", "1.91882526875")</f>
        <v>1.91882526875</v>
      </c>
      <c r="D150" s="67" t="str">
        <f>HYPERLINK(AB2 &amp; "/bottle/sn_cad69599b8726c218fd72ac33112a7b/rendering/01.obj", "2.23199057579")</f>
        <v>2.23199057579</v>
      </c>
      <c r="E150" s="78" t="str">
        <f>HYPERLINK(AB2 &amp; "/bottle/sn_cad69599b8726c218fd72ac33112a7b/rendering/02.obj", "1.91974771023")</f>
        <v>1.91974771023</v>
      </c>
      <c r="F150" s="72" t="str">
        <f>HYPERLINK(AB2 &amp; "/bottle/sn_cad69599b8726c218fd72ac33112a7b/rendering/03.obj", "1.97633647919")</f>
        <v>1.97633647919</v>
      </c>
      <c r="G150" s="34" t="str">
        <f>HYPERLINK(AB2 &amp; "/bottle/sn_cad69599b8726c218fd72ac33112a7b/rendering/04.obj", "1.94948530197")</f>
        <v>1.94948530197</v>
      </c>
      <c r="H150" s="94" t="str">
        <f>HYPERLINK(AB2 &amp; "/bottle/sn_cad69599b8726c218fd72ac33112a7b/rendering/05.obj", "1.89356040955")</f>
        <v>1.89356040955</v>
      </c>
      <c r="I150" s="74" t="str">
        <f>HYPERLINK(AB2 &amp; "/bottle/sn_cad69599b8726c218fd72ac33112a7b/rendering/06.obj", "2.07610797882")</f>
        <v>2.07610797882</v>
      </c>
      <c r="J150" s="29" t="str">
        <f>HYPERLINK(AB2 &amp; "/bottle/sn_cad69599b8726c218fd72ac33112a7b/rendering/07.obj", "2.315325737")</f>
        <v>2.315325737</v>
      </c>
      <c r="K150" s="27" t="str">
        <f>HYPERLINK(AB2 &amp; "/bottle/sn_cad69599b8726c218fd72ac33112a7b/rendering/08.obj", "1.89846539497")</f>
        <v>1.89846539497</v>
      </c>
      <c r="L150" s="40" t="str">
        <f>HYPERLINK(AB2 &amp; "/bottle/sn_cad69599b8726c218fd72ac33112a7b/rendering/09.obj", "2.39258909225")</f>
        <v>2.39258909225</v>
      </c>
      <c r="M150" s="35" t="str">
        <f>HYPERLINK(AB2 &amp; "/bottle/sn_cad69599b8726c218fd72ac33112a7b/rendering/10.obj", "1.92998206615")</f>
        <v>1.92998206615</v>
      </c>
      <c r="N150" s="10" t="str">
        <f>HYPERLINK(AB2 &amp; "/bottle/sn_cad69599b8726c218fd72ac33112a7b/rendering/11.obj", "1.93456554413")</f>
        <v>1.93456554413</v>
      </c>
      <c r="O150" s="35" t="str">
        <f>HYPERLINK(AB2 &amp; "/bottle/sn_cad69599b8726c218fd72ac33112a7b/rendering/12.obj", "1.92587852478")</f>
        <v>1.92587852478</v>
      </c>
      <c r="P150" s="35" t="str">
        <f>HYPERLINK(AB2 &amp; "/bottle/sn_cad69599b8726c218fd72ac33112a7b/rendering/13.obj", "1.92602527142")</f>
        <v>1.92602527142</v>
      </c>
      <c r="Q150" s="28" t="str">
        <f>HYPERLINK(AB2 &amp; "/bottle/sn_cad69599b8726c218fd72ac33112a7b/rendering/14.obj", "2.272377491")</f>
        <v>2.272377491</v>
      </c>
      <c r="R150" s="38" t="str">
        <f>HYPERLINK(AB2 &amp; "/bottle/sn_cad69599b8726c218fd72ac33112a7b/rendering/15.obj", "2.2293817997")</f>
        <v>2.2293817997</v>
      </c>
      <c r="S150" s="110" t="str">
        <f>HYPERLINK(AB2 &amp; "/bottle/sn_cad69599b8726c218fd72ac33112a7b/rendering/16.obj", "1.84289193153")</f>
        <v>1.84289193153</v>
      </c>
      <c r="T150" s="69" t="str">
        <f>HYPERLINK(AB2 &amp; "/bottle/sn_cad69599b8726c218fd72ac33112a7b/rendering/17.obj", "1.98283004761")</f>
        <v>1.98283004761</v>
      </c>
      <c r="U150" s="32" t="str">
        <f>HYPERLINK(AB2 &amp; "/bottle/sn_cad69599b8726c218fd72ac33112a7b/rendering/18.obj", "2.26152849197")</f>
        <v>2.26152849197</v>
      </c>
      <c r="V150" s="30" t="str">
        <f>HYPERLINK(AB2 &amp; "/bottle/sn_cad69599b8726c218fd72ac33112a7b/rendering/19.obj", "2.03817558289")</f>
        <v>2.03817558289</v>
      </c>
      <c r="W150" s="12" t="s">
        <v>32</v>
      </c>
      <c r="X150" s="13">
        <v>2.045803534984588</v>
      </c>
      <c r="Y150" s="13">
        <v>0.16594843136566109</v>
      </c>
      <c r="Z150" s="51">
        <v>8.1116504360185887E-2</v>
      </c>
    </row>
    <row r="151" spans="1:26" x14ac:dyDescent="0.2">
      <c r="A151" s="1">
        <v>149</v>
      </c>
      <c r="B151" s="2" t="s">
        <v>62</v>
      </c>
      <c r="C151" s="13" t="str">
        <f>HYPERLINK(AC2 &amp; "/bottle/sn_cad69599b8726c218fd72ac33112a7b/rendering/00.xyz", "0.0")</f>
        <v>0.0</v>
      </c>
      <c r="D151" s="13" t="str">
        <f>HYPERLINK(AC2 &amp; "/bottle/sn_cad69599b8726c218fd72ac33112a7b/rendering/01.xyz", "0.0")</f>
        <v>0.0</v>
      </c>
      <c r="E151" s="13" t="str">
        <f>HYPERLINK(AC2 &amp; "/bottle/sn_cad69599b8726c218fd72ac33112a7b/rendering/02.xyz", "0.0")</f>
        <v>0.0</v>
      </c>
      <c r="F151" s="13" t="str">
        <f>HYPERLINK(AC2 &amp; "/bottle/sn_cad69599b8726c218fd72ac33112a7b/rendering/03.xyz", "0.0")</f>
        <v>0.0</v>
      </c>
      <c r="G151" s="13" t="str">
        <f>HYPERLINK(AC2 &amp; "/bottle/sn_cad69599b8726c218fd72ac33112a7b/rendering/04.xyz", "0.0")</f>
        <v>0.0</v>
      </c>
      <c r="H151" s="13" t="str">
        <f>HYPERLINK(AC2 &amp; "/bottle/sn_cad69599b8726c218fd72ac33112a7b/rendering/05.xyz", "0.0")</f>
        <v>0.0</v>
      </c>
      <c r="I151" s="13" t="str">
        <f>HYPERLINK(AC2 &amp; "/bottle/sn_cad69599b8726c218fd72ac33112a7b/rendering/06.xyz", "0.0")</f>
        <v>0.0</v>
      </c>
      <c r="J151" s="13" t="str">
        <f>HYPERLINK(AC2 &amp; "/bottle/sn_cad69599b8726c218fd72ac33112a7b/rendering/07.xyz", "0.0")</f>
        <v>0.0</v>
      </c>
      <c r="K151" s="13" t="str">
        <f>HYPERLINK(AC2 &amp; "/bottle/sn_cad69599b8726c218fd72ac33112a7b/rendering/08.xyz", "0.0")</f>
        <v>0.0</v>
      </c>
      <c r="L151" s="13" t="str">
        <f>HYPERLINK(AC2 &amp; "/bottle/sn_cad69599b8726c218fd72ac33112a7b/rendering/09.xyz", "0.0")</f>
        <v>0.0</v>
      </c>
      <c r="M151" s="13" t="str">
        <f>HYPERLINK(AC2 &amp; "/bottle/sn_cad69599b8726c218fd72ac33112a7b/rendering/10.xyz", "0.0")</f>
        <v>0.0</v>
      </c>
      <c r="N151" s="13" t="str">
        <f>HYPERLINK(AC2 &amp; "/bottle/sn_cad69599b8726c218fd72ac33112a7b/rendering/11.xyz", "0.0")</f>
        <v>0.0</v>
      </c>
      <c r="O151" s="13" t="str">
        <f>HYPERLINK(AC2 &amp; "/bottle/sn_cad69599b8726c218fd72ac33112a7b/rendering/12.xyz", "0.0")</f>
        <v>0.0</v>
      </c>
      <c r="P151" s="13" t="str">
        <f>HYPERLINK(AC2 &amp; "/bottle/sn_cad69599b8726c218fd72ac33112a7b/rendering/13.xyz", "0.0")</f>
        <v>0.0</v>
      </c>
      <c r="Q151" s="13" t="str">
        <f>HYPERLINK(AC2 &amp; "/bottle/sn_cad69599b8726c218fd72ac33112a7b/rendering/14.xyz", "0.0")</f>
        <v>0.0</v>
      </c>
      <c r="R151" s="13" t="str">
        <f>HYPERLINK(AC2 &amp; "/bottle/sn_cad69599b8726c218fd72ac33112a7b/rendering/15.xyz", "0.0")</f>
        <v>0.0</v>
      </c>
      <c r="S151" s="13" t="str">
        <f>HYPERLINK(AC2 &amp; "/bottle/sn_cad69599b8726c218fd72ac33112a7b/rendering/16.xyz", "0.0")</f>
        <v>0.0</v>
      </c>
      <c r="T151" s="13" t="str">
        <f>HYPERLINK(AC2 &amp; "/bottle/sn_cad69599b8726c218fd72ac33112a7b/rendering/17.xyz", "0.0")</f>
        <v>0.0</v>
      </c>
      <c r="U151" s="13" t="str">
        <f>HYPERLINK(AC2 &amp; "/bottle/sn_cad69599b8726c218fd72ac33112a7b/rendering/18.xyz", "0.0")</f>
        <v>0.0</v>
      </c>
      <c r="V151" s="13" t="str">
        <f>HYPERLINK(AC2 &amp; "/bottle/sn_cad69599b8726c218fd72ac33112a7b/rendering/19.xyz", "0.0")</f>
        <v>0.0</v>
      </c>
      <c r="W151" s="12" t="s">
        <v>33</v>
      </c>
      <c r="X151" s="13">
        <v>0</v>
      </c>
      <c r="Y151" s="13">
        <v>0</v>
      </c>
      <c r="Z151" s="13">
        <v>0</v>
      </c>
    </row>
    <row r="152" spans="1:26" x14ac:dyDescent="0.2">
      <c r="A152" s="1">
        <v>150</v>
      </c>
      <c r="B152" s="2" t="s">
        <v>63</v>
      </c>
      <c r="C152" s="25" t="str">
        <f>HYPERLINK(AA2 &amp; "/bottle/sn_cb3ff04a607ea9651b22d29e47ec3f2/rendering/00.obj", "2.35527496338")</f>
        <v>2.35527496338</v>
      </c>
      <c r="D152" s="46" t="str">
        <f>HYPERLINK(AA2 &amp; "/bottle/sn_cb3ff04a607ea9651b22d29e47ec3f2/rendering/01.obj", "2.42791137695")</f>
        <v>2.42791137695</v>
      </c>
      <c r="E152" s="35" t="str">
        <f>HYPERLINK(AA2 &amp; "/bottle/sn_cb3ff04a607ea9651b22d29e47ec3f2/rendering/02.obj", "2.5234866333")</f>
        <v>2.5234866333</v>
      </c>
      <c r="F152" s="25" t="str">
        <f>HYPERLINK(AA2 &amp; "/bottle/sn_cb3ff04a607ea9651b22d29e47ec3f2/rendering/03.obj", "2.41085998535")</f>
        <v>2.41085998535</v>
      </c>
      <c r="G152" s="23" t="str">
        <f>HYPERLINK(AA2 &amp; "/bottle/sn_cb3ff04a607ea9651b22d29e47ec3f2/rendering/04.obj", "2.28986953735")</f>
        <v>2.28986953735</v>
      </c>
      <c r="H152" s="74" t="str">
        <f>HYPERLINK(AA2 &amp; "/bottle/sn_cb3ff04a607ea9651b22d29e47ec3f2/rendering/05.obj", "2.35119506836")</f>
        <v>2.35119506836</v>
      </c>
      <c r="I152" s="46" t="str">
        <f>HYPERLINK(AA2 &amp; "/bottle/sn_cb3ff04a607ea9651b22d29e47ec3f2/rendering/06.obj", "2.34463272095")</f>
        <v>2.34463272095</v>
      </c>
      <c r="J152" s="91" t="str">
        <f>HYPERLINK(AA2 &amp; "/bottle/sn_cb3ff04a607ea9651b22d29e47ec3f2/rendering/07.obj", "2.32340423584")</f>
        <v>2.32340423584</v>
      </c>
      <c r="K152" s="74" t="str">
        <f>HYPERLINK(AA2 &amp; "/bottle/sn_cb3ff04a607ea9651b22d29e47ec3f2/rendering/08.obj", "2.35083770752")</f>
        <v>2.35083770752</v>
      </c>
      <c r="L152" s="69" t="str">
        <f>HYPERLINK(AA2 &amp; "/bottle/sn_cb3ff04a607ea9651b22d29e47ec3f2/rendering/09.obj", "2.45785980225")</f>
        <v>2.45785980225</v>
      </c>
      <c r="M152" s="17" t="str">
        <f>HYPERLINK(AA2 &amp; "/bottle/sn_cb3ff04a607ea9651b22d29e47ec3f2/rendering/10.obj", "2.43633636475")</f>
        <v>2.43633636475</v>
      </c>
      <c r="N152" s="13" t="str">
        <f>HYPERLINK(AA2 &amp; "/bottle/sn_cb3ff04a607ea9651b22d29e47ec3f2/rendering/11.obj", "2.38751785278")</f>
        <v>2.38751785278</v>
      </c>
      <c r="O152" s="6" t="str">
        <f>HYPERLINK(AA2 &amp; "/bottle/sn_cb3ff04a607ea9651b22d29e47ec3f2/rendering/12.obj", "2.49486572266")</f>
        <v>2.49486572266</v>
      </c>
      <c r="P152" s="60" t="str">
        <f>HYPERLINK(AA2 &amp; "/bottle/sn_cb3ff04a607ea9651b22d29e47ec3f2/rendering/13.obj", "2.26435562134")</f>
        <v>2.26435562134</v>
      </c>
      <c r="Q152" s="48" t="str">
        <f>HYPERLINK(AA2 &amp; "/bottle/sn_cb3ff04a607ea9651b22d29e47ec3f2/rendering/14.obj", "2.44002227783")</f>
        <v>2.44002227783</v>
      </c>
      <c r="R152" s="35" t="str">
        <f>HYPERLINK(AA2 &amp; "/bottle/sn_cb3ff04a607ea9651b22d29e47ec3f2/rendering/15.obj", "2.2439151001")</f>
        <v>2.2439151001</v>
      </c>
      <c r="S152" s="6" t="str">
        <f>HYPERLINK(AA2 &amp; "/bottle/sn_cb3ff04a607ea9651b22d29e47ec3f2/rendering/16.obj", "2.28008300781")</f>
        <v>2.28008300781</v>
      </c>
      <c r="T152" s="35" t="str">
        <f>HYPERLINK(AA2 &amp; "/bottle/sn_cb3ff04a607ea9651b22d29e47ec3f2/rendering/17.obj", "2.24675384521")</f>
        <v>2.24675384521</v>
      </c>
      <c r="U152" s="31" t="str">
        <f>HYPERLINK(AA2 &amp; "/bottle/sn_cb3ff04a607ea9651b22d29e47ec3f2/rendering/18.obj", "2.7545703125")</f>
        <v>2.7545703125</v>
      </c>
      <c r="V152" s="91" t="str">
        <f>HYPERLINK(AA2 &amp; "/bottle/sn_cb3ff04a607ea9651b22d29e47ec3f2/rendering/19.obj", "2.31853363037")</f>
        <v>2.31853363037</v>
      </c>
      <c r="W152" s="12" t="s">
        <v>29</v>
      </c>
      <c r="X152" s="13">
        <v>2.3851142883300782</v>
      </c>
      <c r="Y152" s="13">
        <v>0.1157546996498266</v>
      </c>
      <c r="Z152" s="34">
        <v>4.8532139619553202E-2</v>
      </c>
    </row>
    <row r="153" spans="1:26" x14ac:dyDescent="0.2">
      <c r="A153" s="1">
        <v>151</v>
      </c>
      <c r="B153" s="2" t="s">
        <v>63</v>
      </c>
      <c r="C153" s="73" t="str">
        <f>HYPERLINK(AA2 &amp; "/bottle/sn_cb3ff04a607ea9651b22d29e47ec3f2/rendering/00.obj", "1.51419901848")</f>
        <v>1.51419901848</v>
      </c>
      <c r="D153" s="69" t="str">
        <f>HYPERLINK(AA2 &amp; "/bottle/sn_cb3ff04a607ea9651b22d29e47ec3f2/rendering/01.obj", "1.50342047215")</f>
        <v>1.50342047215</v>
      </c>
      <c r="E153" s="46" t="str">
        <f>HYPERLINK(AA2 &amp; "/bottle/sn_cb3ff04a607ea9651b22d29e47ec3f2/rendering/02.obj", "1.43305718899")</f>
        <v>1.43305718899</v>
      </c>
      <c r="F153" s="13" t="str">
        <f>HYPERLINK(AA2 &amp; "/bottle/sn_cb3ff04a607ea9651b22d29e47ec3f2/rendering/03.obj", "1.46200084686")</f>
        <v>1.46200084686</v>
      </c>
      <c r="G153" s="6" t="str">
        <f>HYPERLINK(AA2 &amp; "/bottle/sn_cb3ff04a607ea9651b22d29e47ec3f2/rendering/04.obj", "1.52577745914")</f>
        <v>1.52577745914</v>
      </c>
      <c r="H153" s="69" t="str">
        <f>HYPERLINK(AA2 &amp; "/bottle/sn_cb3ff04a607ea9651b22d29e47ec3f2/rendering/05.obj", "1.4181791544")</f>
        <v>1.4181791544</v>
      </c>
      <c r="I153" s="30" t="str">
        <f>HYPERLINK(AA2 &amp; "/bottle/sn_cb3ff04a607ea9651b22d29e47ec3f2/rendering/06.obj", "1.4547508955")</f>
        <v>1.4547508955</v>
      </c>
      <c r="J153" s="78" t="str">
        <f>HYPERLINK(AA2 &amp; "/bottle/sn_cb3ff04a607ea9651b22d29e47ec3f2/rendering/07.obj", "1.36994147301")</f>
        <v>1.36994147301</v>
      </c>
      <c r="K153" s="23" t="str">
        <f>HYPERLINK(AA2 &amp; "/bottle/sn_cb3ff04a607ea9651b22d29e47ec3f2/rendering/08.obj", "1.40176403522")</f>
        <v>1.40176403522</v>
      </c>
      <c r="L153" s="10" t="str">
        <f>HYPERLINK(AA2 &amp; "/bottle/sn_cb3ff04a607ea9651b22d29e47ec3f2/rendering/09.obj", "1.53993213177")</f>
        <v>1.53993213177</v>
      </c>
      <c r="M153" s="17" t="str">
        <f>HYPERLINK(AA2 &amp; "/bottle/sn_cb3ff04a607ea9651b22d29e47ec3f2/rendering/10.obj", "1.48847985268")</f>
        <v>1.48847985268</v>
      </c>
      <c r="N153" s="69" t="str">
        <f>HYPERLINK(AA2 &amp; "/bottle/sn_cb3ff04a607ea9651b22d29e47ec3f2/rendering/11.obj", "1.41506099701")</f>
        <v>1.41506099701</v>
      </c>
      <c r="O153" s="60" t="str">
        <f>HYPERLINK(AA2 &amp; "/bottle/sn_cb3ff04a607ea9651b22d29e47ec3f2/rendering/12.obj", "1.38402879238")</f>
        <v>1.38402879238</v>
      </c>
      <c r="P153" s="91" t="str">
        <f>HYPERLINK(AA2 &amp; "/bottle/sn_cb3ff04a607ea9651b22d29e47ec3f2/rendering/13.obj", "1.41939771175")</f>
        <v>1.41939771175</v>
      </c>
      <c r="Q153" s="17" t="str">
        <f>HYPERLINK(AA2 &amp; "/bottle/sn_cb3ff04a607ea9651b22d29e47ec3f2/rendering/14.obj", "1.42921054363")</f>
        <v>1.42921054363</v>
      </c>
      <c r="R153" s="30" t="str">
        <f>HYPERLINK(AA2 &amp; "/bottle/sn_cb3ff04a607ea9651b22d29e47ec3f2/rendering/15.obj", "1.46565282345")</f>
        <v>1.46565282345</v>
      </c>
      <c r="S153" s="72" t="str">
        <f>HYPERLINK(AA2 &amp; "/bottle/sn_cb3ff04a607ea9651b22d29e47ec3f2/rendering/16.obj", "1.41336524487")</f>
        <v>1.41336524487</v>
      </c>
      <c r="T153" s="13" t="str">
        <f>HYPERLINK(AA2 &amp; "/bottle/sn_cb3ff04a607ea9651b22d29e47ec3f2/rendering/17.obj", "1.46417534351")</f>
        <v>1.46417534351</v>
      </c>
      <c r="U153" s="133" t="str">
        <f>HYPERLINK(AA2 &amp; "/bottle/sn_cb3ff04a607ea9651b22d29e47ec3f2/rendering/18.obj", "1.60917031765")</f>
        <v>1.60917031765</v>
      </c>
      <c r="V153" s="91" t="str">
        <f>HYPERLINK(AA2 &amp; "/bottle/sn_cb3ff04a607ea9651b22d29e47ec3f2/rendering/19.obj", "1.49918019772")</f>
        <v>1.49918019772</v>
      </c>
      <c r="W153" s="12" t="s">
        <v>30</v>
      </c>
      <c r="X153" s="13">
        <v>1.4605372250080111</v>
      </c>
      <c r="Y153" s="13">
        <v>5.7771608875209761E-2</v>
      </c>
      <c r="Z153" s="23">
        <v>3.955504035502614E-2</v>
      </c>
    </row>
    <row r="154" spans="1:26" x14ac:dyDescent="0.2">
      <c r="A154" s="1">
        <v>152</v>
      </c>
      <c r="B154" s="2" t="s">
        <v>63</v>
      </c>
      <c r="C154" s="72" t="str">
        <f>HYPERLINK(AB2 &amp; "/bottle/sn_cb3ff04a607ea9651b22d29e47ec3f2/rendering/00.obj", "3.47374145508")</f>
        <v>3.47374145508</v>
      </c>
      <c r="D154" s="26" t="str">
        <f>HYPERLINK(AB2 &amp; "/bottle/sn_cb3ff04a607ea9651b22d29e47ec3f2/rendering/01.obj", "3.81755310059")</f>
        <v>3.81755310059</v>
      </c>
      <c r="E154" s="91" t="str">
        <f>HYPERLINK(AB2 &amp; "/bottle/sn_cb3ff04a607ea9651b22d29e47ec3f2/rendering/02.obj", "3.68806884766")</f>
        <v>3.68806884766</v>
      </c>
      <c r="F154" s="17" t="str">
        <f>HYPERLINK(AB2 &amp; "/bottle/sn_cb3ff04a607ea9651b22d29e47ec3f2/rendering/03.obj", "3.52251159668")</f>
        <v>3.52251159668</v>
      </c>
      <c r="G154" s="13" t="str">
        <f>HYPERLINK(AB2 &amp; "/bottle/sn_cb3ff04a607ea9651b22d29e47ec3f2/rendering/04.obj", "3.58087341309")</f>
        <v>3.58087341309</v>
      </c>
      <c r="H154" s="23" t="str">
        <f>HYPERLINK(AB2 &amp; "/bottle/sn_cb3ff04a607ea9651b22d29e47ec3f2/rendering/05.obj", "3.44745605469")</f>
        <v>3.44745605469</v>
      </c>
      <c r="I154" s="23" t="str">
        <f>HYPERLINK(AB2 &amp; "/bottle/sn_cb3ff04a607ea9651b22d29e47ec3f2/rendering/06.obj", "3.44776123047")</f>
        <v>3.44776123047</v>
      </c>
      <c r="J154" s="73" t="str">
        <f>HYPERLINK(AB2 &amp; "/bottle/sn_cb3ff04a607ea9651b22d29e47ec3f2/rendering/07.obj", "3.71879119873")</f>
        <v>3.71879119873</v>
      </c>
      <c r="K154" s="60" t="str">
        <f>HYPERLINK(AB2 &amp; "/bottle/sn_cb3ff04a607ea9651b22d29e47ec3f2/rendering/08.obj", "3.40799682617")</f>
        <v>3.40799682617</v>
      </c>
      <c r="L154" s="73" t="str">
        <f>HYPERLINK(AB2 &amp; "/bottle/sn_cb3ff04a607ea9651b22d29e47ec3f2/rendering/09.obj", "3.46420288086")</f>
        <v>3.46420288086</v>
      </c>
      <c r="M154" s="74" t="str">
        <f>HYPERLINK(AB2 &amp; "/bottle/sn_cb3ff04a607ea9651b22d29e47ec3f2/rendering/10.obj", "3.53849822998")</f>
        <v>3.53849822998</v>
      </c>
      <c r="N154" s="47" t="str">
        <f>HYPERLINK(AB2 &amp; "/bottle/sn_cb3ff04a607ea9651b22d29e47ec3f2/rendering/11.obj", "3.5589453125")</f>
        <v>3.5589453125</v>
      </c>
      <c r="O154" s="23" t="str">
        <f>HYPERLINK(AB2 &amp; "/bottle/sn_cb3ff04a607ea9651b22d29e47ec3f2/rendering/12.obj", "3.73051147461")</f>
        <v>3.73051147461</v>
      </c>
      <c r="P154" s="69" t="str">
        <f>HYPERLINK(AB2 &amp; "/bottle/sn_cb3ff04a607ea9651b22d29e47ec3f2/rendering/13.obj", "3.69575317383")</f>
        <v>3.69575317383</v>
      </c>
      <c r="Q154" s="69" t="str">
        <f>HYPERLINK(AB2 &amp; "/bottle/sn_cb3ff04a607ea9651b22d29e47ec3f2/rendering/14.obj", "3.70096252441")</f>
        <v>3.70096252441</v>
      </c>
      <c r="R154" s="17" t="str">
        <f>HYPERLINK(AB2 &amp; "/bottle/sn_cb3ff04a607ea9651b22d29e47ec3f2/rendering/15.obj", "3.66289459229")</f>
        <v>3.66289459229</v>
      </c>
      <c r="S154" s="68" t="str">
        <f>HYPERLINK(AB2 &amp; "/bottle/sn_cb3ff04a607ea9651b22d29e47ec3f2/rendering/16.obj", "3.74182678223")</f>
        <v>3.74182678223</v>
      </c>
      <c r="T154" s="46" t="str">
        <f>HYPERLINK(AB2 &amp; "/bottle/sn_cb3ff04a607ea9651b22d29e47ec3f2/rendering/17.obj", "3.52423736572")</f>
        <v>3.52423736572</v>
      </c>
      <c r="U154" s="74" t="str">
        <f>HYPERLINK(AB2 &amp; "/bottle/sn_cb3ff04a607ea9651b22d29e47ec3f2/rendering/18.obj", "3.53848632812")</f>
        <v>3.53848632812</v>
      </c>
      <c r="V154" s="25" t="str">
        <f>HYPERLINK(AB2 &amp; "/bottle/sn_cb3ff04a607ea9651b22d29e47ec3f2/rendering/19.obj", "3.55541015625")</f>
        <v>3.55541015625</v>
      </c>
      <c r="W154" s="12" t="s">
        <v>31</v>
      </c>
      <c r="X154" s="13">
        <v>3.590824127197267</v>
      </c>
      <c r="Y154" s="13">
        <v>0.1159790484514945</v>
      </c>
      <c r="Z154" s="72">
        <v>3.2298727073001819E-2</v>
      </c>
    </row>
    <row r="155" spans="1:26" x14ac:dyDescent="0.2">
      <c r="A155" s="1">
        <v>153</v>
      </c>
      <c r="B155" s="2" t="s">
        <v>63</v>
      </c>
      <c r="C155" s="73" t="str">
        <f>HYPERLINK(AB2 &amp; "/bottle/sn_cb3ff04a607ea9651b22d29e47ec3f2/rendering/00.obj", "1.61295104027")</f>
        <v>1.61295104027</v>
      </c>
      <c r="D155" s="82" t="str">
        <f>HYPERLINK(AB2 &amp; "/bottle/sn_cb3ff04a607ea9651b22d29e47ec3f2/rendering/01.obj", "2.01853442192")</f>
        <v>2.01853442192</v>
      </c>
      <c r="E155" s="74" t="str">
        <f>HYPERLINK(AB2 &amp; "/bottle/sn_cb3ff04a607ea9651b22d29e47ec3f2/rendering/02.obj", "1.64821517467")</f>
        <v>1.64821517467</v>
      </c>
      <c r="F155" s="39" t="str">
        <f>HYPERLINK(AB2 &amp; "/bottle/sn_cb3ff04a607ea9651b22d29e47ec3f2/rendering/03.obj", "1.52961611748")</f>
        <v>1.52961611748</v>
      </c>
      <c r="G155" s="91" t="str">
        <f>HYPERLINK(AB2 &amp; "/bottle/sn_cb3ff04a607ea9651b22d29e47ec3f2/rendering/04.obj", "1.71727061272")</f>
        <v>1.71727061272</v>
      </c>
      <c r="H155" s="71" t="str">
        <f>HYPERLINK(AB2 &amp; "/bottle/sn_cb3ff04a607ea9651b22d29e47ec3f2/rendering/05.obj", "1.47873330116")</f>
        <v>1.47873330116</v>
      </c>
      <c r="I155" s="93" t="str">
        <f>HYPERLINK(AB2 &amp; "/bottle/sn_cb3ff04a607ea9651b22d29e47ec3f2/rendering/06.obj", "1.43779754639")</f>
        <v>1.43779754639</v>
      </c>
      <c r="J155" s="68" t="str">
        <f>HYPERLINK(AB2 &amp; "/bottle/sn_cb3ff04a607ea9651b22d29e47ec3f2/rendering/07.obj", "1.74517416954")</f>
        <v>1.74517416954</v>
      </c>
      <c r="K155" s="83" t="str">
        <f>HYPERLINK(AB2 &amp; "/bottle/sn_cb3ff04a607ea9651b22d29e47ec3f2/rendering/08.obj", "1.41855478287")</f>
        <v>1.41855478287</v>
      </c>
      <c r="L155" s="5" t="str">
        <f>HYPERLINK(AB2 &amp; "/bottle/sn_cb3ff04a607ea9651b22d29e47ec3f2/rendering/09.obj", "1.54371070862")</f>
        <v>1.54371070862</v>
      </c>
      <c r="M155" s="48" t="str">
        <f>HYPERLINK(AB2 &amp; "/bottle/sn_cb3ff04a607ea9651b22d29e47ec3f2/rendering/10.obj", "1.63628649712")</f>
        <v>1.63628649712</v>
      </c>
      <c r="N155" s="13" t="str">
        <f>HYPERLINK(AB2 &amp; "/bottle/sn_cb3ff04a607ea9651b22d29e47ec3f2/rendering/11.obj", "1.67682766914")</f>
        <v>1.67682766914</v>
      </c>
      <c r="O155" s="84" t="str">
        <f>HYPERLINK(AB2 &amp; "/bottle/sn_cb3ff04a607ea9651b22d29e47ec3f2/rendering/12.obj", "1.91714191437")</f>
        <v>1.91714191437</v>
      </c>
      <c r="P155" s="17" t="str">
        <f>HYPERLINK(AB2 &amp; "/bottle/sn_cb3ff04a607ea9651b22d29e47ec3f2/rendering/13.obj", "1.70697963238")</f>
        <v>1.70697963238</v>
      </c>
      <c r="Q155" s="31" t="str">
        <f>HYPERLINK(AB2 &amp; "/bottle/sn_cb3ff04a607ea9651b22d29e47ec3f2/rendering/14.obj", "1.93345987797")</f>
        <v>1.93345987797</v>
      </c>
      <c r="R155" s="48" t="str">
        <f>HYPERLINK(AB2 &amp; "/bottle/sn_cb3ff04a607ea9651b22d29e47ec3f2/rendering/15.obj", "1.71019697189")</f>
        <v>1.71019697189</v>
      </c>
      <c r="S155" s="5" t="str">
        <f>HYPERLINK(AB2 &amp; "/bottle/sn_cb3ff04a607ea9651b22d29e47ec3f2/rendering/16.obj", "1.80119776726")</f>
        <v>1.80119776726</v>
      </c>
      <c r="T155" s="78" t="str">
        <f>HYPERLINK(AB2 &amp; "/bottle/sn_cb3ff04a607ea9651b22d29e47ec3f2/rendering/17.obj", "1.57266426086")</f>
        <v>1.57266426086</v>
      </c>
      <c r="U155" s="13" t="str">
        <f>HYPERLINK(AB2 &amp; "/bottle/sn_cb3ff04a607ea9651b22d29e47ec3f2/rendering/18.obj", "1.67480444908")</f>
        <v>1.67480444908</v>
      </c>
      <c r="V155" s="47" t="str">
        <f>HYPERLINK(AB2 &amp; "/bottle/sn_cb3ff04a607ea9651b22d29e47ec3f2/rendering/19.obj", "1.68641734123")</f>
        <v>1.68641734123</v>
      </c>
      <c r="W155" s="12" t="s">
        <v>32</v>
      </c>
      <c r="X155" s="13">
        <v>1.6733267128467559</v>
      </c>
      <c r="Y155" s="13">
        <v>0.15554556094218949</v>
      </c>
      <c r="Z155" s="67">
        <v>9.295588228407993E-2</v>
      </c>
    </row>
    <row r="156" spans="1:26" x14ac:dyDescent="0.2">
      <c r="A156" s="1">
        <v>154</v>
      </c>
      <c r="B156" s="2" t="s">
        <v>63</v>
      </c>
      <c r="C156" s="13" t="str">
        <f>HYPERLINK(AC2 &amp; "/bottle/sn_cb3ff04a607ea9651b22d29e47ec3f2/rendering/00.xyz", "0.0")</f>
        <v>0.0</v>
      </c>
      <c r="D156" s="13" t="str">
        <f>HYPERLINK(AC2 &amp; "/bottle/sn_cb3ff04a607ea9651b22d29e47ec3f2/rendering/01.xyz", "0.0")</f>
        <v>0.0</v>
      </c>
      <c r="E156" s="13" t="str">
        <f>HYPERLINK(AC2 &amp; "/bottle/sn_cb3ff04a607ea9651b22d29e47ec3f2/rendering/02.xyz", "0.0")</f>
        <v>0.0</v>
      </c>
      <c r="F156" s="13" t="str">
        <f>HYPERLINK(AC2 &amp; "/bottle/sn_cb3ff04a607ea9651b22d29e47ec3f2/rendering/03.xyz", "0.0")</f>
        <v>0.0</v>
      </c>
      <c r="G156" s="13" t="str">
        <f>HYPERLINK(AC2 &amp; "/bottle/sn_cb3ff04a607ea9651b22d29e47ec3f2/rendering/04.xyz", "0.0")</f>
        <v>0.0</v>
      </c>
      <c r="H156" s="13" t="str">
        <f>HYPERLINK(AC2 &amp; "/bottle/sn_cb3ff04a607ea9651b22d29e47ec3f2/rendering/05.xyz", "0.0")</f>
        <v>0.0</v>
      </c>
      <c r="I156" s="13" t="str">
        <f>HYPERLINK(AC2 &amp; "/bottle/sn_cb3ff04a607ea9651b22d29e47ec3f2/rendering/06.xyz", "0.0")</f>
        <v>0.0</v>
      </c>
      <c r="J156" s="13" t="str">
        <f>HYPERLINK(AC2 &amp; "/bottle/sn_cb3ff04a607ea9651b22d29e47ec3f2/rendering/07.xyz", "0.0")</f>
        <v>0.0</v>
      </c>
      <c r="K156" s="13" t="str">
        <f>HYPERLINK(AC2 &amp; "/bottle/sn_cb3ff04a607ea9651b22d29e47ec3f2/rendering/08.xyz", "0.0")</f>
        <v>0.0</v>
      </c>
      <c r="L156" s="13" t="str">
        <f>HYPERLINK(AC2 &amp; "/bottle/sn_cb3ff04a607ea9651b22d29e47ec3f2/rendering/09.xyz", "0.0")</f>
        <v>0.0</v>
      </c>
      <c r="M156" s="13" t="str">
        <f>HYPERLINK(AC2 &amp; "/bottle/sn_cb3ff04a607ea9651b22d29e47ec3f2/rendering/10.xyz", "0.0")</f>
        <v>0.0</v>
      </c>
      <c r="N156" s="13" t="str">
        <f>HYPERLINK(AC2 &amp; "/bottle/sn_cb3ff04a607ea9651b22d29e47ec3f2/rendering/11.xyz", "0.0")</f>
        <v>0.0</v>
      </c>
      <c r="O156" s="13" t="str">
        <f>HYPERLINK(AC2 &amp; "/bottle/sn_cb3ff04a607ea9651b22d29e47ec3f2/rendering/12.xyz", "0.0")</f>
        <v>0.0</v>
      </c>
      <c r="P156" s="13" t="str">
        <f>HYPERLINK(AC2 &amp; "/bottle/sn_cb3ff04a607ea9651b22d29e47ec3f2/rendering/13.xyz", "0.0")</f>
        <v>0.0</v>
      </c>
      <c r="Q156" s="13" t="str">
        <f>HYPERLINK(AC2 &amp; "/bottle/sn_cb3ff04a607ea9651b22d29e47ec3f2/rendering/14.xyz", "0.0")</f>
        <v>0.0</v>
      </c>
      <c r="R156" s="13" t="str">
        <f>HYPERLINK(AC2 &amp; "/bottle/sn_cb3ff04a607ea9651b22d29e47ec3f2/rendering/15.xyz", "0.0")</f>
        <v>0.0</v>
      </c>
      <c r="S156" s="13" t="str">
        <f>HYPERLINK(AC2 &amp; "/bottle/sn_cb3ff04a607ea9651b22d29e47ec3f2/rendering/16.xyz", "0.0")</f>
        <v>0.0</v>
      </c>
      <c r="T156" s="13" t="str">
        <f>HYPERLINK(AC2 &amp; "/bottle/sn_cb3ff04a607ea9651b22d29e47ec3f2/rendering/17.xyz", "0.0")</f>
        <v>0.0</v>
      </c>
      <c r="U156" s="13" t="str">
        <f>HYPERLINK(AC2 &amp; "/bottle/sn_cb3ff04a607ea9651b22d29e47ec3f2/rendering/18.xyz", "0.0")</f>
        <v>0.0</v>
      </c>
      <c r="V156" s="13" t="str">
        <f>HYPERLINK(AC2 &amp; "/bottle/sn_cb3ff04a607ea9651b22d29e47ec3f2/rendering/19.xyz", "0.0")</f>
        <v>0.0</v>
      </c>
      <c r="W156" s="12" t="s">
        <v>33</v>
      </c>
      <c r="X156" s="13">
        <v>0</v>
      </c>
      <c r="Y156" s="13">
        <v>0</v>
      </c>
      <c r="Z156" s="13">
        <v>0</v>
      </c>
    </row>
    <row r="157" spans="1:26" x14ac:dyDescent="0.2">
      <c r="A157" s="1">
        <v>155</v>
      </c>
      <c r="B157" s="2" t="s">
        <v>64</v>
      </c>
      <c r="C157" s="75" t="str">
        <f>HYPERLINK(AA2 &amp; "/bottle/sn_cbc1cbc9cf65e9c2fd1d6016d24cc8d/rendering/00.obj", "3.37815063477")</f>
        <v>3.37815063477</v>
      </c>
      <c r="D157" s="68" t="str">
        <f>HYPERLINK(AA2 &amp; "/bottle/sn_cbc1cbc9cf65e9c2fd1d6016d24cc8d/rendering/01.obj", "4.15348388672")</f>
        <v>4.15348388672</v>
      </c>
      <c r="E157" s="85" t="str">
        <f>HYPERLINK(AA2 &amp; "/bottle/sn_cbc1cbc9cf65e9c2fd1d6016d24cc8d/rendering/02.obj", "5.62475952148")</f>
        <v>5.62475952148</v>
      </c>
      <c r="F157" s="70" t="str">
        <f>HYPERLINK(AA2 &amp; "/bottle/sn_cbc1cbc9cf65e9c2fd1d6016d24cc8d/rendering/03.obj", "4.90031097412")</f>
        <v>4.90031097412</v>
      </c>
      <c r="G157" s="38" t="str">
        <f>HYPERLINK(AA2 &amp; "/bottle/sn_cbc1cbc9cf65e9c2fd1d6016d24cc8d/rendering/04.obj", "3.95996520996")</f>
        <v>3.95996520996</v>
      </c>
      <c r="H157" s="87" t="str">
        <f>HYPERLINK(AA2 &amp; "/bottle/sn_cbc1cbc9cf65e9c2fd1d6016d24cc8d/rendering/05.obj", "3.36055358887")</f>
        <v>3.36055358887</v>
      </c>
      <c r="I157" s="34" t="str">
        <f>HYPERLINK(AA2 &amp; "/bottle/sn_cbc1cbc9cf65e9c2fd1d6016d24cc8d/rendering/06.obj", "4.55419555664")</f>
        <v>4.55419555664</v>
      </c>
      <c r="J157" s="92" t="str">
        <f>HYPERLINK(AA2 &amp; "/bottle/sn_cbc1cbc9cf65e9c2fd1d6016d24cc8d/rendering/07.obj", "3.80258056641")</f>
        <v>3.80258056641</v>
      </c>
      <c r="K157" s="153" t="str">
        <f>HYPERLINK(AA2 &amp; "/bottle/sn_cbc1cbc9cf65e9c2fd1d6016d24cc8d/rendering/08.obj", "5.88866821289")</f>
        <v>5.88866821289</v>
      </c>
      <c r="L157" s="64" t="str">
        <f>HYPERLINK(AA2 &amp; "/bottle/sn_cbc1cbc9cf65e9c2fd1d6016d24cc8d/rendering/09.obj", "3.621171875")</f>
        <v>3.621171875</v>
      </c>
      <c r="M157" s="107" t="str">
        <f>HYPERLINK(AA2 &amp; "/bottle/sn_cbc1cbc9cf65e9c2fd1d6016d24cc8d/rendering/10.obj", "4.70615112305")</f>
        <v>4.70615112305</v>
      </c>
      <c r="N157" s="83" t="str">
        <f>HYPERLINK(AA2 &amp; "/bottle/sn_cbc1cbc9cf65e9c2fd1d6016d24cc8d/rendering/11.obj", "3.6839956665")</f>
        <v>3.6839956665</v>
      </c>
      <c r="O157" s="68" t="str">
        <f>HYPERLINK(AA2 &amp; "/bottle/sn_cbc1cbc9cf65e9c2fd1d6016d24cc8d/rendering/12.obj", "4.52083190918")</f>
        <v>4.52083190918</v>
      </c>
      <c r="P157" s="113" t="str">
        <f>HYPERLINK(AA2 &amp; "/bottle/sn_cbc1cbc9cf65e9c2fd1d6016d24cc8d/rendering/13.obj", "5.54182617187")</f>
        <v>5.54182617187</v>
      </c>
      <c r="Q157" s="72" t="str">
        <f>HYPERLINK(AA2 &amp; "/bottle/sn_cbc1cbc9cf65e9c2fd1d6016d24cc8d/rendering/14.obj", "4.20635284424")</f>
        <v>4.20635284424</v>
      </c>
      <c r="R157" s="66" t="str">
        <f>HYPERLINK(AA2 &amp; "/bottle/sn_cbc1cbc9cf65e9c2fd1d6016d24cc8d/rendering/15.obj", "3.63643737793")</f>
        <v>3.63643737793</v>
      </c>
      <c r="S157" s="14" t="str">
        <f>HYPERLINK(AA2 &amp; "/bottle/sn_cbc1cbc9cf65e9c2fd1d6016d24cc8d/rendering/16.obj", "3.0827722168")</f>
        <v>3.0827722168</v>
      </c>
      <c r="T157" s="8" t="str">
        <f>HYPERLINK(AA2 &amp; "/bottle/sn_cbc1cbc9cf65e9c2fd1d6016d24cc8d/rendering/17.obj", "3.72098449707")</f>
        <v>3.72098449707</v>
      </c>
      <c r="U157" s="11" t="str">
        <f>HYPERLINK(AA2 &amp; "/bottle/sn_cbc1cbc9cf65e9c2fd1d6016d24cc8d/rendering/18.obj", "3.37000762939")</f>
        <v>3.37000762939</v>
      </c>
      <c r="V157" s="178" t="str">
        <f>HYPERLINK(AA2 &amp; "/bottle/sn_cbc1cbc9cf65e9c2fd1d6016d24cc8d/rendering/19.obj", "7.15123901367")</f>
        <v>7.15123901367</v>
      </c>
      <c r="W157" s="12" t="s">
        <v>29</v>
      </c>
      <c r="X157" s="13">
        <v>4.3432219238281249</v>
      </c>
      <c r="Y157" s="13">
        <v>1.015872209782265</v>
      </c>
      <c r="Z157" s="175">
        <v>0.23389829660992151</v>
      </c>
    </row>
    <row r="158" spans="1:26" x14ac:dyDescent="0.2">
      <c r="A158" s="1">
        <v>156</v>
      </c>
      <c r="B158" s="2" t="s">
        <v>64</v>
      </c>
      <c r="C158" s="175" t="str">
        <f>HYPERLINK(AA2 &amp; "/bottle/sn_cbc1cbc9cf65e9c2fd1d6016d24cc8d/rendering/00.obj", "4.19614982605")</f>
        <v>4.19614982605</v>
      </c>
      <c r="D158" s="25" t="str">
        <f>HYPERLINK(AA2 &amp; "/bottle/sn_cbc1cbc9cf65e9c2fd1d6016d24cc8d/rendering/01.obj", "5.54245042801")</f>
        <v>5.54245042801</v>
      </c>
      <c r="E158" s="163" t="str">
        <f>HYPERLINK(AA2 &amp; "/bottle/sn_cbc1cbc9cf65e9c2fd1d6016d24cc8d/rendering/02.obj", "7.89655256271")</f>
        <v>7.89655256271</v>
      </c>
      <c r="F158" s="110" t="str">
        <f>HYPERLINK(AA2 &amp; "/bottle/sn_cbc1cbc9cf65e9c2fd1d6016d24cc8d/rendering/03.obj", "6.02619075775")</f>
        <v>6.02619075775</v>
      </c>
      <c r="G158" s="93" t="str">
        <f>HYPERLINK(AA2 &amp; "/bottle/sn_cbc1cbc9cf65e9c2fd1d6016d24cc8d/rendering/04.obj", "4.7139840126")</f>
        <v>4.7139840126</v>
      </c>
      <c r="H158" s="120" t="str">
        <f>HYPERLINK(AA2 &amp; "/bottle/sn_cbc1cbc9cf65e9c2fd1d6016d24cc8d/rendering/05.obj", "4.32902193069")</f>
        <v>4.32902193069</v>
      </c>
      <c r="I158" s="60" t="str">
        <f>HYPERLINK(AA2 &amp; "/bottle/sn_cbc1cbc9cf65e9c2fd1d6016d24cc8d/rendering/06.obj", "5.19487476349")</f>
        <v>5.19487476349</v>
      </c>
      <c r="J158" s="98" t="str">
        <f>HYPERLINK(AA2 &amp; "/bottle/sn_cbc1cbc9cf65e9c2fd1d6016d24cc8d/rendering/07.obj", "4.21443128586")</f>
        <v>4.21443128586</v>
      </c>
      <c r="K158" s="191" t="str">
        <f>HYPERLINK(AA2 &amp; "/bottle/sn_cbc1cbc9cf65e9c2fd1d6016d24cc8d/rendering/08.obj", "7.98119831085")</f>
        <v>7.98119831085</v>
      </c>
      <c r="L158" s="64" t="str">
        <f>HYPERLINK(AA2 &amp; "/bottle/sn_cbc1cbc9cf65e9c2fd1d6016d24cc8d/rendering/09.obj", "4.58912801743")</f>
        <v>4.58912801743</v>
      </c>
      <c r="M158" s="17" t="str">
        <f>HYPERLINK(AA2 &amp; "/bottle/sn_cbc1cbc9cf65e9c2fd1d6016d24cc8d/rendering/10.obj", "5.37136173248")</f>
        <v>5.37136173248</v>
      </c>
      <c r="N158" s="136" t="str">
        <f>HYPERLINK(AA2 &amp; "/bottle/sn_cbc1cbc9cf65e9c2fd1d6016d24cc8d/rendering/11.obj", "4.1803021431")</f>
        <v>4.1803021431</v>
      </c>
      <c r="O158" s="35" t="str">
        <f>HYPERLINK(AA2 &amp; "/bottle/sn_cbc1cbc9cf65e9c2fd1d6016d24cc8d/rendering/12.obj", "5.79852151871")</f>
        <v>5.79852151871</v>
      </c>
      <c r="P158" s="169" t="str">
        <f>HYPERLINK(AA2 &amp; "/bottle/sn_cbc1cbc9cf65e9c2fd1d6016d24cc8d/rendering/13.obj", "7.20617341995")</f>
        <v>7.20617341995</v>
      </c>
      <c r="Q158" s="6" t="str">
        <f>HYPERLINK(AA2 &amp; "/bottle/sn_cbc1cbc9cf65e9c2fd1d6016d24cc8d/rendering/14.obj", "5.23630428314")</f>
        <v>5.23630428314</v>
      </c>
      <c r="R158" s="59" t="str">
        <f>HYPERLINK(AA2 &amp; "/bottle/sn_cbc1cbc9cf65e9c2fd1d6016d24cc8d/rendering/15.obj", "4.17179441452")</f>
        <v>4.17179441452</v>
      </c>
      <c r="S158" s="96" t="str">
        <f>HYPERLINK(AA2 &amp; "/bottle/sn_cbc1cbc9cf65e9c2fd1d6016d24cc8d/rendering/16.obj", "3.49057555199")</f>
        <v>3.49057555199</v>
      </c>
      <c r="T158" s="79" t="str">
        <f>HYPERLINK(AA2 &amp; "/bottle/sn_cbc1cbc9cf65e9c2fd1d6016d24cc8d/rendering/17.obj", "4.62393283844")</f>
        <v>4.62393283844</v>
      </c>
      <c r="U158" s="11" t="str">
        <f>HYPERLINK(AA2 &amp; "/bottle/sn_cbc1cbc9cf65e9c2fd1d6016d24cc8d/rendering/18.obj", "4.24976825714")</f>
        <v>4.24976825714</v>
      </c>
      <c r="V158" s="20" t="str">
        <f>HYPERLINK(AA2 &amp; "/bottle/sn_cbc1cbc9cf65e9c2fd1d6016d24cc8d/rendering/19.obj", "10.7088737488")</f>
        <v>10.7088737488</v>
      </c>
      <c r="W158" s="12" t="s">
        <v>30</v>
      </c>
      <c r="X158" s="13">
        <v>5.4860794901847836</v>
      </c>
      <c r="Y158" s="13">
        <v>1.7107280399894871</v>
      </c>
      <c r="Z158" s="169">
        <v>0.31183070588936462</v>
      </c>
    </row>
    <row r="159" spans="1:26" x14ac:dyDescent="0.2">
      <c r="A159" s="1">
        <v>157</v>
      </c>
      <c r="B159" s="2" t="s">
        <v>64</v>
      </c>
      <c r="C159" s="94" t="str">
        <f>HYPERLINK(AB2 &amp; "/bottle/sn_cbc1cbc9cf65e9c2fd1d6016d24cc8d/rendering/00.obj", "4.77874084473")</f>
        <v>4.77874084473</v>
      </c>
      <c r="D159" s="5" t="str">
        <f>HYPERLINK(AB2 &amp; "/bottle/sn_cbc1cbc9cf65e9c2fd1d6016d24cc8d/rendering/01.obj", "4.77455627441")</f>
        <v>4.77455627441</v>
      </c>
      <c r="E159" s="23" t="str">
        <f>HYPERLINK(AB2 &amp; "/bottle/sn_cbc1cbc9cf65e9c2fd1d6016d24cc8d/rendering/02.obj", "4.9590246582")</f>
        <v>4.9590246582</v>
      </c>
      <c r="F159" s="90" t="str">
        <f>HYPERLINK(AB2 &amp; "/bottle/sn_cbc1cbc9cf65e9c2fd1d6016d24cc8d/rendering/03.obj", "4.66921966553")</f>
        <v>4.66921966553</v>
      </c>
      <c r="G159" s="92" t="str">
        <f>HYPERLINK(AB2 &amp; "/bottle/sn_cbc1cbc9cf65e9c2fd1d6016d24cc8d/rendering/04.obj", "5.80374145508")</f>
        <v>5.80374145508</v>
      </c>
      <c r="H159" s="25" t="str">
        <f>HYPERLINK(AB2 &amp; "/bottle/sn_cbc1cbc9cf65e9c2fd1d6016d24cc8d/rendering/05.obj", "5.11496612549")</f>
        <v>5.11496612549</v>
      </c>
      <c r="I159" s="72" t="str">
        <f>HYPERLINK(AB2 &amp; "/bottle/sn_cbc1cbc9cf65e9c2fd1d6016d24cc8d/rendering/06.obj", "5.33901184082")</f>
        <v>5.33901184082</v>
      </c>
      <c r="J159" s="42" t="str">
        <f>HYPERLINK(AB2 &amp; "/bottle/sn_cbc1cbc9cf65e9c2fd1d6016d24cc8d/rendering/07.obj", "4.46819763184")</f>
        <v>4.46819763184</v>
      </c>
      <c r="K159" s="32" t="str">
        <f>HYPERLINK(AB2 &amp; "/bottle/sn_cbc1cbc9cf65e9c2fd1d6016d24cc8d/rendering/08.obj", "5.70196533203")</f>
        <v>5.70196533203</v>
      </c>
      <c r="L159" s="63" t="str">
        <f>HYPERLINK(AB2 &amp; "/bottle/sn_cbc1cbc9cf65e9c2fd1d6016d24cc8d/rendering/09.obj", "4.5361907959")</f>
        <v>4.5361907959</v>
      </c>
      <c r="M159" s="39" t="str">
        <f>HYPERLINK(AB2 &amp; "/bottle/sn_cbc1cbc9cf65e9c2fd1d6016d24cc8d/rendering/10.obj", "5.61872619629")</f>
        <v>5.61872619629</v>
      </c>
      <c r="N159" s="68" t="str">
        <f>HYPERLINK(AB2 &amp; "/bottle/sn_cbc1cbc9cf65e9c2fd1d6016d24cc8d/rendering/11.obj", "4.94784484863")</f>
        <v>4.94784484863</v>
      </c>
      <c r="O159" s="91" t="str">
        <f>HYPERLINK(AB2 &amp; "/bottle/sn_cbc1cbc9cf65e9c2fd1d6016d24cc8d/rendering/12.obj", "5.03459289551")</f>
        <v>5.03459289551</v>
      </c>
      <c r="P159" s="33" t="str">
        <f>HYPERLINK(AB2 &amp; "/bottle/sn_cbc1cbc9cf65e9c2fd1d6016d24cc8d/rendering/13.obj", "5.72356323242")</f>
        <v>5.72356323242</v>
      </c>
      <c r="Q159" s="135" t="str">
        <f>HYPERLINK(AB2 &amp; "/bottle/sn_cbc1cbc9cf65e9c2fd1d6016d24cc8d/rendering/14.obj", "6.48651611328")</f>
        <v>6.48651611328</v>
      </c>
      <c r="R159" s="6" t="str">
        <f>HYPERLINK(AB2 &amp; "/bottle/sn_cbc1cbc9cf65e9c2fd1d6016d24cc8d/rendering/15.obj", "4.93237609863")</f>
        <v>4.93237609863</v>
      </c>
      <c r="S159" s="26" t="str">
        <f>HYPERLINK(AB2 &amp; "/bottle/sn_cbc1cbc9cf65e9c2fd1d6016d24cc8d/rendering/16.obj", "5.49974487305")</f>
        <v>5.49974487305</v>
      </c>
      <c r="T159" s="38" t="str">
        <f>HYPERLINK(AB2 &amp; "/bottle/sn_cbc1cbc9cf65e9c2fd1d6016d24cc8d/rendering/17.obj", "5.62760498047")</f>
        <v>5.62760498047</v>
      </c>
      <c r="U159" s="117" t="str">
        <f>HYPERLINK(AB2 &amp; "/bottle/sn_cbc1cbc9cf65e9c2fd1d6016d24cc8d/rendering/18.obj", "4.25018981934")</f>
        <v>4.25018981934</v>
      </c>
      <c r="V159" s="17" t="str">
        <f>HYPERLINK(AB2 &amp; "/bottle/sn_cbc1cbc9cf65e9c2fd1d6016d24cc8d/rendering/19.obj", "5.05956939697")</f>
        <v>5.05956939697</v>
      </c>
      <c r="W159" s="12" t="s">
        <v>31</v>
      </c>
      <c r="X159" s="13">
        <v>5.1663171539306649</v>
      </c>
      <c r="Y159" s="13">
        <v>0.53649158487396964</v>
      </c>
      <c r="Z159" s="32">
        <v>0.10384410575061059</v>
      </c>
    </row>
    <row r="160" spans="1:26" x14ac:dyDescent="0.2">
      <c r="A160" s="1">
        <v>158</v>
      </c>
      <c r="B160" s="2" t="s">
        <v>64</v>
      </c>
      <c r="C160" s="30" t="str">
        <f>HYPERLINK(AB2 &amp; "/bottle/sn_cbc1cbc9cf65e9c2fd1d6016d24cc8d/rendering/00.obj", "4.12763690948")</f>
        <v>4.12763690948</v>
      </c>
      <c r="D160" s="17" t="str">
        <f>HYPERLINK(AB2 &amp; "/bottle/sn_cbc1cbc9cf65e9c2fd1d6016d24cc8d/rendering/01.obj", "4.01874494553")</f>
        <v>4.01874494553</v>
      </c>
      <c r="E160" s="17" t="str">
        <f>HYPERLINK(AB2 &amp; "/bottle/sn_cbc1cbc9cf65e9c2fd1d6016d24cc8d/rendering/02.obj", "4.0175075531")</f>
        <v>4.0175075531</v>
      </c>
      <c r="F160" s="25" t="str">
        <f>HYPERLINK(AB2 &amp; "/bottle/sn_cbc1cbc9cf65e9c2fd1d6016d24cc8d/rendering/03.obj", "4.14473104477")</f>
        <v>4.14473104477</v>
      </c>
      <c r="G160" s="68" t="str">
        <f>HYPERLINK(AB2 &amp; "/bottle/sn_cbc1cbc9cf65e9c2fd1d6016d24cc8d/rendering/04.obj", "4.27435922623")</f>
        <v>4.27435922623</v>
      </c>
      <c r="H160" s="6" t="str">
        <f>HYPERLINK(AB2 &amp; "/bottle/sn_cbc1cbc9cf65e9c2fd1d6016d24cc8d/rendering/05.obj", "3.91729617119")</f>
        <v>3.91729617119</v>
      </c>
      <c r="I160" s="71" t="str">
        <f>HYPERLINK(AB2 &amp; "/bottle/sn_cbc1cbc9cf65e9c2fd1d6016d24cc8d/rendering/06.obj", "3.62183260918")</f>
        <v>3.62183260918</v>
      </c>
      <c r="J160" s="38" t="str">
        <f>HYPERLINK(AB2 &amp; "/bottle/sn_cbc1cbc9cf65e9c2fd1d6016d24cc8d/rendering/07.obj", "3.73605513573")</f>
        <v>3.73605513573</v>
      </c>
      <c r="K160" s="23" t="str">
        <f>HYPERLINK(AB2 &amp; "/bottle/sn_cbc1cbc9cf65e9c2fd1d6016d24cc8d/rendering/08.obj", "4.26332521439")</f>
        <v>4.26332521439</v>
      </c>
      <c r="L160" s="110" t="str">
        <f>HYPERLINK(AB2 &amp; "/bottle/sn_cbc1cbc9cf65e9c2fd1d6016d24cc8d/rendering/09.obj", "3.70266723633")</f>
        <v>3.70266723633</v>
      </c>
      <c r="M160" s="60" t="str">
        <f>HYPERLINK(AB2 &amp; "/bottle/sn_cbc1cbc9cf65e9c2fd1d6016d24cc8d/rendering/10.obj", "3.89374494553")</f>
        <v>3.89374494553</v>
      </c>
      <c r="N160" s="68" t="str">
        <f>HYPERLINK(AB2 &amp; "/bottle/sn_cbc1cbc9cf65e9c2fd1d6016d24cc8d/rendering/11.obj", "3.93293952942")</f>
        <v>3.93293952942</v>
      </c>
      <c r="O160" s="69" t="str">
        <f>HYPERLINK(AB2 &amp; "/bottle/sn_cbc1cbc9cf65e9c2fd1d6016d24cc8d/rendering/12.obj", "3.98609042168")</f>
        <v>3.98609042168</v>
      </c>
      <c r="P160" s="26" t="str">
        <f>HYPERLINK(AB2 &amp; "/bottle/sn_cbc1cbc9cf65e9c2fd1d6016d24cc8d/rendering/13.obj", "4.3725976944")</f>
        <v>4.3725976944</v>
      </c>
      <c r="Q160" s="195" t="str">
        <f>HYPERLINK(AB2 &amp; "/bottle/sn_cbc1cbc9cf65e9c2fd1d6016d24cc8d/rendering/14.obj", "6.34927225113")</f>
        <v>6.34927225113</v>
      </c>
      <c r="R160" s="107" t="str">
        <f>HYPERLINK(AB2 &amp; "/bottle/sn_cbc1cbc9cf65e9c2fd1d6016d24cc8d/rendering/15.obj", "3.76205730438")</f>
        <v>3.76205730438</v>
      </c>
      <c r="S160" s="13" t="str">
        <f>HYPERLINK(AB2 &amp; "/bottle/sn_cbc1cbc9cf65e9c2fd1d6016d24cc8d/rendering/16.obj", "4.1142168045")</f>
        <v>4.1142168045</v>
      </c>
      <c r="T160" s="73" t="str">
        <f>HYPERLINK(AB2 &amp; "/bottle/sn_cbc1cbc9cf65e9c2fd1d6016d24cc8d/rendering/17.obj", "4.26001882553")</f>
        <v>4.26001882553</v>
      </c>
      <c r="U160" s="65" t="str">
        <f>HYPERLINK(AB2 &amp; "/bottle/sn_cbc1cbc9cf65e9c2fd1d6016d24cc8d/rendering/18.obj", "3.55993676186")</f>
        <v>3.55993676186</v>
      </c>
      <c r="V160" s="25" t="str">
        <f>HYPERLINK(AB2 &amp; "/bottle/sn_cbc1cbc9cf65e9c2fd1d6016d24cc8d/rendering/19.obj", "4.05993366241")</f>
        <v>4.05993366241</v>
      </c>
      <c r="W160" s="12" t="s">
        <v>32</v>
      </c>
      <c r="X160" s="13">
        <v>4.1057482123374944</v>
      </c>
      <c r="Y160" s="13">
        <v>0.56014236291250041</v>
      </c>
      <c r="Z160" s="42">
        <v>0.13642881490621139</v>
      </c>
    </row>
    <row r="161" spans="1:26" x14ac:dyDescent="0.2">
      <c r="A161" s="1">
        <v>159</v>
      </c>
      <c r="B161" s="2" t="s">
        <v>64</v>
      </c>
      <c r="C161" s="13" t="str">
        <f>HYPERLINK(AC2 &amp; "/bottle/sn_cbc1cbc9cf65e9c2fd1d6016d24cc8d/rendering/00.xyz", "0.0")</f>
        <v>0.0</v>
      </c>
      <c r="D161" s="13" t="str">
        <f>HYPERLINK(AC2 &amp; "/bottle/sn_cbc1cbc9cf65e9c2fd1d6016d24cc8d/rendering/01.xyz", "0.0")</f>
        <v>0.0</v>
      </c>
      <c r="E161" s="13" t="str">
        <f>HYPERLINK(AC2 &amp; "/bottle/sn_cbc1cbc9cf65e9c2fd1d6016d24cc8d/rendering/02.xyz", "0.0")</f>
        <v>0.0</v>
      </c>
      <c r="F161" s="13" t="str">
        <f>HYPERLINK(AC2 &amp; "/bottle/sn_cbc1cbc9cf65e9c2fd1d6016d24cc8d/rendering/03.xyz", "0.0")</f>
        <v>0.0</v>
      </c>
      <c r="G161" s="13" t="str">
        <f>HYPERLINK(AC2 &amp; "/bottle/sn_cbc1cbc9cf65e9c2fd1d6016d24cc8d/rendering/04.xyz", "0.0")</f>
        <v>0.0</v>
      </c>
      <c r="H161" s="13" t="str">
        <f>HYPERLINK(AC2 &amp; "/bottle/sn_cbc1cbc9cf65e9c2fd1d6016d24cc8d/rendering/05.xyz", "0.0")</f>
        <v>0.0</v>
      </c>
      <c r="I161" s="13" t="str">
        <f>HYPERLINK(AC2 &amp; "/bottle/sn_cbc1cbc9cf65e9c2fd1d6016d24cc8d/rendering/06.xyz", "0.0")</f>
        <v>0.0</v>
      </c>
      <c r="J161" s="13" t="str">
        <f>HYPERLINK(AC2 &amp; "/bottle/sn_cbc1cbc9cf65e9c2fd1d6016d24cc8d/rendering/07.xyz", "0.0")</f>
        <v>0.0</v>
      </c>
      <c r="K161" s="13" t="str">
        <f>HYPERLINK(AC2 &amp; "/bottle/sn_cbc1cbc9cf65e9c2fd1d6016d24cc8d/rendering/08.xyz", "0.0")</f>
        <v>0.0</v>
      </c>
      <c r="L161" s="13" t="str">
        <f>HYPERLINK(AC2 &amp; "/bottle/sn_cbc1cbc9cf65e9c2fd1d6016d24cc8d/rendering/09.xyz", "0.0")</f>
        <v>0.0</v>
      </c>
      <c r="M161" s="13" t="str">
        <f>HYPERLINK(AC2 &amp; "/bottle/sn_cbc1cbc9cf65e9c2fd1d6016d24cc8d/rendering/10.xyz", "0.0")</f>
        <v>0.0</v>
      </c>
      <c r="N161" s="13" t="str">
        <f>HYPERLINK(AC2 &amp; "/bottle/sn_cbc1cbc9cf65e9c2fd1d6016d24cc8d/rendering/11.xyz", "0.0")</f>
        <v>0.0</v>
      </c>
      <c r="O161" s="13" t="str">
        <f>HYPERLINK(AC2 &amp; "/bottle/sn_cbc1cbc9cf65e9c2fd1d6016d24cc8d/rendering/12.xyz", "0.0")</f>
        <v>0.0</v>
      </c>
      <c r="P161" s="13" t="str">
        <f>HYPERLINK(AC2 &amp; "/bottle/sn_cbc1cbc9cf65e9c2fd1d6016d24cc8d/rendering/13.xyz", "0.0")</f>
        <v>0.0</v>
      </c>
      <c r="Q161" s="13" t="str">
        <f>HYPERLINK(AC2 &amp; "/bottle/sn_cbc1cbc9cf65e9c2fd1d6016d24cc8d/rendering/14.xyz", "0.0")</f>
        <v>0.0</v>
      </c>
      <c r="R161" s="13" t="str">
        <f>HYPERLINK(AC2 &amp; "/bottle/sn_cbc1cbc9cf65e9c2fd1d6016d24cc8d/rendering/15.xyz", "0.0")</f>
        <v>0.0</v>
      </c>
      <c r="S161" s="13" t="str">
        <f>HYPERLINK(AC2 &amp; "/bottle/sn_cbc1cbc9cf65e9c2fd1d6016d24cc8d/rendering/16.xyz", "0.0")</f>
        <v>0.0</v>
      </c>
      <c r="T161" s="13" t="str">
        <f>HYPERLINK(AC2 &amp; "/bottle/sn_cbc1cbc9cf65e9c2fd1d6016d24cc8d/rendering/17.xyz", "0.0")</f>
        <v>0.0</v>
      </c>
      <c r="U161" s="13" t="str">
        <f>HYPERLINK(AC2 &amp; "/bottle/sn_cbc1cbc9cf65e9c2fd1d6016d24cc8d/rendering/18.xyz", "0.0")</f>
        <v>0.0</v>
      </c>
      <c r="V161" s="13" t="str">
        <f>HYPERLINK(AC2 &amp; "/bottle/sn_cbc1cbc9cf65e9c2fd1d6016d24cc8d/rendering/19.xyz", "0.0")</f>
        <v>0.0</v>
      </c>
      <c r="W161" s="12" t="s">
        <v>33</v>
      </c>
      <c r="X161" s="13">
        <v>0</v>
      </c>
      <c r="Y161" s="13">
        <v>0</v>
      </c>
      <c r="Z161" s="13">
        <v>0</v>
      </c>
    </row>
    <row r="162" spans="1:26" x14ac:dyDescent="0.2">
      <c r="A162" s="1">
        <v>160</v>
      </c>
      <c r="B162" s="2" t="s">
        <v>65</v>
      </c>
      <c r="C162" s="196" t="str">
        <f>HYPERLINK(AA2 &amp; "/bottle/sn_cbe88d4a56535ba64e23e9314af9ae57/rendering/00.obj", "2.79277587891")</f>
        <v>2.79277587891</v>
      </c>
      <c r="D162" s="74" t="str">
        <f>HYPERLINK(AA2 &amp; "/bottle/sn_cbe88d4a56535ba64e23e9314af9ae57/rendering/01.obj", "4.69165252686")</f>
        <v>4.69165252686</v>
      </c>
      <c r="E162" s="69" t="str">
        <f>HYPERLINK(AA2 &amp; "/bottle/sn_cbe88d4a56535ba64e23e9314af9ae57/rendering/02.obj", "4.77417694092")</f>
        <v>4.77417694092</v>
      </c>
      <c r="F162" s="158" t="str">
        <f>HYPERLINK(AA2 &amp; "/bottle/sn_cbe88d4a56535ba64e23e9314af9ae57/rendering/03.obj", "2.73653564453")</f>
        <v>2.73653564453</v>
      </c>
      <c r="G162" s="8" t="str">
        <f>HYPERLINK(AA2 &amp; "/bottle/sn_cbe88d4a56535ba64e23e9314af9ae57/rendering/04.obj", "3.96814483643")</f>
        <v>3.96814483643</v>
      </c>
      <c r="H162" s="69" t="str">
        <f>HYPERLINK(AA2 &amp; "/bottle/sn_cbe88d4a56535ba64e23e9314af9ae57/rendering/05.obj", "4.49471496582")</f>
        <v>4.49471496582</v>
      </c>
      <c r="I162" s="191" t="str">
        <f>HYPERLINK(AA2 &amp; "/bottle/sn_cbe88d4a56535ba64e23e9314af9ae57/rendering/06.obj", "2.52619384766")</f>
        <v>2.52619384766</v>
      </c>
      <c r="J162" s="107" t="str">
        <f>HYPERLINK(AA2 &amp; "/bottle/sn_cbe88d4a56535ba64e23e9314af9ae57/rendering/07.obj", "4.24504272461")</f>
        <v>4.24504272461</v>
      </c>
      <c r="K162" s="20" t="str">
        <f>HYPERLINK(AA2 &amp; "/bottle/sn_cbe88d4a56535ba64e23e9314af9ae57/rendering/08.obj", "18.9529052734")</f>
        <v>18.9529052734</v>
      </c>
      <c r="L162" s="166" t="str">
        <f>HYPERLINK(AA2 &amp; "/bottle/sn_cbe88d4a56535ba64e23e9314af9ae57/rendering/09.obj", "3.30650634766")</f>
        <v>3.30650634766</v>
      </c>
      <c r="M162" s="78" t="str">
        <f>HYPERLINK(AA2 &amp; "/bottle/sn_cbe88d4a56535ba64e23e9314af9ae57/rendering/10.obj", "4.91015441895")</f>
        <v>4.91015441895</v>
      </c>
      <c r="N162" s="128" t="str">
        <f>HYPERLINK(AA2 &amp; "/bottle/sn_cbe88d4a56535ba64e23e9314af9ae57/rendering/11.obj", "2.81580810547")</f>
        <v>2.81580810547</v>
      </c>
      <c r="O162" s="51" t="str">
        <f>HYPERLINK(AA2 &amp; "/bottle/sn_cbe88d4a56535ba64e23e9314af9ae57/rendering/12.obj", "5.00800079346")</f>
        <v>5.00800079346</v>
      </c>
      <c r="P162" s="49" t="str">
        <f>HYPERLINK(AA2 &amp; "/bottle/sn_cbe88d4a56535ba64e23e9314af9ae57/rendering/13.obj", "3.66760498047")</f>
        <v>3.66760498047</v>
      </c>
      <c r="Q162" s="51" t="str">
        <f>HYPERLINK(AA2 &amp; "/bottle/sn_cbe88d4a56535ba64e23e9314af9ae57/rendering/14.obj", "4.2678213501")</f>
        <v>4.2678213501</v>
      </c>
      <c r="R162" s="130" t="str">
        <f>HYPERLINK(AA2 &amp; "/bottle/sn_cbe88d4a56535ba64e23e9314af9ae57/rendering/15.obj", "2.54136779785")</f>
        <v>2.54136779785</v>
      </c>
      <c r="S162" s="129" t="str">
        <f>HYPERLINK(AA2 &amp; "/bottle/sn_cbe88d4a56535ba64e23e9314af9ae57/rendering/16.obj", "3.48097259521")</f>
        <v>3.48097259521</v>
      </c>
      <c r="T162" s="11" t="str">
        <f>HYPERLINK(AA2 &amp; "/bottle/sn_cbe88d4a56535ba64e23e9314af9ae57/rendering/17.obj", "5.67318359375")</f>
        <v>5.67318359375</v>
      </c>
      <c r="U162" s="84" t="str">
        <f>HYPERLINK(AA2 &amp; "/bottle/sn_cbe88d4a56535ba64e23e9314af9ae57/rendering/18.obj", "3.94859191895")</f>
        <v>3.94859191895</v>
      </c>
      <c r="V162" s="37" t="str">
        <f>HYPERLINK(AA2 &amp; "/bottle/sn_cbe88d4a56535ba64e23e9314af9ae57/rendering/19.obj", "3.82632568359")</f>
        <v>3.82632568359</v>
      </c>
      <c r="W162" s="12" t="s">
        <v>29</v>
      </c>
      <c r="X162" s="13">
        <v>4.631424011230469</v>
      </c>
      <c r="Y162" s="13">
        <v>3.4012062240649059</v>
      </c>
      <c r="Z162" s="184">
        <v>0.7343759102637808</v>
      </c>
    </row>
    <row r="163" spans="1:26" x14ac:dyDescent="0.2">
      <c r="A163" s="1">
        <v>161</v>
      </c>
      <c r="B163" s="2" t="s">
        <v>65</v>
      </c>
      <c r="C163" s="148" t="str">
        <f>HYPERLINK(AA2 &amp; "/bottle/sn_cbe88d4a56535ba64e23e9314af9ae57/rendering/00.obj", "3.38695383072")</f>
        <v>3.38695383072</v>
      </c>
      <c r="D163" s="69" t="str">
        <f>HYPERLINK(AA2 &amp; "/bottle/sn_cbe88d4a56535ba64e23e9314af9ae57/rendering/01.obj", "6.36363792419")</f>
        <v>6.36363792419</v>
      </c>
      <c r="E163" s="168" t="str">
        <f>HYPERLINK(AA2 &amp; "/bottle/sn_cbe88d4a56535ba64e23e9314af9ae57/rendering/02.obj", "8.67940044403")</f>
        <v>8.67940044403</v>
      </c>
      <c r="F163" s="174" t="str">
        <f>HYPERLINK(AA2 &amp; "/bottle/sn_cbe88d4a56535ba64e23e9314af9ae57/rendering/03.obj", "3.10867404938")</f>
        <v>3.10867404938</v>
      </c>
      <c r="G163" s="93" t="str">
        <f>HYPERLINK(AA2 &amp; "/bottle/sn_cbe88d4a56535ba64e23e9314af9ae57/rendering/04.obj", "5.6538310051")</f>
        <v>5.6538310051</v>
      </c>
      <c r="H163" s="8" t="str">
        <f>HYPERLINK(AA2 &amp; "/bottle/sn_cbe88d4a56535ba64e23e9314af9ae57/rendering/05.obj", "5.62999582291")</f>
        <v>5.62999582291</v>
      </c>
      <c r="I163" s="197" t="str">
        <f>HYPERLINK(AA2 &amp; "/bottle/sn_cbe88d4a56535ba64e23e9314af9ae57/rendering/06.obj", "2.83862757683")</f>
        <v>2.83862757683</v>
      </c>
      <c r="J163" s="196" t="str">
        <f>HYPERLINK(AA2 &amp; "/bottle/sn_cbe88d4a56535ba64e23e9314af9ae57/rendering/07.obj", "3.95363545418")</f>
        <v>3.95363545418</v>
      </c>
      <c r="K163" s="20" t="str">
        <f>HYPERLINK(AA2 &amp; "/bottle/sn_cbe88d4a56535ba64e23e9314af9ae57/rendering/08.obj", "34.0276947021")</f>
        <v>34.0276947021</v>
      </c>
      <c r="L163" s="85" t="str">
        <f>HYPERLINK(AA2 &amp; "/bottle/sn_cbe88d4a56535ba64e23e9314af9ae57/rendering/09.obj", "4.61606407166")</f>
        <v>4.61606407166</v>
      </c>
      <c r="M163" s="70" t="str">
        <f>HYPERLINK(AA2 &amp; "/bottle/sn_cbe88d4a56535ba64e23e9314af9ae57/rendering/10.obj", "7.39739179611")</f>
        <v>7.39739179611</v>
      </c>
      <c r="N163" s="145" t="str">
        <f>HYPERLINK(AA2 &amp; "/bottle/sn_cbe88d4a56535ba64e23e9314af9ae57/rendering/11.obj", "3.34278249741")</f>
        <v>3.34278249741</v>
      </c>
      <c r="O163" s="94" t="str">
        <f>HYPERLINK(AA2 &amp; "/bottle/sn_cbe88d4a56535ba64e23e9314af9ae57/rendering/12.obj", "6.08482503891")</f>
        <v>6.08482503891</v>
      </c>
      <c r="P163" s="95" t="str">
        <f>HYPERLINK(AA2 &amp; "/bottle/sn_cbe88d4a56535ba64e23e9314af9ae57/rendering/13.obj", "4.72341346741")</f>
        <v>4.72341346741</v>
      </c>
      <c r="Q163" s="93" t="str">
        <f>HYPERLINK(AA2 &amp; "/bottle/sn_cbe88d4a56535ba64e23e9314af9ae57/rendering/14.obj", "5.65647172928")</f>
        <v>5.65647172928</v>
      </c>
      <c r="R163" s="172" t="str">
        <f>HYPERLINK(AA2 &amp; "/bottle/sn_cbe88d4a56535ba64e23e9314af9ae57/rendering/15.obj", "4.0426697731")</f>
        <v>4.0426697731</v>
      </c>
      <c r="S163" s="89" t="str">
        <f>HYPERLINK(AA2 &amp; "/bottle/sn_cbe88d4a56535ba64e23e9314af9ae57/rendering/16.obj", "4.86754369736")</f>
        <v>4.86754369736</v>
      </c>
      <c r="T163" s="72" t="str">
        <f>HYPERLINK(AA2 &amp; "/bottle/sn_cbe88d4a56535ba64e23e9314af9ae57/rendering/17.obj", "6.345495224")</f>
        <v>6.345495224</v>
      </c>
      <c r="U163" s="134" t="str">
        <f>HYPERLINK(AA2 &amp; "/bottle/sn_cbe88d4a56535ba64e23e9314af9ae57/rendering/18.obj", "5.38608121872")</f>
        <v>5.38608121872</v>
      </c>
      <c r="V163" s="49" t="str">
        <f>HYPERLINK(AA2 &amp; "/bottle/sn_cbe88d4a56535ba64e23e9314af9ae57/rendering/19.obj", "5.19223070145")</f>
        <v>5.19223070145</v>
      </c>
      <c r="W163" s="12" t="s">
        <v>30</v>
      </c>
      <c r="X163" s="13">
        <v>6.5648710012435911</v>
      </c>
      <c r="Y163" s="13">
        <v>6.461632614975346</v>
      </c>
      <c r="Z163" s="20">
        <v>0.98427411806740928</v>
      </c>
    </row>
    <row r="164" spans="1:26" x14ac:dyDescent="0.2">
      <c r="A164" s="1">
        <v>162</v>
      </c>
      <c r="B164" s="2" t="s">
        <v>65</v>
      </c>
      <c r="C164" s="23" t="str">
        <f>HYPERLINK(AB2 &amp; "/bottle/sn_cbe88d4a56535ba64e23e9314af9ae57/rendering/00.obj", "2.65802185059")</f>
        <v>2.65802185059</v>
      </c>
      <c r="D164" s="63" t="str">
        <f>HYPERLINK(AB2 &amp; "/bottle/sn_cbe88d4a56535ba64e23e9314af9ae57/rendering/01.obj", "3.09935852051")</f>
        <v>3.09935852051</v>
      </c>
      <c r="E164" s="10" t="str">
        <f>HYPERLINK(AB2 &amp; "/bottle/sn_cbe88d4a56535ba64e23e9314af9ae57/rendering/02.obj", "2.6113180542")</f>
        <v>2.6113180542</v>
      </c>
      <c r="F164" s="38" t="str">
        <f>HYPERLINK(AB2 &amp; "/bottle/sn_cbe88d4a56535ba64e23e9314af9ae57/rendering/03.obj", "3.01149414062")</f>
        <v>3.01149414062</v>
      </c>
      <c r="G164" s="71" t="str">
        <f>HYPERLINK(AB2 &amp; "/bottle/sn_cbe88d4a56535ba64e23e9314af9ae57/rendering/04.obj", "2.4409236145")</f>
        <v>2.4409236145</v>
      </c>
      <c r="H164" s="33" t="str">
        <f>HYPERLINK(AB2 &amp; "/bottle/sn_cbe88d4a56535ba64e23e9314af9ae57/rendering/05.obj", "3.06723480225")</f>
        <v>3.06723480225</v>
      </c>
      <c r="I164" s="69" t="str">
        <f>HYPERLINK(AB2 &amp; "/bottle/sn_cbe88d4a56535ba64e23e9314af9ae57/rendering/06.obj", "2.84875091553")</f>
        <v>2.84875091553</v>
      </c>
      <c r="J164" s="110" t="str">
        <f>HYPERLINK(AB2 &amp; "/bottle/sn_cbe88d4a56535ba64e23e9314af9ae57/rendering/07.obj", "3.04384033203")</f>
        <v>3.04384033203</v>
      </c>
      <c r="K164" s="24" t="str">
        <f>HYPERLINK(AB2 &amp; "/bottle/sn_cbe88d4a56535ba64e23e9314af9ae57/rendering/08.obj", "2.29975250244")</f>
        <v>2.29975250244</v>
      </c>
      <c r="L164" s="27" t="str">
        <f>HYPERLINK(AB2 &amp; "/bottle/sn_cbe88d4a56535ba64e23e9314af9ae57/rendering/09.obj", "2.56810638428")</f>
        <v>2.56810638428</v>
      </c>
      <c r="M164" s="72" t="str">
        <f>HYPERLINK(AB2 &amp; "/bottle/sn_cbe88d4a56535ba64e23e9314af9ae57/rendering/10.obj", "2.86106201172")</f>
        <v>2.86106201172</v>
      </c>
      <c r="N164" s="24" t="str">
        <f>HYPERLINK(AB2 &amp; "/bottle/sn_cbe88d4a56535ba64e23e9314af9ae57/rendering/11.obj", "3.23433532715")</f>
        <v>3.23433532715</v>
      </c>
      <c r="O164" s="25" t="str">
        <f>HYPERLINK(AB2 &amp; "/bottle/sn_cbe88d4a56535ba64e23e9314af9ae57/rendering/12.obj", "2.73516113281")</f>
        <v>2.73516113281</v>
      </c>
      <c r="P164" s="8" t="str">
        <f>HYPERLINK(AB2 &amp; "/bottle/sn_cbe88d4a56535ba64e23e9314af9ae57/rendering/13.obj", "2.37260513306")</f>
        <v>2.37260513306</v>
      </c>
      <c r="Q164" s="33" t="str">
        <f>HYPERLINK(AB2 &amp; "/bottle/sn_cbe88d4a56535ba64e23e9314af9ae57/rendering/14.obj", "2.46571060181")</f>
        <v>2.46571060181</v>
      </c>
      <c r="R164" s="78" t="str">
        <f>HYPERLINK(AB2 &amp; "/bottle/sn_cbe88d4a56535ba64e23e9314af9ae57/rendering/15.obj", "2.93665161133")</f>
        <v>2.93665161133</v>
      </c>
      <c r="S164" s="50" t="str">
        <f>HYPERLINK(AB2 &amp; "/bottle/sn_cbe88d4a56535ba64e23e9314af9ae57/rendering/16.obj", "3.32162689209")</f>
        <v>3.32162689209</v>
      </c>
      <c r="T164" s="27" t="str">
        <f>HYPERLINK(AB2 &amp; "/bottle/sn_cbe88d4a56535ba64e23e9314af9ae57/rendering/17.obj", "2.5701776123")</f>
        <v>2.5701776123</v>
      </c>
      <c r="U164" s="46" t="str">
        <f>HYPERLINK(AB2 &amp; "/bottle/sn_cbe88d4a56535ba64e23e9314af9ae57/rendering/18.obj", "2.72176513672")</f>
        <v>2.72176513672</v>
      </c>
      <c r="V164" s="28" t="str">
        <f>HYPERLINK(AB2 &amp; "/bottle/sn_cbe88d4a56535ba64e23e9314af9ae57/rendering/19.obj", "2.45715957642")</f>
        <v>2.45715957642</v>
      </c>
      <c r="W164" s="12" t="s">
        <v>31</v>
      </c>
      <c r="X164" s="13">
        <v>2.7662528076171879</v>
      </c>
      <c r="Y164" s="13">
        <v>0.29084155651364191</v>
      </c>
      <c r="Z164" s="32">
        <v>0.10513918168027769</v>
      </c>
    </row>
    <row r="165" spans="1:26" x14ac:dyDescent="0.2">
      <c r="A165" s="1">
        <v>163</v>
      </c>
      <c r="B165" s="2" t="s">
        <v>65</v>
      </c>
      <c r="C165" s="65" t="str">
        <f>HYPERLINK(AB2 &amp; "/bottle/sn_cbe88d4a56535ba64e23e9314af9ae57/rendering/00.obj", "2.72785115242")</f>
        <v>2.72785115242</v>
      </c>
      <c r="D165" s="80" t="str">
        <f>HYPERLINK(AB2 &amp; "/bottle/sn_cbe88d4a56535ba64e23e9314af9ae57/rendering/01.obj", "2.67657876015")</f>
        <v>2.67657876015</v>
      </c>
      <c r="E165" s="29" t="str">
        <f>HYPERLINK(AB2 &amp; "/bottle/sn_cbe88d4a56535ba64e23e9314af9ae57/rendering/02.obj", "3.55109286308")</f>
        <v>3.55109286308</v>
      </c>
      <c r="F165" s="93" t="str">
        <f>HYPERLINK(AB2 &amp; "/bottle/sn_cbe88d4a56535ba64e23e9314af9ae57/rendering/03.obj", "2.70230054855")</f>
        <v>2.70230054855</v>
      </c>
      <c r="G165" s="30" t="str">
        <f>HYPERLINK(AB2 &amp; "/bottle/sn_cbe88d4a56535ba64e23e9314af9ae57/rendering/04.obj", "3.16305184364")</f>
        <v>3.16305184364</v>
      </c>
      <c r="H165" s="26" t="str">
        <f>HYPERLINK(AB2 &amp; "/bottle/sn_cbe88d4a56535ba64e23e9314af9ae57/rendering/05.obj", "2.94082832336")</f>
        <v>2.94082832336</v>
      </c>
      <c r="I165" s="48" t="str">
        <f>HYPERLINK(AB2 &amp; "/bottle/sn_cbe88d4a56535ba64e23e9314af9ae57/rendering/06.obj", "3.07360887527")</f>
        <v>3.07360887527</v>
      </c>
      <c r="J165" s="92" t="str">
        <f>HYPERLINK(AB2 &amp; "/bottle/sn_cbe88d4a56535ba64e23e9314af9ae57/rendering/07.obj", "2.75552988052")</f>
        <v>2.75552988052</v>
      </c>
      <c r="K165" s="70" t="str">
        <f>HYPERLINK(AB2 &amp; "/bottle/sn_cbe88d4a56535ba64e23e9314af9ae57/rendering/08.obj", "2.74750804901")</f>
        <v>2.74750804901</v>
      </c>
      <c r="L165" s="32" t="str">
        <f>HYPERLINK(AB2 &amp; "/bottle/sn_cbe88d4a56535ba64e23e9314af9ae57/rendering/09.obj", "2.81924462318")</f>
        <v>2.81924462318</v>
      </c>
      <c r="M165" s="90" t="str">
        <f>HYPERLINK(AB2 &amp; "/bottle/sn_cbe88d4a56535ba64e23e9314af9ae57/rendering/10.obj", "3.44232439995")</f>
        <v>3.44232439995</v>
      </c>
      <c r="N165" s="11" t="str">
        <f>HYPERLINK(AB2 &amp; "/bottle/sn_cbe88d4a56535ba64e23e9314af9ae57/rendering/11.obj", "3.8478512764")</f>
        <v>3.8478512764</v>
      </c>
      <c r="O165" s="49" t="str">
        <f>HYPERLINK(AB2 &amp; "/bottle/sn_cbe88d4a56535ba64e23e9314af9ae57/rendering/12.obj", "2.48729467392")</f>
        <v>2.48729467392</v>
      </c>
      <c r="P165" s="17" t="str">
        <f>HYPERLINK(AB2 &amp; "/bottle/sn_cbe88d4a56535ba64e23e9314af9ae57/rendering/13.obj", "3.08033037186")</f>
        <v>3.08033037186</v>
      </c>
      <c r="Q165" s="24" t="str">
        <f>HYPERLINK(AB2 &amp; "/bottle/sn_cbe88d4a56535ba64e23e9314af9ae57/rendering/14.obj", "3.67221426964")</f>
        <v>3.67221426964</v>
      </c>
      <c r="R165" s="42" t="str">
        <f>HYPERLINK(AB2 &amp; "/bottle/sn_cbe88d4a56535ba64e23e9314af9ae57/rendering/15.obj", "3.57574439049")</f>
        <v>3.57574439049</v>
      </c>
      <c r="S165" s="37" t="str">
        <f>HYPERLINK(AB2 &amp; "/bottle/sn_cbe88d4a56535ba64e23e9314af9ae57/rendering/16.obj", "3.68873071671")</f>
        <v>3.68873071671</v>
      </c>
      <c r="T165" s="38" t="str">
        <f>HYPERLINK(AB2 &amp; "/bottle/sn_cbe88d4a56535ba64e23e9314af9ae57/rendering/17.obj", "3.42891168594")</f>
        <v>3.42891168594</v>
      </c>
      <c r="U165" s="6" t="str">
        <f>HYPERLINK(AB2 &amp; "/bottle/sn_cbe88d4a56535ba64e23e9314af9ae57/rendering/18.obj", "3.00088047981")</f>
        <v>3.00088047981</v>
      </c>
      <c r="V165" s="71" t="str">
        <f>HYPERLINK(AB2 &amp; "/bottle/sn_cbe88d4a56535ba64e23e9314af9ae57/rendering/19.obj", "3.51539134979")</f>
        <v>3.51539134979</v>
      </c>
      <c r="W165" s="12" t="s">
        <v>32</v>
      </c>
      <c r="X165" s="13">
        <v>3.1448634266853328</v>
      </c>
      <c r="Y165" s="13">
        <v>0.4021257517072217</v>
      </c>
      <c r="Z165" s="70">
        <v>0.1278674769451148</v>
      </c>
    </row>
    <row r="166" spans="1:26" x14ac:dyDescent="0.2">
      <c r="A166" s="1">
        <v>164</v>
      </c>
      <c r="B166" s="2" t="s">
        <v>65</v>
      </c>
      <c r="C166" s="13" t="str">
        <f>HYPERLINK(AC2 &amp; "/bottle/sn_cbe88d4a56535ba64e23e9314af9ae57/rendering/00.xyz", "0.0")</f>
        <v>0.0</v>
      </c>
      <c r="D166" s="13" t="str">
        <f>HYPERLINK(AC2 &amp; "/bottle/sn_cbe88d4a56535ba64e23e9314af9ae57/rendering/01.xyz", "0.0")</f>
        <v>0.0</v>
      </c>
      <c r="E166" s="13" t="str">
        <f>HYPERLINK(AC2 &amp; "/bottle/sn_cbe88d4a56535ba64e23e9314af9ae57/rendering/02.xyz", "0.0")</f>
        <v>0.0</v>
      </c>
      <c r="F166" s="13" t="str">
        <f>HYPERLINK(AC2 &amp; "/bottle/sn_cbe88d4a56535ba64e23e9314af9ae57/rendering/03.xyz", "0.0")</f>
        <v>0.0</v>
      </c>
      <c r="G166" s="13" t="str">
        <f>HYPERLINK(AC2 &amp; "/bottle/sn_cbe88d4a56535ba64e23e9314af9ae57/rendering/04.xyz", "0.0")</f>
        <v>0.0</v>
      </c>
      <c r="H166" s="13" t="str">
        <f>HYPERLINK(AC2 &amp; "/bottle/sn_cbe88d4a56535ba64e23e9314af9ae57/rendering/05.xyz", "0.0")</f>
        <v>0.0</v>
      </c>
      <c r="I166" s="13" t="str">
        <f>HYPERLINK(AC2 &amp; "/bottle/sn_cbe88d4a56535ba64e23e9314af9ae57/rendering/06.xyz", "0.0")</f>
        <v>0.0</v>
      </c>
      <c r="J166" s="13" t="str">
        <f>HYPERLINK(AC2 &amp; "/bottle/sn_cbe88d4a56535ba64e23e9314af9ae57/rendering/07.xyz", "0.0")</f>
        <v>0.0</v>
      </c>
      <c r="K166" s="13" t="str">
        <f>HYPERLINK(AC2 &amp; "/bottle/sn_cbe88d4a56535ba64e23e9314af9ae57/rendering/08.xyz", "0.0")</f>
        <v>0.0</v>
      </c>
      <c r="L166" s="13" t="str">
        <f>HYPERLINK(AC2 &amp; "/bottle/sn_cbe88d4a56535ba64e23e9314af9ae57/rendering/09.xyz", "0.0")</f>
        <v>0.0</v>
      </c>
      <c r="M166" s="13" t="str">
        <f>HYPERLINK(AC2 &amp; "/bottle/sn_cbe88d4a56535ba64e23e9314af9ae57/rendering/10.xyz", "0.0")</f>
        <v>0.0</v>
      </c>
      <c r="N166" s="13" t="str">
        <f>HYPERLINK(AC2 &amp; "/bottle/sn_cbe88d4a56535ba64e23e9314af9ae57/rendering/11.xyz", "0.0")</f>
        <v>0.0</v>
      </c>
      <c r="O166" s="13" t="str">
        <f>HYPERLINK(AC2 &amp; "/bottle/sn_cbe88d4a56535ba64e23e9314af9ae57/rendering/12.xyz", "0.0")</f>
        <v>0.0</v>
      </c>
      <c r="P166" s="13" t="str">
        <f>HYPERLINK(AC2 &amp; "/bottle/sn_cbe88d4a56535ba64e23e9314af9ae57/rendering/13.xyz", "0.0")</f>
        <v>0.0</v>
      </c>
      <c r="Q166" s="13" t="str">
        <f>HYPERLINK(AC2 &amp; "/bottle/sn_cbe88d4a56535ba64e23e9314af9ae57/rendering/14.xyz", "0.0")</f>
        <v>0.0</v>
      </c>
      <c r="R166" s="13" t="str">
        <f>HYPERLINK(AC2 &amp; "/bottle/sn_cbe88d4a56535ba64e23e9314af9ae57/rendering/15.xyz", "0.0")</f>
        <v>0.0</v>
      </c>
      <c r="S166" s="13" t="str">
        <f>HYPERLINK(AC2 &amp; "/bottle/sn_cbe88d4a56535ba64e23e9314af9ae57/rendering/16.xyz", "0.0")</f>
        <v>0.0</v>
      </c>
      <c r="T166" s="13" t="str">
        <f>HYPERLINK(AC2 &amp; "/bottle/sn_cbe88d4a56535ba64e23e9314af9ae57/rendering/17.xyz", "0.0")</f>
        <v>0.0</v>
      </c>
      <c r="U166" s="13" t="str">
        <f>HYPERLINK(AC2 &amp; "/bottle/sn_cbe88d4a56535ba64e23e9314af9ae57/rendering/18.xyz", "0.0")</f>
        <v>0.0</v>
      </c>
      <c r="V166" s="13" t="str">
        <f>HYPERLINK(AC2 &amp; "/bottle/sn_cbe88d4a56535ba64e23e9314af9ae57/rendering/19.xyz", "0.0")</f>
        <v>0.0</v>
      </c>
      <c r="W166" s="12" t="s">
        <v>33</v>
      </c>
      <c r="X166" s="13">
        <v>0</v>
      </c>
      <c r="Y166" s="13">
        <v>0</v>
      </c>
      <c r="Z166" s="13">
        <v>0</v>
      </c>
    </row>
    <row r="167" spans="1:26" x14ac:dyDescent="0.2">
      <c r="A167" s="1">
        <v>165</v>
      </c>
      <c r="B167" s="2" t="s">
        <v>66</v>
      </c>
      <c r="C167" s="51" t="str">
        <f>HYPERLINK(AA2 &amp; "/bottle/sn_cc399bb619ddddf7c13f8623d10d3404/rendering/00.obj", "2.09243225098")</f>
        <v>2.09243225098</v>
      </c>
      <c r="D167" s="69" t="str">
        <f>HYPERLINK(AA2 &amp; "/bottle/sn_cc399bb619ddddf7c13f8623d10d3404/rendering/01.obj", "2.2101373291")</f>
        <v>2.2101373291</v>
      </c>
      <c r="E167" s="47" t="str">
        <f>HYPERLINK(AA2 &amp; "/bottle/sn_cc399bb619ddddf7c13f8623d10d3404/rendering/02.obj", "2.25914733887")</f>
        <v>2.25914733887</v>
      </c>
      <c r="F167" s="72" t="str">
        <f>HYPERLINK(AA2 &amp; "/bottle/sn_cc399bb619ddddf7c13f8623d10d3404/rendering/03.obj", "2.20076309204")</f>
        <v>2.20076309204</v>
      </c>
      <c r="G167" s="27" t="str">
        <f>HYPERLINK(AA2 &amp; "/bottle/sn_cc399bb619ddddf7c13f8623d10d3404/rendering/04.obj", "2.11570220947")</f>
        <v>2.11570220947</v>
      </c>
      <c r="H167" s="74" t="str">
        <f>HYPERLINK(AA2 &amp; "/bottle/sn_cc399bb619ddddf7c13f8623d10d3404/rendering/05.obj", "2.24628387451")</f>
        <v>2.24628387451</v>
      </c>
      <c r="I167" s="74" t="str">
        <f>HYPERLINK(AA2 &amp; "/bottle/sn_cc399bb619ddddf7c13f8623d10d3404/rendering/06.obj", "2.30689239502")</f>
        <v>2.30689239502</v>
      </c>
      <c r="J167" s="94" t="str">
        <f>HYPERLINK(AA2 &amp; "/bottle/sn_cc399bb619ddddf7c13f8623d10d3404/rendering/07.obj", "2.44345397949")</f>
        <v>2.44345397949</v>
      </c>
      <c r="K167" s="41" t="str">
        <f>HYPERLINK(AA2 &amp; "/bottle/sn_cc399bb619ddddf7c13f8623d10d3404/rendering/08.obj", "2.42704574585")</f>
        <v>2.42704574585</v>
      </c>
      <c r="L167" s="6" t="str">
        <f>HYPERLINK(AA2 &amp; "/bottle/sn_cc399bb619ddddf7c13f8623d10d3404/rendering/09.obj", "2.17102615356")</f>
        <v>2.17102615356</v>
      </c>
      <c r="M167" s="65" t="str">
        <f>HYPERLINK(AA2 &amp; "/bottle/sn_cc399bb619ddddf7c13f8623d10d3404/rendering/10.obj", "1.97199737549")</f>
        <v>1.97199737549</v>
      </c>
      <c r="N167" s="36" t="str">
        <f>HYPERLINK(AA2 &amp; "/bottle/sn_cc399bb619ddddf7c13f8623d10d3404/rendering/11.obj", "2.76412414551")</f>
        <v>2.76412414551</v>
      </c>
      <c r="O167" s="110" t="str">
        <f>HYPERLINK(AA2 &amp; "/bottle/sn_cc399bb619ddddf7c13f8623d10d3404/rendering/12.obj", "2.05044967651")</f>
        <v>2.05044967651</v>
      </c>
      <c r="P167" s="51" t="str">
        <f>HYPERLINK(AA2 &amp; "/bottle/sn_cc399bb619ddddf7c13f8623d10d3404/rendering/13.obj", "2.0923348999")</f>
        <v>2.0923348999</v>
      </c>
      <c r="Q167" s="27" t="str">
        <f>HYPERLINK(AA2 &amp; "/bottle/sn_cc399bb619ddddf7c13f8623d10d3404/rendering/14.obj", "2.11195358276")</f>
        <v>2.11195358276</v>
      </c>
      <c r="R167" s="79" t="str">
        <f>HYPERLINK(AA2 &amp; "/bottle/sn_cc399bb619ddddf7c13f8623d10d3404/rendering/15.obj", "2.63545898438")</f>
        <v>2.63545898438</v>
      </c>
      <c r="S167" s="40" t="str">
        <f>HYPERLINK(AA2 &amp; "/bottle/sn_cc399bb619ddddf7c13f8623d10d3404/rendering/16.obj", "2.66373474121")</f>
        <v>2.66373474121</v>
      </c>
      <c r="T167" s="13" t="str">
        <f>HYPERLINK(AA2 &amp; "/bottle/sn_cc399bb619ddddf7c13f8623d10d3404/rendering/17.obj", "2.27282562256")</f>
        <v>2.27282562256</v>
      </c>
      <c r="U167" s="25" t="str">
        <f>HYPERLINK(AA2 &amp; "/bottle/sn_cc399bb619ddddf7c13f8623d10d3404/rendering/18.obj", "2.30288299561")</f>
        <v>2.30288299561</v>
      </c>
      <c r="V167" s="6" t="str">
        <f>HYPERLINK(AA2 &amp; "/bottle/sn_cc399bb619ddddf7c13f8623d10d3404/rendering/19.obj", "2.17517089844")</f>
        <v>2.17517089844</v>
      </c>
      <c r="W167" s="12" t="s">
        <v>29</v>
      </c>
      <c r="X167" s="13">
        <v>2.2756908645629879</v>
      </c>
      <c r="Y167" s="13">
        <v>0.20809057239182349</v>
      </c>
      <c r="Z167" s="67">
        <v>9.1440615081866197E-2</v>
      </c>
    </row>
    <row r="168" spans="1:26" x14ac:dyDescent="0.2">
      <c r="A168" s="1">
        <v>166</v>
      </c>
      <c r="B168" s="2" t="s">
        <v>66</v>
      </c>
      <c r="C168" s="34" t="str">
        <f>HYPERLINK(AA2 &amp; "/bottle/sn_cc399bb619ddddf7c13f8623d10d3404/rendering/00.obj", "3.23319649696")</f>
        <v>3.23319649696</v>
      </c>
      <c r="D168" s="47" t="str">
        <f>HYPERLINK(AA2 &amp; "/bottle/sn_cc399bb619ddddf7c13f8623d10d3404/rendering/01.obj", "3.42720770836")</f>
        <v>3.42720770836</v>
      </c>
      <c r="E168" s="51" t="str">
        <f>HYPERLINK(AA2 &amp; "/bottle/sn_cc399bb619ddddf7c13f8623d10d3404/rendering/02.obj", "3.12779450417")</f>
        <v>3.12779450417</v>
      </c>
      <c r="F168" s="13" t="str">
        <f>HYPERLINK(AA2 &amp; "/bottle/sn_cc399bb619ddddf7c13f8623d10d3404/rendering/03.obj", "3.38990187645")</f>
        <v>3.38990187645</v>
      </c>
      <c r="G168" s="78" t="str">
        <f>HYPERLINK(AA2 &amp; "/bottle/sn_cc399bb619ddddf7c13f8623d10d3404/rendering/04.obj", "3.19013357162")</f>
        <v>3.19013357162</v>
      </c>
      <c r="H168" s="17" t="str">
        <f>HYPERLINK(AA2 &amp; "/bottle/sn_cc399bb619ddddf7c13f8623d10d3404/rendering/05.obj", "3.46554017067")</f>
        <v>3.46554017067</v>
      </c>
      <c r="I168" s="17" t="str">
        <f>HYPERLINK(AA2 &amp; "/bottle/sn_cc399bb619ddddf7c13f8623d10d3404/rendering/06.obj", "3.33220529556")</f>
        <v>3.33220529556</v>
      </c>
      <c r="J168" s="6" t="str">
        <f>HYPERLINK(AA2 &amp; "/bottle/sn_cc399bb619ddddf7c13f8623d10d3404/rendering/07.obj", "3.55499100685")</f>
        <v>3.55499100685</v>
      </c>
      <c r="K168" s="63" t="str">
        <f>HYPERLINK(AA2 &amp; "/bottle/sn_cc399bb619ddddf7c13f8623d10d3404/rendering/08.obj", "3.80492758751")</f>
        <v>3.80492758751</v>
      </c>
      <c r="L168" s="94" t="str">
        <f>HYPERLINK(AA2 &amp; "/bottle/sn_cc399bb619ddddf7c13f8623d10d3404/rendering/09.obj", "3.14924454689")</f>
        <v>3.14924454689</v>
      </c>
      <c r="M168" s="41" t="str">
        <f>HYPERLINK(AA2 &amp; "/bottle/sn_cc399bb619ddddf7c13f8623d10d3404/rendering/10.obj", "3.16554665565")</f>
        <v>3.16554665565</v>
      </c>
      <c r="N168" s="91" t="str">
        <f>HYPERLINK(AA2 &amp; "/bottle/sn_cc399bb619ddddf7c13f8623d10d3404/rendering/11.obj", "3.4868144989")</f>
        <v>3.4868144989</v>
      </c>
      <c r="O168" s="39" t="str">
        <f>HYPERLINK(AA2 &amp; "/bottle/sn_cc399bb619ddddf7c13f8623d10d3404/rendering/12.obj", "3.10565257072")</f>
        <v>3.10565257072</v>
      </c>
      <c r="P168" s="106" t="str">
        <f>HYPERLINK(AA2 &amp; "/bottle/sn_cc399bb619ddddf7c13f8623d10d3404/rendering/13.obj", "3.00876951218")</f>
        <v>3.00876951218</v>
      </c>
      <c r="Q168" s="38" t="str">
        <f>HYPERLINK(AA2 &amp; "/bottle/sn_cc399bb619ddddf7c13f8623d10d3404/rendering/14.obj", "3.08920693398")</f>
        <v>3.08920693398</v>
      </c>
      <c r="R168" s="55" t="str">
        <f>HYPERLINK(AA2 &amp; "/bottle/sn_cc399bb619ddddf7c13f8623d10d3404/rendering/15.obj", "4.04941511154")</f>
        <v>4.04941511154</v>
      </c>
      <c r="S168" s="58" t="str">
        <f>HYPERLINK(AA2 &amp; "/bottle/sn_cc399bb619ddddf7c13f8623d10d3404/rendering/16.obj", "4.22848892212")</f>
        <v>4.22848892212</v>
      </c>
      <c r="T168" s="91" t="str">
        <f>HYPERLINK(AA2 &amp; "/bottle/sn_cc399bb619ddddf7c13f8623d10d3404/rendering/17.obj", "3.49185061455")</f>
        <v>3.49185061455</v>
      </c>
      <c r="U168" s="60" t="str">
        <f>HYPERLINK(AA2 &amp; "/bottle/sn_cc399bb619ddddf7c13f8623d10d3404/rendering/18.obj", "3.2237701416")</f>
        <v>3.2237701416</v>
      </c>
      <c r="V168" s="25" t="str">
        <f>HYPERLINK(AA2 &amp; "/bottle/sn_cc399bb619ddddf7c13f8623d10d3404/rendering/19.obj", "3.43912792206")</f>
        <v>3.43912792206</v>
      </c>
      <c r="W168" s="12" t="s">
        <v>30</v>
      </c>
      <c r="X168" s="13">
        <v>3.398189282417297</v>
      </c>
      <c r="Y168" s="13">
        <v>0.31260644968883722</v>
      </c>
      <c r="Z168" s="67">
        <v>9.1992065099582965E-2</v>
      </c>
    </row>
    <row r="169" spans="1:26" x14ac:dyDescent="0.2">
      <c r="A169" s="1">
        <v>167</v>
      </c>
      <c r="B169" s="2" t="s">
        <v>66</v>
      </c>
      <c r="C169" s="72" t="str">
        <f>HYPERLINK(AB2 &amp; "/bottle/sn_cc399bb619ddddf7c13f8623d10d3404/rendering/00.obj", "2.75698272705")</f>
        <v>2.75698272705</v>
      </c>
      <c r="D169" s="17" t="str">
        <f>HYPERLINK(AB2 &amp; "/bottle/sn_cc399bb619ddddf7c13f8623d10d3404/rendering/01.obj", "2.6120993042")</f>
        <v>2.6120993042</v>
      </c>
      <c r="E169" s="47" t="str">
        <f>HYPERLINK(AB2 &amp; "/bottle/sn_cc399bb619ddddf7c13f8623d10d3404/rendering/02.obj", "2.68992004395")</f>
        <v>2.68992004395</v>
      </c>
      <c r="F169" s="74" t="str">
        <f>HYPERLINK(AB2 &amp; "/bottle/sn_cc399bb619ddddf7c13f8623d10d3404/rendering/03.obj", "2.63320983887")</f>
        <v>2.63320983887</v>
      </c>
      <c r="G169" s="69" t="str">
        <f>HYPERLINK(AB2 &amp; "/bottle/sn_cc399bb619ddddf7c13f8623d10d3404/rendering/04.obj", "2.59369415283")</f>
        <v>2.59369415283</v>
      </c>
      <c r="H169" s="13" t="str">
        <f>HYPERLINK(AB2 &amp; "/bottle/sn_cc399bb619ddddf7c13f8623d10d3404/rendering/05.obj", "2.67541809082")</f>
        <v>2.67541809082</v>
      </c>
      <c r="I169" s="47" t="str">
        <f>HYPERLINK(AB2 &amp; "/bottle/sn_cc399bb619ddddf7c13f8623d10d3404/rendering/06.obj", "2.65136108398")</f>
        <v>2.65136108398</v>
      </c>
      <c r="J169" s="13" t="str">
        <f>HYPERLINK(AB2 &amp; "/bottle/sn_cc399bb619ddddf7c13f8623d10d3404/rendering/07.obj", "2.67240570068")</f>
        <v>2.67240570068</v>
      </c>
      <c r="K169" s="47" t="str">
        <f>HYPERLINK(AB2 &amp; "/bottle/sn_cc399bb619ddddf7c13f8623d10d3404/rendering/08.obj", "2.65205993652")</f>
        <v>2.65205993652</v>
      </c>
      <c r="L169" s="30" t="str">
        <f>HYPERLINK(AB2 &amp; "/bottle/sn_cc399bb619ddddf7c13f8623d10d3404/rendering/09.obj", "2.65952697754")</f>
        <v>2.65952697754</v>
      </c>
      <c r="M169" s="46" t="str">
        <f>HYPERLINK(AB2 &amp; "/bottle/sn_cc399bb619ddddf7c13f8623d10d3404/rendering/10.obj", "2.71330230713")</f>
        <v>2.71330230713</v>
      </c>
      <c r="N169" s="30" t="str">
        <f>HYPERLINK(AB2 &amp; "/bottle/sn_cc399bb619ddddf7c13f8623d10d3404/rendering/11.obj", "2.68555969238")</f>
        <v>2.68555969238</v>
      </c>
      <c r="O169" s="47" t="str">
        <f>HYPERLINK(AB2 &amp; "/bottle/sn_cc399bb619ddddf7c13f8623d10d3404/rendering/12.obj", "2.68624328613")</f>
        <v>2.68624328613</v>
      </c>
      <c r="P169" s="13" t="str">
        <f>HYPERLINK(AB2 &amp; "/bottle/sn_cc399bb619ddddf7c13f8623d10d3404/rendering/13.obj", "2.67685424805")</f>
        <v>2.67685424805</v>
      </c>
      <c r="Q169" s="47" t="str">
        <f>HYPERLINK(AB2 &amp; "/bottle/sn_cc399bb619ddddf7c13f8623d10d3404/rendering/14.obj", "2.64916015625")</f>
        <v>2.64916015625</v>
      </c>
      <c r="R169" s="47" t="str">
        <f>HYPERLINK(AB2 &amp; "/bottle/sn_cc399bb619ddddf7c13f8623d10d3404/rendering/15.obj", "2.6904473877")</f>
        <v>2.6904473877</v>
      </c>
      <c r="S169" s="17" t="str">
        <f>HYPERLINK(AB2 &amp; "/bottle/sn_cc399bb619ddddf7c13f8623d10d3404/rendering/16.obj", "2.61350708008")</f>
        <v>2.61350708008</v>
      </c>
      <c r="T169" s="48" t="str">
        <f>HYPERLINK(AB2 &amp; "/bottle/sn_cc399bb619ddddf7c13f8623d10d3404/rendering/17.obj", "2.73524993896")</f>
        <v>2.73524993896</v>
      </c>
      <c r="U169" s="30" t="str">
        <f>HYPERLINK(AB2 &amp; "/bottle/sn_cc399bb619ddddf7c13f8623d10d3404/rendering/18.obj", "2.65289306641")</f>
        <v>2.65289306641</v>
      </c>
      <c r="V169" s="30" t="str">
        <f>HYPERLINK(AB2 &amp; "/bottle/sn_cc399bb619ddddf7c13f8623d10d3404/rendering/19.obj", "2.68298034668")</f>
        <v>2.68298034668</v>
      </c>
      <c r="W169" s="12" t="s">
        <v>31</v>
      </c>
      <c r="X169" s="13">
        <v>2.6691437683105459</v>
      </c>
      <c r="Y169" s="13">
        <v>3.9039317533772343E-2</v>
      </c>
      <c r="Z169" s="74">
        <v>1.4626157645484399E-2</v>
      </c>
    </row>
    <row r="170" spans="1:26" x14ac:dyDescent="0.2">
      <c r="A170" s="1">
        <v>168</v>
      </c>
      <c r="B170" s="2" t="s">
        <v>66</v>
      </c>
      <c r="C170" s="47" t="str">
        <f>HYPERLINK(AB2 &amp; "/bottle/sn_cc399bb619ddddf7c13f8623d10d3404/rendering/00.obj", "3.44812941551")</f>
        <v>3.44812941551</v>
      </c>
      <c r="D170" s="48" t="str">
        <f>HYPERLINK(AB2 &amp; "/bottle/sn_cc399bb619ddddf7c13f8623d10d3404/rendering/01.obj", "3.34055352211")</f>
        <v>3.34055352211</v>
      </c>
      <c r="E170" s="26" t="str">
        <f>HYPERLINK(AB2 &amp; "/bottle/sn_cc399bb619ddddf7c13f8623d10d3404/rendering/02.obj", "3.64579176903")</f>
        <v>3.64579176903</v>
      </c>
      <c r="F170" s="69" t="str">
        <f>HYPERLINK(AB2 &amp; "/bottle/sn_cc399bb619ddddf7c13f8623d10d3404/rendering/03.obj", "3.5243563652")</f>
        <v>3.5243563652</v>
      </c>
      <c r="G170" s="30" t="str">
        <f>HYPERLINK(AB2 &amp; "/bottle/sn_cc399bb619ddddf7c13f8623d10d3404/rendering/04.obj", "3.43768453598")</f>
        <v>3.43768453598</v>
      </c>
      <c r="H170" s="23" t="str">
        <f>HYPERLINK(AB2 &amp; "/bottle/sn_cc399bb619ddddf7c13f8623d10d3404/rendering/05.obj", "3.2829785347")</f>
        <v>3.2829785347</v>
      </c>
      <c r="I170" s="6" t="str">
        <f>HYPERLINK(AB2 &amp; "/bottle/sn_cc399bb619ddddf7c13f8623d10d3404/rendering/06.obj", "3.26540660858")</f>
        <v>3.26540660858</v>
      </c>
      <c r="J170" s="6" t="str">
        <f>HYPERLINK(AB2 &amp; "/bottle/sn_cc399bb619ddddf7c13f8623d10d3404/rendering/07.obj", "3.26616430283")</f>
        <v>3.26616430283</v>
      </c>
      <c r="K170" s="69" t="str">
        <f>HYPERLINK(AB2 &amp; "/bottle/sn_cc399bb619ddddf7c13f8623d10d3404/rendering/08.obj", "3.51922607422")</f>
        <v>3.51922607422</v>
      </c>
      <c r="L170" s="10" t="str">
        <f>HYPERLINK(AB2 &amp; "/bottle/sn_cc399bb619ddddf7c13f8623d10d3404/rendering/09.obj", "3.6121532917")</f>
        <v>3.6121532917</v>
      </c>
      <c r="M170" s="10" t="str">
        <f>HYPERLINK(AB2 &amp; "/bottle/sn_cc399bb619ddddf7c13f8623d10d3404/rendering/10.obj", "3.23371076584")</f>
        <v>3.23371076584</v>
      </c>
      <c r="N170" s="68" t="str">
        <f>HYPERLINK(AB2 &amp; "/bottle/sn_cc399bb619ddddf7c13f8623d10d3404/rendering/11.obj", "3.5669696331")</f>
        <v>3.5669696331</v>
      </c>
      <c r="O170" s="91" t="str">
        <f>HYPERLINK(AB2 &amp; "/bottle/sn_cc399bb619ddddf7c13f8623d10d3404/rendering/12.obj", "3.51271176338")</f>
        <v>3.51271176338</v>
      </c>
      <c r="P170" s="46" t="str">
        <f>HYPERLINK(AB2 &amp; "/bottle/sn_cc399bb619ddddf7c13f8623d10d3404/rendering/13.obj", "3.48155522346")</f>
        <v>3.48155522346</v>
      </c>
      <c r="Q170" s="73" t="str">
        <f>HYPERLINK(AB2 &amp; "/bottle/sn_cc399bb619ddddf7c13f8623d10d3404/rendering/14.obj", "3.5419318676")</f>
        <v>3.5419318676</v>
      </c>
      <c r="R170" s="46" t="str">
        <f>HYPERLINK(AB2 &amp; "/bottle/sn_cc399bb619ddddf7c13f8623d10d3404/rendering/15.obj", "3.47862839699")</f>
        <v>3.47862839699</v>
      </c>
      <c r="S170" s="25" t="str">
        <f>HYPERLINK(AB2 &amp; "/bottle/sn_cc399bb619ddddf7c13f8623d10d3404/rendering/16.obj", "3.3783197403")</f>
        <v>3.3783197403</v>
      </c>
      <c r="T170" s="68" t="str">
        <f>HYPERLINK(AB2 &amp; "/bottle/sn_cc399bb619ddddf7c13f8623d10d3404/rendering/17.obj", "3.27221894264")</f>
        <v>3.27221894264</v>
      </c>
      <c r="U170" s="23" t="str">
        <f>HYPERLINK(AB2 &amp; "/bottle/sn_cc399bb619ddddf7c13f8623d10d3404/rendering/18.obj", "3.28330421448")</f>
        <v>3.28330421448</v>
      </c>
      <c r="V170" s="69" t="str">
        <f>HYPERLINK(AB2 &amp; "/bottle/sn_cc399bb619ddddf7c13f8623d10d3404/rendering/19.obj", "3.3184466362")</f>
        <v>3.3184466362</v>
      </c>
      <c r="W170" s="12" t="s">
        <v>32</v>
      </c>
      <c r="X170" s="13">
        <v>3.4205120801925659</v>
      </c>
      <c r="Y170" s="13">
        <v>0.12687770625220759</v>
      </c>
      <c r="Z170" s="73">
        <v>3.7093190515808588E-2</v>
      </c>
    </row>
    <row r="171" spans="1:26" x14ac:dyDescent="0.2">
      <c r="A171" s="1">
        <v>169</v>
      </c>
      <c r="B171" s="2" t="s">
        <v>66</v>
      </c>
      <c r="C171" s="13" t="str">
        <f>HYPERLINK(AC2 &amp; "/bottle/sn_cc399bb619ddddf7c13f8623d10d3404/rendering/00.xyz", "0.0")</f>
        <v>0.0</v>
      </c>
      <c r="D171" s="13" t="str">
        <f>HYPERLINK(AC2 &amp; "/bottle/sn_cc399bb619ddddf7c13f8623d10d3404/rendering/01.xyz", "0.0")</f>
        <v>0.0</v>
      </c>
      <c r="E171" s="13" t="str">
        <f>HYPERLINK(AC2 &amp; "/bottle/sn_cc399bb619ddddf7c13f8623d10d3404/rendering/02.xyz", "0.0")</f>
        <v>0.0</v>
      </c>
      <c r="F171" s="13" t="str">
        <f>HYPERLINK(AC2 &amp; "/bottle/sn_cc399bb619ddddf7c13f8623d10d3404/rendering/03.xyz", "0.0")</f>
        <v>0.0</v>
      </c>
      <c r="G171" s="13" t="str">
        <f>HYPERLINK(AC2 &amp; "/bottle/sn_cc399bb619ddddf7c13f8623d10d3404/rendering/04.xyz", "0.0")</f>
        <v>0.0</v>
      </c>
      <c r="H171" s="13" t="str">
        <f>HYPERLINK(AC2 &amp; "/bottle/sn_cc399bb619ddddf7c13f8623d10d3404/rendering/05.xyz", "0.0")</f>
        <v>0.0</v>
      </c>
      <c r="I171" s="13" t="str">
        <f>HYPERLINK(AC2 &amp; "/bottle/sn_cc399bb619ddddf7c13f8623d10d3404/rendering/06.xyz", "0.0")</f>
        <v>0.0</v>
      </c>
      <c r="J171" s="13" t="str">
        <f>HYPERLINK(AC2 &amp; "/bottle/sn_cc399bb619ddddf7c13f8623d10d3404/rendering/07.xyz", "0.0")</f>
        <v>0.0</v>
      </c>
      <c r="K171" s="13" t="str">
        <f>HYPERLINK(AC2 &amp; "/bottle/sn_cc399bb619ddddf7c13f8623d10d3404/rendering/08.xyz", "0.0")</f>
        <v>0.0</v>
      </c>
      <c r="L171" s="13" t="str">
        <f>HYPERLINK(AC2 &amp; "/bottle/sn_cc399bb619ddddf7c13f8623d10d3404/rendering/09.xyz", "0.0")</f>
        <v>0.0</v>
      </c>
      <c r="M171" s="13" t="str">
        <f>HYPERLINK(AC2 &amp; "/bottle/sn_cc399bb619ddddf7c13f8623d10d3404/rendering/10.xyz", "0.0")</f>
        <v>0.0</v>
      </c>
      <c r="N171" s="13" t="str">
        <f>HYPERLINK(AC2 &amp; "/bottle/sn_cc399bb619ddddf7c13f8623d10d3404/rendering/11.xyz", "0.0")</f>
        <v>0.0</v>
      </c>
      <c r="O171" s="13" t="str">
        <f>HYPERLINK(AC2 &amp; "/bottle/sn_cc399bb619ddddf7c13f8623d10d3404/rendering/12.xyz", "0.0")</f>
        <v>0.0</v>
      </c>
      <c r="P171" s="13" t="str">
        <f>HYPERLINK(AC2 &amp; "/bottle/sn_cc399bb619ddddf7c13f8623d10d3404/rendering/13.xyz", "0.0")</f>
        <v>0.0</v>
      </c>
      <c r="Q171" s="13" t="str">
        <f>HYPERLINK(AC2 &amp; "/bottle/sn_cc399bb619ddddf7c13f8623d10d3404/rendering/14.xyz", "0.0")</f>
        <v>0.0</v>
      </c>
      <c r="R171" s="13" t="str">
        <f>HYPERLINK(AC2 &amp; "/bottle/sn_cc399bb619ddddf7c13f8623d10d3404/rendering/15.xyz", "0.0")</f>
        <v>0.0</v>
      </c>
      <c r="S171" s="13" t="str">
        <f>HYPERLINK(AC2 &amp; "/bottle/sn_cc399bb619ddddf7c13f8623d10d3404/rendering/16.xyz", "0.0")</f>
        <v>0.0</v>
      </c>
      <c r="T171" s="13" t="str">
        <f>HYPERLINK(AC2 &amp; "/bottle/sn_cc399bb619ddddf7c13f8623d10d3404/rendering/17.xyz", "0.0")</f>
        <v>0.0</v>
      </c>
      <c r="U171" s="13" t="str">
        <f>HYPERLINK(AC2 &amp; "/bottle/sn_cc399bb619ddddf7c13f8623d10d3404/rendering/18.xyz", "0.0")</f>
        <v>0.0</v>
      </c>
      <c r="V171" s="13" t="str">
        <f>HYPERLINK(AC2 &amp; "/bottle/sn_cc399bb619ddddf7c13f8623d10d3404/rendering/19.xyz", "0.0")</f>
        <v>0.0</v>
      </c>
      <c r="W171" s="12" t="s">
        <v>33</v>
      </c>
      <c r="X171" s="13">
        <v>0</v>
      </c>
      <c r="Y171" s="13">
        <v>0</v>
      </c>
      <c r="Z171" s="13">
        <v>0</v>
      </c>
    </row>
    <row r="172" spans="1:26" x14ac:dyDescent="0.2">
      <c r="A172" s="1">
        <v>170</v>
      </c>
      <c r="B172" s="2" t="s">
        <v>67</v>
      </c>
      <c r="C172" s="44" t="str">
        <f>HYPERLINK(AA2 &amp; "/bottle/sn_cc48fe97a95e8716ccaa5ad584801c3e/rendering/00.obj", "3.7961340332")</f>
        <v>3.7961340332</v>
      </c>
      <c r="D172" s="88" t="str">
        <f>HYPERLINK(AA2 &amp; "/bottle/sn_cc48fe97a95e8716ccaa5ad584801c3e/rendering/01.obj", "3.76720367432")</f>
        <v>3.76720367432</v>
      </c>
      <c r="E172" s="109" t="str">
        <f>HYPERLINK(AA2 &amp; "/bottle/sn_cc48fe97a95e8716ccaa5ad584801c3e/rendering/02.obj", "3.83760803223")</f>
        <v>3.83760803223</v>
      </c>
      <c r="F172" s="8" t="str">
        <f>HYPERLINK(AA2 &amp; "/bottle/sn_cc48fe97a95e8716ccaa5ad584801c3e/rendering/03.obj", "4.04740081787")</f>
        <v>4.04740081787</v>
      </c>
      <c r="G172" s="60" t="str">
        <f>HYPERLINK(AA2 &amp; "/bottle/sn_cc48fe97a95e8716ccaa5ad584801c3e/rendering/04.obj", "4.48039978027")</f>
        <v>4.48039978027</v>
      </c>
      <c r="H172" s="8" t="str">
        <f>HYPERLINK(AA2 &amp; "/bottle/sn_cc48fe97a95e8716ccaa5ad584801c3e/rendering/05.obj", "4.05769012451")</f>
        <v>4.05769012451</v>
      </c>
      <c r="I172" s="57" t="str">
        <f>HYPERLINK(AA2 &amp; "/bottle/sn_cc48fe97a95e8716ccaa5ad584801c3e/rendering/06.obj", "3.24536010742")</f>
        <v>3.24536010742</v>
      </c>
      <c r="J172" s="31" t="str">
        <f>HYPERLINK(AA2 &amp; "/bottle/sn_cc48fe97a95e8716ccaa5ad584801c3e/rendering/07.obj", "5.46008117676")</f>
        <v>5.46008117676</v>
      </c>
      <c r="K172" s="99" t="str">
        <f>HYPERLINK(AA2 &amp; "/bottle/sn_cc48fe97a95e8716ccaa5ad584801c3e/rendering/08.obj", "3.44851654053")</f>
        <v>3.44851654053</v>
      </c>
      <c r="L172" s="175" t="str">
        <f>HYPERLINK(AA2 &amp; "/bottle/sn_cc48fe97a95e8716ccaa5ad584801c3e/rendering/09.obj", "3.61938995361")</f>
        <v>3.61938995361</v>
      </c>
      <c r="M172" s="85" t="str">
        <f>HYPERLINK(AA2 &amp; "/bottle/sn_cc48fe97a95e8716ccaa5ad584801c3e/rendering/10.obj", "6.1259777832")</f>
        <v>6.1259777832</v>
      </c>
      <c r="N172" s="75" t="str">
        <f>HYPERLINK(AA2 &amp; "/bottle/sn_cc48fe97a95e8716ccaa5ad584801c3e/rendering/11.obj", "3.68470703125")</f>
        <v>3.68470703125</v>
      </c>
      <c r="O172" s="108" t="str">
        <f>HYPERLINK(AA2 &amp; "/bottle/sn_cc48fe97a95e8716ccaa5ad584801c3e/rendering/12.obj", "3.56170593262")</f>
        <v>3.56170593262</v>
      </c>
      <c r="P172" s="95" t="str">
        <f>HYPERLINK(AA2 &amp; "/bottle/sn_cc48fe97a95e8716ccaa5ad584801c3e/rendering/13.obj", "3.40556884766")</f>
        <v>3.40556884766</v>
      </c>
      <c r="Q172" s="175" t="str">
        <f>HYPERLINK(AA2 &amp; "/bottle/sn_cc48fe97a95e8716ccaa5ad584801c3e/rendering/14.obj", "3.62444458008")</f>
        <v>3.62444458008</v>
      </c>
      <c r="R172" s="20" t="str">
        <f>HYPERLINK(AA2 &amp; "/bottle/sn_cc48fe97a95e8716ccaa5ad584801c3e/rendering/15.obj", "13.0751928711")</f>
        <v>13.0751928711</v>
      </c>
      <c r="S172" s="20" t="str">
        <f>HYPERLINK(AA2 &amp; "/bottle/sn_cc48fe97a95e8716ccaa5ad584801c3e/rendering/16.obj", "9.9722277832")</f>
        <v>9.9722277832</v>
      </c>
      <c r="T172" s="30" t="str">
        <f>HYPERLINK(AA2 &amp; "/bottle/sn_cc48fe97a95e8716ccaa5ad584801c3e/rendering/17.obj", "4.74972351074")</f>
        <v>4.74972351074</v>
      </c>
      <c r="U172" s="129" t="str">
        <f>HYPERLINK(AA2 &amp; "/bottle/sn_cc48fe97a95e8716ccaa5ad584801c3e/rendering/18.obj", "3.54310791016")</f>
        <v>3.54310791016</v>
      </c>
      <c r="V172" s="140" t="str">
        <f>HYPERLINK(AA2 &amp; "/bottle/sn_cc48fe97a95e8716ccaa5ad584801c3e/rendering/19.obj", "3.08341064453")</f>
        <v>3.08341064453</v>
      </c>
      <c r="W172" s="12" t="s">
        <v>29</v>
      </c>
      <c r="X172" s="13">
        <v>4.7292925567626964</v>
      </c>
      <c r="Y172" s="13">
        <v>2.427083996980365</v>
      </c>
      <c r="Z172" s="105">
        <v>0.51320233795004588</v>
      </c>
    </row>
    <row r="173" spans="1:26" x14ac:dyDescent="0.2">
      <c r="A173" s="1">
        <v>171</v>
      </c>
      <c r="B173" s="2" t="s">
        <v>67</v>
      </c>
      <c r="C173" s="138" t="str">
        <f>HYPERLINK(AA2 &amp; "/bottle/sn_cc48fe97a95e8716ccaa5ad584801c3e/rendering/00.obj", "4.10934782028")</f>
        <v>4.10934782028</v>
      </c>
      <c r="D173" s="130" t="str">
        <f>HYPERLINK(AA2 &amp; "/bottle/sn_cc48fe97a95e8716ccaa5ad584801c3e/rendering/01.obj", "3.40122389793")</f>
        <v>3.40122389793</v>
      </c>
      <c r="E173" s="118" t="str">
        <f>HYPERLINK(AA2 &amp; "/bottle/sn_cc48fe97a95e8716ccaa5ad584801c3e/rendering/02.obj", "4.37777137756")</f>
        <v>4.37777137756</v>
      </c>
      <c r="F173" s="95" t="str">
        <f>HYPERLINK(AA2 &amp; "/bottle/sn_cc48fe97a95e8716ccaa5ad584801c3e/rendering/03.obj", "4.45397043228")</f>
        <v>4.45397043228</v>
      </c>
      <c r="G173" s="24" t="str">
        <f>HYPERLINK(AA2 &amp; "/bottle/sn_cc48fe97a95e8716ccaa5ad584801c3e/rendering/04.obj", "5.15994548798")</f>
        <v>5.15994548798</v>
      </c>
      <c r="H173" s="64" t="str">
        <f>HYPERLINK(AA2 &amp; "/bottle/sn_cc48fe97a95e8716ccaa5ad584801c3e/rendering/05.obj", "5.17054033279")</f>
        <v>5.17054033279</v>
      </c>
      <c r="I173" s="198" t="str">
        <f>HYPERLINK(AA2 &amp; "/bottle/sn_cc48fe97a95e8716ccaa5ad584801c3e/rendering/06.obj", "3.80206418037")</f>
        <v>3.80206418037</v>
      </c>
      <c r="J173" s="103" t="str">
        <f>HYPERLINK(AA2 &amp; "/bottle/sn_cc48fe97a95e8716ccaa5ad584801c3e/rendering/07.obj", "8.20382595062")</f>
        <v>8.20382595062</v>
      </c>
      <c r="K173" s="123" t="str">
        <f>HYPERLINK(AA2 &amp; "/bottle/sn_cc48fe97a95e8716ccaa5ad584801c3e/rendering/08.obj", "3.90426635742")</f>
        <v>3.90426635742</v>
      </c>
      <c r="L173" s="103" t="str">
        <f>HYPERLINK(AA2 &amp; "/bottle/sn_cc48fe97a95e8716ccaa5ad584801c3e/rendering/09.obj", "4.18126010895")</f>
        <v>4.18126010895</v>
      </c>
      <c r="M173" s="80" t="str">
        <f>HYPERLINK(AA2 &amp; "/bottle/sn_cc48fe97a95e8716ccaa5ad584801c3e/rendering/10.obj", "7.11180114746")</f>
        <v>7.11180114746</v>
      </c>
      <c r="N173" s="56" t="str">
        <f>HYPERLINK(AA2 &amp; "/bottle/sn_cc48fe97a95e8716ccaa5ad584801c3e/rendering/11.obj", "4.27116203308")</f>
        <v>4.27116203308</v>
      </c>
      <c r="O173" s="82" t="str">
        <f>HYPERLINK(AA2 &amp; "/bottle/sn_cc48fe97a95e8716ccaa5ad584801c3e/rendering/12.obj", "4.91640472412")</f>
        <v>4.91640472412</v>
      </c>
      <c r="P173" s="185" t="str">
        <f>HYPERLINK(AA2 &amp; "/bottle/sn_cc48fe97a95e8716ccaa5ad584801c3e/rendering/13.obj", "4.09300899506")</f>
        <v>4.09300899506</v>
      </c>
      <c r="Q173" s="123" t="str">
        <f>HYPERLINK(AA2 &amp; "/bottle/sn_cc48fe97a95e8716ccaa5ad584801c3e/rendering/14.obj", "3.90975260735")</f>
        <v>3.90975260735</v>
      </c>
      <c r="R173" s="20" t="str">
        <f>HYPERLINK(AA2 &amp; "/bottle/sn_cc48fe97a95e8716ccaa5ad584801c3e/rendering/15.obj", "25.7271251678")</f>
        <v>25.7271251678</v>
      </c>
      <c r="S173" s="20" t="str">
        <f>HYPERLINK(AA2 &amp; "/bottle/sn_cc48fe97a95e8716ccaa5ad584801c3e/rendering/16.obj", "11.1647205353")</f>
        <v>11.1647205353</v>
      </c>
      <c r="T173" s="7" t="str">
        <f>HYPERLINK(AA2 &amp; "/bottle/sn_cc48fe97a95e8716ccaa5ad584801c3e/rendering/17.obj", "7.90477085114")</f>
        <v>7.90477085114</v>
      </c>
      <c r="U173" s="129" t="str">
        <f>HYPERLINK(AA2 &amp; "/bottle/sn_cc48fe97a95e8716ccaa5ad584801c3e/rendering/18.obj", "4.64588880539")</f>
        <v>4.64588880539</v>
      </c>
      <c r="V173" s="114" t="str">
        <f>HYPERLINK(AA2 &amp; "/bottle/sn_cc48fe97a95e8716ccaa5ad584801c3e/rendering/19.obj", "3.3389685154")</f>
        <v>3.3389685154</v>
      </c>
      <c r="W173" s="12" t="s">
        <v>30</v>
      </c>
      <c r="X173" s="13">
        <v>6.1923909664154051</v>
      </c>
      <c r="Y173" s="13">
        <v>4.874283042711121</v>
      </c>
      <c r="Z173" s="199">
        <v>0.78714071336046498</v>
      </c>
    </row>
    <row r="174" spans="1:26" x14ac:dyDescent="0.2">
      <c r="A174" s="1">
        <v>172</v>
      </c>
      <c r="B174" s="2" t="s">
        <v>67</v>
      </c>
      <c r="C174" s="117" t="str">
        <f>HYPERLINK(AB2 &amp; "/bottle/sn_cc48fe97a95e8716ccaa5ad584801c3e/rendering/00.obj", "3.64717529297")</f>
        <v>3.64717529297</v>
      </c>
      <c r="D174" s="30" t="str">
        <f>HYPERLINK(AB2 &amp; "/bottle/sn_cc48fe97a95e8716ccaa5ad584801c3e/rendering/01.obj", "3.08478088379")</f>
        <v>3.08478088379</v>
      </c>
      <c r="E174" s="70" t="str">
        <f>HYPERLINK(AB2 &amp; "/bottle/sn_cc48fe97a95e8716ccaa5ad584801c3e/rendering/02.obj", "3.49023132324")</f>
        <v>3.49023132324</v>
      </c>
      <c r="F174" s="69" t="str">
        <f>HYPERLINK(AB2 &amp; "/bottle/sn_cc48fe97a95e8716ccaa5ad584801c3e/rendering/03.obj", "3.1884197998")</f>
        <v>3.1884197998</v>
      </c>
      <c r="G174" s="46" t="str">
        <f>HYPERLINK(AB2 &amp; "/bottle/sn_cc48fe97a95e8716ccaa5ad584801c3e/rendering/04.obj", "3.0484173584")</f>
        <v>3.0484173584</v>
      </c>
      <c r="H174" s="121" t="str">
        <f>HYPERLINK(AB2 &amp; "/bottle/sn_cc48fe97a95e8716ccaa5ad584801c3e/rendering/05.obj", "4.19326782227")</f>
        <v>4.19326782227</v>
      </c>
      <c r="I174" s="90" t="str">
        <f>HYPERLINK(AB2 &amp; "/bottle/sn_cc48fe97a95e8716ccaa5ad584801c3e/rendering/06.obj", "2.80508300781")</f>
        <v>2.80508300781</v>
      </c>
      <c r="J174" s="135" t="str">
        <f>HYPERLINK(AB2 &amp; "/bottle/sn_cc48fe97a95e8716ccaa5ad584801c3e/rendering/07.obj", "2.30312438965")</f>
        <v>2.30312438965</v>
      </c>
      <c r="K174" s="74" t="str">
        <f>HYPERLINK(AB2 &amp; "/bottle/sn_cc48fe97a95e8716ccaa5ad584801c3e/rendering/08.obj", "3.05061767578")</f>
        <v>3.05061767578</v>
      </c>
      <c r="L174" s="40" t="str">
        <f>HYPERLINK(AB2 &amp; "/bottle/sn_cc48fe97a95e8716ccaa5ad584801c3e/rendering/09.obj", "2.57125")</f>
        <v>2.57125</v>
      </c>
      <c r="M174" s="91" t="str">
        <f>HYPERLINK(AB2 &amp; "/bottle/sn_cc48fe97a95e8716ccaa5ad584801c3e/rendering/10.obj", "3.01486236572")</f>
        <v>3.01486236572</v>
      </c>
      <c r="N174" s="69" t="str">
        <f>HYPERLINK(AB2 &amp; "/bottle/sn_cc48fe97a95e8716ccaa5ad584801c3e/rendering/11.obj", "3.0042388916")</f>
        <v>3.0042388916</v>
      </c>
      <c r="O174" s="47" t="str">
        <f>HYPERLINK(AB2 &amp; "/bottle/sn_cc48fe97a95e8716ccaa5ad584801c3e/rendering/12.obj", "3.07270477295")</f>
        <v>3.07270477295</v>
      </c>
      <c r="P174" s="8" t="str">
        <f>HYPERLINK(AB2 &amp; "/bottle/sn_cc48fe97a95e8716ccaa5ad584801c3e/rendering/13.obj", "2.65228027344")</f>
        <v>2.65228027344</v>
      </c>
      <c r="Q174" s="91" t="str">
        <f>HYPERLINK(AB2 &amp; "/bottle/sn_cc48fe97a95e8716ccaa5ad584801c3e/rendering/14.obj", "3.18210571289")</f>
        <v>3.18210571289</v>
      </c>
      <c r="R174" s="80" t="str">
        <f>HYPERLINK(AB2 &amp; "/bottle/sn_cc48fe97a95e8716ccaa5ad584801c3e/rendering/15.obj", "3.55965637207")</f>
        <v>3.55965637207</v>
      </c>
      <c r="S174" s="67" t="str">
        <f>HYPERLINK(AB2 &amp; "/bottle/sn_cc48fe97a95e8716ccaa5ad584801c3e/rendering/16.obj", "3.38460876465")</f>
        <v>3.38460876465</v>
      </c>
      <c r="T174" s="30" t="str">
        <f>HYPERLINK(AB2 &amp; "/bottle/sn_cc48fe97a95e8716ccaa5ad584801c3e/rendering/17.obj", "3.11084228516")</f>
        <v>3.11084228516</v>
      </c>
      <c r="U174" s="120" t="str">
        <f>HYPERLINK(AB2 &amp; "/bottle/sn_cc48fe97a95e8716ccaa5ad584801c3e/rendering/18.obj", "2.44287597656")</f>
        <v>2.44287597656</v>
      </c>
      <c r="V174" s="17" t="str">
        <f>HYPERLINK(AB2 &amp; "/bottle/sn_cc48fe97a95e8716ccaa5ad584801c3e/rendering/19.obj", "3.1627432251")</f>
        <v>3.1627432251</v>
      </c>
      <c r="W174" s="12" t="s">
        <v>31</v>
      </c>
      <c r="X174" s="13">
        <v>3.0984643096923832</v>
      </c>
      <c r="Y174" s="13">
        <v>0.42509359947704728</v>
      </c>
      <c r="Z174" s="42">
        <v>0.1371949317432192</v>
      </c>
    </row>
    <row r="175" spans="1:26" x14ac:dyDescent="0.2">
      <c r="A175" s="1">
        <v>173</v>
      </c>
      <c r="B175" s="2" t="s">
        <v>67</v>
      </c>
      <c r="C175" s="46" t="str">
        <f>HYPERLINK(AB2 &amp; "/bottle/sn_cc48fe97a95e8716ccaa5ad584801c3e/rendering/00.obj", "3.86979413033")</f>
        <v>3.86979413033</v>
      </c>
      <c r="D175" s="73" t="str">
        <f>HYPERLINK(AB2 &amp; "/bottle/sn_cc48fe97a95e8716ccaa5ad584801c3e/rendering/01.obj", "3.65679574013")</f>
        <v>3.65679574013</v>
      </c>
      <c r="E175" s="26" t="str">
        <f>HYPERLINK(AB2 &amp; "/bottle/sn_cc48fe97a95e8716ccaa5ad584801c3e/rendering/02.obj", "4.0452747345")</f>
        <v>4.0452747345</v>
      </c>
      <c r="F175" s="46" t="str">
        <f>HYPERLINK(AB2 &amp; "/bottle/sn_cc48fe97a95e8716ccaa5ad584801c3e/rendering/03.obj", "3.86116123199")</f>
        <v>3.86116123199</v>
      </c>
      <c r="G175" s="83" t="str">
        <f>HYPERLINK(AB2 &amp; "/bottle/sn_cc48fe97a95e8716ccaa5ad584801c3e/rendering/04.obj", "3.22022390366")</f>
        <v>3.22022390366</v>
      </c>
      <c r="H175" s="200" t="str">
        <f>HYPERLINK(AB2 &amp; "/bottle/sn_cc48fe97a95e8716ccaa5ad584801c3e/rendering/05.obj", "5.62117052078")</f>
        <v>5.62117052078</v>
      </c>
      <c r="I175" s="33" t="str">
        <f>HYPERLINK(AB2 &amp; "/bottle/sn_cc48fe97a95e8716ccaa5ad584801c3e/rendering/06.obj", "3.38604569435")</f>
        <v>3.38604569435</v>
      </c>
      <c r="J175" s="50" t="str">
        <f>HYPERLINK(AB2 &amp; "/bottle/sn_cc48fe97a95e8716ccaa5ad584801c3e/rendering/07.obj", "3.04007482529")</f>
        <v>3.04007482529</v>
      </c>
      <c r="K175" s="92" t="str">
        <f>HYPERLINK(AB2 &amp; "/bottle/sn_cc48fe97a95e8716ccaa5ad584801c3e/rendering/08.obj", "3.33205485344")</f>
        <v>3.33205485344</v>
      </c>
      <c r="L175" s="66" t="str">
        <f>HYPERLINK(AB2 &amp; "/bottle/sn_cc48fe97a95e8716ccaa5ad584801c3e/rendering/09.obj", "3.18549323082")</f>
        <v>3.18549323082</v>
      </c>
      <c r="M175" s="92" t="str">
        <f>HYPERLINK(AB2 &amp; "/bottle/sn_cc48fe97a95e8716ccaa5ad584801c3e/rendering/10.obj", "3.32575345039")</f>
        <v>3.32575345039</v>
      </c>
      <c r="N175" s="6" t="str">
        <f>HYPERLINK(AB2 &amp; "/bottle/sn_cc48fe97a95e8716ccaa5ad584801c3e/rendering/11.obj", "3.62395119667")</f>
        <v>3.62395119667</v>
      </c>
      <c r="O175" s="23" t="str">
        <f>HYPERLINK(AB2 &amp; "/bottle/sn_cc48fe97a95e8716ccaa5ad584801c3e/rendering/12.obj", "3.65002441406")</f>
        <v>3.65002441406</v>
      </c>
      <c r="P175" s="65" t="str">
        <f>HYPERLINK(AB2 &amp; "/bottle/sn_cc48fe97a95e8716ccaa5ad584801c3e/rendering/13.obj", "3.29043030739")</f>
        <v>3.29043030739</v>
      </c>
      <c r="Q175" s="107" t="str">
        <f>HYPERLINK(AB2 &amp; "/bottle/sn_cc48fe97a95e8716ccaa5ad584801c3e/rendering/14.obj", "4.11090421677")</f>
        <v>4.11090421677</v>
      </c>
      <c r="R175" s="53" t="str">
        <f>HYPERLINK(AB2 &amp; "/bottle/sn_cc48fe97a95e8716ccaa5ad584801c3e/rendering/15.obj", "5.36544704437")</f>
        <v>5.36544704437</v>
      </c>
      <c r="S175" s="176" t="str">
        <f>HYPERLINK(AB2 &amp; "/bottle/sn_cc48fe97a95e8716ccaa5ad584801c3e/rendering/16.obj", "5.00691986084")</f>
        <v>5.00691986084</v>
      </c>
      <c r="T175" s="35" t="str">
        <f>HYPERLINK(AB2 &amp; "/bottle/sn_cc48fe97a95e8716ccaa5ad584801c3e/rendering/17.obj", "4.01597595215")</f>
        <v>4.01597595215</v>
      </c>
      <c r="U175" s="76" t="str">
        <f>HYPERLINK(AB2 &amp; "/bottle/sn_cc48fe97a95e8716ccaa5ad584801c3e/rendering/18.obj", "3.09767389297")</f>
        <v>3.09767389297</v>
      </c>
      <c r="V175" s="93" t="str">
        <f>HYPERLINK(AB2 &amp; "/bottle/sn_cc48fe97a95e8716ccaa5ad584801c3e/rendering/19.obj", "3.27390742302")</f>
        <v>3.27390742302</v>
      </c>
      <c r="W175" s="12" t="s">
        <v>32</v>
      </c>
      <c r="X175" s="13">
        <v>3.7989538311958309</v>
      </c>
      <c r="Y175" s="13">
        <v>0.72270929704781572</v>
      </c>
      <c r="Z175" s="109">
        <v>0.1902390313652014</v>
      </c>
    </row>
    <row r="176" spans="1:26" x14ac:dyDescent="0.2">
      <c r="A176" s="1">
        <v>174</v>
      </c>
      <c r="B176" s="2" t="s">
        <v>67</v>
      </c>
      <c r="C176" s="13" t="str">
        <f>HYPERLINK(AC2 &amp; "/bottle/sn_cc48fe97a95e8716ccaa5ad584801c3e/rendering/00.xyz", "0.0")</f>
        <v>0.0</v>
      </c>
      <c r="D176" s="13" t="str">
        <f>HYPERLINK(AC2 &amp; "/bottle/sn_cc48fe97a95e8716ccaa5ad584801c3e/rendering/01.xyz", "0.0")</f>
        <v>0.0</v>
      </c>
      <c r="E176" s="13" t="str">
        <f>HYPERLINK(AC2 &amp; "/bottle/sn_cc48fe97a95e8716ccaa5ad584801c3e/rendering/02.xyz", "0.0")</f>
        <v>0.0</v>
      </c>
      <c r="F176" s="13" t="str">
        <f>HYPERLINK(AC2 &amp; "/bottle/sn_cc48fe97a95e8716ccaa5ad584801c3e/rendering/03.xyz", "0.0")</f>
        <v>0.0</v>
      </c>
      <c r="G176" s="13" t="str">
        <f>HYPERLINK(AC2 &amp; "/bottle/sn_cc48fe97a95e8716ccaa5ad584801c3e/rendering/04.xyz", "0.0")</f>
        <v>0.0</v>
      </c>
      <c r="H176" s="13" t="str">
        <f>HYPERLINK(AC2 &amp; "/bottle/sn_cc48fe97a95e8716ccaa5ad584801c3e/rendering/05.xyz", "0.0")</f>
        <v>0.0</v>
      </c>
      <c r="I176" s="13" t="str">
        <f>HYPERLINK(AC2 &amp; "/bottle/sn_cc48fe97a95e8716ccaa5ad584801c3e/rendering/06.xyz", "0.0")</f>
        <v>0.0</v>
      </c>
      <c r="J176" s="13" t="str">
        <f>HYPERLINK(AC2 &amp; "/bottle/sn_cc48fe97a95e8716ccaa5ad584801c3e/rendering/07.xyz", "0.0")</f>
        <v>0.0</v>
      </c>
      <c r="K176" s="13" t="str">
        <f>HYPERLINK(AC2 &amp; "/bottle/sn_cc48fe97a95e8716ccaa5ad584801c3e/rendering/08.xyz", "0.0")</f>
        <v>0.0</v>
      </c>
      <c r="L176" s="13" t="str">
        <f>HYPERLINK(AC2 &amp; "/bottle/sn_cc48fe97a95e8716ccaa5ad584801c3e/rendering/09.xyz", "0.0")</f>
        <v>0.0</v>
      </c>
      <c r="M176" s="13" t="str">
        <f>HYPERLINK(AC2 &amp; "/bottle/sn_cc48fe97a95e8716ccaa5ad584801c3e/rendering/10.xyz", "0.0")</f>
        <v>0.0</v>
      </c>
      <c r="N176" s="13" t="str">
        <f>HYPERLINK(AC2 &amp; "/bottle/sn_cc48fe97a95e8716ccaa5ad584801c3e/rendering/11.xyz", "0.0")</f>
        <v>0.0</v>
      </c>
      <c r="O176" s="13" t="str">
        <f>HYPERLINK(AC2 &amp; "/bottle/sn_cc48fe97a95e8716ccaa5ad584801c3e/rendering/12.xyz", "0.0")</f>
        <v>0.0</v>
      </c>
      <c r="P176" s="13" t="str">
        <f>HYPERLINK(AC2 &amp; "/bottle/sn_cc48fe97a95e8716ccaa5ad584801c3e/rendering/13.xyz", "0.0")</f>
        <v>0.0</v>
      </c>
      <c r="Q176" s="13" t="str">
        <f>HYPERLINK(AC2 &amp; "/bottle/sn_cc48fe97a95e8716ccaa5ad584801c3e/rendering/14.xyz", "0.0")</f>
        <v>0.0</v>
      </c>
      <c r="R176" s="13" t="str">
        <f>HYPERLINK(AC2 &amp; "/bottle/sn_cc48fe97a95e8716ccaa5ad584801c3e/rendering/15.xyz", "0.0")</f>
        <v>0.0</v>
      </c>
      <c r="S176" s="13" t="str">
        <f>HYPERLINK(AC2 &amp; "/bottle/sn_cc48fe97a95e8716ccaa5ad584801c3e/rendering/16.xyz", "0.0")</f>
        <v>0.0</v>
      </c>
      <c r="T176" s="13" t="str">
        <f>HYPERLINK(AC2 &amp; "/bottle/sn_cc48fe97a95e8716ccaa5ad584801c3e/rendering/17.xyz", "0.0")</f>
        <v>0.0</v>
      </c>
      <c r="U176" s="13" t="str">
        <f>HYPERLINK(AC2 &amp; "/bottle/sn_cc48fe97a95e8716ccaa5ad584801c3e/rendering/18.xyz", "0.0")</f>
        <v>0.0</v>
      </c>
      <c r="V176" s="13" t="str">
        <f>HYPERLINK(AC2 &amp; "/bottle/sn_cc48fe97a95e8716ccaa5ad584801c3e/rendering/19.xyz", "0.0")</f>
        <v>0.0</v>
      </c>
      <c r="W176" s="12" t="s">
        <v>33</v>
      </c>
      <c r="X176" s="13">
        <v>0</v>
      </c>
      <c r="Y176" s="13">
        <v>0</v>
      </c>
      <c r="Z176" s="13">
        <v>0</v>
      </c>
    </row>
    <row r="177" spans="1:26" x14ac:dyDescent="0.2">
      <c r="A177" s="1">
        <v>175</v>
      </c>
      <c r="B177" s="2" t="s">
        <v>68</v>
      </c>
      <c r="C177" s="29" t="str">
        <f>HYPERLINK(AA2 &amp; "/bottle/sn_cec14f91bf10f86e8291825d073a05e1/rendering/00.obj", "2.55743682861")</f>
        <v>2.55743682861</v>
      </c>
      <c r="D177" s="142" t="str">
        <f>HYPERLINK(AA2 &amp; "/bottle/sn_cec14f91bf10f86e8291825d073a05e1/rendering/01.obj", "1.78768951416")</f>
        <v>1.78768951416</v>
      </c>
      <c r="E177" s="176" t="str">
        <f>HYPERLINK(AA2 &amp; "/bottle/sn_cec14f91bf10f86e8291825d073a05e1/rendering/02.obj", "2.00282852173")</f>
        <v>2.00282852173</v>
      </c>
      <c r="F177" s="42" t="str">
        <f>HYPERLINK(AA2 &amp; "/bottle/sn_cec14f91bf10f86e8291825d073a05e1/rendering/03.obj", "3.34035766602")</f>
        <v>3.34035766602</v>
      </c>
      <c r="G177" s="151" t="str">
        <f>HYPERLINK(AA2 &amp; "/bottle/sn_cec14f91bf10f86e8291825d073a05e1/rendering/04.obj", "1.8890838623")</f>
        <v>1.8890838623</v>
      </c>
      <c r="H177" s="79" t="str">
        <f>HYPERLINK(AA2 &amp; "/bottle/sn_cec14f91bf10f86e8291825d073a05e1/rendering/05.obj", "2.47949035645")</f>
        <v>2.47949035645</v>
      </c>
      <c r="I177" s="86" t="str">
        <f>HYPERLINK(AA2 &amp; "/bottle/sn_cec14f91bf10f86e8291825d073a05e1/rendering/06.obj", "2.1484197998")</f>
        <v>2.1484197998</v>
      </c>
      <c r="J177" s="8" t="str">
        <f>HYPERLINK(AA2 &amp; "/bottle/sn_cec14f91bf10f86e8291825d073a05e1/rendering/07.obj", "2.52451263428")</f>
        <v>2.52451263428</v>
      </c>
      <c r="K177" s="118" t="str">
        <f>HYPERLINK(AA2 &amp; "/bottle/sn_cec14f91bf10f86e8291825d073a05e1/rendering/08.obj", "2.0767956543")</f>
        <v>2.0767956543</v>
      </c>
      <c r="L177" s="117" t="str">
        <f>HYPERLINK(AA2 &amp; "/bottle/sn_cec14f91bf10f86e8291825d073a05e1/rendering/09.obj", "2.4168548584")</f>
        <v>2.4168548584</v>
      </c>
      <c r="M177" s="8" t="str">
        <f>HYPERLINK(AA2 &amp; "/bottle/sn_cec14f91bf10f86e8291825d073a05e1/rendering/10.obj", "2.51841384888")</f>
        <v>2.51841384888</v>
      </c>
      <c r="N177" s="136" t="str">
        <f>HYPERLINK(AA2 &amp; "/bottle/sn_cec14f91bf10f86e8291825d073a05e1/rendering/11.obj", "2.24100769043")</f>
        <v>2.24100769043</v>
      </c>
      <c r="O177" s="20" t="str">
        <f>HYPERLINK(AA2 &amp; "/bottle/sn_cec14f91bf10f86e8291825d073a05e1/rendering/12.obj", "5.97870117188")</f>
        <v>5.97870117188</v>
      </c>
      <c r="P177" s="135" t="str">
        <f>HYPERLINK(AA2 &amp; "/bottle/sn_cec14f91bf10f86e8291825d073a05e1/rendering/13.obj", "3.69474060059")</f>
        <v>3.69474060059</v>
      </c>
      <c r="Q177" s="26" t="str">
        <f>HYPERLINK(AA2 &amp; "/bottle/sn_cec14f91bf10f86e8291825d073a05e1/rendering/14.obj", "3.13111297607")</f>
        <v>3.13111297607</v>
      </c>
      <c r="R177" s="87" t="str">
        <f>HYPERLINK(AA2 &amp; "/bottle/sn_cec14f91bf10f86e8291825d073a05e1/rendering/15.obj", "2.27736114502")</f>
        <v>2.27736114502</v>
      </c>
      <c r="S177" s="93" t="str">
        <f>HYPERLINK(AA2 &amp; "/bottle/sn_cec14f91bf10f86e8291825d073a05e1/rendering/16.obj", "2.53016784668")</f>
        <v>2.53016784668</v>
      </c>
      <c r="T177" s="20" t="str">
        <f>HYPERLINK(AA2 &amp; "/bottle/sn_cec14f91bf10f86e8291825d073a05e1/rendering/17.obj", "9.26377441406")</f>
        <v>9.26377441406</v>
      </c>
      <c r="U177" s="113" t="str">
        <f>HYPERLINK(AA2 &amp; "/bottle/sn_cec14f91bf10f86e8291825d073a05e1/rendering/18.obj", "2.13479736328")</f>
        <v>2.13479736328</v>
      </c>
      <c r="V177" s="192" t="str">
        <f>HYPERLINK(AA2 &amp; "/bottle/sn_cec14f91bf10f86e8291825d073a05e1/rendering/19.obj", "1.8482774353")</f>
        <v>1.8482774353</v>
      </c>
      <c r="W177" s="12" t="s">
        <v>29</v>
      </c>
      <c r="X177" s="13">
        <v>2.9420912094116209</v>
      </c>
      <c r="Y177" s="13">
        <v>1.711589335052536</v>
      </c>
      <c r="Z177" s="201">
        <v>0.58175944021627757</v>
      </c>
    </row>
    <row r="178" spans="1:26" x14ac:dyDescent="0.2">
      <c r="A178" s="1">
        <v>176</v>
      </c>
      <c r="B178" s="2" t="s">
        <v>68</v>
      </c>
      <c r="C178" s="68" t="str">
        <f>HYPERLINK(AA2 &amp; "/bottle/sn_cec14f91bf10f86e8291825d073a05e1/rendering/00.obj", "2.32660508156")</f>
        <v>2.32660508156</v>
      </c>
      <c r="D178" s="182" t="str">
        <f>HYPERLINK(AA2 &amp; "/bottle/sn_cec14f91bf10f86e8291825d073a05e1/rendering/01.obj", "1.62013328075")</f>
        <v>1.62013328075</v>
      </c>
      <c r="E178" s="50" t="str">
        <f>HYPERLINK(AA2 &amp; "/bottle/sn_cec14f91bf10f86e8291825d073a05e1/rendering/02.obj", "1.94474625587")</f>
        <v>1.94474625587</v>
      </c>
      <c r="F178" s="47" t="str">
        <f>HYPERLINK(AA2 &amp; "/bottle/sn_cec14f91bf10f86e8291825d073a05e1/rendering/03.obj", "2.41678094864")</f>
        <v>2.41678094864</v>
      </c>
      <c r="G178" s="142" t="str">
        <f>HYPERLINK(AA2 &amp; "/bottle/sn_cec14f91bf10f86e8291825d073a05e1/rendering/04.obj", "1.47677922249")</f>
        <v>1.47677922249</v>
      </c>
      <c r="H178" s="113" t="str">
        <f>HYPERLINK(AA2 &amp; "/bottle/sn_cec14f91bf10f86e8291825d073a05e1/rendering/05.obj", "1.76149904728")</f>
        <v>1.76149904728</v>
      </c>
      <c r="I178" s="168" t="str">
        <f>HYPERLINK(AA2 &amp; "/bottle/sn_cec14f91bf10f86e8291825d073a05e1/rendering/06.obj", "1.64902961254")</f>
        <v>1.64902961254</v>
      </c>
      <c r="J178" s="31" t="str">
        <f>HYPERLINK(AA2 &amp; "/bottle/sn_cec14f91bf10f86e8291825d073a05e1/rendering/07.obj", "2.05437397957")</f>
        <v>2.05437397957</v>
      </c>
      <c r="K178" s="121" t="str">
        <f>HYPERLINK(AA2 &amp; "/bottle/sn_cec14f91bf10f86e8291825d073a05e1/rendering/08.obj", "1.57362735271")</f>
        <v>1.57362735271</v>
      </c>
      <c r="L178" s="36" t="str">
        <f>HYPERLINK(AA2 &amp; "/bottle/sn_cec14f91bf10f86e8291825d073a05e1/rendering/09.obj", "1.91028439999")</f>
        <v>1.91028439999</v>
      </c>
      <c r="M178" s="39" t="str">
        <f>HYPERLINK(AA2 &amp; "/bottle/sn_cec14f91bf10f86e8291825d073a05e1/rendering/10.obj", "2.22082686424")</f>
        <v>2.22082686424</v>
      </c>
      <c r="N178" s="118" t="str">
        <f>HYPERLINK(AA2 &amp; "/bottle/sn_cec14f91bf10f86e8291825d073a05e1/rendering/11.obj", "1.71774208546")</f>
        <v>1.71774208546</v>
      </c>
      <c r="O178" s="20" t="str">
        <f>HYPERLINK(AA2 &amp; "/bottle/sn_cec14f91bf10f86e8291825d073a05e1/rendering/12.obj", "5.2484126091")</f>
        <v>5.2484126091</v>
      </c>
      <c r="P178" s="159" t="str">
        <f>HYPERLINK(AA2 &amp; "/bottle/sn_cec14f91bf10f86e8291825d073a05e1/rendering/13.obj", "3.5754199028")</f>
        <v>3.5754199028</v>
      </c>
      <c r="Q178" s="91" t="str">
        <f>HYPERLINK(AA2 &amp; "/bottle/sn_cec14f91bf10f86e8291825d073a05e1/rendering/14.obj", "2.49749994278")</f>
        <v>2.49749994278</v>
      </c>
      <c r="R178" s="121" t="str">
        <f>HYPERLINK(AA2 &amp; "/bottle/sn_cec14f91bf10f86e8291825d073a05e1/rendering/15.obj", "1.5725632906")</f>
        <v>1.5725632906</v>
      </c>
      <c r="S178" s="8" t="str">
        <f>HYPERLINK(AA2 &amp; "/bottle/sn_cec14f91bf10f86e8291825d073a05e1/rendering/16.obj", "2.08176994324")</f>
        <v>2.08176994324</v>
      </c>
      <c r="T178" s="20" t="str">
        <f>HYPERLINK(AA2 &amp; "/bottle/sn_cec14f91bf10f86e8291825d073a05e1/rendering/17.obj", "7.9327287674")</f>
        <v>7.9327287674</v>
      </c>
      <c r="U178" s="140" t="str">
        <f>HYPERLINK(AA2 &amp; "/bottle/sn_cec14f91bf10f86e8291825d073a05e1/rendering/18.obj", "1.58657217026")</f>
        <v>1.58657217026</v>
      </c>
      <c r="V178" s="142" t="str">
        <f>HYPERLINK(AA2 &amp; "/bottle/sn_cec14f91bf10f86e8291825d073a05e1/rendering/19.obj", "1.4760299921")</f>
        <v>1.4760299921</v>
      </c>
      <c r="W178" s="12" t="s">
        <v>30</v>
      </c>
      <c r="X178" s="13">
        <v>2.4321712374687201</v>
      </c>
      <c r="Y178" s="13">
        <v>1.526124341741077</v>
      </c>
      <c r="Z178" s="202">
        <v>0.6274740520858183</v>
      </c>
    </row>
    <row r="179" spans="1:26" x14ac:dyDescent="0.2">
      <c r="A179" s="1">
        <v>177</v>
      </c>
      <c r="B179" s="2" t="s">
        <v>68</v>
      </c>
      <c r="C179" s="26" t="str">
        <f>HYPERLINK(AB2 &amp; "/bottle/sn_cec14f91bf10f86e8291825d073a05e1/rendering/00.obj", "2.18148254395")</f>
        <v>2.18148254395</v>
      </c>
      <c r="D179" s="74" t="str">
        <f>HYPERLINK(AB2 &amp; "/bottle/sn_cec14f91bf10f86e8291825d073a05e1/rendering/01.obj", "2.01600631714")</f>
        <v>2.01600631714</v>
      </c>
      <c r="E179" s="13" t="str">
        <f>HYPERLINK(AB2 &amp; "/bottle/sn_cec14f91bf10f86e8291825d073a05e1/rendering/02.obj", "2.04531463623")</f>
        <v>2.04531463623</v>
      </c>
      <c r="F179" s="35" t="str">
        <f>HYPERLINK(AB2 &amp; "/bottle/sn_cec14f91bf10f86e8291825d073a05e1/rendering/03.obj", "1.93076629639")</f>
        <v>1.93076629639</v>
      </c>
      <c r="G179" s="69" t="str">
        <f>HYPERLINK(AB2 &amp; "/bottle/sn_cec14f91bf10f86e8291825d073a05e1/rendering/04.obj", "1.98921508789")</f>
        <v>1.98921508789</v>
      </c>
      <c r="H179" s="10" t="str">
        <f>HYPERLINK(AB2 &amp; "/bottle/sn_cec14f91bf10f86e8291825d073a05e1/rendering/05.obj", "1.93781982422")</f>
        <v>1.93781982422</v>
      </c>
      <c r="I179" s="44" t="str">
        <f>HYPERLINK(AB2 &amp; "/bottle/sn_cec14f91bf10f86e8291825d073a05e1/rendering/06.obj", "2.44622833252")</f>
        <v>2.44622833252</v>
      </c>
      <c r="J179" s="78" t="str">
        <f>HYPERLINK(AB2 &amp; "/bottle/sn_cec14f91bf10f86e8291825d073a05e1/rendering/07.obj", "1.92449157715")</f>
        <v>1.92449157715</v>
      </c>
      <c r="K179" s="38" t="str">
        <f>HYPERLINK(AB2 &amp; "/bottle/sn_cec14f91bf10f86e8291825d073a05e1/rendering/08.obj", "2.23377487183")</f>
        <v>2.23377487183</v>
      </c>
      <c r="L179" s="8" t="str">
        <f>HYPERLINK(AB2 &amp; "/bottle/sn_cec14f91bf10f86e8291825d073a05e1/rendering/09.obj", "1.75353118896")</f>
        <v>1.75353118896</v>
      </c>
      <c r="M179" s="30" t="str">
        <f>HYPERLINK(AB2 &amp; "/bottle/sn_cec14f91bf10f86e8291825d073a05e1/rendering/10.obj", "2.05585800171")</f>
        <v>2.05585800171</v>
      </c>
      <c r="N179" s="10" t="str">
        <f>HYPERLINK(AB2 &amp; "/bottle/sn_cec14f91bf10f86e8291825d073a05e1/rendering/11.obj", "2.1580305481")</f>
        <v>2.1580305481</v>
      </c>
      <c r="O179" s="36" t="str">
        <f>HYPERLINK(AB2 &amp; "/bottle/sn_cec14f91bf10f86e8291825d073a05e1/rendering/12.obj", "2.48489959717")</f>
        <v>2.48489959717</v>
      </c>
      <c r="P179" s="51" t="str">
        <f>HYPERLINK(AB2 &amp; "/bottle/sn_cec14f91bf10f86e8291825d073a05e1/rendering/13.obj", "1.88318252563")</f>
        <v>1.88318252563</v>
      </c>
      <c r="Q179" s="73" t="str">
        <f>HYPERLINK(AB2 &amp; "/bottle/sn_cec14f91bf10f86e8291825d073a05e1/rendering/14.obj", "1.9722052002")</f>
        <v>1.9722052002</v>
      </c>
      <c r="R179" s="47" t="str">
        <f>HYPERLINK(AB2 &amp; "/bottle/sn_cec14f91bf10f86e8291825d073a05e1/rendering/15.obj", "2.03290725708")</f>
        <v>2.03290725708</v>
      </c>
      <c r="S179" s="80" t="str">
        <f>HYPERLINK(AB2 &amp; "/bottle/sn_cec14f91bf10f86e8291825d073a05e1/rendering/16.obj", "1.74031555176")</f>
        <v>1.74031555176</v>
      </c>
      <c r="T179" s="93" t="str">
        <f>HYPERLINK(AB2 &amp; "/bottle/sn_cec14f91bf10f86e8291825d073a05e1/rendering/17.obj", "2.33113708496")</f>
        <v>2.33113708496</v>
      </c>
      <c r="U179" s="66" t="str">
        <f>HYPERLINK(AB2 &amp; "/bottle/sn_cec14f91bf10f86e8291825d073a05e1/rendering/18.obj", "1.7175958252")</f>
        <v>1.7175958252</v>
      </c>
      <c r="V179" s="73" t="str">
        <f>HYPERLINK(AB2 &amp; "/bottle/sn_cec14f91bf10f86e8291825d073a05e1/rendering/19.obj", "2.12252838135")</f>
        <v>2.12252838135</v>
      </c>
      <c r="W179" s="12" t="s">
        <v>31</v>
      </c>
      <c r="X179" s="13">
        <v>2.0478645324707032</v>
      </c>
      <c r="Y179" s="13">
        <v>0.2084461949508214</v>
      </c>
      <c r="Z179" s="133">
        <v>0.101787101463853</v>
      </c>
    </row>
    <row r="180" spans="1:26" x14ac:dyDescent="0.2">
      <c r="A180" s="1">
        <v>178</v>
      </c>
      <c r="B180" s="2" t="s">
        <v>68</v>
      </c>
      <c r="C180" s="65" t="str">
        <f>HYPERLINK(AB2 &amp; "/bottle/sn_cec14f91bf10f86e8291825d073a05e1/rendering/00.obj", "1.33282256126")</f>
        <v>1.33282256126</v>
      </c>
      <c r="D180" s="35" t="str">
        <f>HYPERLINK(AB2 &amp; "/bottle/sn_cec14f91bf10f86e8291825d073a05e1/rendering/01.obj", "1.62649965286")</f>
        <v>1.62649965286</v>
      </c>
      <c r="E180" s="5" t="str">
        <f>HYPERLINK(AB2 &amp; "/bottle/sn_cec14f91bf10f86e8291825d073a05e1/rendering/02.obj", "1.41830444336")</f>
        <v>1.41830444336</v>
      </c>
      <c r="F180" s="41" t="str">
        <f>HYPERLINK(AB2 &amp; "/bottle/sn_cec14f91bf10f86e8291825d073a05e1/rendering/03.obj", "1.64117312431")</f>
        <v>1.64117312431</v>
      </c>
      <c r="G180" s="27" t="str">
        <f>HYPERLINK(AB2 &amp; "/bottle/sn_cec14f91bf10f86e8291825d073a05e1/rendering/04.obj", "1.43036186695")</f>
        <v>1.43036186695</v>
      </c>
      <c r="H180" s="71" t="str">
        <f>HYPERLINK(AB2 &amp; "/bottle/sn_cec14f91bf10f86e8291825d073a05e1/rendering/05.obj", "1.35884296894")</f>
        <v>1.35884296894</v>
      </c>
      <c r="I180" s="31" t="str">
        <f>HYPERLINK(AB2 &amp; "/bottle/sn_cec14f91bf10f86e8291825d073a05e1/rendering/06.obj", "1.77497911453")</f>
        <v>1.77497911453</v>
      </c>
      <c r="J180" s="47" t="str">
        <f>HYPERLINK(AB2 &amp; "/bottle/sn_cec14f91bf10f86e8291825d073a05e1/rendering/07.obj", "1.5268843174")</f>
        <v>1.5268843174</v>
      </c>
      <c r="K180" s="93" t="str">
        <f>HYPERLINK(AB2 &amp; "/bottle/sn_cec14f91bf10f86e8291825d073a05e1/rendering/08.obj", "1.32331383228")</f>
        <v>1.32331383228</v>
      </c>
      <c r="L180" s="65" t="str">
        <f>HYPERLINK(AB2 &amp; "/bottle/sn_cec14f91bf10f86e8291825d073a05e1/rendering/09.obj", "1.33302819729")</f>
        <v>1.33302819729</v>
      </c>
      <c r="M180" s="17" t="str">
        <f>HYPERLINK(AB2 &amp; "/bottle/sn_cec14f91bf10f86e8291825d073a05e1/rendering/10.obj", "1.56802415848")</f>
        <v>1.56802415848</v>
      </c>
      <c r="N180" s="46" t="str">
        <f>HYPERLINK(AB2 &amp; "/bottle/sn_cec14f91bf10f86e8291825d073a05e1/rendering/11.obj", "1.5130674839")</f>
        <v>1.5130674839</v>
      </c>
      <c r="O180" s="89" t="str">
        <f>HYPERLINK(AB2 &amp; "/bottle/sn_cec14f91bf10f86e8291825d073a05e1/rendering/12.obj", "1.93376970291")</f>
        <v>1.93376970291</v>
      </c>
      <c r="P180" s="13" t="str">
        <f>HYPERLINK(AB2 &amp; "/bottle/sn_cec14f91bf10f86e8291825d073a05e1/rendering/13.obj", "1.53954994678")</f>
        <v>1.53954994678</v>
      </c>
      <c r="Q180" s="80" t="str">
        <f>HYPERLINK(AB2 &amp; "/bottle/sn_cec14f91bf10f86e8291825d073a05e1/rendering/14.obj", "1.7675318718")</f>
        <v>1.7675318718</v>
      </c>
      <c r="R180" s="73" t="str">
        <f>HYPERLINK(AB2 &amp; "/bottle/sn_cec14f91bf10f86e8291825d073a05e1/rendering/15.obj", "1.59441232681")</f>
        <v>1.59441232681</v>
      </c>
      <c r="S180" s="35" t="str">
        <f>HYPERLINK(AB2 &amp; "/bottle/sn_cec14f91bf10f86e8291825d073a05e1/rendering/16.obj", "1.44604611397")</f>
        <v>1.44604611397</v>
      </c>
      <c r="T180" s="24" t="str">
        <f>HYPERLINK(AB2 &amp; "/bottle/sn_cec14f91bf10f86e8291825d073a05e1/rendering/17.obj", "1.79493677616")</f>
        <v>1.79493677616</v>
      </c>
      <c r="U180" s="133" t="str">
        <f>HYPERLINK(AB2 &amp; "/bottle/sn_cec14f91bf10f86e8291825d073a05e1/rendering/18.obj", "1.37831687927")</f>
        <v>1.37831687927</v>
      </c>
      <c r="V180" s="78" t="str">
        <f>HYPERLINK(AB2 &amp; "/bottle/sn_cec14f91bf10f86e8291825d073a05e1/rendering/19.obj", "1.44442534447")</f>
        <v>1.44442534447</v>
      </c>
      <c r="W180" s="12" t="s">
        <v>32</v>
      </c>
      <c r="X180" s="13">
        <v>1.5373145341873169</v>
      </c>
      <c r="Y180" s="13">
        <v>0.1711308070218619</v>
      </c>
      <c r="Z180" s="28">
        <v>0.111318018021815</v>
      </c>
    </row>
    <row r="181" spans="1:26" x14ac:dyDescent="0.2">
      <c r="A181" s="1">
        <v>179</v>
      </c>
      <c r="B181" s="2" t="s">
        <v>68</v>
      </c>
      <c r="C181" s="13" t="str">
        <f>HYPERLINK(AC2 &amp; "/bottle/sn_cec14f91bf10f86e8291825d073a05e1/rendering/00.xyz", "0.0")</f>
        <v>0.0</v>
      </c>
      <c r="D181" s="13" t="str">
        <f>HYPERLINK(AC2 &amp; "/bottle/sn_cec14f91bf10f86e8291825d073a05e1/rendering/01.xyz", "0.0")</f>
        <v>0.0</v>
      </c>
      <c r="E181" s="13" t="str">
        <f>HYPERLINK(AC2 &amp; "/bottle/sn_cec14f91bf10f86e8291825d073a05e1/rendering/02.xyz", "0.0")</f>
        <v>0.0</v>
      </c>
      <c r="F181" s="13" t="str">
        <f>HYPERLINK(AC2 &amp; "/bottle/sn_cec14f91bf10f86e8291825d073a05e1/rendering/03.xyz", "0.0")</f>
        <v>0.0</v>
      </c>
      <c r="G181" s="13" t="str">
        <f>HYPERLINK(AC2 &amp; "/bottle/sn_cec14f91bf10f86e8291825d073a05e1/rendering/04.xyz", "0.0")</f>
        <v>0.0</v>
      </c>
      <c r="H181" s="13" t="str">
        <f>HYPERLINK(AC2 &amp; "/bottle/sn_cec14f91bf10f86e8291825d073a05e1/rendering/05.xyz", "0.0")</f>
        <v>0.0</v>
      </c>
      <c r="I181" s="13" t="str">
        <f>HYPERLINK(AC2 &amp; "/bottle/sn_cec14f91bf10f86e8291825d073a05e1/rendering/06.xyz", "0.0")</f>
        <v>0.0</v>
      </c>
      <c r="J181" s="13" t="str">
        <f>HYPERLINK(AC2 &amp; "/bottle/sn_cec14f91bf10f86e8291825d073a05e1/rendering/07.xyz", "0.0")</f>
        <v>0.0</v>
      </c>
      <c r="K181" s="13" t="str">
        <f>HYPERLINK(AC2 &amp; "/bottle/sn_cec14f91bf10f86e8291825d073a05e1/rendering/08.xyz", "0.0")</f>
        <v>0.0</v>
      </c>
      <c r="L181" s="13" t="str">
        <f>HYPERLINK(AC2 &amp; "/bottle/sn_cec14f91bf10f86e8291825d073a05e1/rendering/09.xyz", "0.0")</f>
        <v>0.0</v>
      </c>
      <c r="M181" s="13" t="str">
        <f>HYPERLINK(AC2 &amp; "/bottle/sn_cec14f91bf10f86e8291825d073a05e1/rendering/10.xyz", "0.0")</f>
        <v>0.0</v>
      </c>
      <c r="N181" s="13" t="str">
        <f>HYPERLINK(AC2 &amp; "/bottle/sn_cec14f91bf10f86e8291825d073a05e1/rendering/11.xyz", "0.0")</f>
        <v>0.0</v>
      </c>
      <c r="O181" s="13" t="str">
        <f>HYPERLINK(AC2 &amp; "/bottle/sn_cec14f91bf10f86e8291825d073a05e1/rendering/12.xyz", "0.0")</f>
        <v>0.0</v>
      </c>
      <c r="P181" s="13" t="str">
        <f>HYPERLINK(AC2 &amp; "/bottle/sn_cec14f91bf10f86e8291825d073a05e1/rendering/13.xyz", "0.0")</f>
        <v>0.0</v>
      </c>
      <c r="Q181" s="13" t="str">
        <f>HYPERLINK(AC2 &amp; "/bottle/sn_cec14f91bf10f86e8291825d073a05e1/rendering/14.xyz", "0.0")</f>
        <v>0.0</v>
      </c>
      <c r="R181" s="13" t="str">
        <f>HYPERLINK(AC2 &amp; "/bottle/sn_cec14f91bf10f86e8291825d073a05e1/rendering/15.xyz", "0.0")</f>
        <v>0.0</v>
      </c>
      <c r="S181" s="13" t="str">
        <f>HYPERLINK(AC2 &amp; "/bottle/sn_cec14f91bf10f86e8291825d073a05e1/rendering/16.xyz", "0.0")</f>
        <v>0.0</v>
      </c>
      <c r="T181" s="13" t="str">
        <f>HYPERLINK(AC2 &amp; "/bottle/sn_cec14f91bf10f86e8291825d073a05e1/rendering/17.xyz", "0.0")</f>
        <v>0.0</v>
      </c>
      <c r="U181" s="13" t="str">
        <f>HYPERLINK(AC2 &amp; "/bottle/sn_cec14f91bf10f86e8291825d073a05e1/rendering/18.xyz", "0.0")</f>
        <v>0.0</v>
      </c>
      <c r="V181" s="13" t="str">
        <f>HYPERLINK(AC2 &amp; "/bottle/sn_cec14f91bf10f86e8291825d073a05e1/rendering/19.xyz", "0.0")</f>
        <v>0.0</v>
      </c>
      <c r="W181" s="12" t="s">
        <v>33</v>
      </c>
      <c r="X181" s="13">
        <v>0</v>
      </c>
      <c r="Y181" s="13">
        <v>0</v>
      </c>
      <c r="Z181" s="13">
        <v>0</v>
      </c>
    </row>
    <row r="182" spans="1:26" x14ac:dyDescent="0.2">
      <c r="A182" s="1">
        <v>180</v>
      </c>
      <c r="B182" s="2" t="s">
        <v>69</v>
      </c>
      <c r="C182" s="85" t="str">
        <f>HYPERLINK(AA2 &amp; "/bottle/sn_cf0a733f9a63f4f5664b3b9b23ddfcbc/rendering/00.obj", "6.86438354492")</f>
        <v>6.86438354492</v>
      </c>
      <c r="D182" s="20" t="str">
        <f>HYPERLINK(AA2 &amp; "/bottle/sn_cf0a733f9a63f4f5664b3b9b23ddfcbc/rendering/01.obj", "22.1889453125")</f>
        <v>22.1889453125</v>
      </c>
      <c r="E182" s="77" t="str">
        <f>HYPERLINK(AA2 &amp; "/bottle/sn_cf0a733f9a63f4f5664b3b9b23ddfcbc/rendering/02.obj", "7.93866699219")</f>
        <v>7.93866699219</v>
      </c>
      <c r="F182" s="174" t="str">
        <f>HYPERLINK(AA2 &amp; "/bottle/sn_cf0a733f9a63f4f5664b3b9b23ddfcbc/rendering/03.obj", "4.63717895508")</f>
        <v>4.63717895508</v>
      </c>
      <c r="G182" s="113" t="str">
        <f>HYPERLINK(AA2 &amp; "/bottle/sn_cf0a733f9a63f4f5664b3b9b23ddfcbc/rendering/04.obj", "7.06485107422")</f>
        <v>7.06485107422</v>
      </c>
      <c r="H182" s="67" t="str">
        <f>HYPERLINK(AA2 &amp; "/bottle/sn_cf0a733f9a63f4f5664b3b9b23ddfcbc/rendering/05.obj", "8.83879638672")</f>
        <v>8.83879638672</v>
      </c>
      <c r="I182" s="203" t="str">
        <f>HYPERLINK(AA2 &amp; "/bottle/sn_cf0a733f9a63f4f5664b3b9b23ddfcbc/rendering/06.obj", "5.19846435547")</f>
        <v>5.19846435547</v>
      </c>
      <c r="J182" s="120" t="str">
        <f>HYPERLINK(AA2 &amp; "/bottle/sn_cf0a733f9a63f4f5664b3b9b23ddfcbc/rendering/07.obj", "11.8273449707")</f>
        <v>11.8273449707</v>
      </c>
      <c r="K182" s="131" t="str">
        <f>HYPERLINK(AA2 &amp; "/bottle/sn_cf0a733f9a63f4f5664b3b9b23ddfcbc/rendering/08.obj", "5.23459716797")</f>
        <v>5.23459716797</v>
      </c>
      <c r="L182" s="203" t="str">
        <f>HYPERLINK(AA2 &amp; "/bottle/sn_cf0a733f9a63f4f5664b3b9b23ddfcbc/rendering/09.obj", "5.1995324707")</f>
        <v>5.1995324707</v>
      </c>
      <c r="M182" s="96" t="str">
        <f>HYPERLINK(AA2 &amp; "/bottle/sn_cf0a733f9a63f4f5664b3b9b23ddfcbc/rendering/10.obj", "6.20663330078")</f>
        <v>6.20663330078</v>
      </c>
      <c r="N182" s="20" t="str">
        <f>HYPERLINK(AA2 &amp; "/bottle/sn_cf0a733f9a63f4f5664b3b9b23ddfcbc/rendering/11.obj", "32.8514746094")</f>
        <v>32.8514746094</v>
      </c>
      <c r="O182" s="21" t="str">
        <f>HYPERLINK(AA2 &amp; "/bottle/sn_cf0a733f9a63f4f5664b3b9b23ddfcbc/rendering/12.obj", "4.34150146484")</f>
        <v>4.34150146484</v>
      </c>
      <c r="P182" s="74" t="str">
        <f>HYPERLINK(AA2 &amp; "/bottle/sn_cf0a733f9a63f4f5664b3b9b23ddfcbc/rendering/13.obj", "9.6095715332")</f>
        <v>9.6095715332</v>
      </c>
      <c r="Q182" s="143" t="str">
        <f>HYPERLINK(AA2 &amp; "/bottle/sn_cf0a733f9a63f4f5664b3b9b23ddfcbc/rendering/14.obj", "5.13589111328")</f>
        <v>5.13589111328</v>
      </c>
      <c r="R182" s="126" t="str">
        <f>HYPERLINK(AA2 &amp; "/bottle/sn_cf0a733f9a63f4f5664b3b9b23ddfcbc/rendering/15.obj", "4.88126800537")</f>
        <v>4.88126800537</v>
      </c>
      <c r="S182" s="189" t="str">
        <f>HYPERLINK(AA2 &amp; "/bottle/sn_cf0a733f9a63f4f5664b3b9b23ddfcbc/rendering/16.obj", "3.65975280762")</f>
        <v>3.65975280762</v>
      </c>
      <c r="T182" s="22" t="str">
        <f>HYPERLINK(AA2 &amp; "/bottle/sn_cf0a733f9a63f4f5664b3b9b23ddfcbc/rendering/17.obj", "4.65967224121")</f>
        <v>4.65967224121</v>
      </c>
      <c r="U182" s="20" t="str">
        <f>HYPERLINK(AA2 &amp; "/bottle/sn_cf0a733f9a63f4f5664b3b9b23ddfcbc/rendering/18.obj", "25.3385693359")</f>
        <v>25.3385693359</v>
      </c>
      <c r="V182" s="123" t="str">
        <f>HYPERLINK(AA2 &amp; "/bottle/sn_cf0a733f9a63f4f5664b3b9b23ddfcbc/rendering/19.obj", "13.3468457031")</f>
        <v>13.3468457031</v>
      </c>
      <c r="W182" s="12" t="s">
        <v>29</v>
      </c>
      <c r="X182" s="13">
        <v>9.751197067260744</v>
      </c>
      <c r="Y182" s="13">
        <v>7.7655869043227046</v>
      </c>
      <c r="Z182" s="204">
        <v>0.79637267617073948</v>
      </c>
    </row>
    <row r="183" spans="1:26" x14ac:dyDescent="0.2">
      <c r="A183" s="1">
        <v>181</v>
      </c>
      <c r="B183" s="2" t="s">
        <v>69</v>
      </c>
      <c r="C183" s="205" t="str">
        <f>HYPERLINK(AA2 &amp; "/bottle/sn_cf0a733f9a63f4f5664b3b9b23ddfcbc/rendering/00.obj", "9.60821533203")</f>
        <v>9.60821533203</v>
      </c>
      <c r="D183" s="20" t="str">
        <f>HYPERLINK(AA2 &amp; "/bottle/sn_cf0a733f9a63f4f5664b3b9b23ddfcbc/rendering/01.obj", "79.8368606567")</f>
        <v>79.8368606567</v>
      </c>
      <c r="E183" s="206" t="str">
        <f>HYPERLINK(AA2 &amp; "/bottle/sn_cf0a733f9a63f4f5664b3b9b23ddfcbc/rendering/02.obj", "11.7965993881")</f>
        <v>11.7965993881</v>
      </c>
      <c r="F183" s="20" t="str">
        <f>HYPERLINK(AA2 &amp; "/bottle/sn_cf0a733f9a63f4f5664b3b9b23ddfcbc/rendering/03.obj", "5.8675122261")</f>
        <v>5.8675122261</v>
      </c>
      <c r="G183" s="207" t="str">
        <f>HYPERLINK(AA2 &amp; "/bottle/sn_cf0a733f9a63f4f5664b3b9b23ddfcbc/rendering/04.obj", "7.86961174011")</f>
        <v>7.86961174011</v>
      </c>
      <c r="H183" s="143" t="str">
        <f>HYPERLINK(AA2 &amp; "/bottle/sn_cf0a733f9a63f4f5664b3b9b23ddfcbc/rendering/05.obj", "15.3271179199")</f>
        <v>15.3271179199</v>
      </c>
      <c r="I183" s="20" t="str">
        <f>HYPERLINK(AA2 &amp; "/bottle/sn_cf0a733f9a63f4f5664b3b9b23ddfcbc/rendering/06.obj", "5.01270580292")</f>
        <v>5.01270580292</v>
      </c>
      <c r="J183" s="72" t="str">
        <f>HYPERLINK(AA2 &amp; "/bottle/sn_cf0a733f9a63f4f5664b3b9b23ddfcbc/rendering/07.obj", "29.9284324646")</f>
        <v>29.9284324646</v>
      </c>
      <c r="K183" s="208" t="str">
        <f>HYPERLINK(AA2 &amp; "/bottle/sn_cf0a733f9a63f4f5664b3b9b23ddfcbc/rendering/08.obj", "6.84486246109")</f>
        <v>6.84486246109</v>
      </c>
      <c r="L183" s="209" t="str">
        <f>HYPERLINK(AA2 &amp; "/bottle/sn_cf0a733f9a63f4f5664b3b9b23ddfcbc/rendering/09.obj", "7.00038337708")</f>
        <v>7.00038337708</v>
      </c>
      <c r="M183" s="184" t="str">
        <f>HYPERLINK(AA2 &amp; "/bottle/sn_cf0a733f9a63f4f5664b3b9b23ddfcbc/rendering/10.obj", "7.6506690979")</f>
        <v>7.6506690979</v>
      </c>
      <c r="N183" s="20" t="str">
        <f>HYPERLINK(AA2 &amp; "/bottle/sn_cf0a733f9a63f4f5664b3b9b23ddfcbc/rendering/11.obj", "206.782653809")</f>
        <v>206.782653809</v>
      </c>
      <c r="O183" s="20" t="str">
        <f>HYPERLINK(AA2 &amp; "/bottle/sn_cf0a733f9a63f4f5664b3b9b23ddfcbc/rendering/12.obj", "4.08999443054")</f>
        <v>4.08999443054</v>
      </c>
      <c r="P183" s="162" t="str">
        <f>HYPERLINK(AA2 &amp; "/bottle/sn_cf0a733f9a63f4f5664b3b9b23ddfcbc/rendering/13.obj", "16.6163845062")</f>
        <v>16.6163845062</v>
      </c>
      <c r="Q183" s="210" t="str">
        <f>HYPERLINK(AA2 &amp; "/bottle/sn_cf0a733f9a63f4f5664b3b9b23ddfcbc/rendering/14.obj", "6.6537065506")</f>
        <v>6.6537065506</v>
      </c>
      <c r="R183" s="180" t="str">
        <f>HYPERLINK(AA2 &amp; "/bottle/sn_cf0a733f9a63f4f5664b3b9b23ddfcbc/rendering/15.obj", "6.10811042786")</f>
        <v>6.10811042786</v>
      </c>
      <c r="S183" s="20" t="str">
        <f>HYPERLINK(AA2 &amp; "/bottle/sn_cf0a733f9a63f4f5664b3b9b23ddfcbc/rendering/16.obj", "4.76255512238")</f>
        <v>4.76255512238</v>
      </c>
      <c r="T183" s="20" t="str">
        <f>HYPERLINK(AA2 &amp; "/bottle/sn_cf0a733f9a63f4f5664b3b9b23ddfcbc/rendering/17.obj", "4.89661645889")</f>
        <v>4.89661645889</v>
      </c>
      <c r="U183" s="20" t="str">
        <f>HYPERLINK(AA2 &amp; "/bottle/sn_cf0a733f9a63f4f5664b3b9b23ddfcbc/rendering/18.obj", "108.893432617")</f>
        <v>108.893432617</v>
      </c>
      <c r="V183" s="79" t="str">
        <f>HYPERLINK(AA2 &amp; "/bottle/sn_cf0a733f9a63f4f5664b3b9b23ddfcbc/rendering/19.obj", "33.5118942261")</f>
        <v>33.5118942261</v>
      </c>
      <c r="W183" s="12" t="s">
        <v>30</v>
      </c>
      <c r="X183" s="13">
        <v>28.952915930747981</v>
      </c>
      <c r="Y183" s="13">
        <v>48.686469970509002</v>
      </c>
      <c r="Z183" s="20">
        <v>1.681573976416102</v>
      </c>
    </row>
    <row r="184" spans="1:26" x14ac:dyDescent="0.2">
      <c r="A184" s="1">
        <v>182</v>
      </c>
      <c r="B184" s="2" t="s">
        <v>69</v>
      </c>
      <c r="C184" s="17" t="str">
        <f>HYPERLINK(AB2 &amp; "/bottle/sn_cf0a733f9a63f4f5664b3b9b23ddfcbc/rendering/00.obj", "4.75360137939")</f>
        <v>4.75360137939</v>
      </c>
      <c r="D184" s="104" t="str">
        <f>HYPERLINK(AB2 &amp; "/bottle/sn_cf0a733f9a63f4f5664b3b9b23ddfcbc/rendering/01.obj", "7.17255371094")</f>
        <v>7.17255371094</v>
      </c>
      <c r="E184" s="64" t="str">
        <f>HYPERLINK(AB2 &amp; "/bottle/sn_cf0a733f9a63f4f5664b3b9b23ddfcbc/rendering/02.obj", "4.06354187012")</f>
        <v>4.06354187012</v>
      </c>
      <c r="F184" s="32" t="str">
        <f>HYPERLINK(AB2 &amp; "/bottle/sn_cf0a733f9a63f4f5664b3b9b23ddfcbc/rendering/03.obj", "4.34370697021")</f>
        <v>4.34370697021</v>
      </c>
      <c r="G184" s="82" t="str">
        <f>HYPERLINK(AB2 &amp; "/bottle/sn_cf0a733f9a63f4f5664b3b9b23ddfcbc/rendering/04.obj", "3.86369903564")</f>
        <v>3.86369903564</v>
      </c>
      <c r="H184" s="8" t="str">
        <f>HYPERLINK(AB2 &amp; "/bottle/sn_cf0a733f9a63f4f5664b3b9b23ddfcbc/rendering/05.obj", "5.55468261719")</f>
        <v>5.55468261719</v>
      </c>
      <c r="I184" s="11" t="str">
        <f>HYPERLINK(AB2 &amp; "/bottle/sn_cf0a733f9a63f4f5664b3b9b23ddfcbc/rendering/06.obj", "3.76718444824")</f>
        <v>3.76718444824</v>
      </c>
      <c r="J184" s="65" t="str">
        <f>HYPERLINK(AB2 &amp; "/bottle/sn_cf0a733f9a63f4f5664b3b9b23ddfcbc/rendering/07.obj", "4.20670349121")</f>
        <v>4.20670349121</v>
      </c>
      <c r="K184" s="14" t="str">
        <f>HYPERLINK(AB2 &amp; "/bottle/sn_cf0a733f9a63f4f5664b3b9b23ddfcbc/rendering/08.obj", "3.45202331543")</f>
        <v>3.45202331543</v>
      </c>
      <c r="L184" s="166" t="str">
        <f>HYPERLINK(AB2 &amp; "/bottle/sn_cf0a733f9a63f4f5664b3b9b23ddfcbc/rendering/09.obj", "3.45902038574")</f>
        <v>3.45902038574</v>
      </c>
      <c r="M184" s="29" t="str">
        <f>HYPERLINK(AB2 &amp; "/bottle/sn_cf0a733f9a63f4f5664b3b9b23ddfcbc/rendering/10.obj", "4.21986877441")</f>
        <v>4.21986877441</v>
      </c>
      <c r="N184" s="211" t="str">
        <f>HYPERLINK(AB2 &amp; "/bottle/sn_cf0a733f9a63f4f5664b3b9b23ddfcbc/rendering/11.obj", "8.58235229492")</f>
        <v>8.58235229492</v>
      </c>
      <c r="O184" s="14" t="str">
        <f>HYPERLINK(AB2 &amp; "/bottle/sn_cf0a733f9a63f4f5664b3b9b23ddfcbc/rendering/12.obj", "3.44824035645")</f>
        <v>3.44824035645</v>
      </c>
      <c r="P184" s="74" t="str">
        <f>HYPERLINK(AB2 &amp; "/bottle/sn_cf0a733f9a63f4f5664b3b9b23ddfcbc/rendering/13.obj", "4.93185668945")</f>
        <v>4.93185668945</v>
      </c>
      <c r="Q184" s="6" t="str">
        <f>HYPERLINK(AB2 &amp; "/bottle/sn_cf0a733f9a63f4f5664b3b9b23ddfcbc/rendering/14.obj", "4.63436889648")</f>
        <v>4.63436889648</v>
      </c>
      <c r="R184" s="23" t="str">
        <f>HYPERLINK(AB2 &amp; "/bottle/sn_cf0a733f9a63f4f5664b3b9b23ddfcbc/rendering/15.obj", "4.66054718018")</f>
        <v>4.66054718018</v>
      </c>
      <c r="S184" s="81" t="str">
        <f>HYPERLINK(AB2 &amp; "/bottle/sn_cf0a733f9a63f4f5664b3b9b23ddfcbc/rendering/16.obj", "3.79852050781")</f>
        <v>3.79852050781</v>
      </c>
      <c r="T184" s="44" t="str">
        <f>HYPERLINK(AB2 &amp; "/bottle/sn_cf0a733f9a63f4f5664b3b9b23ddfcbc/rendering/17.obj", "3.89883056641")</f>
        <v>3.89883056641</v>
      </c>
      <c r="U184" s="167" t="str">
        <f>HYPERLINK(AB2 &amp; "/bottle/sn_cf0a733f9a63f4f5664b3b9b23ddfcbc/rendering/18.obj", "7.79658447266")</f>
        <v>7.79658447266</v>
      </c>
      <c r="V184" s="140" t="str">
        <f>HYPERLINK(AB2 &amp; "/bottle/sn_cf0a733f9a63f4f5664b3b9b23ddfcbc/rendering/19.obj", "6.54177307129")</f>
        <v>6.54177307129</v>
      </c>
      <c r="W184" s="12" t="s">
        <v>31</v>
      </c>
      <c r="X184" s="13">
        <v>4.8574830017089834</v>
      </c>
      <c r="Y184" s="13">
        <v>1.468986982858514</v>
      </c>
      <c r="Z184" s="61">
        <v>0.30241731825756007</v>
      </c>
    </row>
    <row r="185" spans="1:26" x14ac:dyDescent="0.2">
      <c r="A185" s="1">
        <v>183</v>
      </c>
      <c r="B185" s="2" t="s">
        <v>69</v>
      </c>
      <c r="C185" s="77" t="str">
        <f>HYPERLINK(AB2 &amp; "/bottle/sn_cf0a733f9a63f4f5664b3b9b23ddfcbc/rendering/00.obj", "5.15403413773")</f>
        <v>5.15403413773</v>
      </c>
      <c r="D185" s="20" t="str">
        <f>HYPERLINK(AB2 &amp; "/bottle/sn_cf0a733f9a63f4f5664b3b9b23ddfcbc/rendering/01.obj", "13.346912384")</f>
        <v>13.346912384</v>
      </c>
      <c r="E185" s="132" t="str">
        <f>HYPERLINK(AB2 &amp; "/bottle/sn_cf0a733f9a63f4f5664b3b9b23ddfcbc/rendering/02.obj", "3.67960381508")</f>
        <v>3.67960381508</v>
      </c>
      <c r="F185" s="142" t="str">
        <f>HYPERLINK(AB2 &amp; "/bottle/sn_cf0a733f9a63f4f5664b3b9b23ddfcbc/rendering/03.obj", "3.83973836899")</f>
        <v>3.83973836899</v>
      </c>
      <c r="G185" s="124" t="str">
        <f>HYPERLINK(AB2 &amp; "/bottle/sn_cf0a733f9a63f4f5664b3b9b23ddfcbc/rendering/04.obj", "3.91943383217")</f>
        <v>3.91943383217</v>
      </c>
      <c r="H185" s="44" t="str">
        <f>HYPERLINK(AB2 &amp; "/bottle/sn_cf0a733f9a63f4f5664b3b9b23ddfcbc/rendering/05.obj", "7.57140493393")</f>
        <v>7.57140493393</v>
      </c>
      <c r="I185" s="138" t="str">
        <f>HYPERLINK(AB2 &amp; "/bottle/sn_cf0a733f9a63f4f5664b3b9b23ddfcbc/rendering/06.obj", "4.19456863403")</f>
        <v>4.19456863403</v>
      </c>
      <c r="J185" s="101" t="str">
        <f>HYPERLINK(AB2 &amp; "/bottle/sn_cf0a733f9a63f4f5664b3b9b23ddfcbc/rendering/07.obj", "3.94508504868")</f>
        <v>3.94508504868</v>
      </c>
      <c r="K185" s="212" t="str">
        <f>HYPERLINK(AB2 &amp; "/bottle/sn_cf0a733f9a63f4f5664b3b9b23ddfcbc/rendering/08.obj", "3.60219836235")</f>
        <v>3.60219836235</v>
      </c>
      <c r="L185" s="130" t="str">
        <f>HYPERLINK(AB2 &amp; "/bottle/sn_cf0a733f9a63f4f5664b3b9b23ddfcbc/rendering/09.obj", "3.4785797596")</f>
        <v>3.4785797596</v>
      </c>
      <c r="M185" s="96" t="str">
        <f>HYPERLINK(AB2 &amp; "/bottle/sn_cf0a733f9a63f4f5664b3b9b23ddfcbc/rendering/10.obj", "4.04522514343")</f>
        <v>4.04522514343</v>
      </c>
      <c r="N185" s="20" t="str">
        <f>HYPERLINK(AB2 &amp; "/bottle/sn_cf0a733f9a63f4f5664b3b9b23ddfcbc/rendering/11.obj", "15.0968427658")</f>
        <v>15.0968427658</v>
      </c>
      <c r="O185" s="196" t="str">
        <f>HYPERLINK(AB2 &amp; "/bottle/sn_cf0a733f9a63f4f5664b3b9b23ddfcbc/rendering/12.obj", "3.81324696541")</f>
        <v>3.81324696541</v>
      </c>
      <c r="P185" s="26" t="str">
        <f>HYPERLINK(AB2 &amp; "/bottle/sn_cf0a733f9a63f4f5664b3b9b23ddfcbc/rendering/13.obj", "6.74309539795")</f>
        <v>6.74309539795</v>
      </c>
      <c r="Q185" s="107" t="str">
        <f>HYPERLINK(AB2 &amp; "/bottle/sn_cf0a733f9a63f4f5664b3b9b23ddfcbc/rendering/14.obj", "5.80827474594")</f>
        <v>5.80827474594</v>
      </c>
      <c r="R185" s="99" t="str">
        <f>HYPERLINK(AB2 &amp; "/bottle/sn_cf0a733f9a63f4f5664b3b9b23ddfcbc/rendering/15.obj", "4.61836290359")</f>
        <v>4.61836290359</v>
      </c>
      <c r="S185" s="187" t="str">
        <f>HYPERLINK(AB2 &amp; "/bottle/sn_cf0a733f9a63f4f5664b3b9b23ddfcbc/rendering/16.obj", "4.10972833633")</f>
        <v>4.10972833633</v>
      </c>
      <c r="T185" s="196" t="str">
        <f>HYPERLINK(AB2 &amp; "/bottle/sn_cf0a733f9a63f4f5664b3b9b23ddfcbc/rendering/17.obj", "3.82189083099")</f>
        <v>3.82189083099</v>
      </c>
      <c r="U185" s="20" t="str">
        <f>HYPERLINK(AB2 &amp; "/bottle/sn_cf0a733f9a63f4f5664b3b9b23ddfcbc/rendering/18.obj", "14.5706605911")</f>
        <v>14.5706605911</v>
      </c>
      <c r="V185" s="180" t="str">
        <f>HYPERLINK(AB2 &amp; "/bottle/sn_cf0a733f9a63f4f5664b3b9b23ddfcbc/rendering/19.obj", "11.3359956741")</f>
        <v>11.3359956741</v>
      </c>
      <c r="W185" s="12" t="s">
        <v>32</v>
      </c>
      <c r="X185" s="13">
        <v>6.3347441315650936</v>
      </c>
      <c r="Y185" s="13">
        <v>3.8274653960843068</v>
      </c>
      <c r="Z185" s="167">
        <v>0.60420205087883705</v>
      </c>
    </row>
    <row r="186" spans="1:26" x14ac:dyDescent="0.2">
      <c r="A186" s="1">
        <v>184</v>
      </c>
      <c r="B186" s="2" t="s">
        <v>69</v>
      </c>
      <c r="C186" s="13" t="str">
        <f>HYPERLINK(AC2 &amp; "/bottle/sn_cf0a733f9a63f4f5664b3b9b23ddfcbc/rendering/00.xyz", "0.0")</f>
        <v>0.0</v>
      </c>
      <c r="D186" s="13" t="str">
        <f>HYPERLINK(AC2 &amp; "/bottle/sn_cf0a733f9a63f4f5664b3b9b23ddfcbc/rendering/01.xyz", "0.0")</f>
        <v>0.0</v>
      </c>
      <c r="E186" s="13" t="str">
        <f>HYPERLINK(AC2 &amp; "/bottle/sn_cf0a733f9a63f4f5664b3b9b23ddfcbc/rendering/02.xyz", "0.0")</f>
        <v>0.0</v>
      </c>
      <c r="F186" s="13" t="str">
        <f>HYPERLINK(AC2 &amp; "/bottle/sn_cf0a733f9a63f4f5664b3b9b23ddfcbc/rendering/03.xyz", "0.0")</f>
        <v>0.0</v>
      </c>
      <c r="G186" s="13" t="str">
        <f>HYPERLINK(AC2 &amp; "/bottle/sn_cf0a733f9a63f4f5664b3b9b23ddfcbc/rendering/04.xyz", "0.0")</f>
        <v>0.0</v>
      </c>
      <c r="H186" s="13" t="str">
        <f>HYPERLINK(AC2 &amp; "/bottle/sn_cf0a733f9a63f4f5664b3b9b23ddfcbc/rendering/05.xyz", "0.0")</f>
        <v>0.0</v>
      </c>
      <c r="I186" s="13" t="str">
        <f>HYPERLINK(AC2 &amp; "/bottle/sn_cf0a733f9a63f4f5664b3b9b23ddfcbc/rendering/06.xyz", "0.0")</f>
        <v>0.0</v>
      </c>
      <c r="J186" s="13" t="str">
        <f>HYPERLINK(AC2 &amp; "/bottle/sn_cf0a733f9a63f4f5664b3b9b23ddfcbc/rendering/07.xyz", "0.0")</f>
        <v>0.0</v>
      </c>
      <c r="K186" s="13" t="str">
        <f>HYPERLINK(AC2 &amp; "/bottle/sn_cf0a733f9a63f4f5664b3b9b23ddfcbc/rendering/08.xyz", "0.0")</f>
        <v>0.0</v>
      </c>
      <c r="L186" s="13" t="str">
        <f>HYPERLINK(AC2 &amp; "/bottle/sn_cf0a733f9a63f4f5664b3b9b23ddfcbc/rendering/09.xyz", "0.0")</f>
        <v>0.0</v>
      </c>
      <c r="M186" s="13" t="str">
        <f>HYPERLINK(AC2 &amp; "/bottle/sn_cf0a733f9a63f4f5664b3b9b23ddfcbc/rendering/10.xyz", "0.0")</f>
        <v>0.0</v>
      </c>
      <c r="N186" s="13" t="str">
        <f>HYPERLINK(AC2 &amp; "/bottle/sn_cf0a733f9a63f4f5664b3b9b23ddfcbc/rendering/11.xyz", "0.0")</f>
        <v>0.0</v>
      </c>
      <c r="O186" s="13" t="str">
        <f>HYPERLINK(AC2 &amp; "/bottle/sn_cf0a733f9a63f4f5664b3b9b23ddfcbc/rendering/12.xyz", "0.0")</f>
        <v>0.0</v>
      </c>
      <c r="P186" s="13" t="str">
        <f>HYPERLINK(AC2 &amp; "/bottle/sn_cf0a733f9a63f4f5664b3b9b23ddfcbc/rendering/13.xyz", "0.0")</f>
        <v>0.0</v>
      </c>
      <c r="Q186" s="13" t="str">
        <f>HYPERLINK(AC2 &amp; "/bottle/sn_cf0a733f9a63f4f5664b3b9b23ddfcbc/rendering/14.xyz", "0.0")</f>
        <v>0.0</v>
      </c>
      <c r="R186" s="13" t="str">
        <f>HYPERLINK(AC2 &amp; "/bottle/sn_cf0a733f9a63f4f5664b3b9b23ddfcbc/rendering/15.xyz", "0.0")</f>
        <v>0.0</v>
      </c>
      <c r="S186" s="13" t="str">
        <f>HYPERLINK(AC2 &amp; "/bottle/sn_cf0a733f9a63f4f5664b3b9b23ddfcbc/rendering/16.xyz", "0.0")</f>
        <v>0.0</v>
      </c>
      <c r="T186" s="13" t="str">
        <f>HYPERLINK(AC2 &amp; "/bottle/sn_cf0a733f9a63f4f5664b3b9b23ddfcbc/rendering/17.xyz", "0.0")</f>
        <v>0.0</v>
      </c>
      <c r="U186" s="13" t="str">
        <f>HYPERLINK(AC2 &amp; "/bottle/sn_cf0a733f9a63f4f5664b3b9b23ddfcbc/rendering/18.xyz", "0.0")</f>
        <v>0.0</v>
      </c>
      <c r="V186" s="13" t="str">
        <f>HYPERLINK(AC2 &amp; "/bottle/sn_cf0a733f9a63f4f5664b3b9b23ddfcbc/rendering/19.xyz", "0.0")</f>
        <v>0.0</v>
      </c>
      <c r="W186" s="12" t="s">
        <v>33</v>
      </c>
      <c r="X186" s="13">
        <v>0</v>
      </c>
      <c r="Y186" s="13">
        <v>0</v>
      </c>
      <c r="Z186" s="13">
        <v>0</v>
      </c>
    </row>
    <row r="187" spans="1:26" x14ac:dyDescent="0.2">
      <c r="A187" s="1">
        <v>185</v>
      </c>
      <c r="B187" s="2" t="s">
        <v>70</v>
      </c>
      <c r="C187" s="73" t="str">
        <f>HYPERLINK(AA2 &amp; "/bottle/sn_cf6843231592b29e2586fa0d0359af6/rendering/00.obj", "3.11022460937")</f>
        <v>3.11022460937</v>
      </c>
      <c r="D187" s="20" t="str">
        <f>HYPERLINK(AA2 &amp; "/bottle/sn_cf6843231592b29e2586fa0d0359af6/rendering/01.obj", "5.50059082031")</f>
        <v>5.50059082031</v>
      </c>
      <c r="E187" s="47" t="str">
        <f>HYPERLINK(AA2 &amp; "/bottle/sn_cf6843231592b29e2586fa0d0359af6/rendering/02.obj", "3.0185269165")</f>
        <v>3.0185269165</v>
      </c>
      <c r="F187" s="4" t="str">
        <f>HYPERLINK(AA2 &amp; "/bottle/sn_cf6843231592b29e2586fa0d0359af6/rendering/03.obj", "2.14606994629")</f>
        <v>2.14606994629</v>
      </c>
      <c r="G187" s="56" t="str">
        <f>HYPERLINK(AA2 &amp; "/bottle/sn_cf6843231592b29e2586fa0d0359af6/rendering/04.obj", "2.07650085449")</f>
        <v>2.07650085449</v>
      </c>
      <c r="H187" s="110" t="str">
        <f>HYPERLINK(AA2 &amp; "/bottle/sn_cf6843231592b29e2586fa0d0359af6/rendering/05.obj", "2.70508605957")</f>
        <v>2.70508605957</v>
      </c>
      <c r="I187" s="93" t="str">
        <f>HYPERLINK(AA2 &amp; "/bottle/sn_cf6843231592b29e2586fa0d0359af6/rendering/06.obj", "2.5823638916")</f>
        <v>2.5823638916</v>
      </c>
      <c r="J187" s="152" t="str">
        <f>HYPERLINK(AA2 &amp; "/bottle/sn_cf6843231592b29e2586fa0d0359af6/rendering/07.obj", "1.78533477783")</f>
        <v>1.78533477783</v>
      </c>
      <c r="K187" s="84" t="str">
        <f>HYPERLINK(AA2 &amp; "/bottle/sn_cf6843231592b29e2586fa0d0359af6/rendering/08.obj", "2.56240722656")</f>
        <v>2.56240722656</v>
      </c>
      <c r="L187" s="80" t="str">
        <f>HYPERLINK(AA2 &amp; "/bottle/sn_cf6843231592b29e2586fa0d0359af6/rendering/09.obj", "2.55684844971")</f>
        <v>2.55684844971</v>
      </c>
      <c r="M187" s="36" t="str">
        <f>HYPERLINK(AA2 &amp; "/bottle/sn_cf6843231592b29e2586fa0d0359af6/rendering/10.obj", "2.35702972412")</f>
        <v>2.35702972412</v>
      </c>
      <c r="N187" s="136" t="str">
        <f>HYPERLINK(AA2 &amp; "/bottle/sn_cf6843231592b29e2586fa0d0359af6/rendering/11.obj", "2.29103775024")</f>
        <v>2.29103775024</v>
      </c>
      <c r="O187" s="20" t="str">
        <f>HYPERLINK(AA2 &amp; "/bottle/sn_cf6843231592b29e2586fa0d0359af6/rendering/12.obj", "7.14548156738")</f>
        <v>7.14548156738</v>
      </c>
      <c r="P187" s="58" t="str">
        <f>HYPERLINK(AA2 &amp; "/bottle/sn_cf6843231592b29e2586fa0d0359af6/rendering/13.obj", "3.72884857178")</f>
        <v>3.72884857178</v>
      </c>
      <c r="Q187" s="14" t="str">
        <f>HYPERLINK(AA2 &amp; "/bottle/sn_cf6843231592b29e2586fa0d0359af6/rendering/14.obj", "2.12489990234")</f>
        <v>2.12489990234</v>
      </c>
      <c r="R187" s="196" t="str">
        <f>HYPERLINK(AA2 &amp; "/bottle/sn_cf6843231592b29e2586fa0d0359af6/rendering/15.obj", "4.18941162109")</f>
        <v>4.18941162109</v>
      </c>
      <c r="S187" s="83" t="str">
        <f>HYPERLINK(AA2 &amp; "/bottle/sn_cf6843231592b29e2586fa0d0359af6/rendering/16.obj", "2.54209609985")</f>
        <v>2.54209609985</v>
      </c>
      <c r="T187" s="60" t="str">
        <f>HYPERLINK(AA2 &amp; "/bottle/sn_cf6843231592b29e2586fa0d0359af6/rendering/17.obj", "3.15908966064")</f>
        <v>3.15908966064</v>
      </c>
      <c r="U187" s="8" t="str">
        <f>HYPERLINK(AA2 &amp; "/bottle/sn_cf6843231592b29e2586fa0d0359af6/rendering/18.obj", "2.57104003906")</f>
        <v>2.57104003906</v>
      </c>
      <c r="V187" s="198" t="str">
        <f>HYPERLINK(AA2 &amp; "/bottle/sn_cf6843231592b29e2586fa0d0359af6/rendering/19.obj", "1.83641418457")</f>
        <v>1.83641418457</v>
      </c>
      <c r="W187" s="12" t="s">
        <v>29</v>
      </c>
      <c r="X187" s="13">
        <v>2.999465133666992</v>
      </c>
      <c r="Y187" s="13">
        <v>1.2758892062430991</v>
      </c>
      <c r="Z187" s="162">
        <v>0.4253722411779669</v>
      </c>
    </row>
    <row r="188" spans="1:26" x14ac:dyDescent="0.2">
      <c r="A188" s="1">
        <v>186</v>
      </c>
      <c r="B188" s="2" t="s">
        <v>70</v>
      </c>
      <c r="C188" s="6" t="str">
        <f>HYPERLINK(AA2 &amp; "/bottle/sn_cf6843231592b29e2586fa0d0359af6/rendering/00.obj", "2.1967997551")</f>
        <v>2.1967997551</v>
      </c>
      <c r="D188" s="20" t="str">
        <f>HYPERLINK(AA2 &amp; "/bottle/sn_cf6843231592b29e2586fa0d0359af6/rendering/01.obj", "4.96349096298")</f>
        <v>4.96349096298</v>
      </c>
      <c r="E188" s="110" t="str">
        <f>HYPERLINK(AA2 &amp; "/bottle/sn_cf6843231592b29e2586fa0d0359af6/rendering/02.obj", "2.06949734688")</f>
        <v>2.06949734688</v>
      </c>
      <c r="F188" s="54" t="str">
        <f>HYPERLINK(AA2 &amp; "/bottle/sn_cf6843231592b29e2586fa0d0359af6/rendering/03.obj", "1.54926145077")</f>
        <v>1.54926145077</v>
      </c>
      <c r="G188" s="87" t="str">
        <f>HYPERLINK(AA2 &amp; "/bottle/sn_cf6843231592b29e2586fa0d0359af6/rendering/04.obj", "1.77545285225")</f>
        <v>1.77545285225</v>
      </c>
      <c r="H188" s="56" t="str">
        <f>HYPERLINK(AA2 &amp; "/bottle/sn_cf6843231592b29e2586fa0d0359af6/rendering/05.obj", "1.59295868874")</f>
        <v>1.59295868874</v>
      </c>
      <c r="I188" s="42" t="str">
        <f>HYPERLINK(AA2 &amp; "/bottle/sn_cf6843231592b29e2586fa0d0359af6/rendering/06.obj", "1.98599159718")</f>
        <v>1.98599159718</v>
      </c>
      <c r="J188" s="172" t="str">
        <f>HYPERLINK(AA2 &amp; "/bottle/sn_cf6843231592b29e2586fa0d0359af6/rendering/07.obj", "1.41951203346")</f>
        <v>1.41951203346</v>
      </c>
      <c r="K188" s="140" t="str">
        <f>HYPERLINK(AA2 &amp; "/bottle/sn_cf6843231592b29e2586fa0d0359af6/rendering/08.obj", "1.50552749634")</f>
        <v>1.50552749634</v>
      </c>
      <c r="L188" s="119" t="str">
        <f>HYPERLINK(AA2 &amp; "/bottle/sn_cf6843231592b29e2586fa0d0359af6/rendering/09.obj", "1.69252932072")</f>
        <v>1.69252932072</v>
      </c>
      <c r="M188" s="43" t="str">
        <f>HYPERLINK(AA2 &amp; "/bottle/sn_cf6843231592b29e2586fa0d0359af6/rendering/10.obj", "1.43674743176")</f>
        <v>1.43674743176</v>
      </c>
      <c r="N188" s="118" t="str">
        <f>HYPERLINK(AA2 &amp; "/bottle/sn_cf6843231592b29e2586fa0d0359af6/rendering/11.obj", "1.62713718414")</f>
        <v>1.62713718414</v>
      </c>
      <c r="O188" s="20" t="str">
        <f>HYPERLINK(AA2 &amp; "/bottle/sn_cf6843231592b29e2586fa0d0359af6/rendering/12.obj", "6.62568855286")</f>
        <v>6.62568855286</v>
      </c>
      <c r="P188" s="213" t="str">
        <f>HYPERLINK(AA2 &amp; "/bottle/sn_cf6843231592b29e2586fa0d0359af6/rendering/13.obj", "3.43835759163")</f>
        <v>3.43835759163</v>
      </c>
      <c r="Q188" s="171" t="str">
        <f>HYPERLINK(AA2 &amp; "/bottle/sn_cf6843231592b29e2586fa0d0359af6/rendering/14.obj", "1.59579694271")</f>
        <v>1.59579694271</v>
      </c>
      <c r="R188" s="214" t="str">
        <f>HYPERLINK(AA2 &amp; "/bottle/sn_cf6843231592b29e2586fa0d0359af6/rendering/15.obj", "3.7149746418")</f>
        <v>3.7149746418</v>
      </c>
      <c r="S188" s="198" t="str">
        <f>HYPERLINK(AA2 &amp; "/bottle/sn_cf6843231592b29e2586fa0d0359af6/rendering/16.obj", "1.40896618366")</f>
        <v>1.40896618366</v>
      </c>
      <c r="T188" s="25" t="str">
        <f>HYPERLINK(AA2 &amp; "/bottle/sn_cf6843231592b29e2586fa0d0359af6/rendering/17.obj", "2.32621979713")</f>
        <v>2.32621979713</v>
      </c>
      <c r="U188" s="85" t="str">
        <f>HYPERLINK(AA2 &amp; "/bottle/sn_cf6843231592b29e2586fa0d0359af6/rendering/18.obj", "1.615270257")</f>
        <v>1.615270257</v>
      </c>
      <c r="V188" s="96" t="str">
        <f>HYPERLINK(AA2 &amp; "/bottle/sn_cf6843231592b29e2586fa0d0359af6/rendering/19.obj", "1.4649053812")</f>
        <v>1.4649053812</v>
      </c>
      <c r="W188" s="12" t="s">
        <v>30</v>
      </c>
      <c r="X188" s="13">
        <v>2.3002542734146121</v>
      </c>
      <c r="Y188" s="13">
        <v>1.342292967115152</v>
      </c>
      <c r="Z188" s="161">
        <v>0.58354112526985369</v>
      </c>
    </row>
    <row r="189" spans="1:26" x14ac:dyDescent="0.2">
      <c r="A189" s="1">
        <v>187</v>
      </c>
      <c r="B189" s="2" t="s">
        <v>70</v>
      </c>
      <c r="C189" s="74" t="str">
        <f>HYPERLINK(AB2 &amp; "/bottle/sn_cf6843231592b29e2586fa0d0359af6/rendering/00.obj", "2.27769775391")</f>
        <v>2.27769775391</v>
      </c>
      <c r="D189" s="96" t="str">
        <f>HYPERLINK(AB2 &amp; "/bottle/sn_cf6843231592b29e2586fa0d0359af6/rendering/01.obj", "3.05355224609")</f>
        <v>3.05355224609</v>
      </c>
      <c r="E189" s="68" t="str">
        <f>HYPERLINK(AB2 &amp; "/bottle/sn_cf6843231592b29e2586fa0d0359af6/rendering/02.obj", "2.14890991211")</f>
        <v>2.14890991211</v>
      </c>
      <c r="F189" s="29" t="str">
        <f>HYPERLINK(AB2 &amp; "/bottle/sn_cf6843231592b29e2586fa0d0359af6/rendering/03.obj", "1.94897354126")</f>
        <v>1.94897354126</v>
      </c>
      <c r="G189" s="13" t="str">
        <f>HYPERLINK(AB2 &amp; "/bottle/sn_cf6843231592b29e2586fa0d0359af6/rendering/04.obj", "2.23677215576")</f>
        <v>2.23677215576</v>
      </c>
      <c r="H189" s="78" t="str">
        <f>HYPERLINK(AB2 &amp; "/bottle/sn_cf6843231592b29e2586fa0d0359af6/rendering/05.obj", "2.38305725098")</f>
        <v>2.38305725098</v>
      </c>
      <c r="I189" s="48" t="str">
        <f>HYPERLINK(AB2 &amp; "/bottle/sn_cf6843231592b29e2586fa0d0359af6/rendering/06.obj", "2.29288452148")</f>
        <v>2.29288452148</v>
      </c>
      <c r="J189" s="5" t="str">
        <f>HYPERLINK(AB2 &amp; "/bottle/sn_cf6843231592b29e2586fa0d0359af6/rendering/07.obj", "2.07211425781")</f>
        <v>2.07211425781</v>
      </c>
      <c r="K189" s="41" t="str">
        <f>HYPERLINK(AB2 &amp; "/bottle/sn_cf6843231592b29e2586fa0d0359af6/rendering/08.obj", "2.39777404785")</f>
        <v>2.39777404785</v>
      </c>
      <c r="L189" s="107" t="str">
        <f>HYPERLINK(AB2 &amp; "/bottle/sn_cf6843231592b29e2586fa0d0359af6/rendering/09.obj", "2.05632324219")</f>
        <v>2.05632324219</v>
      </c>
      <c r="M189" s="17" t="str">
        <f>HYPERLINK(AB2 &amp; "/bottle/sn_cf6843231592b29e2586fa0d0359af6/rendering/10.obj", "2.1968182373")</f>
        <v>2.1968182373</v>
      </c>
      <c r="N189" s="107" t="str">
        <f>HYPERLINK(AB2 &amp; "/bottle/sn_cf6843231592b29e2586fa0d0359af6/rendering/11.obj", "2.05522888184")</f>
        <v>2.05522888184</v>
      </c>
      <c r="O189" s="27" t="str">
        <f>HYPERLINK(AB2 &amp; "/bottle/sn_cf6843231592b29e2586fa0d0359af6/rendering/12.obj", "2.40007843018")</f>
        <v>2.40007843018</v>
      </c>
      <c r="P189" s="46" t="str">
        <f>HYPERLINK(AB2 &amp; "/bottle/sn_cf6843231592b29e2586fa0d0359af6/rendering/13.obj", "2.20627441406")</f>
        <v>2.20627441406</v>
      </c>
      <c r="Q189" s="67" t="str">
        <f>HYPERLINK(AB2 &amp; "/bottle/sn_cf6843231592b29e2586fa0d0359af6/rendering/14.obj", "2.03365997314")</f>
        <v>2.03365997314</v>
      </c>
      <c r="R189" s="46" t="str">
        <f>HYPERLINK(AB2 &amp; "/bottle/sn_cf6843231592b29e2586fa0d0359af6/rendering/15.obj", "2.28301361084")</f>
        <v>2.28301361084</v>
      </c>
      <c r="S189" s="107" t="str">
        <f>HYPERLINK(AB2 &amp; "/bottle/sn_cf6843231592b29e2586fa0d0359af6/rendering/16.obj", "2.05872711182")</f>
        <v>2.05872711182</v>
      </c>
      <c r="T189" s="72" t="str">
        <f>HYPERLINK(AB2 &amp; "/bottle/sn_cf6843231592b29e2586fa0d0359af6/rendering/17.obj", "2.31940765381")</f>
        <v>2.31940765381</v>
      </c>
      <c r="U189" s="33" t="str">
        <f>HYPERLINK(AB2 &amp; "/bottle/sn_cf6843231592b29e2586fa0d0359af6/rendering/18.obj", "2.48599990845")</f>
        <v>2.48599990845</v>
      </c>
      <c r="V189" s="70" t="str">
        <f>HYPERLINK(AB2 &amp; "/bottle/sn_cf6843231592b29e2586fa0d0359af6/rendering/19.obj", "1.96125091553")</f>
        <v>1.96125091553</v>
      </c>
      <c r="W189" s="12" t="s">
        <v>31</v>
      </c>
      <c r="X189" s="13">
        <v>2.243425903320313</v>
      </c>
      <c r="Y189" s="13">
        <v>0.23986577575084281</v>
      </c>
      <c r="Z189" s="33">
        <v>0.10691941079749361</v>
      </c>
    </row>
    <row r="190" spans="1:26" x14ac:dyDescent="0.2">
      <c r="A190" s="1">
        <v>188</v>
      </c>
      <c r="B190" s="2" t="s">
        <v>70</v>
      </c>
      <c r="C190" s="8" t="str">
        <f>HYPERLINK(AB2 &amp; "/bottle/sn_cf6843231592b29e2586fa0d0359af6/rendering/00.obj", "1.81094932556")</f>
        <v>1.81094932556</v>
      </c>
      <c r="D190" s="84" t="str">
        <f>HYPERLINK(AB2 &amp; "/bottle/sn_cf6843231592b29e2586fa0d0359af6/rendering/01.obj", "1.81826460361")</f>
        <v>1.81826460361</v>
      </c>
      <c r="E190" s="107" t="str">
        <f>HYPERLINK(AB2 &amp; "/bottle/sn_cf6843231592b29e2586fa0d0359af6/rendering/02.obj", "1.71592092514")</f>
        <v>1.71592092514</v>
      </c>
      <c r="F190" s="39" t="str">
        <f>HYPERLINK(AB2 &amp; "/bottle/sn_cf6843231592b29e2586fa0d0359af6/rendering/03.obj", "1.4491186142")</f>
        <v>1.4491186142</v>
      </c>
      <c r="G190" s="74" t="str">
        <f>HYPERLINK(AB2 &amp; "/bottle/sn_cf6843231592b29e2586fa0d0359af6/rendering/04.obj", "1.60803890228")</f>
        <v>1.60803890228</v>
      </c>
      <c r="H190" s="73" t="str">
        <f>HYPERLINK(AB2 &amp; "/bottle/sn_cf6843231592b29e2586fa0d0359af6/rendering/05.obj", "1.529099226")</f>
        <v>1.529099226</v>
      </c>
      <c r="I190" s="78" t="str">
        <f>HYPERLINK(AB2 &amp; "/bottle/sn_cf6843231592b29e2586fa0d0359af6/rendering/06.obj", "1.48896420002")</f>
        <v>1.48896420002</v>
      </c>
      <c r="J190" s="107" t="str">
        <f>HYPERLINK(AB2 &amp; "/bottle/sn_cf6843231592b29e2586fa0d0359af6/rendering/07.obj", "1.45270872116")</f>
        <v>1.45270872116</v>
      </c>
      <c r="K190" s="47" t="str">
        <f>HYPERLINK(AB2 &amp; "/bottle/sn_cf6843231592b29e2586fa0d0359af6/rendering/08.obj", "1.57460582256")</f>
        <v>1.57460582256</v>
      </c>
      <c r="L190" s="33" t="str">
        <f>HYPERLINK(AB2 &amp; "/bottle/sn_cf6843231592b29e2586fa0d0359af6/rendering/09.obj", "1.41553902626")</f>
        <v>1.41553902626</v>
      </c>
      <c r="M190" s="70" t="str">
        <f>HYPERLINK(AB2 &amp; "/bottle/sn_cf6843231592b29e2586fa0d0359af6/rendering/10.obj", "1.78732192516")</f>
        <v>1.78732192516</v>
      </c>
      <c r="N190" s="107" t="str">
        <f>HYPERLINK(AB2 &amp; "/bottle/sn_cf6843231592b29e2586fa0d0359af6/rendering/11.obj", "1.45075631142")</f>
        <v>1.45075631142</v>
      </c>
      <c r="O190" s="60" t="str">
        <f>HYPERLINK(AB2 &amp; "/bottle/sn_cf6843231592b29e2586fa0d0359af6/rendering/12.obj", "1.66537261009")</f>
        <v>1.66537261009</v>
      </c>
      <c r="P190" s="110" t="str">
        <f>HYPERLINK(AB2 &amp; "/bottle/sn_cf6843231592b29e2586fa0d0359af6/rendering/13.obj", "1.74276804924")</f>
        <v>1.74276804924</v>
      </c>
      <c r="Q190" s="5" t="str">
        <f>HYPERLINK(AB2 &amp; "/bottle/sn_cf6843231592b29e2586fa0d0359af6/rendering/14.obj", "1.46511662006")</f>
        <v>1.46511662006</v>
      </c>
      <c r="R190" s="41" t="str">
        <f>HYPERLINK(AB2 &amp; "/bottle/sn_cf6843231592b29e2586fa0d0359af6/rendering/15.obj", "1.47891283035")</f>
        <v>1.47891283035</v>
      </c>
      <c r="S190" s="69" t="str">
        <f>HYPERLINK(AB2 &amp; "/bottle/sn_cf6843231592b29e2586fa0d0359af6/rendering/16.obj", "1.63143467903")</f>
        <v>1.63143467903</v>
      </c>
      <c r="T190" s="94" t="str">
        <f>HYPERLINK(AB2 &amp; "/bottle/sn_cf6843231592b29e2586fa0d0359af6/rendering/17.obj", "1.46820116043")</f>
        <v>1.46820116043</v>
      </c>
      <c r="U190" s="90" t="str">
        <f>HYPERLINK(AB2 &amp; "/bottle/sn_cf6843231592b29e2586fa0d0359af6/rendering/18.obj", "1.73766791821")</f>
        <v>1.73766791821</v>
      </c>
      <c r="V190" s="106" t="str">
        <f>HYPERLINK(AB2 &amp; "/bottle/sn_cf6843231592b29e2586fa0d0359af6/rendering/19.obj", "1.40438389778")</f>
        <v>1.40438389778</v>
      </c>
      <c r="W190" s="12" t="s">
        <v>32</v>
      </c>
      <c r="X190" s="13">
        <v>1.584757268428802</v>
      </c>
      <c r="Y190" s="13">
        <v>0.13927191267249381</v>
      </c>
      <c r="Z190" s="38">
        <v>8.7882173154866808E-2</v>
      </c>
    </row>
    <row r="191" spans="1:26" x14ac:dyDescent="0.2">
      <c r="A191" s="1">
        <v>189</v>
      </c>
      <c r="B191" s="2" t="s">
        <v>70</v>
      </c>
      <c r="C191" s="13" t="str">
        <f>HYPERLINK(AC2 &amp; "/bottle/sn_cf6843231592b29e2586fa0d0359af6/rendering/00.xyz", "0.0")</f>
        <v>0.0</v>
      </c>
      <c r="D191" s="13" t="str">
        <f>HYPERLINK(AC2 &amp; "/bottle/sn_cf6843231592b29e2586fa0d0359af6/rendering/01.xyz", "0.0")</f>
        <v>0.0</v>
      </c>
      <c r="E191" s="13" t="str">
        <f>HYPERLINK(AC2 &amp; "/bottle/sn_cf6843231592b29e2586fa0d0359af6/rendering/02.xyz", "0.0")</f>
        <v>0.0</v>
      </c>
      <c r="F191" s="13" t="str">
        <f>HYPERLINK(AC2 &amp; "/bottle/sn_cf6843231592b29e2586fa0d0359af6/rendering/03.xyz", "0.0")</f>
        <v>0.0</v>
      </c>
      <c r="G191" s="13" t="str">
        <f>HYPERLINK(AC2 &amp; "/bottle/sn_cf6843231592b29e2586fa0d0359af6/rendering/04.xyz", "0.0")</f>
        <v>0.0</v>
      </c>
      <c r="H191" s="13" t="str">
        <f>HYPERLINK(AC2 &amp; "/bottle/sn_cf6843231592b29e2586fa0d0359af6/rendering/05.xyz", "0.0")</f>
        <v>0.0</v>
      </c>
      <c r="I191" s="13" t="str">
        <f>HYPERLINK(AC2 &amp; "/bottle/sn_cf6843231592b29e2586fa0d0359af6/rendering/06.xyz", "0.0")</f>
        <v>0.0</v>
      </c>
      <c r="J191" s="13" t="str">
        <f>HYPERLINK(AC2 &amp; "/bottle/sn_cf6843231592b29e2586fa0d0359af6/rendering/07.xyz", "0.0")</f>
        <v>0.0</v>
      </c>
      <c r="K191" s="13" t="str">
        <f>HYPERLINK(AC2 &amp; "/bottle/sn_cf6843231592b29e2586fa0d0359af6/rendering/08.xyz", "0.0")</f>
        <v>0.0</v>
      </c>
      <c r="L191" s="13" t="str">
        <f>HYPERLINK(AC2 &amp; "/bottle/sn_cf6843231592b29e2586fa0d0359af6/rendering/09.xyz", "0.0")</f>
        <v>0.0</v>
      </c>
      <c r="M191" s="13" t="str">
        <f>HYPERLINK(AC2 &amp; "/bottle/sn_cf6843231592b29e2586fa0d0359af6/rendering/10.xyz", "0.0")</f>
        <v>0.0</v>
      </c>
      <c r="N191" s="13" t="str">
        <f>HYPERLINK(AC2 &amp; "/bottle/sn_cf6843231592b29e2586fa0d0359af6/rendering/11.xyz", "0.0")</f>
        <v>0.0</v>
      </c>
      <c r="O191" s="13" t="str">
        <f>HYPERLINK(AC2 &amp; "/bottle/sn_cf6843231592b29e2586fa0d0359af6/rendering/12.xyz", "0.0")</f>
        <v>0.0</v>
      </c>
      <c r="P191" s="13" t="str">
        <f>HYPERLINK(AC2 &amp; "/bottle/sn_cf6843231592b29e2586fa0d0359af6/rendering/13.xyz", "0.0")</f>
        <v>0.0</v>
      </c>
      <c r="Q191" s="13" t="str">
        <f>HYPERLINK(AC2 &amp; "/bottle/sn_cf6843231592b29e2586fa0d0359af6/rendering/14.xyz", "0.0")</f>
        <v>0.0</v>
      </c>
      <c r="R191" s="13" t="str">
        <f>HYPERLINK(AC2 &amp; "/bottle/sn_cf6843231592b29e2586fa0d0359af6/rendering/15.xyz", "0.0")</f>
        <v>0.0</v>
      </c>
      <c r="S191" s="13" t="str">
        <f>HYPERLINK(AC2 &amp; "/bottle/sn_cf6843231592b29e2586fa0d0359af6/rendering/16.xyz", "0.0")</f>
        <v>0.0</v>
      </c>
      <c r="T191" s="13" t="str">
        <f>HYPERLINK(AC2 &amp; "/bottle/sn_cf6843231592b29e2586fa0d0359af6/rendering/17.xyz", "0.0")</f>
        <v>0.0</v>
      </c>
      <c r="U191" s="13" t="str">
        <f>HYPERLINK(AC2 &amp; "/bottle/sn_cf6843231592b29e2586fa0d0359af6/rendering/18.xyz", "0.0")</f>
        <v>0.0</v>
      </c>
      <c r="V191" s="13" t="str">
        <f>HYPERLINK(AC2 &amp; "/bottle/sn_cf6843231592b29e2586fa0d0359af6/rendering/19.xyz", "0.0")</f>
        <v>0.0</v>
      </c>
      <c r="W191" s="12" t="s">
        <v>33</v>
      </c>
      <c r="X191" s="13">
        <v>0</v>
      </c>
      <c r="Y191" s="13">
        <v>0</v>
      </c>
      <c r="Z191" s="13">
        <v>0</v>
      </c>
    </row>
    <row r="192" spans="1:26" x14ac:dyDescent="0.2">
      <c r="A192" s="1">
        <v>190</v>
      </c>
      <c r="B192" s="2" t="s">
        <v>71</v>
      </c>
      <c r="C192" s="31" t="str">
        <f>HYPERLINK(AA2 &amp; "/bottle/sn_cf7a79435eb5b1bdb0be98650cd7fb6f/rendering/00.obj", "4.07383728027")</f>
        <v>4.07383728027</v>
      </c>
      <c r="D192" s="90" t="str">
        <f>HYPERLINK(AA2 &amp; "/bottle/sn_cf7a79435eb5b1bdb0be98650cd7fb6f/rendering/01.obj", "3.18709472656")</f>
        <v>3.18709472656</v>
      </c>
      <c r="E192" s="129" t="str">
        <f>HYPERLINK(AA2 &amp; "/bottle/sn_cf7a79435eb5b1bdb0be98650cd7fb6f/rendering/02.obj", "4.40988952637")</f>
        <v>4.40988952637</v>
      </c>
      <c r="F192" s="28" t="str">
        <f>HYPERLINK(AA2 &amp; "/bottle/sn_cf7a79435eb5b1bdb0be98650cd7fb6f/rendering/03.obj", "3.13913452148")</f>
        <v>3.13913452148</v>
      </c>
      <c r="G192" s="72" t="str">
        <f>HYPERLINK(AA2 &amp; "/bottle/sn_cf7a79435eb5b1bdb0be98650cd7fb6f/rendering/04.obj", "3.40868835449")</f>
        <v>3.40868835449</v>
      </c>
      <c r="H192" s="78" t="str">
        <f>HYPERLINK(AA2 &amp; "/bottle/sn_cf7a79435eb5b1bdb0be98650cd7fb6f/rendering/05.obj", "3.74256286621")</f>
        <v>3.74256286621</v>
      </c>
      <c r="I192" s="5" t="str">
        <f>HYPERLINK(AA2 &amp; "/bottle/sn_cf7a79435eb5b1bdb0be98650cd7fb6f/rendering/06.obj", "3.2624105835")</f>
        <v>3.2624105835</v>
      </c>
      <c r="J192" s="68" t="str">
        <f>HYPERLINK(AA2 &amp; "/bottle/sn_cf7a79435eb5b1bdb0be98650cd7fb6f/rendering/07.obj", "3.37636413574")</f>
        <v>3.37636413574</v>
      </c>
      <c r="K192" s="71" t="str">
        <f>HYPERLINK(AA2 &amp; "/bottle/sn_cf7a79435eb5b1bdb0be98650cd7fb6f/rendering/08.obj", "3.11756347656")</f>
        <v>3.11756347656</v>
      </c>
      <c r="L192" s="38" t="str">
        <f>HYPERLINK(AA2 &amp; "/bottle/sn_cf7a79435eb5b1bdb0be98650cd7fb6f/rendering/09.obj", "3.21793060303")</f>
        <v>3.21793060303</v>
      </c>
      <c r="M192" s="94" t="str">
        <f>HYPERLINK(AA2 &amp; "/bottle/sn_cf7a79435eb5b1bdb0be98650cd7fb6f/rendering/10.obj", "3.27386962891")</f>
        <v>3.27386962891</v>
      </c>
      <c r="N192" s="44" t="str">
        <f>HYPERLINK(AA2 &amp; "/bottle/sn_cf7a79435eb5b1bdb0be98650cd7fb6f/rendering/11.obj", "4.22421966553")</f>
        <v>4.22421966553</v>
      </c>
      <c r="O192" s="28" t="str">
        <f>HYPERLINK(AA2 &amp; "/bottle/sn_cf7a79435eb5b1bdb0be98650cd7fb6f/rendering/12.obj", "3.13572357178")</f>
        <v>3.13572357178</v>
      </c>
      <c r="P192" s="26" t="str">
        <f>HYPERLINK(AA2 &amp; "/bottle/sn_cf7a79435eb5b1bdb0be98650cd7fb6f/rendering/13.obj", "3.75885559082")</f>
        <v>3.75885559082</v>
      </c>
      <c r="Q192" s="51" t="str">
        <f>HYPERLINK(AA2 &amp; "/bottle/sn_cf7a79435eb5b1bdb0be98650cd7fb6f/rendering/14.obj", "3.24866394043")</f>
        <v>3.24866394043</v>
      </c>
      <c r="R192" s="110" t="str">
        <f>HYPERLINK(AA2 &amp; "/bottle/sn_cf7a79435eb5b1bdb0be98650cd7fb6f/rendering/15.obj", "3.18267333984")</f>
        <v>3.18267333984</v>
      </c>
      <c r="S192" s="172" t="str">
        <f>HYPERLINK(AA2 &amp; "/bottle/sn_cf7a79435eb5b1bdb0be98650cd7fb6f/rendering/16.obj", "4.88596557617")</f>
        <v>4.88596557617</v>
      </c>
      <c r="T192" s="48" t="str">
        <f>HYPERLINK(AA2 &amp; "/bottle/sn_cf7a79435eb5b1bdb0be98650cd7fb6f/rendering/17.obj", "3.4447567749")</f>
        <v>3.4447567749</v>
      </c>
      <c r="U192" s="55" t="str">
        <f>HYPERLINK(AA2 &amp; "/bottle/sn_cf7a79435eb5b1bdb0be98650cd7fb6f/rendering/18.obj", "2.84739196777")</f>
        <v>2.84739196777</v>
      </c>
      <c r="V192" s="72" t="str">
        <f>HYPERLINK(AA2 &amp; "/bottle/sn_cf7a79435eb5b1bdb0be98650cd7fb6f/rendering/19.obj", "3.65121643066")</f>
        <v>3.65121643066</v>
      </c>
      <c r="W192" s="12" t="s">
        <v>29</v>
      </c>
      <c r="X192" s="13">
        <v>3.5294406280517578</v>
      </c>
      <c r="Y192" s="13">
        <v>0.50222661194166784</v>
      </c>
      <c r="Z192" s="8">
        <v>0.14229637635777309</v>
      </c>
    </row>
    <row r="193" spans="1:26" x14ac:dyDescent="0.2">
      <c r="A193" s="1">
        <v>191</v>
      </c>
      <c r="B193" s="2" t="s">
        <v>71</v>
      </c>
      <c r="C193" s="140" t="str">
        <f>HYPERLINK(AA2 &amp; "/bottle/sn_cf7a79435eb5b1bdb0be98650cd7fb6f/rendering/00.obj", "6.9765086174")</f>
        <v>6.9765086174</v>
      </c>
      <c r="D193" s="34" t="str">
        <f>HYPERLINK(AA2 &amp; "/bottle/sn_cf7a79435eb5b1bdb0be98650cd7fb6f/rendering/01.obj", "4.93733978271")</f>
        <v>4.93733978271</v>
      </c>
      <c r="E193" s="144" t="str">
        <f>HYPERLINK(AA2 &amp; "/bottle/sn_cf7a79435eb5b1bdb0be98650cd7fb6f/rendering/02.obj", "7.79614400864")</f>
        <v>7.79614400864</v>
      </c>
      <c r="F193" s="120" t="str">
        <f>HYPERLINK(AA2 &amp; "/bottle/sn_cf7a79435eb5b1bdb0be98650cd7fb6f/rendering/03.obj", "4.07932281494")</f>
        <v>4.07932281494</v>
      </c>
      <c r="G193" s="69" t="str">
        <f>HYPERLINK(AA2 &amp; "/bottle/sn_cf7a79435eb5b1bdb0be98650cd7fb6f/rendering/04.obj", "5.34355306625")</f>
        <v>5.34355306625</v>
      </c>
      <c r="H193" s="5" t="str">
        <f>HYPERLINK(AA2 &amp; "/bottle/sn_cf7a79435eb5b1bdb0be98650cd7fb6f/rendering/05.obj", "4.78009366989")</f>
        <v>4.78009366989</v>
      </c>
      <c r="I193" s="30" t="str">
        <f>HYPERLINK(AA2 &amp; "/bottle/sn_cf7a79435eb5b1bdb0be98650cd7fb6f/rendering/06.obj", "5.20674514771")</f>
        <v>5.20674514771</v>
      </c>
      <c r="J193" s="76" t="str">
        <f>HYPERLINK(AA2 &amp; "/bottle/sn_cf7a79435eb5b1bdb0be98650cd7fb6f/rendering/07.obj", "4.23293066025")</f>
        <v>4.23293066025</v>
      </c>
      <c r="K193" s="46" t="str">
        <f>HYPERLINK(AA2 &amp; "/bottle/sn_cf7a79435eb5b1bdb0be98650cd7fb6f/rendering/08.obj", "5.09868431091")</f>
        <v>5.09868431091</v>
      </c>
      <c r="L193" s="88" t="str">
        <f>HYPERLINK(AA2 &amp; "/bottle/sn_cf7a79435eb5b1bdb0be98650cd7fb6f/rendering/09.obj", "4.13195466995")</f>
        <v>4.13195466995</v>
      </c>
      <c r="M193" s="79" t="str">
        <f>HYPERLINK(AA2 &amp; "/bottle/sn_cf7a79435eb5b1bdb0be98650cd7fb6f/rendering/10.obj", "4.3541264534")</f>
        <v>4.3541264534</v>
      </c>
      <c r="N193" s="126" t="str">
        <f>HYPERLINK(AA2 &amp; "/bottle/sn_cf7a79435eb5b1bdb0be98650cd7fb6f/rendering/11.obj", "7.77440023422")</f>
        <v>7.77440023422</v>
      </c>
      <c r="O193" s="65" t="str">
        <f>HYPERLINK(AA2 &amp; "/bottle/sn_cf7a79435eb5b1bdb0be98650cd7fb6f/rendering/12.obj", "4.49796485901")</f>
        <v>4.49796485901</v>
      </c>
      <c r="P193" s="46" t="str">
        <f>HYPERLINK(AA2 &amp; "/bottle/sn_cf7a79435eb5b1bdb0be98650cd7fb6f/rendering/13.obj", "5.09522819519")</f>
        <v>5.09522819519</v>
      </c>
      <c r="Q193" s="60" t="str">
        <f>HYPERLINK(AA2 &amp; "/bottle/sn_cf7a79435eb5b1bdb0be98650cd7fb6f/rendering/14.obj", "4.91225099564")</f>
        <v>4.91225099564</v>
      </c>
      <c r="R193" s="63" t="str">
        <f>HYPERLINK(AA2 &amp; "/bottle/sn_cf7a79435eb5b1bdb0be98650cd7fb6f/rendering/15.obj", "4.55794095993")</f>
        <v>4.55794095993</v>
      </c>
      <c r="S193" s="38" t="str">
        <f>HYPERLINK(AA2 &amp; "/bottle/sn_cf7a79435eb5b1bdb0be98650cd7fb6f/rendering/16.obj", "5.65313625336")</f>
        <v>5.65313625336</v>
      </c>
      <c r="T193" s="91" t="str">
        <f>HYPERLINK(AA2 &amp; "/bottle/sn_cf7a79435eb5b1bdb0be98650cd7fb6f/rendering/17.obj", "5.05037879944")</f>
        <v>5.05037879944</v>
      </c>
      <c r="U193" s="59" t="str">
        <f>HYPERLINK(AA2 &amp; "/bottle/sn_cf7a79435eb5b1bdb0be98650cd7fb6f/rendering/18.obj", "3.93526506424")</f>
        <v>3.93526506424</v>
      </c>
      <c r="V193" s="25" t="str">
        <f>HYPERLINK(AA2 &amp; "/bottle/sn_cf7a79435eb5b1bdb0be98650cd7fb6f/rendering/19.obj", "5.24495267868")</f>
        <v>5.24495267868</v>
      </c>
      <c r="W193" s="12" t="s">
        <v>30</v>
      </c>
      <c r="X193" s="13">
        <v>5.1829460620880123</v>
      </c>
      <c r="Y193" s="13">
        <v>1.0878746081281601</v>
      </c>
      <c r="Z193" s="49">
        <v>0.20989502786565681</v>
      </c>
    </row>
    <row r="194" spans="1:26" x14ac:dyDescent="0.2">
      <c r="A194" s="1">
        <v>192</v>
      </c>
      <c r="B194" s="2" t="s">
        <v>71</v>
      </c>
      <c r="C194" s="64" t="str">
        <f>HYPERLINK(AB2 &amp; "/bottle/sn_cf7a79435eb5b1bdb0be98650cd7fb6f/rendering/00.obj", "3.7370993042")</f>
        <v>3.7370993042</v>
      </c>
      <c r="D194" s="5" t="str">
        <f>HYPERLINK(AB2 &amp; "/bottle/sn_cf7a79435eb5b1bdb0be98650cd7fb6f/rendering/01.obj", "2.9575769043")</f>
        <v>2.9575769043</v>
      </c>
      <c r="E194" s="67" t="str">
        <f>HYPERLINK(AB2 &amp; "/bottle/sn_cf7a79435eb5b1bdb0be98650cd7fb6f/rendering/02.obj", "3.50726104736")</f>
        <v>3.50726104736</v>
      </c>
      <c r="F194" s="63" t="str">
        <f>HYPERLINK(AB2 &amp; "/bottle/sn_cf7a79435eb5b1bdb0be98650cd7fb6f/rendering/03.obj", "2.81623077393")</f>
        <v>2.81623077393</v>
      </c>
      <c r="G194" s="40" t="str">
        <f>HYPERLINK(AB2 &amp; "/bottle/sn_cf7a79435eb5b1bdb0be98650cd7fb6f/rendering/04.obj", "3.75927612305")</f>
        <v>3.75927612305</v>
      </c>
      <c r="H194" s="84" t="str">
        <f>HYPERLINK(AB2 &amp; "/bottle/sn_cf7a79435eb5b1bdb0be98650cd7fb6f/rendering/05.obj", "3.67917175293")</f>
        <v>3.67917175293</v>
      </c>
      <c r="I194" s="47" t="str">
        <f>HYPERLINK(AB2 &amp; "/bottle/sn_cf7a79435eb5b1bdb0be98650cd7fb6f/rendering/06.obj", "3.18382354736")</f>
        <v>3.18382354736</v>
      </c>
      <c r="J194" s="25" t="str">
        <f>HYPERLINK(AB2 &amp; "/bottle/sn_cf7a79435eb5b1bdb0be98650cd7fb6f/rendering/07.obj", "3.24436035156")</f>
        <v>3.24436035156</v>
      </c>
      <c r="K194" s="29" t="str">
        <f>HYPERLINK(AB2 &amp; "/bottle/sn_cf7a79435eb5b1bdb0be98650cd7fb6f/rendering/08.obj", "3.62184020996")</f>
        <v>3.62184020996</v>
      </c>
      <c r="L194" s="64" t="str">
        <f>HYPERLINK(AB2 &amp; "/bottle/sn_cf7a79435eb5b1bdb0be98650cd7fb6f/rendering/09.obj", "2.67648376465")</f>
        <v>2.67648376465</v>
      </c>
      <c r="M194" s="31" t="str">
        <f>HYPERLINK(AB2 &amp; "/bottle/sn_cf7a79435eb5b1bdb0be98650cd7fb6f/rendering/10.obj", "2.71280029297")</f>
        <v>2.71280029297</v>
      </c>
      <c r="N194" s="26" t="str">
        <f>HYPERLINK(AB2 &amp; "/bottle/sn_cf7a79435eb5b1bdb0be98650cd7fb6f/rendering/11.obj", "3.41408630371")</f>
        <v>3.41408630371</v>
      </c>
      <c r="O194" s="77" t="str">
        <f>HYPERLINK(AB2 &amp; "/bottle/sn_cf7a79435eb5b1bdb0be98650cd7fb6f/rendering/12.obj", "3.81184265137")</f>
        <v>3.81184265137</v>
      </c>
      <c r="P194" s="32" t="str">
        <f>HYPERLINK(AB2 &amp; "/bottle/sn_cf7a79435eb5b1bdb0be98650cd7fb6f/rendering/13.obj", "2.86735565186")</f>
        <v>2.86735565186</v>
      </c>
      <c r="Q194" s="27" t="str">
        <f>HYPERLINK(AB2 &amp; "/bottle/sn_cf7a79435eb5b1bdb0be98650cd7fb6f/rendering/14.obj", "2.98630462646")</f>
        <v>2.98630462646</v>
      </c>
      <c r="R194" s="47" t="str">
        <f>HYPERLINK(AB2 &amp; "/bottle/sn_cf7a79435eb5b1bdb0be98650cd7fb6f/rendering/15.obj", "3.18471984863")</f>
        <v>3.18471984863</v>
      </c>
      <c r="S194" s="47" t="str">
        <f>HYPERLINK(AB2 &amp; "/bottle/sn_cf7a79435eb5b1bdb0be98650cd7fb6f/rendering/16.obj", "3.18684509277")</f>
        <v>3.18684509277</v>
      </c>
      <c r="T194" s="23" t="str">
        <f>HYPERLINK(AB2 &amp; "/bottle/sn_cf7a79435eb5b1bdb0be98650cd7fb6f/rendering/17.obj", "3.07804199219")</f>
        <v>3.07804199219</v>
      </c>
      <c r="U194" s="90" t="str">
        <f>HYPERLINK(AB2 &amp; "/bottle/sn_cf7a79435eb5b1bdb0be98650cd7fb6f/rendering/18.obj", "2.9061151123")</f>
        <v>2.9061151123</v>
      </c>
      <c r="V194" s="106" t="str">
        <f>HYPERLINK(AB2 &amp; "/bottle/sn_cf7a79435eb5b1bdb0be98650cd7fb6f/rendering/19.obj", "2.84017852783")</f>
        <v>2.84017852783</v>
      </c>
      <c r="W194" s="12" t="s">
        <v>31</v>
      </c>
      <c r="X194" s="13">
        <v>3.2085706939697269</v>
      </c>
      <c r="Y194" s="13">
        <v>0.36256674895127439</v>
      </c>
      <c r="Z194" s="106">
        <v>0.1129994578684808</v>
      </c>
    </row>
    <row r="195" spans="1:26" x14ac:dyDescent="0.2">
      <c r="A195" s="1">
        <v>193</v>
      </c>
      <c r="B195" s="2" t="s">
        <v>71</v>
      </c>
      <c r="C195" s="85" t="str">
        <f>HYPERLINK(AB2 &amp; "/bottle/sn_cf7a79435eb5b1bdb0be98650cd7fb6f/rendering/00.obj", "5.88774776459")</f>
        <v>5.88774776459</v>
      </c>
      <c r="D195" s="80" t="str">
        <f>HYPERLINK(AB2 &amp; "/bottle/sn_cf7a79435eb5b1bdb0be98650cd7fb6f/rendering/01.obj", "3.86534333229")</f>
        <v>3.86534333229</v>
      </c>
      <c r="E195" s="83" t="str">
        <f>HYPERLINK(AB2 &amp; "/bottle/sn_cf7a79435eb5b1bdb0be98650cd7fb6f/rendering/02.obj", "5.24369287491")</f>
        <v>5.24369287491</v>
      </c>
      <c r="F195" s="36" t="str">
        <f>HYPERLINK(AB2 &amp; "/bottle/sn_cf7a79435eb5b1bdb0be98650cd7fb6f/rendering/03.obj", "3.56364917755")</f>
        <v>3.56364917755</v>
      </c>
      <c r="G195" s="86" t="str">
        <f>HYPERLINK(AB2 &amp; "/bottle/sn_cf7a79435eb5b1bdb0be98650cd7fb6f/rendering/04.obj", "5.76043605804")</f>
        <v>5.76043605804</v>
      </c>
      <c r="H195" s="27" t="str">
        <f>HYPERLINK(AB2 &amp; "/bottle/sn_cf7a79435eb5b1bdb0be98650cd7fb6f/rendering/05.obj", "4.86190748215")</f>
        <v>4.86190748215</v>
      </c>
      <c r="I195" s="133" t="str">
        <f>HYPERLINK(AB2 &amp; "/bottle/sn_cf7a79435eb5b1bdb0be98650cd7fb6f/rendering/06.obj", "4.08701753616")</f>
        <v>4.08701753616</v>
      </c>
      <c r="J195" s="38" t="str">
        <f>HYPERLINK(AB2 &amp; "/bottle/sn_cf7a79435eb5b1bdb0be98650cd7fb6f/rendering/07.obj", "4.13968038559")</f>
        <v>4.13968038559</v>
      </c>
      <c r="K195" s="85" t="str">
        <f>HYPERLINK(AB2 &amp; "/bottle/sn_cf7a79435eb5b1bdb0be98650cd7fb6f/rendering/08.obj", "5.89605951309")</f>
        <v>5.89605951309</v>
      </c>
      <c r="L195" s="134" t="str">
        <f>HYPERLINK(AB2 &amp; "/bottle/sn_cf7a79435eb5b1bdb0be98650cd7fb6f/rendering/09.obj", "3.72334337234")</f>
        <v>3.72334337234</v>
      </c>
      <c r="M195" s="64" t="str">
        <f>HYPERLINK(AB2 &amp; "/bottle/sn_cf7a79435eb5b1bdb0be98650cd7fb6f/rendering/10.obj", "3.80125355721")</f>
        <v>3.80125355721</v>
      </c>
      <c r="N195" s="17" t="str">
        <f>HYPERLINK(AB2 &amp; "/bottle/sn_cf7a79435eb5b1bdb0be98650cd7fb6f/rendering/11.obj", "4.64110279083")</f>
        <v>4.64110279083</v>
      </c>
      <c r="O195" s="138" t="str">
        <f>HYPERLINK(AB2 &amp; "/bottle/sn_cf7a79435eb5b1bdb0be98650cd7fb6f/rendering/12.obj", "6.08003854752")</f>
        <v>6.08003854752</v>
      </c>
      <c r="P195" s="42" t="str">
        <f>HYPERLINK(AB2 &amp; "/bottle/sn_cf7a79435eb5b1bdb0be98650cd7fb6f/rendering/13.obj", "3.91956877708")</f>
        <v>3.91956877708</v>
      </c>
      <c r="Q195" s="32" t="str">
        <f>HYPERLINK(AB2 &amp; "/bottle/sn_cf7a79435eb5b1bdb0be98650cd7fb6f/rendering/14.obj", "4.06268501282")</f>
        <v>4.06268501282</v>
      </c>
      <c r="R195" s="33" t="str">
        <f>HYPERLINK(AB2 &amp; "/bottle/sn_cf7a79435eb5b1bdb0be98650cd7fb6f/rendering/15.obj", "4.04769039154")</f>
        <v>4.04769039154</v>
      </c>
      <c r="S195" s="13" t="str">
        <f>HYPERLINK(AB2 &amp; "/bottle/sn_cf7a79435eb5b1bdb0be98650cd7fb6f/rendering/16.obj", "4.53740310669")</f>
        <v>4.53740310669</v>
      </c>
      <c r="T195" s="39" t="str">
        <f>HYPERLINK(AB2 &amp; "/bottle/sn_cf7a79435eb5b1bdb0be98650cd7fb6f/rendering/17.obj", "4.93741035461")</f>
        <v>4.93741035461</v>
      </c>
      <c r="U195" s="70" t="str">
        <f>HYPERLINK(AB2 &amp; "/bottle/sn_cf7a79435eb5b1bdb0be98650cd7fb6f/rendering/18.obj", "3.96918129921")</f>
        <v>3.96918129921</v>
      </c>
      <c r="V195" s="84" t="str">
        <f>HYPERLINK(AB2 &amp; "/bottle/sn_cf7a79435eb5b1bdb0be98650cd7fb6f/rendering/19.obj", "3.87808656693")</f>
        <v>3.87808656693</v>
      </c>
      <c r="W195" s="12" t="s">
        <v>32</v>
      </c>
      <c r="X195" s="13">
        <v>4.5451648950576784</v>
      </c>
      <c r="Y195" s="13">
        <v>0.80276350360516568</v>
      </c>
      <c r="Z195" s="117">
        <v>0.17661922551546469</v>
      </c>
    </row>
    <row r="196" spans="1:26" x14ac:dyDescent="0.2">
      <c r="A196" s="1">
        <v>194</v>
      </c>
      <c r="B196" s="2" t="s">
        <v>71</v>
      </c>
      <c r="C196" s="13" t="str">
        <f>HYPERLINK(AC2 &amp; "/bottle/sn_cf7a79435eb5b1bdb0be98650cd7fb6f/rendering/00.xyz", "0.0")</f>
        <v>0.0</v>
      </c>
      <c r="D196" s="13" t="str">
        <f>HYPERLINK(AC2 &amp; "/bottle/sn_cf7a79435eb5b1bdb0be98650cd7fb6f/rendering/01.xyz", "0.0")</f>
        <v>0.0</v>
      </c>
      <c r="E196" s="13" t="str">
        <f>HYPERLINK(AC2 &amp; "/bottle/sn_cf7a79435eb5b1bdb0be98650cd7fb6f/rendering/02.xyz", "0.0")</f>
        <v>0.0</v>
      </c>
      <c r="F196" s="13" t="str">
        <f>HYPERLINK(AC2 &amp; "/bottle/sn_cf7a79435eb5b1bdb0be98650cd7fb6f/rendering/03.xyz", "0.0")</f>
        <v>0.0</v>
      </c>
      <c r="G196" s="13" t="str">
        <f>HYPERLINK(AC2 &amp; "/bottle/sn_cf7a79435eb5b1bdb0be98650cd7fb6f/rendering/04.xyz", "0.0")</f>
        <v>0.0</v>
      </c>
      <c r="H196" s="13" t="str">
        <f>HYPERLINK(AC2 &amp; "/bottle/sn_cf7a79435eb5b1bdb0be98650cd7fb6f/rendering/05.xyz", "0.0")</f>
        <v>0.0</v>
      </c>
      <c r="I196" s="13" t="str">
        <f>HYPERLINK(AC2 &amp; "/bottle/sn_cf7a79435eb5b1bdb0be98650cd7fb6f/rendering/06.xyz", "0.0")</f>
        <v>0.0</v>
      </c>
      <c r="J196" s="13" t="str">
        <f>HYPERLINK(AC2 &amp; "/bottle/sn_cf7a79435eb5b1bdb0be98650cd7fb6f/rendering/07.xyz", "0.0")</f>
        <v>0.0</v>
      </c>
      <c r="K196" s="13" t="str">
        <f>HYPERLINK(AC2 &amp; "/bottle/sn_cf7a79435eb5b1bdb0be98650cd7fb6f/rendering/08.xyz", "0.0")</f>
        <v>0.0</v>
      </c>
      <c r="L196" s="13" t="str">
        <f>HYPERLINK(AC2 &amp; "/bottle/sn_cf7a79435eb5b1bdb0be98650cd7fb6f/rendering/09.xyz", "0.0")</f>
        <v>0.0</v>
      </c>
      <c r="M196" s="13" t="str">
        <f>HYPERLINK(AC2 &amp; "/bottle/sn_cf7a79435eb5b1bdb0be98650cd7fb6f/rendering/10.xyz", "0.0")</f>
        <v>0.0</v>
      </c>
      <c r="N196" s="13" t="str">
        <f>HYPERLINK(AC2 &amp; "/bottle/sn_cf7a79435eb5b1bdb0be98650cd7fb6f/rendering/11.xyz", "0.0")</f>
        <v>0.0</v>
      </c>
      <c r="O196" s="13" t="str">
        <f>HYPERLINK(AC2 &amp; "/bottle/sn_cf7a79435eb5b1bdb0be98650cd7fb6f/rendering/12.xyz", "0.0")</f>
        <v>0.0</v>
      </c>
      <c r="P196" s="13" t="str">
        <f>HYPERLINK(AC2 &amp; "/bottle/sn_cf7a79435eb5b1bdb0be98650cd7fb6f/rendering/13.xyz", "0.0")</f>
        <v>0.0</v>
      </c>
      <c r="Q196" s="13" t="str">
        <f>HYPERLINK(AC2 &amp; "/bottle/sn_cf7a79435eb5b1bdb0be98650cd7fb6f/rendering/14.xyz", "0.0")</f>
        <v>0.0</v>
      </c>
      <c r="R196" s="13" t="str">
        <f>HYPERLINK(AC2 &amp; "/bottle/sn_cf7a79435eb5b1bdb0be98650cd7fb6f/rendering/15.xyz", "0.0")</f>
        <v>0.0</v>
      </c>
      <c r="S196" s="13" t="str">
        <f>HYPERLINK(AC2 &amp; "/bottle/sn_cf7a79435eb5b1bdb0be98650cd7fb6f/rendering/16.xyz", "0.0")</f>
        <v>0.0</v>
      </c>
      <c r="T196" s="13" t="str">
        <f>HYPERLINK(AC2 &amp; "/bottle/sn_cf7a79435eb5b1bdb0be98650cd7fb6f/rendering/17.xyz", "0.0")</f>
        <v>0.0</v>
      </c>
      <c r="U196" s="13" t="str">
        <f>HYPERLINK(AC2 &amp; "/bottle/sn_cf7a79435eb5b1bdb0be98650cd7fb6f/rendering/18.xyz", "0.0")</f>
        <v>0.0</v>
      </c>
      <c r="V196" s="13" t="str">
        <f>HYPERLINK(AC2 &amp; "/bottle/sn_cf7a79435eb5b1bdb0be98650cd7fb6f/rendering/19.xyz", "0.0")</f>
        <v>0.0</v>
      </c>
      <c r="W196" s="12" t="s">
        <v>33</v>
      </c>
      <c r="X196" s="13">
        <v>0</v>
      </c>
      <c r="Y196" s="13">
        <v>0</v>
      </c>
      <c r="Z196" s="13">
        <v>0</v>
      </c>
    </row>
    <row r="197" spans="1:26" x14ac:dyDescent="0.2">
      <c r="A197" s="1">
        <v>195</v>
      </c>
      <c r="B197" s="2" t="s">
        <v>72</v>
      </c>
      <c r="C197" s="121" t="str">
        <f>HYPERLINK(AA2 &amp; "/bottle/sn_d10b549075e8f3812adf8abaa25e0215/rendering/00.obj", "2.16555450439")</f>
        <v>2.16555450439</v>
      </c>
      <c r="D197" s="134" t="str">
        <f>HYPERLINK(AA2 &amp; "/bottle/sn_d10b549075e8f3812adf8abaa25e0215/rendering/01.obj", "2.7328503418")</f>
        <v>2.7328503418</v>
      </c>
      <c r="E197" s="215" t="str">
        <f>HYPERLINK(AA2 &amp; "/bottle/sn_d10b549075e8f3812adf8abaa25e0215/rendering/02.obj", "5.57569519043")</f>
        <v>5.57569519043</v>
      </c>
      <c r="F197" s="113" t="str">
        <f>HYPERLINK(AA2 &amp; "/bottle/sn_d10b549075e8f3812adf8abaa25e0215/rendering/03.obj", "2.42778839111")</f>
        <v>2.42778839111</v>
      </c>
      <c r="G197" s="39" t="str">
        <f>HYPERLINK(AA2 &amp; "/bottle/sn_d10b549075e8f3812adf8abaa25e0215/rendering/04.obj", "3.05469665527")</f>
        <v>3.05469665527</v>
      </c>
      <c r="H197" s="50" t="str">
        <f>HYPERLINK(AA2 &amp; "/bottle/sn_d10b549075e8f3812adf8abaa25e0215/rendering/05.obj", "2.6780581665")</f>
        <v>2.6780581665</v>
      </c>
      <c r="I197" s="117" t="str">
        <f>HYPERLINK(AA2 &amp; "/bottle/sn_d10b549075e8f3812adf8abaa25e0215/rendering/06.obj", "3.93676757812")</f>
        <v>3.93676757812</v>
      </c>
      <c r="J197" s="47" t="str">
        <f>HYPERLINK(AA2 &amp; "/bottle/sn_d10b549075e8f3812adf8abaa25e0215/rendering/07.obj", "3.3166583252")</f>
        <v>3.3166583252</v>
      </c>
      <c r="K197" s="119" t="str">
        <f>HYPERLINK(AA2 &amp; "/bottle/sn_d10b549075e8f3812adf8abaa25e0215/rendering/08.obj", "2.45823852539")</f>
        <v>2.45823852539</v>
      </c>
      <c r="L197" s="58" t="str">
        <f>HYPERLINK(AA2 &amp; "/bottle/sn_d10b549075e8f3812adf8abaa25e0215/rendering/09.obj", "2.53030441284")</f>
        <v>2.53030441284</v>
      </c>
      <c r="M197" s="53" t="str">
        <f>HYPERLINK(AA2 &amp; "/bottle/sn_d10b549075e8f3812adf8abaa25e0215/rendering/10.obj", "4.72122131348")</f>
        <v>4.72122131348</v>
      </c>
      <c r="N197" s="6" t="str">
        <f>HYPERLINK(AA2 &amp; "/bottle/sn_d10b549075e8f3812adf8abaa25e0215/rendering/11.obj", "3.19164855957")</f>
        <v>3.19164855957</v>
      </c>
      <c r="O197" s="14" t="str">
        <f>HYPERLINK(AA2 &amp; "/bottle/sn_d10b549075e8f3812adf8abaa25e0215/rendering/12.obj", "2.37601654053")</f>
        <v>2.37601654053</v>
      </c>
      <c r="P197" s="50" t="str">
        <f>HYPERLINK(AA2 &amp; "/bottle/sn_d10b549075e8f3812adf8abaa25e0215/rendering/13.obj", "2.67360900879")</f>
        <v>2.67360900879</v>
      </c>
      <c r="Q197" s="101" t="str">
        <f>HYPERLINK(AA2 &amp; "/bottle/sn_d10b549075e8f3812adf8abaa25e0215/rendering/14.obj", "4.60631286621")</f>
        <v>4.60631286621</v>
      </c>
      <c r="R197" s="102" t="str">
        <f>HYPERLINK(AA2 &amp; "/bottle/sn_d10b549075e8f3812adf8abaa25e0215/rendering/15.obj", "5.0023815918")</f>
        <v>5.0023815918</v>
      </c>
      <c r="S197" s="92" t="str">
        <f>HYPERLINK(AA2 &amp; "/bottle/sn_d10b549075e8f3812adf8abaa25e0215/rendering/16.obj", "2.9257723999")</f>
        <v>2.9257723999</v>
      </c>
      <c r="T197" s="48" t="str">
        <f>HYPERLINK(AA2 &amp; "/bottle/sn_d10b549075e8f3812adf8abaa25e0215/rendering/17.obj", "3.42003143311")</f>
        <v>3.42003143311</v>
      </c>
      <c r="U197" s="149" t="str">
        <f>HYPERLINK(AA2 &amp; "/bottle/sn_d10b549075e8f3812adf8abaa25e0215/rendering/18.obj", "4.48418762207")</f>
        <v>4.48418762207</v>
      </c>
      <c r="V197" s="58" t="str">
        <f>HYPERLINK(AA2 &amp; "/bottle/sn_d10b549075e8f3812adf8abaa25e0215/rendering/19.obj", "2.52318283081")</f>
        <v>2.52318283081</v>
      </c>
      <c r="W197" s="12" t="s">
        <v>29</v>
      </c>
      <c r="X197" s="13">
        <v>3.3400488128662098</v>
      </c>
      <c r="Y197" s="13">
        <v>0.99278132014443177</v>
      </c>
      <c r="Z197" s="85">
        <v>0.29723557222281788</v>
      </c>
    </row>
    <row r="198" spans="1:26" x14ac:dyDescent="0.2">
      <c r="A198" s="1">
        <v>196</v>
      </c>
      <c r="B198" s="2" t="s">
        <v>72</v>
      </c>
      <c r="C198" s="52" t="str">
        <f>HYPERLINK(AA2 &amp; "/bottle/sn_d10b549075e8f3812adf8abaa25e0215/rendering/00.obj", "1.52726209164")</f>
        <v>1.52726209164</v>
      </c>
      <c r="D198" s="14" t="str">
        <f>HYPERLINK(AA2 &amp; "/bottle/sn_d10b549075e8f3812adf8abaa25e0215/rendering/01.obj", "1.80151581764")</f>
        <v>1.80151581764</v>
      </c>
      <c r="E198" s="20" t="str">
        <f>HYPERLINK(AA2 &amp; "/bottle/sn_d10b549075e8f3812adf8abaa25e0215/rendering/02.obj", "4.90007162094")</f>
        <v>4.90007162094</v>
      </c>
      <c r="F198" s="4" t="str">
        <f>HYPERLINK(AA2 &amp; "/bottle/sn_d10b549075e8f3812adf8abaa25e0215/rendering/03.obj", "1.82476639748")</f>
        <v>1.82476639748</v>
      </c>
      <c r="G198" s="58" t="str">
        <f>HYPERLINK(AA2 &amp; "/bottle/sn_d10b549075e8f3812adf8abaa25e0215/rendering/04.obj", "1.92621064186")</f>
        <v>1.92621064186</v>
      </c>
      <c r="H198" s="117" t="str">
        <f>HYPERLINK(AA2 &amp; "/bottle/sn_d10b549075e8f3812adf8abaa25e0215/rendering/05.obj", "2.09025502205")</f>
        <v>2.09025502205</v>
      </c>
      <c r="I198" s="38" t="str">
        <f>HYPERLINK(AA2 &amp; "/bottle/sn_d10b549075e8f3812adf8abaa25e0215/rendering/06.obj", "2.77331328392")</f>
        <v>2.77331328392</v>
      </c>
      <c r="J198" s="68" t="str">
        <f>HYPERLINK(AA2 &amp; "/bottle/sn_d10b549075e8f3812adf8abaa25e0215/rendering/07.obj", "2.43266963959")</f>
        <v>2.43266963959</v>
      </c>
      <c r="K198" s="53" t="str">
        <f>HYPERLINK(AA2 &amp; "/bottle/sn_d10b549075e8f3812adf8abaa25e0215/rendering/08.obj", "1.49487352371")</f>
        <v>1.49487352371</v>
      </c>
      <c r="L198" s="88" t="str">
        <f>HYPERLINK(AA2 &amp; "/bottle/sn_d10b549075e8f3812adf8abaa25e0215/rendering/09.obj", "2.03253102303")</f>
        <v>2.03253102303</v>
      </c>
      <c r="M198" s="159" t="str">
        <f>HYPERLINK(AA2 &amp; "/bottle/sn_d10b549075e8f3812adf8abaa25e0215/rendering/10.obj", "3.73887419701")</f>
        <v>3.73887419701</v>
      </c>
      <c r="N198" s="133" t="str">
        <f>HYPERLINK(AA2 &amp; "/bottle/sn_d10b549075e8f3812adf8abaa25e0215/rendering/11.obj", "2.28223562241")</f>
        <v>2.28223562241</v>
      </c>
      <c r="O198" s="98" t="str">
        <f>HYPERLINK(AA2 &amp; "/bottle/sn_d10b549075e8f3812adf8abaa25e0215/rendering/12.obj", "1.95652031898")</f>
        <v>1.95652031898</v>
      </c>
      <c r="P198" s="169" t="str">
        <f>HYPERLINK(AA2 &amp; "/bottle/sn_d10b549075e8f3812adf8abaa25e0215/rendering/13.obj", "1.75087797642")</f>
        <v>1.75087797642</v>
      </c>
      <c r="Q198" s="137" t="str">
        <f>HYPERLINK(AA2 &amp; "/bottle/sn_d10b549075e8f3812adf8abaa25e0215/rendering/14.obj", "3.47186946869")</f>
        <v>3.47186946869</v>
      </c>
      <c r="R198" s="216" t="str">
        <f>HYPERLINK(AA2 &amp; "/bottle/sn_d10b549075e8f3812adf8abaa25e0215/rendering/15.obj", "4.19905424118")</f>
        <v>4.19905424118</v>
      </c>
      <c r="S198" s="78" t="str">
        <f>HYPERLINK(AA2 &amp; "/bottle/sn_d10b549075e8f3812adf8abaa25e0215/rendering/16.obj", "2.39142823219")</f>
        <v>2.39142823219</v>
      </c>
      <c r="T198" s="41" t="str">
        <f>HYPERLINK(AA2 &amp; "/bottle/sn_d10b549075e8f3812adf8abaa25e0215/rendering/17.obj", "2.37055063248")</f>
        <v>2.37055063248</v>
      </c>
      <c r="U198" s="217" t="str">
        <f>HYPERLINK(AA2 &amp; "/bottle/sn_d10b549075e8f3812adf8abaa25e0215/rendering/18.obj", "4.15047121048")</f>
        <v>4.15047121048</v>
      </c>
      <c r="V198" s="169" t="str">
        <f>HYPERLINK(AA2 &amp; "/bottle/sn_d10b549075e8f3812adf8abaa25e0215/rendering/19.obj", "1.75056672096")</f>
        <v>1.75056672096</v>
      </c>
      <c r="W198" s="12" t="s">
        <v>30</v>
      </c>
      <c r="X198" s="13">
        <v>2.5432958841323852</v>
      </c>
      <c r="Y198" s="13">
        <v>0.97474120864818381</v>
      </c>
      <c r="Z198" s="172">
        <v>0.38325906738952048</v>
      </c>
    </row>
    <row r="199" spans="1:26" x14ac:dyDescent="0.2">
      <c r="A199" s="1">
        <v>197</v>
      </c>
      <c r="B199" s="2" t="s">
        <v>72</v>
      </c>
      <c r="C199" s="13" t="str">
        <f>HYPERLINK(AB2 &amp; "/bottle/sn_d10b549075e8f3812adf8abaa25e0215/rendering/00.obj", "2.76822570801")</f>
        <v>2.76822570801</v>
      </c>
      <c r="D199" s="88" t="str">
        <f>HYPERLINK(AB2 &amp; "/bottle/sn_d10b549075e8f3812adf8abaa25e0215/rendering/01.obj", "3.33460998535")</f>
        <v>3.33460998535</v>
      </c>
      <c r="E199" s="10" t="str">
        <f>HYPERLINK(AB2 &amp; "/bottle/sn_d10b549075e8f3812adf8abaa25e0215/rendering/02.obj", "2.92878967285")</f>
        <v>2.92878967285</v>
      </c>
      <c r="F199" s="38" t="str">
        <f>HYPERLINK(AB2 &amp; "/bottle/sn_d10b549075e8f3812adf8abaa25e0215/rendering/03.obj", "2.52595809937")</f>
        <v>2.52595809937</v>
      </c>
      <c r="G199" s="30" t="str">
        <f>HYPERLINK(AB2 &amp; "/bottle/sn_d10b549075e8f3812adf8abaa25e0215/rendering/04.obj", "2.76223510742")</f>
        <v>2.76223510742</v>
      </c>
      <c r="H199" s="8" t="str">
        <f>HYPERLINK(AB2 &amp; "/bottle/sn_d10b549075e8f3812adf8abaa25e0215/rendering/05.obj", "2.37837158203")</f>
        <v>2.37837158203</v>
      </c>
      <c r="I199" s="74" t="str">
        <f>HYPERLINK(AB2 &amp; "/bottle/sn_d10b549075e8f3812adf8abaa25e0215/rendering/06.obj", "2.81386260986")</f>
        <v>2.81386260986</v>
      </c>
      <c r="J199" s="10" t="str">
        <f>HYPERLINK(AB2 &amp; "/bottle/sn_d10b549075e8f3812adf8abaa25e0215/rendering/07.obj", "2.61969329834")</f>
        <v>2.61969329834</v>
      </c>
      <c r="K199" s="67" t="str">
        <f>HYPERLINK(AB2 &amp; "/bottle/sn_d10b549075e8f3812adf8abaa25e0215/rendering/08.obj", "2.5167779541")</f>
        <v>2.5167779541</v>
      </c>
      <c r="L199" s="84" t="str">
        <f>HYPERLINK(AB2 &amp; "/bottle/sn_d10b549075e8f3812adf8abaa25e0215/rendering/09.obj", "3.18294006348")</f>
        <v>3.18294006348</v>
      </c>
      <c r="M199" s="29" t="str">
        <f>HYPERLINK(AB2 &amp; "/bottle/sn_d10b549075e8f3812adf8abaa25e0215/rendering/10.obj", "2.41042205811")</f>
        <v>2.41042205811</v>
      </c>
      <c r="N199" s="34" t="str">
        <f>HYPERLINK(AB2 &amp; "/bottle/sn_d10b549075e8f3812adf8abaa25e0215/rendering/11.obj", "2.91042602539")</f>
        <v>2.91042602539</v>
      </c>
      <c r="O199" s="129" t="str">
        <f>HYPERLINK(AB2 &amp; "/bottle/sn_d10b549075e8f3812adf8abaa25e0215/rendering/12.obj", "3.46674987793")</f>
        <v>3.46674987793</v>
      </c>
      <c r="P199" s="13" t="str">
        <f>HYPERLINK(AB2 &amp; "/bottle/sn_d10b549075e8f3812adf8abaa25e0215/rendering/13.obj", "2.76788604736")</f>
        <v>2.76788604736</v>
      </c>
      <c r="Q199" s="10" t="str">
        <f>HYPERLINK(AB2 &amp; "/bottle/sn_d10b549075e8f3812adf8abaa25e0215/rendering/14.obj", "2.92648468018")</f>
        <v>2.92648468018</v>
      </c>
      <c r="R199" s="48" t="str">
        <f>HYPERLINK(AB2 &amp; "/bottle/sn_d10b549075e8f3812adf8abaa25e0215/rendering/15.obj", "2.7120501709")</f>
        <v>2.7120501709</v>
      </c>
      <c r="S199" s="74" t="str">
        <f>HYPERLINK(AB2 &amp; "/bottle/sn_d10b549075e8f3812adf8abaa25e0215/rendering/16.obj", "2.73742797852")</f>
        <v>2.73742797852</v>
      </c>
      <c r="T199" s="41" t="str">
        <f>HYPERLINK(AB2 &amp; "/bottle/sn_d10b549075e8f3812adf8abaa25e0215/rendering/17.obj", "2.58851928711")</f>
        <v>2.58851928711</v>
      </c>
      <c r="U199" s="27" t="str">
        <f>HYPERLINK(AB2 &amp; "/bottle/sn_d10b549075e8f3812adf8abaa25e0215/rendering/18.obj", "2.58317901611")</f>
        <v>2.58317901611</v>
      </c>
      <c r="V199" s="5" t="str">
        <f>HYPERLINK(AB2 &amp; "/bottle/sn_d10b549075e8f3812adf8abaa25e0215/rendering/19.obj", "2.56596832275")</f>
        <v>2.56596832275</v>
      </c>
      <c r="W199" s="12" t="s">
        <v>31</v>
      </c>
      <c r="X199" s="13">
        <v>2.7750288772583009</v>
      </c>
      <c r="Y199" s="13">
        <v>0.28182404980608089</v>
      </c>
      <c r="Z199" s="133">
        <v>0.1015571593202735</v>
      </c>
    </row>
    <row r="200" spans="1:26" x14ac:dyDescent="0.2">
      <c r="A200" s="1">
        <v>198</v>
      </c>
      <c r="B200" s="2" t="s">
        <v>72</v>
      </c>
      <c r="C200" s="41" t="str">
        <f>HYPERLINK(AB2 &amp; "/bottle/sn_d10b549075e8f3812adf8abaa25e0215/rendering/00.obj", "1.79437232018")</f>
        <v>1.79437232018</v>
      </c>
      <c r="D200" s="83" t="str">
        <f>HYPERLINK(AB2 &amp; "/bottle/sn_d10b549075e8f3812adf8abaa25e0215/rendering/01.obj", "2.21750092506")</f>
        <v>2.21750092506</v>
      </c>
      <c r="E200" s="69" t="str">
        <f>HYPERLINK(AB2 &amp; "/bottle/sn_d10b549075e8f3812adf8abaa25e0215/rendering/02.obj", "1.9793998003")</f>
        <v>1.9793998003</v>
      </c>
      <c r="F200" s="67" t="str">
        <f>HYPERLINK(AB2 &amp; "/bottle/sn_d10b549075e8f3812adf8abaa25e0215/rendering/03.obj", "1.74694061279")</f>
        <v>1.74694061279</v>
      </c>
      <c r="G200" s="67" t="str">
        <f>HYPERLINK(AB2 &amp; "/bottle/sn_d10b549075e8f3812adf8abaa25e0215/rendering/04.obj", "2.09787344933")</f>
        <v>2.09787344933</v>
      </c>
      <c r="H200" s="91" t="str">
        <f>HYPERLINK(AB2 &amp; "/bottle/sn_d10b549075e8f3812adf8abaa25e0215/rendering/05.obj", "1.86978626251")</f>
        <v>1.86978626251</v>
      </c>
      <c r="I200" s="17" t="str">
        <f>HYPERLINK(AB2 &amp; "/bottle/sn_d10b549075e8f3812adf8abaa25e0215/rendering/06.obj", "1.88299942017")</f>
        <v>1.88299942017</v>
      </c>
      <c r="J200" s="25" t="str">
        <f>HYPERLINK(AB2 &amp; "/bottle/sn_d10b549075e8f3812adf8abaa25e0215/rendering/07.obj", "1.94564223289")</f>
        <v>1.94564223289</v>
      </c>
      <c r="K200" s="69" t="str">
        <f>HYPERLINK(AB2 &amp; "/bottle/sn_d10b549075e8f3812adf8abaa25e0215/rendering/08.obj", "1.98000323772")</f>
        <v>1.98000323772</v>
      </c>
      <c r="L200" s="92" t="str">
        <f>HYPERLINK(AB2 &amp; "/bottle/sn_d10b549075e8f3812adf8abaa25e0215/rendering/09.obj", "1.68631732464")</f>
        <v>1.68631732464</v>
      </c>
      <c r="M200" s="78" t="str">
        <f>HYPERLINK(AB2 &amp; "/bottle/sn_d10b549075e8f3812adf8abaa25e0215/rendering/10.obj", "1.80232334137")</f>
        <v>1.80232334137</v>
      </c>
      <c r="N200" s="23" t="str">
        <f>HYPERLINK(AB2 &amp; "/bottle/sn_d10b549075e8f3812adf8abaa25e0215/rendering/11.obj", "1.8482118845")</f>
        <v>1.8482118845</v>
      </c>
      <c r="O200" s="59" t="str">
        <f>HYPERLINK(AB2 &amp; "/bottle/sn_d10b549075e8f3812adf8abaa25e0215/rendering/12.obj", "2.38363981247")</f>
        <v>2.38363981247</v>
      </c>
      <c r="P200" s="46" t="str">
        <f>HYPERLINK(AB2 &amp; "/bottle/sn_d10b549075e8f3812adf8abaa25e0215/rendering/13.obj", "1.95754492283")</f>
        <v>1.95754492283</v>
      </c>
      <c r="Q200" s="25" t="str">
        <f>HYPERLINK(AB2 &amp; "/bottle/sn_d10b549075e8f3812adf8abaa25e0215/rendering/14.obj", "1.90178334713")</f>
        <v>1.90178334713</v>
      </c>
      <c r="R200" s="23" t="str">
        <f>HYPERLINK(AB2 &amp; "/bottle/sn_d10b549075e8f3812adf8abaa25e0215/rendering/15.obj", "1.84555637836")</f>
        <v>1.84555637836</v>
      </c>
      <c r="S200" s="106" t="str">
        <f>HYPERLINK(AB2 &amp; "/bottle/sn_d10b549075e8f3812adf8abaa25e0215/rendering/16.obj", "2.13971114159")</f>
        <v>2.13971114159</v>
      </c>
      <c r="T200" s="90" t="str">
        <f>HYPERLINK(AB2 &amp; "/bottle/sn_d10b549075e8f3812adf8abaa25e0215/rendering/17.obj", "1.73628461361")</f>
        <v>1.73628461361</v>
      </c>
      <c r="U200" s="74" t="str">
        <f>HYPERLINK(AB2 &amp; "/bottle/sn_d10b549075e8f3812adf8abaa25e0215/rendering/18.obj", "1.94699060917")</f>
        <v>1.94699060917</v>
      </c>
      <c r="V200" s="70" t="str">
        <f>HYPERLINK(AB2 &amp; "/bottle/sn_d10b549075e8f3812adf8abaa25e0215/rendering/19.obj", "1.68014860153")</f>
        <v>1.68014860153</v>
      </c>
      <c r="W200" s="12" t="s">
        <v>32</v>
      </c>
      <c r="X200" s="13">
        <v>1.922151511907578</v>
      </c>
      <c r="Y200" s="13">
        <v>0.17515670052018301</v>
      </c>
      <c r="Z200" s="67">
        <v>9.1125335039980465E-2</v>
      </c>
    </row>
    <row r="201" spans="1:26" x14ac:dyDescent="0.2">
      <c r="A201" s="1">
        <v>199</v>
      </c>
      <c r="B201" s="2" t="s">
        <v>72</v>
      </c>
      <c r="C201" s="13" t="str">
        <f>HYPERLINK(AC2 &amp; "/bottle/sn_d10b549075e8f3812adf8abaa25e0215/rendering/00.xyz", "0.0")</f>
        <v>0.0</v>
      </c>
      <c r="D201" s="13" t="str">
        <f>HYPERLINK(AC2 &amp; "/bottle/sn_d10b549075e8f3812adf8abaa25e0215/rendering/01.xyz", "0.0")</f>
        <v>0.0</v>
      </c>
      <c r="E201" s="13" t="str">
        <f>HYPERLINK(AC2 &amp; "/bottle/sn_d10b549075e8f3812adf8abaa25e0215/rendering/02.xyz", "0.0")</f>
        <v>0.0</v>
      </c>
      <c r="F201" s="13" t="str">
        <f>HYPERLINK(AC2 &amp; "/bottle/sn_d10b549075e8f3812adf8abaa25e0215/rendering/03.xyz", "0.0")</f>
        <v>0.0</v>
      </c>
      <c r="G201" s="13" t="str">
        <f>HYPERLINK(AC2 &amp; "/bottle/sn_d10b549075e8f3812adf8abaa25e0215/rendering/04.xyz", "0.0")</f>
        <v>0.0</v>
      </c>
      <c r="H201" s="13" t="str">
        <f>HYPERLINK(AC2 &amp; "/bottle/sn_d10b549075e8f3812adf8abaa25e0215/rendering/05.xyz", "0.0")</f>
        <v>0.0</v>
      </c>
      <c r="I201" s="13" t="str">
        <f>HYPERLINK(AC2 &amp; "/bottle/sn_d10b549075e8f3812adf8abaa25e0215/rendering/06.xyz", "0.0")</f>
        <v>0.0</v>
      </c>
      <c r="J201" s="13" t="str">
        <f>HYPERLINK(AC2 &amp; "/bottle/sn_d10b549075e8f3812adf8abaa25e0215/rendering/07.xyz", "0.0")</f>
        <v>0.0</v>
      </c>
      <c r="K201" s="13" t="str">
        <f>HYPERLINK(AC2 &amp; "/bottle/sn_d10b549075e8f3812adf8abaa25e0215/rendering/08.xyz", "0.0")</f>
        <v>0.0</v>
      </c>
      <c r="L201" s="13" t="str">
        <f>HYPERLINK(AC2 &amp; "/bottle/sn_d10b549075e8f3812adf8abaa25e0215/rendering/09.xyz", "0.0")</f>
        <v>0.0</v>
      </c>
      <c r="M201" s="13" t="str">
        <f>HYPERLINK(AC2 &amp; "/bottle/sn_d10b549075e8f3812adf8abaa25e0215/rendering/10.xyz", "0.0")</f>
        <v>0.0</v>
      </c>
      <c r="N201" s="13" t="str">
        <f>HYPERLINK(AC2 &amp; "/bottle/sn_d10b549075e8f3812adf8abaa25e0215/rendering/11.xyz", "0.0")</f>
        <v>0.0</v>
      </c>
      <c r="O201" s="13" t="str">
        <f>HYPERLINK(AC2 &amp; "/bottle/sn_d10b549075e8f3812adf8abaa25e0215/rendering/12.xyz", "0.0")</f>
        <v>0.0</v>
      </c>
      <c r="P201" s="13" t="str">
        <f>HYPERLINK(AC2 &amp; "/bottle/sn_d10b549075e8f3812adf8abaa25e0215/rendering/13.xyz", "0.0")</f>
        <v>0.0</v>
      </c>
      <c r="Q201" s="13" t="str">
        <f>HYPERLINK(AC2 &amp; "/bottle/sn_d10b549075e8f3812adf8abaa25e0215/rendering/14.xyz", "0.0")</f>
        <v>0.0</v>
      </c>
      <c r="R201" s="13" t="str">
        <f>HYPERLINK(AC2 &amp; "/bottle/sn_d10b549075e8f3812adf8abaa25e0215/rendering/15.xyz", "0.0")</f>
        <v>0.0</v>
      </c>
      <c r="S201" s="13" t="str">
        <f>HYPERLINK(AC2 &amp; "/bottle/sn_d10b549075e8f3812adf8abaa25e0215/rendering/16.xyz", "0.0")</f>
        <v>0.0</v>
      </c>
      <c r="T201" s="13" t="str">
        <f>HYPERLINK(AC2 &amp; "/bottle/sn_d10b549075e8f3812adf8abaa25e0215/rendering/17.xyz", "0.0")</f>
        <v>0.0</v>
      </c>
      <c r="U201" s="13" t="str">
        <f>HYPERLINK(AC2 &amp; "/bottle/sn_d10b549075e8f3812adf8abaa25e0215/rendering/18.xyz", "0.0")</f>
        <v>0.0</v>
      </c>
      <c r="V201" s="13" t="str">
        <f>HYPERLINK(AC2 &amp; "/bottle/sn_d10b549075e8f3812adf8abaa25e0215/rendering/19.xyz", "0.0")</f>
        <v>0.0</v>
      </c>
      <c r="W201" s="12" t="s">
        <v>33</v>
      </c>
      <c r="X201" s="13">
        <v>0</v>
      </c>
      <c r="Y201" s="13">
        <v>0</v>
      </c>
      <c r="Z201" s="13">
        <v>0</v>
      </c>
    </row>
    <row r="202" spans="1:26" x14ac:dyDescent="0.2">
      <c r="A202" s="1">
        <v>200</v>
      </c>
      <c r="B202" s="2" t="s">
        <v>73</v>
      </c>
      <c r="C202" s="57" t="str">
        <f>HYPERLINK(AA2 &amp; "/bottle/sn_d297d1b0e4f0c244f61150ce90be197a/rendering/00.obj", "2.27546279907")</f>
        <v>2.27546279907</v>
      </c>
      <c r="D202" s="65" t="str">
        <f>HYPERLINK(AA2 &amp; "/bottle/sn_d297d1b0e4f0c244f61150ce90be197a/rendering/01.obj", "2.87977905273")</f>
        <v>2.87977905273</v>
      </c>
      <c r="E202" s="59" t="str">
        <f>HYPERLINK(AA2 &amp; "/bottle/sn_d297d1b0e4f0c244f61150ce90be197a/rendering/02.obj", "2.52605957031")</f>
        <v>2.52605957031</v>
      </c>
      <c r="F202" s="133" t="str">
        <f>HYPERLINK(AA2 &amp; "/bottle/sn_d297d1b0e4f0c244f61150ce90be197a/rendering/03.obj", "3.66216064453")</f>
        <v>3.66216064453</v>
      </c>
      <c r="G202" s="17" t="str">
        <f>HYPERLINK(AA2 &amp; "/bottle/sn_d297d1b0e4f0c244f61150ce90be197a/rendering/04.obj", "3.25601135254")</f>
        <v>3.25601135254</v>
      </c>
      <c r="H202" s="20" t="str">
        <f>HYPERLINK(AA2 &amp; "/bottle/sn_d297d1b0e4f0c244f61150ce90be197a/rendering/05.obj", "6.76451171875")</f>
        <v>6.76451171875</v>
      </c>
      <c r="I202" s="76" t="str">
        <f>HYPERLINK(AA2 &amp; "/bottle/sn_d297d1b0e4f0c244f61150ce90be197a/rendering/06.obj", "2.71488677979")</f>
        <v>2.71488677979</v>
      </c>
      <c r="J202" s="93" t="str">
        <f>HYPERLINK(AA2 &amp; "/bottle/sn_d297d1b0e4f0c244f61150ce90be197a/rendering/07.obj", "2.86126708984")</f>
        <v>2.86126708984</v>
      </c>
      <c r="K202" s="11" t="str">
        <f>HYPERLINK(AA2 &amp; "/bottle/sn_d297d1b0e4f0c244f61150ce90be197a/rendering/08.obj", "2.57430053711")</f>
        <v>2.57430053711</v>
      </c>
      <c r="L202" s="158" t="str">
        <f>HYPERLINK(AA2 &amp; "/bottle/sn_d297d1b0e4f0c244f61150ce90be197a/rendering/09.obj", "4.68643280029")</f>
        <v>4.68643280029</v>
      </c>
      <c r="M202" s="175" t="str">
        <f>HYPERLINK(AA2 &amp; "/bottle/sn_d297d1b0e4f0c244f61150ce90be197a/rendering/10.obj", "2.55127319336")</f>
        <v>2.55127319336</v>
      </c>
      <c r="N202" s="13" t="str">
        <f>HYPERLINK(AA2 &amp; "/bottle/sn_d297d1b0e4f0c244f61150ce90be197a/rendering/11.obj", "3.32786315918")</f>
        <v>3.32786315918</v>
      </c>
      <c r="O202" s="60" t="str">
        <f>HYPERLINK(AA2 &amp; "/bottle/sn_d297d1b0e4f0c244f61150ce90be197a/rendering/12.obj", "3.14697937012")</f>
        <v>3.14697937012</v>
      </c>
      <c r="P202" s="80" t="str">
        <f>HYPERLINK(AA2 &amp; "/bottle/sn_d297d1b0e4f0c244f61150ce90be197a/rendering/13.obj", "2.83165588379")</f>
        <v>2.83165588379</v>
      </c>
      <c r="Q202" s="64" t="str">
        <f>HYPERLINK(AA2 &amp; "/bottle/sn_d297d1b0e4f0c244f61150ce90be197a/rendering/14.obj", "2.77583190918")</f>
        <v>2.77583190918</v>
      </c>
      <c r="R202" s="29" t="str">
        <f>HYPERLINK(AA2 &amp; "/bottle/sn_d297d1b0e4f0c244f61150ce90be197a/rendering/15.obj", "2.88909240723")</f>
        <v>2.88909240723</v>
      </c>
      <c r="S202" s="20" t="str">
        <f>HYPERLINK(AA2 &amp; "/bottle/sn_d297d1b0e4f0c244f61150ce90be197a/rendering/16.obj", "6.6432623291")</f>
        <v>6.6432623291</v>
      </c>
      <c r="T202" s="66" t="str">
        <f>HYPERLINK(AA2 &amp; "/bottle/sn_d297d1b0e4f0c244f61150ce90be197a/rendering/17.obj", "2.7845916748")</f>
        <v>2.7845916748</v>
      </c>
      <c r="U202" s="40" t="str">
        <f>HYPERLINK(AA2 &amp; "/bottle/sn_d297d1b0e4f0c244f61150ce90be197a/rendering/18.obj", "2.75329223633")</f>
        <v>2.75329223633</v>
      </c>
      <c r="V202" s="11" t="str">
        <f>HYPERLINK(AA2 &amp; "/bottle/sn_d297d1b0e4f0c244f61150ce90be197a/rendering/19.obj", "2.57930603027")</f>
        <v>2.57930603027</v>
      </c>
      <c r="W202" s="12" t="s">
        <v>29</v>
      </c>
      <c r="X202" s="13">
        <v>3.3242010269165041</v>
      </c>
      <c r="Y202" s="13">
        <v>1.2337384940330529</v>
      </c>
      <c r="Z202" s="192">
        <v>0.37113835295859238</v>
      </c>
    </row>
    <row r="203" spans="1:26" x14ac:dyDescent="0.2">
      <c r="A203" s="1">
        <v>201</v>
      </c>
      <c r="B203" s="2" t="s">
        <v>73</v>
      </c>
      <c r="C203" s="169" t="str">
        <f>HYPERLINK(AA2 &amp; "/bottle/sn_d297d1b0e4f0c244f61150ce90be197a/rendering/00.obj", "1.52339625359")</f>
        <v>1.52339625359</v>
      </c>
      <c r="D203" s="82" t="str">
        <f>HYPERLINK(AA2 &amp; "/bottle/sn_d297d1b0e4f0c244f61150ce90be197a/rendering/01.obj", "1.75778615475")</f>
        <v>1.75778615475</v>
      </c>
      <c r="E203" s="56" t="str">
        <f>HYPERLINK(AA2 &amp; "/bottle/sn_d297d1b0e4f0c244f61150ce90be197a/rendering/02.obj", "1.52836561203")</f>
        <v>1.52836561203</v>
      </c>
      <c r="F203" s="77" t="str">
        <f>HYPERLINK(AA2 &amp; "/bottle/sn_d297d1b0e4f0c244f61150ce90be197a/rendering/03.obj", "2.6281645298")</f>
        <v>2.6281645298</v>
      </c>
      <c r="G203" s="74" t="str">
        <f>HYPERLINK(AA2 &amp; "/bottle/sn_d297d1b0e4f0c244f61150ce90be197a/rendering/04.obj", "2.24027681351")</f>
        <v>2.24027681351</v>
      </c>
      <c r="H203" s="20" t="str">
        <f>HYPERLINK(AA2 &amp; "/bottle/sn_d297d1b0e4f0c244f61150ce90be197a/rendering/05.obj", "4.82993173599")</f>
        <v>4.82993173599</v>
      </c>
      <c r="I203" s="134" t="str">
        <f>HYPERLINK(AA2 &amp; "/bottle/sn_d297d1b0e4f0c244f61150ce90be197a/rendering/06.obj", "1.81646347046")</f>
        <v>1.81646347046</v>
      </c>
      <c r="J203" s="14" t="str">
        <f>HYPERLINK(AA2 &amp; "/bottle/sn_d297d1b0e4f0c244f61150ce90be197a/rendering/07.obj", "1.57264065742")</f>
        <v>1.57264065742</v>
      </c>
      <c r="K203" s="61" t="str">
        <f>HYPERLINK(AA2 &amp; "/bottle/sn_d297d1b0e4f0c244f61150ce90be197a/rendering/08.obj", "1.54369580746")</f>
        <v>1.54369580746</v>
      </c>
      <c r="L203" s="9" t="str">
        <f>HYPERLINK(AA2 &amp; "/bottle/sn_d297d1b0e4f0c244f61150ce90be197a/rendering/09.obj", "3.66783714294")</f>
        <v>3.66783714294</v>
      </c>
      <c r="M203" s="168" t="str">
        <f>HYPERLINK(AA2 &amp; "/bottle/sn_d297d1b0e4f0c244f61150ce90be197a/rendering/10.obj", "1.49975466728")</f>
        <v>1.49975466728</v>
      </c>
      <c r="N203" s="83" t="str">
        <f>HYPERLINK(AA2 &amp; "/bottle/sn_d297d1b0e4f0c244f61150ce90be197a/rendering/11.obj", "1.87358391285")</f>
        <v>1.87358391285</v>
      </c>
      <c r="O203" s="70" t="str">
        <f>HYPERLINK(AA2 &amp; "/bottle/sn_d297d1b0e4f0c244f61150ce90be197a/rendering/12.obj", "1.93194544315")</f>
        <v>1.93194544315</v>
      </c>
      <c r="P203" s="134" t="str">
        <f>HYPERLINK(AA2 &amp; "/bottle/sn_d297d1b0e4f0c244f61150ce90be197a/rendering/13.obj", "1.81104576588")</f>
        <v>1.81104576588</v>
      </c>
      <c r="Q203" s="185" t="str">
        <f>HYPERLINK(AA2 &amp; "/bottle/sn_d297d1b0e4f0c244f61150ce90be197a/rendering/14.obj", "1.45760333538")</f>
        <v>1.45760333538</v>
      </c>
      <c r="R203" s="71" t="str">
        <f>HYPERLINK(AA2 &amp; "/bottle/sn_d297d1b0e4f0c244f61150ce90be197a/rendering/15.obj", "1.95290100574")</f>
        <v>1.95290100574</v>
      </c>
      <c r="S203" s="20" t="str">
        <f>HYPERLINK(AA2 &amp; "/bottle/sn_d297d1b0e4f0c244f61150ce90be197a/rendering/16.obj", "5.70807218552")</f>
        <v>5.70807218552</v>
      </c>
      <c r="T203" s="134" t="str">
        <f>HYPERLINK(AA2 &amp; "/bottle/sn_d297d1b0e4f0c244f61150ce90be197a/rendering/17.obj", "1.81614553928")</f>
        <v>1.81614553928</v>
      </c>
      <c r="U203" s="7" t="str">
        <f>HYPERLINK(AA2 &amp; "/bottle/sn_d297d1b0e4f0c244f61150ce90be197a/rendering/18.obj", "1.59751045704")</f>
        <v>1.59751045704</v>
      </c>
      <c r="V203" s="54" t="str">
        <f>HYPERLINK(AA2 &amp; "/bottle/sn_d297d1b0e4f0c244f61150ce90be197a/rendering/19.obj", "1.48950600624")</f>
        <v>1.48950600624</v>
      </c>
      <c r="W203" s="12" t="s">
        <v>30</v>
      </c>
      <c r="X203" s="13">
        <v>2.2123313248157501</v>
      </c>
      <c r="Y203" s="13">
        <v>1.141989421200533</v>
      </c>
      <c r="Z203" s="218">
        <v>0.51619276389156665</v>
      </c>
    </row>
    <row r="204" spans="1:26" x14ac:dyDescent="0.2">
      <c r="A204" s="1">
        <v>202</v>
      </c>
      <c r="B204" s="2" t="s">
        <v>73</v>
      </c>
      <c r="C204" s="72" t="str">
        <f>HYPERLINK(AB2 &amp; "/bottle/sn_d297d1b0e4f0c244f61150ce90be197a/rendering/00.obj", "2.65177154541")</f>
        <v>2.65177154541</v>
      </c>
      <c r="D204" s="46" t="str">
        <f>HYPERLINK(AB2 &amp; "/bottle/sn_d297d1b0e4f0c244f61150ce90be197a/rendering/01.obj", "2.6898059082")</f>
        <v>2.6898059082</v>
      </c>
      <c r="E204" s="68" t="str">
        <f>HYPERLINK(AB2 &amp; "/bottle/sn_d297d1b0e4f0c244f61150ce90be197a/rendering/02.obj", "2.61935913086")</f>
        <v>2.61935913086</v>
      </c>
      <c r="F204" s="35" t="str">
        <f>HYPERLINK(AB2 &amp; "/bottle/sn_d297d1b0e4f0c244f61150ce90be197a/rendering/03.obj", "2.89572387695")</f>
        <v>2.89572387695</v>
      </c>
      <c r="G204" s="118" t="str">
        <f>HYPERLINK(AB2 &amp; "/bottle/sn_d297d1b0e4f0c244f61150ce90be197a/rendering/04.obj", "3.54018798828")</f>
        <v>3.54018798828</v>
      </c>
      <c r="H204" s="149" t="str">
        <f>HYPERLINK(AB2 &amp; "/bottle/sn_d297d1b0e4f0c244f61150ce90be197a/rendering/05.obj", "3.6794418335")</f>
        <v>3.6794418335</v>
      </c>
      <c r="I204" s="34" t="str">
        <f>HYPERLINK(AB2 &amp; "/bottle/sn_d297d1b0e4f0c244f61150ce90be197a/rendering/06.obj", "2.60822631836")</f>
        <v>2.60822631836</v>
      </c>
      <c r="J204" s="32" t="str">
        <f>HYPERLINK(AB2 &amp; "/bottle/sn_d297d1b0e4f0c244f61150ce90be197a/rendering/07.obj", "2.45521514893")</f>
        <v>2.45521514893</v>
      </c>
      <c r="K204" s="106" t="str">
        <f>HYPERLINK(AB2 &amp; "/bottle/sn_d297d1b0e4f0c244f61150ce90be197a/rendering/08.obj", "2.42338851929")</f>
        <v>2.42338851929</v>
      </c>
      <c r="L204" s="110" t="str">
        <f>HYPERLINK(AB2 &amp; "/bottle/sn_d297d1b0e4f0c244f61150ce90be197a/rendering/09.obj", "2.46425079346")</f>
        <v>2.46425079346</v>
      </c>
      <c r="M204" s="33" t="str">
        <f>HYPERLINK(AB2 &amp; "/bottle/sn_d297d1b0e4f0c244f61150ce90be197a/rendering/10.obj", "2.43947052002")</f>
        <v>2.43947052002</v>
      </c>
      <c r="N204" s="68" t="str">
        <f>HYPERLINK(AB2 &amp; "/bottle/sn_d297d1b0e4f0c244f61150ce90be197a/rendering/11.obj", "2.8575769043")</f>
        <v>2.8575769043</v>
      </c>
      <c r="O204" s="78" t="str">
        <f>HYPERLINK(AB2 &amp; "/bottle/sn_d297d1b0e4f0c244f61150ce90be197a/rendering/12.obj", "2.90892120361")</f>
        <v>2.90892120361</v>
      </c>
      <c r="P204" s="29" t="str">
        <f>HYPERLINK(AB2 &amp; "/bottle/sn_d297d1b0e4f0c244f61150ce90be197a/rendering/13.obj", "3.09928833008")</f>
        <v>3.09928833008</v>
      </c>
      <c r="Q204" s="38" t="str">
        <f>HYPERLINK(AB2 &amp; "/bottle/sn_d297d1b0e4f0c244f61150ce90be197a/rendering/14.obj", "2.49524841309")</f>
        <v>2.49524841309</v>
      </c>
      <c r="R204" s="107" t="str">
        <f>HYPERLINK(AB2 &amp; "/bottle/sn_d297d1b0e4f0c244f61150ce90be197a/rendering/15.obj", "2.51558029175")</f>
        <v>2.51558029175</v>
      </c>
      <c r="S204" s="91" t="str">
        <f>HYPERLINK(AB2 &amp; "/bottle/sn_d297d1b0e4f0c244f61150ce90be197a/rendering/16.obj", "2.81217651367")</f>
        <v>2.81217651367</v>
      </c>
      <c r="T204" s="106" t="str">
        <f>HYPERLINK(AB2 &amp; "/bottle/sn_d297d1b0e4f0c244f61150ce90be197a/rendering/17.obj", "2.42952774048")</f>
        <v>2.42952774048</v>
      </c>
      <c r="U204" s="47" t="str">
        <f>HYPERLINK(AB2 &amp; "/bottle/sn_d297d1b0e4f0c244f61150ce90be197a/rendering/18.obj", "2.76051391602")</f>
        <v>2.76051391602</v>
      </c>
      <c r="V204" s="28" t="str">
        <f>HYPERLINK(AB2 &amp; "/bottle/sn_d297d1b0e4f0c244f61150ce90be197a/rendering/19.obj", "2.43716674805")</f>
        <v>2.43716674805</v>
      </c>
      <c r="W204" s="12" t="s">
        <v>31</v>
      </c>
      <c r="X204" s="13">
        <v>2.739142082214356</v>
      </c>
      <c r="Y204" s="13">
        <v>0.34730790856493449</v>
      </c>
      <c r="Z204" s="70">
        <v>0.12679441158604179</v>
      </c>
    </row>
    <row r="205" spans="1:26" x14ac:dyDescent="0.2">
      <c r="A205" s="1">
        <v>203</v>
      </c>
      <c r="B205" s="2" t="s">
        <v>73</v>
      </c>
      <c r="C205" s="117" t="str">
        <f>HYPERLINK(AB2 &amp; "/bottle/sn_d297d1b0e4f0c244f61150ce90be197a/rendering/00.obj", "1.41596984863")</f>
        <v>1.41596984863</v>
      </c>
      <c r="D205" s="5" t="str">
        <f>HYPERLINK(AB2 &amp; "/bottle/sn_d297d1b0e4f0c244f61150ce90be197a/rendering/01.obj", "1.5878405571")</f>
        <v>1.5878405571</v>
      </c>
      <c r="E205" s="78" t="str">
        <f>HYPERLINK(AB2 &amp; "/bottle/sn_d297d1b0e4f0c244f61150ce90be197a/rendering/02.obj", "1.61646187305")</f>
        <v>1.61646187305</v>
      </c>
      <c r="F205" s="14" t="str">
        <f>HYPERLINK(AB2 &amp; "/bottle/sn_d297d1b0e4f0c244f61150ce90be197a/rendering/03.obj", "2.21772527695")</f>
        <v>2.21772527695</v>
      </c>
      <c r="G205" s="72" t="str">
        <f>HYPERLINK(AB2 &amp; "/bottle/sn_d297d1b0e4f0c244f61150ce90be197a/rendering/04.obj", "1.7763645649")</f>
        <v>1.7763645649</v>
      </c>
      <c r="H205" s="69" t="str">
        <f>HYPERLINK(AB2 &amp; "/bottle/sn_d297d1b0e4f0c244f61150ce90be197a/rendering/05.obj", "1.67053866386")</f>
        <v>1.67053866386</v>
      </c>
      <c r="I205" s="10" t="str">
        <f>HYPERLINK(AB2 &amp; "/bottle/sn_d297d1b0e4f0c244f61150ce90be197a/rendering/06.obj", "1.81654918194")</f>
        <v>1.81654918194</v>
      </c>
      <c r="J205" s="51" t="str">
        <f>HYPERLINK(AB2 &amp; "/bottle/sn_d297d1b0e4f0c244f61150ce90be197a/rendering/07.obj", "1.85861206055")</f>
        <v>1.85861206055</v>
      </c>
      <c r="K205" s="133" t="str">
        <f>HYPERLINK(AB2 &amp; "/bottle/sn_d297d1b0e4f0c244f61150ce90be197a/rendering/08.obj", "1.54423880577")</f>
        <v>1.54423880577</v>
      </c>
      <c r="L205" s="47" t="str">
        <f>HYPERLINK(AB2 &amp; "/bottle/sn_d297d1b0e4f0c244f61150ce90be197a/rendering/09.obj", "1.70355284214")</f>
        <v>1.70355284214</v>
      </c>
      <c r="M205" s="26" t="str">
        <f>HYPERLINK(AB2 &amp; "/bottle/sn_d297d1b0e4f0c244f61150ce90be197a/rendering/10.obj", "1.82856452465")</f>
        <v>1.82856452465</v>
      </c>
      <c r="N205" s="40" t="str">
        <f>HYPERLINK(AB2 &amp; "/bottle/sn_d297d1b0e4f0c244f61150ce90be197a/rendering/11.obj", "1.42778623104")</f>
        <v>1.42778623104</v>
      </c>
      <c r="O205" s="69" t="str">
        <f>HYPERLINK(AB2 &amp; "/bottle/sn_d297d1b0e4f0c244f61150ce90be197a/rendering/12.obj", "1.66895294189")</f>
        <v>1.66895294189</v>
      </c>
      <c r="P205" s="92" t="str">
        <f>HYPERLINK(AB2 &amp; "/bottle/sn_d297d1b0e4f0c244f61150ce90be197a/rendering/13.obj", "1.50795602798")</f>
        <v>1.50795602798</v>
      </c>
      <c r="Q205" s="50" t="str">
        <f>HYPERLINK(AB2 &amp; "/bottle/sn_d297d1b0e4f0c244f61150ce90be197a/rendering/14.obj", "2.0597755909")</f>
        <v>2.0597755909</v>
      </c>
      <c r="R205" s="133" t="str">
        <f>HYPERLINK(AB2 &amp; "/bottle/sn_d297d1b0e4f0c244f61150ce90be197a/rendering/15.obj", "1.89225888252")</f>
        <v>1.89225888252</v>
      </c>
      <c r="S205" s="35" t="str">
        <f>HYPERLINK(AB2 &amp; "/bottle/sn_d297d1b0e4f0c244f61150ce90be197a/rendering/16.obj", "1.6202044487")</f>
        <v>1.6202044487</v>
      </c>
      <c r="T205" s="34" t="str">
        <f>HYPERLINK(AB2 &amp; "/bottle/sn_d297d1b0e4f0c244f61150ce90be197a/rendering/17.obj", "1.63794887066")</f>
        <v>1.63794887066</v>
      </c>
      <c r="U205" s="17" t="str">
        <f>HYPERLINK(AB2 &amp; "/bottle/sn_d297d1b0e4f0c244f61150ce90be197a/rendering/18.obj", "1.68636918068")</f>
        <v>1.68636918068</v>
      </c>
      <c r="V205" s="51" t="str">
        <f>HYPERLINK(AB2 &amp; "/bottle/sn_d297d1b0e4f0c244f61150ce90be197a/rendering/19.obj", "1.85477411747")</f>
        <v>1.85477411747</v>
      </c>
      <c r="W205" s="12" t="s">
        <v>32</v>
      </c>
      <c r="X205" s="13">
        <v>1.7196222245693209</v>
      </c>
      <c r="Y205" s="13">
        <v>0.19487431008942191</v>
      </c>
      <c r="Z205" s="106">
        <v>0.11332390760315279</v>
      </c>
    </row>
    <row r="206" spans="1:26" x14ac:dyDescent="0.2">
      <c r="A206" s="1">
        <v>204</v>
      </c>
      <c r="B206" s="2" t="s">
        <v>73</v>
      </c>
      <c r="C206" s="13" t="str">
        <f>HYPERLINK(AC2 &amp; "/bottle/sn_d297d1b0e4f0c244f61150ce90be197a/rendering/00.xyz", "0.0")</f>
        <v>0.0</v>
      </c>
      <c r="D206" s="13" t="str">
        <f>HYPERLINK(AC2 &amp; "/bottle/sn_d297d1b0e4f0c244f61150ce90be197a/rendering/01.xyz", "0.0")</f>
        <v>0.0</v>
      </c>
      <c r="E206" s="13" t="str">
        <f>HYPERLINK(AC2 &amp; "/bottle/sn_d297d1b0e4f0c244f61150ce90be197a/rendering/02.xyz", "0.0")</f>
        <v>0.0</v>
      </c>
      <c r="F206" s="13" t="str">
        <f>HYPERLINK(AC2 &amp; "/bottle/sn_d297d1b0e4f0c244f61150ce90be197a/rendering/03.xyz", "0.0")</f>
        <v>0.0</v>
      </c>
      <c r="G206" s="13" t="str">
        <f>HYPERLINK(AC2 &amp; "/bottle/sn_d297d1b0e4f0c244f61150ce90be197a/rendering/04.xyz", "0.0")</f>
        <v>0.0</v>
      </c>
      <c r="H206" s="13" t="str">
        <f>HYPERLINK(AC2 &amp; "/bottle/sn_d297d1b0e4f0c244f61150ce90be197a/rendering/05.xyz", "0.0")</f>
        <v>0.0</v>
      </c>
      <c r="I206" s="13" t="str">
        <f>HYPERLINK(AC2 &amp; "/bottle/sn_d297d1b0e4f0c244f61150ce90be197a/rendering/06.xyz", "0.0")</f>
        <v>0.0</v>
      </c>
      <c r="J206" s="13" t="str">
        <f>HYPERLINK(AC2 &amp; "/bottle/sn_d297d1b0e4f0c244f61150ce90be197a/rendering/07.xyz", "0.0")</f>
        <v>0.0</v>
      </c>
      <c r="K206" s="13" t="str">
        <f>HYPERLINK(AC2 &amp; "/bottle/sn_d297d1b0e4f0c244f61150ce90be197a/rendering/08.xyz", "0.0")</f>
        <v>0.0</v>
      </c>
      <c r="L206" s="13" t="str">
        <f>HYPERLINK(AC2 &amp; "/bottle/sn_d297d1b0e4f0c244f61150ce90be197a/rendering/09.xyz", "0.0")</f>
        <v>0.0</v>
      </c>
      <c r="M206" s="13" t="str">
        <f>HYPERLINK(AC2 &amp; "/bottle/sn_d297d1b0e4f0c244f61150ce90be197a/rendering/10.xyz", "0.0")</f>
        <v>0.0</v>
      </c>
      <c r="N206" s="13" t="str">
        <f>HYPERLINK(AC2 &amp; "/bottle/sn_d297d1b0e4f0c244f61150ce90be197a/rendering/11.xyz", "0.0")</f>
        <v>0.0</v>
      </c>
      <c r="O206" s="13" t="str">
        <f>HYPERLINK(AC2 &amp; "/bottle/sn_d297d1b0e4f0c244f61150ce90be197a/rendering/12.xyz", "0.0")</f>
        <v>0.0</v>
      </c>
      <c r="P206" s="13" t="str">
        <f>HYPERLINK(AC2 &amp; "/bottle/sn_d297d1b0e4f0c244f61150ce90be197a/rendering/13.xyz", "0.0")</f>
        <v>0.0</v>
      </c>
      <c r="Q206" s="13" t="str">
        <f>HYPERLINK(AC2 &amp; "/bottle/sn_d297d1b0e4f0c244f61150ce90be197a/rendering/14.xyz", "0.0")</f>
        <v>0.0</v>
      </c>
      <c r="R206" s="13" t="str">
        <f>HYPERLINK(AC2 &amp; "/bottle/sn_d297d1b0e4f0c244f61150ce90be197a/rendering/15.xyz", "0.0")</f>
        <v>0.0</v>
      </c>
      <c r="S206" s="13" t="str">
        <f>HYPERLINK(AC2 &amp; "/bottle/sn_d297d1b0e4f0c244f61150ce90be197a/rendering/16.xyz", "0.0")</f>
        <v>0.0</v>
      </c>
      <c r="T206" s="13" t="str">
        <f>HYPERLINK(AC2 &amp; "/bottle/sn_d297d1b0e4f0c244f61150ce90be197a/rendering/17.xyz", "0.0")</f>
        <v>0.0</v>
      </c>
      <c r="U206" s="13" t="str">
        <f>HYPERLINK(AC2 &amp; "/bottle/sn_d297d1b0e4f0c244f61150ce90be197a/rendering/18.xyz", "0.0")</f>
        <v>0.0</v>
      </c>
      <c r="V206" s="13" t="str">
        <f>HYPERLINK(AC2 &amp; "/bottle/sn_d297d1b0e4f0c244f61150ce90be197a/rendering/19.xyz", "0.0")</f>
        <v>0.0</v>
      </c>
      <c r="W206" s="12" t="s">
        <v>33</v>
      </c>
      <c r="X206" s="13">
        <v>0</v>
      </c>
      <c r="Y206" s="13">
        <v>0</v>
      </c>
      <c r="Z206" s="13">
        <v>0</v>
      </c>
    </row>
    <row r="207" spans="1:26" x14ac:dyDescent="0.2">
      <c r="A207" s="1">
        <v>205</v>
      </c>
      <c r="B207" s="2" t="s">
        <v>74</v>
      </c>
      <c r="C207" s="94" t="str">
        <f>HYPERLINK(AA2 &amp; "/bottle/sn_d30623112e58b893eee7d6dab02eb061/rendering/00.obj", "2.19071868896")</f>
        <v>2.19071868896</v>
      </c>
      <c r="D207" s="44" t="str">
        <f>HYPERLINK(AA2 &amp; "/bottle/sn_d30623112e58b893eee7d6dab02eb061/rendering/01.obj", "1.90685134888")</f>
        <v>1.90685134888</v>
      </c>
      <c r="E207" s="26" t="str">
        <f>HYPERLINK(AA2 &amp; "/bottle/sn_d30623112e58b893eee7d6dab02eb061/rendering/02.obj", "2.21325622559")</f>
        <v>2.21325622559</v>
      </c>
      <c r="F207" s="64" t="str">
        <f>HYPERLINK(AA2 &amp; "/bottle/sn_d30623112e58b893eee7d6dab02eb061/rendering/03.obj", "1.97932678223")</f>
        <v>1.97932678223</v>
      </c>
      <c r="G207" s="73" t="str">
        <f>HYPERLINK(AA2 &amp; "/bottle/sn_d30623112e58b893eee7d6dab02eb061/rendering/04.obj", "2.45476928711")</f>
        <v>2.45476928711</v>
      </c>
      <c r="H207" s="92" t="str">
        <f>HYPERLINK(AA2 &amp; "/bottle/sn_d30623112e58b893eee7d6dab02eb061/rendering/05.obj", "2.07126678467")</f>
        <v>2.07126678467</v>
      </c>
      <c r="I207" s="87" t="str">
        <f>HYPERLINK(AA2 &amp; "/bottle/sn_d30623112e58b893eee7d6dab02eb061/rendering/06.obj", "1.82578491211")</f>
        <v>1.82578491211</v>
      </c>
      <c r="J207" s="33" t="str">
        <f>HYPERLINK(AA2 &amp; "/bottle/sn_d30623112e58b893eee7d6dab02eb061/rendering/07.obj", "2.11082077026")</f>
        <v>2.11082077026</v>
      </c>
      <c r="K207" s="196" t="str">
        <f>HYPERLINK(AA2 &amp; "/bottle/sn_d30623112e58b893eee7d6dab02eb061/rendering/08.obj", "3.30675689697")</f>
        <v>3.30675689697</v>
      </c>
      <c r="L207" s="78" t="str">
        <f>HYPERLINK(AA2 &amp; "/bottle/sn_d30623112e58b893eee7d6dab02eb061/rendering/09.obj", "2.22422912598")</f>
        <v>2.22422912598</v>
      </c>
      <c r="M207" s="13" t="str">
        <f>HYPERLINK(AA2 &amp; "/bottle/sn_d30623112e58b893eee7d6dab02eb061/rendering/10.obj", "2.36357894897")</f>
        <v>2.36357894897</v>
      </c>
      <c r="N207" s="64" t="str">
        <f>HYPERLINK(AA2 &amp; "/bottle/sn_d30623112e58b893eee7d6dab02eb061/rendering/11.obj", "1.97677978516")</f>
        <v>1.97677978516</v>
      </c>
      <c r="O207" s="74" t="str">
        <f>HYPERLINK(AA2 &amp; "/bottle/sn_d30623112e58b893eee7d6dab02eb061/rendering/12.obj", "2.33438690186")</f>
        <v>2.33438690186</v>
      </c>
      <c r="P207" s="142" t="str">
        <f>HYPERLINK(AA2 &amp; "/bottle/sn_d30623112e58b893eee7d6dab02eb061/rendering/13.obj", "3.30189666748")</f>
        <v>3.30189666748</v>
      </c>
      <c r="Q207" s="44" t="str">
        <f>HYPERLINK(AA2 &amp; "/bottle/sn_d30623112e58b893eee7d6dab02eb061/rendering/14.obj", "1.90659194946")</f>
        <v>1.90659194946</v>
      </c>
      <c r="R207" s="80" t="str">
        <f>HYPERLINK(AA2 &amp; "/bottle/sn_d30623112e58b893eee7d6dab02eb061/rendering/15.obj", "2.72388458252")</f>
        <v>2.72388458252</v>
      </c>
      <c r="S207" s="134" t="str">
        <f>HYPERLINK(AA2 &amp; "/bottle/sn_d30623112e58b893eee7d6dab02eb061/rendering/16.obj", "2.7945300293")</f>
        <v>2.7945300293</v>
      </c>
      <c r="T207" s="64" t="str">
        <f>HYPERLINK(AA2 &amp; "/bottle/sn_d30623112e58b893eee7d6dab02eb061/rendering/17.obj", "1.97482330322")</f>
        <v>1.97482330322</v>
      </c>
      <c r="U207" s="19" t="str">
        <f>HYPERLINK(AA2 &amp; "/bottle/sn_d30623112e58b893eee7d6dab02eb061/rendering/18.obj", "2.98916656494")</f>
        <v>2.98916656494</v>
      </c>
      <c r="V207" s="93" t="str">
        <f>HYPERLINK(AA2 &amp; "/bottle/sn_d30623112e58b893eee7d6dab02eb061/rendering/19.obj", "2.7016885376")</f>
        <v>2.7016885376</v>
      </c>
      <c r="W207" s="12" t="s">
        <v>29</v>
      </c>
      <c r="X207" s="13">
        <v>2.367555404663086</v>
      </c>
      <c r="Y207" s="13">
        <v>0.44589103566482052</v>
      </c>
      <c r="Z207" s="109">
        <v>0.18833393921282821</v>
      </c>
    </row>
    <row r="208" spans="1:26" x14ac:dyDescent="0.2">
      <c r="A208" s="1">
        <v>206</v>
      </c>
      <c r="B208" s="2" t="s">
        <v>74</v>
      </c>
      <c r="C208" s="8" t="str">
        <f>HYPERLINK(AA2 &amp; "/bottle/sn_d30623112e58b893eee7d6dab02eb061/rendering/00.obj", "1.974655509")</f>
        <v>1.974655509</v>
      </c>
      <c r="D208" s="82" t="str">
        <f>HYPERLINK(AA2 &amp; "/bottle/sn_d30623112e58b893eee7d6dab02eb061/rendering/01.obj", "1.82652413845")</f>
        <v>1.82652413845</v>
      </c>
      <c r="E208" s="50" t="str">
        <f>HYPERLINK(AA2 &amp; "/bottle/sn_d30623112e58b893eee7d6dab02eb061/rendering/02.obj", "1.84030151367")</f>
        <v>1.84030151367</v>
      </c>
      <c r="F208" s="134" t="str">
        <f>HYPERLINK(AA2 &amp; "/bottle/sn_d30623112e58b893eee7d6dab02eb061/rendering/03.obj", "1.8841868639")</f>
        <v>1.8841868639</v>
      </c>
      <c r="G208" s="56" t="str">
        <f>HYPERLINK(AA2 &amp; "/bottle/sn_d30623112e58b893eee7d6dab02eb061/rendering/04.obj", "3.01398611069")</f>
        <v>3.01398611069</v>
      </c>
      <c r="H208" s="42" t="str">
        <f>HYPERLINK(AA2 &amp; "/bottle/sn_d30623112e58b893eee7d6dab02eb061/rendering/05.obj", "1.9863986969")</f>
        <v>1.9863986969</v>
      </c>
      <c r="I208" s="175" t="str">
        <f>HYPERLINK(AA2 &amp; "/bottle/sn_d30623112e58b893eee7d6dab02eb061/rendering/06.obj", "1.76409864426")</f>
        <v>1.76409864426</v>
      </c>
      <c r="J208" s="72" t="str">
        <f>HYPERLINK(AA2 &amp; "/bottle/sn_d30623112e58b893eee7d6dab02eb061/rendering/07.obj", "2.22665429115")</f>
        <v>2.22665429115</v>
      </c>
      <c r="K208" s="62" t="str">
        <f>HYPERLINK(AA2 &amp; "/bottle/sn_d30623112e58b893eee7d6dab02eb061/rendering/08.obj", "3.67576265335")</f>
        <v>3.67576265335</v>
      </c>
      <c r="L208" s="170" t="str">
        <f>HYPERLINK(AA2 &amp; "/bottle/sn_d30623112e58b893eee7d6dab02eb061/rendering/09.obj", "1.71997630596")</f>
        <v>1.71997630596</v>
      </c>
      <c r="M208" s="90" t="str">
        <f>HYPERLINK(AA2 &amp; "/bottle/sn_d30623112e58b893eee7d6dab02eb061/rendering/10.obj", "2.08282136917")</f>
        <v>2.08282136917</v>
      </c>
      <c r="N208" s="136" t="str">
        <f>HYPERLINK(AA2 &amp; "/bottle/sn_d30623112e58b893eee7d6dab02eb061/rendering/11.obj", "1.75215768814")</f>
        <v>1.75215768814</v>
      </c>
      <c r="O208" s="106" t="str">
        <f>HYPERLINK(AA2 &amp; "/bottle/sn_d30623112e58b893eee7d6dab02eb061/rendering/12.obj", "2.55984973907")</f>
        <v>2.55984973907</v>
      </c>
      <c r="P208" s="114" t="str">
        <f>HYPERLINK(AA2 &amp; "/bottle/sn_d30623112e58b893eee7d6dab02eb061/rendering/13.obj", "3.35979199409")</f>
        <v>3.35979199409</v>
      </c>
      <c r="Q208" s="93" t="str">
        <f>HYPERLINK(AA2 &amp; "/bottle/sn_d30623112e58b893eee7d6dab02eb061/rendering/14.obj", "1.98102164268")</f>
        <v>1.98102164268</v>
      </c>
      <c r="R208" s="68" t="str">
        <f>HYPERLINK(AA2 &amp; "/bottle/sn_d30623112e58b893eee7d6dab02eb061/rendering/15.obj", "2.39948892593")</f>
        <v>2.39948892593</v>
      </c>
      <c r="S208" s="68" t="str">
        <f>HYPERLINK(AA2 &amp; "/bottle/sn_d30623112e58b893eee7d6dab02eb061/rendering/16.obj", "2.20153999329")</f>
        <v>2.20153999329</v>
      </c>
      <c r="T208" s="8" t="str">
        <f>HYPERLINK(AA2 &amp; "/bottle/sn_d30623112e58b893eee7d6dab02eb061/rendering/17.obj", "1.96984362602")</f>
        <v>1.96984362602</v>
      </c>
      <c r="U208" s="139" t="str">
        <f>HYPERLINK(AA2 &amp; "/bottle/sn_d30623112e58b893eee7d6dab02eb061/rendering/18.obj", "3.40923476219")</f>
        <v>3.40923476219</v>
      </c>
      <c r="V208" s="69" t="str">
        <f>HYPERLINK(AA2 &amp; "/bottle/sn_d30623112e58b893eee7d6dab02eb061/rendering/19.obj", "2.36934757233")</f>
        <v>2.36934757233</v>
      </c>
      <c r="W208" s="12" t="s">
        <v>30</v>
      </c>
      <c r="X208" s="13">
        <v>2.2998821020126341</v>
      </c>
      <c r="Y208" s="13">
        <v>0.58513357354958462</v>
      </c>
      <c r="Z208" s="135">
        <v>0.2544189430569212</v>
      </c>
    </row>
    <row r="209" spans="1:26" x14ac:dyDescent="0.2">
      <c r="A209" s="1">
        <v>207</v>
      </c>
      <c r="B209" s="2" t="s">
        <v>74</v>
      </c>
      <c r="C209" s="60" t="str">
        <f>HYPERLINK(AB2 &amp; "/bottle/sn_d30623112e58b893eee7d6dab02eb061/rendering/00.obj", "2.17715606689")</f>
        <v>2.17715606689</v>
      </c>
      <c r="D209" s="51" t="str">
        <f>HYPERLINK(AB2 &amp; "/bottle/sn_d30623112e58b893eee7d6dab02eb061/rendering/01.obj", "2.11358535767")</f>
        <v>2.11358535767</v>
      </c>
      <c r="E209" s="133" t="str">
        <f>HYPERLINK(AB2 &amp; "/bottle/sn_d30623112e58b893eee7d6dab02eb061/rendering/02.obj", "2.52756454468")</f>
        <v>2.52756454468</v>
      </c>
      <c r="F209" s="29" t="str">
        <f>HYPERLINK(AB2 &amp; "/bottle/sn_d30623112e58b893eee7d6dab02eb061/rendering/03.obj", "1.99547714233")</f>
        <v>1.99547714233</v>
      </c>
      <c r="G209" s="90" t="str">
        <f>HYPERLINK(AB2 &amp; "/bottle/sn_d30623112e58b893eee7d6dab02eb061/rendering/04.obj", "2.51031051636")</f>
        <v>2.51031051636</v>
      </c>
      <c r="H209" s="108" t="str">
        <f>HYPERLINK(AB2 &amp; "/bottle/sn_d30623112e58b893eee7d6dab02eb061/rendering/05.obj", "2.86111755371")</f>
        <v>2.86111755371</v>
      </c>
      <c r="I209" s="27" t="str">
        <f>HYPERLINK(AB2 &amp; "/bottle/sn_d30623112e58b893eee7d6dab02eb061/rendering/06.obj", "2.45707000732")</f>
        <v>2.45707000732</v>
      </c>
      <c r="J209" s="44" t="str">
        <f>HYPERLINK(AB2 &amp; "/bottle/sn_d30623112e58b893eee7d6dab02eb061/rendering/07.obj", "2.74652069092")</f>
        <v>2.74652069092</v>
      </c>
      <c r="K209" s="38" t="str">
        <f>HYPERLINK(AB2 &amp; "/bottle/sn_d30623112e58b893eee7d6dab02eb061/rendering/08.obj", "2.49939849854")</f>
        <v>2.49939849854</v>
      </c>
      <c r="L209" s="5" t="str">
        <f>HYPERLINK(AB2 &amp; "/bottle/sn_d30623112e58b893eee7d6dab02eb061/rendering/09.obj", "2.11859710693")</f>
        <v>2.11859710693</v>
      </c>
      <c r="M209" s="81" t="str">
        <f>HYPERLINK(AB2 &amp; "/bottle/sn_d30623112e58b893eee7d6dab02eb061/rendering/10.obj", "2.79710418701")</f>
        <v>2.79710418701</v>
      </c>
      <c r="N209" s="31" t="str">
        <f>HYPERLINK(AB2 &amp; "/bottle/sn_d30623112e58b893eee7d6dab02eb061/rendering/11.obj", "1.93711151123")</f>
        <v>1.93711151123</v>
      </c>
      <c r="O209" s="25" t="str">
        <f>HYPERLINK(AB2 &amp; "/bottle/sn_d30623112e58b893eee7d6dab02eb061/rendering/12.obj", "2.27015686035")</f>
        <v>2.27015686035</v>
      </c>
      <c r="P209" s="63" t="str">
        <f>HYPERLINK(AB2 &amp; "/bottle/sn_d30623112e58b893eee7d6dab02eb061/rendering/13.obj", "2.01742385864")</f>
        <v>2.01742385864</v>
      </c>
      <c r="Q209" s="84" t="str">
        <f>HYPERLINK(AB2 &amp; "/bottle/sn_d30623112e58b893eee7d6dab02eb061/rendering/14.obj", "1.96248382568")</f>
        <v>1.96248382568</v>
      </c>
      <c r="R209" s="25" t="str">
        <f>HYPERLINK(AB2 &amp; "/bottle/sn_d30623112e58b893eee7d6dab02eb061/rendering/15.obj", "2.31986129761")</f>
        <v>2.31986129761</v>
      </c>
      <c r="S209" s="51" t="str">
        <f>HYPERLINK(AB2 &amp; "/bottle/sn_d30623112e58b893eee7d6dab02eb061/rendering/16.obj", "2.10959960938")</f>
        <v>2.10959960938</v>
      </c>
      <c r="T209" s="32" t="str">
        <f>HYPERLINK(AB2 &amp; "/bottle/sn_d30623112e58b893eee7d6dab02eb061/rendering/17.obj", "2.04994293213")</f>
        <v>2.04994293213</v>
      </c>
      <c r="U209" s="17" t="str">
        <f>HYPERLINK(AB2 &amp; "/bottle/sn_d30623112e58b893eee7d6dab02eb061/rendering/18.obj", "2.24679016113")</f>
        <v>2.24679016113</v>
      </c>
      <c r="V209" s="10" t="str">
        <f>HYPERLINK(AB2 &amp; "/bottle/sn_d30623112e58b893eee7d6dab02eb061/rendering/19.obj", "2.16793029785")</f>
        <v>2.16793029785</v>
      </c>
      <c r="W209" s="12" t="s">
        <v>31</v>
      </c>
      <c r="X209" s="13">
        <v>2.2942601013183599</v>
      </c>
      <c r="Y209" s="13">
        <v>0.2777058261506809</v>
      </c>
      <c r="Z209" s="63">
        <v>0.1210437412877039</v>
      </c>
    </row>
    <row r="210" spans="1:26" x14ac:dyDescent="0.2">
      <c r="A210" s="1">
        <v>208</v>
      </c>
      <c r="B210" s="2" t="s">
        <v>74</v>
      </c>
      <c r="C210" s="42" t="str">
        <f>HYPERLINK(AB2 &amp; "/bottle/sn_d30623112e58b893eee7d6dab02eb061/rendering/00.obj", "2.44288372993")</f>
        <v>2.44288372993</v>
      </c>
      <c r="D210" s="31" t="str">
        <f>HYPERLINK(AB2 &amp; "/bottle/sn_d30623112e58b893eee7d6dab02eb061/rendering/01.obj", "1.81527304649")</f>
        <v>1.81527304649</v>
      </c>
      <c r="E210" s="44" t="str">
        <f>HYPERLINK(AB2 &amp; "/bottle/sn_d30623112e58b893eee7d6dab02eb061/rendering/02.obj", "2.56819677353")</f>
        <v>2.56819677353</v>
      </c>
      <c r="F210" s="60" t="str">
        <f>HYPERLINK(AB2 &amp; "/bottle/sn_d30623112e58b893eee7d6dab02eb061/rendering/03.obj", "2.0339782238")</f>
        <v>2.0339782238</v>
      </c>
      <c r="G210" s="25" t="str">
        <f>HYPERLINK(AB2 &amp; "/bottle/sn_d30623112e58b893eee7d6dab02eb061/rendering/04.obj", "2.17089605331")</f>
        <v>2.17089605331</v>
      </c>
      <c r="H210" s="46" t="str">
        <f>HYPERLINK(AB2 &amp; "/bottle/sn_d30623112e58b893eee7d6dab02eb061/rendering/05.obj", "2.18335556984")</f>
        <v>2.18335556984</v>
      </c>
      <c r="I210" s="49" t="str">
        <f>HYPERLINK(AB2 &amp; "/bottle/sn_d30623112e58b893eee7d6dab02eb061/rendering/06.obj", "2.59334635735")</f>
        <v>2.59334635735</v>
      </c>
      <c r="J210" s="34" t="str">
        <f>HYPERLINK(AB2 &amp; "/bottle/sn_d30623112e58b893eee7d6dab02eb061/rendering/07.obj", "2.25527405739")</f>
        <v>2.25527405739</v>
      </c>
      <c r="K210" s="175" t="str">
        <f>HYPERLINK(AB2 &amp; "/bottle/sn_d30623112e58b893eee7d6dab02eb061/rendering/08.obj", "2.6524977684")</f>
        <v>2.6524977684</v>
      </c>
      <c r="L210" s="94" t="str">
        <f>HYPERLINK(AB2 &amp; "/bottle/sn_d30623112e58b893eee7d6dab02eb061/rendering/09.obj", "1.98792004585")</f>
        <v>1.98792004585</v>
      </c>
      <c r="M210" s="10" t="str">
        <f>HYPERLINK(AB2 &amp; "/bottle/sn_d30623112e58b893eee7d6dab02eb061/rendering/10.obj", "2.02968335152")</f>
        <v>2.02968335152</v>
      </c>
      <c r="N210" s="133" t="str">
        <f>HYPERLINK(AB2 &amp; "/bottle/sn_d30623112e58b893eee7d6dab02eb061/rendering/11.obj", "1.9266153574")</f>
        <v>1.9266153574</v>
      </c>
      <c r="O210" s="28" t="str">
        <f>HYPERLINK(AB2 &amp; "/bottle/sn_d30623112e58b893eee7d6dab02eb061/rendering/12.obj", "2.38548898697")</f>
        <v>2.38548898697</v>
      </c>
      <c r="P210" s="80" t="str">
        <f>HYPERLINK(AB2 &amp; "/bottle/sn_d30623112e58b893eee7d6dab02eb061/rendering/13.obj", "1.82563316822")</f>
        <v>1.82563316822</v>
      </c>
      <c r="Q210" s="79" t="str">
        <f>HYPERLINK(AB2 &amp; "/bottle/sn_d30623112e58b893eee7d6dab02eb061/rendering/14.obj", "1.80577087402")</f>
        <v>1.80577087402</v>
      </c>
      <c r="R210" s="91" t="str">
        <f>HYPERLINK(AB2 &amp; "/bottle/sn_d30623112e58b893eee7d6dab02eb061/rendering/15.obj", "2.20694828033")</f>
        <v>2.20694828033</v>
      </c>
      <c r="S210" s="39" t="str">
        <f>HYPERLINK(AB2 &amp; "/bottle/sn_d30623112e58b893eee7d6dab02eb061/rendering/16.obj", "1.96345567703")</f>
        <v>1.96345567703</v>
      </c>
      <c r="T210" s="66" t="str">
        <f>HYPERLINK(AB2 &amp; "/bottle/sn_d30623112e58b893eee7d6dab02eb061/rendering/17.obj", "1.7978246212")</f>
        <v>1.7978246212</v>
      </c>
      <c r="U210" s="63" t="str">
        <f>HYPERLINK(AB2 &amp; "/bottle/sn_d30623112e58b893eee7d6dab02eb061/rendering/18.obj", "2.4068365097")</f>
        <v>2.4068365097</v>
      </c>
      <c r="V210" s="28" t="str">
        <f>HYPERLINK(AB2 &amp; "/bottle/sn_d30623112e58b893eee7d6dab02eb061/rendering/19.obj", "1.90794038773")</f>
        <v>1.90794038773</v>
      </c>
      <c r="W210" s="12" t="s">
        <v>32</v>
      </c>
      <c r="X210" s="13">
        <v>2.1479909420013432</v>
      </c>
      <c r="Y210" s="13">
        <v>0.27424626571743188</v>
      </c>
      <c r="Z210" s="70">
        <v>0.1276757086610007</v>
      </c>
    </row>
    <row r="211" spans="1:26" x14ac:dyDescent="0.2">
      <c r="A211" s="1">
        <v>209</v>
      </c>
      <c r="B211" s="2" t="s">
        <v>74</v>
      </c>
      <c r="C211" s="13" t="str">
        <f>HYPERLINK(AC2 &amp; "/bottle/sn_d30623112e58b893eee7d6dab02eb061/rendering/00.xyz", "0.0")</f>
        <v>0.0</v>
      </c>
      <c r="D211" s="13" t="str">
        <f>HYPERLINK(AC2 &amp; "/bottle/sn_d30623112e58b893eee7d6dab02eb061/rendering/01.xyz", "0.0")</f>
        <v>0.0</v>
      </c>
      <c r="E211" s="13" t="str">
        <f>HYPERLINK(AC2 &amp; "/bottle/sn_d30623112e58b893eee7d6dab02eb061/rendering/02.xyz", "0.0")</f>
        <v>0.0</v>
      </c>
      <c r="F211" s="13" t="str">
        <f>HYPERLINK(AC2 &amp; "/bottle/sn_d30623112e58b893eee7d6dab02eb061/rendering/03.xyz", "0.0")</f>
        <v>0.0</v>
      </c>
      <c r="G211" s="13" t="str">
        <f>HYPERLINK(AC2 &amp; "/bottle/sn_d30623112e58b893eee7d6dab02eb061/rendering/04.xyz", "0.0")</f>
        <v>0.0</v>
      </c>
      <c r="H211" s="13" t="str">
        <f>HYPERLINK(AC2 &amp; "/bottle/sn_d30623112e58b893eee7d6dab02eb061/rendering/05.xyz", "0.0")</f>
        <v>0.0</v>
      </c>
      <c r="I211" s="13" t="str">
        <f>HYPERLINK(AC2 &amp; "/bottle/sn_d30623112e58b893eee7d6dab02eb061/rendering/06.xyz", "0.0")</f>
        <v>0.0</v>
      </c>
      <c r="J211" s="13" t="str">
        <f>HYPERLINK(AC2 &amp; "/bottle/sn_d30623112e58b893eee7d6dab02eb061/rendering/07.xyz", "0.0")</f>
        <v>0.0</v>
      </c>
      <c r="K211" s="13" t="str">
        <f>HYPERLINK(AC2 &amp; "/bottle/sn_d30623112e58b893eee7d6dab02eb061/rendering/08.xyz", "0.0")</f>
        <v>0.0</v>
      </c>
      <c r="L211" s="13" t="str">
        <f>HYPERLINK(AC2 &amp; "/bottle/sn_d30623112e58b893eee7d6dab02eb061/rendering/09.xyz", "0.0")</f>
        <v>0.0</v>
      </c>
      <c r="M211" s="13" t="str">
        <f>HYPERLINK(AC2 &amp; "/bottle/sn_d30623112e58b893eee7d6dab02eb061/rendering/10.xyz", "0.0")</f>
        <v>0.0</v>
      </c>
      <c r="N211" s="13" t="str">
        <f>HYPERLINK(AC2 &amp; "/bottle/sn_d30623112e58b893eee7d6dab02eb061/rendering/11.xyz", "0.0")</f>
        <v>0.0</v>
      </c>
      <c r="O211" s="13" t="str">
        <f>HYPERLINK(AC2 &amp; "/bottle/sn_d30623112e58b893eee7d6dab02eb061/rendering/12.xyz", "0.0")</f>
        <v>0.0</v>
      </c>
      <c r="P211" s="13" t="str">
        <f>HYPERLINK(AC2 &amp; "/bottle/sn_d30623112e58b893eee7d6dab02eb061/rendering/13.xyz", "0.0")</f>
        <v>0.0</v>
      </c>
      <c r="Q211" s="13" t="str">
        <f>HYPERLINK(AC2 &amp; "/bottle/sn_d30623112e58b893eee7d6dab02eb061/rendering/14.xyz", "0.0")</f>
        <v>0.0</v>
      </c>
      <c r="R211" s="13" t="str">
        <f>HYPERLINK(AC2 &amp; "/bottle/sn_d30623112e58b893eee7d6dab02eb061/rendering/15.xyz", "0.0")</f>
        <v>0.0</v>
      </c>
      <c r="S211" s="13" t="str">
        <f>HYPERLINK(AC2 &amp; "/bottle/sn_d30623112e58b893eee7d6dab02eb061/rendering/16.xyz", "0.0")</f>
        <v>0.0</v>
      </c>
      <c r="T211" s="13" t="str">
        <f>HYPERLINK(AC2 &amp; "/bottle/sn_d30623112e58b893eee7d6dab02eb061/rendering/17.xyz", "0.0")</f>
        <v>0.0</v>
      </c>
      <c r="U211" s="13" t="str">
        <f>HYPERLINK(AC2 &amp; "/bottle/sn_d30623112e58b893eee7d6dab02eb061/rendering/18.xyz", "0.0")</f>
        <v>0.0</v>
      </c>
      <c r="V211" s="13" t="str">
        <f>HYPERLINK(AC2 &amp; "/bottle/sn_d30623112e58b893eee7d6dab02eb061/rendering/19.xyz", "0.0")</f>
        <v>0.0</v>
      </c>
      <c r="W211" s="12" t="s">
        <v>33</v>
      </c>
      <c r="X211" s="13">
        <v>0</v>
      </c>
      <c r="Y211" s="13">
        <v>0</v>
      </c>
      <c r="Z211" s="13">
        <v>0</v>
      </c>
    </row>
    <row r="212" spans="1:26" x14ac:dyDescent="0.2">
      <c r="A212" s="1">
        <v>210</v>
      </c>
      <c r="B212" s="2" t="s">
        <v>75</v>
      </c>
      <c r="C212" s="46" t="str">
        <f>HYPERLINK(AA2 &amp; "/bottle/sn_d3b53f56b4a7b3b3c9f016d57db96408/rendering/00.obj", "3.91244506836")</f>
        <v>3.91244506836</v>
      </c>
      <c r="D212" s="24" t="str">
        <f>HYPERLINK(AA2 &amp; "/bottle/sn_d3b53f56b4a7b3b3c9f016d57db96408/rendering/01.obj", "3.19709533691")</f>
        <v>3.19709533691</v>
      </c>
      <c r="E212" s="73" t="str">
        <f>HYPERLINK(AA2 &amp; "/bottle/sn_d3b53f56b4a7b3b3c9f016d57db96408/rendering/02.obj", "3.98639831543")</f>
        <v>3.98639831543</v>
      </c>
      <c r="F212" s="113" t="str">
        <f>HYPERLINK(AA2 &amp; "/bottle/sn_d3b53f56b4a7b3b3c9f016d57db96408/rendering/03.obj", "4.90535858154")</f>
        <v>4.90535858154</v>
      </c>
      <c r="G212" s="107" t="str">
        <f>HYPERLINK(AA2 &amp; "/bottle/sn_d3b53f56b4a7b3b3c9f016d57db96408/rendering/04.obj", "3.5342199707")</f>
        <v>3.5342199707</v>
      </c>
      <c r="H212" s="171" t="str">
        <f>HYPERLINK(AA2 &amp; "/bottle/sn_d3b53f56b4a7b3b3c9f016d57db96408/rendering/05.obj", "2.66979827881")</f>
        <v>2.66979827881</v>
      </c>
      <c r="I212" s="65" t="str">
        <f>HYPERLINK(AA2 &amp; "/bottle/sn_d3b53f56b4a7b3b3c9f016d57db96408/rendering/06.obj", "3.33495605469")</f>
        <v>3.33495605469</v>
      </c>
      <c r="J212" s="183" t="str">
        <f>HYPERLINK(AA2 &amp; "/bottle/sn_d3b53f56b4a7b3b3c9f016d57db96408/rendering/07.obj", "6.74466674805")</f>
        <v>6.74466674805</v>
      </c>
      <c r="K212" s="6" t="str">
        <f>HYPERLINK(AA2 &amp; "/bottle/sn_d3b53f56b4a7b3b3c9f016d57db96408/rendering/08.obj", "3.67795257568")</f>
        <v>3.67795257568</v>
      </c>
      <c r="L212" s="56" t="str">
        <f>HYPERLINK(AA2 &amp; "/bottle/sn_d3b53f56b4a7b3b3c9f016d57db96408/rendering/09.obj", "5.04392944336")</f>
        <v>5.04392944336</v>
      </c>
      <c r="M212" s="28" t="str">
        <f>HYPERLINK(AA2 &amp; "/bottle/sn_d3b53f56b4a7b3b3c9f016d57db96408/rendering/10.obj", "3.41581756592")</f>
        <v>3.41581756592</v>
      </c>
      <c r="N212" s="25" t="str">
        <f>HYPERLINK(AA2 &amp; "/bottle/sn_d3b53f56b4a7b3b3c9f016d57db96408/rendering/11.obj", "3.89471221924")</f>
        <v>3.89471221924</v>
      </c>
      <c r="O212" s="7" t="str">
        <f>HYPERLINK(AA2 &amp; "/bottle/sn_d3b53f56b4a7b3b3c9f016d57db96408/rendering/12.obj", "2.78177703857")</f>
        <v>2.78177703857</v>
      </c>
      <c r="P212" s="110" t="str">
        <f>HYPERLINK(AA2 &amp; "/bottle/sn_d3b53f56b4a7b3b3c9f016d57db96408/rendering/13.obj", "3.4679119873")</f>
        <v>3.4679119873</v>
      </c>
      <c r="Q212" s="17" t="str">
        <f>HYPERLINK(AA2 &amp; "/bottle/sn_d3b53f56b4a7b3b3c9f016d57db96408/rendering/14.obj", "3.93035430908")</f>
        <v>3.93035430908</v>
      </c>
      <c r="R212" s="78" t="str">
        <f>HYPERLINK(AA2 &amp; "/bottle/sn_d3b53f56b4a7b3b3c9f016d57db96408/rendering/15.obj", "4.08249328613")</f>
        <v>4.08249328613</v>
      </c>
      <c r="S212" s="82" t="str">
        <f>HYPERLINK(AA2 &amp; "/bottle/sn_d3b53f56b4a7b3b3c9f016d57db96408/rendering/16.obj", "3.0528527832")</f>
        <v>3.0528527832</v>
      </c>
      <c r="T212" s="6" t="str">
        <f>HYPERLINK(AA2 &amp; "/bottle/sn_d3b53f56b4a7b3b3c9f016d57db96408/rendering/17.obj", "3.67890472412")</f>
        <v>3.67890472412</v>
      </c>
      <c r="U212" s="47" t="str">
        <f>HYPERLINK(AA2 &amp; "/bottle/sn_d3b53f56b4a7b3b3c9f016d57db96408/rendering/18.obj", "3.82280456543")</f>
        <v>3.82280456543</v>
      </c>
      <c r="V212" s="13" t="str">
        <f>HYPERLINK(AA2 &amp; "/bottle/sn_d3b53f56b4a7b3b3c9f016d57db96408/rendering/19.obj", "3.844921875")</f>
        <v>3.844921875</v>
      </c>
      <c r="W212" s="12" t="s">
        <v>29</v>
      </c>
      <c r="X212" s="13">
        <v>3.8489685363769541</v>
      </c>
      <c r="Y212" s="13">
        <v>0.87630398170183899</v>
      </c>
      <c r="Z212" s="87">
        <v>0.22767242013537131</v>
      </c>
    </row>
    <row r="213" spans="1:26" x14ac:dyDescent="0.2">
      <c r="A213" s="1">
        <v>211</v>
      </c>
      <c r="B213" s="2" t="s">
        <v>75</v>
      </c>
      <c r="C213" s="90" t="str">
        <f>HYPERLINK(AA2 &amp; "/bottle/sn_d3b53f56b4a7b3b3c9f016d57db96408/rendering/00.obj", "4.93457651138")</f>
        <v>4.93457651138</v>
      </c>
      <c r="D213" s="7" t="str">
        <f>HYPERLINK(AA2 &amp; "/bottle/sn_d3b53f56b4a7b3b3c9f016d57db96408/rendering/01.obj", "3.24745225906")</f>
        <v>3.24745225906</v>
      </c>
      <c r="E213" s="13" t="str">
        <f>HYPERLINK(AA2 &amp; "/bottle/sn_d3b53f56b4a7b3b3c9f016d57db96408/rendering/02.obj", "4.51427364349")</f>
        <v>4.51427364349</v>
      </c>
      <c r="F213" s="121" t="str">
        <f>HYPERLINK(AA2 &amp; "/bottle/sn_d3b53f56b4a7b3b3c9f016d57db96408/rendering/03.obj", "6.08411931992")</f>
        <v>6.08411931992</v>
      </c>
      <c r="G213" s="30" t="str">
        <f>HYPERLINK(AA2 &amp; "/bottle/sn_d3b53f56b4a7b3b3c9f016d57db96408/rendering/04.obj", "4.52745437622")</f>
        <v>4.52745437622</v>
      </c>
      <c r="H213" s="98" t="str">
        <f>HYPERLINK(AA2 &amp; "/bottle/sn_d3b53f56b4a7b3b3c9f016d57db96408/rendering/05.obj", "3.45987582207")</f>
        <v>3.45987582207</v>
      </c>
      <c r="I213" s="170" t="str">
        <f>HYPERLINK(AA2 &amp; "/bottle/sn_d3b53f56b4a7b3b3c9f016d57db96408/rendering/06.obj", "3.3644528389")</f>
        <v>3.3644528389</v>
      </c>
      <c r="J213" s="20" t="str">
        <f>HYPERLINK(AA2 &amp; "/bottle/sn_d3b53f56b4a7b3b3c9f016d57db96408/rendering/07.obj", "9.19916152954")</f>
        <v>9.19916152954</v>
      </c>
      <c r="K213" s="66" t="str">
        <f>HYPERLINK(AA2 &amp; "/bottle/sn_d3b53f56b4a7b3b3c9f016d57db96408/rendering/08.obj", "3.7791466713")</f>
        <v>3.7791466713</v>
      </c>
      <c r="L213" s="159" t="str">
        <f>HYPERLINK(AA2 &amp; "/bottle/sn_d3b53f56b4a7b3b3c9f016d57db96408/rendering/09.obj", "6.60963344574")</f>
        <v>6.60963344574</v>
      </c>
      <c r="M213" s="55" t="str">
        <f>HYPERLINK(AA2 &amp; "/bottle/sn_d3b53f56b4a7b3b3c9f016d57db96408/rendering/10.obj", "3.63636612892")</f>
        <v>3.63636612892</v>
      </c>
      <c r="N213" s="79" t="str">
        <f>HYPERLINK(AA2 &amp; "/bottle/sn_d3b53f56b4a7b3b3c9f016d57db96408/rendering/11.obj", "5.22122859955")</f>
        <v>5.22122859955</v>
      </c>
      <c r="O213" s="123" t="str">
        <f>HYPERLINK(AA2 &amp; "/bottle/sn_d3b53f56b4a7b3b3c9f016d57db96408/rendering/12.obj", "2.8445994854")</f>
        <v>2.8445994854</v>
      </c>
      <c r="P213" s="64" t="str">
        <f>HYPERLINK(AA2 &amp; "/bottle/sn_d3b53f56b4a7b3b3c9f016d57db96408/rendering/13.obj", "3.76301980019")</f>
        <v>3.76301980019</v>
      </c>
      <c r="Q213" s="70" t="str">
        <f>HYPERLINK(AA2 &amp; "/bottle/sn_d3b53f56b4a7b3b3c9f016d57db96408/rendering/14.obj", "5.06638908386")</f>
        <v>5.06638908386</v>
      </c>
      <c r="R213" s="63" t="str">
        <f>HYPERLINK(AA2 &amp; "/bottle/sn_d3b53f56b4a7b3b3c9f016d57db96408/rendering/15.obj", "5.03849887848")</f>
        <v>5.03849887848</v>
      </c>
      <c r="S213" s="99" t="str">
        <f>HYPERLINK(AA2 &amp; "/bottle/sn_d3b53f56b4a7b3b3c9f016d57db96408/rendering/16.obj", "3.27432465553")</f>
        <v>3.27432465553</v>
      </c>
      <c r="T213" s="83" t="str">
        <f>HYPERLINK(AA2 &amp; "/bottle/sn_d3b53f56b4a7b3b3c9f016d57db96408/rendering/17.obj", "3.8107047081")</f>
        <v>3.8107047081</v>
      </c>
      <c r="U213" s="76" t="str">
        <f>HYPERLINK(AA2 &amp; "/bottle/sn_d3b53f56b4a7b3b3c9f016d57db96408/rendering/18.obj", "3.66952180862")</f>
        <v>3.66952180862</v>
      </c>
      <c r="V213" s="106" t="str">
        <f>HYPERLINK(AA2 &amp; "/bottle/sn_d3b53f56b4a7b3b3c9f016d57db96408/rendering/19.obj", "3.98391151428")</f>
        <v>3.98391151428</v>
      </c>
      <c r="W213" s="12" t="s">
        <v>30</v>
      </c>
      <c r="X213" s="13">
        <v>4.501435554027557</v>
      </c>
      <c r="Y213" s="13">
        <v>1.4454318088546929</v>
      </c>
      <c r="Z213" s="168">
        <v>0.32110463240141829</v>
      </c>
    </row>
    <row r="214" spans="1:26" x14ac:dyDescent="0.2">
      <c r="A214" s="1">
        <v>212</v>
      </c>
      <c r="B214" s="2" t="s">
        <v>75</v>
      </c>
      <c r="C214" s="70" t="str">
        <f>HYPERLINK(AB2 &amp; "/bottle/sn_d3b53f56b4a7b3b3c9f016d57db96408/rendering/00.obj", "2.7443145752")</f>
        <v>2.7443145752</v>
      </c>
      <c r="D214" s="68" t="str">
        <f>HYPERLINK(AB2 &amp; "/bottle/sn_d3b53f56b4a7b3b3c9f016d57db96408/rendering/01.obj", "3.01606689453")</f>
        <v>3.01606689453</v>
      </c>
      <c r="E214" s="74" t="str">
        <f>HYPERLINK(AB2 &amp; "/bottle/sn_d3b53f56b4a7b3b3c9f016d57db96408/rendering/02.obj", "3.10253997803")</f>
        <v>3.10253997803</v>
      </c>
      <c r="F214" s="136" t="str">
        <f>HYPERLINK(AB2 &amp; "/bottle/sn_d3b53f56b4a7b3b3c9f016d57db96408/rendering/03.obj", "3.89012878418")</f>
        <v>3.89012878418</v>
      </c>
      <c r="G214" s="65" t="str">
        <f>HYPERLINK(AB2 &amp; "/bottle/sn_d3b53f56b4a7b3b3c9f016d57db96408/rendering/04.obj", "2.72437011719")</f>
        <v>2.72437011719</v>
      </c>
      <c r="H214" s="60" t="str">
        <f>HYPERLINK(AB2 &amp; "/bottle/sn_d3b53f56b4a7b3b3c9f016d57db96408/rendering/05.obj", "2.9784588623")</f>
        <v>2.9784588623</v>
      </c>
      <c r="I214" s="48" t="str">
        <f>HYPERLINK(AB2 &amp; "/bottle/sn_d3b53f56b4a7b3b3c9f016d57db96408/rendering/06.obj", "3.21473754883")</f>
        <v>3.21473754883</v>
      </c>
      <c r="J214" s="28" t="str">
        <f>HYPERLINK(AB2 &amp; "/bottle/sn_d3b53f56b4a7b3b3c9f016d57db96408/rendering/07.obj", "3.49455474854")</f>
        <v>3.49455474854</v>
      </c>
      <c r="K214" s="39" t="str">
        <f>HYPERLINK(AB2 &amp; "/bottle/sn_d3b53f56b4a7b3b3c9f016d57db96408/rendering/08.obj", "3.41230651855")</f>
        <v>3.41230651855</v>
      </c>
      <c r="L214" s="71" t="str">
        <f>HYPERLINK(AB2 &amp; "/bottle/sn_d3b53f56b4a7b3b3c9f016d57db96408/rendering/09.obj", "2.7774822998")</f>
        <v>2.7774822998</v>
      </c>
      <c r="M214" s="17" t="str">
        <f>HYPERLINK(AB2 &amp; "/bottle/sn_d3b53f56b4a7b3b3c9f016d57db96408/rendering/10.obj", "3.08505554199")</f>
        <v>3.08505554199</v>
      </c>
      <c r="N214" s="69" t="str">
        <f>HYPERLINK(AB2 &amp; "/bottle/sn_d3b53f56b4a7b3b3c9f016d57db96408/rendering/11.obj", "3.23952575684")</f>
        <v>3.23952575684</v>
      </c>
      <c r="O214" s="38" t="str">
        <f>HYPERLINK(AB2 &amp; "/bottle/sn_d3b53f56b4a7b3b3c9f016d57db96408/rendering/12.obj", "2.86726348877")</f>
        <v>2.86726348877</v>
      </c>
      <c r="P214" s="51" t="str">
        <f>HYPERLINK(AB2 &amp; "/bottle/sn_d3b53f56b4a7b3b3c9f016d57db96408/rendering/13.obj", "3.39460723877")</f>
        <v>3.39460723877</v>
      </c>
      <c r="Q214" s="17" t="str">
        <f>HYPERLINK(AB2 &amp; "/bottle/sn_d3b53f56b4a7b3b3c9f016d57db96408/rendering/14.obj", "3.21329864502")</f>
        <v>3.21329864502</v>
      </c>
      <c r="R214" s="6" t="str">
        <f>HYPERLINK(AB2 &amp; "/bottle/sn_d3b53f56b4a7b3b3c9f016d57db96408/rendering/15.obj", "3.29219238281")</f>
        <v>3.29219238281</v>
      </c>
      <c r="S214" s="27" t="str">
        <f>HYPERLINK(AB2 &amp; "/bottle/sn_d3b53f56b4a7b3b3c9f016d57db96408/rendering/16.obj", "3.36920898438")</f>
        <v>3.36920898438</v>
      </c>
      <c r="T214" s="37" t="str">
        <f>HYPERLINK(AB2 &amp; "/bottle/sn_d3b53f56b4a7b3b3c9f016d57db96408/rendering/17.obj", "3.68864257813")</f>
        <v>3.68864257813</v>
      </c>
      <c r="U214" s="8" t="str">
        <f>HYPERLINK(AB2 &amp; "/bottle/sn_d3b53f56b4a7b3b3c9f016d57db96408/rendering/18.obj", "2.70055267334")</f>
        <v>2.70055267334</v>
      </c>
      <c r="V214" s="8" t="str">
        <f>HYPERLINK(AB2 &amp; "/bottle/sn_d3b53f56b4a7b3b3c9f016d57db96408/rendering/19.obj", "2.69860229492")</f>
        <v>2.69860229492</v>
      </c>
      <c r="W214" s="12" t="s">
        <v>31</v>
      </c>
      <c r="X214" s="13">
        <v>3.1451954956054688</v>
      </c>
      <c r="Y214" s="13">
        <v>0.33116100633228063</v>
      </c>
      <c r="Z214" s="32">
        <v>0.1052910723021782</v>
      </c>
    </row>
    <row r="215" spans="1:26" x14ac:dyDescent="0.2">
      <c r="A215" s="1">
        <v>213</v>
      </c>
      <c r="B215" s="2" t="s">
        <v>75</v>
      </c>
      <c r="C215" s="44" t="str">
        <f>HYPERLINK(AB2 &amp; "/bottle/sn_d3b53f56b4a7b3b3c9f016d57db96408/rendering/00.obj", "3.02970743179")</f>
        <v>3.02970743179</v>
      </c>
      <c r="D215" s="40" t="str">
        <f>HYPERLINK(AB2 &amp; "/bottle/sn_d3b53f56b4a7b3b3c9f016d57db96408/rendering/01.obj", "3.11753225327")</f>
        <v>3.11753225327</v>
      </c>
      <c r="E215" s="70" t="str">
        <f>HYPERLINK(AB2 &amp; "/bottle/sn_d3b53f56b4a7b3b3c9f016d57db96408/rendering/02.obj", "3.28793406487")</f>
        <v>3.28793406487</v>
      </c>
      <c r="F215" s="109" t="str">
        <f>HYPERLINK(AB2 &amp; "/bottle/sn_d3b53f56b4a7b3b3c9f016d57db96408/rendering/03.obj", "4.47610855103")</f>
        <v>4.47610855103</v>
      </c>
      <c r="G215" s="120" t="str">
        <f>HYPERLINK(AB2 &amp; "/bottle/sn_d3b53f56b4a7b3b3c9f016d57db96408/rendering/04.obj", "2.96709823608")</f>
        <v>2.96709823608</v>
      </c>
      <c r="H215" s="55" t="str">
        <f>HYPERLINK(AB2 &amp; "/bottle/sn_d3b53f56b4a7b3b3c9f016d57db96408/rendering/05.obj", "3.04072952271")</f>
        <v>3.04072952271</v>
      </c>
      <c r="I215" s="24" t="str">
        <f>HYPERLINK(AB2 &amp; "/bottle/sn_d3b53f56b4a7b3b3c9f016d57db96408/rendering/06.obj", "3.13027262688")</f>
        <v>3.13027262688</v>
      </c>
      <c r="J215" s="174" t="str">
        <f>HYPERLINK(AB2 &amp; "/bottle/sn_d3b53f56b4a7b3b3c9f016d57db96408/rendering/07.obj", "5.74235725403")</f>
        <v>5.74235725403</v>
      </c>
      <c r="K215" s="85" t="str">
        <f>HYPERLINK(AB2 &amp; "/bottle/sn_d3b53f56b4a7b3b3c9f016d57db96408/rendering/08.obj", "4.87707710266")</f>
        <v>4.87707710266</v>
      </c>
      <c r="L215" s="55" t="str">
        <f>HYPERLINK(AB2 &amp; "/bottle/sn_d3b53f56b4a7b3b3c9f016d57db96408/rendering/09.obj", "3.03926682472")</f>
        <v>3.03926682472</v>
      </c>
      <c r="M215" s="39" t="str">
        <f>HYPERLINK(AB2 &amp; "/bottle/sn_d3b53f56b4a7b3b3c9f016d57db96408/rendering/10.obj", "3.43614792824")</f>
        <v>3.43614792824</v>
      </c>
      <c r="N215" s="46" t="str">
        <f>HYPERLINK(AB2 &amp; "/bottle/sn_d3b53f56b4a7b3b3c9f016d57db96408/rendering/11.obj", "3.82648849487")</f>
        <v>3.82648849487</v>
      </c>
      <c r="O215" s="80" t="str">
        <f>HYPERLINK(AB2 &amp; "/bottle/sn_d3b53f56b4a7b3b3c9f016d57db96408/rendering/12.obj", "3.20680642128")</f>
        <v>3.20680642128</v>
      </c>
      <c r="P215" s="136" t="str">
        <f>HYPERLINK(AB2 &amp; "/bottle/sn_d3b53f56b4a7b3b3c9f016d57db96408/rendering/13.obj", "4.66257190704")</f>
        <v>4.66257190704</v>
      </c>
      <c r="Q215" s="23" t="str">
        <f>HYPERLINK(AB2 &amp; "/bottle/sn_d3b53f56b4a7b3b3c9f016d57db96408/rendering/14.obj", "3.90946483612")</f>
        <v>3.90946483612</v>
      </c>
      <c r="R215" s="60" t="str">
        <f>HYPERLINK(AB2 &amp; "/bottle/sn_d3b53f56b4a7b3b3c9f016d57db96408/rendering/15.obj", "3.96522450447")</f>
        <v>3.96522450447</v>
      </c>
      <c r="S215" s="51" t="str">
        <f>HYPERLINK(AB2 &amp; "/bottle/sn_d3b53f56b4a7b3b3c9f016d57db96408/rendering/16.obj", "3.46909117699")</f>
        <v>3.46909117699</v>
      </c>
      <c r="T215" s="219" t="str">
        <f>HYPERLINK(AB2 &amp; "/bottle/sn_d3b53f56b4a7b3b3c9f016d57db96408/rendering/17.obj", "6.39096593857")</f>
        <v>6.39096593857</v>
      </c>
      <c r="U215" s="98" t="str">
        <f>HYPERLINK(AB2 &amp; "/bottle/sn_d3b53f56b4a7b3b3c9f016d57db96408/rendering/18.obj", "2.89677882195")</f>
        <v>2.89677882195</v>
      </c>
      <c r="V215" s="58" t="str">
        <f>HYPERLINK(AB2 &amp; "/bottle/sn_d3b53f56b4a7b3b3c9f016d57db96408/rendering/19.obj", "2.85356211662")</f>
        <v>2.85356211662</v>
      </c>
      <c r="W215" s="12" t="s">
        <v>32</v>
      </c>
      <c r="X215" s="13">
        <v>3.766259300708771</v>
      </c>
      <c r="Y215" s="13">
        <v>0.96923760911501688</v>
      </c>
      <c r="Z215" s="89">
        <v>0.25734755143720889</v>
      </c>
    </row>
    <row r="216" spans="1:26" x14ac:dyDescent="0.2">
      <c r="A216" s="1">
        <v>214</v>
      </c>
      <c r="B216" s="2" t="s">
        <v>75</v>
      </c>
      <c r="C216" s="13" t="str">
        <f>HYPERLINK(AC2 &amp; "/bottle/sn_d3b53f56b4a7b3b3c9f016d57db96408/rendering/00.xyz", "0.0")</f>
        <v>0.0</v>
      </c>
      <c r="D216" s="13" t="str">
        <f>HYPERLINK(AC2 &amp; "/bottle/sn_d3b53f56b4a7b3b3c9f016d57db96408/rendering/01.xyz", "0.0")</f>
        <v>0.0</v>
      </c>
      <c r="E216" s="13" t="str">
        <f>HYPERLINK(AC2 &amp; "/bottle/sn_d3b53f56b4a7b3b3c9f016d57db96408/rendering/02.xyz", "0.0")</f>
        <v>0.0</v>
      </c>
      <c r="F216" s="13" t="str">
        <f>HYPERLINK(AC2 &amp; "/bottle/sn_d3b53f56b4a7b3b3c9f016d57db96408/rendering/03.xyz", "0.0")</f>
        <v>0.0</v>
      </c>
      <c r="G216" s="13" t="str">
        <f>HYPERLINK(AC2 &amp; "/bottle/sn_d3b53f56b4a7b3b3c9f016d57db96408/rendering/04.xyz", "0.0")</f>
        <v>0.0</v>
      </c>
      <c r="H216" s="13" t="str">
        <f>HYPERLINK(AC2 &amp; "/bottle/sn_d3b53f56b4a7b3b3c9f016d57db96408/rendering/05.xyz", "0.0")</f>
        <v>0.0</v>
      </c>
      <c r="I216" s="13" t="str">
        <f>HYPERLINK(AC2 &amp; "/bottle/sn_d3b53f56b4a7b3b3c9f016d57db96408/rendering/06.xyz", "0.0")</f>
        <v>0.0</v>
      </c>
      <c r="J216" s="13" t="str">
        <f>HYPERLINK(AC2 &amp; "/bottle/sn_d3b53f56b4a7b3b3c9f016d57db96408/rendering/07.xyz", "0.0")</f>
        <v>0.0</v>
      </c>
      <c r="K216" s="13" t="str">
        <f>HYPERLINK(AC2 &amp; "/bottle/sn_d3b53f56b4a7b3b3c9f016d57db96408/rendering/08.xyz", "0.0")</f>
        <v>0.0</v>
      </c>
      <c r="L216" s="13" t="str">
        <f>HYPERLINK(AC2 &amp; "/bottle/sn_d3b53f56b4a7b3b3c9f016d57db96408/rendering/09.xyz", "0.0")</f>
        <v>0.0</v>
      </c>
      <c r="M216" s="13" t="str">
        <f>HYPERLINK(AC2 &amp; "/bottle/sn_d3b53f56b4a7b3b3c9f016d57db96408/rendering/10.xyz", "0.0")</f>
        <v>0.0</v>
      </c>
      <c r="N216" s="13" t="str">
        <f>HYPERLINK(AC2 &amp; "/bottle/sn_d3b53f56b4a7b3b3c9f016d57db96408/rendering/11.xyz", "0.0")</f>
        <v>0.0</v>
      </c>
      <c r="O216" s="13" t="str">
        <f>HYPERLINK(AC2 &amp; "/bottle/sn_d3b53f56b4a7b3b3c9f016d57db96408/rendering/12.xyz", "0.0")</f>
        <v>0.0</v>
      </c>
      <c r="P216" s="13" t="str">
        <f>HYPERLINK(AC2 &amp; "/bottle/sn_d3b53f56b4a7b3b3c9f016d57db96408/rendering/13.xyz", "0.0")</f>
        <v>0.0</v>
      </c>
      <c r="Q216" s="13" t="str">
        <f>HYPERLINK(AC2 &amp; "/bottle/sn_d3b53f56b4a7b3b3c9f016d57db96408/rendering/14.xyz", "0.0")</f>
        <v>0.0</v>
      </c>
      <c r="R216" s="13" t="str">
        <f>HYPERLINK(AC2 &amp; "/bottle/sn_d3b53f56b4a7b3b3c9f016d57db96408/rendering/15.xyz", "0.0")</f>
        <v>0.0</v>
      </c>
      <c r="S216" s="13" t="str">
        <f>HYPERLINK(AC2 &amp; "/bottle/sn_d3b53f56b4a7b3b3c9f016d57db96408/rendering/16.xyz", "0.0")</f>
        <v>0.0</v>
      </c>
      <c r="T216" s="13" t="str">
        <f>HYPERLINK(AC2 &amp; "/bottle/sn_d3b53f56b4a7b3b3c9f016d57db96408/rendering/17.xyz", "0.0")</f>
        <v>0.0</v>
      </c>
      <c r="U216" s="13" t="str">
        <f>HYPERLINK(AC2 &amp; "/bottle/sn_d3b53f56b4a7b3b3c9f016d57db96408/rendering/18.xyz", "0.0")</f>
        <v>0.0</v>
      </c>
      <c r="V216" s="13" t="str">
        <f>HYPERLINK(AC2 &amp; "/bottle/sn_d3b53f56b4a7b3b3c9f016d57db96408/rendering/19.xyz", "0.0")</f>
        <v>0.0</v>
      </c>
      <c r="W216" s="12" t="s">
        <v>33</v>
      </c>
      <c r="X216" s="13">
        <v>0</v>
      </c>
      <c r="Y216" s="13">
        <v>0</v>
      </c>
      <c r="Z216" s="13">
        <v>0</v>
      </c>
    </row>
    <row r="217" spans="1:26" x14ac:dyDescent="0.2">
      <c r="A217" s="1">
        <v>215</v>
      </c>
      <c r="B217" s="2" t="s">
        <v>76</v>
      </c>
      <c r="C217" s="13" t="str">
        <f>HYPERLINK(AA2 &amp; "/bottle/sn_d3eea69d9d58401c76c2a9de5c96f76/rendering/00.obj", "2.57336303711")</f>
        <v>2.57336303711</v>
      </c>
      <c r="D217" s="30" t="str">
        <f>HYPERLINK(AA2 &amp; "/bottle/sn_d3eea69d9d58401c76c2a9de5c96f76/rendering/01.obj", "2.55940124512")</f>
        <v>2.55940124512</v>
      </c>
      <c r="E217" s="74" t="str">
        <f>HYPERLINK(AA2 &amp; "/bottle/sn_d3eea69d9d58401c76c2a9de5c96f76/rendering/02.obj", "2.53583740234")</f>
        <v>2.53583740234</v>
      </c>
      <c r="F217" s="166" t="str">
        <f>HYPERLINK(AA2 &amp; "/bottle/sn_d3eea69d9d58401c76c2a9de5c96f76/rendering/03.obj", "3.30944885254")</f>
        <v>3.30944885254</v>
      </c>
      <c r="G217" s="67" t="str">
        <f>HYPERLINK(AA2 &amp; "/bottle/sn_d3eea69d9d58401c76c2a9de5c96f76/rendering/04.obj", "2.33407897949")</f>
        <v>2.33407897949</v>
      </c>
      <c r="H217" s="84" t="str">
        <f>HYPERLINK(AA2 &amp; "/bottle/sn_d3eea69d9d58401c76c2a9de5c96f76/rendering/05.obj", "2.1968196106")</f>
        <v>2.1968196106</v>
      </c>
      <c r="I217" s="96" t="str">
        <f>HYPERLINK(AA2 &amp; "/bottle/sn_d3eea69d9d58401c76c2a9de5c96f76/rendering/06.obj", "3.50647796631")</f>
        <v>3.50647796631</v>
      </c>
      <c r="J217" s="90" t="str">
        <f>HYPERLINK(AA2 &amp; "/bottle/sn_d3eea69d9d58401c76c2a9de5c96f76/rendering/07.obj", "2.3229145813")</f>
        <v>2.3229145813</v>
      </c>
      <c r="K217" s="92" t="str">
        <f>HYPERLINK(AA2 &amp; "/bottle/sn_d3eea69d9d58401c76c2a9de5c96f76/rendering/08.obj", "2.2508682251")</f>
        <v>2.2508682251</v>
      </c>
      <c r="L217" s="8" t="str">
        <f>HYPERLINK(AA2 &amp; "/bottle/sn_d3eea69d9d58401c76c2a9de5c96f76/rendering/09.obj", "2.20037612915")</f>
        <v>2.20037612915</v>
      </c>
      <c r="M217" s="198" t="str">
        <f>HYPERLINK(AA2 &amp; "/bottle/sn_d3eea69d9d58401c76c2a9de5c96f76/rendering/10.obj", "3.56511810303")</f>
        <v>3.56511810303</v>
      </c>
      <c r="N217" s="78" t="str">
        <f>HYPERLINK(AA2 &amp; "/bottle/sn_d3eea69d9d58401c76c2a9de5c96f76/rendering/11.obj", "2.41640869141")</f>
        <v>2.41640869141</v>
      </c>
      <c r="O217" s="69" t="str">
        <f>HYPERLINK(AA2 &amp; "/bottle/sn_d3eea69d9d58401c76c2a9de5c96f76/rendering/12.obj", "2.49487457275")</f>
        <v>2.49487457275</v>
      </c>
      <c r="P217" s="26" t="str">
        <f>HYPERLINK(AA2 &amp; "/bottle/sn_d3eea69d9d58401c76c2a9de5c96f76/rendering/13.obj", "2.40707870483")</f>
        <v>2.40707870483</v>
      </c>
      <c r="Q217" s="82" t="str">
        <f>HYPERLINK(AA2 &amp; "/bottle/sn_d3eea69d9d58401c76c2a9de5c96f76/rendering/14.obj", "2.04426254272")</f>
        <v>2.04426254272</v>
      </c>
      <c r="R217" s="29" t="str">
        <f>HYPERLINK(AA2 &amp; "/bottle/sn_d3eea69d9d58401c76c2a9de5c96f76/rendering/15.obj", "2.23465789795")</f>
        <v>2.23465789795</v>
      </c>
      <c r="S217" s="60" t="str">
        <f>HYPERLINK(AA2 &amp; "/bottle/sn_d3eea69d9d58401c76c2a9de5c96f76/rendering/16.obj", "2.70469665527")</f>
        <v>2.70469665527</v>
      </c>
      <c r="T217" s="68" t="str">
        <f>HYPERLINK(AA2 &amp; "/bottle/sn_d3eea69d9d58401c76c2a9de5c96f76/rendering/17.obj", "2.67922515869")</f>
        <v>2.67922515869</v>
      </c>
      <c r="U217" s="133" t="str">
        <f>HYPERLINK(AA2 &amp; "/bottle/sn_d3eea69d9d58401c76c2a9de5c96f76/rendering/18.obj", "2.30784545898")</f>
        <v>2.30784545898</v>
      </c>
      <c r="V217" s="51" t="str">
        <f>HYPERLINK(AA2 &amp; "/bottle/sn_d3eea69d9d58401c76c2a9de5c96f76/rendering/19.obj", "2.77881317139")</f>
        <v>2.77881317139</v>
      </c>
      <c r="W217" s="12" t="s">
        <v>29</v>
      </c>
      <c r="X217" s="13">
        <v>2.5711283493041992</v>
      </c>
      <c r="Y217" s="13">
        <v>0.41813719373747699</v>
      </c>
      <c r="Z217" s="66">
        <v>0.1626278959782905</v>
      </c>
    </row>
    <row r="218" spans="1:26" x14ac:dyDescent="0.2">
      <c r="A218" s="1">
        <v>216</v>
      </c>
      <c r="B218" s="2" t="s">
        <v>76</v>
      </c>
      <c r="C218" s="13" t="str">
        <f>HYPERLINK(AA2 &amp; "/bottle/sn_d3eea69d9d58401c76c2a9de5c96f76/rendering/00.obj", "2.83865404129")</f>
        <v>2.83865404129</v>
      </c>
      <c r="D218" s="25" t="str">
        <f>HYPERLINK(AA2 &amp; "/bottle/sn_d3eea69d9d58401c76c2a9de5c96f76/rendering/01.obj", "2.80784845352")</f>
        <v>2.80784845352</v>
      </c>
      <c r="E218" s="23" t="str">
        <f>HYPERLINK(AA2 &amp; "/bottle/sn_d3eea69d9d58401c76c2a9de5c96f76/rendering/02.obj", "2.7288312912")</f>
        <v>2.7288312912</v>
      </c>
      <c r="F218" s="14" t="str">
        <f>HYPERLINK(AA2 &amp; "/bottle/sn_d3eea69d9d58401c76c2a9de5c96f76/rendering/03.obj", "3.66354632378")</f>
        <v>3.66354632378</v>
      </c>
      <c r="G218" s="92" t="str">
        <f>HYPERLINK(AA2 &amp; "/bottle/sn_d3eea69d9d58401c76c2a9de5c96f76/rendering/04.obj", "2.48886084557")</f>
        <v>2.48886084557</v>
      </c>
      <c r="H218" s="29" t="str">
        <f>HYPERLINK(AA2 &amp; "/bottle/sn_d3eea69d9d58401c76c2a9de5c96f76/rendering/05.obj", "2.47247052193")</f>
        <v>2.47247052193</v>
      </c>
      <c r="I218" s="122" t="str">
        <f>HYPERLINK(AA2 &amp; "/bottle/sn_d3eea69d9d58401c76c2a9de5c96f76/rendering/06.obj", "3.98329424858")</f>
        <v>3.98329424858</v>
      </c>
      <c r="J218" s="5" t="str">
        <f>HYPERLINK(AA2 &amp; "/bottle/sn_d3eea69d9d58401c76c2a9de5c96f76/rendering/07.obj", "2.61981654167")</f>
        <v>2.61981654167</v>
      </c>
      <c r="K218" s="27" t="str">
        <f>HYPERLINK(AA2 &amp; "/bottle/sn_d3eea69d9d58401c76c2a9de5c96f76/rendering/08.obj", "2.63939142227")</f>
        <v>2.63939142227</v>
      </c>
      <c r="L218" s="84" t="str">
        <f>HYPERLINK(AA2 &amp; "/bottle/sn_d3eea69d9d58401c76c2a9de5c96f76/rendering/09.obj", "2.42832040787")</f>
        <v>2.42832040787</v>
      </c>
      <c r="M218" s="181" t="str">
        <f>HYPERLINK(AA2 &amp; "/bottle/sn_d3eea69d9d58401c76c2a9de5c96f76/rendering/10.obj", "4.09858226776")</f>
        <v>4.09858226776</v>
      </c>
      <c r="N218" s="94" t="str">
        <f>HYPERLINK(AA2 &amp; "/bottle/sn_d3eea69d9d58401c76c2a9de5c96f76/rendering/11.obj", "2.62907743454")</f>
        <v>2.62907743454</v>
      </c>
      <c r="O218" s="35" t="str">
        <f>HYPERLINK(AA2 &amp; "/bottle/sn_d3eea69d9d58401c76c2a9de5c96f76/rendering/12.obj", "2.67779588699")</f>
        <v>2.67779588699</v>
      </c>
      <c r="P218" s="39" t="str">
        <f>HYPERLINK(AA2 &amp; "/bottle/sn_d3eea69d9d58401c76c2a9de5c96f76/rendering/13.obj", "2.59380841255")</f>
        <v>2.59380841255</v>
      </c>
      <c r="Q218" s="88" t="str">
        <f>HYPERLINK(AA2 &amp; "/bottle/sn_d3eea69d9d58401c76c2a9de5c96f76/rendering/14.obj", "2.26471853256")</f>
        <v>2.26471853256</v>
      </c>
      <c r="R218" s="42" t="str">
        <f>HYPERLINK(AA2 &amp; "/bottle/sn_d3eea69d9d58401c76c2a9de5c96f76/rendering/15.obj", "2.45211172104")</f>
        <v>2.45211172104</v>
      </c>
      <c r="S218" s="6" t="str">
        <f>HYPERLINK(AA2 &amp; "/bottle/sn_d3eea69d9d58401c76c2a9de5c96f76/rendering/16.obj", "2.96641969681")</f>
        <v>2.96641969681</v>
      </c>
      <c r="T218" s="25" t="str">
        <f>HYPERLINK(AA2 &amp; "/bottle/sn_d3eea69d9d58401c76c2a9de5c96f76/rendering/17.obj", "2.86923217773")</f>
        <v>2.86923217773</v>
      </c>
      <c r="U218" s="32" t="str">
        <f>HYPERLINK(AA2 &amp; "/bottle/sn_d3eea69d9d58401c76c2a9de5c96f76/rendering/18.obj", "2.5411632061")</f>
        <v>2.5411632061</v>
      </c>
      <c r="V218" s="94" t="str">
        <f>HYPERLINK(AA2 &amp; "/bottle/sn_d3eea69d9d58401c76c2a9de5c96f76/rendering/19.obj", "3.04745030403")</f>
        <v>3.04745030403</v>
      </c>
      <c r="W218" s="12" t="s">
        <v>30</v>
      </c>
      <c r="X218" s="13">
        <v>2.8405696868896491</v>
      </c>
      <c r="Y218" s="13">
        <v>0.49301819460339819</v>
      </c>
      <c r="Z218" s="37">
        <v>0.17356314012603599</v>
      </c>
    </row>
    <row r="219" spans="1:26" x14ac:dyDescent="0.2">
      <c r="A219" s="1">
        <v>217</v>
      </c>
      <c r="B219" s="2" t="s">
        <v>76</v>
      </c>
      <c r="C219" s="34" t="str">
        <f>HYPERLINK(AB2 &amp; "/bottle/sn_d3eea69d9d58401c76c2a9de5c96f76/rendering/00.obj", "3.06003479004")</f>
        <v>3.06003479004</v>
      </c>
      <c r="D219" s="90" t="str">
        <f>HYPERLINK(AB2 &amp; "/bottle/sn_d3eea69d9d58401c76c2a9de5c96f76/rendering/01.obj", "2.6380645752")</f>
        <v>2.6380645752</v>
      </c>
      <c r="E219" s="23" t="str">
        <f>HYPERLINK(AB2 &amp; "/bottle/sn_d3eea69d9d58401c76c2a9de5c96f76/rendering/02.obj", "3.03312469482")</f>
        <v>3.03312469482</v>
      </c>
      <c r="F219" s="68" t="str">
        <f>HYPERLINK(AB2 &amp; "/bottle/sn_d3eea69d9d58401c76c2a9de5c96f76/rendering/03.obj", "3.04610168457")</f>
        <v>3.04610168457</v>
      </c>
      <c r="G219" s="73" t="str">
        <f>HYPERLINK(AB2 &amp; "/bottle/sn_d3eea69d9d58401c76c2a9de5c96f76/rendering/04.obj", "3.02761779785")</f>
        <v>3.02761779785</v>
      </c>
      <c r="H219" s="51" t="str">
        <f>HYPERLINK(AB2 &amp; "/bottle/sn_d3eea69d9d58401c76c2a9de5c96f76/rendering/05.obj", "2.68332885742")</f>
        <v>2.68332885742</v>
      </c>
      <c r="I219" s="35" t="str">
        <f>HYPERLINK(AB2 &amp; "/bottle/sn_d3eea69d9d58401c76c2a9de5c96f76/rendering/06.obj", "3.08819335937")</f>
        <v>3.08819335937</v>
      </c>
      <c r="J219" s="74" t="str">
        <f>HYPERLINK(AB2 &amp; "/bottle/sn_d3eea69d9d58401c76c2a9de5c96f76/rendering/07.obj", "2.88049591064")</f>
        <v>2.88049591064</v>
      </c>
      <c r="K219" s="133" t="str">
        <f>HYPERLINK(AB2 &amp; "/bottle/sn_d3eea69d9d58401c76c2a9de5c96f76/rendering/08.obj", "2.61978820801")</f>
        <v>2.61978820801</v>
      </c>
      <c r="L219" s="48" t="str">
        <f>HYPERLINK(AB2 &amp; "/bottle/sn_d3eea69d9d58401c76c2a9de5c96f76/rendering/09.obj", "2.98662963867")</f>
        <v>2.98662963867</v>
      </c>
      <c r="M219" s="27" t="str">
        <f>HYPERLINK(AB2 &amp; "/bottle/sn_d3eea69d9d58401c76c2a9de5c96f76/rendering/10.obj", "3.12922119141")</f>
        <v>3.12922119141</v>
      </c>
      <c r="N219" s="38" t="str">
        <f>HYPERLINK(AB2 &amp; "/bottle/sn_d3eea69d9d58401c76c2a9de5c96f76/rendering/11.obj", "2.65559265137")</f>
        <v>2.65559265137</v>
      </c>
      <c r="O219" s="13" t="str">
        <f>HYPERLINK(AB2 &amp; "/bottle/sn_d3eea69d9d58401c76c2a9de5c96f76/rendering/12.obj", "2.91225189209")</f>
        <v>2.91225189209</v>
      </c>
      <c r="P219" s="17" t="str">
        <f>HYPERLINK(AB2 &amp; "/bottle/sn_d3eea69d9d58401c76c2a9de5c96f76/rendering/13.obj", "2.85885040283")</f>
        <v>2.85885040283</v>
      </c>
      <c r="Q219" s="133" t="str">
        <f>HYPERLINK(AB2 &amp; "/bottle/sn_d3eea69d9d58401c76c2a9de5c96f76/rendering/14.obj", "2.62106933594")</f>
        <v>2.62106933594</v>
      </c>
      <c r="R219" s="6" t="str">
        <f>HYPERLINK(AB2 &amp; "/bottle/sn_d3eea69d9d58401c76c2a9de5c96f76/rendering/15.obj", "3.04998657227")</f>
        <v>3.04998657227</v>
      </c>
      <c r="S219" s="72" t="str">
        <f>HYPERLINK(AB2 &amp; "/bottle/sn_d3eea69d9d58401c76c2a9de5c96f76/rendering/16.obj", "3.01289398193")</f>
        <v>3.01289398193</v>
      </c>
      <c r="T219" s="34" t="str">
        <f>HYPERLINK(AB2 &amp; "/bottle/sn_d3eea69d9d58401c76c2a9de5c96f76/rendering/17.obj", "3.0654510498")</f>
        <v>3.0654510498</v>
      </c>
      <c r="U219" s="13" t="str">
        <f>HYPERLINK(AB2 &amp; "/bottle/sn_d3eea69d9d58401c76c2a9de5c96f76/rendering/18.obj", "2.91109039307")</f>
        <v>2.91109039307</v>
      </c>
      <c r="V219" s="26" t="str">
        <f>HYPERLINK(AB2 &amp; "/bottle/sn_d3eea69d9d58401c76c2a9de5c96f76/rendering/19.obj", "3.10333740234")</f>
        <v>3.10333740234</v>
      </c>
      <c r="W219" s="12" t="s">
        <v>31</v>
      </c>
      <c r="X219" s="13">
        <v>2.9191562194824221</v>
      </c>
      <c r="Y219" s="13">
        <v>0.1742139978104118</v>
      </c>
      <c r="Z219" s="78">
        <v>5.9679573380728712E-2</v>
      </c>
    </row>
    <row r="220" spans="1:26" x14ac:dyDescent="0.2">
      <c r="A220" s="1">
        <v>218</v>
      </c>
      <c r="B220" s="2" t="s">
        <v>76</v>
      </c>
      <c r="C220" s="74" t="str">
        <f>HYPERLINK(AB2 &amp; "/bottle/sn_d3eea69d9d58401c76c2a9de5c96f76/rendering/00.obj", "2.37197089195")</f>
        <v>2.37197089195</v>
      </c>
      <c r="D220" s="39" t="str">
        <f>HYPERLINK(AB2 &amp; "/bottle/sn_d3eea69d9d58401c76c2a9de5c96f76/rendering/01.obj", "2.13847470284")</f>
        <v>2.13847470284</v>
      </c>
      <c r="E220" s="10" t="str">
        <f>HYPERLINK(AB2 &amp; "/bottle/sn_d3eea69d9d58401c76c2a9de5c96f76/rendering/02.obj", "2.46995592117")</f>
        <v>2.46995592117</v>
      </c>
      <c r="F220" s="69" t="str">
        <f>HYPERLINK(AB2 &amp; "/bottle/sn_d3eea69d9d58401c76c2a9de5c96f76/rendering/03.obj", "2.41021633148")</f>
        <v>2.41021633148</v>
      </c>
      <c r="G220" s="34" t="str">
        <f>HYPERLINK(AB2 &amp; "/bottle/sn_d3eea69d9d58401c76c2a9de5c96f76/rendering/04.obj", "2.45831847191")</f>
        <v>2.45831847191</v>
      </c>
      <c r="H220" s="68" t="str">
        <f>HYPERLINK(AB2 &amp; "/bottle/sn_d3eea69d9d58401c76c2a9de5c96f76/rendering/05.obj", "2.24460816383")</f>
        <v>2.24460816383</v>
      </c>
      <c r="I220" s="60" t="str">
        <f>HYPERLINK(AB2 &amp; "/bottle/sn_d3eea69d9d58401c76c2a9de5c96f76/rendering/06.obj", "2.46288132668")</f>
        <v>2.46288132668</v>
      </c>
      <c r="J220" s="73" t="str">
        <f>HYPERLINK(AB2 &amp; "/bottle/sn_d3eea69d9d58401c76c2a9de5c96f76/rendering/07.obj", "2.25944304466")</f>
        <v>2.25944304466</v>
      </c>
      <c r="K220" s="35" t="str">
        <f>HYPERLINK(AB2 &amp; "/bottle/sn_d3eea69d9d58401c76c2a9de5c96f76/rendering/08.obj", "2.20325827599")</f>
        <v>2.20325827599</v>
      </c>
      <c r="L220" s="13" t="str">
        <f>HYPERLINK(AB2 &amp; "/bottle/sn_d3eea69d9d58401c76c2a9de5c96f76/rendering/09.obj", "2.34848761559")</f>
        <v>2.34848761559</v>
      </c>
      <c r="M220" s="78" t="str">
        <f>HYPERLINK(AB2 &amp; "/bottle/sn_d3eea69d9d58401c76c2a9de5c96f76/rendering/10.obj", "2.48588728905")</f>
        <v>2.48588728905</v>
      </c>
      <c r="N220" s="34" t="str">
        <f>HYPERLINK(AB2 &amp; "/bottle/sn_d3eea69d9d58401c76c2a9de5c96f76/rendering/11.obj", "2.22904872894")</f>
        <v>2.22904872894</v>
      </c>
      <c r="O220" s="30" t="str">
        <f>HYPERLINK(AB2 &amp; "/bottle/sn_d3eea69d9d58401c76c2a9de5c96f76/rendering/12.obj", "2.33270382881")</f>
        <v>2.33270382881</v>
      </c>
      <c r="P220" s="23" t="str">
        <f>HYPERLINK(AB2 &amp; "/bottle/sn_d3eea69d9d58401c76c2a9de5c96f76/rendering/13.obj", "2.25240564346")</f>
        <v>2.25240564346</v>
      </c>
      <c r="Q220" s="94" t="str">
        <f>HYPERLINK(AB2 &amp; "/bottle/sn_d3eea69d9d58401c76c2a9de5c96f76/rendering/14.obj", "2.16763687134")</f>
        <v>2.16763687134</v>
      </c>
      <c r="R220" s="69" t="str">
        <f>HYPERLINK(AB2 &amp; "/bottle/sn_d3eea69d9d58401c76c2a9de5c96f76/rendering/15.obj", "2.40899157524")</f>
        <v>2.40899157524</v>
      </c>
      <c r="S220" s="91" t="str">
        <f>HYPERLINK(AB2 &amp; "/bottle/sn_d3eea69d9d58401c76c2a9de5c96f76/rendering/16.obj", "2.40202951431")</f>
        <v>2.40202951431</v>
      </c>
      <c r="T220" s="69" t="str">
        <f>HYPERLINK(AB2 &amp; "/bottle/sn_d3eea69d9d58401c76c2a9de5c96f76/rendering/17.obj", "2.40793514252")</f>
        <v>2.40793514252</v>
      </c>
      <c r="U220" s="72" t="str">
        <f>HYPERLINK(AB2 &amp; "/bottle/sn_d3eea69d9d58401c76c2a9de5c96f76/rendering/18.obj", "2.26822304726")</f>
        <v>2.26822304726</v>
      </c>
      <c r="V220" s="94" t="str">
        <f>HYPERLINK(AB2 &amp; "/bottle/sn_d3eea69d9d58401c76c2a9de5c96f76/rendering/19.obj", "2.51223278046")</f>
        <v>2.51223278046</v>
      </c>
      <c r="W220" s="12" t="s">
        <v>32</v>
      </c>
      <c r="X220" s="13">
        <v>2.341735458374024</v>
      </c>
      <c r="Y220" s="13">
        <v>0.1108870482879776</v>
      </c>
      <c r="Z220" s="34">
        <v>4.7352508538676549E-2</v>
      </c>
    </row>
    <row r="221" spans="1:26" x14ac:dyDescent="0.2">
      <c r="A221" s="1">
        <v>219</v>
      </c>
      <c r="B221" s="2" t="s">
        <v>76</v>
      </c>
      <c r="C221" s="13" t="str">
        <f>HYPERLINK(AC2 &amp; "/bottle/sn_d3eea69d9d58401c76c2a9de5c96f76/rendering/00.xyz", "0.0")</f>
        <v>0.0</v>
      </c>
      <c r="D221" s="13" t="str">
        <f>HYPERLINK(AC2 &amp; "/bottle/sn_d3eea69d9d58401c76c2a9de5c96f76/rendering/01.xyz", "0.0")</f>
        <v>0.0</v>
      </c>
      <c r="E221" s="13" t="str">
        <f>HYPERLINK(AC2 &amp; "/bottle/sn_d3eea69d9d58401c76c2a9de5c96f76/rendering/02.xyz", "0.0")</f>
        <v>0.0</v>
      </c>
      <c r="F221" s="13" t="str">
        <f>HYPERLINK(AC2 &amp; "/bottle/sn_d3eea69d9d58401c76c2a9de5c96f76/rendering/03.xyz", "0.0")</f>
        <v>0.0</v>
      </c>
      <c r="G221" s="13" t="str">
        <f>HYPERLINK(AC2 &amp; "/bottle/sn_d3eea69d9d58401c76c2a9de5c96f76/rendering/04.xyz", "0.0")</f>
        <v>0.0</v>
      </c>
      <c r="H221" s="13" t="str">
        <f>HYPERLINK(AC2 &amp; "/bottle/sn_d3eea69d9d58401c76c2a9de5c96f76/rendering/05.xyz", "0.0")</f>
        <v>0.0</v>
      </c>
      <c r="I221" s="13" t="str">
        <f>HYPERLINK(AC2 &amp; "/bottle/sn_d3eea69d9d58401c76c2a9de5c96f76/rendering/06.xyz", "0.0")</f>
        <v>0.0</v>
      </c>
      <c r="J221" s="13" t="str">
        <f>HYPERLINK(AC2 &amp; "/bottle/sn_d3eea69d9d58401c76c2a9de5c96f76/rendering/07.xyz", "0.0")</f>
        <v>0.0</v>
      </c>
      <c r="K221" s="13" t="str">
        <f>HYPERLINK(AC2 &amp; "/bottle/sn_d3eea69d9d58401c76c2a9de5c96f76/rendering/08.xyz", "0.0")</f>
        <v>0.0</v>
      </c>
      <c r="L221" s="13" t="str">
        <f>HYPERLINK(AC2 &amp; "/bottle/sn_d3eea69d9d58401c76c2a9de5c96f76/rendering/09.xyz", "0.0")</f>
        <v>0.0</v>
      </c>
      <c r="M221" s="13" t="str">
        <f>HYPERLINK(AC2 &amp; "/bottle/sn_d3eea69d9d58401c76c2a9de5c96f76/rendering/10.xyz", "0.0")</f>
        <v>0.0</v>
      </c>
      <c r="N221" s="13" t="str">
        <f>HYPERLINK(AC2 &amp; "/bottle/sn_d3eea69d9d58401c76c2a9de5c96f76/rendering/11.xyz", "0.0")</f>
        <v>0.0</v>
      </c>
      <c r="O221" s="13" t="str">
        <f>HYPERLINK(AC2 &amp; "/bottle/sn_d3eea69d9d58401c76c2a9de5c96f76/rendering/12.xyz", "0.0")</f>
        <v>0.0</v>
      </c>
      <c r="P221" s="13" t="str">
        <f>HYPERLINK(AC2 &amp; "/bottle/sn_d3eea69d9d58401c76c2a9de5c96f76/rendering/13.xyz", "0.0")</f>
        <v>0.0</v>
      </c>
      <c r="Q221" s="13" t="str">
        <f>HYPERLINK(AC2 &amp; "/bottle/sn_d3eea69d9d58401c76c2a9de5c96f76/rendering/14.xyz", "0.0")</f>
        <v>0.0</v>
      </c>
      <c r="R221" s="13" t="str">
        <f>HYPERLINK(AC2 &amp; "/bottle/sn_d3eea69d9d58401c76c2a9de5c96f76/rendering/15.xyz", "0.0")</f>
        <v>0.0</v>
      </c>
      <c r="S221" s="13" t="str">
        <f>HYPERLINK(AC2 &amp; "/bottle/sn_d3eea69d9d58401c76c2a9de5c96f76/rendering/16.xyz", "0.0")</f>
        <v>0.0</v>
      </c>
      <c r="T221" s="13" t="str">
        <f>HYPERLINK(AC2 &amp; "/bottle/sn_d3eea69d9d58401c76c2a9de5c96f76/rendering/17.xyz", "0.0")</f>
        <v>0.0</v>
      </c>
      <c r="U221" s="13" t="str">
        <f>HYPERLINK(AC2 &amp; "/bottle/sn_d3eea69d9d58401c76c2a9de5c96f76/rendering/18.xyz", "0.0")</f>
        <v>0.0</v>
      </c>
      <c r="V221" s="13" t="str">
        <f>HYPERLINK(AC2 &amp; "/bottle/sn_d3eea69d9d58401c76c2a9de5c96f76/rendering/19.xyz", "0.0")</f>
        <v>0.0</v>
      </c>
      <c r="W221" s="12" t="s">
        <v>33</v>
      </c>
      <c r="X221" s="13">
        <v>0</v>
      </c>
      <c r="Y221" s="13">
        <v>0</v>
      </c>
      <c r="Z221" s="13">
        <v>0</v>
      </c>
    </row>
    <row r="222" spans="1:26" x14ac:dyDescent="0.2">
      <c r="A222" s="1">
        <v>220</v>
      </c>
      <c r="B222" s="2" t="s">
        <v>77</v>
      </c>
      <c r="C222" s="93" t="str">
        <f>HYPERLINK(AA2 &amp; "/bottle/sn_d44472ef7086538676bb31db0358e9c6/rendering/00.obj", "3.44239471436")</f>
        <v>3.44239471436</v>
      </c>
      <c r="D222" s="5" t="str">
        <f>HYPERLINK(AA2 &amp; "/bottle/sn_d44472ef7086538676bb31db0358e9c6/rendering/01.obj", "3.24683837891")</f>
        <v>3.24683837891</v>
      </c>
      <c r="E222" s="5" t="str">
        <f>HYPERLINK(AA2 &amp; "/bottle/sn_d44472ef7086538676bb31db0358e9c6/rendering/02.obj", "2.78641876221")</f>
        <v>2.78641876221</v>
      </c>
      <c r="F222" s="87" t="str">
        <f>HYPERLINK(AA2 &amp; "/bottle/sn_d44472ef7086538676bb31db0358e9c6/rendering/03.obj", "2.33682861328")</f>
        <v>2.33682861328</v>
      </c>
      <c r="G222" s="117" t="str">
        <f>HYPERLINK(AA2 &amp; "/bottle/sn_d44472ef7086538676bb31db0358e9c6/rendering/04.obj", "3.55746826172")</f>
        <v>3.55746826172</v>
      </c>
      <c r="H222" s="57" t="str">
        <f>HYPERLINK(AA2 &amp; "/bottle/sn_d44472ef7086538676bb31db0358e9c6/rendering/05.obj", "2.07000488281")</f>
        <v>2.07000488281</v>
      </c>
      <c r="I222" s="166" t="str">
        <f>HYPERLINK(AA2 &amp; "/bottle/sn_d44472ef7086538676bb31db0358e9c6/rendering/06.obj", "2.15221618652")</f>
        <v>2.15221618652</v>
      </c>
      <c r="J222" s="89" t="str">
        <f>HYPERLINK(AA2 &amp; "/bottle/sn_d44472ef7086538676bb31db0358e9c6/rendering/07.obj", "2.23823883057")</f>
        <v>2.23823883057</v>
      </c>
      <c r="K222" s="24" t="str">
        <f>HYPERLINK(AA2 &amp; "/bottle/sn_d44472ef7086538676bb31db0358e9c6/rendering/08.obj", "2.50858795166")</f>
        <v>2.50858795166</v>
      </c>
      <c r="L222" s="11" t="str">
        <f>HYPERLINK(AA2 &amp; "/bottle/sn_d44472ef7086538676bb31db0358e9c6/rendering/09.obj", "2.3393119812")</f>
        <v>2.3393119812</v>
      </c>
      <c r="M222" s="187" t="str">
        <f>HYPERLINK(AA2 &amp; "/bottle/sn_d44472ef7086538676bb31db0358e9c6/rendering/10.obj", "4.07252990723")</f>
        <v>4.07252990723</v>
      </c>
      <c r="N222" s="20" t="str">
        <f>HYPERLINK(AA2 &amp; "/bottle/sn_d44472ef7086538676bb31db0358e9c6/rendering/11.obj", "5.86648864746")</f>
        <v>5.86648864746</v>
      </c>
      <c r="O222" s="51" t="str">
        <f>HYPERLINK(AA2 &amp; "/bottle/sn_d44472ef7086538676bb31db0358e9c6/rendering/12.obj", "2.7810546875")</f>
        <v>2.7810546875</v>
      </c>
      <c r="P222" s="196" t="str">
        <f>HYPERLINK(AA2 &amp; "/bottle/sn_d44472ef7086538676bb31db0358e9c6/rendering/13.obj", "4.21773498535")</f>
        <v>4.21773498535</v>
      </c>
      <c r="Q222" s="14" t="str">
        <f>HYPERLINK(AA2 &amp; "/bottle/sn_d44472ef7086538676bb31db0358e9c6/rendering/14.obj", "2.14113494873")</f>
        <v>2.14113494873</v>
      </c>
      <c r="R222" s="82" t="str">
        <f>HYPERLINK(AA2 &amp; "/bottle/sn_d44472ef7086538676bb31db0358e9c6/rendering/15.obj", "2.39515075684")</f>
        <v>2.39515075684</v>
      </c>
      <c r="S222" s="13" t="str">
        <f>HYPERLINK(AA2 &amp; "/bottle/sn_d44472ef7086538676bb31db0358e9c6/rendering/16.obj", "3.0127923584")</f>
        <v>3.0127923584</v>
      </c>
      <c r="T222" s="120" t="str">
        <f>HYPERLINK(AA2 &amp; "/bottle/sn_d44472ef7086538676bb31db0358e9c6/rendering/17.obj", "3.66252502441")</f>
        <v>3.66252502441</v>
      </c>
      <c r="U222" s="17" t="str">
        <f>HYPERLINK(AA2 &amp; "/bottle/sn_d44472ef7086538676bb31db0358e9c6/rendering/18.obj", "2.96057189941")</f>
        <v>2.96057189941</v>
      </c>
      <c r="V222" s="8" t="str">
        <f>HYPERLINK(AA2 &amp; "/bottle/sn_d44472ef7086538676bb31db0358e9c6/rendering/19.obj", "2.58904785156")</f>
        <v>2.58904785156</v>
      </c>
      <c r="W222" s="12" t="s">
        <v>29</v>
      </c>
      <c r="X222" s="13">
        <v>3.0188669815063478</v>
      </c>
      <c r="Y222" s="13">
        <v>0.90825475906767505</v>
      </c>
      <c r="Z222" s="100">
        <v>0.3008594829224559</v>
      </c>
    </row>
    <row r="223" spans="1:26" x14ac:dyDescent="0.2">
      <c r="A223" s="1">
        <v>221</v>
      </c>
      <c r="B223" s="2" t="s">
        <v>77</v>
      </c>
      <c r="C223" s="55" t="str">
        <f>HYPERLINK(AA2 &amp; "/bottle/sn_d44472ef7086538676bb31db0358e9c6/rendering/00.obj", "2.81702113152")</f>
        <v>2.81702113152</v>
      </c>
      <c r="D223" s="88" t="str">
        <f>HYPERLINK(AA2 &amp; "/bottle/sn_d44472ef7086538676bb31db0358e9c6/rendering/01.obj", "1.88745033741")</f>
        <v>1.88745033741</v>
      </c>
      <c r="E223" s="17" t="str">
        <f>HYPERLINK(AA2 &amp; "/bottle/sn_d44472ef7086538676bb31db0358e9c6/rendering/02.obj", "2.31853842735")</f>
        <v>2.31853842735</v>
      </c>
      <c r="F223" s="113" t="str">
        <f>HYPERLINK(AA2 &amp; "/bottle/sn_d44472ef7086538676bb31db0358e9c6/rendering/03.obj", "1.71407556534")</f>
        <v>1.71407556534</v>
      </c>
      <c r="G223" s="152" t="str">
        <f>HYPERLINK(AA2 &amp; "/bottle/sn_d44472ef7086538676bb31db0358e9c6/rendering/04.obj", "3.32245922089")</f>
        <v>3.32245922089</v>
      </c>
      <c r="H223" s="162" t="str">
        <f>HYPERLINK(AA2 &amp; "/bottle/sn_d44472ef7086538676bb31db0358e9c6/rendering/05.obj", "1.36169171333")</f>
        <v>1.36169171333</v>
      </c>
      <c r="I223" s="135" t="str">
        <f>HYPERLINK(AA2 &amp; "/bottle/sn_d44472ef7086538676bb31db0358e9c6/rendering/06.obj", "1.76293683052")</f>
        <v>1.76293683052</v>
      </c>
      <c r="J223" s="187" t="str">
        <f>HYPERLINK(AA2 &amp; "/bottle/sn_d44472ef7086538676bb31db0358e9c6/rendering/07.obj", "1.53692138195")</f>
        <v>1.53692138195</v>
      </c>
      <c r="K223" s="101" t="str">
        <f>HYPERLINK(AA2 &amp; "/bottle/sn_d44472ef7086538676bb31db0358e9c6/rendering/08.obj", "1.47108232975")</f>
        <v>1.47108232975</v>
      </c>
      <c r="L223" s="151" t="str">
        <f>HYPERLINK(AA2 &amp; "/bottle/sn_d44472ef7086538676bb31db0358e9c6/rendering/09.obj", "1.51769840717")</f>
        <v>1.51769840717</v>
      </c>
      <c r="M223" s="108" t="str">
        <f>HYPERLINK(AA2 &amp; "/bottle/sn_d44472ef7086538676bb31db0358e9c6/rendering/10.obj", "2.94937419891")</f>
        <v>2.94937419891</v>
      </c>
      <c r="N223" s="20" t="str">
        <f>HYPERLINK(AA2 &amp; "/bottle/sn_d44472ef7086538676bb31db0358e9c6/rendering/11.obj", "6.53249979019")</f>
        <v>6.53249979019</v>
      </c>
      <c r="O223" s="170" t="str">
        <f>HYPERLINK(AA2 &amp; "/bottle/sn_d44472ef7086538676bb31db0358e9c6/rendering/12.obj", "1.76909184456")</f>
        <v>1.76909184456</v>
      </c>
      <c r="P223" s="220" t="str">
        <f>HYPERLINK(AA2 &amp; "/bottle/sn_d44472ef7086538676bb31db0358e9c6/rendering/13.obj", "3.97097063065")</f>
        <v>3.97097063065</v>
      </c>
      <c r="Q223" s="85" t="str">
        <f>HYPERLINK(AA2 &amp; "/bottle/sn_d44472ef7086538676bb31db0358e9c6/rendering/14.obj", "1.66566956043")</f>
        <v>1.66566956043</v>
      </c>
      <c r="R223" s="196" t="str">
        <f>HYPERLINK(AA2 &amp; "/bottle/sn_d44472ef7086538676bb31db0358e9c6/rendering/15.obj", "1.42522788048")</f>
        <v>1.42522788048</v>
      </c>
      <c r="S223" s="93" t="str">
        <f>HYPERLINK(AA2 &amp; "/bottle/sn_d44472ef7086538676bb31db0358e9c6/rendering/16.obj", "2.03043007851")</f>
        <v>2.03043007851</v>
      </c>
      <c r="T223" s="62" t="str">
        <f>HYPERLINK(AA2 &amp; "/bottle/sn_d44472ef7086538676bb31db0358e9c6/rendering/17.obj", "3.77839636803")</f>
        <v>3.77839636803</v>
      </c>
      <c r="U223" s="42" t="str">
        <f>HYPERLINK(AA2 &amp; "/bottle/sn_d44472ef7086538676bb31db0358e9c6/rendering/18.obj", "2.04146051407")</f>
        <v>2.04146051407</v>
      </c>
      <c r="V223" s="152" t="str">
        <f>HYPERLINK(AA2 &amp; "/bottle/sn_d44472ef7086538676bb31db0358e9c6/rendering/19.obj", "1.40695774555")</f>
        <v>1.40695774555</v>
      </c>
      <c r="W223" s="12" t="s">
        <v>30</v>
      </c>
      <c r="X223" s="13">
        <v>2.3639976978302002</v>
      </c>
      <c r="Y223" s="13">
        <v>1.234806794655734</v>
      </c>
      <c r="Z223" s="22">
        <v>0.52233840827726019</v>
      </c>
    </row>
    <row r="224" spans="1:26" x14ac:dyDescent="0.2">
      <c r="A224" s="1">
        <v>222</v>
      </c>
      <c r="B224" s="2" t="s">
        <v>77</v>
      </c>
      <c r="C224" s="55" t="str">
        <f>HYPERLINK(AB2 &amp; "/bottle/sn_d44472ef7086538676bb31db0358e9c6/rendering/00.obj", "2.67697814941")</f>
        <v>2.67697814941</v>
      </c>
      <c r="D224" s="63" t="str">
        <f>HYPERLINK(AB2 &amp; "/bottle/sn_d44472ef7086538676bb31db0358e9c6/rendering/01.obj", "1.96932357788")</f>
        <v>1.96932357788</v>
      </c>
      <c r="E224" s="69" t="str">
        <f>HYPERLINK(AB2 &amp; "/bottle/sn_d44472ef7086538676bb31db0358e9c6/rendering/02.obj", "2.17608718872")</f>
        <v>2.17608718872</v>
      </c>
      <c r="F224" s="8" t="str">
        <f>HYPERLINK(AB2 &amp; "/bottle/sn_d44472ef7086538676bb31db0358e9c6/rendering/03.obj", "2.56369873047")</f>
        <v>2.56369873047</v>
      </c>
      <c r="G224" s="74" t="str">
        <f>HYPERLINK(AB2 &amp; "/bottle/sn_d44472ef7086538676bb31db0358e9c6/rendering/04.obj", "2.27216339111")</f>
        <v>2.27216339111</v>
      </c>
      <c r="H224" s="46" t="str">
        <f>HYPERLINK(AB2 &amp; "/bottle/sn_d44472ef7086538676bb31db0358e9c6/rendering/05.obj", "2.27723098755")</f>
        <v>2.27723098755</v>
      </c>
      <c r="I224" s="109" t="str">
        <f>HYPERLINK(AB2 &amp; "/bottle/sn_d44472ef7086538676bb31db0358e9c6/rendering/06.obj", "2.6697064209")</f>
        <v>2.6697064209</v>
      </c>
      <c r="J224" s="73" t="str">
        <f>HYPERLINK(AB2 &amp; "/bottle/sn_d44472ef7086538676bb31db0358e9c6/rendering/07.obj", "2.16258163452")</f>
        <v>2.16258163452</v>
      </c>
      <c r="K224" s="63" t="str">
        <f>HYPERLINK(AB2 &amp; "/bottle/sn_d44472ef7086538676bb31db0358e9c6/rendering/08.obj", "1.97388275146")</f>
        <v>1.97388275146</v>
      </c>
      <c r="L224" s="82" t="str">
        <f>HYPERLINK(AB2 &amp; "/bottle/sn_d44472ef7086538676bb31db0358e9c6/rendering/09.obj", "1.77963043213")</f>
        <v>1.77963043213</v>
      </c>
      <c r="M224" s="65" t="str">
        <f>HYPERLINK(AB2 &amp; "/bottle/sn_d44472ef7086538676bb31db0358e9c6/rendering/10.obj", "1.94078170776")</f>
        <v>1.94078170776</v>
      </c>
      <c r="N224" s="90" t="str">
        <f>HYPERLINK(AB2 &amp; "/bottle/sn_d44472ef7086538676bb31db0358e9c6/rendering/11.obj", "2.45333099365")</f>
        <v>2.45333099365</v>
      </c>
      <c r="O224" s="90" t="str">
        <f>HYPERLINK(AB2 &amp; "/bottle/sn_d44472ef7086538676bb31db0358e9c6/rendering/12.obj", "2.45329101563")</f>
        <v>2.45329101563</v>
      </c>
      <c r="P224" s="221" t="str">
        <f>HYPERLINK(AB2 &amp; "/bottle/sn_d44472ef7086538676bb31db0358e9c6/rendering/13.obj", "3.49020812988")</f>
        <v>3.49020812988</v>
      </c>
      <c r="Q224" s="50" t="str">
        <f>HYPERLINK(AB2 &amp; "/bottle/sn_d44472ef7086538676bb31db0358e9c6/rendering/14.obj", "1.79299957275")</f>
        <v>1.79299957275</v>
      </c>
      <c r="R224" s="67" t="str">
        <f>HYPERLINK(AB2 &amp; "/bottle/sn_d44472ef7086538676bb31db0358e9c6/rendering/15.obj", "2.44775817871")</f>
        <v>2.44775817871</v>
      </c>
      <c r="S224" s="106" t="str">
        <f>HYPERLINK(AB2 &amp; "/bottle/sn_d44472ef7086538676bb31db0358e9c6/rendering/16.obj", "1.98121994019")</f>
        <v>1.98121994019</v>
      </c>
      <c r="T224" s="93" t="str">
        <f>HYPERLINK(AB2 &amp; "/bottle/sn_d44472ef7086538676bb31db0358e9c6/rendering/17.obj", "1.93071746826")</f>
        <v>1.93071746826</v>
      </c>
      <c r="U224" s="82" t="str">
        <f>HYPERLINK(AB2 &amp; "/bottle/sn_d44472ef7086538676bb31db0358e9c6/rendering/18.obj", "1.78123916626")</f>
        <v>1.78123916626</v>
      </c>
      <c r="V224" s="90" t="str">
        <f>HYPERLINK(AB2 &amp; "/bottle/sn_d44472ef7086538676bb31db0358e9c6/rendering/19.obj", "2.03016479492")</f>
        <v>2.03016479492</v>
      </c>
      <c r="W224" s="12" t="s">
        <v>31</v>
      </c>
      <c r="X224" s="13">
        <v>2.241149711608887</v>
      </c>
      <c r="Y224" s="13">
        <v>0.40326903954261428</v>
      </c>
      <c r="Z224" s="134">
        <v>0.1799384652679511</v>
      </c>
    </row>
    <row r="225" spans="1:26" x14ac:dyDescent="0.2">
      <c r="A225" s="1">
        <v>223</v>
      </c>
      <c r="B225" s="2" t="s">
        <v>77</v>
      </c>
      <c r="C225" s="41" t="str">
        <f>HYPERLINK(AB2 &amp; "/bottle/sn_d44472ef7086538676bb31db0358e9c6/rendering/00.obj", "1.68039393425")</f>
        <v>1.68039393425</v>
      </c>
      <c r="D225" s="63" t="str">
        <f>HYPERLINK(AB2 &amp; "/bottle/sn_d44472ef7086538676bb31db0358e9c6/rendering/01.obj", "1.38359487057")</f>
        <v>1.38359487057</v>
      </c>
      <c r="E225" s="27" t="str">
        <f>HYPERLINK(AB2 &amp; "/bottle/sn_d44472ef7086538676bb31db0358e9c6/rendering/02.obj", "1.46297729015")</f>
        <v>1.46297729015</v>
      </c>
      <c r="F225" s="13" t="str">
        <f>HYPERLINK(AB2 &amp; "/bottle/sn_d44472ef7086538676bb31db0358e9c6/rendering/03.obj", "1.57567667961")</f>
        <v>1.57567667961</v>
      </c>
      <c r="G225" s="79" t="str">
        <f>HYPERLINK(AB2 &amp; "/bottle/sn_d44472ef7086538676bb31db0358e9c6/rendering/04.obj", "1.82608008385")</f>
        <v>1.82608008385</v>
      </c>
      <c r="H225" s="134" t="str">
        <f>HYPERLINK(AB2 &amp; "/bottle/sn_d44472ef7086538676bb31db0358e9c6/rendering/05.obj", "1.28966569901")</f>
        <v>1.28966569901</v>
      </c>
      <c r="I225" s="34" t="str">
        <f>HYPERLINK(AB2 &amp; "/bottle/sn_d44472ef7086538676bb31db0358e9c6/rendering/06.obj", "1.65293645859")</f>
        <v>1.65293645859</v>
      </c>
      <c r="J225" s="42" t="str">
        <f>HYPERLINK(AB2 &amp; "/bottle/sn_d44472ef7086538676bb31db0358e9c6/rendering/07.obj", "1.36145305634")</f>
        <v>1.36145305634</v>
      </c>
      <c r="K225" s="33" t="str">
        <f>HYPERLINK(AB2 &amp; "/bottle/sn_d44472ef7086538676bb31db0358e9c6/rendering/08.obj", "1.40741884708")</f>
        <v>1.40741884708</v>
      </c>
      <c r="L225" s="33" t="str">
        <f>HYPERLINK(AB2 &amp; "/bottle/sn_d44472ef7086538676bb31db0358e9c6/rendering/09.obj", "1.40409421921")</f>
        <v>1.40409421921</v>
      </c>
      <c r="M225" s="38" t="str">
        <f>HYPERLINK(AB2 &amp; "/bottle/sn_d44472ef7086538676bb31db0358e9c6/rendering/10.obj", "1.43331599236")</f>
        <v>1.43331599236</v>
      </c>
      <c r="N225" s="109" t="str">
        <f>HYPERLINK(AB2 &amp; "/bottle/sn_d44472ef7086538676bb31db0358e9c6/rendering/11.obj", "1.87404930592")</f>
        <v>1.87404930592</v>
      </c>
      <c r="O225" s="74" t="str">
        <f>HYPERLINK(AB2 &amp; "/bottle/sn_d44472ef7086538676bb31db0358e9c6/rendering/12.obj", "1.59984445572")</f>
        <v>1.59984445572</v>
      </c>
      <c r="P225" s="178" t="str">
        <f>HYPERLINK(AB2 &amp; "/bottle/sn_d44472ef7086538676bb31db0358e9c6/rendering/13.obj", "2.5950345993")</f>
        <v>2.5950345993</v>
      </c>
      <c r="Q225" s="6" t="str">
        <f>HYPERLINK(AB2 &amp; "/bottle/sn_d44472ef7086538676bb31db0358e9c6/rendering/14.obj", "1.50294756889")</f>
        <v>1.50294756889</v>
      </c>
      <c r="R225" s="91" t="str">
        <f>HYPERLINK(AB2 &amp; "/bottle/sn_d44472ef7086538676bb31db0358e9c6/rendering/15.obj", "1.53568506241")</f>
        <v>1.53568506241</v>
      </c>
      <c r="S225" s="94" t="str">
        <f>HYPERLINK(AB2 &amp; "/bottle/sn_d44472ef7086538676bb31db0358e9c6/rendering/16.obj", "1.45698797703")</f>
        <v>1.45698797703</v>
      </c>
      <c r="T225" s="70" t="str">
        <f>HYPERLINK(AB2 &amp; "/bottle/sn_d44472ef7086538676bb31db0358e9c6/rendering/17.obj", "1.37515807152")</f>
        <v>1.37515807152</v>
      </c>
      <c r="U225" s="27" t="str">
        <f>HYPERLINK(AB2 &amp; "/bottle/sn_d44472ef7086538676bb31db0358e9c6/rendering/18.obj", "1.46473932266")</f>
        <v>1.46473932266</v>
      </c>
      <c r="V225" s="72" t="str">
        <f>HYPERLINK(AB2 &amp; "/bottle/sn_d44472ef7086538676bb31db0358e9c6/rendering/19.obj", "1.62776279449")</f>
        <v>1.62776279449</v>
      </c>
      <c r="W225" s="12" t="s">
        <v>32</v>
      </c>
      <c r="X225" s="13">
        <v>1.5754908144474029</v>
      </c>
      <c r="Y225" s="13">
        <v>0.27747512306110123</v>
      </c>
      <c r="Z225" s="117">
        <v>0.17611979740956121</v>
      </c>
    </row>
    <row r="226" spans="1:26" x14ac:dyDescent="0.2">
      <c r="A226" s="1">
        <v>224</v>
      </c>
      <c r="B226" s="2" t="s">
        <v>77</v>
      </c>
      <c r="C226" s="13" t="str">
        <f>HYPERLINK(AC2 &amp; "/bottle/sn_d44472ef7086538676bb31db0358e9c6/rendering/00.xyz", "0.0")</f>
        <v>0.0</v>
      </c>
      <c r="D226" s="13" t="str">
        <f>HYPERLINK(AC2 &amp; "/bottle/sn_d44472ef7086538676bb31db0358e9c6/rendering/01.xyz", "0.0")</f>
        <v>0.0</v>
      </c>
      <c r="E226" s="13" t="str">
        <f>HYPERLINK(AC2 &amp; "/bottle/sn_d44472ef7086538676bb31db0358e9c6/rendering/02.xyz", "0.0")</f>
        <v>0.0</v>
      </c>
      <c r="F226" s="13" t="str">
        <f>HYPERLINK(AC2 &amp; "/bottle/sn_d44472ef7086538676bb31db0358e9c6/rendering/03.xyz", "0.0")</f>
        <v>0.0</v>
      </c>
      <c r="G226" s="13" t="str">
        <f>HYPERLINK(AC2 &amp; "/bottle/sn_d44472ef7086538676bb31db0358e9c6/rendering/04.xyz", "0.0")</f>
        <v>0.0</v>
      </c>
      <c r="H226" s="13" t="str">
        <f>HYPERLINK(AC2 &amp; "/bottle/sn_d44472ef7086538676bb31db0358e9c6/rendering/05.xyz", "0.0")</f>
        <v>0.0</v>
      </c>
      <c r="I226" s="13" t="str">
        <f>HYPERLINK(AC2 &amp; "/bottle/sn_d44472ef7086538676bb31db0358e9c6/rendering/06.xyz", "0.0")</f>
        <v>0.0</v>
      </c>
      <c r="J226" s="13" t="str">
        <f>HYPERLINK(AC2 &amp; "/bottle/sn_d44472ef7086538676bb31db0358e9c6/rendering/07.xyz", "0.0")</f>
        <v>0.0</v>
      </c>
      <c r="K226" s="13" t="str">
        <f>HYPERLINK(AC2 &amp; "/bottle/sn_d44472ef7086538676bb31db0358e9c6/rendering/08.xyz", "0.0")</f>
        <v>0.0</v>
      </c>
      <c r="L226" s="13" t="str">
        <f>HYPERLINK(AC2 &amp; "/bottle/sn_d44472ef7086538676bb31db0358e9c6/rendering/09.xyz", "0.0")</f>
        <v>0.0</v>
      </c>
      <c r="M226" s="13" t="str">
        <f>HYPERLINK(AC2 &amp; "/bottle/sn_d44472ef7086538676bb31db0358e9c6/rendering/10.xyz", "0.0")</f>
        <v>0.0</v>
      </c>
      <c r="N226" s="13" t="str">
        <f>HYPERLINK(AC2 &amp; "/bottle/sn_d44472ef7086538676bb31db0358e9c6/rendering/11.xyz", "0.0")</f>
        <v>0.0</v>
      </c>
      <c r="O226" s="13" t="str">
        <f>HYPERLINK(AC2 &amp; "/bottle/sn_d44472ef7086538676bb31db0358e9c6/rendering/12.xyz", "0.0")</f>
        <v>0.0</v>
      </c>
      <c r="P226" s="13" t="str">
        <f>HYPERLINK(AC2 &amp; "/bottle/sn_d44472ef7086538676bb31db0358e9c6/rendering/13.xyz", "0.0")</f>
        <v>0.0</v>
      </c>
      <c r="Q226" s="13" t="str">
        <f>HYPERLINK(AC2 &amp; "/bottle/sn_d44472ef7086538676bb31db0358e9c6/rendering/14.xyz", "0.0")</f>
        <v>0.0</v>
      </c>
      <c r="R226" s="13" t="str">
        <f>HYPERLINK(AC2 &amp; "/bottle/sn_d44472ef7086538676bb31db0358e9c6/rendering/15.xyz", "0.0")</f>
        <v>0.0</v>
      </c>
      <c r="S226" s="13" t="str">
        <f>HYPERLINK(AC2 &amp; "/bottle/sn_d44472ef7086538676bb31db0358e9c6/rendering/16.xyz", "0.0")</f>
        <v>0.0</v>
      </c>
      <c r="T226" s="13" t="str">
        <f>HYPERLINK(AC2 &amp; "/bottle/sn_d44472ef7086538676bb31db0358e9c6/rendering/17.xyz", "0.0")</f>
        <v>0.0</v>
      </c>
      <c r="U226" s="13" t="str">
        <f>HYPERLINK(AC2 &amp; "/bottle/sn_d44472ef7086538676bb31db0358e9c6/rendering/18.xyz", "0.0")</f>
        <v>0.0</v>
      </c>
      <c r="V226" s="13" t="str">
        <f>HYPERLINK(AC2 &amp; "/bottle/sn_d44472ef7086538676bb31db0358e9c6/rendering/19.xyz", "0.0")</f>
        <v>0.0</v>
      </c>
      <c r="W226" s="12" t="s">
        <v>33</v>
      </c>
      <c r="X226" s="13">
        <v>0</v>
      </c>
      <c r="Y226" s="13">
        <v>0</v>
      </c>
      <c r="Z226" s="13">
        <v>0</v>
      </c>
    </row>
    <row r="227" spans="1:26" x14ac:dyDescent="0.2">
      <c r="A227" s="1">
        <v>225</v>
      </c>
      <c r="B227" s="2" t="s">
        <v>78</v>
      </c>
      <c r="C227" s="26" t="str">
        <f>HYPERLINK(AA2 &amp; "/bottle/sn_d44618b5aefe9ecd467ca2ad6571afff/rendering/00.obj", "3.05520965576")</f>
        <v>3.05520965576</v>
      </c>
      <c r="D227" s="129" t="str">
        <f>HYPERLINK(AA2 &amp; "/bottle/sn_d44618b5aefe9ecd467ca2ad6571afff/rendering/01.obj", "2.45199279785")</f>
        <v>2.45199279785</v>
      </c>
      <c r="E227" s="8" t="str">
        <f>HYPERLINK(AA2 &amp; "/bottle/sn_d44618b5aefe9ecd467ca2ad6571afff/rendering/02.obj", "2.80311157227")</f>
        <v>2.80311157227</v>
      </c>
      <c r="F227" s="67" t="str">
        <f>HYPERLINK(AA2 &amp; "/bottle/sn_d44618b5aefe9ecd467ca2ad6571afff/rendering/03.obj", "3.57285400391")</f>
        <v>3.57285400391</v>
      </c>
      <c r="G227" s="29" t="str">
        <f>HYPERLINK(AA2 &amp; "/bottle/sn_d44618b5aefe9ecd467ca2ad6571afff/rendering/04.obj", "2.84266540527")</f>
        <v>2.84266540527</v>
      </c>
      <c r="H227" s="110" t="str">
        <f>HYPERLINK(AA2 &amp; "/bottle/sn_d44618b5aefe9ecd467ca2ad6571afff/rendering/05.obj", "2.94639526367")</f>
        <v>2.94639526367</v>
      </c>
      <c r="I227" s="6" t="str">
        <f>HYPERLINK(AA2 &amp; "/bottle/sn_d44618b5aefe9ecd467ca2ad6571afff/rendering/06.obj", "3.4187512207")</f>
        <v>3.4187512207</v>
      </c>
      <c r="J227" s="148" t="str">
        <f>HYPERLINK(AA2 &amp; "/bottle/sn_d44618b5aefe9ecd467ca2ad6571afff/rendering/07.obj", "4.85417236328")</f>
        <v>4.85417236328</v>
      </c>
      <c r="K227" s="5" t="str">
        <f>HYPERLINK(AA2 &amp; "/bottle/sn_d44618b5aefe9ecd467ca2ad6571afff/rendering/08.obj", "3.01864135742")</f>
        <v>3.01864135742</v>
      </c>
      <c r="L227" s="107" t="str">
        <f>HYPERLINK(AA2 &amp; "/bottle/sn_d44618b5aefe9ecd467ca2ad6571afff/rendering/09.obj", "2.9984487915")</f>
        <v>2.9984487915</v>
      </c>
      <c r="M227" s="63" t="str">
        <f>HYPERLINK(AA2 &amp; "/bottle/sn_d44618b5aefe9ecd467ca2ad6571afff/rendering/10.obj", "3.66687347412")</f>
        <v>3.66687347412</v>
      </c>
      <c r="N227" s="5" t="str">
        <f>HYPERLINK(AA2 &amp; "/bottle/sn_d44618b5aefe9ecd467ca2ad6571afff/rendering/11.obj", "3.01824157715")</f>
        <v>3.01824157715</v>
      </c>
      <c r="O227" s="31" t="str">
        <f>HYPERLINK(AA2 &amp; "/bottle/sn_d44618b5aefe9ecd467ca2ad6571afff/rendering/12.obj", "2.75877075195")</f>
        <v>2.75877075195</v>
      </c>
      <c r="P227" s="80" t="str">
        <f>HYPERLINK(AA2 &amp; "/bottle/sn_d44618b5aefe9ecd467ca2ad6571afff/rendering/13.obj", "2.78423522949")</f>
        <v>2.78423522949</v>
      </c>
      <c r="Q227" s="106" t="str">
        <f>HYPERLINK(AA2 &amp; "/bottle/sn_d44618b5aefe9ecd467ca2ad6571afff/rendering/14.obj", "2.89561401367")</f>
        <v>2.89561401367</v>
      </c>
      <c r="R227" s="89" t="str">
        <f>HYPERLINK(AA2 &amp; "/bottle/sn_d44618b5aefe9ecd467ca2ad6571afff/rendering/15.obj", "2.42209960938")</f>
        <v>2.42209960938</v>
      </c>
      <c r="S227" s="4" t="str">
        <f>HYPERLINK(AA2 &amp; "/bottle/sn_d44618b5aefe9ecd467ca2ad6571afff/rendering/16.obj", "4.19821411133")</f>
        <v>4.19821411133</v>
      </c>
      <c r="T227" s="215" t="str">
        <f>HYPERLINK(AA2 &amp; "/bottle/sn_d44618b5aefe9ecd467ca2ad6571afff/rendering/17.obj", "5.45666503906")</f>
        <v>5.45666503906</v>
      </c>
      <c r="U227" s="8" t="str">
        <f>HYPERLINK(AA2 &amp; "/bottle/sn_d44618b5aefe9ecd467ca2ad6571afff/rendering/18.obj", "3.73776824951")</f>
        <v>3.73776824951</v>
      </c>
      <c r="V227" s="136" t="str">
        <f>HYPERLINK(AA2 &amp; "/bottle/sn_d44618b5aefe9ecd467ca2ad6571afff/rendering/19.obj", "2.50008239746")</f>
        <v>2.50008239746</v>
      </c>
      <c r="W227" s="12" t="s">
        <v>29</v>
      </c>
      <c r="X227" s="13">
        <v>3.2700403442382808</v>
      </c>
      <c r="Y227" s="13">
        <v>0.77501420426500689</v>
      </c>
      <c r="Z227" s="136">
        <v>0.2370044778287094</v>
      </c>
    </row>
    <row r="228" spans="1:26" x14ac:dyDescent="0.2">
      <c r="A228" s="1">
        <v>226</v>
      </c>
      <c r="B228" s="2" t="s">
        <v>78</v>
      </c>
      <c r="C228" s="87" t="str">
        <f>HYPERLINK(AA2 &amp; "/bottle/sn_d44618b5aefe9ecd467ca2ad6571afff/rendering/00.obj", "2.15529108047")</f>
        <v>2.15529108047</v>
      </c>
      <c r="D228" s="103" t="str">
        <f>HYPERLINK(AA2 &amp; "/bottle/sn_d44618b5aefe9ecd467ca2ad6571afff/rendering/01.obj", "1.88439333439")</f>
        <v>1.88439333439</v>
      </c>
      <c r="E228" s="67" t="str">
        <f>HYPERLINK(AA2 &amp; "/bottle/sn_d44618b5aefe9ecd467ca2ad6571afff/rendering/02.obj", "2.53163743019")</f>
        <v>2.53163743019</v>
      </c>
      <c r="F228" s="41" t="str">
        <f>HYPERLINK(AA2 &amp; "/bottle/sn_d44618b5aefe9ecd467ca2ad6571afff/rendering/03.obj", "2.60156297684")</f>
        <v>2.60156297684</v>
      </c>
      <c r="G228" s="136" t="str">
        <f>HYPERLINK(AA2 &amp; "/bottle/sn_d44618b5aefe9ecd467ca2ad6571afff/rendering/04.obj", "2.1266708374")</f>
        <v>2.1266708374</v>
      </c>
      <c r="H228" s="82" t="str">
        <f>HYPERLINK(AA2 &amp; "/bottle/sn_d44618b5aefe9ecd467ca2ad6571afff/rendering/05.obj", "2.21544957161")</f>
        <v>2.21544957161</v>
      </c>
      <c r="I228" s="110" t="str">
        <f>HYPERLINK(AA2 &amp; "/bottle/sn_d44618b5aefe9ecd467ca2ad6571afff/rendering/06.obj", "2.51146507263")</f>
        <v>2.51146507263</v>
      </c>
      <c r="J228" s="115" t="str">
        <f>HYPERLINK(AA2 &amp; "/bottle/sn_d44618b5aefe9ecd467ca2ad6571afff/rendering/07.obj", "4.5687251091")</f>
        <v>4.5687251091</v>
      </c>
      <c r="K228" s="50" t="str">
        <f>HYPERLINK(AA2 &amp; "/bottle/sn_d44618b5aefe9ecd467ca2ad6571afff/rendering/08.obj", "2.23143625259")</f>
        <v>2.23143625259</v>
      </c>
      <c r="L228" s="44" t="str">
        <f>HYPERLINK(AA2 &amp; "/bottle/sn_d44618b5aefe9ecd467ca2ad6571afff/rendering/09.obj", "2.24485754967")</f>
        <v>2.24485754967</v>
      </c>
      <c r="M228" s="112" t="str">
        <f>HYPERLINK(AA2 &amp; "/bottle/sn_d44618b5aefe9ecd467ca2ad6571afff/rendering/10.obj", "4.44384336472")</f>
        <v>4.44384336472</v>
      </c>
      <c r="N228" s="76" t="str">
        <f>HYPERLINK(AA2 &amp; "/bottle/sn_d44618b5aefe9ecd467ca2ad6571afff/rendering/11.obj", "2.28028988838")</f>
        <v>2.28028988838</v>
      </c>
      <c r="O228" s="51" t="str">
        <f>HYPERLINK(AA2 &amp; "/bottle/sn_d44618b5aefe9ecd467ca2ad6571afff/rendering/12.obj", "2.56748390198")</f>
        <v>2.56748390198</v>
      </c>
      <c r="P228" s="63" t="str">
        <f>HYPERLINK(AA2 &amp; "/bottle/sn_d44618b5aefe9ecd467ca2ad6571afff/rendering/13.obj", "2.45287299156")</f>
        <v>2.45287299156</v>
      </c>
      <c r="Q228" s="7" t="str">
        <f>HYPERLINK(AA2 &amp; "/bottle/sn_d44618b5aefe9ecd467ca2ad6571afff/rendering/14.obj", "2.01593661308")</f>
        <v>2.01593661308</v>
      </c>
      <c r="R228" s="193" t="str">
        <f>HYPERLINK(AA2 &amp; "/bottle/sn_d44618b5aefe9ecd467ca2ad6571afff/rendering/15.obj", "1.86994814873")</f>
        <v>1.86994814873</v>
      </c>
      <c r="S228" s="20" t="str">
        <f>HYPERLINK(AA2 &amp; "/bottle/sn_d44618b5aefe9ecd467ca2ad6571afff/rendering/16.obj", "5.16679906845")</f>
        <v>5.16679906845</v>
      </c>
      <c r="T228" s="222" t="str">
        <f>HYPERLINK(AA2 &amp; "/bottle/sn_d44618b5aefe9ecd467ca2ad6571afff/rendering/17.obj", "4.87706184387")</f>
        <v>4.87706184387</v>
      </c>
      <c r="U228" s="32" t="str">
        <f>HYPERLINK(AA2 &amp; "/bottle/sn_d44618b5aefe9ecd467ca2ad6571afff/rendering/18.obj", "3.0786690712")</f>
        <v>3.0786690712</v>
      </c>
      <c r="V228" s="61" t="str">
        <f>HYPERLINK(AA2 &amp; "/bottle/sn_d44618b5aefe9ecd467ca2ad6571afff/rendering/19.obj", "1.94677853584")</f>
        <v>1.94677853584</v>
      </c>
      <c r="W228" s="12" t="s">
        <v>30</v>
      </c>
      <c r="X228" s="13">
        <v>2.7885586321353908</v>
      </c>
      <c r="Y228" s="13">
        <v>1.0331776790992839</v>
      </c>
      <c r="Z228" s="192">
        <v>0.37050599087031177</v>
      </c>
    </row>
    <row r="229" spans="1:26" x14ac:dyDescent="0.2">
      <c r="A229" s="1">
        <v>227</v>
      </c>
      <c r="B229" s="2" t="s">
        <v>78</v>
      </c>
      <c r="C229" s="90" t="str">
        <f>HYPERLINK(AB2 &amp; "/bottle/sn_d44618b5aefe9ecd467ca2ad6571afff/rendering/00.obj", "2.30965957642")</f>
        <v>2.30965957642</v>
      </c>
      <c r="D229" s="10" t="str">
        <f>HYPERLINK(AB2 &amp; "/bottle/sn_d44618b5aefe9ecd467ca2ad6571afff/rendering/01.obj", "2.41767486572")</f>
        <v>2.41767486572</v>
      </c>
      <c r="E229" s="26" t="str">
        <f>HYPERLINK(AB2 &amp; "/bottle/sn_d44618b5aefe9ecd467ca2ad6571afff/rendering/02.obj", "2.72418365479")</f>
        <v>2.72418365479</v>
      </c>
      <c r="F229" s="69" t="str">
        <f>HYPERLINK(AB2 &amp; "/bottle/sn_d44618b5aefe9ecd467ca2ad6571afff/rendering/03.obj", "2.47906219482")</f>
        <v>2.47906219482</v>
      </c>
      <c r="G229" s="63" t="str">
        <f>HYPERLINK(AB2 &amp; "/bottle/sn_d44618b5aefe9ecd467ca2ad6571afff/rendering/04.obj", "2.24462921143")</f>
        <v>2.24462921143</v>
      </c>
      <c r="H229" s="51" t="str">
        <f>HYPERLINK(AB2 &amp; "/bottle/sn_d44618b5aefe9ecd467ca2ad6571afff/rendering/05.obj", "2.7639855957")</f>
        <v>2.7639855957</v>
      </c>
      <c r="I229" s="33" t="str">
        <f>HYPERLINK(AB2 &amp; "/bottle/sn_d44618b5aefe9ecd467ca2ad6571afff/rendering/06.obj", "2.28026733398")</f>
        <v>2.28026733398</v>
      </c>
      <c r="J229" s="93" t="str">
        <f>HYPERLINK(AB2 &amp; "/bottle/sn_d44618b5aefe9ecd467ca2ad6571afff/rendering/07.obj", "2.91660095215")</f>
        <v>2.91660095215</v>
      </c>
      <c r="K229" s="110" t="str">
        <f>HYPERLINK(AB2 &amp; "/bottle/sn_d44618b5aefe9ecd467ca2ad6571afff/rendering/08.obj", "2.30116424561")</f>
        <v>2.30116424561</v>
      </c>
      <c r="L229" s="46" t="str">
        <f>HYPERLINK(AB2 &amp; "/bottle/sn_d44618b5aefe9ecd467ca2ad6571afff/rendering/09.obj", "2.51253372192")</f>
        <v>2.51253372192</v>
      </c>
      <c r="M229" s="39" t="str">
        <f>HYPERLINK(AB2 &amp; "/bottle/sn_d44618b5aefe9ecd467ca2ad6571afff/rendering/10.obj", "2.77855010986")</f>
        <v>2.77855010986</v>
      </c>
      <c r="N229" s="78" t="str">
        <f>HYPERLINK(AB2 &amp; "/bottle/sn_d44618b5aefe9ecd467ca2ad6571afff/rendering/11.obj", "2.71671936035")</f>
        <v>2.71671936035</v>
      </c>
      <c r="O229" s="68" t="str">
        <f>HYPERLINK(AB2 &amp; "/bottle/sn_d44618b5aefe9ecd467ca2ad6571afff/rendering/12.obj", "2.4514630127")</f>
        <v>2.4514630127</v>
      </c>
      <c r="P229" s="91" t="str">
        <f>HYPERLINK(AB2 &amp; "/bottle/sn_d44618b5aefe9ecd467ca2ad6571afff/rendering/13.obj", "2.48806411743")</f>
        <v>2.48806411743</v>
      </c>
      <c r="Q229" s="10" t="str">
        <f>HYPERLINK(AB2 &amp; "/bottle/sn_d44618b5aefe9ecd467ca2ad6571afff/rendering/14.obj", "2.41547119141")</f>
        <v>2.41547119141</v>
      </c>
      <c r="R229" s="28" t="str">
        <f>HYPERLINK(AB2 &amp; "/bottle/sn_d44618b5aefe9ecd467ca2ad6571afff/rendering/15.obj", "2.84340301514")</f>
        <v>2.84340301514</v>
      </c>
      <c r="S229" s="80" t="str">
        <f>HYPERLINK(AB2 &amp; "/bottle/sn_d44618b5aefe9ecd467ca2ad6571afff/rendering/16.obj", "2.93753326416")</f>
        <v>2.93753326416</v>
      </c>
      <c r="T229" s="69" t="str">
        <f>HYPERLINK(AB2 &amp; "/bottle/sn_d44618b5aefe9ecd467ca2ad6571afff/rendering/17.obj", "2.47901062012")</f>
        <v>2.47901062012</v>
      </c>
      <c r="U229" s="5" t="str">
        <f>HYPERLINK(AB2 &amp; "/bottle/sn_d44618b5aefe9ecd467ca2ad6571afff/rendering/18.obj", "2.75590820313")</f>
        <v>2.75590820313</v>
      </c>
      <c r="V229" s="90" t="str">
        <f>HYPERLINK(AB2 &amp; "/bottle/sn_d44618b5aefe9ecd467ca2ad6571afff/rendering/19.obj", "2.31429168701")</f>
        <v>2.31429168701</v>
      </c>
      <c r="W229" s="12" t="s">
        <v>31</v>
      </c>
      <c r="X229" s="13">
        <v>2.5565087966918951</v>
      </c>
      <c r="Y229" s="13">
        <v>0.22025574972628001</v>
      </c>
      <c r="Z229" s="39">
        <v>8.6154896087699537E-2</v>
      </c>
    </row>
    <row r="230" spans="1:26" x14ac:dyDescent="0.2">
      <c r="A230" s="1">
        <v>228</v>
      </c>
      <c r="B230" s="2" t="s">
        <v>78</v>
      </c>
      <c r="C230" s="70" t="str">
        <f>HYPERLINK(AB2 &amp; "/bottle/sn_d44618b5aefe9ecd467ca2ad6571afff/rendering/00.obj", "1.81368219852")</f>
        <v>1.81368219852</v>
      </c>
      <c r="D230" s="27" t="str">
        <f>HYPERLINK(AB2 &amp; "/bottle/sn_d44618b5aefe9ecd467ca2ad6571afff/rendering/01.obj", "2.22485876083")</f>
        <v>2.22485876083</v>
      </c>
      <c r="E230" s="39" t="str">
        <f>HYPERLINK(AB2 &amp; "/bottle/sn_d44618b5aefe9ecd467ca2ad6571afff/rendering/02.obj", "2.25496435165")</f>
        <v>2.25496435165</v>
      </c>
      <c r="F230" s="51" t="str">
        <f>HYPERLINK(AB2 &amp; "/bottle/sn_d44618b5aefe9ecd467ca2ad6571afff/rendering/03.obj", "1.91218876839")</f>
        <v>1.91218876839</v>
      </c>
      <c r="G230" s="5" t="str">
        <f>HYPERLINK(AB2 &amp; "/bottle/sn_d44618b5aefe9ecd467ca2ad6571afff/rendering/04.obj", "1.91589903831")</f>
        <v>1.91589903831</v>
      </c>
      <c r="H230" s="26" t="str">
        <f>HYPERLINK(AB2 &amp; "/bottle/sn_d44618b5aefe9ecd467ca2ad6571afff/rendering/05.obj", "2.20798301697")</f>
        <v>2.20798301697</v>
      </c>
      <c r="I230" s="90" t="str">
        <f>HYPERLINK(AB2 &amp; "/bottle/sn_d44618b5aefe9ecd467ca2ad6571afff/rendering/06.obj", "1.88099133968")</f>
        <v>1.88099133968</v>
      </c>
      <c r="J230" s="106" t="str">
        <f>HYPERLINK(AB2 &amp; "/bottle/sn_d44618b5aefe9ecd467ca2ad6571afff/rendering/07.obj", "2.31771469116")</f>
        <v>2.31771469116</v>
      </c>
      <c r="K230" s="38" t="str">
        <f>HYPERLINK(AB2 &amp; "/bottle/sn_d44618b5aefe9ecd467ca2ad6571afff/rendering/08.obj", "1.89308953285")</f>
        <v>1.89308953285</v>
      </c>
      <c r="L230" s="51" t="str">
        <f>HYPERLINK(AB2 &amp; "/bottle/sn_d44618b5aefe9ecd467ca2ad6571afff/rendering/09.obj", "1.91272246838")</f>
        <v>1.91272246838</v>
      </c>
      <c r="M230" s="25" t="str">
        <f>HYPERLINK(AB2 &amp; "/bottle/sn_d44618b5aefe9ecd467ca2ad6571afff/rendering/10.obj", "2.0550236702")</f>
        <v>2.0550236702</v>
      </c>
      <c r="N230" s="73" t="str">
        <f>HYPERLINK(AB2 &amp; "/bottle/sn_d44618b5aefe9ecd467ca2ad6571afff/rendering/11.obj", "2.00383687019")</f>
        <v>2.00383687019</v>
      </c>
      <c r="O230" s="26" t="str">
        <f>HYPERLINK(AB2 &amp; "/bottle/sn_d44618b5aefe9ecd467ca2ad6571afff/rendering/12.obj", "1.94384181499")</f>
        <v>1.94384181499</v>
      </c>
      <c r="P230" s="133" t="str">
        <f>HYPERLINK(AB2 &amp; "/bottle/sn_d44618b5aefe9ecd467ca2ad6571afff/rendering/13.obj", "2.28932976723")</f>
        <v>2.28932976723</v>
      </c>
      <c r="Q230" s="72" t="str">
        <f>HYPERLINK(AB2 &amp; "/bottle/sn_d44618b5aefe9ecd467ca2ad6571afff/rendering/14.obj", "2.14917635918")</f>
        <v>2.14917635918</v>
      </c>
      <c r="R230" s="34" t="str">
        <f>HYPERLINK(AB2 &amp; "/bottle/sn_d44618b5aefe9ecd467ca2ad6571afff/rendering/15.obj", "1.9752907753")</f>
        <v>1.9752907753</v>
      </c>
      <c r="S230" s="51" t="str">
        <f>HYPERLINK(AB2 &amp; "/bottle/sn_d44618b5aefe9ecd467ca2ad6571afff/rendering/16.obj", "2.24532055855")</f>
        <v>2.24532055855</v>
      </c>
      <c r="T230" s="47" t="str">
        <f>HYPERLINK(AB2 &amp; "/bottle/sn_d44618b5aefe9ecd467ca2ad6571afff/rendering/17.obj", "2.05906963348")</f>
        <v>2.05906963348</v>
      </c>
      <c r="U230" s="84" t="str">
        <f>HYPERLINK(AB2 &amp; "/bottle/sn_d44618b5aefe9ecd467ca2ad6571afff/rendering/18.obj", "2.38133144379")</f>
        <v>2.38133144379</v>
      </c>
      <c r="V230" s="46" t="str">
        <f>HYPERLINK(AB2 &amp; "/bottle/sn_d44618b5aefe9ecd467ca2ad6571afff/rendering/19.obj", "2.11430239677")</f>
        <v>2.11430239677</v>
      </c>
      <c r="W230" s="12" t="s">
        <v>32</v>
      </c>
      <c r="X230" s="13">
        <v>2.077530872821808</v>
      </c>
      <c r="Y230" s="13">
        <v>0.16690978434427289</v>
      </c>
      <c r="Z230" s="51">
        <v>8.0340459209430476E-2</v>
      </c>
    </row>
    <row r="231" spans="1:26" x14ac:dyDescent="0.2">
      <c r="A231" s="1">
        <v>229</v>
      </c>
      <c r="B231" s="2" t="s">
        <v>78</v>
      </c>
      <c r="C231" s="13" t="str">
        <f>HYPERLINK(AC2 &amp; "/bottle/sn_d44618b5aefe9ecd467ca2ad6571afff/rendering/00.xyz", "0.0")</f>
        <v>0.0</v>
      </c>
      <c r="D231" s="13" t="str">
        <f>HYPERLINK(AC2 &amp; "/bottle/sn_d44618b5aefe9ecd467ca2ad6571afff/rendering/01.xyz", "0.0")</f>
        <v>0.0</v>
      </c>
      <c r="E231" s="13" t="str">
        <f>HYPERLINK(AC2 &amp; "/bottle/sn_d44618b5aefe9ecd467ca2ad6571afff/rendering/02.xyz", "0.0")</f>
        <v>0.0</v>
      </c>
      <c r="F231" s="13" t="str">
        <f>HYPERLINK(AC2 &amp; "/bottle/sn_d44618b5aefe9ecd467ca2ad6571afff/rendering/03.xyz", "0.0")</f>
        <v>0.0</v>
      </c>
      <c r="G231" s="13" t="str">
        <f>HYPERLINK(AC2 &amp; "/bottle/sn_d44618b5aefe9ecd467ca2ad6571afff/rendering/04.xyz", "0.0")</f>
        <v>0.0</v>
      </c>
      <c r="H231" s="13" t="str">
        <f>HYPERLINK(AC2 &amp; "/bottle/sn_d44618b5aefe9ecd467ca2ad6571afff/rendering/05.xyz", "0.0")</f>
        <v>0.0</v>
      </c>
      <c r="I231" s="13" t="str">
        <f>HYPERLINK(AC2 &amp; "/bottle/sn_d44618b5aefe9ecd467ca2ad6571afff/rendering/06.xyz", "0.0")</f>
        <v>0.0</v>
      </c>
      <c r="J231" s="13" t="str">
        <f>HYPERLINK(AC2 &amp; "/bottle/sn_d44618b5aefe9ecd467ca2ad6571afff/rendering/07.xyz", "0.0")</f>
        <v>0.0</v>
      </c>
      <c r="K231" s="13" t="str">
        <f>HYPERLINK(AC2 &amp; "/bottle/sn_d44618b5aefe9ecd467ca2ad6571afff/rendering/08.xyz", "0.0")</f>
        <v>0.0</v>
      </c>
      <c r="L231" s="13" t="str">
        <f>HYPERLINK(AC2 &amp; "/bottle/sn_d44618b5aefe9ecd467ca2ad6571afff/rendering/09.xyz", "0.0")</f>
        <v>0.0</v>
      </c>
      <c r="M231" s="13" t="str">
        <f>HYPERLINK(AC2 &amp; "/bottle/sn_d44618b5aefe9ecd467ca2ad6571afff/rendering/10.xyz", "0.0")</f>
        <v>0.0</v>
      </c>
      <c r="N231" s="13" t="str">
        <f>HYPERLINK(AC2 &amp; "/bottle/sn_d44618b5aefe9ecd467ca2ad6571afff/rendering/11.xyz", "0.0")</f>
        <v>0.0</v>
      </c>
      <c r="O231" s="13" t="str">
        <f>HYPERLINK(AC2 &amp; "/bottle/sn_d44618b5aefe9ecd467ca2ad6571afff/rendering/12.xyz", "0.0")</f>
        <v>0.0</v>
      </c>
      <c r="P231" s="13" t="str">
        <f>HYPERLINK(AC2 &amp; "/bottle/sn_d44618b5aefe9ecd467ca2ad6571afff/rendering/13.xyz", "0.0")</f>
        <v>0.0</v>
      </c>
      <c r="Q231" s="13" t="str">
        <f>HYPERLINK(AC2 &amp; "/bottle/sn_d44618b5aefe9ecd467ca2ad6571afff/rendering/14.xyz", "0.0")</f>
        <v>0.0</v>
      </c>
      <c r="R231" s="13" t="str">
        <f>HYPERLINK(AC2 &amp; "/bottle/sn_d44618b5aefe9ecd467ca2ad6571afff/rendering/15.xyz", "0.0")</f>
        <v>0.0</v>
      </c>
      <c r="S231" s="13" t="str">
        <f>HYPERLINK(AC2 &amp; "/bottle/sn_d44618b5aefe9ecd467ca2ad6571afff/rendering/16.xyz", "0.0")</f>
        <v>0.0</v>
      </c>
      <c r="T231" s="13" t="str">
        <f>HYPERLINK(AC2 &amp; "/bottle/sn_d44618b5aefe9ecd467ca2ad6571afff/rendering/17.xyz", "0.0")</f>
        <v>0.0</v>
      </c>
      <c r="U231" s="13" t="str">
        <f>HYPERLINK(AC2 &amp; "/bottle/sn_d44618b5aefe9ecd467ca2ad6571afff/rendering/18.xyz", "0.0")</f>
        <v>0.0</v>
      </c>
      <c r="V231" s="13" t="str">
        <f>HYPERLINK(AC2 &amp; "/bottle/sn_d44618b5aefe9ecd467ca2ad6571afff/rendering/19.xyz", "0.0")</f>
        <v>0.0</v>
      </c>
      <c r="W231" s="12" t="s">
        <v>33</v>
      </c>
      <c r="X231" s="13">
        <v>0</v>
      </c>
      <c r="Y231" s="13">
        <v>0</v>
      </c>
      <c r="Z231" s="13">
        <v>0</v>
      </c>
    </row>
    <row r="232" spans="1:26" x14ac:dyDescent="0.2">
      <c r="A232" s="1">
        <v>230</v>
      </c>
      <c r="B232" s="2" t="s">
        <v>79</v>
      </c>
      <c r="C232" s="57" t="str">
        <f>HYPERLINK(AA2 &amp; "/bottle/sn_d45bf1487b41d2f630612f5c0ef21eb8/rendering/00.obj", "9.2362097168")</f>
        <v>9.2362097168</v>
      </c>
      <c r="D232" s="140" t="str">
        <f>HYPERLINK(AA2 &amp; "/bottle/sn_d45bf1487b41d2f630612f5c0ef21eb8/rendering/01.obj", "4.58602478027")</f>
        <v>4.58602478027</v>
      </c>
      <c r="E232" s="66" t="str">
        <f>HYPERLINK(AA2 &amp; "/bottle/sn_d45bf1487b41d2f630612f5c0ef21eb8/rendering/02.obj", "8.17324829102")</f>
        <v>8.17324829102</v>
      </c>
      <c r="F232" s="103" t="str">
        <f>HYPERLINK(AA2 &amp; "/bottle/sn_d45bf1487b41d2f630612f5c0ef21eb8/rendering/03.obj", "4.73724609375")</f>
        <v>4.73724609375</v>
      </c>
      <c r="G232" s="127" t="str">
        <f>HYPERLINK(AA2 &amp; "/bottle/sn_d45bf1487b41d2f630612f5c0ef21eb8/rendering/04.obj", "3.37050354004")</f>
        <v>3.37050354004</v>
      </c>
      <c r="H232" s="52" t="str">
        <f>HYPERLINK(AA2 &amp; "/bottle/sn_d45bf1487b41d2f630612f5c0ef21eb8/rendering/05.obj", "4.21474243164")</f>
        <v>4.21474243164</v>
      </c>
      <c r="I232" s="66" t="str">
        <f>HYPERLINK(AA2 &amp; "/bottle/sn_d45bf1487b41d2f630612f5c0ef21eb8/rendering/06.obj", "8.16815063477")</f>
        <v>8.16815063477</v>
      </c>
      <c r="J232" s="20" t="str">
        <f>HYPERLINK(AA2 &amp; "/bottle/sn_d45bf1487b41d2f630612f5c0ef21eb8/rendering/07.obj", "20.0145251465")</f>
        <v>20.0145251465</v>
      </c>
      <c r="K232" s="124" t="str">
        <f>HYPERLINK(AA2 &amp; "/bottle/sn_d45bf1487b41d2f630612f5c0ef21eb8/rendering/08.obj", "4.34600646973")</f>
        <v>4.34600646973</v>
      </c>
      <c r="L232" s="31" t="str">
        <f>HYPERLINK(AA2 &amp; "/bottle/sn_d45bf1487b41d2f630612f5c0ef21eb8/rendering/09.obj", "5.94086975098")</f>
        <v>5.94086975098</v>
      </c>
      <c r="M232" s="107" t="str">
        <f>HYPERLINK(AA2 &amp; "/bottle/sn_d45bf1487b41d2f630612f5c0ef21eb8/rendering/10.obj", "6.44246459961")</f>
        <v>6.44246459961</v>
      </c>
      <c r="N232" s="99" t="str">
        <f>HYPERLINK(AA2 &amp; "/bottle/sn_d45bf1487b41d2f630612f5c0ef21eb8/rendering/11.obj", "5.11949829102")</f>
        <v>5.11949829102</v>
      </c>
      <c r="O232" s="44" t="str">
        <f>HYPERLINK(AA2 &amp; "/bottle/sn_d45bf1487b41d2f630612f5c0ef21eb8/rendering/12.obj", "5.65533081055")</f>
        <v>5.65533081055</v>
      </c>
      <c r="P232" s="23" t="str">
        <f>HYPERLINK(AA2 &amp; "/bottle/sn_d45bf1487b41d2f630612f5c0ef21eb8/rendering/13.obj", "6.75532714844")</f>
        <v>6.75532714844</v>
      </c>
      <c r="Q232" s="223" t="str">
        <f>HYPERLINK(AA2 &amp; "/bottle/sn_d45bf1487b41d2f630612f5c0ef21eb8/rendering/14.obj", "10.9657446289")</f>
        <v>10.9657446289</v>
      </c>
      <c r="R232" s="20" t="str">
        <f>HYPERLINK(AA2 &amp; "/bottle/sn_d45bf1487b41d2f630612f5c0ef21eb8/rendering/15.obj", "15.3978979492")</f>
        <v>15.3978979492</v>
      </c>
      <c r="S232" s="19" t="str">
        <f>HYPERLINK(AA2 &amp; "/bottle/sn_d45bf1487b41d2f630612f5c0ef21eb8/rendering/16.obj", "5.19862670898")</f>
        <v>5.19862670898</v>
      </c>
      <c r="T232" s="52" t="str">
        <f>HYPERLINK(AA2 &amp; "/bottle/sn_d45bf1487b41d2f630612f5c0ef21eb8/rendering/17.obj", "4.22025817871")</f>
        <v>4.22025817871</v>
      </c>
      <c r="U232" s="124" t="str">
        <f>HYPERLINK(AA2 &amp; "/bottle/sn_d45bf1487b41d2f630612f5c0ef21eb8/rendering/18.obj", "4.35392730713")</f>
        <v>4.35392730713</v>
      </c>
      <c r="V232" s="143" t="str">
        <f>HYPERLINK(AA2 &amp; "/bottle/sn_d45bf1487b41d2f630612f5c0ef21eb8/rendering/19.obj", "3.70839904785")</f>
        <v>3.70839904785</v>
      </c>
      <c r="W232" s="12" t="s">
        <v>29</v>
      </c>
      <c r="X232" s="13">
        <v>7.0302500762939459</v>
      </c>
      <c r="Y232" s="13">
        <v>4.1104753978877842</v>
      </c>
      <c r="Z232" s="161">
        <v>0.58468409420432099</v>
      </c>
    </row>
    <row r="233" spans="1:26" x14ac:dyDescent="0.2">
      <c r="A233" s="1">
        <v>231</v>
      </c>
      <c r="B233" s="2" t="s">
        <v>79</v>
      </c>
      <c r="C233" s="99" t="str">
        <f>HYPERLINK(AA2 &amp; "/bottle/sn_d45bf1487b41d2f630612f5c0ef21eb8/rendering/00.obj", "13.3342075348")</f>
        <v>13.3342075348</v>
      </c>
      <c r="D233" s="191" t="str">
        <f>HYPERLINK(AA2 &amp; "/bottle/sn_d45bf1487b41d2f630612f5c0ef21eb8/rendering/01.obj", "5.73748683929")</f>
        <v>5.73748683929</v>
      </c>
      <c r="E233" s="93" t="str">
        <f>HYPERLINK(AA2 &amp; "/bottle/sn_d45bf1487b41d2f630612f5c0ef21eb8/rendering/02.obj", "11.9596033096")</f>
        <v>11.9596033096</v>
      </c>
      <c r="F233" s="126" t="str">
        <f>HYPERLINK(AA2 &amp; "/bottle/sn_d45bf1487b41d2f630612f5c0ef21eb8/rendering/03.obj", "5.24871015549")</f>
        <v>5.24871015549</v>
      </c>
      <c r="G233" s="220" t="str">
        <f>HYPERLINK(AA2 &amp; "/bottle/sn_d45bf1487b41d2f630612f5c0ef21eb8/rendering/04.obj", "3.36335897446")</f>
        <v>3.36335897446</v>
      </c>
      <c r="H233" s="130" t="str">
        <f>HYPERLINK(AA2 &amp; "/bottle/sn_d45bf1487b41d2f630612f5c0ef21eb8/rendering/05.obj", "5.76420211792")</f>
        <v>5.76420211792</v>
      </c>
      <c r="I233" s="94" t="str">
        <f>HYPERLINK(AA2 &amp; "/bottle/sn_d45bf1487b41d2f630612f5c0ef21eb8/rendering/06.obj", "9.71609401703")</f>
        <v>9.71609401703</v>
      </c>
      <c r="J233" s="20" t="str">
        <f>HYPERLINK(AA2 &amp; "/bottle/sn_d45bf1487b41d2f630612f5c0ef21eb8/rendering/07.obj", "54.7825813293")</f>
        <v>54.7825813293</v>
      </c>
      <c r="K233" s="161" t="str">
        <f>HYPERLINK(AA2 &amp; "/bottle/sn_d45bf1487b41d2f630612f5c0ef21eb8/rendering/08.obj", "4.33933115005")</f>
        <v>4.33933115005</v>
      </c>
      <c r="L233" s="153" t="str">
        <f>HYPERLINK(AA2 &amp; "/bottle/sn_d45bf1487b41d2f630612f5c0ef21eb8/rendering/09.obj", "6.76900053024")</f>
        <v>6.76900053024</v>
      </c>
      <c r="M233" s="187" t="str">
        <f>HYPERLINK(AA2 &amp; "/bottle/sn_d45bf1487b41d2f630612f5c0ef21eb8/rendering/10.obj", "6.80736351013")</f>
        <v>6.80736351013</v>
      </c>
      <c r="N233" s="126" t="str">
        <f>HYPERLINK(AA2 &amp; "/bottle/sn_d45bf1487b41d2f630612f5c0ef21eb8/rendering/11.obj", "5.24231147766")</f>
        <v>5.24231147766</v>
      </c>
      <c r="O233" s="153" t="str">
        <f>HYPERLINK(AA2 &amp; "/bottle/sn_d45bf1487b41d2f630612f5c0ef21eb8/rendering/12.obj", "6.75894403458")</f>
        <v>6.75894403458</v>
      </c>
      <c r="P233" s="7" t="str">
        <f>HYPERLINK(AA2 &amp; "/bottle/sn_d45bf1487b41d2f630612f5c0ef21eb8/rendering/13.obj", "7.56828546524")</f>
        <v>7.56828546524</v>
      </c>
      <c r="Q233" s="93" t="str">
        <f>HYPERLINK(AA2 &amp; "/bottle/sn_d45bf1487b41d2f630612f5c0ef21eb8/rendering/14.obj", "11.9570016861")</f>
        <v>11.9570016861</v>
      </c>
      <c r="R233" s="20" t="str">
        <f>HYPERLINK(AA2 &amp; "/bottle/sn_d45bf1487b41d2f630612f5c0ef21eb8/rendering/15.obj", "32.2287826538")</f>
        <v>32.2287826538</v>
      </c>
      <c r="S233" s="111" t="str">
        <f>HYPERLINK(AA2 &amp; "/bottle/sn_d45bf1487b41d2f630612f5c0ef21eb8/rendering/16.obj", "6.05030012131")</f>
        <v>6.05030012131</v>
      </c>
      <c r="T233" s="195" t="str">
        <f>HYPERLINK(AA2 &amp; "/bottle/sn_d45bf1487b41d2f630612f5c0ef21eb8/rendering/17.obj", "4.75366067886")</f>
        <v>4.75366067886</v>
      </c>
      <c r="U233" s="186" t="str">
        <f>HYPERLINK(AA2 &amp; "/bottle/sn_d45bf1487b41d2f630612f5c0ef21eb8/rendering/18.obj", "4.18115901947")</f>
        <v>4.18115901947</v>
      </c>
      <c r="V233" s="165" t="str">
        <f>HYPERLINK(AA2 &amp; "/bottle/sn_d45bf1487b41d2f630612f5c0ef21eb8/rendering/19.obj", "3.24346375465")</f>
        <v>3.24346375465</v>
      </c>
      <c r="W233" s="12" t="s">
        <v>30</v>
      </c>
      <c r="X233" s="13">
        <v>10.490292418003079</v>
      </c>
      <c r="Y233" s="13">
        <v>11.896956490465239</v>
      </c>
      <c r="Z233" s="20">
        <v>1.1340919791757269</v>
      </c>
    </row>
    <row r="234" spans="1:26" x14ac:dyDescent="0.2">
      <c r="A234" s="1">
        <v>232</v>
      </c>
      <c r="B234" s="2" t="s">
        <v>79</v>
      </c>
      <c r="C234" s="68" t="str">
        <f>HYPERLINK(AB2 &amp; "/bottle/sn_d45bf1487b41d2f630612f5c0ef21eb8/rendering/00.obj", "3.17579559326")</f>
        <v>3.17579559326</v>
      </c>
      <c r="D234" s="30" t="str">
        <f>HYPERLINK(AB2 &amp; "/bottle/sn_d45bf1487b41d2f630612f5c0ef21eb8/rendering/01.obj", "3.33052978516")</f>
        <v>3.33052978516</v>
      </c>
      <c r="E234" s="6" t="str">
        <f>HYPERLINK(AB2 &amp; "/bottle/sn_d45bf1487b41d2f630612f5c0ef21eb8/rendering/02.obj", "3.16581542969")</f>
        <v>3.16581542969</v>
      </c>
      <c r="F234" s="51" t="str">
        <f>HYPERLINK(AB2 &amp; "/bottle/sn_d45bf1487b41d2f630612f5c0ef21eb8/rendering/03.obj", "3.57995483398")</f>
        <v>3.57995483398</v>
      </c>
      <c r="G234" s="6" t="str">
        <f>HYPERLINK(AB2 &amp; "/bottle/sn_d45bf1487b41d2f630612f5c0ef21eb8/rendering/04.obj", "3.16803955078")</f>
        <v>3.16803955078</v>
      </c>
      <c r="H234" s="46" t="str">
        <f>HYPERLINK(AB2 &amp; "/bottle/sn_d45bf1487b41d2f630612f5c0ef21eb8/rendering/05.obj", "3.37890594482")</f>
        <v>3.37890594482</v>
      </c>
      <c r="I234" s="38" t="str">
        <f>HYPERLINK(AB2 &amp; "/bottle/sn_d45bf1487b41d2f630612f5c0ef21eb8/rendering/06.obj", "3.61692077637")</f>
        <v>3.61692077637</v>
      </c>
      <c r="J234" s="34" t="str">
        <f>HYPERLINK(AB2 &amp; "/bottle/sn_d45bf1487b41d2f630612f5c0ef21eb8/rendering/07.obj", "3.15926330566")</f>
        <v>3.15926330566</v>
      </c>
      <c r="K234" s="73" t="str">
        <f>HYPERLINK(AB2 &amp; "/bottle/sn_d45bf1487b41d2f630612f5c0ef21eb8/rendering/08.obj", "3.44220214844")</f>
        <v>3.44220214844</v>
      </c>
      <c r="L234" s="29" t="str">
        <f>HYPERLINK(AB2 &amp; "/bottle/sn_d45bf1487b41d2f630612f5c0ef21eb8/rendering/09.obj", "3.75221313477")</f>
        <v>3.75221313477</v>
      </c>
      <c r="M234" s="24" t="str">
        <f>HYPERLINK(AB2 &amp; "/bottle/sn_d45bf1487b41d2f630612f5c0ef21eb8/rendering/10.obj", "2.75604675293")</f>
        <v>2.75604675293</v>
      </c>
      <c r="N234" s="34" t="str">
        <f>HYPERLINK(AB2 &amp; "/bottle/sn_d45bf1487b41d2f630612f5c0ef21eb8/rendering/11.obj", "3.48310150146")</f>
        <v>3.48310150146</v>
      </c>
      <c r="O234" s="64" t="str">
        <f>HYPERLINK(AB2 &amp; "/bottle/sn_d45bf1487b41d2f630612f5c0ef21eb8/rendering/12.obj", "3.86828491211")</f>
        <v>3.86828491211</v>
      </c>
      <c r="P234" s="64" t="str">
        <f>HYPERLINK(AB2 &amp; "/bottle/sn_d45bf1487b41d2f630612f5c0ef21eb8/rendering/13.obj", "2.76677185059")</f>
        <v>2.76677185059</v>
      </c>
      <c r="Q234" s="65" t="str">
        <f>HYPERLINK(AB2 &amp; "/bottle/sn_d45bf1487b41d2f630612f5c0ef21eb8/rendering/14.obj", "2.87111694336")</f>
        <v>2.87111694336</v>
      </c>
      <c r="R234" s="51" t="str">
        <f>HYPERLINK(AB2 &amp; "/bottle/sn_d45bf1487b41d2f630612f5c0ef21eb8/rendering/15.obj", "3.05123840332")</f>
        <v>3.05123840332</v>
      </c>
      <c r="S234" s="92" t="str">
        <f>HYPERLINK(AB2 &amp; "/bottle/sn_d45bf1487b41d2f630612f5c0ef21eb8/rendering/16.obj", "3.73246398926")</f>
        <v>3.73246398926</v>
      </c>
      <c r="T234" s="27" t="str">
        <f>HYPERLINK(AB2 &amp; "/bottle/sn_d45bf1487b41d2f630612f5c0ef21eb8/rendering/17.obj", "3.55465759277")</f>
        <v>3.55465759277</v>
      </c>
      <c r="U234" s="73" t="str">
        <f>HYPERLINK(AB2 &amp; "/bottle/sn_d45bf1487b41d2f630612f5c0ef21eb8/rendering/18.obj", "3.44027587891")</f>
        <v>3.44027587891</v>
      </c>
      <c r="V234" s="5" t="str">
        <f>HYPERLINK(AB2 &amp; "/bottle/sn_d45bf1487b41d2f630612f5c0ef21eb8/rendering/19.obj", "3.06689544678")</f>
        <v>3.06689544678</v>
      </c>
      <c r="W234" s="12" t="s">
        <v>31</v>
      </c>
      <c r="X234" s="13">
        <v>3.318024688720703</v>
      </c>
      <c r="Y234" s="13">
        <v>0.31490074998191531</v>
      </c>
      <c r="Z234" s="90">
        <v>9.4906090075938643E-2</v>
      </c>
    </row>
    <row r="235" spans="1:26" x14ac:dyDescent="0.2">
      <c r="A235" s="1">
        <v>233</v>
      </c>
      <c r="B235" s="2" t="s">
        <v>79</v>
      </c>
      <c r="C235" s="26" t="str">
        <f>HYPERLINK(AB2 &amp; "/bottle/sn_d45bf1487b41d2f630612f5c0ef21eb8/rendering/00.obj", "2.21330451965")</f>
        <v>2.21330451965</v>
      </c>
      <c r="D235" s="60" t="str">
        <f>HYPERLINK(AB2 &amp; "/bottle/sn_d45bf1487b41d2f630612f5c0ef21eb8/rendering/01.obj", "2.24330329895")</f>
        <v>2.24330329895</v>
      </c>
      <c r="E235" s="38" t="str">
        <f>HYPERLINK(AB2 &amp; "/bottle/sn_d45bf1487b41d2f630612f5c0ef21eb8/rendering/02.obj", "2.15196704865")</f>
        <v>2.15196704865</v>
      </c>
      <c r="F235" s="13" t="str">
        <f>HYPERLINK(AB2 &amp; "/bottle/sn_d45bf1487b41d2f630612f5c0ef21eb8/rendering/03.obj", "2.36299967766")</f>
        <v>2.36299967766</v>
      </c>
      <c r="G235" s="94" t="str">
        <f>HYPERLINK(AB2 &amp; "/bottle/sn_d45bf1487b41d2f630612f5c0ef21eb8/rendering/04.obj", "2.19184374809")</f>
        <v>2.19184374809</v>
      </c>
      <c r="H235" s="107" t="str">
        <f>HYPERLINK(AB2 &amp; "/bottle/sn_d45bf1487b41d2f630612f5c0ef21eb8/rendering/05.obj", "2.1701271534")</f>
        <v>2.1701271534</v>
      </c>
      <c r="I235" s="94" t="str">
        <f>HYPERLINK(AB2 &amp; "/bottle/sn_d45bf1487b41d2f630612f5c0ef21eb8/rendering/06.obj", "2.18945145607")</f>
        <v>2.18945145607</v>
      </c>
      <c r="J235" s="27" t="str">
        <f>HYPERLINK(AB2 &amp; "/bottle/sn_d45bf1487b41d2f630612f5c0ef21eb8/rendering/07.obj", "2.20007658005")</f>
        <v>2.20007658005</v>
      </c>
      <c r="K235" s="31" t="str">
        <f>HYPERLINK(AB2 &amp; "/bottle/sn_d45bf1487b41d2f630612f5c0ef21eb8/rendering/08.obj", "2.73665452003")</f>
        <v>2.73665452003</v>
      </c>
      <c r="L235" s="23" t="str">
        <f>HYPERLINK(AB2 &amp; "/bottle/sn_d45bf1487b41d2f630612f5c0ef21eb8/rendering/09.obj", "2.4575817585")</f>
        <v>2.4575817585</v>
      </c>
      <c r="M235" s="74" t="str">
        <f>HYPERLINK(AB2 &amp; "/bottle/sn_d45bf1487b41d2f630612f5c0ef21eb8/rendering/10.obj", "2.3338329792")</f>
        <v>2.3338329792</v>
      </c>
      <c r="N235" s="40" t="str">
        <f>HYPERLINK(AB2 &amp; "/bottle/sn_d45bf1487b41d2f630612f5c0ef21eb8/rendering/11.obj", "2.77218031883")</f>
        <v>2.77218031883</v>
      </c>
      <c r="O235" s="71" t="str">
        <f>HYPERLINK(AB2 &amp; "/bottle/sn_d45bf1487b41d2f630612f5c0ef21eb8/rendering/12.obj", "2.64257979393")</f>
        <v>2.64257979393</v>
      </c>
      <c r="P235" s="68" t="str">
        <f>HYPERLINK(AB2 &amp; "/bottle/sn_d45bf1487b41d2f630612f5c0ef21eb8/rendering/13.obj", "2.46730399132")</f>
        <v>2.46730399132</v>
      </c>
      <c r="Q235" s="41" t="str">
        <f>HYPERLINK(AB2 &amp; "/bottle/sn_d45bf1487b41d2f630612f5c0ef21eb8/rendering/14.obj", "2.52274990082")</f>
        <v>2.52274990082</v>
      </c>
      <c r="R235" s="91" t="str">
        <f>HYPERLINK(AB2 &amp; "/bottle/sn_d45bf1487b41d2f630612f5c0ef21eb8/rendering/15.obj", "2.30260229111")</f>
        <v>2.30260229111</v>
      </c>
      <c r="S235" s="46" t="str">
        <f>HYPERLINK(AB2 &amp; "/bottle/sn_d45bf1487b41d2f630612f5c0ef21eb8/rendering/16.obj", "2.32516121864")</f>
        <v>2.32516121864</v>
      </c>
      <c r="T235" s="74" t="str">
        <f>HYPERLINK(AB2 &amp; "/bottle/sn_d45bf1487b41d2f630612f5c0ef21eb8/rendering/17.obj", "2.39922785759")</f>
        <v>2.39922785759</v>
      </c>
      <c r="U235" s="23" t="str">
        <f>HYPERLINK(AB2 &amp; "/bottle/sn_d45bf1487b41d2f630612f5c0ef21eb8/rendering/18.obj", "2.27511620522")</f>
        <v>2.27511620522</v>
      </c>
      <c r="V235" s="13" t="str">
        <f>HYPERLINK(AB2 &amp; "/bottle/sn_d45bf1487b41d2f630612f5c0ef21eb8/rendering/19.obj", "2.35968184471")</f>
        <v>2.35968184471</v>
      </c>
      <c r="W235" s="12" t="s">
        <v>32</v>
      </c>
      <c r="X235" s="13">
        <v>2.365887308120727</v>
      </c>
      <c r="Y235" s="13">
        <v>0.18024917562650961</v>
      </c>
      <c r="Z235" s="5">
        <v>7.6186712278229832E-2</v>
      </c>
    </row>
    <row r="236" spans="1:26" x14ac:dyDescent="0.2">
      <c r="A236" s="1">
        <v>234</v>
      </c>
      <c r="B236" s="2" t="s">
        <v>79</v>
      </c>
      <c r="C236" s="13" t="str">
        <f>HYPERLINK(AC2 &amp; "/bottle/sn_d45bf1487b41d2f630612f5c0ef21eb8/rendering/00.xyz", "0.0")</f>
        <v>0.0</v>
      </c>
      <c r="D236" s="13" t="str">
        <f>HYPERLINK(AC2 &amp; "/bottle/sn_d45bf1487b41d2f630612f5c0ef21eb8/rendering/01.xyz", "0.0")</f>
        <v>0.0</v>
      </c>
      <c r="E236" s="13" t="str">
        <f>HYPERLINK(AC2 &amp; "/bottle/sn_d45bf1487b41d2f630612f5c0ef21eb8/rendering/02.xyz", "0.0")</f>
        <v>0.0</v>
      </c>
      <c r="F236" s="13" t="str">
        <f>HYPERLINK(AC2 &amp; "/bottle/sn_d45bf1487b41d2f630612f5c0ef21eb8/rendering/03.xyz", "0.0")</f>
        <v>0.0</v>
      </c>
      <c r="G236" s="13" t="str">
        <f>HYPERLINK(AC2 &amp; "/bottle/sn_d45bf1487b41d2f630612f5c0ef21eb8/rendering/04.xyz", "0.0")</f>
        <v>0.0</v>
      </c>
      <c r="H236" s="13" t="str">
        <f>HYPERLINK(AC2 &amp; "/bottle/sn_d45bf1487b41d2f630612f5c0ef21eb8/rendering/05.xyz", "0.0")</f>
        <v>0.0</v>
      </c>
      <c r="I236" s="13" t="str">
        <f>HYPERLINK(AC2 &amp; "/bottle/sn_d45bf1487b41d2f630612f5c0ef21eb8/rendering/06.xyz", "0.0")</f>
        <v>0.0</v>
      </c>
      <c r="J236" s="13" t="str">
        <f>HYPERLINK(AC2 &amp; "/bottle/sn_d45bf1487b41d2f630612f5c0ef21eb8/rendering/07.xyz", "0.0")</f>
        <v>0.0</v>
      </c>
      <c r="K236" s="13" t="str">
        <f>HYPERLINK(AC2 &amp; "/bottle/sn_d45bf1487b41d2f630612f5c0ef21eb8/rendering/08.xyz", "0.0")</f>
        <v>0.0</v>
      </c>
      <c r="L236" s="13" t="str">
        <f>HYPERLINK(AC2 &amp; "/bottle/sn_d45bf1487b41d2f630612f5c0ef21eb8/rendering/09.xyz", "0.0")</f>
        <v>0.0</v>
      </c>
      <c r="M236" s="13" t="str">
        <f>HYPERLINK(AC2 &amp; "/bottle/sn_d45bf1487b41d2f630612f5c0ef21eb8/rendering/10.xyz", "0.0")</f>
        <v>0.0</v>
      </c>
      <c r="N236" s="13" t="str">
        <f>HYPERLINK(AC2 &amp; "/bottle/sn_d45bf1487b41d2f630612f5c0ef21eb8/rendering/11.xyz", "0.0")</f>
        <v>0.0</v>
      </c>
      <c r="O236" s="13" t="str">
        <f>HYPERLINK(AC2 &amp; "/bottle/sn_d45bf1487b41d2f630612f5c0ef21eb8/rendering/12.xyz", "0.0")</f>
        <v>0.0</v>
      </c>
      <c r="P236" s="13" t="str">
        <f>HYPERLINK(AC2 &amp; "/bottle/sn_d45bf1487b41d2f630612f5c0ef21eb8/rendering/13.xyz", "0.0")</f>
        <v>0.0</v>
      </c>
      <c r="Q236" s="13" t="str">
        <f>HYPERLINK(AC2 &amp; "/bottle/sn_d45bf1487b41d2f630612f5c0ef21eb8/rendering/14.xyz", "0.0")</f>
        <v>0.0</v>
      </c>
      <c r="R236" s="13" t="str">
        <f>HYPERLINK(AC2 &amp; "/bottle/sn_d45bf1487b41d2f630612f5c0ef21eb8/rendering/15.xyz", "0.0")</f>
        <v>0.0</v>
      </c>
      <c r="S236" s="13" t="str">
        <f>HYPERLINK(AC2 &amp; "/bottle/sn_d45bf1487b41d2f630612f5c0ef21eb8/rendering/16.xyz", "0.0")</f>
        <v>0.0</v>
      </c>
      <c r="T236" s="13" t="str">
        <f>HYPERLINK(AC2 &amp; "/bottle/sn_d45bf1487b41d2f630612f5c0ef21eb8/rendering/17.xyz", "0.0")</f>
        <v>0.0</v>
      </c>
      <c r="U236" s="13" t="str">
        <f>HYPERLINK(AC2 &amp; "/bottle/sn_d45bf1487b41d2f630612f5c0ef21eb8/rendering/18.xyz", "0.0")</f>
        <v>0.0</v>
      </c>
      <c r="V236" s="13" t="str">
        <f>HYPERLINK(AC2 &amp; "/bottle/sn_d45bf1487b41d2f630612f5c0ef21eb8/rendering/19.xyz", "0.0")</f>
        <v>0.0</v>
      </c>
      <c r="W236" s="12" t="s">
        <v>33</v>
      </c>
      <c r="X236" s="13">
        <v>0</v>
      </c>
      <c r="Y236" s="13">
        <v>0</v>
      </c>
      <c r="Z236" s="13">
        <v>0</v>
      </c>
    </row>
    <row r="237" spans="1:26" x14ac:dyDescent="0.2">
      <c r="A237" s="1">
        <v>235</v>
      </c>
      <c r="B237" s="2" t="s">
        <v>80</v>
      </c>
      <c r="C237" s="51" t="str">
        <f>HYPERLINK(AA2 &amp; "/bottle/sn_d4a8a5243b976630e3eacec6011567b3/rendering/00.obj", "2.14110839844")</f>
        <v>2.14110839844</v>
      </c>
      <c r="D237" s="73" t="str">
        <f>HYPERLINK(AA2 &amp; "/bottle/sn_d4a8a5243b976630e3eacec6011567b3/rendering/01.obj", "2.41041183472")</f>
        <v>2.41041183472</v>
      </c>
      <c r="E237" s="69" t="str">
        <f>HYPERLINK(AA2 &amp; "/bottle/sn_d4a8a5243b976630e3eacec6011567b3/rendering/02.obj", "2.2544543457")</f>
        <v>2.2544543457</v>
      </c>
      <c r="F237" s="47" t="str">
        <f>HYPERLINK(AA2 &amp; "/bottle/sn_d4a8a5243b976630e3eacec6011567b3/rendering/03.obj", "2.30334259033")</f>
        <v>2.30334259033</v>
      </c>
      <c r="G237" s="66" t="str">
        <f>HYPERLINK(AA2 &amp; "/bottle/sn_d4a8a5243b976630e3eacec6011567b3/rendering/04.obj", "2.70152099609")</f>
        <v>2.70152099609</v>
      </c>
      <c r="H237" s="8" t="str">
        <f>HYPERLINK(AA2 &amp; "/bottle/sn_d4a8a5243b976630e3eacec6011567b3/rendering/05.obj", "2.65272888184")</f>
        <v>2.65272888184</v>
      </c>
      <c r="I237" s="35" t="str">
        <f>HYPERLINK(AA2 &amp; "/bottle/sn_d4a8a5243b976630e3eacec6011567b3/rendering/06.obj", "2.18971740723")</f>
        <v>2.18971740723</v>
      </c>
      <c r="J237" s="75" t="str">
        <f>HYPERLINK(AA2 &amp; "/bottle/sn_d4a8a5243b976630e3eacec6011567b3/rendering/07.obj", "2.83972290039")</f>
        <v>2.83972290039</v>
      </c>
      <c r="K237" s="39" t="str">
        <f>HYPERLINK(AA2 &amp; "/bottle/sn_d4a8a5243b976630e3eacec6011567b3/rendering/08.obj", "2.12638519287")</f>
        <v>2.12638519287</v>
      </c>
      <c r="L237" s="47" t="str">
        <f>HYPERLINK(AA2 &amp; "/bottle/sn_d4a8a5243b976630e3eacec6011567b3/rendering/09.obj", "2.34103759766")</f>
        <v>2.34103759766</v>
      </c>
      <c r="M237" s="74" t="str">
        <f>HYPERLINK(AA2 &amp; "/bottle/sn_d4a8a5243b976630e3eacec6011567b3/rendering/10.obj", "2.28806015015")</f>
        <v>2.28806015015</v>
      </c>
      <c r="N237" s="133" t="str">
        <f>HYPERLINK(AA2 &amp; "/bottle/sn_d4a8a5243b976630e3eacec6011567b3/rendering/11.obj", "2.08497467041")</f>
        <v>2.08497467041</v>
      </c>
      <c r="O237" s="27" t="str">
        <f>HYPERLINK(AA2 &amp; "/bottle/sn_d4a8a5243b976630e3eacec6011567b3/rendering/12.obj", "2.16340774536")</f>
        <v>2.16340774536</v>
      </c>
      <c r="P237" s="73" t="str">
        <f>HYPERLINK(AA2 &amp; "/bottle/sn_d4a8a5243b976630e3eacec6011567b3/rendering/13.obj", "2.23712783813")</f>
        <v>2.23712783813</v>
      </c>
      <c r="Q237" s="23" t="str">
        <f>HYPERLINK(AA2 &amp; "/bottle/sn_d4a8a5243b976630e3eacec6011567b3/rendering/14.obj", "2.23542434692")</f>
        <v>2.23542434692</v>
      </c>
      <c r="R237" s="29" t="str">
        <f>HYPERLINK(AA2 &amp; "/bottle/sn_d4a8a5243b976630e3eacec6011567b3/rendering/15.obj", "2.02286651611")</f>
        <v>2.02286651611</v>
      </c>
      <c r="S237" s="17" t="str">
        <f>HYPERLINK(AA2 &amp; "/bottle/sn_d4a8a5243b976630e3eacec6011567b3/rendering/16.obj", "2.27977859497")</f>
        <v>2.27977859497</v>
      </c>
      <c r="T237" s="78" t="str">
        <f>HYPERLINK(AA2 &amp; "/bottle/sn_d4a8a5243b976630e3eacec6011567b3/rendering/17.obj", "2.4654598999")</f>
        <v>2.4654598999</v>
      </c>
      <c r="U237" s="46" t="str">
        <f>HYPERLINK(AA2 &amp; "/bottle/sn_d4a8a5243b976630e3eacec6011567b3/rendering/18.obj", "2.28380050659")</f>
        <v>2.28380050659</v>
      </c>
      <c r="V237" s="35" t="str">
        <f>HYPERLINK(AA2 &amp; "/bottle/sn_d4a8a5243b976630e3eacec6011567b3/rendering/19.obj", "2.46033416748")</f>
        <v>2.46033416748</v>
      </c>
      <c r="W237" s="12" t="s">
        <v>29</v>
      </c>
      <c r="X237" s="13">
        <v>2.3240832290649411</v>
      </c>
      <c r="Y237" s="13">
        <v>0.20646622187075431</v>
      </c>
      <c r="Z237" s="38">
        <v>8.8837705676238943E-2</v>
      </c>
    </row>
    <row r="238" spans="1:26" x14ac:dyDescent="0.2">
      <c r="A238" s="1">
        <v>236</v>
      </c>
      <c r="B238" s="2" t="s">
        <v>80</v>
      </c>
      <c r="C238" s="25" t="str">
        <f>HYPERLINK(AA2 &amp; "/bottle/sn_d4a8a5243b976630e3eacec6011567b3/rendering/00.obj", "2.58926105499")</f>
        <v>2.58926105499</v>
      </c>
      <c r="D238" s="74" t="str">
        <f>HYPERLINK(AA2 &amp; "/bottle/sn_d4a8a5243b976630e3eacec6011567b3/rendering/01.obj", "2.58530640602")</f>
        <v>2.58530640602</v>
      </c>
      <c r="E238" s="68" t="str">
        <f>HYPERLINK(AA2 &amp; "/bottle/sn_d4a8a5243b976630e3eacec6011567b3/rendering/02.obj", "2.50831317902")</f>
        <v>2.50831317902</v>
      </c>
      <c r="F238" s="41" t="str">
        <f>HYPERLINK(AA2 &amp; "/bottle/sn_d4a8a5243b976630e3eacec6011567b3/rendering/03.obj", "2.44761347771")</f>
        <v>2.44761347771</v>
      </c>
      <c r="G238" s="170" t="str">
        <f>HYPERLINK(AA2 &amp; "/bottle/sn_d4a8a5243b976630e3eacec6011567b3/rendering/04.obj", "3.28507018089")</f>
        <v>3.28507018089</v>
      </c>
      <c r="H238" s="63" t="str">
        <f>HYPERLINK(AA2 &amp; "/bottle/sn_d4a8a5243b976630e3eacec6011567b3/rendering/05.obj", "2.9353749752")</f>
        <v>2.9353749752</v>
      </c>
      <c r="I238" s="106" t="str">
        <f>HYPERLINK(AA2 &amp; "/bottle/sn_d4a8a5243b976630e3eacec6011567b3/rendering/06.obj", "2.32119369507")</f>
        <v>2.32119369507</v>
      </c>
      <c r="J238" s="181" t="str">
        <f>HYPERLINK(AA2 &amp; "/bottle/sn_d4a8a5243b976630e3eacec6011567b3/rendering/07.obj", "3.78048467636")</f>
        <v>3.78048467636</v>
      </c>
      <c r="K238" s="29" t="str">
        <f>HYPERLINK(AA2 &amp; "/bottle/sn_d4a8a5243b976630e3eacec6011567b3/rendering/08.obj", "2.28237938881")</f>
        <v>2.28237938881</v>
      </c>
      <c r="L238" s="10" t="str">
        <f>HYPERLINK(AA2 &amp; "/bottle/sn_d4a8a5243b976630e3eacec6011567b3/rendering/09.obj", "2.76564741135")</f>
        <v>2.76564741135</v>
      </c>
      <c r="M238" s="48" t="str">
        <f>HYPERLINK(AA2 &amp; "/bottle/sn_d4a8a5243b976630e3eacec6011567b3/rendering/10.obj", "2.68297886848")</f>
        <v>2.68297886848</v>
      </c>
      <c r="N238" s="71" t="str">
        <f>HYPERLINK(AA2 &amp; "/bottle/sn_d4a8a5243b976630e3eacec6011567b3/rendering/11.obj", "2.31164908409")</f>
        <v>2.31164908409</v>
      </c>
      <c r="O238" s="133" t="str">
        <f>HYPERLINK(AA2 &amp; "/bottle/sn_d4a8a5243b976630e3eacec6011567b3/rendering/12.obj", "2.35210680962")</f>
        <v>2.35210680962</v>
      </c>
      <c r="P238" s="71" t="str">
        <f>HYPERLINK(AA2 &amp; "/bottle/sn_d4a8a5243b976630e3eacec6011567b3/rendering/13.obj", "2.31112098694")</f>
        <v>2.31112098694</v>
      </c>
      <c r="Q238" s="13" t="str">
        <f>HYPERLINK(AA2 &amp; "/bottle/sn_d4a8a5243b976630e3eacec6011567b3/rendering/14.obj", "2.62846279144")</f>
        <v>2.62846279144</v>
      </c>
      <c r="R238" s="67" t="str">
        <f>HYPERLINK(AA2 &amp; "/bottle/sn_d4a8a5243b976630e3eacec6011567b3/rendering/15.obj", "2.37569856644")</f>
        <v>2.37569856644</v>
      </c>
      <c r="S238" s="26" t="str">
        <f>HYPERLINK(AA2 &amp; "/bottle/sn_d4a8a5243b976630e3eacec6011567b3/rendering/16.obj", "2.45310235023")</f>
        <v>2.45310235023</v>
      </c>
      <c r="T238" s="25" t="str">
        <f>HYPERLINK(AA2 &amp; "/bottle/sn_d4a8a5243b976630e3eacec6011567b3/rendering/17.obj", "2.65109300613")</f>
        <v>2.65109300613</v>
      </c>
      <c r="U238" s="26" t="str">
        <f>HYPERLINK(AA2 &amp; "/bottle/sn_d4a8a5243b976630e3eacec6011567b3/rendering/18.obj", "2.4561662674")</f>
        <v>2.4561662674</v>
      </c>
      <c r="V238" s="91" t="str">
        <f>HYPERLINK(AA2 &amp; "/bottle/sn_d4a8a5243b976630e3eacec6011567b3/rendering/19.obj", "2.68983411789")</f>
        <v>2.68983411789</v>
      </c>
      <c r="W238" s="12" t="s">
        <v>30</v>
      </c>
      <c r="X238" s="13">
        <v>2.620642864704132</v>
      </c>
      <c r="Y238" s="13">
        <v>0.35663960218047203</v>
      </c>
      <c r="Z238" s="42">
        <v>0.13608859375073079</v>
      </c>
    </row>
    <row r="239" spans="1:26" x14ac:dyDescent="0.2">
      <c r="A239" s="1">
        <v>237</v>
      </c>
      <c r="B239" s="2" t="s">
        <v>80</v>
      </c>
      <c r="C239" s="94" t="str">
        <f>HYPERLINK(AB2 &amp; "/bottle/sn_d4a8a5243b976630e3eacec6011567b3/rendering/00.obj", "3.08233886719")</f>
        <v>3.08233886719</v>
      </c>
      <c r="D239" s="48" t="str">
        <f>HYPERLINK(AB2 &amp; "/bottle/sn_d4a8a5243b976630e3eacec6011567b3/rendering/01.obj", "3.2499407959")</f>
        <v>3.2499407959</v>
      </c>
      <c r="E239" s="23" t="str">
        <f>HYPERLINK(AB2 &amp; "/bottle/sn_d4a8a5243b976630e3eacec6011567b3/rendering/02.obj", "3.19977294922")</f>
        <v>3.19977294922</v>
      </c>
      <c r="F239" s="23" t="str">
        <f>HYPERLINK(AB2 &amp; "/bottle/sn_d4a8a5243b976630e3eacec6011567b3/rendering/03.obj", "3.46341796875")</f>
        <v>3.46341796875</v>
      </c>
      <c r="G239" s="32" t="str">
        <f>HYPERLINK(AB2 &amp; "/bottle/sn_d4a8a5243b976630e3eacec6011567b3/rendering/04.obj", "2.98433776855")</f>
        <v>2.98433776855</v>
      </c>
      <c r="H239" s="133" t="str">
        <f>HYPERLINK(AB2 &amp; "/bottle/sn_d4a8a5243b976630e3eacec6011567b3/rendering/05.obj", "2.99260192871")</f>
        <v>2.99260192871</v>
      </c>
      <c r="I239" s="41" t="str">
        <f>HYPERLINK(AB2 &amp; "/bottle/sn_d4a8a5243b976630e3eacec6011567b3/rendering/06.obj", "3.55348968506")</f>
        <v>3.55348968506</v>
      </c>
      <c r="J239" s="60" t="str">
        <f>HYPERLINK(AB2 &amp; "/bottle/sn_d4a8a5243b976630e3eacec6011567b3/rendering/07.obj", "3.16145446777")</f>
        <v>3.16145446777</v>
      </c>
      <c r="K239" s="90" t="str">
        <f>HYPERLINK(AB2 &amp; "/bottle/sn_d4a8a5243b976630e3eacec6011567b3/rendering/08.obj", "3.64649719238")</f>
        <v>3.64649719238</v>
      </c>
      <c r="L239" s="78" t="str">
        <f>HYPERLINK(AB2 &amp; "/bottle/sn_d4a8a5243b976630e3eacec6011567b3/rendering/09.obj", "3.53225769043")</f>
        <v>3.53225769043</v>
      </c>
      <c r="M239" s="35" t="str">
        <f>HYPERLINK(AB2 &amp; "/bottle/sn_d4a8a5243b976630e3eacec6011567b3/rendering/10.obj", "3.51903656006")</f>
        <v>3.51903656006</v>
      </c>
      <c r="N239" s="39" t="str">
        <f>HYPERLINK(AB2 &amp; "/bottle/sn_d4a8a5243b976630e3eacec6011567b3/rendering/11.obj", "3.61810424805")</f>
        <v>3.61810424805</v>
      </c>
      <c r="O239" s="72" t="str">
        <f>HYPERLINK(AB2 &amp; "/bottle/sn_d4a8a5243b976630e3eacec6011567b3/rendering/12.obj", "3.4443170166")</f>
        <v>3.4443170166</v>
      </c>
      <c r="P239" s="107" t="str">
        <f>HYPERLINK(AB2 &amp; "/bottle/sn_d4a8a5243b976630e3eacec6011567b3/rendering/13.obj", "3.05205352783")</f>
        <v>3.05205352783</v>
      </c>
      <c r="Q239" s="13" t="str">
        <f>HYPERLINK(AB2 &amp; "/bottle/sn_d4a8a5243b976630e3eacec6011567b3/rendering/14.obj", "3.33168457031")</f>
        <v>3.33168457031</v>
      </c>
      <c r="R239" s="68" t="str">
        <f>HYPERLINK(AB2 &amp; "/bottle/sn_d4a8a5243b976630e3eacec6011567b3/rendering/15.obj", "3.47416290283")</f>
        <v>3.47416290283</v>
      </c>
      <c r="S239" s="91" t="str">
        <f>HYPERLINK(AB2 &amp; "/bottle/sn_d4a8a5243b976630e3eacec6011567b3/rendering/16.obj", "3.42161071777")</f>
        <v>3.42161071777</v>
      </c>
      <c r="T239" s="25" t="str">
        <f>HYPERLINK(AB2 &amp; "/bottle/sn_d4a8a5243b976630e3eacec6011567b3/rendering/17.obj", "3.36557403564")</f>
        <v>3.36557403564</v>
      </c>
      <c r="U239" s="47" t="str">
        <f>HYPERLINK(AB2 &amp; "/bottle/sn_d4a8a5243b976630e3eacec6011567b3/rendering/18.obj", "3.29957519531")</f>
        <v>3.29957519531</v>
      </c>
      <c r="V239" s="72" t="str">
        <f>HYPERLINK(AB2 &amp; "/bottle/sn_d4a8a5243b976630e3eacec6011567b3/rendering/19.obj", "3.22221191406")</f>
        <v>3.22221191406</v>
      </c>
      <c r="W239" s="12" t="s">
        <v>31</v>
      </c>
      <c r="X239" s="13">
        <v>3.330722000122071</v>
      </c>
      <c r="Y239" s="13">
        <v>0.20091011691639299</v>
      </c>
      <c r="Z239" s="78">
        <v>6.0320289987885398E-2</v>
      </c>
    </row>
    <row r="240" spans="1:26" x14ac:dyDescent="0.2">
      <c r="A240" s="1">
        <v>238</v>
      </c>
      <c r="B240" s="2" t="s">
        <v>80</v>
      </c>
      <c r="C240" s="117" t="str">
        <f>HYPERLINK(AB2 &amp; "/bottle/sn_d4a8a5243b976630e3eacec6011567b3/rendering/00.obj", "2.32944989204")</f>
        <v>2.32944989204</v>
      </c>
      <c r="D240" s="133" t="str">
        <f>HYPERLINK(AB2 &amp; "/bottle/sn_d4a8a5243b976630e3eacec6011567b3/rendering/01.obj", "2.5436065197")</f>
        <v>2.5436065197</v>
      </c>
      <c r="E240" s="107" t="str">
        <f>HYPERLINK(AB2 &amp; "/bottle/sn_d4a8a5243b976630e3eacec6011567b3/rendering/02.obj", "2.59956169128")</f>
        <v>2.59956169128</v>
      </c>
      <c r="F240" s="46" t="str">
        <f>HYPERLINK(AB2 &amp; "/bottle/sn_d4a8a5243b976630e3eacec6011567b3/rendering/03.obj", "2.78277039528")</f>
        <v>2.78277039528</v>
      </c>
      <c r="G240" s="26" t="str">
        <f>HYPERLINK(AB2 &amp; "/bottle/sn_d4a8a5243b976630e3eacec6011567b3/rendering/04.obj", "3.02119207382")</f>
        <v>3.02119207382</v>
      </c>
      <c r="H240" s="63" t="str">
        <f>HYPERLINK(AB2 &amp; "/bottle/sn_d4a8a5243b976630e3eacec6011567b3/rendering/05.obj", "3.17611026764")</f>
        <v>3.17611026764</v>
      </c>
      <c r="I240" s="88" t="str">
        <f>HYPERLINK(AB2 &amp; "/bottle/sn_d4a8a5243b976630e3eacec6011567b3/rendering/06.obj", "3.4112765789")</f>
        <v>3.4112765789</v>
      </c>
      <c r="J240" s="133" t="str">
        <f>HYPERLINK(AB2 &amp; "/bottle/sn_d4a8a5243b976630e3eacec6011567b3/rendering/07.obj", "3.12688565254")</f>
        <v>3.12688565254</v>
      </c>
      <c r="K240" s="46" t="str">
        <f>HYPERLINK(AB2 &amp; "/bottle/sn_d4a8a5243b976630e3eacec6011567b3/rendering/08.obj", "2.78414487839")</f>
        <v>2.78414487839</v>
      </c>
      <c r="L240" s="33" t="str">
        <f>HYPERLINK(AB2 &amp; "/bottle/sn_d4a8a5243b976630e3eacec6011567b3/rendering/09.obj", "2.52841496468")</f>
        <v>2.52841496468</v>
      </c>
      <c r="M240" s="66" t="str">
        <f>HYPERLINK(AB2 &amp; "/bottle/sn_d4a8a5243b976630e3eacec6011567b3/rendering/10.obj", "2.38100457191")</f>
        <v>2.38100457191</v>
      </c>
      <c r="N240" s="6" t="str">
        <f>HYPERLINK(AB2 &amp; "/bottle/sn_d4a8a5243b976630e3eacec6011567b3/rendering/11.obj", "2.96179318428")</f>
        <v>2.96179318428</v>
      </c>
      <c r="O240" s="76" t="str">
        <f>HYPERLINK(AB2 &amp; "/bottle/sn_d4a8a5243b976630e3eacec6011567b3/rendering/12.obj", "3.35309958458")</f>
        <v>3.35309958458</v>
      </c>
      <c r="P240" s="39" t="str">
        <f>HYPERLINK(AB2 &amp; "/bottle/sn_d4a8a5243b976630e3eacec6011567b3/rendering/13.obj", "3.076846838")</f>
        <v>3.076846838</v>
      </c>
      <c r="Q240" s="41" t="str">
        <f>HYPERLINK(AB2 &amp; "/bottle/sn_d4a8a5243b976630e3eacec6011567b3/rendering/14.obj", "3.02476119995")</f>
        <v>3.02476119995</v>
      </c>
      <c r="R240" s="38" t="str">
        <f>HYPERLINK(AB2 &amp; "/bottle/sn_d4a8a5243b976630e3eacec6011567b3/rendering/15.obj", "2.57795000076")</f>
        <v>2.57795000076</v>
      </c>
      <c r="S240" s="29" t="str">
        <f>HYPERLINK(AB2 &amp; "/bottle/sn_d4a8a5243b976630e3eacec6011567b3/rendering/16.obj", "2.46340465546")</f>
        <v>2.46340465546</v>
      </c>
      <c r="T240" s="92" t="str">
        <f>HYPERLINK(AB2 &amp; "/bottle/sn_d4a8a5243b976630e3eacec6011567b3/rendering/17.obj", "3.18811774254")</f>
        <v>3.18811774254</v>
      </c>
      <c r="U240" s="90" t="str">
        <f>HYPERLINK(AB2 &amp; "/bottle/sn_d4a8a5243b976630e3eacec6011567b3/rendering/18.obj", "2.56244516373")</f>
        <v>2.56244516373</v>
      </c>
      <c r="V240" s="30" t="str">
        <f>HYPERLINK(AB2 &amp; "/bottle/sn_d4a8a5243b976630e3eacec6011567b3/rendering/19.obj", "2.82438802719")</f>
        <v>2.82438802719</v>
      </c>
      <c r="W240" s="12" t="s">
        <v>32</v>
      </c>
      <c r="X240" s="13">
        <v>2.8358611941337579</v>
      </c>
      <c r="Y240" s="13">
        <v>0.32030415767956688</v>
      </c>
      <c r="Z240" s="106">
        <v>0.1129477558147577</v>
      </c>
    </row>
    <row r="241" spans="1:26" x14ac:dyDescent="0.2">
      <c r="A241" s="1">
        <v>239</v>
      </c>
      <c r="B241" s="2" t="s">
        <v>80</v>
      </c>
      <c r="C241" s="13" t="str">
        <f>HYPERLINK(AC2 &amp; "/bottle/sn_d4a8a5243b976630e3eacec6011567b3/rendering/00.xyz", "0.0")</f>
        <v>0.0</v>
      </c>
      <c r="D241" s="13" t="str">
        <f>HYPERLINK(AC2 &amp; "/bottle/sn_d4a8a5243b976630e3eacec6011567b3/rendering/01.xyz", "0.0")</f>
        <v>0.0</v>
      </c>
      <c r="E241" s="13" t="str">
        <f>HYPERLINK(AC2 &amp; "/bottle/sn_d4a8a5243b976630e3eacec6011567b3/rendering/02.xyz", "0.0")</f>
        <v>0.0</v>
      </c>
      <c r="F241" s="13" t="str">
        <f>HYPERLINK(AC2 &amp; "/bottle/sn_d4a8a5243b976630e3eacec6011567b3/rendering/03.xyz", "0.0")</f>
        <v>0.0</v>
      </c>
      <c r="G241" s="13" t="str">
        <f>HYPERLINK(AC2 &amp; "/bottle/sn_d4a8a5243b976630e3eacec6011567b3/rendering/04.xyz", "0.0")</f>
        <v>0.0</v>
      </c>
      <c r="H241" s="13" t="str">
        <f>HYPERLINK(AC2 &amp; "/bottle/sn_d4a8a5243b976630e3eacec6011567b3/rendering/05.xyz", "0.0")</f>
        <v>0.0</v>
      </c>
      <c r="I241" s="13" t="str">
        <f>HYPERLINK(AC2 &amp; "/bottle/sn_d4a8a5243b976630e3eacec6011567b3/rendering/06.xyz", "0.0")</f>
        <v>0.0</v>
      </c>
      <c r="J241" s="13" t="str">
        <f>HYPERLINK(AC2 &amp; "/bottle/sn_d4a8a5243b976630e3eacec6011567b3/rendering/07.xyz", "0.0")</f>
        <v>0.0</v>
      </c>
      <c r="K241" s="13" t="str">
        <f>HYPERLINK(AC2 &amp; "/bottle/sn_d4a8a5243b976630e3eacec6011567b3/rendering/08.xyz", "0.0")</f>
        <v>0.0</v>
      </c>
      <c r="L241" s="13" t="str">
        <f>HYPERLINK(AC2 &amp; "/bottle/sn_d4a8a5243b976630e3eacec6011567b3/rendering/09.xyz", "0.0")</f>
        <v>0.0</v>
      </c>
      <c r="M241" s="13" t="str">
        <f>HYPERLINK(AC2 &amp; "/bottle/sn_d4a8a5243b976630e3eacec6011567b3/rendering/10.xyz", "0.0")</f>
        <v>0.0</v>
      </c>
      <c r="N241" s="13" t="str">
        <f>HYPERLINK(AC2 &amp; "/bottle/sn_d4a8a5243b976630e3eacec6011567b3/rendering/11.xyz", "0.0")</f>
        <v>0.0</v>
      </c>
      <c r="O241" s="13" t="str">
        <f>HYPERLINK(AC2 &amp; "/bottle/sn_d4a8a5243b976630e3eacec6011567b3/rendering/12.xyz", "0.0")</f>
        <v>0.0</v>
      </c>
      <c r="P241" s="13" t="str">
        <f>HYPERLINK(AC2 &amp; "/bottle/sn_d4a8a5243b976630e3eacec6011567b3/rendering/13.xyz", "0.0")</f>
        <v>0.0</v>
      </c>
      <c r="Q241" s="13" t="str">
        <f>HYPERLINK(AC2 &amp; "/bottle/sn_d4a8a5243b976630e3eacec6011567b3/rendering/14.xyz", "0.0")</f>
        <v>0.0</v>
      </c>
      <c r="R241" s="13" t="str">
        <f>HYPERLINK(AC2 &amp; "/bottle/sn_d4a8a5243b976630e3eacec6011567b3/rendering/15.xyz", "0.0")</f>
        <v>0.0</v>
      </c>
      <c r="S241" s="13" t="str">
        <f>HYPERLINK(AC2 &amp; "/bottle/sn_d4a8a5243b976630e3eacec6011567b3/rendering/16.xyz", "0.0")</f>
        <v>0.0</v>
      </c>
      <c r="T241" s="13" t="str">
        <f>HYPERLINK(AC2 &amp; "/bottle/sn_d4a8a5243b976630e3eacec6011567b3/rendering/17.xyz", "0.0")</f>
        <v>0.0</v>
      </c>
      <c r="U241" s="13" t="str">
        <f>HYPERLINK(AC2 &amp; "/bottle/sn_d4a8a5243b976630e3eacec6011567b3/rendering/18.xyz", "0.0")</f>
        <v>0.0</v>
      </c>
      <c r="V241" s="13" t="str">
        <f>HYPERLINK(AC2 &amp; "/bottle/sn_d4a8a5243b976630e3eacec6011567b3/rendering/19.xyz", "0.0")</f>
        <v>0.0</v>
      </c>
      <c r="W241" s="12" t="s">
        <v>33</v>
      </c>
      <c r="X241" s="13">
        <v>0</v>
      </c>
      <c r="Y241" s="13">
        <v>0</v>
      </c>
      <c r="Z241" s="13">
        <v>0</v>
      </c>
    </row>
    <row r="242" spans="1:26" x14ac:dyDescent="0.2">
      <c r="A242" s="1">
        <v>240</v>
      </c>
      <c r="B242" s="2" t="s">
        <v>81</v>
      </c>
      <c r="C242" s="104" t="str">
        <f>HYPERLINK(AA2 &amp; "/bottle/sn_d5ad519e4e042787116b18581e5b02f2/rendering/00.obj", "4.97332366943")</f>
        <v>4.97332366943</v>
      </c>
      <c r="D242" s="51" t="str">
        <f>HYPERLINK(AA2 &amp; "/bottle/sn_d5ad519e4e042787116b18581e5b02f2/rendering/01.obj", "3.10458984375")</f>
        <v>3.10458984375</v>
      </c>
      <c r="E242" s="78" t="str">
        <f>HYPERLINK(AA2 &amp; "/bottle/sn_d5ad519e4e042787116b18581e5b02f2/rendering/02.obj", "3.57984771729")</f>
        <v>3.57984771729</v>
      </c>
      <c r="F242" s="31" t="str">
        <f>HYPERLINK(AA2 &amp; "/bottle/sn_d5ad519e4e042787116b18581e5b02f2/rendering/03.obj", "2.8503918457")</f>
        <v>2.8503918457</v>
      </c>
      <c r="G242" s="10" t="str">
        <f>HYPERLINK(AA2 &amp; "/bottle/sn_d5ad519e4e042787116b18581e5b02f2/rendering/04.obj", "3.5566027832")</f>
        <v>3.5566027832</v>
      </c>
      <c r="H242" s="98" t="str">
        <f>HYPERLINK(AA2 &amp; "/bottle/sn_d5ad519e4e042787116b18581e5b02f2/rendering/05.obj", "2.59604858398")</f>
        <v>2.59604858398</v>
      </c>
      <c r="I242" s="106" t="str">
        <f>HYPERLINK(AA2 &amp; "/bottle/sn_d5ad519e4e042787116b18581e5b02f2/rendering/06.obj", "2.98597381592")</f>
        <v>2.98597381592</v>
      </c>
      <c r="J242" s="13" t="str">
        <f>HYPERLINK(AA2 &amp; "/bottle/sn_d5ad519e4e042787116b18581e5b02f2/rendering/07.obj", "3.37794616699")</f>
        <v>3.37794616699</v>
      </c>
      <c r="K242" s="66" t="str">
        <f>HYPERLINK(AA2 &amp; "/bottle/sn_d5ad519e4e042787116b18581e5b02f2/rendering/08.obj", "2.83176483154")</f>
        <v>2.83176483154</v>
      </c>
      <c r="L242" s="70" t="str">
        <f>HYPERLINK(AA2 &amp; "/bottle/sn_d5ad519e4e042787116b18581e5b02f2/rendering/09.obj", "3.80337005615")</f>
        <v>3.80337005615</v>
      </c>
      <c r="M242" s="70" t="str">
        <f>HYPERLINK(AA2 &amp; "/bottle/sn_d5ad519e4e042787116b18581e5b02f2/rendering/10.obj", "3.79774230957")</f>
        <v>3.79774230957</v>
      </c>
      <c r="N242" s="82" t="str">
        <f>HYPERLINK(AA2 &amp; "/bottle/sn_d5ad519e4e042787116b18581e5b02f2/rendering/11.obj", "2.67987487793")</f>
        <v>2.67987487793</v>
      </c>
      <c r="O242" s="137" t="str">
        <f>HYPERLINK(AA2 &amp; "/bottle/sn_d5ad519e4e042787116b18581e5b02f2/rendering/12.obj", "2.14011199951")</f>
        <v>2.14011199951</v>
      </c>
      <c r="P242" s="69" t="str">
        <f>HYPERLINK(AA2 &amp; "/bottle/sn_d5ad519e4e042787116b18581e5b02f2/rendering/13.obj", "3.27434173584")</f>
        <v>3.27434173584</v>
      </c>
      <c r="Q242" s="172" t="str">
        <f>HYPERLINK(AA2 &amp; "/bottle/sn_d5ad519e4e042787116b18581e5b02f2/rendering/14.obj", "2.07463897705")</f>
        <v>2.07463897705</v>
      </c>
      <c r="R242" s="60" t="str">
        <f>HYPERLINK(AA2 &amp; "/bottle/sn_d5ad519e4e042787116b18581e5b02f2/rendering/15.obj", "3.55061523437")</f>
        <v>3.55061523437</v>
      </c>
      <c r="S242" s="20" t="str">
        <f>HYPERLINK(AA2 &amp; "/bottle/sn_d5ad519e4e042787116b18581e5b02f2/rendering/16.obj", "7.01068115234")</f>
        <v>7.01068115234</v>
      </c>
      <c r="T242" s="37" t="str">
        <f>HYPERLINK(AA2 &amp; "/bottle/sn_d5ad519e4e042787116b18581e5b02f2/rendering/17.obj", "2.78930847168")</f>
        <v>2.78930847168</v>
      </c>
      <c r="U242" s="84" t="str">
        <f>HYPERLINK(AA2 &amp; "/bottle/sn_d5ad519e4e042787116b18581e5b02f2/rendering/18.obj", "3.86382507324")</f>
        <v>3.86382507324</v>
      </c>
      <c r="V242" s="87" t="str">
        <f>HYPERLINK(AA2 &amp; "/bottle/sn_d5ad519e4e042787116b18581e5b02f2/rendering/19.obj", "2.60615112305")</f>
        <v>2.60615112305</v>
      </c>
      <c r="W242" s="12" t="s">
        <v>29</v>
      </c>
      <c r="X242" s="13">
        <v>3.3723575134277342</v>
      </c>
      <c r="Y242" s="13">
        <v>1.0612388432674471</v>
      </c>
      <c r="Z242" s="57">
        <v>0.31468752617179713</v>
      </c>
    </row>
    <row r="243" spans="1:26" x14ac:dyDescent="0.2">
      <c r="A243" s="1">
        <v>241</v>
      </c>
      <c r="B243" s="2" t="s">
        <v>81</v>
      </c>
      <c r="C243" s="224" t="str">
        <f>HYPERLINK(AA2 &amp; "/bottle/sn_d5ad519e4e042787116b18581e5b02f2/rendering/00.obj", "5.46962881088")</f>
        <v>5.46962881088</v>
      </c>
      <c r="D243" s="98" t="str">
        <f>HYPERLINK(AA2 &amp; "/bottle/sn_d5ad519e4e042787116b18581e5b02f2/rendering/01.obj", "2.46117353439")</f>
        <v>2.46117353439</v>
      </c>
      <c r="E243" s="72" t="str">
        <f>HYPERLINK(AA2 &amp; "/bottle/sn_d5ad519e4e042787116b18581e5b02f2/rendering/02.obj", "3.30595731735")</f>
        <v>3.30595731735</v>
      </c>
      <c r="F243" s="120" t="str">
        <f>HYPERLINK(AA2 &amp; "/bottle/sn_d5ad519e4e042787116b18581e5b02f2/rendering/03.obj", "2.52836513519")</f>
        <v>2.52836513519</v>
      </c>
      <c r="G243" s="47" t="str">
        <f>HYPERLINK(AA2 &amp; "/bottle/sn_d5ad519e4e042787116b18581e5b02f2/rendering/04.obj", "3.17839837074")</f>
        <v>3.17839837074</v>
      </c>
      <c r="H243" s="58" t="str">
        <f>HYPERLINK(AA2 &amp; "/bottle/sn_d5ad519e4e042787116b18581e5b02f2/rendering/05.obj", "2.42739725113")</f>
        <v>2.42739725113</v>
      </c>
      <c r="I243" s="135" t="str">
        <f>HYPERLINK(AA2 &amp; "/bottle/sn_d5ad519e4e042787116b18581e5b02f2/rendering/06.obj", "2.38856983185")</f>
        <v>2.38856983185</v>
      </c>
      <c r="J243" s="82" t="str">
        <f>HYPERLINK(AA2 &amp; "/bottle/sn_d5ad519e4e042787116b18581e5b02f2/rendering/07.obj", "2.54530882835")</f>
        <v>2.54530882835</v>
      </c>
      <c r="K243" s="187" t="str">
        <f>HYPERLINK(AA2 &amp; "/bottle/sn_d5ad519e4e042787116b18581e5b02f2/rendering/08.obj", "2.08373379707")</f>
        <v>2.08373379707</v>
      </c>
      <c r="L243" s="70" t="str">
        <f>HYPERLINK(AA2 &amp; "/bottle/sn_d5ad519e4e042787116b18581e5b02f2/rendering/09.obj", "3.61048960686")</f>
        <v>3.61048960686</v>
      </c>
      <c r="M243" s="93" t="str">
        <f>HYPERLINK(AA2 &amp; "/bottle/sn_d5ad519e4e042787116b18581e5b02f2/rendering/10.obj", "3.64618492126")</f>
        <v>3.64618492126</v>
      </c>
      <c r="N243" s="119" t="str">
        <f>HYPERLINK(AA2 &amp; "/bottle/sn_d5ad519e4e042787116b18581e5b02f2/rendering/11.obj", "2.35710501671")</f>
        <v>2.35710501671</v>
      </c>
      <c r="O243" s="128" t="str">
        <f>HYPERLINK(AA2 &amp; "/bottle/sn_d5ad519e4e042787116b18581e5b02f2/rendering/12.obj", "1.94970357418")</f>
        <v>1.94970357418</v>
      </c>
      <c r="P243" s="64" t="str">
        <f>HYPERLINK(AA2 &amp; "/bottle/sn_d5ad519e4e042787116b18581e5b02f2/rendering/13.obj", "2.67169618607")</f>
        <v>2.67169618607</v>
      </c>
      <c r="Q243" s="97" t="str">
        <f>HYPERLINK(AA2 &amp; "/bottle/sn_d5ad519e4e042787116b18581e5b02f2/rendering/14.obj", "1.81538164616")</f>
        <v>1.81538164616</v>
      </c>
      <c r="R243" s="83" t="str">
        <f>HYPERLINK(AA2 &amp; "/bottle/sn_d5ad519e4e042787116b18581e5b02f2/rendering/15.obj", "3.687261343")</f>
        <v>3.687261343</v>
      </c>
      <c r="S243" s="20" t="str">
        <f>HYPERLINK(AA2 &amp; "/bottle/sn_d5ad519e4e042787116b18581e5b02f2/rendering/16.obj", "10.2389497757")</f>
        <v>10.2389497757</v>
      </c>
      <c r="T243" s="121" t="str">
        <f>HYPERLINK(AA2 &amp; "/bottle/sn_d5ad519e4e042787116b18581e5b02f2/rendering/17.obj", "2.07425475121")</f>
        <v>2.07425475121</v>
      </c>
      <c r="U243" s="8" t="str">
        <f>HYPERLINK(AA2 &amp; "/bottle/sn_d5ad519e4e042787116b18581e5b02f2/rendering/18.obj", "3.65891766548")</f>
        <v>3.65891766548</v>
      </c>
      <c r="V243" s="198" t="str">
        <f>HYPERLINK(AA2 &amp; "/bottle/sn_d5ad519e4e042787116b18581e5b02f2/rendering/19.obj", "1.9592717886")</f>
        <v>1.9592717886</v>
      </c>
      <c r="W243" s="12" t="s">
        <v>30</v>
      </c>
      <c r="X243" s="13">
        <v>3.2028874576091768</v>
      </c>
      <c r="Y243" s="13">
        <v>1.8265927975403029</v>
      </c>
      <c r="Z243" s="225">
        <v>0.57029565406702709</v>
      </c>
    </row>
    <row r="244" spans="1:26" x14ac:dyDescent="0.2">
      <c r="A244" s="1">
        <v>242</v>
      </c>
      <c r="B244" s="2" t="s">
        <v>81</v>
      </c>
      <c r="C244" s="48" t="str">
        <f>HYPERLINK(AB2 &amp; "/bottle/sn_d5ad519e4e042787116b18581e5b02f2/rendering/00.obj", "2.25472824097")</f>
        <v>2.25472824097</v>
      </c>
      <c r="D244" s="91" t="str">
        <f>HYPERLINK(AB2 &amp; "/bottle/sn_d5ad519e4e042787116b18581e5b02f2/rendering/01.obj", "2.37405319214")</f>
        <v>2.37405319214</v>
      </c>
      <c r="E244" s="41" t="str">
        <f>HYPERLINK(AB2 &amp; "/bottle/sn_d5ad519e4e042787116b18581e5b02f2/rendering/02.obj", "2.4675958252")</f>
        <v>2.4675958252</v>
      </c>
      <c r="F244" s="23" t="str">
        <f>HYPERLINK(AB2 &amp; "/bottle/sn_d5ad519e4e042787116b18581e5b02f2/rendering/03.obj", "2.39923599243")</f>
        <v>2.39923599243</v>
      </c>
      <c r="G244" s="25" t="str">
        <f>HYPERLINK(AB2 &amp; "/bottle/sn_d5ad519e4e042787116b18581e5b02f2/rendering/04.obj", "2.28647140503")</f>
        <v>2.28647140503</v>
      </c>
      <c r="H244" s="110" t="str">
        <f>HYPERLINK(AB2 &amp; "/bottle/sn_d5ad519e4e042787116b18581e5b02f2/rendering/05.obj", "2.08518493652")</f>
        <v>2.08518493652</v>
      </c>
      <c r="I244" s="60" t="str">
        <f>HYPERLINK(AB2 &amp; "/bottle/sn_d5ad519e4e042787116b18581e5b02f2/rendering/06.obj", "2.42964447021")</f>
        <v>2.42964447021</v>
      </c>
      <c r="J244" s="42" t="str">
        <f>HYPERLINK(AB2 &amp; "/bottle/sn_d5ad519e4e042787116b18581e5b02f2/rendering/07.obj", "2.62778686523")</f>
        <v>2.62778686523</v>
      </c>
      <c r="K244" s="5" t="str">
        <f>HYPERLINK(AB2 &amp; "/bottle/sn_d5ad519e4e042787116b18581e5b02f2/rendering/08.obj", "2.1312310791")</f>
        <v>2.1312310791</v>
      </c>
      <c r="L244" s="13" t="str">
        <f>HYPERLINK(AB2 &amp; "/bottle/sn_d5ad519e4e042787116b18581e5b02f2/rendering/09.obj", "2.31649795532")</f>
        <v>2.31649795532</v>
      </c>
      <c r="M244" s="110" t="str">
        <f>HYPERLINK(AB2 &amp; "/bottle/sn_d5ad519e4e042787116b18581e5b02f2/rendering/10.obj", "2.53655426025")</f>
        <v>2.53655426025</v>
      </c>
      <c r="N244" s="91" t="str">
        <f>HYPERLINK(AB2 &amp; "/bottle/sn_d5ad519e4e042787116b18581e5b02f2/rendering/11.obj", "2.24640899658")</f>
        <v>2.24640899658</v>
      </c>
      <c r="O244" s="38" t="str">
        <f>HYPERLINK(AB2 &amp; "/bottle/sn_d5ad519e4e042787116b18581e5b02f2/rendering/12.obj", "2.10425308228")</f>
        <v>2.10425308228</v>
      </c>
      <c r="P244" s="88" t="str">
        <f>HYPERLINK(AB2 &amp; "/bottle/sn_d5ad519e4e042787116b18581e5b02f2/rendering/13.obj", "1.84129165649")</f>
        <v>1.84129165649</v>
      </c>
      <c r="Q244" s="67" t="str">
        <f>HYPERLINK(AB2 &amp; "/bottle/sn_d5ad519e4e042787116b18581e5b02f2/rendering/14.obj", "2.52580795288")</f>
        <v>2.52580795288</v>
      </c>
      <c r="R244" s="91" t="str">
        <f>HYPERLINK(AB2 &amp; "/bottle/sn_d5ad519e4e042787116b18581e5b02f2/rendering/15.obj", "2.24909088135")</f>
        <v>2.24909088135</v>
      </c>
      <c r="S244" s="134" t="str">
        <f>HYPERLINK(AB2 &amp; "/bottle/sn_d5ad519e4e042787116b18581e5b02f2/rendering/16.obj", "2.7256842041")</f>
        <v>2.7256842041</v>
      </c>
      <c r="T244" s="69" t="str">
        <f>HYPERLINK(AB2 &amp; "/bottle/sn_d5ad519e4e042787116b18581e5b02f2/rendering/17.obj", "2.23887374878")</f>
        <v>2.23887374878</v>
      </c>
      <c r="U244" s="68" t="str">
        <f>HYPERLINK(AB2 &amp; "/bottle/sn_d5ad519e4e042787116b18581e5b02f2/rendering/18.obj", "2.21426055908")</f>
        <v>2.21426055908</v>
      </c>
      <c r="V244" s="26" t="str">
        <f>HYPERLINK(AB2 &amp; "/bottle/sn_d5ad519e4e042787116b18581e5b02f2/rendering/19.obj", "2.16434173584")</f>
        <v>2.16434173584</v>
      </c>
      <c r="W244" s="12" t="s">
        <v>31</v>
      </c>
      <c r="X244" s="13">
        <v>2.3109498519897458</v>
      </c>
      <c r="Y244" s="13">
        <v>0.201772905606241</v>
      </c>
      <c r="Z244" s="39">
        <v>8.7311676379525485E-2</v>
      </c>
    </row>
    <row r="245" spans="1:26" x14ac:dyDescent="0.2">
      <c r="A245" s="1">
        <v>243</v>
      </c>
      <c r="B245" s="2" t="s">
        <v>81</v>
      </c>
      <c r="C245" s="10" t="str">
        <f>HYPERLINK(AB2 &amp; "/bottle/sn_d5ad519e4e042787116b18581e5b02f2/rendering/00.obj", "1.85361289978")</f>
        <v>1.85361289978</v>
      </c>
      <c r="D245" s="91" t="str">
        <f>HYPERLINK(AB2 &amp; "/bottle/sn_d5ad519e4e042787116b18581e5b02f2/rendering/01.obj", "2.01626420021")</f>
        <v>2.01626420021</v>
      </c>
      <c r="E245" s="68" t="str">
        <f>HYPERLINK(AB2 &amp; "/bottle/sn_d5ad519e4e042787116b18581e5b02f2/rendering/02.obj", "1.88155913353")</f>
        <v>1.88155913353</v>
      </c>
      <c r="F245" s="30" t="str">
        <f>HYPERLINK(AB2 &amp; "/bottle/sn_d5ad519e4e042787116b18581e5b02f2/rendering/03.obj", "1.95236110687")</f>
        <v>1.95236110687</v>
      </c>
      <c r="G245" s="48" t="str">
        <f>HYPERLINK(AB2 &amp; "/bottle/sn_d5ad519e4e042787116b18581e5b02f2/rendering/04.obj", "1.91615653038")</f>
        <v>1.91615653038</v>
      </c>
      <c r="H245" s="90" t="str">
        <f>HYPERLINK(AB2 &amp; "/bottle/sn_d5ad519e4e042787116b18581e5b02f2/rendering/05.obj", "1.77683186531")</f>
        <v>1.77683186531</v>
      </c>
      <c r="I245" s="67" t="str">
        <f>HYPERLINK(AB2 &amp; "/bottle/sn_d5ad519e4e042787116b18581e5b02f2/rendering/06.obj", "2.14176106453")</f>
        <v>2.14176106453</v>
      </c>
      <c r="J245" s="68" t="str">
        <f>HYPERLINK(AB2 &amp; "/bottle/sn_d5ad519e4e042787116b18581e5b02f2/rendering/07.obj", "1.87767100334")</f>
        <v>1.87767100334</v>
      </c>
      <c r="K245" s="91" t="str">
        <f>HYPERLINK(AB2 &amp; "/bottle/sn_d5ad519e4e042787116b18581e5b02f2/rendering/08.obj", "2.01441717148")</f>
        <v>2.01441717148</v>
      </c>
      <c r="L245" s="133" t="str">
        <f>HYPERLINK(AB2 &amp; "/bottle/sn_d5ad519e4e042787116b18581e5b02f2/rendering/09.obj", "1.76325583458")</f>
        <v>1.76325583458</v>
      </c>
      <c r="M245" s="33" t="str">
        <f>HYPERLINK(AB2 &amp; "/bottle/sn_d5ad519e4e042787116b18581e5b02f2/rendering/10.obj", "2.17734003067")</f>
        <v>2.17734003067</v>
      </c>
      <c r="N245" s="48" t="str">
        <f>HYPERLINK(AB2 &amp; "/bottle/sn_d5ad519e4e042787116b18581e5b02f2/rendering/11.obj", "1.91703248024")</f>
        <v>1.91703248024</v>
      </c>
      <c r="O245" s="73" t="str">
        <f>HYPERLINK(AB2 &amp; "/bottle/sn_d5ad519e4e042787116b18581e5b02f2/rendering/12.obj", "1.89115202427")</f>
        <v>1.89115202427</v>
      </c>
      <c r="P245" s="28" t="str">
        <f>HYPERLINK(AB2 &amp; "/bottle/sn_d5ad519e4e042787116b18581e5b02f2/rendering/13.obj", "1.74162745476")</f>
        <v>1.74162745476</v>
      </c>
      <c r="Q245" s="30" t="str">
        <f>HYPERLINK(AB2 &amp; "/bottle/sn_d5ad519e4e042787116b18581e5b02f2/rendering/14.obj", "1.9723533392")</f>
        <v>1.9723533392</v>
      </c>
      <c r="R245" s="67" t="str">
        <f>HYPERLINK(AB2 &amp; "/bottle/sn_d5ad519e4e042787116b18581e5b02f2/rendering/15.obj", "2.14459133148")</f>
        <v>2.14459133148</v>
      </c>
      <c r="S245" s="51" t="str">
        <f>HYPERLINK(AB2 &amp; "/bottle/sn_d5ad519e4e042787116b18581e5b02f2/rendering/16.obj", "2.11842775345")</f>
        <v>2.11842775345</v>
      </c>
      <c r="T245" s="117" t="str">
        <f>HYPERLINK(AB2 &amp; "/bottle/sn_d5ad519e4e042787116b18581e5b02f2/rendering/17.obj", "2.30742311478")</f>
        <v>2.30742311478</v>
      </c>
      <c r="U245" s="6" t="str">
        <f>HYPERLINK(AB2 &amp; "/bottle/sn_d5ad519e4e042787116b18581e5b02f2/rendering/18.obj", "1.87369835377")</f>
        <v>1.87369835377</v>
      </c>
      <c r="V245" s="91" t="str">
        <f>HYPERLINK(AB2 &amp; "/bottle/sn_d5ad519e4e042787116b18581e5b02f2/rendering/19.obj", "1.90965521336")</f>
        <v>1.90965521336</v>
      </c>
      <c r="W245" s="12" t="s">
        <v>32</v>
      </c>
      <c r="X245" s="13">
        <v>1.9623595952987669</v>
      </c>
      <c r="Y245" s="13">
        <v>0.14646878876095201</v>
      </c>
      <c r="Z245" s="94">
        <v>7.4639117678456005E-2</v>
      </c>
    </row>
    <row r="246" spans="1:26" x14ac:dyDescent="0.2">
      <c r="A246" s="1">
        <v>244</v>
      </c>
      <c r="B246" s="2" t="s">
        <v>81</v>
      </c>
      <c r="C246" s="13" t="str">
        <f>HYPERLINK(AC2 &amp; "/bottle/sn_d5ad519e4e042787116b18581e5b02f2/rendering/00.xyz", "0.0")</f>
        <v>0.0</v>
      </c>
      <c r="D246" s="13" t="str">
        <f>HYPERLINK(AC2 &amp; "/bottle/sn_d5ad519e4e042787116b18581e5b02f2/rendering/01.xyz", "0.0")</f>
        <v>0.0</v>
      </c>
      <c r="E246" s="13" t="str">
        <f>HYPERLINK(AC2 &amp; "/bottle/sn_d5ad519e4e042787116b18581e5b02f2/rendering/02.xyz", "0.0")</f>
        <v>0.0</v>
      </c>
      <c r="F246" s="13" t="str">
        <f>HYPERLINK(AC2 &amp; "/bottle/sn_d5ad519e4e042787116b18581e5b02f2/rendering/03.xyz", "0.0")</f>
        <v>0.0</v>
      </c>
      <c r="G246" s="13" t="str">
        <f>HYPERLINK(AC2 &amp; "/bottle/sn_d5ad519e4e042787116b18581e5b02f2/rendering/04.xyz", "0.0")</f>
        <v>0.0</v>
      </c>
      <c r="H246" s="13" t="str">
        <f>HYPERLINK(AC2 &amp; "/bottle/sn_d5ad519e4e042787116b18581e5b02f2/rendering/05.xyz", "0.0")</f>
        <v>0.0</v>
      </c>
      <c r="I246" s="13" t="str">
        <f>HYPERLINK(AC2 &amp; "/bottle/sn_d5ad519e4e042787116b18581e5b02f2/rendering/06.xyz", "0.0")</f>
        <v>0.0</v>
      </c>
      <c r="J246" s="13" t="str">
        <f>HYPERLINK(AC2 &amp; "/bottle/sn_d5ad519e4e042787116b18581e5b02f2/rendering/07.xyz", "0.0")</f>
        <v>0.0</v>
      </c>
      <c r="K246" s="13" t="str">
        <f>HYPERLINK(AC2 &amp; "/bottle/sn_d5ad519e4e042787116b18581e5b02f2/rendering/08.xyz", "0.0")</f>
        <v>0.0</v>
      </c>
      <c r="L246" s="13" t="str">
        <f>HYPERLINK(AC2 &amp; "/bottle/sn_d5ad519e4e042787116b18581e5b02f2/rendering/09.xyz", "0.0")</f>
        <v>0.0</v>
      </c>
      <c r="M246" s="13" t="str">
        <f>HYPERLINK(AC2 &amp; "/bottle/sn_d5ad519e4e042787116b18581e5b02f2/rendering/10.xyz", "0.0")</f>
        <v>0.0</v>
      </c>
      <c r="N246" s="13" t="str">
        <f>HYPERLINK(AC2 &amp; "/bottle/sn_d5ad519e4e042787116b18581e5b02f2/rendering/11.xyz", "0.0")</f>
        <v>0.0</v>
      </c>
      <c r="O246" s="13" t="str">
        <f>HYPERLINK(AC2 &amp; "/bottle/sn_d5ad519e4e042787116b18581e5b02f2/rendering/12.xyz", "0.0")</f>
        <v>0.0</v>
      </c>
      <c r="P246" s="13" t="str">
        <f>HYPERLINK(AC2 &amp; "/bottle/sn_d5ad519e4e042787116b18581e5b02f2/rendering/13.xyz", "0.0")</f>
        <v>0.0</v>
      </c>
      <c r="Q246" s="13" t="str">
        <f>HYPERLINK(AC2 &amp; "/bottle/sn_d5ad519e4e042787116b18581e5b02f2/rendering/14.xyz", "0.0")</f>
        <v>0.0</v>
      </c>
      <c r="R246" s="13" t="str">
        <f>HYPERLINK(AC2 &amp; "/bottle/sn_d5ad519e4e042787116b18581e5b02f2/rendering/15.xyz", "0.0")</f>
        <v>0.0</v>
      </c>
      <c r="S246" s="13" t="str">
        <f>HYPERLINK(AC2 &amp; "/bottle/sn_d5ad519e4e042787116b18581e5b02f2/rendering/16.xyz", "0.0")</f>
        <v>0.0</v>
      </c>
      <c r="T246" s="13" t="str">
        <f>HYPERLINK(AC2 &amp; "/bottle/sn_d5ad519e4e042787116b18581e5b02f2/rendering/17.xyz", "0.0")</f>
        <v>0.0</v>
      </c>
      <c r="U246" s="13" t="str">
        <f>HYPERLINK(AC2 &amp; "/bottle/sn_d5ad519e4e042787116b18581e5b02f2/rendering/18.xyz", "0.0")</f>
        <v>0.0</v>
      </c>
      <c r="V246" s="13" t="str">
        <f>HYPERLINK(AC2 &amp; "/bottle/sn_d5ad519e4e042787116b18581e5b02f2/rendering/19.xyz", "0.0")</f>
        <v>0.0</v>
      </c>
      <c r="W246" s="12" t="s">
        <v>33</v>
      </c>
      <c r="X246" s="13">
        <v>0</v>
      </c>
      <c r="Y246" s="13">
        <v>0</v>
      </c>
      <c r="Z246" s="13">
        <v>0</v>
      </c>
    </row>
    <row r="247" spans="1:26" x14ac:dyDescent="0.2">
      <c r="A247" s="1">
        <v>245</v>
      </c>
      <c r="B247" s="2" t="s">
        <v>82</v>
      </c>
      <c r="C247" s="134" t="str">
        <f>HYPERLINK(AA2 &amp; "/bottle/sn_d5c8ac8e5f26f975f7f7aae96deaf878/rendering/00.obj", "3.19021972656")</f>
        <v>3.19021972656</v>
      </c>
      <c r="D247" s="132" t="str">
        <f>HYPERLINK(AA2 &amp; "/bottle/sn_d5c8ac8e5f26f975f7f7aae96deaf878/rendering/01.obj", "2.26024032593")</f>
        <v>2.26024032593</v>
      </c>
      <c r="E247" s="44" t="str">
        <f>HYPERLINK(AA2 &amp; "/bottle/sn_d5c8ac8e5f26f975f7f7aae96deaf878/rendering/02.obj", "3.13156951904")</f>
        <v>3.13156951904</v>
      </c>
      <c r="F247" s="61" t="str">
        <f>HYPERLINK(AA2 &amp; "/bottle/sn_d5c8ac8e5f26f975f7f7aae96deaf878/rendering/03.obj", "2.71147949219")</f>
        <v>2.71147949219</v>
      </c>
      <c r="G247" s="69" t="str">
        <f>HYPERLINK(AA2 &amp; "/bottle/sn_d5c8ac8e5f26f975f7f7aae96deaf878/rendering/04.obj", "3.77771820068")</f>
        <v>3.77771820068</v>
      </c>
      <c r="H247" s="135" t="str">
        <f>HYPERLINK(AA2 &amp; "/bottle/sn_d5c8ac8e5f26f975f7f7aae96deaf878/rendering/05.obj", "2.8957043457")</f>
        <v>2.8957043457</v>
      </c>
      <c r="I247" s="20" t="str">
        <f>HYPERLINK(AA2 &amp; "/bottle/sn_d5c8ac8e5f26f975f7f7aae96deaf878/rendering/06.obj", "7.58348205566")</f>
        <v>7.58348205566</v>
      </c>
      <c r="J247" s="130" t="str">
        <f>HYPERLINK(AA2 &amp; "/bottle/sn_d5c8ac8e5f26f975f7f7aae96deaf878/rendering/07.obj", "2.14051834106")</f>
        <v>2.14051834106</v>
      </c>
      <c r="K247" s="96" t="str">
        <f>HYPERLINK(AA2 &amp; "/bottle/sn_d5c8ac8e5f26f975f7f7aae96deaf878/rendering/08.obj", "2.47940505981")</f>
        <v>2.47940505981</v>
      </c>
      <c r="L247" s="88" t="str">
        <f>HYPERLINK(AA2 &amp; "/bottle/sn_d5c8ac8e5f26f975f7f7aae96deaf878/rendering/09.obj", "3.1057989502")</f>
        <v>3.1057989502</v>
      </c>
      <c r="M247" s="24" t="str">
        <f>HYPERLINK(AA2 &amp; "/bottle/sn_d5c8ac8e5f26f975f7f7aae96deaf878/rendering/10.obj", "4.55163879395")</f>
        <v>4.55163879395</v>
      </c>
      <c r="N247" s="20" t="str">
        <f>HYPERLINK(AA2 &amp; "/bottle/sn_d5c8ac8e5f26f975f7f7aae96deaf878/rendering/11.obj", "10.0733508301")</f>
        <v>10.0733508301</v>
      </c>
      <c r="O247" s="43" t="str">
        <f>HYPERLINK(AA2 &amp; "/bottle/sn_d5c8ac8e5f26f975f7f7aae96deaf878/rendering/12.obj", "2.43795150757")</f>
        <v>2.43795150757</v>
      </c>
      <c r="P247" s="54" t="str">
        <f>HYPERLINK(AA2 &amp; "/bottle/sn_d5c8ac8e5f26f975f7f7aae96deaf878/rendering/13.obj", "5.17366333008")</f>
        <v>5.17366333008</v>
      </c>
      <c r="Q247" s="176" t="str">
        <f>HYPERLINK(AA2 &amp; "/bottle/sn_d5c8ac8e5f26f975f7f7aae96deaf878/rendering/14.obj", "2.65085754395")</f>
        <v>2.65085754395</v>
      </c>
      <c r="R247" s="82" t="str">
        <f>HYPERLINK(AA2 &amp; "/bottle/sn_d5c8ac8e5f26f975f7f7aae96deaf878/rendering/15.obj", "3.09720367432")</f>
        <v>3.09720367432</v>
      </c>
      <c r="S247" s="20" t="str">
        <f>HYPERLINK(AA2 &amp; "/bottle/sn_d5c8ac8e5f26f975f7f7aae96deaf878/rendering/16.obj", "8.5333215332")</f>
        <v>8.5333215332</v>
      </c>
      <c r="T247" s="119" t="str">
        <f>HYPERLINK(AA2 &amp; "/bottle/sn_d5c8ac8e5f26f975f7f7aae96deaf878/rendering/17.obj", "2.85798583984")</f>
        <v>2.85798583984</v>
      </c>
      <c r="U247" s="149" t="str">
        <f>HYPERLINK(AA2 &amp; "/bottle/sn_d5c8ac8e5f26f975f7f7aae96deaf878/rendering/18.obj", "2.55801681519")</f>
        <v>2.55801681519</v>
      </c>
      <c r="V247" s="57" t="str">
        <f>HYPERLINK(AA2 &amp; "/bottle/sn_d5c8ac8e5f26f975f7f7aae96deaf878/rendering/19.obj", "2.67232971191")</f>
        <v>2.67232971191</v>
      </c>
      <c r="W247" s="12" t="s">
        <v>29</v>
      </c>
      <c r="X247" s="13">
        <v>3.894122779846191</v>
      </c>
      <c r="Y247" s="13">
        <v>2.189660826116008</v>
      </c>
      <c r="Z247" s="226">
        <v>0.5622988667559411</v>
      </c>
    </row>
    <row r="248" spans="1:26" x14ac:dyDescent="0.2">
      <c r="A248" s="1">
        <v>246</v>
      </c>
      <c r="B248" s="2" t="s">
        <v>82</v>
      </c>
      <c r="C248" s="89" t="str">
        <f>HYPERLINK(AA2 &amp; "/bottle/sn_d5c8ac8e5f26f975f7f7aae96deaf878/rendering/00.obj", "2.80146670341")</f>
        <v>2.80146670341</v>
      </c>
      <c r="D248" s="227" t="str">
        <f>HYPERLINK(AA2 &amp; "/bottle/sn_d5c8ac8e5f26f975f7f7aae96deaf878/rendering/01.obj", "1.85047602654")</f>
        <v>1.85047602654</v>
      </c>
      <c r="E248" s="153" t="str">
        <f>HYPERLINK(AA2 &amp; "/bottle/sn_d5c8ac8e5f26f975f7f7aae96deaf878/rendering/02.obj", "2.42990994453")</f>
        <v>2.42990994453</v>
      </c>
      <c r="F248" s="195" t="str">
        <f>HYPERLINK(AA2 &amp; "/bottle/sn_d5c8ac8e5f26f975f7f7aae96deaf878/rendering/03.obj", "1.71443736553")</f>
        <v>1.71443736553</v>
      </c>
      <c r="G248" s="63" t="str">
        <f>HYPERLINK(AA2 &amp; "/bottle/sn_d5c8ac8e5f26f975f7f7aae96deaf878/rendering/04.obj", "3.32547712326")</f>
        <v>3.32547712326</v>
      </c>
      <c r="H248" s="143" t="str">
        <f>HYPERLINK(AA2 &amp; "/bottle/sn_d5c8ac8e5f26f975f7f7aae96deaf878/rendering/05.obj", "1.99166369438")</f>
        <v>1.99166369438</v>
      </c>
      <c r="I248" s="20" t="str">
        <f>HYPERLINK(AA2 &amp; "/bottle/sn_d5c8ac8e5f26f975f7f7aae96deaf878/rendering/06.obj", "9.53314208984")</f>
        <v>9.53314208984</v>
      </c>
      <c r="J248" s="144" t="str">
        <f>HYPERLINK(AA2 &amp; "/bottle/sn_d5c8ac8e5f26f975f7f7aae96deaf878/rendering/07.obj", "1.87336230278")</f>
        <v>1.87336230278</v>
      </c>
      <c r="K248" s="162" t="str">
        <f>HYPERLINK(AA2 &amp; "/bottle/sn_d5c8ac8e5f26f975f7f7aae96deaf878/rendering/08.obj", "2.17056059837")</f>
        <v>2.17056059837</v>
      </c>
      <c r="L248" s="138" t="str">
        <f>HYPERLINK(AA2 &amp; "/bottle/sn_d5c8ac8e5f26f975f7f7aae96deaf878/rendering/09.obj", "2.50608921051")</f>
        <v>2.50608921051</v>
      </c>
      <c r="M248" s="51" t="str">
        <f>HYPERLINK(AA2 &amp; "/bottle/sn_d5c8ac8e5f26f975f7f7aae96deaf878/rendering/10.obj", "4.07304573059")</f>
        <v>4.07304573059</v>
      </c>
      <c r="N248" s="20" t="str">
        <f>HYPERLINK(AA2 &amp; "/bottle/sn_d5c8ac8e5f26f975f7f7aae96deaf878/rendering/11.obj", "14.723323822")</f>
        <v>14.723323822</v>
      </c>
      <c r="O248" s="201" t="str">
        <f>HYPERLINK(AA2 &amp; "/bottle/sn_d5c8ac8e5f26f975f7f7aae96deaf878/rendering/12.obj", "1.58059406281")</f>
        <v>1.58059406281</v>
      </c>
      <c r="P248" s="54" t="str">
        <f>HYPERLINK(AA2 &amp; "/bottle/sn_d5c8ac8e5f26f975f7f7aae96deaf878/rendering/13.obj", "5.01770067215")</f>
        <v>5.01770067215</v>
      </c>
      <c r="Q248" s="177" t="str">
        <f>HYPERLINK(AA2 &amp; "/bottle/sn_d5c8ac8e5f26f975f7f7aae96deaf878/rendering/14.obj", "1.75235283375")</f>
        <v>1.75235283375</v>
      </c>
      <c r="R248" s="145" t="str">
        <f>HYPERLINK(AA2 &amp; "/bottle/sn_d5c8ac8e5f26f975f7f7aae96deaf878/rendering/15.obj", "1.91968154907")</f>
        <v>1.91968154907</v>
      </c>
      <c r="S248" s="20" t="str">
        <f>HYPERLINK(AA2 &amp; "/bottle/sn_d5c8ac8e5f26f975f7f7aae96deaf878/rendering/16.obj", "9.97471904755")</f>
        <v>9.97471904755</v>
      </c>
      <c r="T248" s="143" t="str">
        <f>HYPERLINK(AA2 &amp; "/bottle/sn_d5c8ac8e5f26f975f7f7aae96deaf878/rendering/17.obj", "1.99872350693")</f>
        <v>1.99872350693</v>
      </c>
      <c r="U248" s="102" t="str">
        <f>HYPERLINK(AA2 &amp; "/bottle/sn_d5c8ac8e5f26f975f7f7aae96deaf878/rendering/18.obj", "1.89817488194")</f>
        <v>1.89817488194</v>
      </c>
      <c r="V248" s="123" t="str">
        <f>HYPERLINK(AA2 &amp; "/bottle/sn_d5c8ac8e5f26f975f7f7aae96deaf878/rendering/19.obj", "2.38147854805")</f>
        <v>2.38147854805</v>
      </c>
      <c r="W248" s="12" t="s">
        <v>30</v>
      </c>
      <c r="X248" s="13">
        <v>3.775818985700607</v>
      </c>
      <c r="Y248" s="13">
        <v>3.43474586342345</v>
      </c>
      <c r="Z248" s="20">
        <v>0.90966910130786616</v>
      </c>
    </row>
    <row r="249" spans="1:26" x14ac:dyDescent="0.2">
      <c r="A249" s="1">
        <v>247</v>
      </c>
      <c r="B249" s="2" t="s">
        <v>82</v>
      </c>
      <c r="C249" s="82" t="str">
        <f>HYPERLINK(AB2 &amp; "/bottle/sn_d5c8ac8e5f26f975f7f7aae96deaf878/rendering/00.obj", "2.93710998535")</f>
        <v>2.93710998535</v>
      </c>
      <c r="D249" s="35" t="str">
        <f>HYPERLINK(AB2 &amp; "/bottle/sn_d5c8ac8e5f26f975f7f7aae96deaf878/rendering/01.obj", "2.29614074707")</f>
        <v>2.29614074707</v>
      </c>
      <c r="E249" s="10" t="str">
        <f>HYPERLINK(AB2 &amp; "/bottle/sn_d5c8ac8e5f26f975f7f7aae96deaf878/rendering/02.obj", "2.30333526611")</f>
        <v>2.30333526611</v>
      </c>
      <c r="F249" s="66" t="str">
        <f>HYPERLINK(AB2 &amp; "/bottle/sn_d5c8ac8e5f26f975f7f7aae96deaf878/rendering/03.obj", "2.82817596436")</f>
        <v>2.82817596436</v>
      </c>
      <c r="G249" s="110" t="str">
        <f>HYPERLINK(AB2 &amp; "/bottle/sn_d5c8ac8e5f26f975f7f7aae96deaf878/rendering/04.obj", "2.20064071655")</f>
        <v>2.20064071655</v>
      </c>
      <c r="H249" s="93" t="str">
        <f>HYPERLINK(AB2 &amp; "/bottle/sn_d5c8ac8e5f26f975f7f7aae96deaf878/rendering/05.obj", "2.09516571045")</f>
        <v>2.09516571045</v>
      </c>
      <c r="I249" s="6" t="str">
        <f>HYPERLINK(AB2 &amp; "/bottle/sn_d5c8ac8e5f26f975f7f7aae96deaf878/rendering/06.obj", "2.55025054932")</f>
        <v>2.55025054932</v>
      </c>
      <c r="J249" s="74" t="str">
        <f>HYPERLINK(AB2 &amp; "/bottle/sn_d5c8ac8e5f26f975f7f7aae96deaf878/rendering/07.obj", "2.40107116699")</f>
        <v>2.40107116699</v>
      </c>
      <c r="K249" s="6" t="str">
        <f>HYPERLINK(AB2 &amp; "/bottle/sn_d5c8ac8e5f26f975f7f7aae96deaf878/rendering/08.obj", "2.3254107666")</f>
        <v>2.3254107666</v>
      </c>
      <c r="L249" s="72" t="str">
        <f>HYPERLINK(AB2 &amp; "/bottle/sn_d5c8ac8e5f26f975f7f7aae96deaf878/rendering/09.obj", "2.35434692383")</f>
        <v>2.35434692383</v>
      </c>
      <c r="M249" s="26" t="str">
        <f>HYPERLINK(AB2 &amp; "/bottle/sn_d5c8ac8e5f26f975f7f7aae96deaf878/rendering/10.obj", "2.5978112793")</f>
        <v>2.5978112793</v>
      </c>
      <c r="N249" s="76" t="str">
        <f>HYPERLINK(AB2 &amp; "/bottle/sn_d5c8ac8e5f26f975f7f7aae96deaf878/rendering/11.obj", "2.88823181152")</f>
        <v>2.88823181152</v>
      </c>
      <c r="O249" s="25" t="str">
        <f>HYPERLINK(AB2 &amp; "/bottle/sn_d5c8ac8e5f26f975f7f7aae96deaf878/rendering/12.obj", "2.46449295044")</f>
        <v>2.46449295044</v>
      </c>
      <c r="P249" s="39" t="str">
        <f>HYPERLINK(AB2 &amp; "/bottle/sn_d5c8ac8e5f26f975f7f7aae96deaf878/rendering/13.obj", "2.65091674805")</f>
        <v>2.65091674805</v>
      </c>
      <c r="Q249" s="40" t="str">
        <f>HYPERLINK(AB2 &amp; "/bottle/sn_d5c8ac8e5f26f975f7f7aae96deaf878/rendering/14.obj", "2.01829864502")</f>
        <v>2.01829864502</v>
      </c>
      <c r="R249" s="72" t="str">
        <f>HYPERLINK(AB2 &amp; "/bottle/sn_d5c8ac8e5f26f975f7f7aae96deaf878/rendering/15.obj", "2.51453582764")</f>
        <v>2.51453582764</v>
      </c>
      <c r="S249" s="27" t="str">
        <f>HYPERLINK(AB2 &amp; "/bottle/sn_d5c8ac8e5f26f975f7f7aae96deaf878/rendering/16.obj", "2.6106262207")</f>
        <v>2.6106262207</v>
      </c>
      <c r="T249" s="25" t="str">
        <f>HYPERLINK(AB2 &amp; "/bottle/sn_d5c8ac8e5f26f975f7f7aae96deaf878/rendering/17.obj", "2.46400390625")</f>
        <v>2.46400390625</v>
      </c>
      <c r="U249" s="5" t="str">
        <f>HYPERLINK(AB2 &amp; "/bottle/sn_d5c8ac8e5f26f975f7f7aae96deaf878/rendering/18.obj", "2.25069915771")</f>
        <v>2.25069915771</v>
      </c>
      <c r="V249" s="117" t="str">
        <f>HYPERLINK(AB2 &amp; "/bottle/sn_d5c8ac8e5f26f975f7f7aae96deaf878/rendering/19.obj", "2.00677001953")</f>
        <v>2.00677001953</v>
      </c>
      <c r="W249" s="12" t="s">
        <v>31</v>
      </c>
      <c r="X249" s="13">
        <v>2.4379017181396478</v>
      </c>
      <c r="Y249" s="13">
        <v>0.2602812907731793</v>
      </c>
      <c r="Z249" s="33">
        <v>0.10676447242992169</v>
      </c>
    </row>
    <row r="250" spans="1:26" x14ac:dyDescent="0.2">
      <c r="A250" s="1">
        <v>248</v>
      </c>
      <c r="B250" s="2" t="s">
        <v>82</v>
      </c>
      <c r="C250" s="30" t="str">
        <f>HYPERLINK(AB2 &amp; "/bottle/sn_d5c8ac8e5f26f975f7f7aae96deaf878/rendering/00.obj", "1.76619005203")</f>
        <v>1.76619005203</v>
      </c>
      <c r="D250" s="93" t="str">
        <f>HYPERLINK(AB2 &amp; "/bottle/sn_d5c8ac8e5f26f975f7f7aae96deaf878/rendering/01.obj", "1.50966358185")</f>
        <v>1.50966358185</v>
      </c>
      <c r="E250" s="83" t="str">
        <f>HYPERLINK(AB2 &amp; "/bottle/sn_d5c8ac8e5f26f975f7f7aae96deaf878/rendering/02.obj", "1.48628354073")</f>
        <v>1.48628354073</v>
      </c>
      <c r="F250" s="110" t="str">
        <f>HYPERLINK(AB2 &amp; "/bottle/sn_d5c8ac8e5f26f975f7f7aae96deaf878/rendering/03.obj", "1.9310375452")</f>
        <v>1.9310375452</v>
      </c>
      <c r="G250" s="31" t="str">
        <f>HYPERLINK(AB2 &amp; "/bottle/sn_d5c8ac8e5f26f975f7f7aae96deaf878/rendering/04.obj", "1.4859162569")</f>
        <v>1.4859162569</v>
      </c>
      <c r="H250" s="78" t="str">
        <f>HYPERLINK(AB2 &amp; "/bottle/sn_d5c8ac8e5f26f975f7f7aae96deaf878/rendering/05.obj", "1.64791369438")</f>
        <v>1.64791369438</v>
      </c>
      <c r="I250" s="93" t="str">
        <f>HYPERLINK(AB2 &amp; "/bottle/sn_d5c8ac8e5f26f975f7f7aae96deaf878/rendering/06.obj", "1.99947345257")</f>
        <v>1.99947345257</v>
      </c>
      <c r="J250" s="83" t="str">
        <f>HYPERLINK(AB2 &amp; "/bottle/sn_d5c8ac8e5f26f975f7f7aae96deaf878/rendering/07.obj", "2.02529382706")</f>
        <v>2.02529382706</v>
      </c>
      <c r="K250" s="28" t="str">
        <f>HYPERLINK(AB2 &amp; "/bottle/sn_d5c8ac8e5f26f975f7f7aae96deaf878/rendering/08.obj", "1.55982303619")</f>
        <v>1.55982303619</v>
      </c>
      <c r="L250" s="60" t="str">
        <f>HYPERLINK(AB2 &amp; "/bottle/sn_d5c8ac8e5f26f975f7f7aae96deaf878/rendering/09.obj", "1.66341245174")</f>
        <v>1.66341245174</v>
      </c>
      <c r="M250" s="133" t="str">
        <f>HYPERLINK(AB2 &amp; "/bottle/sn_d5c8ac8e5f26f975f7f7aae96deaf878/rendering/10.obj", "1.93240714073")</f>
        <v>1.93240714073</v>
      </c>
      <c r="N250" s="58" t="str">
        <f>HYPERLINK(AB2 &amp; "/bottle/sn_d5c8ac8e5f26f975f7f7aae96deaf878/rendering/11.obj", "2.18490028381")</f>
        <v>2.18490028381</v>
      </c>
      <c r="O250" s="39" t="str">
        <f>HYPERLINK(AB2 &amp; "/bottle/sn_d5c8ac8e5f26f975f7f7aae96deaf878/rendering/12.obj", "1.60651278496")</f>
        <v>1.60651278496</v>
      </c>
      <c r="P250" s="90" t="str">
        <f>HYPERLINK(AB2 &amp; "/bottle/sn_d5c8ac8e5f26f975f7f7aae96deaf878/rendering/13.obj", "1.92290425301")</f>
        <v>1.92290425301</v>
      </c>
      <c r="Q250" s="67" t="str">
        <f>HYPERLINK(AB2 &amp; "/bottle/sn_d5c8ac8e5f26f975f7f7aae96deaf878/rendering/14.obj", "1.59216427803")</f>
        <v>1.59216427803</v>
      </c>
      <c r="R250" s="23" t="str">
        <f>HYPERLINK(AB2 &amp; "/bottle/sn_d5c8ac8e5f26f975f7f7aae96deaf878/rendering/15.obj", "1.82394790649")</f>
        <v>1.82394790649</v>
      </c>
      <c r="S250" s="35" t="str">
        <f>HYPERLINK(AB2 &amp; "/bottle/sn_d5c8ac8e5f26f975f7f7aae96deaf878/rendering/16.obj", "1.86064004898")</f>
        <v>1.86064004898</v>
      </c>
      <c r="T250" s="68" t="str">
        <f>HYPERLINK(AB2 &amp; "/bottle/sn_d5c8ac8e5f26f975f7f7aae96deaf878/rendering/17.obj", "1.82830405235")</f>
        <v>1.82830405235</v>
      </c>
      <c r="U250" s="32" t="str">
        <f>HYPERLINK(AB2 &amp; "/bottle/sn_d5c8ac8e5f26f975f7f7aae96deaf878/rendering/18.obj", "1.57149863243")</f>
        <v>1.57149863243</v>
      </c>
      <c r="V250" s="17" t="str">
        <f>HYPERLINK(AB2 &amp; "/bottle/sn_d5c8ac8e5f26f975f7f7aae96deaf878/rendering/19.obj", "1.7225073576")</f>
        <v>1.7225073576</v>
      </c>
      <c r="W250" s="12" t="s">
        <v>32</v>
      </c>
      <c r="X250" s="13">
        <v>1.7560397088527679</v>
      </c>
      <c r="Y250" s="13">
        <v>0.19694315763396411</v>
      </c>
      <c r="Z250" s="28">
        <v>0.11215188166936629</v>
      </c>
    </row>
    <row r="251" spans="1:26" x14ac:dyDescent="0.2">
      <c r="A251" s="1">
        <v>249</v>
      </c>
      <c r="B251" s="2" t="s">
        <v>82</v>
      </c>
      <c r="C251" s="13" t="str">
        <f>HYPERLINK(AC2 &amp; "/bottle/sn_d5c8ac8e5f26f975f7f7aae96deaf878/rendering/00.xyz", "0.0")</f>
        <v>0.0</v>
      </c>
      <c r="D251" s="13" t="str">
        <f>HYPERLINK(AC2 &amp; "/bottle/sn_d5c8ac8e5f26f975f7f7aae96deaf878/rendering/01.xyz", "0.0")</f>
        <v>0.0</v>
      </c>
      <c r="E251" s="13" t="str">
        <f>HYPERLINK(AC2 &amp; "/bottle/sn_d5c8ac8e5f26f975f7f7aae96deaf878/rendering/02.xyz", "0.0")</f>
        <v>0.0</v>
      </c>
      <c r="F251" s="13" t="str">
        <f>HYPERLINK(AC2 &amp; "/bottle/sn_d5c8ac8e5f26f975f7f7aae96deaf878/rendering/03.xyz", "0.0")</f>
        <v>0.0</v>
      </c>
      <c r="G251" s="13" t="str">
        <f>HYPERLINK(AC2 &amp; "/bottle/sn_d5c8ac8e5f26f975f7f7aae96deaf878/rendering/04.xyz", "0.0")</f>
        <v>0.0</v>
      </c>
      <c r="H251" s="13" t="str">
        <f>HYPERLINK(AC2 &amp; "/bottle/sn_d5c8ac8e5f26f975f7f7aae96deaf878/rendering/05.xyz", "0.0")</f>
        <v>0.0</v>
      </c>
      <c r="I251" s="13" t="str">
        <f>HYPERLINK(AC2 &amp; "/bottle/sn_d5c8ac8e5f26f975f7f7aae96deaf878/rendering/06.xyz", "0.0")</f>
        <v>0.0</v>
      </c>
      <c r="J251" s="13" t="str">
        <f>HYPERLINK(AC2 &amp; "/bottle/sn_d5c8ac8e5f26f975f7f7aae96deaf878/rendering/07.xyz", "0.0")</f>
        <v>0.0</v>
      </c>
      <c r="K251" s="13" t="str">
        <f>HYPERLINK(AC2 &amp; "/bottle/sn_d5c8ac8e5f26f975f7f7aae96deaf878/rendering/08.xyz", "0.0")</f>
        <v>0.0</v>
      </c>
      <c r="L251" s="13" t="str">
        <f>HYPERLINK(AC2 &amp; "/bottle/sn_d5c8ac8e5f26f975f7f7aae96deaf878/rendering/09.xyz", "0.0")</f>
        <v>0.0</v>
      </c>
      <c r="M251" s="13" t="str">
        <f>HYPERLINK(AC2 &amp; "/bottle/sn_d5c8ac8e5f26f975f7f7aae96deaf878/rendering/10.xyz", "0.0")</f>
        <v>0.0</v>
      </c>
      <c r="N251" s="13" t="str">
        <f>HYPERLINK(AC2 &amp; "/bottle/sn_d5c8ac8e5f26f975f7f7aae96deaf878/rendering/11.xyz", "0.0")</f>
        <v>0.0</v>
      </c>
      <c r="O251" s="13" t="str">
        <f>HYPERLINK(AC2 &amp; "/bottle/sn_d5c8ac8e5f26f975f7f7aae96deaf878/rendering/12.xyz", "0.0")</f>
        <v>0.0</v>
      </c>
      <c r="P251" s="13" t="str">
        <f>HYPERLINK(AC2 &amp; "/bottle/sn_d5c8ac8e5f26f975f7f7aae96deaf878/rendering/13.xyz", "0.0")</f>
        <v>0.0</v>
      </c>
      <c r="Q251" s="13" t="str">
        <f>HYPERLINK(AC2 &amp; "/bottle/sn_d5c8ac8e5f26f975f7f7aae96deaf878/rendering/14.xyz", "0.0")</f>
        <v>0.0</v>
      </c>
      <c r="R251" s="13" t="str">
        <f>HYPERLINK(AC2 &amp; "/bottle/sn_d5c8ac8e5f26f975f7f7aae96deaf878/rendering/15.xyz", "0.0")</f>
        <v>0.0</v>
      </c>
      <c r="S251" s="13" t="str">
        <f>HYPERLINK(AC2 &amp; "/bottle/sn_d5c8ac8e5f26f975f7f7aae96deaf878/rendering/16.xyz", "0.0")</f>
        <v>0.0</v>
      </c>
      <c r="T251" s="13" t="str">
        <f>HYPERLINK(AC2 &amp; "/bottle/sn_d5c8ac8e5f26f975f7f7aae96deaf878/rendering/17.xyz", "0.0")</f>
        <v>0.0</v>
      </c>
      <c r="U251" s="13" t="str">
        <f>HYPERLINK(AC2 &amp; "/bottle/sn_d5c8ac8e5f26f975f7f7aae96deaf878/rendering/18.xyz", "0.0")</f>
        <v>0.0</v>
      </c>
      <c r="V251" s="13" t="str">
        <f>HYPERLINK(AC2 &amp; "/bottle/sn_d5c8ac8e5f26f975f7f7aae96deaf878/rendering/19.xyz", "0.0")</f>
        <v>0.0</v>
      </c>
      <c r="W251" s="12" t="s">
        <v>33</v>
      </c>
      <c r="X251" s="13">
        <v>0</v>
      </c>
      <c r="Y251" s="13">
        <v>0</v>
      </c>
      <c r="Z251" s="13">
        <v>0</v>
      </c>
    </row>
    <row r="252" spans="1:26" x14ac:dyDescent="0.2">
      <c r="A252" s="1">
        <v>250</v>
      </c>
      <c r="B252" s="2" t="s">
        <v>83</v>
      </c>
      <c r="C252" s="44" t="str">
        <f>HYPERLINK(AA2 &amp; "/bottle/sn_d5dd0b4d16d2b6808bda158eedb63a62/rendering/00.obj", "3.71700256348")</f>
        <v>3.71700256348</v>
      </c>
      <c r="D252" s="166" t="str">
        <f>HYPERLINK(AA2 &amp; "/bottle/sn_d5dd0b4d16d2b6808bda158eedb63a62/rendering/01.obj", "3.28868591309")</f>
        <v>3.28868591309</v>
      </c>
      <c r="E252" s="192" t="str">
        <f>HYPERLINK(AA2 &amp; "/bottle/sn_d5dd0b4d16d2b6808bda158eedb63a62/rendering/02.obj", "2.90312225342")</f>
        <v>2.90312225342</v>
      </c>
      <c r="F252" s="98" t="str">
        <f>HYPERLINK(AA2 &amp; "/bottle/sn_d5dd0b4d16d2b6808bda158eedb63a62/rendering/03.obj", "3.54935699463")</f>
        <v>3.54935699463</v>
      </c>
      <c r="G252" s="84" t="str">
        <f>HYPERLINK(AA2 &amp; "/bottle/sn_d5dd0b4d16d2b6808bda158eedb63a62/rendering/04.obj", "3.9412512207")</f>
        <v>3.9412512207</v>
      </c>
      <c r="H252" s="65" t="str">
        <f>HYPERLINK(AA2 &amp; "/bottle/sn_d5dd0b4d16d2b6808bda158eedb63a62/rendering/05.obj", "5.23735778809")</f>
        <v>5.23735778809</v>
      </c>
      <c r="I252" s="118" t="str">
        <f>HYPERLINK(AA2 &amp; "/bottle/sn_d5dd0b4d16d2b6808bda158eedb63a62/rendering/06.obj", "3.2679486084")</f>
        <v>3.2679486084</v>
      </c>
      <c r="J252" s="118" t="str">
        <f>HYPERLINK(AA2 &amp; "/bottle/sn_d5dd0b4d16d2b6808bda158eedb63a62/rendering/07.obj", "3.26570922852")</f>
        <v>3.26570922852</v>
      </c>
      <c r="K252" s="20" t="str">
        <f>HYPERLINK(AA2 &amp; "/bottle/sn_d5dd0b4d16d2b6808bda158eedb63a62/rendering/08.obj", "11.0188549805")</f>
        <v>11.0188549805</v>
      </c>
      <c r="L252" s="36" t="str">
        <f>HYPERLINK(AA2 &amp; "/bottle/sn_d5dd0b4d16d2b6808bda158eedb63a62/rendering/09.obj", "3.62277801514")</f>
        <v>3.62277801514</v>
      </c>
      <c r="M252" s="20" t="str">
        <f>HYPERLINK(AA2 &amp; "/bottle/sn_d5dd0b4d16d2b6808bda158eedb63a62/rendering/10.obj", "11.8055883789")</f>
        <v>11.8055883789</v>
      </c>
      <c r="N252" s="85" t="str">
        <f>HYPERLINK(AA2 &amp; "/bottle/sn_d5dd0b4d16d2b6808bda158eedb63a62/rendering/11.obj", "5.99259887695")</f>
        <v>5.99259887695</v>
      </c>
      <c r="O252" s="59" t="str">
        <f>HYPERLINK(AA2 &amp; "/bottle/sn_d5dd0b4d16d2b6808bda158eedb63a62/rendering/12.obj", "3.51178161621")</f>
        <v>3.51178161621</v>
      </c>
      <c r="P252" s="86" t="str">
        <f>HYPERLINK(AA2 &amp; "/bottle/sn_d5dd0b4d16d2b6808bda158eedb63a62/rendering/13.obj", "3.37664031982")</f>
        <v>3.37664031982</v>
      </c>
      <c r="Q252" s="119" t="str">
        <f>HYPERLINK(AA2 &amp; "/bottle/sn_d5dd0b4d16d2b6808bda158eedb63a62/rendering/14.obj", "3.3990222168")</f>
        <v>3.3990222168</v>
      </c>
      <c r="R252" s="81" t="str">
        <f>HYPERLINK(AA2 &amp; "/bottle/sn_d5dd0b4d16d2b6808bda158eedb63a62/rendering/15.obj", "3.61554931641")</f>
        <v>3.61554931641</v>
      </c>
      <c r="S252" s="83" t="str">
        <f>HYPERLINK(AA2 &amp; "/bottle/sn_d5dd0b4d16d2b6808bda158eedb63a62/rendering/16.obj", "3.92028076172")</f>
        <v>3.92028076172</v>
      </c>
      <c r="T252" s="77" t="str">
        <f>HYPERLINK(AA2 &amp; "/bottle/sn_d5dd0b4d16d2b6808bda158eedb63a62/rendering/17.obj", "3.76139312744")</f>
        <v>3.76139312744</v>
      </c>
      <c r="U252" s="107" t="str">
        <f>HYPERLINK(AA2 &amp; "/bottle/sn_d5dd0b4d16d2b6808bda158eedb63a62/rendering/18.obj", "5.00534057617")</f>
        <v>5.00534057617</v>
      </c>
      <c r="V252" s="38" t="str">
        <f>HYPERLINK(AA2 &amp; "/bottle/sn_d5dd0b4d16d2b6808bda158eedb63a62/rendering/19.obj", "4.21076599121")</f>
        <v>4.21076599121</v>
      </c>
      <c r="W252" s="12" t="s">
        <v>29</v>
      </c>
      <c r="X252" s="13">
        <v>4.6205514373779293</v>
      </c>
      <c r="Y252" s="13">
        <v>2.38179338649176</v>
      </c>
      <c r="Z252" s="218">
        <v>0.5154781672213955</v>
      </c>
    </row>
    <row r="253" spans="1:26" x14ac:dyDescent="0.2">
      <c r="A253" s="1">
        <v>251</v>
      </c>
      <c r="B253" s="2" t="s">
        <v>83</v>
      </c>
      <c r="C253" s="44" t="str">
        <f>HYPERLINK(AA2 &amp; "/bottle/sn_d5dd0b4d16d2b6808bda158eedb63a62/rendering/00.obj", "6.37924051285")</f>
        <v>6.37924051285</v>
      </c>
      <c r="D253" s="75" t="str">
        <f>HYPERLINK(AA2 &amp; "/bottle/sn_d5dd0b4d16d2b6808bda158eedb63a62/rendering/01.obj", "6.17748975754")</f>
        <v>6.17748975754</v>
      </c>
      <c r="E253" s="36" t="str">
        <f>HYPERLINK(AA2 &amp; "/bottle/sn_d5dd0b4d16d2b6808bda158eedb63a62/rendering/02.obj", "6.23688650131")</f>
        <v>6.23688650131</v>
      </c>
      <c r="F253" s="49" t="str">
        <f>HYPERLINK(AA2 &amp; "/bottle/sn_d5dd0b4d16d2b6808bda158eedb63a62/rendering/03.obj", "6.27811336517")</f>
        <v>6.27811336517</v>
      </c>
      <c r="G253" s="40" t="str">
        <f>HYPERLINK(AA2 &amp; "/bottle/sn_d5dd0b4d16d2b6808bda158eedb63a62/rendering/04.obj", "6.59414243698")</f>
        <v>6.59414243698</v>
      </c>
      <c r="H253" s="5" t="str">
        <f>HYPERLINK(AA2 &amp; "/bottle/sn_d5dd0b4d16d2b6808bda158eedb63a62/rendering/05.obj", "7.33503675461")</f>
        <v>7.33503675461</v>
      </c>
      <c r="I253" s="55" t="str">
        <f>HYPERLINK(AA2 &amp; "/bottle/sn_d5dd0b4d16d2b6808bda158eedb63a62/rendering/06.obj", "6.4150929451")</f>
        <v>6.4150929451</v>
      </c>
      <c r="J253" s="55" t="str">
        <f>HYPERLINK(AA2 &amp; "/bottle/sn_d5dd0b4d16d2b6808bda158eedb63a62/rendering/07.obj", "6.39621734619")</f>
        <v>6.39621734619</v>
      </c>
      <c r="K253" s="20" t="str">
        <f>HYPERLINK(AA2 &amp; "/bottle/sn_d5dd0b4d16d2b6808bda158eedb63a62/rendering/08.obj", "16.9210186005")</f>
        <v>16.9210186005</v>
      </c>
      <c r="L253" s="39" t="str">
        <f>HYPERLINK(AA2 &amp; "/bottle/sn_d5dd0b4d16d2b6808bda158eedb63a62/rendering/09.obj", "7.2467045784")</f>
        <v>7.2467045784</v>
      </c>
      <c r="M253" s="20" t="str">
        <f>HYPERLINK(AA2 &amp; "/bottle/sn_d5dd0b4d16d2b6808bda158eedb63a62/rendering/10.obj", "19.3793392181")</f>
        <v>19.3793392181</v>
      </c>
      <c r="N253" s="109" t="str">
        <f>HYPERLINK(AA2 &amp; "/bottle/sn_d5dd0b4d16d2b6808bda158eedb63a62/rendering/11.obj", "9.43958759308")</f>
        <v>9.43958759308</v>
      </c>
      <c r="O253" s="49" t="str">
        <f>HYPERLINK(AA2 &amp; "/bottle/sn_d5dd0b4d16d2b6808bda158eedb63a62/rendering/12.obj", "6.2777967453")</f>
        <v>6.2777967453</v>
      </c>
      <c r="P253" s="11" t="str">
        <f>HYPERLINK(AA2 &amp; "/bottle/sn_d5dd0b4d16d2b6808bda158eedb63a62/rendering/13.obj", "6.15355348587")</f>
        <v>6.15355348587</v>
      </c>
      <c r="Q253" s="88" t="str">
        <f>HYPERLINK(AA2 &amp; "/bottle/sn_d5dd0b4d16d2b6808bda158eedb63a62/rendering/14.obj", "6.32283878326")</f>
        <v>6.32283878326</v>
      </c>
      <c r="R253" s="49" t="str">
        <f>HYPERLINK(AA2 &amp; "/bottle/sn_d5dd0b4d16d2b6808bda158eedb63a62/rendering/15.obj", "6.27176856995")</f>
        <v>6.27176856995</v>
      </c>
      <c r="S253" s="44" t="str">
        <f>HYPERLINK(AA2 &amp; "/bottle/sn_d5dd0b4d16d2b6808bda158eedb63a62/rendering/16.obj", "6.39044332504")</f>
        <v>6.39044332504</v>
      </c>
      <c r="T253" s="44" t="str">
        <f>HYPERLINK(AA2 &amp; "/bottle/sn_d5dd0b4d16d2b6808bda158eedb63a62/rendering/17.obj", "6.37733411789")</f>
        <v>6.37733411789</v>
      </c>
      <c r="U253" s="91" t="str">
        <f>HYPERLINK(AA2 &amp; "/bottle/sn_d5dd0b4d16d2b6808bda158eedb63a62/rendering/18.obj", "8.14862728119")</f>
        <v>8.14862728119</v>
      </c>
      <c r="V253" s="74" t="str">
        <f>HYPERLINK(AA2 &amp; "/bottle/sn_d5dd0b4d16d2b6808bda158eedb63a62/rendering/19.obj", "8.04526519775")</f>
        <v>8.04526519775</v>
      </c>
      <c r="W253" s="12" t="s">
        <v>30</v>
      </c>
      <c r="X253" s="13">
        <v>7.9393248558044434</v>
      </c>
      <c r="Y253" s="13">
        <v>3.525532286150344</v>
      </c>
      <c r="Z253" s="181">
        <v>0.44405945721856022</v>
      </c>
    </row>
    <row r="254" spans="1:26" x14ac:dyDescent="0.2">
      <c r="A254" s="1">
        <v>252</v>
      </c>
      <c r="B254" s="2" t="s">
        <v>83</v>
      </c>
      <c r="C254" s="94" t="str">
        <f>HYPERLINK(AB2 &amp; "/bottle/sn_d5dd0b4d16d2b6808bda158eedb63a62/rendering/00.obj", "3.08926330566")</f>
        <v>3.08926330566</v>
      </c>
      <c r="D254" s="94" t="str">
        <f>HYPERLINK(AB2 &amp; "/bottle/sn_d5dd0b4d16d2b6808bda158eedb63a62/rendering/01.obj", "3.58121429443")</f>
        <v>3.58121429443</v>
      </c>
      <c r="E254" s="13" t="str">
        <f>HYPERLINK(AB2 &amp; "/bottle/sn_d5dd0b4d16d2b6808bda158eedb63a62/rendering/02.obj", "3.33546264648")</f>
        <v>3.33546264648</v>
      </c>
      <c r="F254" s="17" t="str">
        <f>HYPERLINK(AB2 &amp; "/bottle/sn_d5dd0b4d16d2b6808bda158eedb63a62/rendering/03.obj", "3.40978210449")</f>
        <v>3.40978210449</v>
      </c>
      <c r="G254" s="32" t="str">
        <f>HYPERLINK(AB2 &amp; "/bottle/sn_d5dd0b4d16d2b6808bda158eedb63a62/rendering/04.obj", "2.98668518066")</f>
        <v>2.98668518066</v>
      </c>
      <c r="H254" s="91" t="str">
        <f>HYPERLINK(AB2 &amp; "/bottle/sn_d5dd0b4d16d2b6808bda158eedb63a62/rendering/05.obj", "3.43086608887")</f>
        <v>3.43086608887</v>
      </c>
      <c r="I254" s="69" t="str">
        <f>HYPERLINK(AB2 &amp; "/bottle/sn_d5dd0b4d16d2b6808bda158eedb63a62/rendering/06.obj", "3.23496307373")</f>
        <v>3.23496307373</v>
      </c>
      <c r="J254" s="68" t="str">
        <f>HYPERLINK(AB2 &amp; "/bottle/sn_d5dd0b4d16d2b6808bda158eedb63a62/rendering/07.obj", "3.19721923828")</f>
        <v>3.19721923828</v>
      </c>
      <c r="K254" s="17" t="str">
        <f>HYPERLINK(AB2 &amp; "/bottle/sn_d5dd0b4d16d2b6808bda158eedb63a62/rendering/08.obj", "3.40544067383")</f>
        <v>3.40544067383</v>
      </c>
      <c r="L254" s="60" t="str">
        <f>HYPERLINK(AB2 &amp; "/bottle/sn_d5dd0b4d16d2b6808bda158eedb63a62/rendering/09.obj", "3.51547485352")</f>
        <v>3.51547485352</v>
      </c>
      <c r="M254" s="13" t="str">
        <f>HYPERLINK(AB2 &amp; "/bottle/sn_d5dd0b4d16d2b6808bda158eedb63a62/rendering/10.obj", "3.33442901611")</f>
        <v>3.33442901611</v>
      </c>
      <c r="N254" s="13" t="str">
        <f>HYPERLINK(AB2 &amp; "/bottle/sn_d5dd0b4d16d2b6808bda158eedb63a62/rendering/11.obj", "3.33612976074")</f>
        <v>3.33612976074</v>
      </c>
      <c r="O254" s="42" t="str">
        <f>HYPERLINK(AB2 &amp; "/bottle/sn_d5dd0b4d16d2b6808bda158eedb63a62/rendering/12.obj", "2.88331329346")</f>
        <v>2.88331329346</v>
      </c>
      <c r="P254" s="23" t="str">
        <f>HYPERLINK(AB2 &amp; "/bottle/sn_d5dd0b4d16d2b6808bda158eedb63a62/rendering/13.obj", "3.21043792725")</f>
        <v>3.21043792725</v>
      </c>
      <c r="Q254" s="38" t="str">
        <f>HYPERLINK(AB2 &amp; "/bottle/sn_d5dd0b4d16d2b6808bda158eedb63a62/rendering/14.obj", "3.64027374268")</f>
        <v>3.64027374268</v>
      </c>
      <c r="R254" s="46" t="str">
        <f>HYPERLINK(AB2 &amp; "/bottle/sn_d5dd0b4d16d2b6808bda158eedb63a62/rendering/15.obj", "3.39347351074")</f>
        <v>3.39347351074</v>
      </c>
      <c r="S254" s="69" t="str">
        <f>HYPERLINK(AB2 &amp; "/bottle/sn_d5dd0b4d16d2b6808bda158eedb63a62/rendering/16.obj", "3.23838623047")</f>
        <v>3.23838623047</v>
      </c>
      <c r="T254" s="69" t="str">
        <f>HYPERLINK(AB2 &amp; "/bottle/sn_d5dd0b4d16d2b6808bda158eedb63a62/rendering/17.obj", "3.4423236084")</f>
        <v>3.4423236084</v>
      </c>
      <c r="U254" s="70" t="str">
        <f>HYPERLINK(AB2 &amp; "/bottle/sn_d5dd0b4d16d2b6808bda158eedb63a62/rendering/18.obj", "3.76321044922")</f>
        <v>3.76321044922</v>
      </c>
      <c r="V254" s="30" t="str">
        <f>HYPERLINK(AB2 &amp; "/bottle/sn_d5dd0b4d16d2b6808bda158eedb63a62/rendering/19.obj", "3.35453491211")</f>
        <v>3.35453491211</v>
      </c>
      <c r="W254" s="12" t="s">
        <v>31</v>
      </c>
      <c r="X254" s="13">
        <v>3.3391441955566412</v>
      </c>
      <c r="Y254" s="13">
        <v>0.20543154334038849</v>
      </c>
      <c r="Z254" s="78">
        <v>6.1522213869575869E-2</v>
      </c>
    </row>
    <row r="255" spans="1:26" x14ac:dyDescent="0.2">
      <c r="A255" s="1">
        <v>253</v>
      </c>
      <c r="B255" s="2" t="s">
        <v>83</v>
      </c>
      <c r="C255" s="10" t="str">
        <f>HYPERLINK(AB2 &amp; "/bottle/sn_d5dd0b4d16d2b6808bda158eedb63a62/rendering/00.obj", "5.93035411835")</f>
        <v>5.93035411835</v>
      </c>
      <c r="D255" s="91" t="str">
        <f>HYPERLINK(AB2 &amp; "/bottle/sn_d5dd0b4d16d2b6808bda158eedb63a62/rendering/01.obj", "6.09744739532")</f>
        <v>6.09744739532</v>
      </c>
      <c r="E255" s="69" t="str">
        <f>HYPERLINK(AB2 &amp; "/bottle/sn_d5dd0b4d16d2b6808bda158eedb63a62/rendering/02.obj", "6.07763576508")</f>
        <v>6.07763576508</v>
      </c>
      <c r="F255" s="17" t="str">
        <f>HYPERLINK(AB2 &amp; "/bottle/sn_d5dd0b4d16d2b6808bda158eedb63a62/rendering/03.obj", "6.40088129044")</f>
        <v>6.40088129044</v>
      </c>
      <c r="G255" s="10" t="str">
        <f>HYPERLINK(AB2 &amp; "/bottle/sn_d5dd0b4d16d2b6808bda158eedb63a62/rendering/04.obj", "5.93849277496")</f>
        <v>5.93849277496</v>
      </c>
      <c r="H255" s="74" t="str">
        <f>HYPERLINK(AB2 &amp; "/bottle/sn_d5dd0b4d16d2b6808bda158eedb63a62/rendering/05.obj", "6.36963796616")</f>
        <v>6.36963796616</v>
      </c>
      <c r="I255" s="68" t="str">
        <f>HYPERLINK(AB2 &amp; "/bottle/sn_d5dd0b4d16d2b6808bda158eedb63a62/rendering/06.obj", "5.99895572662")</f>
        <v>5.99895572662</v>
      </c>
      <c r="J255" s="41" t="str">
        <f>HYPERLINK(AB2 &amp; "/bottle/sn_d5dd0b4d16d2b6808bda158eedb63a62/rendering/07.obj", "5.84401416779")</f>
        <v>5.84401416779</v>
      </c>
      <c r="K255" s="72" t="str">
        <f>HYPERLINK(AB2 &amp; "/bottle/sn_d5dd0b4d16d2b6808bda158eedb63a62/rendering/08.obj", "6.07396364212")</f>
        <v>6.07396364212</v>
      </c>
      <c r="L255" s="38" t="str">
        <f>HYPERLINK(AB2 &amp; "/bottle/sn_d5dd0b4d16d2b6808bda158eedb63a62/rendering/09.obj", "6.83932733536")</f>
        <v>6.83932733536</v>
      </c>
      <c r="M255" s="48" t="str">
        <f>HYPERLINK(AB2 &amp; "/bottle/sn_d5dd0b4d16d2b6808bda158eedb63a62/rendering/10.obj", "6.41557455063")</f>
        <v>6.41557455063</v>
      </c>
      <c r="N255" s="48" t="str">
        <f>HYPERLINK(AB2 &amp; "/bottle/sn_d5dd0b4d16d2b6808bda158eedb63a62/rendering/11.obj", "6.42597818375")</f>
        <v>6.42597818375</v>
      </c>
      <c r="O255" s="133" t="str">
        <f>HYPERLINK(AB2 &amp; "/bottle/sn_d5dd0b4d16d2b6808bda158eedb63a62/rendering/12.obj", "5.63066244125")</f>
        <v>5.63066244125</v>
      </c>
      <c r="P255" s="68" t="str">
        <f>HYPERLINK(AB2 &amp; "/bottle/sn_d5dd0b4d16d2b6808bda158eedb63a62/rendering/13.obj", "6.00291872025")</f>
        <v>6.00291872025</v>
      </c>
      <c r="Q255" s="133" t="str">
        <f>HYPERLINK(AB2 &amp; "/bottle/sn_d5dd0b4d16d2b6808bda158eedb63a62/rendering/14.obj", "6.90533971786")</f>
        <v>6.90533971786</v>
      </c>
      <c r="R255" s="13" t="str">
        <f>HYPERLINK(AB2 &amp; "/bottle/sn_d5dd0b4d16d2b6808bda158eedb63a62/rendering/15.obj", "6.28753662109")</f>
        <v>6.28753662109</v>
      </c>
      <c r="S255" s="73" t="str">
        <f>HYPERLINK(AB2 &amp; "/bottle/sn_d5dd0b4d16d2b6808bda158eedb63a62/rendering/16.obj", "6.05550956726")</f>
        <v>6.05550956726</v>
      </c>
      <c r="T255" s="25" t="str">
        <f>HYPERLINK(AB2 &amp; "/bottle/sn_d5dd0b4d16d2b6808bda158eedb63a62/rendering/17.obj", "6.34731626511")</f>
        <v>6.34731626511</v>
      </c>
      <c r="U255" s="37" t="str">
        <f>HYPERLINK(AB2 &amp; "/bottle/sn_d5dd0b4d16d2b6808bda158eedb63a62/rendering/18.obj", "7.36201190948")</f>
        <v>7.36201190948</v>
      </c>
      <c r="V255" s="72" t="str">
        <f>HYPERLINK(AB2 &amp; "/bottle/sn_d5dd0b4d16d2b6808bda158eedb63a62/rendering/19.obj", "6.48511838913")</f>
        <v>6.48511838913</v>
      </c>
      <c r="W255" s="12" t="s">
        <v>32</v>
      </c>
      <c r="X255" s="13">
        <v>6.2744338274002072</v>
      </c>
      <c r="Y255" s="13">
        <v>0.39727270617050081</v>
      </c>
      <c r="Z255" s="26">
        <v>6.3316104225312961E-2</v>
      </c>
    </row>
    <row r="256" spans="1:26" x14ac:dyDescent="0.2">
      <c r="A256" s="1">
        <v>254</v>
      </c>
      <c r="B256" s="2" t="s">
        <v>83</v>
      </c>
      <c r="C256" s="13" t="str">
        <f>HYPERLINK(AC2 &amp; "/bottle/sn_d5dd0b4d16d2b6808bda158eedb63a62/rendering/00.xyz", "0.0")</f>
        <v>0.0</v>
      </c>
      <c r="D256" s="13" t="str">
        <f>HYPERLINK(AC2 &amp; "/bottle/sn_d5dd0b4d16d2b6808bda158eedb63a62/rendering/01.xyz", "0.0")</f>
        <v>0.0</v>
      </c>
      <c r="E256" s="13" t="str">
        <f>HYPERLINK(AC2 &amp; "/bottle/sn_d5dd0b4d16d2b6808bda158eedb63a62/rendering/02.xyz", "0.0")</f>
        <v>0.0</v>
      </c>
      <c r="F256" s="13" t="str">
        <f>HYPERLINK(AC2 &amp; "/bottle/sn_d5dd0b4d16d2b6808bda158eedb63a62/rendering/03.xyz", "0.0")</f>
        <v>0.0</v>
      </c>
      <c r="G256" s="13" t="str">
        <f>HYPERLINK(AC2 &amp; "/bottle/sn_d5dd0b4d16d2b6808bda158eedb63a62/rendering/04.xyz", "0.0")</f>
        <v>0.0</v>
      </c>
      <c r="H256" s="13" t="str">
        <f>HYPERLINK(AC2 &amp; "/bottle/sn_d5dd0b4d16d2b6808bda158eedb63a62/rendering/05.xyz", "0.0")</f>
        <v>0.0</v>
      </c>
      <c r="I256" s="13" t="str">
        <f>HYPERLINK(AC2 &amp; "/bottle/sn_d5dd0b4d16d2b6808bda158eedb63a62/rendering/06.xyz", "0.0")</f>
        <v>0.0</v>
      </c>
      <c r="J256" s="13" t="str">
        <f>HYPERLINK(AC2 &amp; "/bottle/sn_d5dd0b4d16d2b6808bda158eedb63a62/rendering/07.xyz", "0.0")</f>
        <v>0.0</v>
      </c>
      <c r="K256" s="13" t="str">
        <f>HYPERLINK(AC2 &amp; "/bottle/sn_d5dd0b4d16d2b6808bda158eedb63a62/rendering/08.xyz", "0.0")</f>
        <v>0.0</v>
      </c>
      <c r="L256" s="13" t="str">
        <f>HYPERLINK(AC2 &amp; "/bottle/sn_d5dd0b4d16d2b6808bda158eedb63a62/rendering/09.xyz", "0.0")</f>
        <v>0.0</v>
      </c>
      <c r="M256" s="13" t="str">
        <f>HYPERLINK(AC2 &amp; "/bottle/sn_d5dd0b4d16d2b6808bda158eedb63a62/rendering/10.xyz", "0.0")</f>
        <v>0.0</v>
      </c>
      <c r="N256" s="13" t="str">
        <f>HYPERLINK(AC2 &amp; "/bottle/sn_d5dd0b4d16d2b6808bda158eedb63a62/rendering/11.xyz", "0.0")</f>
        <v>0.0</v>
      </c>
      <c r="O256" s="13" t="str">
        <f>HYPERLINK(AC2 &amp; "/bottle/sn_d5dd0b4d16d2b6808bda158eedb63a62/rendering/12.xyz", "0.0")</f>
        <v>0.0</v>
      </c>
      <c r="P256" s="13" t="str">
        <f>HYPERLINK(AC2 &amp; "/bottle/sn_d5dd0b4d16d2b6808bda158eedb63a62/rendering/13.xyz", "0.0")</f>
        <v>0.0</v>
      </c>
      <c r="Q256" s="13" t="str">
        <f>HYPERLINK(AC2 &amp; "/bottle/sn_d5dd0b4d16d2b6808bda158eedb63a62/rendering/14.xyz", "0.0")</f>
        <v>0.0</v>
      </c>
      <c r="R256" s="13" t="str">
        <f>HYPERLINK(AC2 &amp; "/bottle/sn_d5dd0b4d16d2b6808bda158eedb63a62/rendering/15.xyz", "0.0")</f>
        <v>0.0</v>
      </c>
      <c r="S256" s="13" t="str">
        <f>HYPERLINK(AC2 &amp; "/bottle/sn_d5dd0b4d16d2b6808bda158eedb63a62/rendering/16.xyz", "0.0")</f>
        <v>0.0</v>
      </c>
      <c r="T256" s="13" t="str">
        <f>HYPERLINK(AC2 &amp; "/bottle/sn_d5dd0b4d16d2b6808bda158eedb63a62/rendering/17.xyz", "0.0")</f>
        <v>0.0</v>
      </c>
      <c r="U256" s="13" t="str">
        <f>HYPERLINK(AC2 &amp; "/bottle/sn_d5dd0b4d16d2b6808bda158eedb63a62/rendering/18.xyz", "0.0")</f>
        <v>0.0</v>
      </c>
      <c r="V256" s="13" t="str">
        <f>HYPERLINK(AC2 &amp; "/bottle/sn_d5dd0b4d16d2b6808bda158eedb63a62/rendering/19.xyz", "0.0")</f>
        <v>0.0</v>
      </c>
      <c r="W256" s="12" t="s">
        <v>33</v>
      </c>
      <c r="X256" s="13">
        <v>0</v>
      </c>
      <c r="Y256" s="13">
        <v>0</v>
      </c>
      <c r="Z256" s="13">
        <v>0</v>
      </c>
    </row>
    <row r="257" spans="1:26" x14ac:dyDescent="0.2">
      <c r="A257" s="1">
        <v>255</v>
      </c>
      <c r="B257" s="2" t="s">
        <v>84</v>
      </c>
      <c r="C257" s="22" t="str">
        <f>HYPERLINK(AA2 &amp; "/bottle/sn_d655a217ad7d8974ce60bdf271ddc452/rendering/00.obj", "6.17335205078")</f>
        <v>6.17335205078</v>
      </c>
      <c r="D257" s="117" t="str">
        <f>HYPERLINK(AA2 &amp; "/bottle/sn_d655a217ad7d8974ce60bdf271ddc452/rendering/01.obj", "3.33185119629")</f>
        <v>3.33185119629</v>
      </c>
      <c r="E257" s="20" t="str">
        <f>HYPERLINK(AA2 &amp; "/bottle/sn_d655a217ad7d8974ce60bdf271ddc452/rendering/02.obj", "7.95981567383")</f>
        <v>7.95981567383</v>
      </c>
      <c r="F257" s="83" t="str">
        <f>HYPERLINK(AA2 &amp; "/bottle/sn_d655a217ad7d8974ce60bdf271ddc452/rendering/03.obj", "3.43421081543")</f>
        <v>3.43421081543</v>
      </c>
      <c r="G257" s="76" t="str">
        <f>HYPERLINK(AA2 &amp; "/bottle/sn_d655a217ad7d8974ce60bdf271ddc452/rendering/04.obj", "3.31440368652")</f>
        <v>3.31440368652</v>
      </c>
      <c r="H257" s="19" t="str">
        <f>HYPERLINK(AA2 &amp; "/bottle/sn_d655a217ad7d8974ce60bdf271ddc452/rendering/05.obj", "2.99314086914")</f>
        <v>2.99314086914</v>
      </c>
      <c r="I257" s="35" t="str">
        <f>HYPERLINK(AA2 &amp; "/bottle/sn_d655a217ad7d8974ce60bdf271ddc452/rendering/06.obj", "4.28794433594")</f>
        <v>4.28794433594</v>
      </c>
      <c r="J257" s="74" t="str">
        <f>HYPERLINK(AA2 &amp; "/bottle/sn_d655a217ad7d8974ce60bdf271ddc452/rendering/07.obj", "4.10972351074")</f>
        <v>4.10972351074</v>
      </c>
      <c r="K257" s="40" t="str">
        <f>HYPERLINK(AA2 &amp; "/bottle/sn_d655a217ad7d8974ce60bdf271ddc452/rendering/08.obj", "3.35924438477")</f>
        <v>3.35924438477</v>
      </c>
      <c r="L257" s="75" t="str">
        <f>HYPERLINK(AA2 &amp; "/bottle/sn_d655a217ad7d8974ce60bdf271ddc452/rendering/09.obj", "3.16330413818")</f>
        <v>3.16330413818</v>
      </c>
      <c r="M257" s="193" t="str">
        <f>HYPERLINK(AA2 &amp; "/bottle/sn_d655a217ad7d8974ce60bdf271ddc452/rendering/10.obj", "2.71425354004")</f>
        <v>2.71425354004</v>
      </c>
      <c r="N257" s="8" t="str">
        <f>HYPERLINK(AA2 &amp; "/bottle/sn_d655a217ad7d8974ce60bdf271ddc452/rendering/11.obj", "3.4800100708")</f>
        <v>3.4800100708</v>
      </c>
      <c r="O257" s="23" t="str">
        <f>HYPERLINK(AA2 &amp; "/bottle/sn_d655a217ad7d8974ce60bdf271ddc452/rendering/12.obj", "3.89789764404")</f>
        <v>3.89789764404</v>
      </c>
      <c r="P257" s="20" t="str">
        <f>HYPERLINK(AA2 &amp; "/bottle/sn_d655a217ad7d8974ce60bdf271ddc452/rendering/13.obj", "7.39123596191")</f>
        <v>7.39123596191</v>
      </c>
      <c r="Q257" s="55" t="str">
        <f>HYPERLINK(AA2 &amp; "/bottle/sn_d655a217ad7d8974ce60bdf271ddc452/rendering/14.obj", "3.27928710938")</f>
        <v>3.27928710938</v>
      </c>
      <c r="R257" s="35" t="str">
        <f>HYPERLINK(AA2 &amp; "/bottle/sn_d655a217ad7d8974ce60bdf271ddc452/rendering/15.obj", "3.81923675537")</f>
        <v>3.81923675537</v>
      </c>
      <c r="S257" s="28" t="str">
        <f>HYPERLINK(AA2 &amp; "/bottle/sn_d655a217ad7d8974ce60bdf271ddc452/rendering/16.obj", "3.60803283691")</f>
        <v>3.60803283691</v>
      </c>
      <c r="T257" s="10" t="str">
        <f>HYPERLINK(AA2 &amp; "/bottle/sn_d655a217ad7d8974ce60bdf271ddc452/rendering/17.obj", "3.83334411621")</f>
        <v>3.83334411621</v>
      </c>
      <c r="U257" s="34" t="str">
        <f>HYPERLINK(AA2 &amp; "/bottle/sn_d655a217ad7d8974ce60bdf271ddc452/rendering/18.obj", "4.24933197021")</f>
        <v>4.24933197021</v>
      </c>
      <c r="V257" s="103" t="str">
        <f>HYPERLINK(AA2 &amp; "/bottle/sn_d655a217ad7d8974ce60bdf271ddc452/rendering/19.obj", "2.74177429199")</f>
        <v>2.74177429199</v>
      </c>
      <c r="W257" s="12" t="s">
        <v>29</v>
      </c>
      <c r="X257" s="13">
        <v>4.057069747924805</v>
      </c>
      <c r="Y257" s="13">
        <v>1.4072604572235301</v>
      </c>
      <c r="Z257" s="140">
        <v>0.34686622233777098</v>
      </c>
    </row>
    <row r="258" spans="1:26" x14ac:dyDescent="0.2">
      <c r="A258" s="1">
        <v>256</v>
      </c>
      <c r="B258" s="2" t="s">
        <v>84</v>
      </c>
      <c r="C258" s="20" t="str">
        <f>HYPERLINK(AA2 &amp; "/bottle/sn_d655a217ad7d8974ce60bdf271ddc452/rendering/00.obj", "8.69405841827")</f>
        <v>8.69405841827</v>
      </c>
      <c r="D258" s="96" t="str">
        <f>HYPERLINK(AA2 &amp; "/bottle/sn_d655a217ad7d8974ce60bdf271ddc452/rendering/01.obj", "2.91202497482")</f>
        <v>2.91202497482</v>
      </c>
      <c r="E258" s="20" t="str">
        <f>HYPERLINK(AA2 &amp; "/bottle/sn_d655a217ad7d8974ce60bdf271ddc452/rendering/02.obj", "11.5688323975")</f>
        <v>11.5688323975</v>
      </c>
      <c r="F258" s="185" t="str">
        <f>HYPERLINK(AA2 &amp; "/bottle/sn_d655a217ad7d8974ce60bdf271ddc452/rendering/03.obj", "3.01950883865")</f>
        <v>3.01950883865</v>
      </c>
      <c r="G258" s="65" t="str">
        <f>HYPERLINK(AA2 &amp; "/bottle/sn_d655a217ad7d8974ce60bdf271ddc452/rendering/04.obj", "3.96944904327")</f>
        <v>3.96944904327</v>
      </c>
      <c r="H258" s="138" t="str">
        <f>HYPERLINK(AA2 &amp; "/bottle/sn_d655a217ad7d8974ce60bdf271ddc452/rendering/05.obj", "3.02663660049")</f>
        <v>3.02663660049</v>
      </c>
      <c r="I258" s="119" t="str">
        <f>HYPERLINK(AA2 &amp; "/bottle/sn_d655a217ad7d8974ce60bdf271ddc452/rendering/06.obj", "5.77968168259")</f>
        <v>5.77968168259</v>
      </c>
      <c r="J258" s="65" t="str">
        <f>HYPERLINK(AA2 &amp; "/bottle/sn_d655a217ad7d8974ce60bdf271ddc452/rendering/07.obj", "3.95864629745")</f>
        <v>3.95864629745</v>
      </c>
      <c r="K258" s="41" t="str">
        <f>HYPERLINK(AA2 &amp; "/bottle/sn_d655a217ad7d8974ce60bdf271ddc452/rendering/08.obj", "4.8860912323")</f>
        <v>4.8860912323</v>
      </c>
      <c r="L258" s="153" t="str">
        <f>HYPERLINK(AA2 &amp; "/bottle/sn_d655a217ad7d8974ce60bdf271ddc452/rendering/09.obj", "2.93813633919")</f>
        <v>2.93813633919</v>
      </c>
      <c r="M258" s="203" t="str">
        <f>HYPERLINK(AA2 &amp; "/bottle/sn_d655a217ad7d8974ce60bdf271ddc452/rendering/10.obj", "2.44624066353")</f>
        <v>2.44624066353</v>
      </c>
      <c r="N258" s="63" t="str">
        <f>HYPERLINK(AA2 &amp; "/bottle/sn_d655a217ad7d8974ce60bdf271ddc452/rendering/11.obj", "4.02296352386")</f>
        <v>4.02296352386</v>
      </c>
      <c r="O258" s="95" t="str">
        <f>HYPERLINK(AA2 &amp; "/bottle/sn_d655a217ad7d8974ce60bdf271ddc452/rendering/12.obj", "3.29341459274")</f>
        <v>3.29341459274</v>
      </c>
      <c r="P258" s="20" t="str">
        <f>HYPERLINK(AA2 &amp; "/bottle/sn_d655a217ad7d8974ce60bdf271ddc452/rendering/13.obj", "9.66541385651")</f>
        <v>9.66541385651</v>
      </c>
      <c r="Q258" s="193" t="str">
        <f>HYPERLINK(AA2 &amp; "/bottle/sn_d655a217ad7d8974ce60bdf271ddc452/rendering/14.obj", "3.05528473854")</f>
        <v>3.05528473854</v>
      </c>
      <c r="R258" s="135" t="str">
        <f>HYPERLINK(AA2 &amp; "/bottle/sn_d655a217ad7d8974ce60bdf271ddc452/rendering/15.obj", "3.40440607071")</f>
        <v>3.40440607071</v>
      </c>
      <c r="S258" s="50" t="str">
        <f>HYPERLINK(AA2 &amp; "/bottle/sn_d655a217ad7d8974ce60bdf271ddc452/rendering/16.obj", "3.65780520439")</f>
        <v>3.65780520439</v>
      </c>
      <c r="T258" s="136" t="str">
        <f>HYPERLINK(AA2 &amp; "/bottle/sn_d655a217ad7d8974ce60bdf271ddc452/rendering/17.obj", "3.49257493019")</f>
        <v>3.49257493019</v>
      </c>
      <c r="U258" s="34" t="str">
        <f>HYPERLINK(AA2 &amp; "/bottle/sn_d655a217ad7d8974ce60bdf271ddc452/rendering/18.obj", "4.34638929367")</f>
        <v>4.34638929367</v>
      </c>
      <c r="V258" s="7" t="str">
        <f>HYPERLINK(AA2 &amp; "/bottle/sn_d655a217ad7d8974ce60bdf271ddc452/rendering/19.obj", "3.30236434937")</f>
        <v>3.30236434937</v>
      </c>
      <c r="W258" s="12" t="s">
        <v>30</v>
      </c>
      <c r="X258" s="13">
        <v>4.5719961524009696</v>
      </c>
      <c r="Y258" s="13">
        <v>2.4309697424577199</v>
      </c>
      <c r="Z258" s="228">
        <v>0.53170861510482759</v>
      </c>
    </row>
    <row r="259" spans="1:26" x14ac:dyDescent="0.2">
      <c r="A259" s="1">
        <v>257</v>
      </c>
      <c r="B259" s="2" t="s">
        <v>84</v>
      </c>
      <c r="C259" s="91" t="str">
        <f>HYPERLINK(AB2 &amp; "/bottle/sn_d655a217ad7d8974ce60bdf271ddc452/rendering/00.obj", "2.81702606201")</f>
        <v>2.81702606201</v>
      </c>
      <c r="D259" s="106" t="str">
        <f>HYPERLINK(AB2 &amp; "/bottle/sn_d655a217ad7d8974ce60bdf271ddc452/rendering/01.obj", "3.22368591309")</f>
        <v>3.22368591309</v>
      </c>
      <c r="E259" s="106" t="str">
        <f>HYPERLINK(AB2 &amp; "/bottle/sn_d655a217ad7d8974ce60bdf271ddc452/rendering/02.obj", "2.56722930908")</f>
        <v>2.56722930908</v>
      </c>
      <c r="F259" s="63" t="str">
        <f>HYPERLINK(AB2 &amp; "/bottle/sn_d655a217ad7d8974ce60bdf271ddc452/rendering/03.obj", "2.54840591431")</f>
        <v>2.54840591431</v>
      </c>
      <c r="G259" s="34" t="str">
        <f>HYPERLINK(AB2 &amp; "/bottle/sn_d655a217ad7d8974ce60bdf271ddc452/rendering/04.obj", "3.04014343262")</f>
        <v>3.04014343262</v>
      </c>
      <c r="H259" s="133" t="str">
        <f>HYPERLINK(AB2 &amp; "/bottle/sn_d655a217ad7d8974ce60bdf271ddc452/rendering/05.obj", "2.60333374023")</f>
        <v>2.60333374023</v>
      </c>
      <c r="I259" s="6" t="str">
        <f>HYPERLINK(AB2 &amp; "/bottle/sn_d655a217ad7d8974ce60bdf271ddc452/rendering/06.obj", "3.02986663818")</f>
        <v>3.02986663818</v>
      </c>
      <c r="J259" s="41" t="str">
        <f>HYPERLINK(AB2 &amp; "/bottle/sn_d655a217ad7d8974ce60bdf271ddc452/rendering/07.obj", "2.69898468018")</f>
        <v>2.69898468018</v>
      </c>
      <c r="K259" s="13" t="str">
        <f>HYPERLINK(AB2 &amp; "/bottle/sn_d655a217ad7d8974ce60bdf271ddc452/rendering/08.obj", "2.90557617187")</f>
        <v>2.90557617187</v>
      </c>
      <c r="L259" s="27" t="str">
        <f>HYPERLINK(AB2 &amp; "/bottle/sn_d655a217ad7d8974ce60bdf271ddc452/rendering/09.obj", "3.1024105835")</f>
        <v>3.1024105835</v>
      </c>
      <c r="M259" s="74" t="str">
        <f>HYPERLINK(AB2 &amp; "/bottle/sn_d655a217ad7d8974ce60bdf271ddc452/rendering/10.obj", "2.94136810303")</f>
        <v>2.94136810303</v>
      </c>
      <c r="N259" s="34" t="str">
        <f>HYPERLINK(AB2 &amp; "/bottle/sn_d655a217ad7d8974ce60bdf271ddc452/rendering/11.obj", "2.75652954102")</f>
        <v>2.75652954102</v>
      </c>
      <c r="O259" s="27" t="str">
        <f>HYPERLINK(AB2 &amp; "/bottle/sn_d655a217ad7d8974ce60bdf271ddc452/rendering/12.obj", "2.69585327148")</f>
        <v>2.69585327148</v>
      </c>
      <c r="P259" s="175" t="str">
        <f>HYPERLINK(AB2 &amp; "/bottle/sn_d655a217ad7d8974ce60bdf271ddc452/rendering/13.obj", "3.56916534424")</f>
        <v>3.56916534424</v>
      </c>
      <c r="Q259" s="94" t="str">
        <f>HYPERLINK(AB2 &amp; "/bottle/sn_d655a217ad7d8974ce60bdf271ddc452/rendering/14.obj", "3.11408447266")</f>
        <v>3.11408447266</v>
      </c>
      <c r="R259" s="110" t="str">
        <f>HYPERLINK(AB2 &amp; "/bottle/sn_d655a217ad7d8974ce60bdf271ddc452/rendering/15.obj", "3.17887145996")</f>
        <v>3.17887145996</v>
      </c>
      <c r="S259" s="51" t="str">
        <f>HYPERLINK(AB2 &amp; "/bottle/sn_d655a217ad7d8974ce60bdf271ddc452/rendering/16.obj", "2.66635375977")</f>
        <v>2.66635375977</v>
      </c>
      <c r="T259" s="91" t="str">
        <f>HYPERLINK(AB2 &amp; "/bottle/sn_d655a217ad7d8974ce60bdf271ddc452/rendering/17.obj", "2.96947967529")</f>
        <v>2.96947967529</v>
      </c>
      <c r="U259" s="69" t="str">
        <f>HYPERLINK(AB2 &amp; "/bottle/sn_d655a217ad7d8974ce60bdf271ddc452/rendering/18.obj", "2.81104309082")</f>
        <v>2.81104309082</v>
      </c>
      <c r="V259" s="27" t="str">
        <f>HYPERLINK(AB2 &amp; "/bottle/sn_d655a217ad7d8974ce60bdf271ddc452/rendering/19.obj", "2.69043548584")</f>
        <v>2.69043548584</v>
      </c>
      <c r="W259" s="12" t="s">
        <v>31</v>
      </c>
      <c r="X259" s="13">
        <v>2.8964923324584961</v>
      </c>
      <c r="Y259" s="13">
        <v>0.25478362327854293</v>
      </c>
      <c r="Z259" s="38">
        <v>8.7962816411906994E-2</v>
      </c>
    </row>
    <row r="260" spans="1:26" x14ac:dyDescent="0.2">
      <c r="A260" s="1">
        <v>258</v>
      </c>
      <c r="B260" s="2" t="s">
        <v>84</v>
      </c>
      <c r="C260" s="175" t="str">
        <f>HYPERLINK(AB2 &amp; "/bottle/sn_d655a217ad7d8974ce60bdf271ddc452/rendering/00.obj", "2.20869994164")</f>
        <v>2.20869994164</v>
      </c>
      <c r="D260" s="84" t="str">
        <f>HYPERLINK(AB2 &amp; "/bottle/sn_d655a217ad7d8974ce60bdf271ddc452/rendering/01.obj", "3.3030731678")</f>
        <v>3.3030731678</v>
      </c>
      <c r="E260" s="92" t="str">
        <f>HYPERLINK(AB2 &amp; "/bottle/sn_d655a217ad7d8974ce60bdf271ddc452/rendering/02.obj", "2.5271832943")</f>
        <v>2.5271832943</v>
      </c>
      <c r="F260" s="79" t="str">
        <f>HYPERLINK(AB2 &amp; "/bottle/sn_d655a217ad7d8974ce60bdf271ddc452/rendering/03.obj", "2.42276215553")</f>
        <v>2.42276215553</v>
      </c>
      <c r="G260" s="72" t="str">
        <f>HYPERLINK(AB2 &amp; "/bottle/sn_d655a217ad7d8974ce60bdf271ddc452/rendering/04.obj", "2.97603368759")</f>
        <v>2.97603368759</v>
      </c>
      <c r="H260" s="50" t="str">
        <f>HYPERLINK(AB2 &amp; "/bottle/sn_d655a217ad7d8974ce60bdf271ddc452/rendering/05.obj", "2.30545544624")</f>
        <v>2.30545544624</v>
      </c>
      <c r="I260" s="93" t="str">
        <f>HYPERLINK(AB2 &amp; "/bottle/sn_d655a217ad7d8974ce60bdf271ddc452/rendering/06.obj", "3.2876329422")</f>
        <v>3.2876329422</v>
      </c>
      <c r="J260" s="48" t="str">
        <f>HYPERLINK(AB2 &amp; "/bottle/sn_d655a217ad7d8974ce60bdf271ddc452/rendering/07.obj", "2.81583404541")</f>
        <v>2.81583404541</v>
      </c>
      <c r="K260" s="65" t="str">
        <f>HYPERLINK(AB2 &amp; "/bottle/sn_d655a217ad7d8974ce60bdf271ddc452/rendering/08.obj", "3.26543164253")</f>
        <v>3.26543164253</v>
      </c>
      <c r="L260" s="75" t="str">
        <f>HYPERLINK(AB2 &amp; "/bottle/sn_d655a217ad7d8974ce60bdf271ddc452/rendering/09.obj", "3.52367067337")</f>
        <v>3.52367067337</v>
      </c>
      <c r="M260" s="119" t="str">
        <f>HYPERLINK(AB2 &amp; "/bottle/sn_d655a217ad7d8974ce60bdf271ddc452/rendering/10.obj", "3.64562535286")</f>
        <v>3.64562535286</v>
      </c>
      <c r="N260" s="31" t="str">
        <f>HYPERLINK(AB2 &amp; "/bottle/sn_d655a217ad7d8974ce60bdf271ddc452/rendering/11.obj", "3.33269262314")</f>
        <v>3.33269262314</v>
      </c>
      <c r="O260" s="77" t="str">
        <f>HYPERLINK(AB2 &amp; "/bottle/sn_d655a217ad7d8974ce60bdf271ddc452/rendering/12.obj", "2.34274959564")</f>
        <v>2.34274959564</v>
      </c>
      <c r="P260" s="107" t="str">
        <f>HYPERLINK(AB2 &amp; "/bottle/sn_d655a217ad7d8974ce60bdf271ddc452/rendering/13.obj", "3.12248158455")</f>
        <v>3.12248158455</v>
      </c>
      <c r="Q260" s="63" t="str">
        <f>HYPERLINK(AB2 &amp; "/bottle/sn_d655a217ad7d8974ce60bdf271ddc452/rendering/14.obj", "3.2335999012")</f>
        <v>3.2335999012</v>
      </c>
      <c r="R260" s="32" t="str">
        <f>HYPERLINK(AB2 &amp; "/bottle/sn_d655a217ad7d8974ce60bdf271ddc452/rendering/15.obj", "3.1882994175")</f>
        <v>3.1882994175</v>
      </c>
      <c r="S260" s="135" t="str">
        <f>HYPERLINK(AB2 &amp; "/bottle/sn_d655a217ad7d8974ce60bdf271ddc452/rendering/16.obj", "2.14594078064")</f>
        <v>2.14594078064</v>
      </c>
      <c r="T260" s="120" t="str">
        <f>HYPERLINK(AB2 &amp; "/bottle/sn_d655a217ad7d8974ce60bdf271ddc452/rendering/17.obj", "2.27481389046")</f>
        <v>2.27481389046</v>
      </c>
      <c r="U260" s="68" t="str">
        <f>HYPERLINK(AB2 &amp; "/bottle/sn_d655a217ad7d8974ce60bdf271ddc452/rendering/18.obj", "2.76622414589")</f>
        <v>2.76622414589</v>
      </c>
      <c r="V260" s="73" t="str">
        <f>HYPERLINK(AB2 &amp; "/bottle/sn_d655a217ad7d8974ce60bdf271ddc452/rendering/19.obj", "2.99124002457")</f>
        <v>2.99124002457</v>
      </c>
      <c r="W260" s="12" t="s">
        <v>32</v>
      </c>
      <c r="X260" s="13">
        <v>2.8839722156524661</v>
      </c>
      <c r="Y260" s="13">
        <v>0.46499367979645678</v>
      </c>
      <c r="Z260" s="66">
        <v>0.1612337585198467</v>
      </c>
    </row>
    <row r="261" spans="1:26" x14ac:dyDescent="0.2">
      <c r="A261" s="1">
        <v>259</v>
      </c>
      <c r="B261" s="2" t="s">
        <v>84</v>
      </c>
      <c r="C261" s="13" t="str">
        <f>HYPERLINK(AC2 &amp; "/bottle/sn_d655a217ad7d8974ce60bdf271ddc452/rendering/00.xyz", "0.0")</f>
        <v>0.0</v>
      </c>
      <c r="D261" s="13" t="str">
        <f>HYPERLINK(AC2 &amp; "/bottle/sn_d655a217ad7d8974ce60bdf271ddc452/rendering/01.xyz", "0.0")</f>
        <v>0.0</v>
      </c>
      <c r="E261" s="13" t="str">
        <f>HYPERLINK(AC2 &amp; "/bottle/sn_d655a217ad7d8974ce60bdf271ddc452/rendering/02.xyz", "0.0")</f>
        <v>0.0</v>
      </c>
      <c r="F261" s="13" t="str">
        <f>HYPERLINK(AC2 &amp; "/bottle/sn_d655a217ad7d8974ce60bdf271ddc452/rendering/03.xyz", "0.0")</f>
        <v>0.0</v>
      </c>
      <c r="G261" s="13" t="str">
        <f>HYPERLINK(AC2 &amp; "/bottle/sn_d655a217ad7d8974ce60bdf271ddc452/rendering/04.xyz", "0.0")</f>
        <v>0.0</v>
      </c>
      <c r="H261" s="13" t="str">
        <f>HYPERLINK(AC2 &amp; "/bottle/sn_d655a217ad7d8974ce60bdf271ddc452/rendering/05.xyz", "0.0")</f>
        <v>0.0</v>
      </c>
      <c r="I261" s="13" t="str">
        <f>HYPERLINK(AC2 &amp; "/bottle/sn_d655a217ad7d8974ce60bdf271ddc452/rendering/06.xyz", "0.0")</f>
        <v>0.0</v>
      </c>
      <c r="J261" s="13" t="str">
        <f>HYPERLINK(AC2 &amp; "/bottle/sn_d655a217ad7d8974ce60bdf271ddc452/rendering/07.xyz", "0.0")</f>
        <v>0.0</v>
      </c>
      <c r="K261" s="13" t="str">
        <f>HYPERLINK(AC2 &amp; "/bottle/sn_d655a217ad7d8974ce60bdf271ddc452/rendering/08.xyz", "0.0")</f>
        <v>0.0</v>
      </c>
      <c r="L261" s="13" t="str">
        <f>HYPERLINK(AC2 &amp; "/bottle/sn_d655a217ad7d8974ce60bdf271ddc452/rendering/09.xyz", "0.0")</f>
        <v>0.0</v>
      </c>
      <c r="M261" s="13" t="str">
        <f>HYPERLINK(AC2 &amp; "/bottle/sn_d655a217ad7d8974ce60bdf271ddc452/rendering/10.xyz", "0.0")</f>
        <v>0.0</v>
      </c>
      <c r="N261" s="13" t="str">
        <f>HYPERLINK(AC2 &amp; "/bottle/sn_d655a217ad7d8974ce60bdf271ddc452/rendering/11.xyz", "0.0")</f>
        <v>0.0</v>
      </c>
      <c r="O261" s="13" t="str">
        <f>HYPERLINK(AC2 &amp; "/bottle/sn_d655a217ad7d8974ce60bdf271ddc452/rendering/12.xyz", "0.0")</f>
        <v>0.0</v>
      </c>
      <c r="P261" s="13" t="str">
        <f>HYPERLINK(AC2 &amp; "/bottle/sn_d655a217ad7d8974ce60bdf271ddc452/rendering/13.xyz", "0.0")</f>
        <v>0.0</v>
      </c>
      <c r="Q261" s="13" t="str">
        <f>HYPERLINK(AC2 &amp; "/bottle/sn_d655a217ad7d8974ce60bdf271ddc452/rendering/14.xyz", "0.0")</f>
        <v>0.0</v>
      </c>
      <c r="R261" s="13" t="str">
        <f>HYPERLINK(AC2 &amp; "/bottle/sn_d655a217ad7d8974ce60bdf271ddc452/rendering/15.xyz", "0.0")</f>
        <v>0.0</v>
      </c>
      <c r="S261" s="13" t="str">
        <f>HYPERLINK(AC2 &amp; "/bottle/sn_d655a217ad7d8974ce60bdf271ddc452/rendering/16.xyz", "0.0")</f>
        <v>0.0</v>
      </c>
      <c r="T261" s="13" t="str">
        <f>HYPERLINK(AC2 &amp; "/bottle/sn_d655a217ad7d8974ce60bdf271ddc452/rendering/17.xyz", "0.0")</f>
        <v>0.0</v>
      </c>
      <c r="U261" s="13" t="str">
        <f>HYPERLINK(AC2 &amp; "/bottle/sn_d655a217ad7d8974ce60bdf271ddc452/rendering/18.xyz", "0.0")</f>
        <v>0.0</v>
      </c>
      <c r="V261" s="13" t="str">
        <f>HYPERLINK(AC2 &amp; "/bottle/sn_d655a217ad7d8974ce60bdf271ddc452/rendering/19.xyz", "0.0")</f>
        <v>0.0</v>
      </c>
      <c r="W261" s="12" t="s">
        <v>33</v>
      </c>
      <c r="X261" s="13">
        <v>0</v>
      </c>
      <c r="Y261" s="13">
        <v>0</v>
      </c>
      <c r="Z261" s="13">
        <v>0</v>
      </c>
    </row>
    <row r="262" spans="1:26" x14ac:dyDescent="0.2">
      <c r="A262" s="1">
        <v>260</v>
      </c>
      <c r="B262" s="2" t="s">
        <v>85</v>
      </c>
      <c r="C262" s="110" t="str">
        <f>HYPERLINK(AA2 &amp; "/bottle/sn_d7305324e9dd49eccee5e41d780064a2/rendering/00.obj", "0.963840103149")</f>
        <v>0.963840103149</v>
      </c>
      <c r="D262" s="66" t="str">
        <f>HYPERLINK(AA2 &amp; "/bottle/sn_d7305324e9dd49eccee5e41d780064a2/rendering/01.obj", "0.73427734375")</f>
        <v>0.73427734375</v>
      </c>
      <c r="E262" s="33" t="str">
        <f>HYPERLINK(AA2 &amp; "/bottle/sn_d7305324e9dd49eccee5e41d780064a2/rendering/02.obj", "0.781625976562")</f>
        <v>0.781625976562</v>
      </c>
      <c r="F262" s="28" t="str">
        <f>HYPERLINK(AA2 &amp; "/bottle/sn_d7305324e9dd49eccee5e41d780064a2/rendering/03.obj", "0.974568634033")</f>
        <v>0.974568634033</v>
      </c>
      <c r="G262" s="72" t="str">
        <f>HYPERLINK(AA2 &amp; "/bottle/sn_d7305324e9dd49eccee5e41d780064a2/rendering/04.obj", "0.847413024902")</f>
        <v>0.847413024902</v>
      </c>
      <c r="H262" s="67" t="str">
        <f>HYPERLINK(AA2 &amp; "/bottle/sn_d7305324e9dd49eccee5e41d780064a2/rendering/05.obj", "0.956573638916")</f>
        <v>0.956573638916</v>
      </c>
      <c r="I262" s="48" t="str">
        <f>HYPERLINK(AA2 &amp; "/bottle/sn_d7305324e9dd49eccee5e41d780064a2/rendering/06.obj", "0.896090087891")</f>
        <v>0.896090087891</v>
      </c>
      <c r="J262" s="106" t="str">
        <f>HYPERLINK(AA2 &amp; "/bottle/sn_d7305324e9dd49eccee5e41d780064a2/rendering/07.obj", "0.776739501953")</f>
        <v>0.776739501953</v>
      </c>
      <c r="K262" s="44" t="str">
        <f>HYPERLINK(AA2 &amp; "/bottle/sn_d7305324e9dd49eccee5e41d780064a2/rendering/08.obj", "0.704615325928")</f>
        <v>0.704615325928</v>
      </c>
      <c r="L262" s="49" t="str">
        <f>HYPERLINK(AA2 &amp; "/bottle/sn_d7305324e9dd49eccee5e41d780064a2/rendering/09.obj", "0.694547271729")</f>
        <v>0.694547271729</v>
      </c>
      <c r="M262" s="94" t="str">
        <f>HYPERLINK(AA2 &amp; "/bottle/sn_d7305324e9dd49eccee5e41d780064a2/rendering/10.obj", "0.940549316406")</f>
        <v>0.940549316406</v>
      </c>
      <c r="N262" s="25" t="str">
        <f>HYPERLINK(AA2 &amp; "/bottle/sn_d7305324e9dd49eccee5e41d780064a2/rendering/11.obj", "0.887351379395")</f>
        <v>0.887351379395</v>
      </c>
      <c r="O262" s="5" t="str">
        <f>HYPERLINK(AA2 &amp; "/bottle/sn_d7305324e9dd49eccee5e41d780064a2/rendering/12.obj", "0.944229431152")</f>
        <v>0.944229431152</v>
      </c>
      <c r="P262" s="42" t="str">
        <f>HYPERLINK(AA2 &amp; "/bottle/sn_d7305324e9dd49eccee5e41d780064a2/rendering/13.obj", "0.755973587036")</f>
        <v>0.755973587036</v>
      </c>
      <c r="Q262" s="68" t="str">
        <f>HYPERLINK(AA2 &amp; "/bottle/sn_d7305324e9dd49eccee5e41d780064a2/rendering/14.obj", "0.913727340698")</f>
        <v>0.913727340698</v>
      </c>
      <c r="R262" s="35" t="str">
        <f>HYPERLINK(AA2 &amp; "/bottle/sn_d7305324e9dd49eccee5e41d780064a2/rendering/15.obj", "0.926982498169")</f>
        <v>0.926982498169</v>
      </c>
      <c r="S262" s="42" t="str">
        <f>HYPERLINK(AA2 &amp; "/bottle/sn_d7305324e9dd49eccee5e41d780064a2/rendering/16.obj", "0.995210342407")</f>
        <v>0.995210342407</v>
      </c>
      <c r="T262" s="94" t="str">
        <f>HYPERLINK(AA2 &amp; "/bottle/sn_d7305324e9dd49eccee5e41d780064a2/rendering/17.obj", "0.812972869873")</f>
        <v>0.812972869873</v>
      </c>
      <c r="U262" s="106" t="str">
        <f>HYPERLINK(AA2 &amp; "/bottle/sn_d7305324e9dd49eccee5e41d780064a2/rendering/18.obj", "0.976245498657")</f>
        <v>0.976245498657</v>
      </c>
      <c r="V262" s="109" t="str">
        <f>HYPERLINK(AA2 &amp; "/bottle/sn_d7305324e9dd49eccee5e41d780064a2/rendering/19.obj", "1.04391296387")</f>
        <v>1.04391296387</v>
      </c>
      <c r="W262" s="12" t="s">
        <v>29</v>
      </c>
      <c r="X262" s="13">
        <v>0.87637230682373046</v>
      </c>
      <c r="Y262" s="13">
        <v>0.1024917355527003</v>
      </c>
      <c r="Z262" s="71">
        <v>0.11694999346130069</v>
      </c>
    </row>
    <row r="263" spans="1:26" x14ac:dyDescent="0.2">
      <c r="A263" s="1">
        <v>261</v>
      </c>
      <c r="B263" s="2" t="s">
        <v>85</v>
      </c>
      <c r="C263" s="51" t="str">
        <f>HYPERLINK(AA2 &amp; "/bottle/sn_d7305324e9dd49eccee5e41d780064a2/rendering/00.obj", "3.20738506317")</f>
        <v>3.20738506317</v>
      </c>
      <c r="D263" s="55" t="str">
        <f>HYPERLINK(AA2 &amp; "/bottle/sn_d7305324e9dd49eccee5e41d780064a2/rendering/01.obj", "2.39437294006")</f>
        <v>2.39437294006</v>
      </c>
      <c r="E263" s="8" t="str">
        <f>HYPERLINK(AA2 &amp; "/bottle/sn_d7305324e9dd49eccee5e41d780064a2/rendering/02.obj", "2.54859900475")</f>
        <v>2.54859900475</v>
      </c>
      <c r="F263" s="42" t="str">
        <f>HYPERLINK(AA2 &amp; "/bottle/sn_d7305324e9dd49eccee5e41d780064a2/rendering/03.obj", "3.37736201286")</f>
        <v>3.37736201286</v>
      </c>
      <c r="G263" s="72" t="str">
        <f>HYPERLINK(AA2 &amp; "/bottle/sn_d7305324e9dd49eccee5e41d780064a2/rendering/04.obj", "2.86935043335")</f>
        <v>2.86935043335</v>
      </c>
      <c r="H263" s="84" t="str">
        <f>HYPERLINK(AA2 &amp; "/bottle/sn_d7305324e9dd49eccee5e41d780064a2/rendering/05.obj", "3.40603256226")</f>
        <v>3.40603256226</v>
      </c>
      <c r="I263" s="23" t="str">
        <f>HYPERLINK(AA2 &amp; "/bottle/sn_d7305324e9dd49eccee5e41d780064a2/rendering/06.obj", "3.08845067024")</f>
        <v>3.08845067024</v>
      </c>
      <c r="J263" s="44" t="str">
        <f>HYPERLINK(AA2 &amp; "/bottle/sn_d7305324e9dd49eccee5e41d780064a2/rendering/07.obj", "2.38844060898")</f>
        <v>2.38844060898</v>
      </c>
      <c r="K263" s="119" t="str">
        <f>HYPERLINK(AA2 &amp; "/bottle/sn_d7305324e9dd49eccee5e41d780064a2/rendering/08.obj", "2.18484091759")</f>
        <v>2.18484091759</v>
      </c>
      <c r="L263" s="113" t="str">
        <f>HYPERLINK(AA2 &amp; "/bottle/sn_d7305324e9dd49eccee5e41d780064a2/rendering/09.obj", "2.15868210793")</f>
        <v>2.15868210793</v>
      </c>
      <c r="M263" s="79" t="str">
        <f>HYPERLINK(AA2 &amp; "/bottle/sn_d7305324e9dd49eccee5e41d780064a2/rendering/10.obj", "3.43823599815")</f>
        <v>3.43823599815</v>
      </c>
      <c r="N263" s="91" t="str">
        <f>HYPERLINK(AA2 &amp; "/bottle/sn_d7305324e9dd49eccee5e41d780064a2/rendering/11.obj", "3.04583311081")</f>
        <v>3.04583311081</v>
      </c>
      <c r="O263" s="71" t="str">
        <f>HYPERLINK(AA2 &amp; "/bottle/sn_d7305324e9dd49eccee5e41d780064a2/rendering/12.obj", "3.31525397301")</f>
        <v>3.31525397301</v>
      </c>
      <c r="P263" s="98" t="str">
        <f>HYPERLINK(AA2 &amp; "/bottle/sn_d7305324e9dd49eccee5e41d780064a2/rendering/13.obj", "2.28833270073")</f>
        <v>2.28833270073</v>
      </c>
      <c r="Q263" s="51" t="str">
        <f>HYPERLINK(AA2 &amp; "/bottle/sn_d7305324e9dd49eccee5e41d780064a2/rendering/14.obj", "3.20650482178")</f>
        <v>3.20650482178</v>
      </c>
      <c r="R263" s="39" t="str">
        <f>HYPERLINK(AA2 &amp; "/bottle/sn_d7305324e9dd49eccee5e41d780064a2/rendering/15.obj", "3.23045516014")</f>
        <v>3.23045516014</v>
      </c>
      <c r="S263" s="76" t="str">
        <f>HYPERLINK(AA2 &amp; "/bottle/sn_d7305324e9dd49eccee5e41d780064a2/rendering/16.obj", "3.51606011391")</f>
        <v>3.51606011391</v>
      </c>
      <c r="T263" s="83" t="str">
        <f>HYPERLINK(AA2 &amp; "/bottle/sn_d7305324e9dd49eccee5e41d780064a2/rendering/17.obj", "2.51847505569")</f>
        <v>2.51847505569</v>
      </c>
      <c r="U263" s="134" t="str">
        <f>HYPERLINK(AA2 &amp; "/bottle/sn_d7305324e9dd49eccee5e41d780064a2/rendering/18.obj", "3.51030063629")</f>
        <v>3.51030063629</v>
      </c>
      <c r="V263" s="129" t="str">
        <f>HYPERLINK(AA2 &amp; "/bottle/sn_d7305324e9dd49eccee5e41d780064a2/rendering/19.obj", "3.70988893509")</f>
        <v>3.70988893509</v>
      </c>
      <c r="W263" s="12" t="s">
        <v>30</v>
      </c>
      <c r="X263" s="13">
        <v>2.9701428413391109</v>
      </c>
      <c r="Y263" s="13">
        <v>0.49155279402385871</v>
      </c>
      <c r="Z263" s="64">
        <v>0.1654980316711766</v>
      </c>
    </row>
    <row r="264" spans="1:26" x14ac:dyDescent="0.2">
      <c r="A264" s="1">
        <v>262</v>
      </c>
      <c r="B264" s="2" t="s">
        <v>85</v>
      </c>
      <c r="C264" s="47" t="str">
        <f>HYPERLINK(AB2 &amp; "/bottle/sn_d7305324e9dd49eccee5e41d780064a2/rendering/00.obj", "0.959837646484")</f>
        <v>0.959837646484</v>
      </c>
      <c r="D264" s="32" t="str">
        <f>HYPERLINK(AB2 &amp; "/bottle/sn_d7305324e9dd49eccee5e41d780064a2/rendering/01.obj", "0.853105316162")</f>
        <v>0.853105316162</v>
      </c>
      <c r="E264" s="34" t="str">
        <f>HYPERLINK(AB2 &amp; "/bottle/sn_d7305324e9dd49eccee5e41d780064a2/rendering/02.obj", "0.904878387451")</f>
        <v>0.904878387451</v>
      </c>
      <c r="F264" s="25" t="str">
        <f>HYPERLINK(AB2 &amp; "/bottle/sn_d7305324e9dd49eccee5e41d780064a2/rendering/03.obj", "0.94310218811")</f>
        <v>0.94310218811</v>
      </c>
      <c r="G264" s="27" t="str">
        <f>HYPERLINK(AB2 &amp; "/bottle/sn_d7305324e9dd49eccee5e41d780064a2/rendering/04.obj", "1.01966827393")</f>
        <v>1.01966827393</v>
      </c>
      <c r="H264" s="72" t="str">
        <f>HYPERLINK(AB2 &amp; "/bottle/sn_d7305324e9dd49eccee5e41d780064a2/rendering/05.obj", "0.982769012451")</f>
        <v>0.982769012451</v>
      </c>
      <c r="I264" s="60" t="str">
        <f>HYPERLINK(AB2 &amp; "/bottle/sn_d7305324e9dd49eccee5e41d780064a2/rendering/06.obj", "1.00072723389")</f>
        <v>1.00072723389</v>
      </c>
      <c r="J264" s="5" t="str">
        <f>HYPERLINK(AB2 &amp; "/bottle/sn_d7305324e9dd49eccee5e41d780064a2/rendering/07.obj", "0.880246353149")</f>
        <v>0.880246353149</v>
      </c>
      <c r="K264" s="34" t="str">
        <f>HYPERLINK(AB2 &amp; "/bottle/sn_d7305324e9dd49eccee5e41d780064a2/rendering/08.obj", "0.907219696045")</f>
        <v>0.907219696045</v>
      </c>
      <c r="L264" s="41" t="str">
        <f>HYPERLINK(AB2 &amp; "/bottle/sn_d7305324e9dd49eccee5e41d780064a2/rendering/09.obj", "0.889656295776")</f>
        <v>0.889656295776</v>
      </c>
      <c r="M264" s="27" t="str">
        <f>HYPERLINK(AB2 &amp; "/bottle/sn_d7305324e9dd49eccee5e41d780064a2/rendering/10.obj", "1.01912719727")</f>
        <v>1.01912719727</v>
      </c>
      <c r="N264" s="67" t="str">
        <f>HYPERLINK(AB2 &amp; "/bottle/sn_d7305324e9dd49eccee5e41d780064a2/rendering/11.obj", "1.04013473511")</f>
        <v>1.04013473511</v>
      </c>
      <c r="O264" s="25" t="str">
        <f>HYPERLINK(AB2 &amp; "/bottle/sn_d7305324e9dd49eccee5e41d780064a2/rendering/12.obj", "0.964026489258")</f>
        <v>0.964026489258</v>
      </c>
      <c r="P264" s="133" t="str">
        <f>HYPERLINK(AB2 &amp; "/bottle/sn_d7305324e9dd49eccee5e41d780064a2/rendering/13.obj", "0.856060638428")</f>
        <v>0.856060638428</v>
      </c>
      <c r="Q264" s="91" t="str">
        <f>HYPERLINK(AB2 &amp; "/bottle/sn_d7305324e9dd49eccee5e41d780064a2/rendering/14.obj", "0.976955871582")</f>
        <v>0.976955871582</v>
      </c>
      <c r="R264" s="25" t="str">
        <f>HYPERLINK(AB2 &amp; "/bottle/sn_d7305324e9dd49eccee5e41d780064a2/rendering/15.obj", "0.942034683228")</f>
        <v>0.942034683228</v>
      </c>
      <c r="S264" s="47" t="str">
        <f>HYPERLINK(AB2 &amp; "/bottle/sn_d7305324e9dd49eccee5e41d780064a2/rendering/16.obj", "0.945247268677")</f>
        <v>0.945247268677</v>
      </c>
      <c r="T264" s="73" t="str">
        <f>HYPERLINK(AB2 &amp; "/bottle/sn_d7305324e9dd49eccee5e41d780064a2/rendering/17.obj", "0.919077835083")</f>
        <v>0.919077835083</v>
      </c>
      <c r="U264" s="10" t="str">
        <f>HYPERLINK(AB2 &amp; "/bottle/sn_d7305324e9dd49eccee5e41d780064a2/rendering/18.obj", "1.00540428162")</f>
        <v>1.00540428162</v>
      </c>
      <c r="V264" s="67" t="str">
        <f>HYPERLINK(AB2 &amp; "/bottle/sn_d7305324e9dd49eccee5e41d780064a2/rendering/19.obj", "1.04139442444")</f>
        <v>1.04139442444</v>
      </c>
      <c r="W264" s="12" t="s">
        <v>31</v>
      </c>
      <c r="X264" s="13">
        <v>0.9525336914062501</v>
      </c>
      <c r="Y264" s="13">
        <v>5.7181255338256132E-2</v>
      </c>
      <c r="Z264" s="78">
        <v>6.0030690624536302E-2</v>
      </c>
    </row>
    <row r="265" spans="1:26" x14ac:dyDescent="0.2">
      <c r="A265" s="1">
        <v>263</v>
      </c>
      <c r="B265" s="2" t="s">
        <v>85</v>
      </c>
      <c r="C265" s="48" t="str">
        <f>HYPERLINK(AB2 &amp; "/bottle/sn_d7305324e9dd49eccee5e41d780064a2/rendering/00.obj", "2.59999012947")</f>
        <v>2.59999012947</v>
      </c>
      <c r="D265" s="38" t="str">
        <f>HYPERLINK(AB2 &amp; "/bottle/sn_d7305324e9dd49eccee5e41d780064a2/rendering/01.obj", "2.31804394722")</f>
        <v>2.31804394722</v>
      </c>
      <c r="E265" s="72" t="str">
        <f>HYPERLINK(AB2 &amp; "/bottle/sn_d7305324e9dd49eccee5e41d780064a2/rendering/02.obj", "2.45575499535")</f>
        <v>2.45575499535</v>
      </c>
      <c r="F265" s="25" t="str">
        <f>HYPERLINK(AB2 &amp; "/bottle/sn_d7305324e9dd49eccee5e41d780064a2/rendering/03.obj", "2.56848978996")</f>
        <v>2.56848978996</v>
      </c>
      <c r="G265" s="5" t="str">
        <f>HYPERLINK(AB2 &amp; "/bottle/sn_d7305324e9dd49eccee5e41d780064a2/rendering/04.obj", "2.73901200294")</f>
        <v>2.73901200294</v>
      </c>
      <c r="H265" s="46" t="str">
        <f>HYPERLINK(AB2 &amp; "/bottle/sn_d7305324e9dd49eccee5e41d780064a2/rendering/05.obj", "2.58712506294")</f>
        <v>2.58712506294</v>
      </c>
      <c r="I265" s="35" t="str">
        <f>HYPERLINK(AB2 &amp; "/bottle/sn_d7305324e9dd49eccee5e41d780064a2/rendering/06.obj", "2.69433116913")</f>
        <v>2.69433116913</v>
      </c>
      <c r="J265" s="107" t="str">
        <f>HYPERLINK(AB2 &amp; "/bottle/sn_d7305324e9dd49eccee5e41d780064a2/rendering/07.obj", "2.33084845543")</f>
        <v>2.33084845543</v>
      </c>
      <c r="K265" s="60" t="str">
        <f>HYPERLINK(AB2 &amp; "/bottle/sn_d7305324e9dd49eccee5e41d780064a2/rendering/08.obj", "2.41472911835")</f>
        <v>2.41472911835</v>
      </c>
      <c r="L265" s="38" t="str">
        <f>HYPERLINK(AB2 &amp; "/bottle/sn_d7305324e9dd49eccee5e41d780064a2/rendering/09.obj", "2.31661486626")</f>
        <v>2.31661486626</v>
      </c>
      <c r="M265" s="35" t="str">
        <f>HYPERLINK(AB2 &amp; "/bottle/sn_d7305324e9dd49eccee5e41d780064a2/rendering/10.obj", "2.69348812103")</f>
        <v>2.69348812103</v>
      </c>
      <c r="N265" s="32" t="str">
        <f>HYPERLINK(AB2 &amp; "/bottle/sn_d7305324e9dd49eccee5e41d780064a2/rendering/11.obj", "2.80877566338")</f>
        <v>2.80877566338</v>
      </c>
      <c r="O265" s="25" t="str">
        <f>HYPERLINK(AB2 &amp; "/bottle/sn_d7305324e9dd49eccee5e41d780064a2/rendering/12.obj", "2.57340550423")</f>
        <v>2.57340550423</v>
      </c>
      <c r="P265" s="38" t="str">
        <f>HYPERLINK(AB2 &amp; "/bottle/sn_d7305324e9dd49eccee5e41d780064a2/rendering/13.obj", "2.31325674057")</f>
        <v>2.31325674057</v>
      </c>
      <c r="Q265" s="73" t="str">
        <f>HYPERLINK(AB2 &amp; "/bottle/sn_d7305324e9dd49eccee5e41d780064a2/rendering/14.obj", "2.63181877136")</f>
        <v>2.63181877136</v>
      </c>
      <c r="R265" s="25" t="str">
        <f>HYPERLINK(AB2 &amp; "/bottle/sn_d7305324e9dd49eccee5e41d780064a2/rendering/15.obj", "2.51531529427")</f>
        <v>2.51531529427</v>
      </c>
      <c r="S265" s="17" t="str">
        <f>HYPERLINK(AB2 &amp; "/bottle/sn_d7305324e9dd49eccee5e41d780064a2/rendering/16.obj", "2.48781085014")</f>
        <v>2.48781085014</v>
      </c>
      <c r="T265" s="60" t="str">
        <f>HYPERLINK(AB2 &amp; "/bottle/sn_d7305324e9dd49eccee5e41d780064a2/rendering/17.obj", "2.40900921822")</f>
        <v>2.40900921822</v>
      </c>
      <c r="U265" s="60" t="str">
        <f>HYPERLINK(AB2 &amp; "/bottle/sn_d7305324e9dd49eccee5e41d780064a2/rendering/18.obj", "2.67278003693")</f>
        <v>2.67278003693</v>
      </c>
      <c r="V265" s="94" t="str">
        <f>HYPERLINK(AB2 &amp; "/bottle/sn_d7305324e9dd49eccee5e41d780064a2/rendering/19.obj", "2.73115348816")</f>
        <v>2.73115348816</v>
      </c>
      <c r="W265" s="12" t="s">
        <v>32</v>
      </c>
      <c r="X265" s="13">
        <v>2.5430876612663269</v>
      </c>
      <c r="Y265" s="13">
        <v>0.15280447667203079</v>
      </c>
      <c r="Z265" s="78">
        <v>6.0086201116615071E-2</v>
      </c>
    </row>
    <row r="266" spans="1:26" x14ac:dyDescent="0.2">
      <c r="A266" s="1">
        <v>264</v>
      </c>
      <c r="B266" s="2" t="s">
        <v>85</v>
      </c>
      <c r="C266" s="13" t="str">
        <f>HYPERLINK(AC2 &amp; "/bottle/sn_d7305324e9dd49eccee5e41d780064a2/rendering/00.xyz", "0.0")</f>
        <v>0.0</v>
      </c>
      <c r="D266" s="13" t="str">
        <f>HYPERLINK(AC2 &amp; "/bottle/sn_d7305324e9dd49eccee5e41d780064a2/rendering/01.xyz", "0.0")</f>
        <v>0.0</v>
      </c>
      <c r="E266" s="13" t="str">
        <f>HYPERLINK(AC2 &amp; "/bottle/sn_d7305324e9dd49eccee5e41d780064a2/rendering/02.xyz", "0.0")</f>
        <v>0.0</v>
      </c>
      <c r="F266" s="13" t="str">
        <f>HYPERLINK(AC2 &amp; "/bottle/sn_d7305324e9dd49eccee5e41d780064a2/rendering/03.xyz", "0.0")</f>
        <v>0.0</v>
      </c>
      <c r="G266" s="13" t="str">
        <f>HYPERLINK(AC2 &amp; "/bottle/sn_d7305324e9dd49eccee5e41d780064a2/rendering/04.xyz", "0.0")</f>
        <v>0.0</v>
      </c>
      <c r="H266" s="13" t="str">
        <f>HYPERLINK(AC2 &amp; "/bottle/sn_d7305324e9dd49eccee5e41d780064a2/rendering/05.xyz", "0.0")</f>
        <v>0.0</v>
      </c>
      <c r="I266" s="13" t="str">
        <f>HYPERLINK(AC2 &amp; "/bottle/sn_d7305324e9dd49eccee5e41d780064a2/rendering/06.xyz", "0.0")</f>
        <v>0.0</v>
      </c>
      <c r="J266" s="13" t="str">
        <f>HYPERLINK(AC2 &amp; "/bottle/sn_d7305324e9dd49eccee5e41d780064a2/rendering/07.xyz", "0.0")</f>
        <v>0.0</v>
      </c>
      <c r="K266" s="13" t="str">
        <f>HYPERLINK(AC2 &amp; "/bottle/sn_d7305324e9dd49eccee5e41d780064a2/rendering/08.xyz", "0.0")</f>
        <v>0.0</v>
      </c>
      <c r="L266" s="13" t="str">
        <f>HYPERLINK(AC2 &amp; "/bottle/sn_d7305324e9dd49eccee5e41d780064a2/rendering/09.xyz", "0.0")</f>
        <v>0.0</v>
      </c>
      <c r="M266" s="13" t="str">
        <f>HYPERLINK(AC2 &amp; "/bottle/sn_d7305324e9dd49eccee5e41d780064a2/rendering/10.xyz", "0.0")</f>
        <v>0.0</v>
      </c>
      <c r="N266" s="13" t="str">
        <f>HYPERLINK(AC2 &amp; "/bottle/sn_d7305324e9dd49eccee5e41d780064a2/rendering/11.xyz", "0.0")</f>
        <v>0.0</v>
      </c>
      <c r="O266" s="13" t="str">
        <f>HYPERLINK(AC2 &amp; "/bottle/sn_d7305324e9dd49eccee5e41d780064a2/rendering/12.xyz", "0.0")</f>
        <v>0.0</v>
      </c>
      <c r="P266" s="13" t="str">
        <f>HYPERLINK(AC2 &amp; "/bottle/sn_d7305324e9dd49eccee5e41d780064a2/rendering/13.xyz", "0.0")</f>
        <v>0.0</v>
      </c>
      <c r="Q266" s="13" t="str">
        <f>HYPERLINK(AC2 &amp; "/bottle/sn_d7305324e9dd49eccee5e41d780064a2/rendering/14.xyz", "0.0")</f>
        <v>0.0</v>
      </c>
      <c r="R266" s="13" t="str">
        <f>HYPERLINK(AC2 &amp; "/bottle/sn_d7305324e9dd49eccee5e41d780064a2/rendering/15.xyz", "0.0")</f>
        <v>0.0</v>
      </c>
      <c r="S266" s="13" t="str">
        <f>HYPERLINK(AC2 &amp; "/bottle/sn_d7305324e9dd49eccee5e41d780064a2/rendering/16.xyz", "0.0")</f>
        <v>0.0</v>
      </c>
      <c r="T266" s="13" t="str">
        <f>HYPERLINK(AC2 &amp; "/bottle/sn_d7305324e9dd49eccee5e41d780064a2/rendering/17.xyz", "0.0")</f>
        <v>0.0</v>
      </c>
      <c r="U266" s="13" t="str">
        <f>HYPERLINK(AC2 &amp; "/bottle/sn_d7305324e9dd49eccee5e41d780064a2/rendering/18.xyz", "0.0")</f>
        <v>0.0</v>
      </c>
      <c r="V266" s="13" t="str">
        <f>HYPERLINK(AC2 &amp; "/bottle/sn_d7305324e9dd49eccee5e41d780064a2/rendering/19.xyz", "0.0")</f>
        <v>0.0</v>
      </c>
      <c r="W266" s="12" t="s">
        <v>33</v>
      </c>
      <c r="X266" s="13">
        <v>0</v>
      </c>
      <c r="Y266" s="13">
        <v>0</v>
      </c>
      <c r="Z266" s="13">
        <v>0</v>
      </c>
    </row>
    <row r="267" spans="1:26" x14ac:dyDescent="0.2">
      <c r="A267" s="1">
        <v>265</v>
      </c>
      <c r="B267" s="2" t="s">
        <v>86</v>
      </c>
      <c r="C267" s="78" t="str">
        <f>HYPERLINK(AA2 &amp; "/bottle/sn_d74bc917899133e080c257afea181fa2/rendering/00.obj", "3.30652526855")</f>
        <v>3.30652526855</v>
      </c>
      <c r="D267" s="4" t="str">
        <f>HYPERLINK(AA2 &amp; "/bottle/sn_d74bc917899133e080c257afea181fa2/rendering/01.obj", "4.51060394287")</f>
        <v>4.51060394287</v>
      </c>
      <c r="E267" s="38" t="str">
        <f>HYPERLINK(AA2 &amp; "/bottle/sn_d74bc917899133e080c257afea181fa2/rendering/02.obj", "3.82656890869")</f>
        <v>3.82656890869</v>
      </c>
      <c r="F267" s="134" t="str">
        <f>HYPERLINK(AA2 &amp; "/bottle/sn_d74bc917899133e080c257afea181fa2/rendering/03.obj", "2.88132659912")</f>
        <v>2.88132659912</v>
      </c>
      <c r="G267" s="75" t="str">
        <f>HYPERLINK(AA2 &amp; "/bottle/sn_d74bc917899133e080c257afea181fa2/rendering/04.obj", "4.29197021484")</f>
        <v>4.29197021484</v>
      </c>
      <c r="H267" s="169" t="str">
        <f>HYPERLINK(AA2 &amp; "/bottle/sn_d74bc917899133e080c257afea181fa2/rendering/05.obj", "2.41896514893")</f>
        <v>2.41896514893</v>
      </c>
      <c r="I267" s="86" t="str">
        <f>HYPERLINK(AA2 &amp; "/bottle/sn_d74bc917899133e080c257afea181fa2/rendering/06.obj", "2.56834716797")</f>
        <v>2.56834716797</v>
      </c>
      <c r="J267" s="31" t="str">
        <f>HYPERLINK(AA2 &amp; "/bottle/sn_d74bc917899133e080c257afea181fa2/rendering/07.obj", "4.05812194824")</f>
        <v>4.05812194824</v>
      </c>
      <c r="K267" s="117" t="str">
        <f>HYPERLINK(AA2 &amp; "/bottle/sn_d74bc917899133e080c257afea181fa2/rendering/08.obj", "2.89607849121")</f>
        <v>2.89607849121</v>
      </c>
      <c r="L267" s="106" t="str">
        <f>HYPERLINK(AA2 &amp; "/bottle/sn_d74bc917899133e080c257afea181fa2/rendering/09.obj", "3.92188476563")</f>
        <v>3.92188476563</v>
      </c>
      <c r="M267" s="150" t="str">
        <f>HYPERLINK(AA2 &amp; "/bottle/sn_d74bc917899133e080c257afea181fa2/rendering/10.obj", "5.41154296875")</f>
        <v>5.41154296875</v>
      </c>
      <c r="N267" s="205" t="str">
        <f>HYPERLINK(AA2 &amp; "/bottle/sn_d74bc917899133e080c257afea181fa2/rendering/11.obj", "5.85999816895")</f>
        <v>5.85999816895</v>
      </c>
      <c r="O267" s="28" t="str">
        <f>HYPERLINK(AA2 &amp; "/bottle/sn_d74bc917899133e080c257afea181fa2/rendering/12.obj", "3.91259460449")</f>
        <v>3.91259460449</v>
      </c>
      <c r="P267" s="98" t="str">
        <f>HYPERLINK(AA2 &amp; "/bottle/sn_d74bc917899133e080c257afea181fa2/rendering/13.obj", "2.70015075684")</f>
        <v>2.70015075684</v>
      </c>
      <c r="Q267" s="133" t="str">
        <f>HYPERLINK(AA2 &amp; "/bottle/sn_d74bc917899133e080c257afea181fa2/rendering/14.obj", "3.15915924072")</f>
        <v>3.15915924072</v>
      </c>
      <c r="R267" s="66" t="str">
        <f>HYPERLINK(AA2 &amp; "/bottle/sn_d74bc917899133e080c257afea181fa2/rendering/15.obj", "4.08966674805")</f>
        <v>4.08966674805</v>
      </c>
      <c r="S267" s="42" t="str">
        <f>HYPERLINK(AA2 &amp; "/bottle/sn_d74bc917899133e080c257afea181fa2/rendering/16.obj", "3.03448455811")</f>
        <v>3.03448455811</v>
      </c>
      <c r="T267" s="54" t="str">
        <f>HYPERLINK(AA2 &amp; "/bottle/sn_d74bc917899133e080c257afea181fa2/rendering/17.obj", "2.36171142578")</f>
        <v>2.36171142578</v>
      </c>
      <c r="U267" s="88" t="str">
        <f>HYPERLINK(AA2 &amp; "/bottle/sn_d74bc917899133e080c257afea181fa2/rendering/18.obj", "2.80684387207")</f>
        <v>2.80684387207</v>
      </c>
      <c r="V267" s="149" t="str">
        <f>HYPERLINK(AA2 &amp; "/bottle/sn_d74bc917899133e080c257afea181fa2/rendering/19.obj", "2.30625595093")</f>
        <v>2.30625595093</v>
      </c>
      <c r="W267" s="12" t="s">
        <v>29</v>
      </c>
      <c r="X267" s="13">
        <v>3.516140037536621</v>
      </c>
      <c r="Y267" s="13">
        <v>0.97407240771745307</v>
      </c>
      <c r="Z267" s="7">
        <v>0.27702890024820509</v>
      </c>
    </row>
    <row r="268" spans="1:26" x14ac:dyDescent="0.2">
      <c r="A268" s="1">
        <v>266</v>
      </c>
      <c r="B268" s="2" t="s">
        <v>86</v>
      </c>
      <c r="C268" s="19" t="str">
        <f>HYPERLINK(AA2 &amp; "/bottle/sn_d74bc917899133e080c257afea181fa2/rendering/00.obj", "3.13118267059")</f>
        <v>3.13118267059</v>
      </c>
      <c r="D268" s="75" t="str">
        <f>HYPERLINK(AA2 &amp; "/bottle/sn_d74bc917899133e080c257afea181fa2/rendering/01.obj", "5.17088890076")</f>
        <v>5.17088890076</v>
      </c>
      <c r="E268" s="31" t="str">
        <f>HYPERLINK(AA2 &amp; "/bottle/sn_d74bc917899133e080c257afea181fa2/rendering/02.obj", "3.57598567009")</f>
        <v>3.57598567009</v>
      </c>
      <c r="F268" s="72" t="str">
        <f>HYPERLINK(AA2 &amp; "/bottle/sn_d74bc917899133e080c257afea181fa2/rendering/03.obj", "4.09492921829")</f>
        <v>4.09492921829</v>
      </c>
      <c r="G268" s="20" t="str">
        <f>HYPERLINK(AA2 &amp; "/bottle/sn_d74bc917899133e080c257afea181fa2/rendering/04.obj", "7.62070035934")</f>
        <v>7.62070035934</v>
      </c>
      <c r="H268" s="4" t="str">
        <f>HYPERLINK(AA2 &amp; "/bottle/sn_d74bc917899133e080c257afea181fa2/rendering/05.obj", "3.0328066349")</f>
        <v>3.0328066349</v>
      </c>
      <c r="I268" s="90" t="str">
        <f>HYPERLINK(AA2 &amp; "/bottle/sn_d74bc917899133e080c257afea181fa2/rendering/06.obj", "3.83584117889")</f>
        <v>3.83584117889</v>
      </c>
      <c r="J268" s="61" t="str">
        <f>HYPERLINK(AA2 &amp; "/bottle/sn_d74bc917899133e080c257afea181fa2/rendering/07.obj", "5.52198410034")</f>
        <v>5.52198410034</v>
      </c>
      <c r="K268" s="71" t="str">
        <f>HYPERLINK(AA2 &amp; "/bottle/sn_d74bc917899133e080c257afea181fa2/rendering/08.obj", "4.73578166962")</f>
        <v>4.73578166962</v>
      </c>
      <c r="L268" s="17" t="str">
        <f>HYPERLINK(AA2 &amp; "/bottle/sn_d74bc917899133e080c257afea181fa2/rendering/09.obj", "4.32381248474")</f>
        <v>4.32381248474</v>
      </c>
      <c r="M268" s="149" t="str">
        <f>HYPERLINK(AA2 &amp; "/bottle/sn_d74bc917899133e080c257afea181fa2/rendering/10.obj", "5.70225954056")</f>
        <v>5.70225954056</v>
      </c>
      <c r="N268" s="199" t="str">
        <f>HYPERLINK(AA2 &amp; "/bottle/sn_d74bc917899133e080c257afea181fa2/rendering/11.obj", "7.57473230362")</f>
        <v>7.57473230362</v>
      </c>
      <c r="O268" s="37" t="str">
        <f>HYPERLINK(AA2 &amp; "/bottle/sn_d74bc917899133e080c257afea181fa2/rendering/12.obj", "4.98032426834")</f>
        <v>4.98032426834</v>
      </c>
      <c r="P268" s="99" t="str">
        <f>HYPERLINK(AA2 &amp; "/bottle/sn_d74bc917899133e080c257afea181fa2/rendering/13.obj", "3.09078931808")</f>
        <v>3.09078931808</v>
      </c>
      <c r="Q268" s="75" t="str">
        <f>HYPERLINK(AA2 &amp; "/bottle/sn_d74bc917899133e080c257afea181fa2/rendering/14.obj", "3.29871821404")</f>
        <v>3.29871821404</v>
      </c>
      <c r="R268" s="63" t="str">
        <f>HYPERLINK(AA2 &amp; "/bottle/sn_d74bc917899133e080c257afea181fa2/rendering/15.obj", "3.73030662537")</f>
        <v>3.73030662537</v>
      </c>
      <c r="S268" s="153" t="str">
        <f>HYPERLINK(AA2 &amp; "/bottle/sn_d74bc917899133e080c257afea181fa2/rendering/16.obj", "2.72910785675")</f>
        <v>2.72910785675</v>
      </c>
      <c r="T268" s="101" t="str">
        <f>HYPERLINK(AA2 &amp; "/bottle/sn_d74bc917899133e080c257afea181fa2/rendering/17.obj", "2.63824939728")</f>
        <v>2.63824939728</v>
      </c>
      <c r="U268" s="31" t="str">
        <f>HYPERLINK(AA2 &amp; "/bottle/sn_d74bc917899133e080c257afea181fa2/rendering/18.obj", "3.58205294609")</f>
        <v>3.58205294609</v>
      </c>
      <c r="V268" s="179" t="str">
        <f>HYPERLINK(AA2 &amp; "/bottle/sn_d74bc917899133e080c257afea181fa2/rendering/19.obj", "2.41896510124")</f>
        <v>2.41896510124</v>
      </c>
      <c r="W268" s="12" t="s">
        <v>30</v>
      </c>
      <c r="X268" s="13">
        <v>4.2394709229469303</v>
      </c>
      <c r="Y268" s="13">
        <v>1.4555884762455129</v>
      </c>
      <c r="Z268" s="149">
        <v>0.3433420119399494</v>
      </c>
    </row>
    <row r="269" spans="1:26" x14ac:dyDescent="0.2">
      <c r="A269" s="1">
        <v>267</v>
      </c>
      <c r="B269" s="2" t="s">
        <v>86</v>
      </c>
      <c r="C269" s="17" t="str">
        <f>HYPERLINK(AB2 &amp; "/bottle/sn_d74bc917899133e080c257afea181fa2/rendering/00.obj", "2.52256439209")</f>
        <v>2.52256439209</v>
      </c>
      <c r="D269" s="42" t="str">
        <f>HYPERLINK(AB2 &amp; "/bottle/sn_d74bc917899133e080c257afea181fa2/rendering/01.obj", "2.22453125")</f>
        <v>2.22453125</v>
      </c>
      <c r="E269" s="35" t="str">
        <f>HYPERLINK(AB2 &amp; "/bottle/sn_d74bc917899133e080c257afea181fa2/rendering/02.obj", "2.42893371582")</f>
        <v>2.42893371582</v>
      </c>
      <c r="F269" s="32" t="str">
        <f>HYPERLINK(AB2 &amp; "/bottle/sn_d74bc917899133e080c257afea181fa2/rendering/03.obj", "2.84690490723")</f>
        <v>2.84690490723</v>
      </c>
      <c r="G269" s="25" t="str">
        <f>HYPERLINK(AB2 &amp; "/bottle/sn_d74bc917899133e080c257afea181fa2/rendering/04.obj", "2.60536560059")</f>
        <v>2.60536560059</v>
      </c>
      <c r="H269" s="17" t="str">
        <f>HYPERLINK(AB2 &amp; "/bottle/sn_d74bc917899133e080c257afea181fa2/rendering/05.obj", "2.52359863281")</f>
        <v>2.52359863281</v>
      </c>
      <c r="I269" s="38" t="str">
        <f>HYPERLINK(AB2 &amp; "/bottle/sn_d74bc917899133e080c257afea181fa2/rendering/06.obj", "2.34899353027")</f>
        <v>2.34899353027</v>
      </c>
      <c r="J269" s="35" t="str">
        <f>HYPERLINK(AB2 &amp; "/bottle/sn_d74bc917899133e080c257afea181fa2/rendering/07.obj", "2.72920959473")</f>
        <v>2.72920959473</v>
      </c>
      <c r="K269" s="67" t="str">
        <f>HYPERLINK(AB2 &amp; "/bottle/sn_d74bc917899133e080c257afea181fa2/rendering/08.obj", "2.81884033203")</f>
        <v>2.81884033203</v>
      </c>
      <c r="L269" s="13" t="str">
        <f>HYPERLINK(AB2 &amp; "/bottle/sn_d74bc917899133e080c257afea181fa2/rendering/09.obj", "2.57362670898")</f>
        <v>2.57362670898</v>
      </c>
      <c r="M269" s="41" t="str">
        <f>HYPERLINK(AB2 &amp; "/bottle/sn_d74bc917899133e080c257afea181fa2/rendering/10.obj", "2.74989685059")</f>
        <v>2.74989685059</v>
      </c>
      <c r="N269" s="10" t="str">
        <f>HYPERLINK(AB2 &amp; "/bottle/sn_d74bc917899133e080c257afea181fa2/rendering/11.obj", "2.71552734375")</f>
        <v>2.71552734375</v>
      </c>
      <c r="O269" s="33" t="str">
        <f>HYPERLINK(AB2 &amp; "/bottle/sn_d74bc917899133e080c257afea181fa2/rendering/12.obj", "2.29757568359")</f>
        <v>2.29757568359</v>
      </c>
      <c r="P269" s="63" t="str">
        <f>HYPERLINK(AB2 &amp; "/bottle/sn_d74bc917899133e080c257afea181fa2/rendering/13.obj", "2.88655578613")</f>
        <v>2.88655578613</v>
      </c>
      <c r="Q269" s="109" t="str">
        <f>HYPERLINK(AB2 &amp; "/bottle/sn_d74bc917899133e080c257afea181fa2/rendering/14.obj", "2.0876612854")</f>
        <v>2.0876612854</v>
      </c>
      <c r="R269" s="73" t="str">
        <f>HYPERLINK(AB2 &amp; "/bottle/sn_d74bc917899133e080c257afea181fa2/rendering/15.obj", "2.48169281006")</f>
        <v>2.48169281006</v>
      </c>
      <c r="S269" s="30" t="str">
        <f>HYPERLINK(AB2 &amp; "/bottle/sn_d74bc917899133e080c257afea181fa2/rendering/16.obj", "2.59050842285")</f>
        <v>2.59050842285</v>
      </c>
      <c r="T269" s="60" t="str">
        <f>HYPERLINK(AB2 &amp; "/bottle/sn_d74bc917899133e080c257afea181fa2/rendering/17.obj", "2.71015563965")</f>
        <v>2.71015563965</v>
      </c>
      <c r="U269" s="33" t="str">
        <f>HYPERLINK(AB2 &amp; "/bottle/sn_d74bc917899133e080c257afea181fa2/rendering/18.obj", "2.85438537598")</f>
        <v>2.85438537598</v>
      </c>
      <c r="V269" s="46" t="str">
        <f>HYPERLINK(AB2 &amp; "/bottle/sn_d74bc917899133e080c257afea181fa2/rendering/19.obj", "2.53207763672")</f>
        <v>2.53207763672</v>
      </c>
      <c r="W269" s="12" t="s">
        <v>31</v>
      </c>
      <c r="X269" s="13">
        <v>2.576430274963379</v>
      </c>
      <c r="Y269" s="13">
        <v>0.2153680200388769</v>
      </c>
      <c r="Z269" s="107">
        <v>8.3591635345900486E-2</v>
      </c>
    </row>
    <row r="270" spans="1:26" x14ac:dyDescent="0.2">
      <c r="A270" s="1">
        <v>268</v>
      </c>
      <c r="B270" s="2" t="s">
        <v>86</v>
      </c>
      <c r="C270" s="24" t="str">
        <f>HYPERLINK(AB2 &amp; "/bottle/sn_d74bc917899133e080c257afea181fa2/rendering/00.obj", "2.47338032722")</f>
        <v>2.47338032722</v>
      </c>
      <c r="D270" s="133" t="str">
        <f>HYPERLINK(AB2 &amp; "/bottle/sn_d74bc917899133e080c257afea181fa2/rendering/01.obj", "2.66904783249")</f>
        <v>2.66904783249</v>
      </c>
      <c r="E270" s="78" t="str">
        <f>HYPERLINK(AB2 &amp; "/bottle/sn_d74bc917899133e080c257afea181fa2/rendering/02.obj", "2.79236388206")</f>
        <v>2.79236388206</v>
      </c>
      <c r="F270" s="55" t="str">
        <f>HYPERLINK(AB2 &amp; "/bottle/sn_d74bc917899133e080c257afea181fa2/rendering/03.obj", "3.54639005661")</f>
        <v>3.54639005661</v>
      </c>
      <c r="G270" s="129" t="str">
        <f>HYPERLINK(AB2 &amp; "/bottle/sn_d74bc917899133e080c257afea181fa2/rendering/04.obj", "3.7175784111")</f>
        <v>3.7175784111</v>
      </c>
      <c r="H270" s="13" t="str">
        <f>HYPERLINK(AB2 &amp; "/bottle/sn_d74bc917899133e080c257afea181fa2/rendering/05.obj", "2.96615147591")</f>
        <v>2.96615147591</v>
      </c>
      <c r="I270" s="110" t="str">
        <f>HYPERLINK(AB2 &amp; "/bottle/sn_d74bc917899133e080c257afea181fa2/rendering/06.obj", "3.26735591888")</f>
        <v>3.26735591888</v>
      </c>
      <c r="J270" s="10" t="str">
        <f>HYPERLINK(AB2 &amp; "/bottle/sn_d74bc917899133e080c257afea181fa2/rendering/07.obj", "2.80987477303")</f>
        <v>2.80987477303</v>
      </c>
      <c r="K270" s="170" t="str">
        <f>HYPERLINK(AB2 &amp; "/bottle/sn_d74bc917899133e080c257afea181fa2/rendering/08.obj", "3.71935510635")</f>
        <v>3.71935510635</v>
      </c>
      <c r="L270" s="64" t="str">
        <f>HYPERLINK(AB2 &amp; "/bottle/sn_d74bc917899133e080c257afea181fa2/rendering/09.obj", "3.46432137489")</f>
        <v>3.46432137489</v>
      </c>
      <c r="M270" s="94" t="str">
        <f>HYPERLINK(AB2 &amp; "/bottle/sn_d74bc917899133e080c257afea181fa2/rendering/10.obj", "3.19348025322")</f>
        <v>3.19348025322</v>
      </c>
      <c r="N270" s="5" t="str">
        <f>HYPERLINK(AB2 &amp; "/bottle/sn_d74bc917899133e080c257afea181fa2/rendering/11.obj", "2.74365735054")</f>
        <v>2.74365735054</v>
      </c>
      <c r="O270" s="87" t="str">
        <f>HYPERLINK(AB2 &amp; "/bottle/sn_d74bc917899133e080c257afea181fa2/rendering/12.obj", "2.29793381691")</f>
        <v>2.29793381691</v>
      </c>
      <c r="P270" s="37" t="str">
        <f>HYPERLINK(AB2 &amp; "/bottle/sn_d74bc917899133e080c257afea181fa2/rendering/13.obj", "2.45148158073")</f>
        <v>2.45148158073</v>
      </c>
      <c r="Q270" s="83" t="str">
        <f>HYPERLINK(AB2 &amp; "/bottle/sn_d74bc917899133e080c257afea181fa2/rendering/14.obj", "2.51842689514")</f>
        <v>2.51842689514</v>
      </c>
      <c r="R270" s="23" t="str">
        <f>HYPERLINK(AB2 &amp; "/bottle/sn_d74bc917899133e080c257afea181fa2/rendering/15.obj", "3.08885073662")</f>
        <v>3.08885073662</v>
      </c>
      <c r="S270" s="76" t="str">
        <f>HYPERLINK(AB2 &amp; "/bottle/sn_d74bc917899133e080c257afea181fa2/rendering/16.obj", "2.4304959774")</f>
        <v>2.4304959774</v>
      </c>
      <c r="T270" s="69" t="str">
        <f>HYPERLINK(AB2 &amp; "/bottle/sn_d74bc917899133e080c257afea181fa2/rendering/17.obj", "2.88678073883")</f>
        <v>2.88678073883</v>
      </c>
      <c r="U270" s="96" t="str">
        <f>HYPERLINK(AB2 &amp; "/bottle/sn_d74bc917899133e080c257afea181fa2/rendering/18.obj", "4.0450501442")</f>
        <v>4.0450501442</v>
      </c>
      <c r="V270" s="82" t="str">
        <f>HYPERLINK(AB2 &amp; "/bottle/sn_d74bc917899133e080c257afea181fa2/rendering/19.obj", "2.35872340202")</f>
        <v>2.35872340202</v>
      </c>
      <c r="W270" s="12" t="s">
        <v>32</v>
      </c>
      <c r="X270" s="13">
        <v>2.9720350027084348</v>
      </c>
      <c r="Y270" s="13">
        <v>0.50233806384135093</v>
      </c>
      <c r="Z270" s="24">
        <v>0.1690215839933133</v>
      </c>
    </row>
    <row r="271" spans="1:26" x14ac:dyDescent="0.2">
      <c r="A271" s="1">
        <v>269</v>
      </c>
      <c r="B271" s="2" t="s">
        <v>86</v>
      </c>
      <c r="C271" s="13" t="str">
        <f>HYPERLINK(AC2 &amp; "/bottle/sn_d74bc917899133e080c257afea181fa2/rendering/00.xyz", "0.0")</f>
        <v>0.0</v>
      </c>
      <c r="D271" s="13" t="str">
        <f>HYPERLINK(AC2 &amp; "/bottle/sn_d74bc917899133e080c257afea181fa2/rendering/01.xyz", "0.0")</f>
        <v>0.0</v>
      </c>
      <c r="E271" s="13" t="str">
        <f>HYPERLINK(AC2 &amp; "/bottle/sn_d74bc917899133e080c257afea181fa2/rendering/02.xyz", "0.0")</f>
        <v>0.0</v>
      </c>
      <c r="F271" s="13" t="str">
        <f>HYPERLINK(AC2 &amp; "/bottle/sn_d74bc917899133e080c257afea181fa2/rendering/03.xyz", "0.0")</f>
        <v>0.0</v>
      </c>
      <c r="G271" s="13" t="str">
        <f>HYPERLINK(AC2 &amp; "/bottle/sn_d74bc917899133e080c257afea181fa2/rendering/04.xyz", "0.0")</f>
        <v>0.0</v>
      </c>
      <c r="H271" s="13" t="str">
        <f>HYPERLINK(AC2 &amp; "/bottle/sn_d74bc917899133e080c257afea181fa2/rendering/05.xyz", "0.0")</f>
        <v>0.0</v>
      </c>
      <c r="I271" s="13" t="str">
        <f>HYPERLINK(AC2 &amp; "/bottle/sn_d74bc917899133e080c257afea181fa2/rendering/06.xyz", "0.0")</f>
        <v>0.0</v>
      </c>
      <c r="J271" s="13" t="str">
        <f>HYPERLINK(AC2 &amp; "/bottle/sn_d74bc917899133e080c257afea181fa2/rendering/07.xyz", "0.0")</f>
        <v>0.0</v>
      </c>
      <c r="K271" s="13" t="str">
        <f>HYPERLINK(AC2 &amp; "/bottle/sn_d74bc917899133e080c257afea181fa2/rendering/08.xyz", "0.0")</f>
        <v>0.0</v>
      </c>
      <c r="L271" s="13" t="str">
        <f>HYPERLINK(AC2 &amp; "/bottle/sn_d74bc917899133e080c257afea181fa2/rendering/09.xyz", "0.0")</f>
        <v>0.0</v>
      </c>
      <c r="M271" s="13" t="str">
        <f>HYPERLINK(AC2 &amp; "/bottle/sn_d74bc917899133e080c257afea181fa2/rendering/10.xyz", "0.0")</f>
        <v>0.0</v>
      </c>
      <c r="N271" s="13" t="str">
        <f>HYPERLINK(AC2 &amp; "/bottle/sn_d74bc917899133e080c257afea181fa2/rendering/11.xyz", "0.0")</f>
        <v>0.0</v>
      </c>
      <c r="O271" s="13" t="str">
        <f>HYPERLINK(AC2 &amp; "/bottle/sn_d74bc917899133e080c257afea181fa2/rendering/12.xyz", "0.0")</f>
        <v>0.0</v>
      </c>
      <c r="P271" s="13" t="str">
        <f>HYPERLINK(AC2 &amp; "/bottle/sn_d74bc917899133e080c257afea181fa2/rendering/13.xyz", "0.0")</f>
        <v>0.0</v>
      </c>
      <c r="Q271" s="13" t="str">
        <f>HYPERLINK(AC2 &amp; "/bottle/sn_d74bc917899133e080c257afea181fa2/rendering/14.xyz", "0.0")</f>
        <v>0.0</v>
      </c>
      <c r="R271" s="13" t="str">
        <f>HYPERLINK(AC2 &amp; "/bottle/sn_d74bc917899133e080c257afea181fa2/rendering/15.xyz", "0.0")</f>
        <v>0.0</v>
      </c>
      <c r="S271" s="13" t="str">
        <f>HYPERLINK(AC2 &amp; "/bottle/sn_d74bc917899133e080c257afea181fa2/rendering/16.xyz", "0.0")</f>
        <v>0.0</v>
      </c>
      <c r="T271" s="13" t="str">
        <f>HYPERLINK(AC2 &amp; "/bottle/sn_d74bc917899133e080c257afea181fa2/rendering/17.xyz", "0.0")</f>
        <v>0.0</v>
      </c>
      <c r="U271" s="13" t="str">
        <f>HYPERLINK(AC2 &amp; "/bottle/sn_d74bc917899133e080c257afea181fa2/rendering/18.xyz", "0.0")</f>
        <v>0.0</v>
      </c>
      <c r="V271" s="13" t="str">
        <f>HYPERLINK(AC2 &amp; "/bottle/sn_d74bc917899133e080c257afea181fa2/rendering/19.xyz", "0.0")</f>
        <v>0.0</v>
      </c>
      <c r="W271" s="12" t="s">
        <v>33</v>
      </c>
      <c r="X271" s="13">
        <v>0</v>
      </c>
      <c r="Y271" s="13">
        <v>0</v>
      </c>
      <c r="Z271" s="13">
        <v>0</v>
      </c>
    </row>
    <row r="272" spans="1:26" x14ac:dyDescent="0.2">
      <c r="A272" s="1">
        <v>270</v>
      </c>
      <c r="B272" s="2" t="s">
        <v>87</v>
      </c>
      <c r="C272" s="20" t="str">
        <f>HYPERLINK(AA2 &amp; "/bottle/sn_d829ffd1d35f36a61ad51dad4e9c1543/rendering/00.obj", "11.5231420898")</f>
        <v>11.5231420898</v>
      </c>
      <c r="D272" s="83" t="str">
        <f>HYPERLINK(AA2 &amp; "/bottle/sn_d829ffd1d35f36a61ad51dad4e9c1543/rendering/01.obj", "3.8067678833")</f>
        <v>3.8067678833</v>
      </c>
      <c r="E272" s="98" t="str">
        <f>HYPERLINK(AA2 &amp; "/bottle/sn_d829ffd1d35f36a61ad51dad4e9c1543/rendering/02.obj", "3.46099609375")</f>
        <v>3.46099609375</v>
      </c>
      <c r="F272" s="4" t="str">
        <f>HYPERLINK(AA2 &amp; "/bottle/sn_d829ffd1d35f36a61ad51dad4e9c1543/rendering/03.obj", "3.21341918945")</f>
        <v>3.21341918945</v>
      </c>
      <c r="G272" s="6" t="str">
        <f>HYPERLINK(AA2 &amp; "/bottle/sn_d829ffd1d35f36a61ad51dad4e9c1543/rendering/04.obj", "4.28461425781")</f>
        <v>4.28461425781</v>
      </c>
      <c r="H272" s="134" t="str">
        <f>HYPERLINK(AA2 &amp; "/bottle/sn_d829ffd1d35f36a61ad51dad4e9c1543/rendering/05.obj", "3.68590148926")</f>
        <v>3.68590148926</v>
      </c>
      <c r="I272" s="50" t="str">
        <f>HYPERLINK(AA2 &amp; "/bottle/sn_d829ffd1d35f36a61ad51dad4e9c1543/rendering/06.obj", "5.39191894531")</f>
        <v>5.39191894531</v>
      </c>
      <c r="J272" s="53" t="str">
        <f>HYPERLINK(AA2 &amp; "/bottle/sn_d829ffd1d35f36a61ad51dad4e9c1543/rendering/07.obj", "6.3403112793")</f>
        <v>6.3403112793</v>
      </c>
      <c r="K272" s="63" t="str">
        <f>HYPERLINK(AA2 &amp; "/bottle/sn_d829ffd1d35f36a61ad51dad4e9c1543/rendering/08.obj", "3.94443511963")</f>
        <v>3.94443511963</v>
      </c>
      <c r="L272" s="27" t="str">
        <f>HYPERLINK(AA2 &amp; "/bottle/sn_d829ffd1d35f36a61ad51dad4e9c1543/rendering/09.obj", "4.80695007324")</f>
        <v>4.80695007324</v>
      </c>
      <c r="M272" s="39" t="str">
        <f>HYPERLINK(AA2 &amp; "/bottle/sn_d829ffd1d35f36a61ad51dad4e9c1543/rendering/10.obj", "4.1054486084")</f>
        <v>4.1054486084</v>
      </c>
      <c r="N272" s="153" t="str">
        <f>HYPERLINK(AA2 &amp; "/bottle/sn_d829ffd1d35f36a61ad51dad4e9c1543/rendering/11.obj", "2.88785095215")</f>
        <v>2.88785095215</v>
      </c>
      <c r="O272" s="37" t="str">
        <f>HYPERLINK(AA2 &amp; "/bottle/sn_d829ffd1d35f36a61ad51dad4e9c1543/rendering/12.obj", "3.71120819092")</f>
        <v>3.71120819092</v>
      </c>
      <c r="P272" s="108" t="str">
        <f>HYPERLINK(AA2 &amp; "/bottle/sn_d829ffd1d35f36a61ad51dad4e9c1543/rendering/13.obj", "3.38858581543")</f>
        <v>3.38858581543</v>
      </c>
      <c r="Q272" s="82" t="str">
        <f>HYPERLINK(AA2 &amp; "/bottle/sn_d829ffd1d35f36a61ad51dad4e9c1543/rendering/14.obj", "3.56872161865")</f>
        <v>3.56872161865</v>
      </c>
      <c r="R272" s="68" t="str">
        <f>HYPERLINK(AA2 &amp; "/bottle/sn_d829ffd1d35f36a61ad51dad4e9c1543/rendering/15.obj", "4.67460144043")</f>
        <v>4.67460144043</v>
      </c>
      <c r="S272" s="47" t="str">
        <f>HYPERLINK(AA2 &amp; "/bottle/sn_d829ffd1d35f36a61ad51dad4e9c1543/rendering/16.obj", "4.52534820557")</f>
        <v>4.52534820557</v>
      </c>
      <c r="T272" s="60" t="str">
        <f>HYPERLINK(AA2 &amp; "/bottle/sn_d829ffd1d35f36a61ad51dad4e9c1543/rendering/17.obj", "4.25168487549")</f>
        <v>4.25168487549</v>
      </c>
      <c r="U272" s="77" t="str">
        <f>HYPERLINK(AA2 &amp; "/bottle/sn_d829ffd1d35f36a61ad51dad4e9c1543/rendering/18.obj", "3.65099395752")</f>
        <v>3.65099395752</v>
      </c>
      <c r="V272" s="17" t="str">
        <f>HYPERLINK(AA2 &amp; "/bottle/sn_d829ffd1d35f36a61ad51dad4e9c1543/rendering/19.obj", "4.58742736816")</f>
        <v>4.58742736816</v>
      </c>
      <c r="W272" s="12" t="s">
        <v>29</v>
      </c>
      <c r="X272" s="13">
        <v>4.4905163726806654</v>
      </c>
      <c r="Y272" s="13">
        <v>1.790712866134085</v>
      </c>
      <c r="Z272" s="52">
        <v>0.39877660329408832</v>
      </c>
    </row>
    <row r="273" spans="1:26" x14ac:dyDescent="0.2">
      <c r="A273" s="1">
        <v>271</v>
      </c>
      <c r="B273" s="2" t="s">
        <v>87</v>
      </c>
      <c r="C273" s="20" t="str">
        <f>HYPERLINK(AA2 &amp; "/bottle/sn_d829ffd1d35f36a61ad51dad4e9c1543/rendering/00.obj", "22.0112075806")</f>
        <v>22.0112075806</v>
      </c>
      <c r="D273" s="176" t="str">
        <f>HYPERLINK(AA2 &amp; "/bottle/sn_d829ffd1d35f36a61ad51dad4e9c1543/rendering/01.obj", "3.93101000786")</f>
        <v>3.93101000786</v>
      </c>
      <c r="E273" s="152" t="str">
        <f>HYPERLINK(AA2 &amp; "/bottle/sn_d829ffd1d35f36a61ad51dad4e9c1543/rendering/02.obj", "3.41851449013")</f>
        <v>3.41851449013</v>
      </c>
      <c r="F273" s="43" t="str">
        <f>HYPERLINK(AA2 &amp; "/bottle/sn_d829ffd1d35f36a61ad51dad4e9c1543/rendering/03.obj", "3.60688829422")</f>
        <v>3.60688829422</v>
      </c>
      <c r="G273" s="30" t="str">
        <f>HYPERLINK(AA2 &amp; "/bottle/sn_d829ffd1d35f36a61ad51dad4e9c1543/rendering/04.obj", "5.72938203812")</f>
        <v>5.72938203812</v>
      </c>
      <c r="H273" s="108" t="str">
        <f>HYPERLINK(AA2 &amp; "/bottle/sn_d829ffd1d35f36a61ad51dad4e9c1543/rendering/05.obj", "4.33655071259")</f>
        <v>4.33655071259</v>
      </c>
      <c r="I273" s="149" t="str">
        <f>HYPERLINK(AA2 &amp; "/bottle/sn_d829ffd1d35f36a61ad51dad4e9c1543/rendering/06.obj", "7.73910284042")</f>
        <v>7.73910284042</v>
      </c>
      <c r="J273" s="73" t="str">
        <f>HYPERLINK(AA2 &amp; "/bottle/sn_d829ffd1d35f36a61ad51dad4e9c1543/rendering/07.obj", "5.55656766891")</f>
        <v>5.55656766891</v>
      </c>
      <c r="K273" s="49" t="str">
        <f>HYPERLINK(AA2 &amp; "/bottle/sn_d829ffd1d35f36a61ad51dad4e9c1543/rendering/08.obj", "4.55805253983")</f>
        <v>4.55805253983</v>
      </c>
      <c r="L273" s="83" t="str">
        <f>HYPERLINK(AA2 &amp; "/bottle/sn_d829ffd1d35f36a61ad51dad4e9c1543/rendering/09.obj", "6.63516950607")</f>
        <v>6.63516950607</v>
      </c>
      <c r="M273" s="81" t="str">
        <f>HYPERLINK(AA2 &amp; "/bottle/sn_d829ffd1d35f36a61ad51dad4e9c1543/rendering/10.obj", "4.49798631668")</f>
        <v>4.49798631668</v>
      </c>
      <c r="N273" s="130" t="str">
        <f>HYPERLINK(AA2 &amp; "/bottle/sn_d829ffd1d35f36a61ad51dad4e9c1543/rendering/11.obj", "3.17303752899")</f>
        <v>3.17303752899</v>
      </c>
      <c r="O273" s="103" t="str">
        <f>HYPERLINK(AA2 &amp; "/bottle/sn_d829ffd1d35f36a61ad51dad4e9c1543/rendering/12.obj", "3.89071631432")</f>
        <v>3.89071631432</v>
      </c>
      <c r="P273" s="212" t="str">
        <f>HYPERLINK(AA2 &amp; "/bottle/sn_d829ffd1d35f36a61ad51dad4e9c1543/rendering/13.obj", "3.26951909065")</f>
        <v>3.26951909065</v>
      </c>
      <c r="Q273" s="120" t="str">
        <f>HYPERLINK(AA2 &amp; "/bottle/sn_d829ffd1d35f36a61ad51dad4e9c1543/rendering/14.obj", "4.55088376999")</f>
        <v>4.55088376999</v>
      </c>
      <c r="R273" s="55" t="str">
        <f>HYPERLINK(AA2 &amp; "/bottle/sn_d829ffd1d35f36a61ad51dad4e9c1543/rendering/15.obj", "6.86962080002")</f>
        <v>6.86962080002</v>
      </c>
      <c r="S273" s="107" t="str">
        <f>HYPERLINK(AA2 &amp; "/bottle/sn_d829ffd1d35f36a61ad51dad4e9c1543/rendering/16.obj", "6.23752403259")</f>
        <v>6.23752403259</v>
      </c>
      <c r="T273" s="38" t="str">
        <f>HYPERLINK(AA2 &amp; "/bottle/sn_d829ffd1d35f36a61ad51dad4e9c1543/rendering/17.obj", "6.27449607849")</f>
        <v>6.27449607849</v>
      </c>
      <c r="U273" s="83" t="str">
        <f>HYPERLINK(AA2 &amp; "/bottle/sn_d829ffd1d35f36a61ad51dad4e9c1543/rendering/18.obj", "4.89200115204")</f>
        <v>4.89200115204</v>
      </c>
      <c r="V273" s="118" t="str">
        <f>HYPERLINK(AA2 &amp; "/bottle/sn_d829ffd1d35f36a61ad51dad4e9c1543/rendering/19.obj", "4.07719564438")</f>
        <v>4.07719564438</v>
      </c>
      <c r="W273" s="12" t="s">
        <v>30</v>
      </c>
      <c r="X273" s="13">
        <v>5.7627713203430178</v>
      </c>
      <c r="Y273" s="13">
        <v>3.9402677497813818</v>
      </c>
      <c r="Z273" s="229">
        <v>0.68374529037304321</v>
      </c>
    </row>
    <row r="274" spans="1:26" x14ac:dyDescent="0.2">
      <c r="A274" s="1">
        <v>272</v>
      </c>
      <c r="B274" s="2" t="s">
        <v>87</v>
      </c>
      <c r="C274" s="228" t="str">
        <f>HYPERLINK(AB2 &amp; "/bottle/sn_d829ffd1d35f36a61ad51dad4e9c1543/rendering/00.obj", "6.14575439453")</f>
        <v>6.14575439453</v>
      </c>
      <c r="D274" s="32" t="str">
        <f>HYPERLINK(AB2 &amp; "/bottle/sn_d829ffd1d35f36a61ad51dad4e9c1543/rendering/01.obj", "3.59403747559")</f>
        <v>3.59403747559</v>
      </c>
      <c r="E274" s="37" t="str">
        <f>HYPERLINK(AB2 &amp; "/bottle/sn_d829ffd1d35f36a61ad51dad4e9c1543/rendering/02.obj", "3.31400939941")</f>
        <v>3.31400939941</v>
      </c>
      <c r="F274" s="79" t="str">
        <f>HYPERLINK(AB2 &amp; "/bottle/sn_d829ffd1d35f36a61ad51dad4e9c1543/rendering/03.obj", "3.37719696045")</f>
        <v>3.37719696045</v>
      </c>
      <c r="G274" s="93" t="str">
        <f>HYPERLINK(AB2 &amp; "/bottle/sn_d829ffd1d35f36a61ad51dad4e9c1543/rendering/04.obj", "3.4510369873")</f>
        <v>3.4510369873</v>
      </c>
      <c r="H274" s="91" t="str">
        <f>HYPERLINK(AB2 &amp; "/bottle/sn_d829ffd1d35f36a61ad51dad4e9c1543/rendering/05.obj", "4.11963806152")</f>
        <v>4.11963806152</v>
      </c>
      <c r="I274" s="69" t="str">
        <f>HYPERLINK(AB2 &amp; "/bottle/sn_d829ffd1d35f36a61ad51dad4e9c1543/rendering/06.obj", "4.12385131836")</f>
        <v>4.12385131836</v>
      </c>
      <c r="J274" s="26" t="str">
        <f>HYPERLINK(AB2 &amp; "/bottle/sn_d829ffd1d35f36a61ad51dad4e9c1543/rendering/07.obj", "3.75587615967")</f>
        <v>3.75587615967</v>
      </c>
      <c r="K274" s="29" t="str">
        <f>HYPERLINK(AB2 &amp; "/bottle/sn_d829ffd1d35f36a61ad51dad4e9c1543/rendering/08.obj", "3.49166137695")</f>
        <v>3.49166137695</v>
      </c>
      <c r="L274" s="60" t="str">
        <f>HYPERLINK(AB2 &amp; "/bottle/sn_d829ffd1d35f36a61ad51dad4e9c1543/rendering/09.obj", "3.80786560059")</f>
        <v>3.80786560059</v>
      </c>
      <c r="M274" s="134" t="str">
        <f>HYPERLINK(AB2 &amp; "/bottle/sn_d829ffd1d35f36a61ad51dad4e9c1543/rendering/10.obj", "3.28481262207")</f>
        <v>3.28481262207</v>
      </c>
      <c r="N274" s="117" t="str">
        <f>HYPERLINK(AB2 &amp; "/bottle/sn_d829ffd1d35f36a61ad51dad4e9c1543/rendering/11.obj", "3.30312744141")</f>
        <v>3.30312744141</v>
      </c>
      <c r="O274" s="117" t="str">
        <f>HYPERLINK(AB2 &amp; "/bottle/sn_d829ffd1d35f36a61ad51dad4e9c1543/rendering/12.obj", "3.2980581665")</f>
        <v>3.2980581665</v>
      </c>
      <c r="P274" s="84" t="str">
        <f>HYPERLINK(AB2 &amp; "/bottle/sn_d829ffd1d35f36a61ad51dad4e9c1543/rendering/13.obj", "3.42313537598")</f>
        <v>3.42313537598</v>
      </c>
      <c r="Q274" s="5" t="str">
        <f>HYPERLINK(AB2 &amp; "/bottle/sn_d829ffd1d35f36a61ad51dad4e9c1543/rendering/14.obj", "4.31568603516")</f>
        <v>4.31568603516</v>
      </c>
      <c r="R274" s="194" t="str">
        <f>HYPERLINK(AB2 &amp; "/bottle/sn_d829ffd1d35f36a61ad51dad4e9c1543/rendering/15.obj", "6.51014587402")</f>
        <v>6.51014587402</v>
      </c>
      <c r="S274" s="68" t="str">
        <f>HYPERLINK(AB2 &amp; "/bottle/sn_d829ffd1d35f36a61ad51dad4e9c1543/rendering/16.obj", "3.84361938477")</f>
        <v>3.84361938477</v>
      </c>
      <c r="T274" s="69" t="str">
        <f>HYPERLINK(AB2 &amp; "/bottle/sn_d829ffd1d35f36a61ad51dad4e9c1543/rendering/17.obj", "3.89386047363")</f>
        <v>3.89386047363</v>
      </c>
      <c r="U274" s="169" t="str">
        <f>HYPERLINK(AB2 &amp; "/bottle/sn_d829ffd1d35f36a61ad51dad4e9c1543/rendering/18.obj", "5.26577026367")</f>
        <v>5.26577026367</v>
      </c>
      <c r="V274" s="72" t="str">
        <f>HYPERLINK(AB2 &amp; "/bottle/sn_d829ffd1d35f36a61ad51dad4e9c1543/rendering/19.obj", "3.88213653564")</f>
        <v>3.88213653564</v>
      </c>
      <c r="W274" s="12" t="s">
        <v>31</v>
      </c>
      <c r="X274" s="13">
        <v>4.0100639953613291</v>
      </c>
      <c r="Y274" s="13">
        <v>0.89962041146164373</v>
      </c>
      <c r="Z274" s="11">
        <v>0.22434066201992939</v>
      </c>
    </row>
    <row r="275" spans="1:26" x14ac:dyDescent="0.2">
      <c r="A275" s="1">
        <v>273</v>
      </c>
      <c r="B275" s="2" t="s">
        <v>87</v>
      </c>
      <c r="C275" s="103" t="str">
        <f>HYPERLINK(AB2 &amp; "/bottle/sn_d829ffd1d35f36a61ad51dad4e9c1543/rendering/00.obj", "5.82667350769")</f>
        <v>5.82667350769</v>
      </c>
      <c r="D275" s="93" t="str">
        <f>HYPERLINK(AB2 &amp; "/bottle/sn_d829ffd1d35f36a61ad51dad4e9c1543/rendering/01.obj", "3.78152561188")</f>
        <v>3.78152561188</v>
      </c>
      <c r="E275" s="19" t="str">
        <f>HYPERLINK(AB2 &amp; "/bottle/sn_d829ffd1d35f36a61ad51dad4e9c1543/rendering/02.obj", "3.2542347908")</f>
        <v>3.2542347908</v>
      </c>
      <c r="F275" s="106" t="str">
        <f>HYPERLINK(AB2 &amp; "/bottle/sn_d829ffd1d35f36a61ad51dad4e9c1543/rendering/03.obj", "3.89251565933")</f>
        <v>3.89251565933</v>
      </c>
      <c r="G275" s="65" t="str">
        <f>HYPERLINK(AB2 &amp; "/bottle/sn_d829ffd1d35f36a61ad51dad4e9c1543/rendering/04.obj", "3.81827187538")</f>
        <v>3.81827187538</v>
      </c>
      <c r="H275" s="91" t="str">
        <f>HYPERLINK(AB2 &amp; "/bottle/sn_d829ffd1d35f36a61ad51dad4e9c1543/rendering/05.obj", "4.51726961136")</f>
        <v>4.51726961136</v>
      </c>
      <c r="I275" s="10" t="str">
        <f>HYPERLINK(AB2 &amp; "/bottle/sn_d829ffd1d35f36a61ad51dad4e9c1543/rendering/06.obj", "4.63773536682")</f>
        <v>4.63773536682</v>
      </c>
      <c r="J275" s="30" t="str">
        <f>HYPERLINK(AB2 &amp; "/bottle/sn_d829ffd1d35f36a61ad51dad4e9c1543/rendering/07.obj", "4.37961292267")</f>
        <v>4.37961292267</v>
      </c>
      <c r="K275" s="93" t="str">
        <f>HYPERLINK(AB2 &amp; "/bottle/sn_d829ffd1d35f36a61ad51dad4e9c1543/rendering/08.obj", "3.78974246979")</f>
        <v>3.78974246979</v>
      </c>
      <c r="L275" s="47" t="str">
        <f>HYPERLINK(AB2 &amp; "/bottle/sn_d829ffd1d35f36a61ad51dad4e9c1543/rendering/09.obj", "4.36147403717")</f>
        <v>4.36147403717</v>
      </c>
      <c r="M275" s="117" t="str">
        <f>HYPERLINK(AB2 &amp; "/bottle/sn_d829ffd1d35f36a61ad51dad4e9c1543/rendering/10.obj", "3.615275383")</f>
        <v>3.615275383</v>
      </c>
      <c r="N275" s="31" t="str">
        <f>HYPERLINK(AB2 &amp; "/bottle/sn_d829ffd1d35f36a61ad51dad4e9c1543/rendering/11.obj", "3.72091197968")</f>
        <v>3.72091197968</v>
      </c>
      <c r="O275" s="67" t="str">
        <f>HYPERLINK(AB2 &amp; "/bottle/sn_d829ffd1d35f36a61ad51dad4e9c1543/rendering/12.obj", "3.99319124222")</f>
        <v>3.99319124222</v>
      </c>
      <c r="P275" s="78" t="str">
        <f>HYPERLINK(AB2 &amp; "/bottle/sn_d829ffd1d35f36a61ad51dad4e9c1543/rendering/13.obj", "4.13523054123")</f>
        <v>4.13523054123</v>
      </c>
      <c r="Q275" s="58" t="str">
        <f>HYPERLINK(AB2 &amp; "/bottle/sn_d829ffd1d35f36a61ad51dad4e9c1543/rendering/14.obj", "5.47716999054")</f>
        <v>5.47716999054</v>
      </c>
      <c r="R275" s="114" t="str">
        <f>HYPERLINK(AB2 &amp; "/bottle/sn_d829ffd1d35f36a61ad51dad4e9c1543/rendering/15.obj", "6.43152666092")</f>
        <v>6.43152666092</v>
      </c>
      <c r="S275" s="41" t="str">
        <f>HYPERLINK(AB2 &amp; "/bottle/sn_d829ffd1d35f36a61ad51dad4e9c1543/rendering/16.obj", "4.70062398911")</f>
        <v>4.70062398911</v>
      </c>
      <c r="T275" s="74" t="str">
        <f>HYPERLINK(AB2 &amp; "/bottle/sn_d829ffd1d35f36a61ad51dad4e9c1543/rendering/17.obj", "4.46932983398")</f>
        <v>4.46932983398</v>
      </c>
      <c r="U275" s="77" t="str">
        <f>HYPERLINK(AB2 &amp; "/bottle/sn_d829ffd1d35f36a61ad51dad4e9c1543/rendering/18.obj", "5.22156953812")</f>
        <v>5.22156953812</v>
      </c>
      <c r="V275" s="38" t="str">
        <f>HYPERLINK(AB2 &amp; "/bottle/sn_d829ffd1d35f36a61ad51dad4e9c1543/rendering/19.obj", "4.01449918747")</f>
        <v>4.01449918747</v>
      </c>
      <c r="W275" s="12" t="s">
        <v>32</v>
      </c>
      <c r="X275" s="13">
        <v>4.4019192099571232</v>
      </c>
      <c r="Y275" s="13">
        <v>0.78389599221250661</v>
      </c>
      <c r="Z275" s="117">
        <v>0.17808050416721349</v>
      </c>
    </row>
    <row r="276" spans="1:26" x14ac:dyDescent="0.2">
      <c r="A276" s="1">
        <v>274</v>
      </c>
      <c r="B276" s="2" t="s">
        <v>87</v>
      </c>
      <c r="C276" s="13" t="str">
        <f>HYPERLINK(AC2 &amp; "/bottle/sn_d829ffd1d35f36a61ad51dad4e9c1543/rendering/00.xyz", "0.0")</f>
        <v>0.0</v>
      </c>
      <c r="D276" s="13" t="str">
        <f>HYPERLINK(AC2 &amp; "/bottle/sn_d829ffd1d35f36a61ad51dad4e9c1543/rendering/01.xyz", "0.0")</f>
        <v>0.0</v>
      </c>
      <c r="E276" s="13" t="str">
        <f>HYPERLINK(AC2 &amp; "/bottle/sn_d829ffd1d35f36a61ad51dad4e9c1543/rendering/02.xyz", "0.0")</f>
        <v>0.0</v>
      </c>
      <c r="F276" s="13" t="str">
        <f>HYPERLINK(AC2 &amp; "/bottle/sn_d829ffd1d35f36a61ad51dad4e9c1543/rendering/03.xyz", "0.0")</f>
        <v>0.0</v>
      </c>
      <c r="G276" s="13" t="str">
        <f>HYPERLINK(AC2 &amp; "/bottle/sn_d829ffd1d35f36a61ad51dad4e9c1543/rendering/04.xyz", "0.0")</f>
        <v>0.0</v>
      </c>
      <c r="H276" s="13" t="str">
        <f>HYPERLINK(AC2 &amp; "/bottle/sn_d829ffd1d35f36a61ad51dad4e9c1543/rendering/05.xyz", "0.0")</f>
        <v>0.0</v>
      </c>
      <c r="I276" s="13" t="str">
        <f>HYPERLINK(AC2 &amp; "/bottle/sn_d829ffd1d35f36a61ad51dad4e9c1543/rendering/06.xyz", "0.0")</f>
        <v>0.0</v>
      </c>
      <c r="J276" s="13" t="str">
        <f>HYPERLINK(AC2 &amp; "/bottle/sn_d829ffd1d35f36a61ad51dad4e9c1543/rendering/07.xyz", "0.0")</f>
        <v>0.0</v>
      </c>
      <c r="K276" s="13" t="str">
        <f>HYPERLINK(AC2 &amp; "/bottle/sn_d829ffd1d35f36a61ad51dad4e9c1543/rendering/08.xyz", "0.0")</f>
        <v>0.0</v>
      </c>
      <c r="L276" s="13" t="str">
        <f>HYPERLINK(AC2 &amp; "/bottle/sn_d829ffd1d35f36a61ad51dad4e9c1543/rendering/09.xyz", "0.0")</f>
        <v>0.0</v>
      </c>
      <c r="M276" s="13" t="str">
        <f>HYPERLINK(AC2 &amp; "/bottle/sn_d829ffd1d35f36a61ad51dad4e9c1543/rendering/10.xyz", "0.0")</f>
        <v>0.0</v>
      </c>
      <c r="N276" s="13" t="str">
        <f>HYPERLINK(AC2 &amp; "/bottle/sn_d829ffd1d35f36a61ad51dad4e9c1543/rendering/11.xyz", "0.0")</f>
        <v>0.0</v>
      </c>
      <c r="O276" s="13" t="str">
        <f>HYPERLINK(AC2 &amp; "/bottle/sn_d829ffd1d35f36a61ad51dad4e9c1543/rendering/12.xyz", "0.0")</f>
        <v>0.0</v>
      </c>
      <c r="P276" s="13" t="str">
        <f>HYPERLINK(AC2 &amp; "/bottle/sn_d829ffd1d35f36a61ad51dad4e9c1543/rendering/13.xyz", "0.0")</f>
        <v>0.0</v>
      </c>
      <c r="Q276" s="13" t="str">
        <f>HYPERLINK(AC2 &amp; "/bottle/sn_d829ffd1d35f36a61ad51dad4e9c1543/rendering/14.xyz", "0.0")</f>
        <v>0.0</v>
      </c>
      <c r="R276" s="13" t="str">
        <f>HYPERLINK(AC2 &amp; "/bottle/sn_d829ffd1d35f36a61ad51dad4e9c1543/rendering/15.xyz", "0.0")</f>
        <v>0.0</v>
      </c>
      <c r="S276" s="13" t="str">
        <f>HYPERLINK(AC2 &amp; "/bottle/sn_d829ffd1d35f36a61ad51dad4e9c1543/rendering/16.xyz", "0.0")</f>
        <v>0.0</v>
      </c>
      <c r="T276" s="13" t="str">
        <f>HYPERLINK(AC2 &amp; "/bottle/sn_d829ffd1d35f36a61ad51dad4e9c1543/rendering/17.xyz", "0.0")</f>
        <v>0.0</v>
      </c>
      <c r="U276" s="13" t="str">
        <f>HYPERLINK(AC2 &amp; "/bottle/sn_d829ffd1d35f36a61ad51dad4e9c1543/rendering/18.xyz", "0.0")</f>
        <v>0.0</v>
      </c>
      <c r="V276" s="13" t="str">
        <f>HYPERLINK(AC2 &amp; "/bottle/sn_d829ffd1d35f36a61ad51dad4e9c1543/rendering/19.xyz", "0.0")</f>
        <v>0.0</v>
      </c>
      <c r="W276" s="12" t="s">
        <v>33</v>
      </c>
      <c r="X276" s="13">
        <v>0</v>
      </c>
      <c r="Y276" s="13">
        <v>0</v>
      </c>
      <c r="Z276" s="13">
        <v>0</v>
      </c>
    </row>
    <row r="277" spans="1:26" x14ac:dyDescent="0.2">
      <c r="A277" s="1">
        <v>275</v>
      </c>
      <c r="B277" s="2" t="s">
        <v>88</v>
      </c>
      <c r="C277" s="80" t="str">
        <f>HYPERLINK(AA2 &amp; "/bottle/sn_d851cbc873de1c4d3b6eb309177a6753/rendering/00.obj", "2.02858703613")</f>
        <v>2.02858703613</v>
      </c>
      <c r="D277" s="47" t="str">
        <f>HYPERLINK(AA2 &amp; "/bottle/sn_d851cbc873de1c4d3b6eb309177a6753/rendering/01.obj", "1.75178466797")</f>
        <v>1.75178466797</v>
      </c>
      <c r="E277" s="5" t="str">
        <f>HYPERLINK(AA2 &amp; "/bottle/sn_d851cbc873de1c4d3b6eb309177a6753/rendering/02.obj", "1.62874542236")</f>
        <v>1.62874542236</v>
      </c>
      <c r="F277" s="34" t="str">
        <f>HYPERLINK(AA2 &amp; "/bottle/sn_d851cbc873de1c4d3b6eb309177a6753/rendering/03.obj", "1.85057632446")</f>
        <v>1.85057632446</v>
      </c>
      <c r="G277" s="69" t="str">
        <f>HYPERLINK(AA2 &amp; "/bottle/sn_d851cbc873de1c4d3b6eb309177a6753/rendering/04.obj", "1.71473236084")</f>
        <v>1.71473236084</v>
      </c>
      <c r="H277" s="91" t="str">
        <f>HYPERLINK(AA2 &amp; "/bottle/sn_d851cbc873de1c4d3b6eb309177a6753/rendering/05.obj", "1.71972702026")</f>
        <v>1.71972702026</v>
      </c>
      <c r="I277" s="46" t="str">
        <f>HYPERLINK(AA2 &amp; "/bottle/sn_d851cbc873de1c4d3b6eb309177a6753/rendering/06.obj", "1.7356968689")</f>
        <v>1.7356968689</v>
      </c>
      <c r="J277" s="30" t="str">
        <f>HYPERLINK(AA2 &amp; "/bottle/sn_d851cbc873de1c4d3b6eb309177a6753/rendering/07.obj", "1.75870193481")</f>
        <v>1.75870193481</v>
      </c>
      <c r="K277" s="17" t="str">
        <f>HYPERLINK(AA2 &amp; "/bottle/sn_d851cbc873de1c4d3b6eb309177a6753/rendering/08.obj", "1.80241592407")</f>
        <v>1.80241592407</v>
      </c>
      <c r="L277" s="47" t="str">
        <f>HYPERLINK(AA2 &amp; "/bottle/sn_d851cbc873de1c4d3b6eb309177a6753/rendering/09.obj", "1.78207046509")</f>
        <v>1.78207046509</v>
      </c>
      <c r="M277" s="30" t="str">
        <f>HYPERLINK(AA2 &amp; "/bottle/sn_d851cbc873de1c4d3b6eb309177a6753/rendering/10.obj", "1.77600753784")</f>
        <v>1.77600753784</v>
      </c>
      <c r="N277" s="81" t="str">
        <f>HYPERLINK(AA2 &amp; "/bottle/sn_d851cbc873de1c4d3b6eb309177a6753/rendering/11.obj", "2.15227935791")</f>
        <v>2.15227935791</v>
      </c>
      <c r="O277" s="46" t="str">
        <f>HYPERLINK(AA2 &amp; "/bottle/sn_d851cbc873de1c4d3b6eb309177a6753/rendering/12.obj", "1.7357333374")</f>
        <v>1.7357333374</v>
      </c>
      <c r="P277" s="35" t="str">
        <f>HYPERLINK(AA2 &amp; "/bottle/sn_d851cbc873de1c4d3b6eb309177a6753/rendering/13.obj", "1.66216278076")</f>
        <v>1.66216278076</v>
      </c>
      <c r="Q277" s="39" t="str">
        <f>HYPERLINK(AA2 &amp; "/bottle/sn_d851cbc873de1c4d3b6eb309177a6753/rendering/14.obj", "1.6157598877")</f>
        <v>1.6157598877</v>
      </c>
      <c r="R277" s="78" t="str">
        <f>HYPERLINK(AA2 &amp; "/bottle/sn_d851cbc873de1c4d3b6eb309177a6753/rendering/15.obj", "1.6573046875")</f>
        <v>1.6573046875</v>
      </c>
      <c r="S277" s="73" t="str">
        <f>HYPERLINK(AA2 &amp; "/bottle/sn_d851cbc873de1c4d3b6eb309177a6753/rendering/16.obj", "1.70162368774")</f>
        <v>1.70162368774</v>
      </c>
      <c r="T277" s="35" t="str">
        <f>HYPERLINK(AA2 &amp; "/bottle/sn_d851cbc873de1c4d3b6eb309177a6753/rendering/17.obj", "1.66186737061")</f>
        <v>1.66186737061</v>
      </c>
      <c r="U277" s="5" t="str">
        <f>HYPERLINK(AA2 &amp; "/bottle/sn_d851cbc873de1c4d3b6eb309177a6753/rendering/18.obj", "1.89988616943")</f>
        <v>1.89988616943</v>
      </c>
      <c r="V277" s="68" t="str">
        <f>HYPERLINK(AA2 &amp; "/bottle/sn_d851cbc873de1c4d3b6eb309177a6753/rendering/19.obj", "1.69175537109")</f>
        <v>1.69175537109</v>
      </c>
      <c r="W277" s="12" t="s">
        <v>29</v>
      </c>
      <c r="X277" s="13">
        <v>1.7663709106445309</v>
      </c>
      <c r="Y277" s="13">
        <v>0.12967098935802149</v>
      </c>
      <c r="Z277" s="94">
        <v>7.3410962882481931E-2</v>
      </c>
    </row>
    <row r="278" spans="1:26" x14ac:dyDescent="0.2">
      <c r="A278" s="1">
        <v>276</v>
      </c>
      <c r="B278" s="2" t="s">
        <v>88</v>
      </c>
      <c r="C278" s="71" t="str">
        <f>HYPERLINK(AA2 &amp; "/bottle/sn_d851cbc873de1c4d3b6eb309177a6753/rendering/00.obj", "2.26763343811")</f>
        <v>2.26763343811</v>
      </c>
      <c r="D278" s="25" t="str">
        <f>HYPERLINK(AA2 &amp; "/bottle/sn_d851cbc873de1c4d3b6eb309177a6753/rendering/01.obj", "2.04960155487")</f>
        <v>2.04960155487</v>
      </c>
      <c r="E278" s="26" t="str">
        <f>HYPERLINK(AA2 &amp; "/bottle/sn_d851cbc873de1c4d3b6eb309177a6753/rendering/02.obj", "1.89704680443")</f>
        <v>1.89704680443</v>
      </c>
      <c r="F278" s="10" t="str">
        <f>HYPERLINK(AA2 &amp; "/bottle/sn_d851cbc873de1c4d3b6eb309177a6753/rendering/03.obj", "2.14094114304")</f>
        <v>2.14094114304</v>
      </c>
      <c r="G278" s="74" t="str">
        <f>HYPERLINK(AA2 &amp; "/bottle/sn_d851cbc873de1c4d3b6eb309177a6753/rendering/04.obj", "2.00026535988")</f>
        <v>2.00026535988</v>
      </c>
      <c r="H278" s="10" t="str">
        <f>HYPERLINK(AA2 &amp; "/bottle/sn_d851cbc873de1c4d3b6eb309177a6753/rendering/05.obj", "1.91638565063")</f>
        <v>1.91638565063</v>
      </c>
      <c r="I278" s="72" t="str">
        <f>HYPERLINK(AA2 &amp; "/bottle/sn_d851cbc873de1c4d3b6eb309177a6753/rendering/06.obj", "1.9623477459")</f>
        <v>1.9623477459</v>
      </c>
      <c r="J278" s="91" t="str">
        <f>HYPERLINK(AA2 &amp; "/bottle/sn_d851cbc873de1c4d3b6eb309177a6753/rendering/07.obj", "1.97212588787")</f>
        <v>1.97212588787</v>
      </c>
      <c r="K278" s="6" t="str">
        <f>HYPERLINK(AA2 &amp; "/bottle/sn_d851cbc873de1c4d3b6eb309177a6753/rendering/08.obj", "2.12014746666")</f>
        <v>2.12014746666</v>
      </c>
      <c r="L278" s="30" t="str">
        <f>HYPERLINK(AA2 &amp; "/bottle/sn_d851cbc873de1c4d3b6eb309177a6753/rendering/09.obj", "2.01928544044")</f>
        <v>2.01928544044</v>
      </c>
      <c r="M278" s="73" t="str">
        <f>HYPERLINK(AA2 &amp; "/bottle/sn_d851cbc873de1c4d3b6eb309177a6753/rendering/10.obj", "2.09914016724")</f>
        <v>2.09914016724</v>
      </c>
      <c r="N278" s="77" t="str">
        <f>HYPERLINK(AA2 &amp; "/bottle/sn_d851cbc873de1c4d3b6eb309177a6753/rendering/11.obj", "2.40767502785")</f>
        <v>2.40767502785</v>
      </c>
      <c r="O278" s="35" t="str">
        <f>HYPERLINK(AA2 &amp; "/bottle/sn_d851cbc873de1c4d3b6eb309177a6753/rendering/12.obj", "1.91064429283")</f>
        <v>1.91064429283</v>
      </c>
      <c r="P278" s="35" t="str">
        <f>HYPERLINK(AA2 &amp; "/bottle/sn_d851cbc873de1c4d3b6eb309177a6753/rendering/13.obj", "1.90878355503")</f>
        <v>1.90878355503</v>
      </c>
      <c r="Q278" s="27" t="str">
        <f>HYPERLINK(AA2 &amp; "/bottle/sn_d851cbc873de1c4d3b6eb309177a6753/rendering/14.obj", "1.88533079624")</f>
        <v>1.88533079624</v>
      </c>
      <c r="R278" s="10" t="str">
        <f>HYPERLINK(AA2 &amp; "/bottle/sn_d851cbc873de1c4d3b6eb309177a6753/rendering/15.obj", "1.91585946083")</f>
        <v>1.91585946083</v>
      </c>
      <c r="S278" s="10" t="str">
        <f>HYPERLINK(AA2 &amp; "/bottle/sn_d851cbc873de1c4d3b6eb309177a6753/rendering/16.obj", "1.91977655888")</f>
        <v>1.91977655888</v>
      </c>
      <c r="T278" s="17" t="str">
        <f>HYPERLINK(AA2 &amp; "/bottle/sn_d851cbc873de1c4d3b6eb309177a6753/rendering/17.obj", "1.98504436016")</f>
        <v>1.98504436016</v>
      </c>
      <c r="U278" s="60" t="str">
        <f>HYPERLINK(AA2 &amp; "/bottle/sn_d851cbc873de1c4d3b6eb309177a6753/rendering/18.obj", "2.13255810738")</f>
        <v>2.13255810738</v>
      </c>
      <c r="V278" s="25" t="str">
        <f>HYPERLINK(AA2 &amp; "/bottle/sn_d851cbc873de1c4d3b6eb309177a6753/rendering/19.obj", "2.05277037621")</f>
        <v>2.05277037621</v>
      </c>
      <c r="W278" s="12" t="s">
        <v>30</v>
      </c>
      <c r="X278" s="13">
        <v>2.0281681597232821</v>
      </c>
      <c r="Y278" s="13">
        <v>0.1327127234835013</v>
      </c>
      <c r="Z278" s="26">
        <v>6.5434773170686356E-2</v>
      </c>
    </row>
    <row r="279" spans="1:26" x14ac:dyDescent="0.2">
      <c r="A279" s="1">
        <v>277</v>
      </c>
      <c r="B279" s="2" t="s">
        <v>88</v>
      </c>
      <c r="C279" s="23" t="str">
        <f>HYPERLINK(AB2 &amp; "/bottle/sn_d851cbc873de1c4d3b6eb309177a6753/rendering/00.obj", "2.97687255859")</f>
        <v>2.97687255859</v>
      </c>
      <c r="D279" s="30" t="str">
        <f>HYPERLINK(AB2 &amp; "/bottle/sn_d851cbc873de1c4d3b6eb309177a6753/rendering/01.obj", "2.84277404785")</f>
        <v>2.84277404785</v>
      </c>
      <c r="E279" s="25" t="str">
        <f>HYPERLINK(AB2 &amp; "/bottle/sn_d851cbc873de1c4d3b6eb309177a6753/rendering/02.obj", "2.89122314453")</f>
        <v>2.89122314453</v>
      </c>
      <c r="F279" s="94" t="str">
        <f>HYPERLINK(AB2 &amp; "/bottle/sn_d851cbc873de1c4d3b6eb309177a6753/rendering/03.obj", "2.65341369629")</f>
        <v>2.65341369629</v>
      </c>
      <c r="G279" s="41" t="str">
        <f>HYPERLINK(AB2 &amp; "/bottle/sn_d851cbc873de1c4d3b6eb309177a6753/rendering/04.obj", "2.67172119141")</f>
        <v>2.67172119141</v>
      </c>
      <c r="H279" s="35" t="str">
        <f>HYPERLINK(AB2 &amp; "/bottle/sn_d851cbc873de1c4d3b6eb309177a6753/rendering/05.obj", "3.02895019531")</f>
        <v>3.02895019531</v>
      </c>
      <c r="I279" s="41" t="str">
        <f>HYPERLINK(AB2 &amp; "/bottle/sn_d851cbc873de1c4d3b6eb309177a6753/rendering/06.obj", "3.05112518311")</f>
        <v>3.05112518311</v>
      </c>
      <c r="J279" s="72" t="str">
        <f>HYPERLINK(AB2 &amp; "/bottle/sn_d851cbc873de1c4d3b6eb309177a6753/rendering/07.obj", "2.77053100586")</f>
        <v>2.77053100586</v>
      </c>
      <c r="K279" s="94" t="str">
        <f>HYPERLINK(AB2 &amp; "/bottle/sn_d851cbc873de1c4d3b6eb309177a6753/rendering/08.obj", "2.65146240234")</f>
        <v>2.65146240234</v>
      </c>
      <c r="L279" s="42" t="str">
        <f>HYPERLINK(AB2 &amp; "/bottle/sn_d851cbc873de1c4d3b6eb309177a6753/rendering/09.obj", "2.47228759766")</f>
        <v>2.47228759766</v>
      </c>
      <c r="M279" s="78" t="str">
        <f>HYPERLINK(AB2 &amp; "/bottle/sn_d851cbc873de1c4d3b6eb309177a6753/rendering/10.obj", "2.68451263428")</f>
        <v>2.68451263428</v>
      </c>
      <c r="N279" s="17" t="str">
        <f>HYPERLINK(AB2 &amp; "/bottle/sn_d851cbc873de1c4d3b6eb309177a6753/rendering/11.obj", "2.92249420166")</f>
        <v>2.92249420166</v>
      </c>
      <c r="O279" s="72" t="str">
        <f>HYPERLINK(AB2 &amp; "/bottle/sn_d851cbc873de1c4d3b6eb309177a6753/rendering/12.obj", "2.95531280518")</f>
        <v>2.95531280518</v>
      </c>
      <c r="P279" s="74" t="str">
        <f>HYPERLINK(AB2 &amp; "/bottle/sn_d851cbc873de1c4d3b6eb309177a6753/rendering/13.obj", "2.82267028809")</f>
        <v>2.82267028809</v>
      </c>
      <c r="Q279" s="68" t="str">
        <f>HYPERLINK(AB2 &amp; "/bottle/sn_d851cbc873de1c4d3b6eb309177a6753/rendering/14.obj", "2.98531982422")</f>
        <v>2.98531982422</v>
      </c>
      <c r="R279" s="68" t="str">
        <f>HYPERLINK(AB2 &amp; "/bottle/sn_d851cbc873de1c4d3b6eb309177a6753/rendering/15.obj", "2.97884338379")</f>
        <v>2.97884338379</v>
      </c>
      <c r="S279" s="23" t="str">
        <f>HYPERLINK(AB2 &amp; "/bottle/sn_d851cbc873de1c4d3b6eb309177a6753/rendering/16.obj", "2.97129150391")</f>
        <v>2.97129150391</v>
      </c>
      <c r="T279" s="6" t="str">
        <f>HYPERLINK(AB2 &amp; "/bottle/sn_d851cbc873de1c4d3b6eb309177a6753/rendering/17.obj", "2.98935852051")</f>
        <v>2.98935852051</v>
      </c>
      <c r="U279" s="17" t="str">
        <f>HYPERLINK(AB2 &amp; "/bottle/sn_d851cbc873de1c4d3b6eb309177a6753/rendering/18.obj", "2.91557495117")</f>
        <v>2.91557495117</v>
      </c>
      <c r="V279" s="23" t="str">
        <f>HYPERLINK(AB2 &amp; "/bottle/sn_d851cbc873de1c4d3b6eb309177a6753/rendering/19.obj", "2.9708416748")</f>
        <v>2.9708416748</v>
      </c>
      <c r="W279" s="12" t="s">
        <v>31</v>
      </c>
      <c r="X279" s="13">
        <v>2.8603290405273438</v>
      </c>
      <c r="Y279" s="13">
        <v>0.15482959422626499</v>
      </c>
      <c r="Z279" s="10">
        <v>5.4129994148407433E-2</v>
      </c>
    </row>
    <row r="280" spans="1:26" x14ac:dyDescent="0.2">
      <c r="A280" s="1">
        <v>278</v>
      </c>
      <c r="B280" s="2" t="s">
        <v>88</v>
      </c>
      <c r="C280" s="10" t="str">
        <f>HYPERLINK(AB2 &amp; "/bottle/sn_d851cbc873de1c4d3b6eb309177a6753/rendering/00.obj", "2.51191735268")</f>
        <v>2.51191735268</v>
      </c>
      <c r="D280" s="73" t="str">
        <f>HYPERLINK(AB2 &amp; "/bottle/sn_d851cbc873de1c4d3b6eb309177a6753/rendering/01.obj", "2.46839141846")</f>
        <v>2.46839141846</v>
      </c>
      <c r="E280" s="69" t="str">
        <f>HYPERLINK(AB2 &amp; "/bottle/sn_d851cbc873de1c4d3b6eb309177a6753/rendering/02.obj", "2.45021057129")</f>
        <v>2.45021057129</v>
      </c>
      <c r="F280" s="38" t="str">
        <f>HYPERLINK(AB2 &amp; "/bottle/sn_d851cbc873de1c4d3b6eb309177a6753/rendering/03.obj", "2.16441297531")</f>
        <v>2.16441297531</v>
      </c>
      <c r="G280" s="68" t="str">
        <f>HYPERLINK(AB2 &amp; "/bottle/sn_d851cbc873de1c4d3b6eb309177a6753/rendering/04.obj", "2.27849721909")</f>
        <v>2.27849721909</v>
      </c>
      <c r="H280" s="78" t="str">
        <f>HYPERLINK(AB2 &amp; "/bottle/sn_d851cbc873de1c4d3b6eb309177a6753/rendering/05.obj", "2.52323842049")</f>
        <v>2.52323842049</v>
      </c>
      <c r="I280" s="91" t="str">
        <f>HYPERLINK(AB2 &amp; "/bottle/sn_d851cbc873de1c4d3b6eb309177a6753/rendering/06.obj", "2.439016819")</f>
        <v>2.439016819</v>
      </c>
      <c r="J280" s="72" t="str">
        <f>HYPERLINK(AB2 &amp; "/bottle/sn_d851cbc873de1c4d3b6eb309177a6753/rendering/07.obj", "2.30273532867")</f>
        <v>2.30273532867</v>
      </c>
      <c r="K280" s="23" t="str">
        <f>HYPERLINK(AB2 &amp; "/bottle/sn_d851cbc873de1c4d3b6eb309177a6753/rendering/08.obj", "2.28349351883")</f>
        <v>2.28349351883</v>
      </c>
      <c r="L280" s="134" t="str">
        <f>HYPERLINK(AB2 &amp; "/bottle/sn_d851cbc873de1c4d3b6eb309177a6753/rendering/09.obj", "1.9468228817")</f>
        <v>1.9468228817</v>
      </c>
      <c r="M280" s="6" t="str">
        <f>HYPERLINK(AB2 &amp; "/bottle/sn_d851cbc873de1c4d3b6eb309177a6753/rendering/10.obj", "2.27210378647")</f>
        <v>2.27210378647</v>
      </c>
      <c r="N280" s="91" t="str">
        <f>HYPERLINK(AB2 &amp; "/bottle/sn_d851cbc873de1c4d3b6eb309177a6753/rendering/11.obj", "2.44174766541")</f>
        <v>2.44174766541</v>
      </c>
      <c r="O280" s="46" t="str">
        <f>HYPERLINK(AB2 &amp; "/bottle/sn_d851cbc873de1c4d3b6eb309177a6753/rendering/12.obj", "2.42134404182")</f>
        <v>2.42134404182</v>
      </c>
      <c r="P280" s="13" t="str">
        <f>HYPERLINK(AB2 &amp; "/bottle/sn_d851cbc873de1c4d3b6eb309177a6753/rendering/13.obj", "2.38244318962")</f>
        <v>2.38244318962</v>
      </c>
      <c r="Q280" s="23" t="str">
        <f>HYPERLINK(AB2 &amp; "/bottle/sn_d851cbc873de1c4d3b6eb309177a6753/rendering/14.obj", "2.47302675247")</f>
        <v>2.47302675247</v>
      </c>
      <c r="R280" s="72" t="str">
        <f>HYPERLINK(AB2 &amp; "/bottle/sn_d851cbc873de1c4d3b6eb309177a6753/rendering/15.obj", "2.45567059517")</f>
        <v>2.45567059517</v>
      </c>
      <c r="S280" s="46" t="str">
        <f>HYPERLINK(AB2 &amp; "/bottle/sn_d851cbc873de1c4d3b6eb309177a6753/rendering/16.obj", "2.41726016998")</f>
        <v>2.41726016998</v>
      </c>
      <c r="T280" s="72" t="str">
        <f>HYPERLINK(AB2 &amp; "/bottle/sn_d851cbc873de1c4d3b6eb309177a6753/rendering/17.obj", "2.45510578156")</f>
        <v>2.45510578156</v>
      </c>
      <c r="U280" s="17" t="str">
        <f>HYPERLINK(AB2 &amp; "/bottle/sn_d851cbc873de1c4d3b6eb309177a6753/rendering/18.obj", "2.42954683304")</f>
        <v>2.42954683304</v>
      </c>
      <c r="V280" s="72" t="str">
        <f>HYPERLINK(AB2 &amp; "/bottle/sn_d851cbc873de1c4d3b6eb309177a6753/rendering/19.obj", "2.46038198471")</f>
        <v>2.46038198471</v>
      </c>
      <c r="W280" s="12" t="s">
        <v>32</v>
      </c>
      <c r="X280" s="13">
        <v>2.3788683652877811</v>
      </c>
      <c r="Y280" s="13">
        <v>0.13440995715113599</v>
      </c>
      <c r="Z280" s="35">
        <v>5.650163712815439E-2</v>
      </c>
    </row>
    <row r="281" spans="1:26" x14ac:dyDescent="0.2">
      <c r="A281" s="1">
        <v>279</v>
      </c>
      <c r="B281" s="2" t="s">
        <v>88</v>
      </c>
      <c r="C281" s="13" t="str">
        <f>HYPERLINK(AC2 &amp; "/bottle/sn_d851cbc873de1c4d3b6eb309177a6753/rendering/00.xyz", "0.0")</f>
        <v>0.0</v>
      </c>
      <c r="D281" s="13" t="str">
        <f>HYPERLINK(AC2 &amp; "/bottle/sn_d851cbc873de1c4d3b6eb309177a6753/rendering/01.xyz", "0.0")</f>
        <v>0.0</v>
      </c>
      <c r="E281" s="13" t="str">
        <f>HYPERLINK(AC2 &amp; "/bottle/sn_d851cbc873de1c4d3b6eb309177a6753/rendering/02.xyz", "0.0")</f>
        <v>0.0</v>
      </c>
      <c r="F281" s="13" t="str">
        <f>HYPERLINK(AC2 &amp; "/bottle/sn_d851cbc873de1c4d3b6eb309177a6753/rendering/03.xyz", "0.0")</f>
        <v>0.0</v>
      </c>
      <c r="G281" s="13" t="str">
        <f>HYPERLINK(AC2 &amp; "/bottle/sn_d851cbc873de1c4d3b6eb309177a6753/rendering/04.xyz", "0.0")</f>
        <v>0.0</v>
      </c>
      <c r="H281" s="13" t="str">
        <f>HYPERLINK(AC2 &amp; "/bottle/sn_d851cbc873de1c4d3b6eb309177a6753/rendering/05.xyz", "0.0")</f>
        <v>0.0</v>
      </c>
      <c r="I281" s="13" t="str">
        <f>HYPERLINK(AC2 &amp; "/bottle/sn_d851cbc873de1c4d3b6eb309177a6753/rendering/06.xyz", "0.0")</f>
        <v>0.0</v>
      </c>
      <c r="J281" s="13" t="str">
        <f>HYPERLINK(AC2 &amp; "/bottle/sn_d851cbc873de1c4d3b6eb309177a6753/rendering/07.xyz", "0.0")</f>
        <v>0.0</v>
      </c>
      <c r="K281" s="13" t="str">
        <f>HYPERLINK(AC2 &amp; "/bottle/sn_d851cbc873de1c4d3b6eb309177a6753/rendering/08.xyz", "0.0")</f>
        <v>0.0</v>
      </c>
      <c r="L281" s="13" t="str">
        <f>HYPERLINK(AC2 &amp; "/bottle/sn_d851cbc873de1c4d3b6eb309177a6753/rendering/09.xyz", "0.0")</f>
        <v>0.0</v>
      </c>
      <c r="M281" s="13" t="str">
        <f>HYPERLINK(AC2 &amp; "/bottle/sn_d851cbc873de1c4d3b6eb309177a6753/rendering/10.xyz", "0.0")</f>
        <v>0.0</v>
      </c>
      <c r="N281" s="13" t="str">
        <f>HYPERLINK(AC2 &amp; "/bottle/sn_d851cbc873de1c4d3b6eb309177a6753/rendering/11.xyz", "0.0")</f>
        <v>0.0</v>
      </c>
      <c r="O281" s="13" t="str">
        <f>HYPERLINK(AC2 &amp; "/bottle/sn_d851cbc873de1c4d3b6eb309177a6753/rendering/12.xyz", "0.0")</f>
        <v>0.0</v>
      </c>
      <c r="P281" s="13" t="str">
        <f>HYPERLINK(AC2 &amp; "/bottle/sn_d851cbc873de1c4d3b6eb309177a6753/rendering/13.xyz", "0.0")</f>
        <v>0.0</v>
      </c>
      <c r="Q281" s="13" t="str">
        <f>HYPERLINK(AC2 &amp; "/bottle/sn_d851cbc873de1c4d3b6eb309177a6753/rendering/14.xyz", "0.0")</f>
        <v>0.0</v>
      </c>
      <c r="R281" s="13" t="str">
        <f>HYPERLINK(AC2 &amp; "/bottle/sn_d851cbc873de1c4d3b6eb309177a6753/rendering/15.xyz", "0.0")</f>
        <v>0.0</v>
      </c>
      <c r="S281" s="13" t="str">
        <f>HYPERLINK(AC2 &amp; "/bottle/sn_d851cbc873de1c4d3b6eb309177a6753/rendering/16.xyz", "0.0")</f>
        <v>0.0</v>
      </c>
      <c r="T281" s="13" t="str">
        <f>HYPERLINK(AC2 &amp; "/bottle/sn_d851cbc873de1c4d3b6eb309177a6753/rendering/17.xyz", "0.0")</f>
        <v>0.0</v>
      </c>
      <c r="U281" s="13" t="str">
        <f>HYPERLINK(AC2 &amp; "/bottle/sn_d851cbc873de1c4d3b6eb309177a6753/rendering/18.xyz", "0.0")</f>
        <v>0.0</v>
      </c>
      <c r="V281" s="13" t="str">
        <f>HYPERLINK(AC2 &amp; "/bottle/sn_d851cbc873de1c4d3b6eb309177a6753/rendering/19.xyz", "0.0")</f>
        <v>0.0</v>
      </c>
      <c r="W281" s="12" t="s">
        <v>33</v>
      </c>
      <c r="X281" s="13">
        <v>0</v>
      </c>
      <c r="Y281" s="13">
        <v>0</v>
      </c>
      <c r="Z281" s="13">
        <v>0</v>
      </c>
    </row>
    <row r="282" spans="1:26" x14ac:dyDescent="0.2">
      <c r="A282" s="1">
        <v>280</v>
      </c>
      <c r="B282" s="2" t="s">
        <v>89</v>
      </c>
      <c r="C282" s="23" t="str">
        <f>HYPERLINK(AA2 &amp; "/bottle/sn_d85f1862dfe799cbf78b6c51ab8f145e/rendering/00.obj", "1.68669555664")</f>
        <v>1.68669555664</v>
      </c>
      <c r="D282" s="23" t="str">
        <f>HYPERLINK(AA2 &amp; "/bottle/sn_d85f1862dfe799cbf78b6c51ab8f145e/rendering/01.obj", "1.68587799072")</f>
        <v>1.68587799072</v>
      </c>
      <c r="E282" s="23" t="str">
        <f>HYPERLINK(AA2 &amp; "/bottle/sn_d85f1862dfe799cbf78b6c51ab8f145e/rendering/02.obj", "1.68311065674")</f>
        <v>1.68311065674</v>
      </c>
      <c r="F282" s="46" t="str">
        <f>HYPERLINK(AA2 &amp; "/bottle/sn_d85f1862dfe799cbf78b6c51ab8f145e/rendering/03.obj", "1.78529541016")</f>
        <v>1.78529541016</v>
      </c>
      <c r="G282" s="10" t="str">
        <f>HYPERLINK(AA2 &amp; "/bottle/sn_d85f1862dfe799cbf78b6c51ab8f145e/rendering/04.obj", "1.65584747314")</f>
        <v>1.65584747314</v>
      </c>
      <c r="H282" s="48" t="str">
        <f>HYPERLINK(AA2 &amp; "/bottle/sn_d85f1862dfe799cbf78b6c51ab8f145e/rendering/05.obj", "1.7946887207")</f>
        <v>1.7946887207</v>
      </c>
      <c r="I282" s="107" t="str">
        <f>HYPERLINK(AA2 &amp; "/bottle/sn_d85f1862dfe799cbf78b6c51ab8f145e/rendering/06.obj", "1.60546676636")</f>
        <v>1.60546676636</v>
      </c>
      <c r="J282" s="48" t="str">
        <f>HYPERLINK(AA2 &amp; "/bottle/sn_d85f1862dfe799cbf78b6c51ab8f145e/rendering/07.obj", "1.7099710083")</f>
        <v>1.7099710083</v>
      </c>
      <c r="K282" s="10" t="str">
        <f>HYPERLINK(AA2 &amp; "/bottle/sn_d85f1862dfe799cbf78b6c51ab8f145e/rendering/08.obj", "1.84919281006")</f>
        <v>1.84919281006</v>
      </c>
      <c r="L282" s="91" t="str">
        <f>HYPERLINK(AA2 &amp; "/bottle/sn_d85f1862dfe799cbf78b6c51ab8f145e/rendering/09.obj", "1.70655670166")</f>
        <v>1.70655670166</v>
      </c>
      <c r="M282" s="75" t="str">
        <f>HYPERLINK(AA2 &amp; "/bottle/sn_d85f1862dfe799cbf78b6c51ab8f145e/rendering/10.obj", "2.14216430664")</f>
        <v>2.14216430664</v>
      </c>
      <c r="N282" s="41" t="str">
        <f>HYPERLINK(AA2 &amp; "/bottle/sn_d85f1862dfe799cbf78b6c51ab8f145e/rendering/11.obj", "1.635675354")</f>
        <v>1.635675354</v>
      </c>
      <c r="O282" s="23" t="str">
        <f>HYPERLINK(AA2 &amp; "/bottle/sn_d85f1862dfe799cbf78b6c51ab8f145e/rendering/12.obj", "1.68391525269")</f>
        <v>1.68391525269</v>
      </c>
      <c r="P282" s="91" t="str">
        <f>HYPERLINK(AA2 &amp; "/bottle/sn_d85f1862dfe799cbf78b6c51ab8f145e/rendering/13.obj", "1.79879089355")</f>
        <v>1.79879089355</v>
      </c>
      <c r="Q282" s="71" t="str">
        <f>HYPERLINK(AA2 &amp; "/bottle/sn_d85f1862dfe799cbf78b6c51ab8f145e/rendering/14.obj", "1.96012008667")</f>
        <v>1.96012008667</v>
      </c>
      <c r="R282" s="30" t="str">
        <f>HYPERLINK(AA2 &amp; "/bottle/sn_d85f1862dfe799cbf78b6c51ab8f145e/rendering/15.obj", "1.74592422485")</f>
        <v>1.74592422485</v>
      </c>
      <c r="S282" s="47" t="str">
        <f>HYPERLINK(AA2 &amp; "/bottle/sn_d85f1862dfe799cbf78b6c51ab8f145e/rendering/16.obj", "1.7389024353")</f>
        <v>1.7389024353</v>
      </c>
      <c r="T282" s="6" t="str">
        <f>HYPERLINK(AA2 &amp; "/bottle/sn_d85f1862dfe799cbf78b6c51ab8f145e/rendering/17.obj", "1.67210510254")</f>
        <v>1.67210510254</v>
      </c>
      <c r="U282" s="13" t="str">
        <f>HYPERLINK(AA2 &amp; "/bottle/sn_d85f1862dfe799cbf78b6c51ab8f145e/rendering/18.obj", "1.75154937744")</f>
        <v>1.75154937744</v>
      </c>
      <c r="V282" s="25" t="str">
        <f>HYPERLINK(AA2 &amp; "/bottle/sn_d85f1862dfe799cbf78b6c51ab8f145e/rendering/19.obj", "1.77492202759")</f>
        <v>1.77492202759</v>
      </c>
      <c r="W282" s="12" t="s">
        <v>29</v>
      </c>
      <c r="X282" s="13">
        <v>1.7533386077880859</v>
      </c>
      <c r="Y282" s="13">
        <v>0.1190144221114709</v>
      </c>
      <c r="Z282" s="41">
        <v>6.7878743776487574E-2</v>
      </c>
    </row>
    <row r="283" spans="1:26" x14ac:dyDescent="0.2">
      <c r="A283" s="1">
        <v>281</v>
      </c>
      <c r="B283" s="2" t="s">
        <v>89</v>
      </c>
      <c r="C283" s="10" t="str">
        <f>HYPERLINK(AA2 &amp; "/bottle/sn_d85f1862dfe799cbf78b6c51ab8f145e/rendering/00.obj", "1.8001832962")</f>
        <v>1.8001832962</v>
      </c>
      <c r="D283" s="91" t="str">
        <f>HYPERLINK(AA2 &amp; "/bottle/sn_d85f1862dfe799cbf78b6c51ab8f145e/rendering/01.obj", "1.84997141361")</f>
        <v>1.84997141361</v>
      </c>
      <c r="E283" s="31" t="str">
        <f>HYPERLINK(AA2 &amp; "/bottle/sn_d85f1862dfe799cbf78b6c51ab8f145e/rendering/02.obj", "1.60579812527")</f>
        <v>1.60579812527</v>
      </c>
      <c r="F283" s="34" t="str">
        <f>HYPERLINK(AA2 &amp; "/bottle/sn_d85f1862dfe799cbf78b6c51ab8f145e/rendering/03.obj", "1.99669957161")</f>
        <v>1.99669957161</v>
      </c>
      <c r="G283" s="78" t="str">
        <f>HYPERLINK(AA2 &amp; "/bottle/sn_d85f1862dfe799cbf78b6c51ab8f145e/rendering/04.obj", "1.78485882282")</f>
        <v>1.78485882282</v>
      </c>
      <c r="H283" s="27" t="str">
        <f>HYPERLINK(AA2 &amp; "/bottle/sn_d85f1862dfe799cbf78b6c51ab8f145e/rendering/05.obj", "2.03753781319")</f>
        <v>2.03753781319</v>
      </c>
      <c r="I283" s="63" t="str">
        <f>HYPERLINK(AA2 &amp; "/bottle/sn_d85f1862dfe799cbf78b6c51ab8f145e/rendering/06.obj", "1.66959381104")</f>
        <v>1.66959381104</v>
      </c>
      <c r="J283" s="51" t="str">
        <f>HYPERLINK(AA2 &amp; "/bottle/sn_d85f1862dfe799cbf78b6c51ab8f145e/rendering/07.obj", "1.75114345551")</f>
        <v>1.75114345551</v>
      </c>
      <c r="K283" s="42" t="str">
        <f>HYPERLINK(AA2 &amp; "/bottle/sn_d85f1862dfe799cbf78b6c51ab8f145e/rendering/08.obj", "2.16146039963")</f>
        <v>2.16146039963</v>
      </c>
      <c r="L283" s="34" t="str">
        <f>HYPERLINK(AA2 &amp; "/bottle/sn_d85f1862dfe799cbf78b6c51ab8f145e/rendering/09.obj", "1.8104480505")</f>
        <v>1.8104480505</v>
      </c>
      <c r="M283" s="140" t="str">
        <f>HYPERLINK(AA2 &amp; "/bottle/sn_d85f1862dfe799cbf78b6c51ab8f145e/rendering/10.obj", "2.56277942657")</f>
        <v>2.56277942657</v>
      </c>
      <c r="N283" s="26" t="str">
        <f>HYPERLINK(AA2 &amp; "/bottle/sn_d85f1862dfe799cbf78b6c51ab8f145e/rendering/11.obj", "1.78014194965")</f>
        <v>1.78014194965</v>
      </c>
      <c r="O283" s="26" t="str">
        <f>HYPERLINK(AA2 &amp; "/bottle/sn_d85f1862dfe799cbf78b6c51ab8f145e/rendering/12.obj", "1.78177928925")</f>
        <v>1.78177928925</v>
      </c>
      <c r="P283" s="30" t="str">
        <f>HYPERLINK(AA2 &amp; "/bottle/sn_d85f1862dfe799cbf78b6c51ab8f145e/rendering/13.obj", "1.91112685204")</f>
        <v>1.91112685204</v>
      </c>
      <c r="Q283" s="75" t="str">
        <f>HYPERLINK(AA2 &amp; "/bottle/sn_d85f1862dfe799cbf78b6c51ab8f145e/rendering/14.obj", "2.32345128059")</f>
        <v>2.32345128059</v>
      </c>
      <c r="R283" s="74" t="str">
        <f>HYPERLINK(AA2 &amp; "/bottle/sn_d85f1862dfe799cbf78b6c51ab8f145e/rendering/15.obj", "1.87590098381")</f>
        <v>1.87590098381</v>
      </c>
      <c r="S283" s="23" t="str">
        <f>HYPERLINK(AA2 &amp; "/bottle/sn_d85f1862dfe799cbf78b6c51ab8f145e/rendering/16.obj", "1.83012712002")</f>
        <v>1.83012712002</v>
      </c>
      <c r="T283" s="29" t="str">
        <f>HYPERLINK(AA2 &amp; "/bottle/sn_d85f1862dfe799cbf78b6c51ab8f145e/rendering/17.obj", "1.65682506561")</f>
        <v>1.65682506561</v>
      </c>
      <c r="U283" s="69" t="str">
        <f>HYPERLINK(AA2 &amp; "/bottle/sn_d85f1862dfe799cbf78b6c51ab8f145e/rendering/18.obj", "1.96024692059")</f>
        <v>1.96024692059</v>
      </c>
      <c r="V283" s="13" t="str">
        <f>HYPERLINK(AA2 &amp; "/bottle/sn_d85f1862dfe799cbf78b6c51ab8f145e/rendering/19.obj", "1.89641594887")</f>
        <v>1.89641594887</v>
      </c>
      <c r="W283" s="12" t="s">
        <v>30</v>
      </c>
      <c r="X283" s="13">
        <v>1.9023244798183441</v>
      </c>
      <c r="Y283" s="13">
        <v>0.22442785633871401</v>
      </c>
      <c r="Z283" s="71">
        <v>0.1179755918191964</v>
      </c>
    </row>
    <row r="284" spans="1:26" x14ac:dyDescent="0.2">
      <c r="A284" s="1">
        <v>282</v>
      </c>
      <c r="B284" s="2" t="s">
        <v>89</v>
      </c>
      <c r="C284" s="27" t="str">
        <f>HYPERLINK(AB2 &amp; "/bottle/sn_d85f1862dfe799cbf78b6c51ab8f145e/rendering/00.obj", "3.07235168457")</f>
        <v>3.07235168457</v>
      </c>
      <c r="D284" s="78" t="str">
        <f>HYPERLINK(AB2 &amp; "/bottle/sn_d85f1862dfe799cbf78b6c51ab8f145e/rendering/01.obj", "3.04219787598")</f>
        <v>3.04219787598</v>
      </c>
      <c r="E284" s="48" t="str">
        <f>HYPERLINK(AB2 &amp; "/bottle/sn_d85f1862dfe799cbf78b6c51ab8f145e/rendering/02.obj", "2.79815063477")</f>
        <v>2.79815063477</v>
      </c>
      <c r="F284" s="23" t="str">
        <f>HYPERLINK(AB2 &amp; "/bottle/sn_d85f1862dfe799cbf78b6c51ab8f145e/rendering/03.obj", "2.75964904785")</f>
        <v>2.75964904785</v>
      </c>
      <c r="G284" s="30" t="str">
        <f>HYPERLINK(AB2 &amp; "/bottle/sn_d85f1862dfe799cbf78b6c51ab8f145e/rendering/04.obj", "2.88423034668")</f>
        <v>2.88423034668</v>
      </c>
      <c r="H284" s="72" t="str">
        <f>HYPERLINK(AB2 &amp; "/bottle/sn_d85f1862dfe799cbf78b6c51ab8f145e/rendering/05.obj", "2.77755737305")</f>
        <v>2.77755737305</v>
      </c>
      <c r="I284" s="69" t="str">
        <f>HYPERLINK(AB2 &amp; "/bottle/sn_d85f1862dfe799cbf78b6c51ab8f145e/rendering/06.obj", "2.78068145752")</f>
        <v>2.78068145752</v>
      </c>
      <c r="J284" s="35" t="str">
        <f>HYPERLINK(AB2 &amp; "/bottle/sn_d85f1862dfe799cbf78b6c51ab8f145e/rendering/07.obj", "3.03278991699")</f>
        <v>3.03278991699</v>
      </c>
      <c r="K284" s="48" t="str">
        <f>HYPERLINK(AB2 &amp; "/bottle/sn_d85f1862dfe799cbf78b6c51ab8f145e/rendering/08.obj", "2.93418762207")</f>
        <v>2.93418762207</v>
      </c>
      <c r="L284" s="30" t="str">
        <f>HYPERLINK(AB2 &amp; "/bottle/sn_d85f1862dfe799cbf78b6c51ab8f145e/rendering/09.obj", "2.87965667725")</f>
        <v>2.87965667725</v>
      </c>
      <c r="M284" s="30" t="str">
        <f>HYPERLINK(AB2 &amp; "/bottle/sn_d85f1862dfe799cbf78b6c51ab8f145e/rendering/10.obj", "2.8516192627")</f>
        <v>2.8516192627</v>
      </c>
      <c r="N284" s="48" t="str">
        <f>HYPERLINK(AB2 &amp; "/bottle/sn_d85f1862dfe799cbf78b6c51ab8f145e/rendering/11.obj", "2.93968994141")</f>
        <v>2.93968994141</v>
      </c>
      <c r="O284" s="13" t="str">
        <f>HYPERLINK(AB2 &amp; "/bottle/sn_d85f1862dfe799cbf78b6c51ab8f145e/rendering/12.obj", "2.87258789063")</f>
        <v>2.87258789063</v>
      </c>
      <c r="P284" s="68" t="str">
        <f>HYPERLINK(AB2 &amp; "/bottle/sn_d85f1862dfe799cbf78b6c51ab8f145e/rendering/13.obj", "2.99307006836")</f>
        <v>2.99307006836</v>
      </c>
      <c r="Q284" s="25" t="str">
        <f>HYPERLINK(AB2 &amp; "/bottle/sn_d85f1862dfe799cbf78b6c51ab8f145e/rendering/14.obj", "2.83758422852")</f>
        <v>2.83758422852</v>
      </c>
      <c r="R284" s="69" t="str">
        <f>HYPERLINK(AB2 &amp; "/bottle/sn_d85f1862dfe799cbf78b6c51ab8f145e/rendering/15.obj", "2.78701812744")</f>
        <v>2.78701812744</v>
      </c>
      <c r="S284" s="69" t="str">
        <f>HYPERLINK(AB2 &amp; "/bottle/sn_d85f1862dfe799cbf78b6c51ab8f145e/rendering/16.obj", "2.77985137939")</f>
        <v>2.77985137939</v>
      </c>
      <c r="T284" s="46" t="str">
        <f>HYPERLINK(AB2 &amp; "/bottle/sn_d85f1862dfe799cbf78b6c51ab8f145e/rendering/17.obj", "2.8230279541")</f>
        <v>2.8230279541</v>
      </c>
      <c r="U284" s="69" t="str">
        <f>HYPERLINK(AB2 &amp; "/bottle/sn_d85f1862dfe799cbf78b6c51ab8f145e/rendering/18.obj", "2.78378112793")</f>
        <v>2.78378112793</v>
      </c>
      <c r="V284" s="23" t="str">
        <f>HYPERLINK(AB2 &amp; "/bottle/sn_d85f1862dfe799cbf78b6c51ab8f145e/rendering/19.obj", "2.75939208984")</f>
        <v>2.75939208984</v>
      </c>
      <c r="W284" s="12" t="s">
        <v>31</v>
      </c>
      <c r="X284" s="13">
        <v>2.8694537353515619</v>
      </c>
      <c r="Y284" s="13">
        <v>9.8401477197556306E-2</v>
      </c>
      <c r="Z284" s="72">
        <v>3.4292756138652382E-2</v>
      </c>
    </row>
    <row r="285" spans="1:26" x14ac:dyDescent="0.2">
      <c r="A285" s="1">
        <v>283</v>
      </c>
      <c r="B285" s="2" t="s">
        <v>89</v>
      </c>
      <c r="C285" s="32" t="str">
        <f>HYPERLINK(AB2 &amp; "/bottle/sn_d85f1862dfe799cbf78b6c51ab8f145e/rendering/00.obj", "2.64044618607")</f>
        <v>2.64044618607</v>
      </c>
      <c r="D285" s="107" t="str">
        <f>HYPERLINK(AB2 &amp; "/bottle/sn_d85f1862dfe799cbf78b6c51ab8f145e/rendering/01.obj", "2.58991003036")</f>
        <v>2.58991003036</v>
      </c>
      <c r="E285" s="91" t="str">
        <f>HYPERLINK(AB2 &amp; "/bottle/sn_d85f1862dfe799cbf78b6c51ab8f145e/rendering/02.obj", "2.32493638992")</f>
        <v>2.32493638992</v>
      </c>
      <c r="F285" s="13" t="str">
        <f>HYPERLINK(AB2 &amp; "/bottle/sn_d85f1862dfe799cbf78b6c51ab8f145e/rendering/03.obj", "2.39536142349")</f>
        <v>2.39536142349</v>
      </c>
      <c r="G285" s="46" t="str">
        <f>HYPERLINK(AB2 &amp; "/bottle/sn_d85f1862dfe799cbf78b6c51ab8f145e/rendering/04.obj", "2.35301470757")</f>
        <v>2.35301470757</v>
      </c>
      <c r="H285" s="6" t="str">
        <f>HYPERLINK(AB2 &amp; "/bottle/sn_d85f1862dfe799cbf78b6c51ab8f145e/rendering/05.obj", "2.2807097435")</f>
        <v>2.2807097435</v>
      </c>
      <c r="I285" s="27" t="str">
        <f>HYPERLINK(AB2 &amp; "/bottle/sn_d85f1862dfe799cbf78b6c51ab8f145e/rendering/06.obj", "2.22559642792")</f>
        <v>2.22559642792</v>
      </c>
      <c r="J285" s="27" t="str">
        <f>HYPERLINK(AB2 &amp; "/bottle/sn_d85f1862dfe799cbf78b6c51ab8f145e/rendering/07.obj", "2.56144237518")</f>
        <v>2.56144237518</v>
      </c>
      <c r="K285" s="91" t="str">
        <f>HYPERLINK(AB2 &amp; "/bottle/sn_d85f1862dfe799cbf78b6c51ab8f145e/rendering/08.obj", "2.4565179348")</f>
        <v>2.4565179348</v>
      </c>
      <c r="L285" s="48" t="str">
        <f>HYPERLINK(AB2 &amp; "/bottle/sn_d85f1862dfe799cbf78b6c51ab8f145e/rendering/09.obj", "2.44840836525")</f>
        <v>2.44840836525</v>
      </c>
      <c r="M285" s="34" t="str">
        <f>HYPERLINK(AB2 &amp; "/bottle/sn_d85f1862dfe799cbf78b6c51ab8f145e/rendering/10.obj", "2.50930857658")</f>
        <v>2.50930857658</v>
      </c>
      <c r="N285" s="6" t="str">
        <f>HYPERLINK(AB2 &amp; "/bottle/sn_d85f1862dfe799cbf78b6c51ab8f145e/rendering/11.obj", "2.50202393532")</f>
        <v>2.50202393532</v>
      </c>
      <c r="O285" s="91" t="str">
        <f>HYPERLINK(AB2 &amp; "/bottle/sn_d85f1862dfe799cbf78b6c51ab8f145e/rendering/12.obj", "2.32624387741")</f>
        <v>2.32624387741</v>
      </c>
      <c r="P285" s="41" t="str">
        <f>HYPERLINK(AB2 &amp; "/bottle/sn_d85f1862dfe799cbf78b6c51ab8f145e/rendering/13.obj", "2.54985427856")</f>
        <v>2.54985427856</v>
      </c>
      <c r="Q285" s="17" t="str">
        <f>HYPERLINK(AB2 &amp; "/bottle/sn_d85f1862dfe799cbf78b6c51ab8f145e/rendering/14.obj", "2.34540700912")</f>
        <v>2.34540700912</v>
      </c>
      <c r="R285" s="5" t="str">
        <f>HYPERLINK(AB2 &amp; "/bottle/sn_d85f1862dfe799cbf78b6c51ab8f145e/rendering/15.obj", "2.20993256569")</f>
        <v>2.20993256569</v>
      </c>
      <c r="S285" s="51" t="str">
        <f>HYPERLINK(AB2 &amp; "/bottle/sn_d85f1862dfe799cbf78b6c51ab8f145e/rendering/16.obj", "2.19782876968")</f>
        <v>2.19782876968</v>
      </c>
      <c r="T285" s="30" t="str">
        <f>HYPERLINK(AB2 &amp; "/bottle/sn_d85f1862dfe799cbf78b6c51ab8f145e/rendering/17.obj", "2.38445091248")</f>
        <v>2.38445091248</v>
      </c>
      <c r="U285" s="69" t="str">
        <f>HYPERLINK(AB2 &amp; "/bottle/sn_d85f1862dfe799cbf78b6c51ab8f145e/rendering/18.obj", "2.32467007637")</f>
        <v>2.32467007637</v>
      </c>
      <c r="V285" s="94" t="str">
        <f>HYPERLINK(AB2 &amp; "/bottle/sn_d85f1862dfe799cbf78b6c51ab8f145e/rendering/19.obj", "2.21854925156")</f>
        <v>2.21854925156</v>
      </c>
      <c r="W285" s="12" t="s">
        <v>32</v>
      </c>
      <c r="X285" s="13">
        <v>2.392230641841889</v>
      </c>
      <c r="Y285" s="13">
        <v>0.13150250237986111</v>
      </c>
      <c r="Z285" s="10">
        <v>5.4970662142598103E-2</v>
      </c>
    </row>
    <row r="286" spans="1:26" x14ac:dyDescent="0.2">
      <c r="A286" s="1">
        <v>284</v>
      </c>
      <c r="B286" s="2" t="s">
        <v>89</v>
      </c>
      <c r="C286" s="13" t="str">
        <f>HYPERLINK(AC2 &amp; "/bottle/sn_d85f1862dfe799cbf78b6c51ab8f145e/rendering/00.xyz", "0.0")</f>
        <v>0.0</v>
      </c>
      <c r="D286" s="13" t="str">
        <f>HYPERLINK(AC2 &amp; "/bottle/sn_d85f1862dfe799cbf78b6c51ab8f145e/rendering/01.xyz", "0.0")</f>
        <v>0.0</v>
      </c>
      <c r="E286" s="13" t="str">
        <f>HYPERLINK(AC2 &amp; "/bottle/sn_d85f1862dfe799cbf78b6c51ab8f145e/rendering/02.xyz", "0.0")</f>
        <v>0.0</v>
      </c>
      <c r="F286" s="13" t="str">
        <f>HYPERLINK(AC2 &amp; "/bottle/sn_d85f1862dfe799cbf78b6c51ab8f145e/rendering/03.xyz", "0.0")</f>
        <v>0.0</v>
      </c>
      <c r="G286" s="13" t="str">
        <f>HYPERLINK(AC2 &amp; "/bottle/sn_d85f1862dfe799cbf78b6c51ab8f145e/rendering/04.xyz", "0.0")</f>
        <v>0.0</v>
      </c>
      <c r="H286" s="13" t="str">
        <f>HYPERLINK(AC2 &amp; "/bottle/sn_d85f1862dfe799cbf78b6c51ab8f145e/rendering/05.xyz", "0.0")</f>
        <v>0.0</v>
      </c>
      <c r="I286" s="13" t="str">
        <f>HYPERLINK(AC2 &amp; "/bottle/sn_d85f1862dfe799cbf78b6c51ab8f145e/rendering/06.xyz", "0.0")</f>
        <v>0.0</v>
      </c>
      <c r="J286" s="13" t="str">
        <f>HYPERLINK(AC2 &amp; "/bottle/sn_d85f1862dfe799cbf78b6c51ab8f145e/rendering/07.xyz", "0.0")</f>
        <v>0.0</v>
      </c>
      <c r="K286" s="13" t="str">
        <f>HYPERLINK(AC2 &amp; "/bottle/sn_d85f1862dfe799cbf78b6c51ab8f145e/rendering/08.xyz", "0.0")</f>
        <v>0.0</v>
      </c>
      <c r="L286" s="13" t="str">
        <f>HYPERLINK(AC2 &amp; "/bottle/sn_d85f1862dfe799cbf78b6c51ab8f145e/rendering/09.xyz", "0.0")</f>
        <v>0.0</v>
      </c>
      <c r="M286" s="13" t="str">
        <f>HYPERLINK(AC2 &amp; "/bottle/sn_d85f1862dfe799cbf78b6c51ab8f145e/rendering/10.xyz", "0.0")</f>
        <v>0.0</v>
      </c>
      <c r="N286" s="13" t="str">
        <f>HYPERLINK(AC2 &amp; "/bottle/sn_d85f1862dfe799cbf78b6c51ab8f145e/rendering/11.xyz", "0.0")</f>
        <v>0.0</v>
      </c>
      <c r="O286" s="13" t="str">
        <f>HYPERLINK(AC2 &amp; "/bottle/sn_d85f1862dfe799cbf78b6c51ab8f145e/rendering/12.xyz", "0.0")</f>
        <v>0.0</v>
      </c>
      <c r="P286" s="13" t="str">
        <f>HYPERLINK(AC2 &amp; "/bottle/sn_d85f1862dfe799cbf78b6c51ab8f145e/rendering/13.xyz", "0.0")</f>
        <v>0.0</v>
      </c>
      <c r="Q286" s="13" t="str">
        <f>HYPERLINK(AC2 &amp; "/bottle/sn_d85f1862dfe799cbf78b6c51ab8f145e/rendering/14.xyz", "0.0")</f>
        <v>0.0</v>
      </c>
      <c r="R286" s="13" t="str">
        <f>HYPERLINK(AC2 &amp; "/bottle/sn_d85f1862dfe799cbf78b6c51ab8f145e/rendering/15.xyz", "0.0")</f>
        <v>0.0</v>
      </c>
      <c r="S286" s="13" t="str">
        <f>HYPERLINK(AC2 &amp; "/bottle/sn_d85f1862dfe799cbf78b6c51ab8f145e/rendering/16.xyz", "0.0")</f>
        <v>0.0</v>
      </c>
      <c r="T286" s="13" t="str">
        <f>HYPERLINK(AC2 &amp; "/bottle/sn_d85f1862dfe799cbf78b6c51ab8f145e/rendering/17.xyz", "0.0")</f>
        <v>0.0</v>
      </c>
      <c r="U286" s="13" t="str">
        <f>HYPERLINK(AC2 &amp; "/bottle/sn_d85f1862dfe799cbf78b6c51ab8f145e/rendering/18.xyz", "0.0")</f>
        <v>0.0</v>
      </c>
      <c r="V286" s="13" t="str">
        <f>HYPERLINK(AC2 &amp; "/bottle/sn_d85f1862dfe799cbf78b6c51ab8f145e/rendering/19.xyz", "0.0")</f>
        <v>0.0</v>
      </c>
      <c r="W286" s="12" t="s">
        <v>33</v>
      </c>
      <c r="X286" s="13">
        <v>0</v>
      </c>
      <c r="Y286" s="13">
        <v>0</v>
      </c>
      <c r="Z286" s="13">
        <v>0</v>
      </c>
    </row>
    <row r="287" spans="1:26" x14ac:dyDescent="0.2">
      <c r="A287" s="1">
        <v>285</v>
      </c>
      <c r="B287" s="2" t="s">
        <v>90</v>
      </c>
      <c r="C287" s="133" t="str">
        <f>HYPERLINK(AA2 &amp; "/bottle/sn_d8b6c270d29c58c55627157b31e16dc2/rendering/00.obj", "3.48979309082")</f>
        <v>3.48979309082</v>
      </c>
      <c r="D287" s="40" t="str">
        <f>HYPERLINK(AA2 &amp; "/bottle/sn_d8b6c270d29c58c55627157b31e16dc2/rendering/01.obj", "3.22734313965")</f>
        <v>3.22734313965</v>
      </c>
      <c r="E287" s="63" t="str">
        <f>HYPERLINK(AA2 &amp; "/bottle/sn_d8b6c270d29c58c55627157b31e16dc2/rendering/02.obj", "3.42007751465")</f>
        <v>3.42007751465</v>
      </c>
      <c r="F287" s="81" t="str">
        <f>HYPERLINK(AA2 &amp; "/bottle/sn_d8b6c270d29c58c55627157b31e16dc2/rendering/03.obj", "3.03818084717")</f>
        <v>3.03818084717</v>
      </c>
      <c r="G287" s="82" t="str">
        <f>HYPERLINK(AA2 &amp; "/bottle/sn_d8b6c270d29c58c55627157b31e16dc2/rendering/04.obj", "3.09883789063")</f>
        <v>3.09883789063</v>
      </c>
      <c r="H287" s="195" t="str">
        <f>HYPERLINK(AA2 &amp; "/bottle/sn_d8b6c270d29c58c55627157b31e16dc2/rendering/05.obj", "6.01888427734")</f>
        <v>6.01888427734</v>
      </c>
      <c r="I287" s="81" t="str">
        <f>HYPERLINK(AA2 &amp; "/bottle/sn_d8b6c270d29c58c55627157b31e16dc2/rendering/06.obj", "3.03866271973")</f>
        <v>3.03866271973</v>
      </c>
      <c r="J287" s="77" t="str">
        <f>HYPERLINK(AA2 &amp; "/bottle/sn_d8b6c270d29c58c55627157b31e16dc2/rendering/07.obj", "3.17145172119")</f>
        <v>3.17145172119</v>
      </c>
      <c r="K287" s="39" t="str">
        <f>HYPERLINK(AA2 &amp; "/bottle/sn_d8b6c270d29c58c55627157b31e16dc2/rendering/08.obj", "3.55473907471")</f>
        <v>3.55473907471</v>
      </c>
      <c r="L287" s="65" t="str">
        <f>HYPERLINK(AA2 &amp; "/bottle/sn_d8b6c270d29c58c55627157b31e16dc2/rendering/09.obj", "3.37473876953")</f>
        <v>3.37473876953</v>
      </c>
      <c r="M287" s="159" t="str">
        <f>HYPERLINK(AA2 &amp; "/bottle/sn_d8b6c270d29c58c55627157b31e16dc2/rendering/10.obj", "5.7187109375")</f>
        <v>5.7187109375</v>
      </c>
      <c r="N287" s="94" t="str">
        <f>HYPERLINK(AA2 &amp; "/bottle/sn_d8b6c270d29c58c55627157b31e16dc2/rendering/11.obj", "4.17443847656")</f>
        <v>4.17443847656</v>
      </c>
      <c r="O287" s="20" t="str">
        <f>HYPERLINK(AA2 &amp; "/bottle/sn_d8b6c270d29c58c55627157b31e16dc2/rendering/12.obj", "7.72807373047")</f>
        <v>7.72807373047</v>
      </c>
      <c r="P287" s="86" t="str">
        <f>HYPERLINK(AA2 &amp; "/bottle/sn_d8b6c270d29c58c55627157b31e16dc2/rendering/13.obj", "4.93296081543")</f>
        <v>4.93296081543</v>
      </c>
      <c r="Q287" s="175" t="str">
        <f>HYPERLINK(AA2 &amp; "/bottle/sn_d8b6c270d29c58c55627157b31e16dc2/rendering/14.obj", "2.98357727051")</f>
        <v>2.98357727051</v>
      </c>
      <c r="R287" s="86" t="str">
        <f>HYPERLINK(AA2 &amp; "/bottle/sn_d8b6c270d29c58c55627157b31e16dc2/rendering/15.obj", "2.84264221191")</f>
        <v>2.84264221191</v>
      </c>
      <c r="S287" s="175" t="str">
        <f>HYPERLINK(AA2 &amp; "/bottle/sn_d8b6c270d29c58c55627157b31e16dc2/rendering/16.obj", "2.98223510742")</f>
        <v>2.98223510742</v>
      </c>
      <c r="T287" s="41" t="str">
        <f>HYPERLINK(AA2 &amp; "/bottle/sn_d8b6c270d29c58c55627157b31e16dc2/rendering/17.obj", "3.63601654053")</f>
        <v>3.63601654053</v>
      </c>
      <c r="U287" s="10" t="str">
        <f>HYPERLINK(AA2 &amp; "/bottle/sn_d8b6c270d29c58c55627157b31e16dc2/rendering/18.obj", "4.10495544434")</f>
        <v>4.10495544434</v>
      </c>
      <c r="V287" s="80" t="str">
        <f>HYPERLINK(AA2 &amp; "/bottle/sn_d8b6c270d29c58c55627157b31e16dc2/rendering/19.obj", "3.3175289917")</f>
        <v>3.3175289917</v>
      </c>
      <c r="W287" s="12" t="s">
        <v>29</v>
      </c>
      <c r="X287" s="13">
        <v>3.8926924285888682</v>
      </c>
      <c r="Y287" s="13">
        <v>1.23990573310451</v>
      </c>
      <c r="Z287" s="176">
        <v>0.31852137199392999</v>
      </c>
    </row>
    <row r="288" spans="1:26" x14ac:dyDescent="0.2">
      <c r="A288" s="1">
        <v>286</v>
      </c>
      <c r="B288" s="2" t="s">
        <v>90</v>
      </c>
      <c r="C288" s="29" t="str">
        <f>HYPERLINK(AA2 &amp; "/bottle/sn_d8b6c270d29c58c55627157b31e16dc2/rendering/00.obj", "2.61648631096")</f>
        <v>2.61648631096</v>
      </c>
      <c r="D288" s="89" t="str">
        <f>HYPERLINK(AA2 &amp; "/bottle/sn_d8b6c270d29c58c55627157b31e16dc2/rendering/01.obj", "2.23179340363")</f>
        <v>2.23179340363</v>
      </c>
      <c r="E288" s="120" t="str">
        <f>HYPERLINK(AA2 &amp; "/bottle/sn_d8b6c270d29c58c55627157b31e16dc2/rendering/02.obj", "2.37145614624")</f>
        <v>2.37145614624</v>
      </c>
      <c r="F288" s="61" t="str">
        <f>HYPERLINK(AA2 &amp; "/bottle/sn_d8b6c270d29c58c55627157b31e16dc2/rendering/03.obj", "2.09701132774")</f>
        <v>2.09701132774</v>
      </c>
      <c r="G288" s="85" t="str">
        <f>HYPERLINK(AA2 &amp; "/bottle/sn_d8b6c270d29c58c55627157b31e16dc2/rendering/04.obj", "2.11525273323")</f>
        <v>2.11525273323</v>
      </c>
      <c r="H288" s="24" t="str">
        <f>HYPERLINK(AA2 &amp; "/bottle/sn_d8b6c270d29c58c55627157b31e16dc2/rendering/05.obj", "3.51657271385")</f>
        <v>3.51657271385</v>
      </c>
      <c r="I288" s="121" t="str">
        <f>HYPERLINK(AA2 &amp; "/bottle/sn_d8b6c270d29c58c55627157b31e16dc2/rendering/06.obj", "1.95044887066")</f>
        <v>1.95044887066</v>
      </c>
      <c r="J288" s="60" t="str">
        <f>HYPERLINK(AA2 &amp; "/bottle/sn_d8b6c270d29c58c55627157b31e16dc2/rendering/07.obj", "3.17165517807")</f>
        <v>3.17165517807</v>
      </c>
      <c r="K288" s="88" t="str">
        <f>HYPERLINK(AA2 &amp; "/bottle/sn_d8b6c270d29c58c55627157b31e16dc2/rendering/08.obj", "2.39981818199")</f>
        <v>2.39981818199</v>
      </c>
      <c r="L288" s="129" t="str">
        <f>HYPERLINK(AA2 &amp; "/bottle/sn_d8b6c270d29c58c55627157b31e16dc2/rendering/09.obj", "2.2633368969")</f>
        <v>2.2633368969</v>
      </c>
      <c r="M288" s="94" t="str">
        <f>HYPERLINK(AA2 &amp; "/bottle/sn_d8b6c270d29c58c55627157b31e16dc2/rendering/10.obj", "3.23078942299")</f>
        <v>3.23078942299</v>
      </c>
      <c r="N288" s="134" t="str">
        <f>HYPERLINK(AA2 &amp; "/bottle/sn_d8b6c270d29c58c55627157b31e16dc2/rendering/11.obj", "2.46381258965")</f>
        <v>2.46381258965</v>
      </c>
      <c r="O288" s="20" t="str">
        <f>HYPERLINK(AA2 &amp; "/bottle/sn_d8b6c270d29c58c55627157b31e16dc2/rendering/12.obj", "6.73575115204")</f>
        <v>6.73575115204</v>
      </c>
      <c r="P288" s="20" t="str">
        <f>HYPERLINK(AA2 &amp; "/bottle/sn_d8b6c270d29c58c55627157b31e16dc2/rendering/13.obj", "6.16107273102")</f>
        <v>6.16107273102</v>
      </c>
      <c r="Q288" s="4" t="str">
        <f>HYPERLINK(AA2 &amp; "/bottle/sn_d8b6c270d29c58c55627157b31e16dc2/rendering/14.obj", "2.15986514091")</f>
        <v>2.15986514091</v>
      </c>
      <c r="R288" s="193" t="str">
        <f>HYPERLINK(AA2 &amp; "/bottle/sn_d8b6c270d29c58c55627157b31e16dc2/rendering/15.obj", "2.01111149788")</f>
        <v>2.01111149788</v>
      </c>
      <c r="S288" s="63" t="str">
        <f>HYPERLINK(AA2 &amp; "/bottle/sn_d8b6c270d29c58c55627157b31e16dc2/rendering/16.obj", "2.64942264557")</f>
        <v>2.64942264557</v>
      </c>
      <c r="T288" s="17" t="str">
        <f>HYPERLINK(AA2 &amp; "/bottle/sn_d8b6c270d29c58c55627157b31e16dc2/rendering/17.obj", "3.06871652603")</f>
        <v>3.06871652603</v>
      </c>
      <c r="U288" s="21" t="str">
        <f>HYPERLINK(AA2 &amp; "/bottle/sn_d8b6c270d29c58c55627157b31e16dc2/rendering/18.obj", "4.67476797104")</f>
        <v>4.67476797104</v>
      </c>
      <c r="V288" s="11" t="str">
        <f>HYPERLINK(AA2 &amp; "/bottle/sn_d8b6c270d29c58c55627157b31e16dc2/rendering/19.obj", "2.33604979515")</f>
        <v>2.33604979515</v>
      </c>
      <c r="W288" s="12" t="s">
        <v>30</v>
      </c>
      <c r="X288" s="13">
        <v>3.011259561777115</v>
      </c>
      <c r="Y288" s="13">
        <v>1.311005200229524</v>
      </c>
      <c r="Z288" s="97">
        <v>0.43536771684199338</v>
      </c>
    </row>
    <row r="289" spans="1:26" x14ac:dyDescent="0.2">
      <c r="A289" s="1">
        <v>287</v>
      </c>
      <c r="B289" s="2" t="s">
        <v>90</v>
      </c>
      <c r="C289" s="34" t="str">
        <f>HYPERLINK(AB2 &amp; "/bottle/sn_d8b6c270d29c58c55627157b31e16dc2/rendering/00.obj", "3.5522833252")</f>
        <v>3.5522833252</v>
      </c>
      <c r="D289" s="10" t="str">
        <f>HYPERLINK(AB2 &amp; "/bottle/sn_d8b6c270d29c58c55627157b31e16dc2/rendering/01.obj", "3.20708496094")</f>
        <v>3.20708496094</v>
      </c>
      <c r="E289" s="60" t="str">
        <f>HYPERLINK(AB2 &amp; "/bottle/sn_d8b6c270d29c58c55627157b31e16dc2/rendering/02.obj", "3.21121032715")</f>
        <v>3.21121032715</v>
      </c>
      <c r="F289" s="48" t="str">
        <f>HYPERLINK(AB2 &amp; "/bottle/sn_d8b6c270d29c58c55627157b31e16dc2/rendering/03.obj", "3.31516601563")</f>
        <v>3.31516601563</v>
      </c>
      <c r="G289" s="94" t="str">
        <f>HYPERLINK(AB2 &amp; "/bottle/sn_d8b6c270d29c58c55627157b31e16dc2/rendering/04.obj", "3.13917633057")</f>
        <v>3.13917633057</v>
      </c>
      <c r="H289" s="78" t="str">
        <f>HYPERLINK(AB2 &amp; "/bottle/sn_d8b6c270d29c58c55627157b31e16dc2/rendering/05.obj", "3.6026159668")</f>
        <v>3.6026159668</v>
      </c>
      <c r="I289" s="133" t="str">
        <f>HYPERLINK(AB2 &amp; "/bottle/sn_d8b6c270d29c58c55627157b31e16dc2/rendering/06.obj", "3.73777038574")</f>
        <v>3.73777038574</v>
      </c>
      <c r="J289" s="106" t="str">
        <f>HYPERLINK(AB2 &amp; "/bottle/sn_d8b6c270d29c58c55627157b31e16dc2/rendering/07.obj", "3.00393035889")</f>
        <v>3.00393035889</v>
      </c>
      <c r="K289" s="30" t="str">
        <f>HYPERLINK(AB2 &amp; "/bottle/sn_d8b6c270d29c58c55627157b31e16dc2/rendering/08.obj", "3.37833190918")</f>
        <v>3.37833190918</v>
      </c>
      <c r="L289" s="41" t="str">
        <f>HYPERLINK(AB2 &amp; "/bottle/sn_d8b6c270d29c58c55627157b31e16dc2/rendering/09.obj", "3.62296661377")</f>
        <v>3.62296661377</v>
      </c>
      <c r="M289" s="72" t="str">
        <f>HYPERLINK(AB2 &amp; "/bottle/sn_d8b6c270d29c58c55627157b31e16dc2/rendering/10.obj", "3.50166137695")</f>
        <v>3.50166137695</v>
      </c>
      <c r="N289" s="107" t="str">
        <f>HYPERLINK(AB2 &amp; "/bottle/sn_d8b6c270d29c58c55627157b31e16dc2/rendering/11.obj", "3.10746398926")</f>
        <v>3.10746398926</v>
      </c>
      <c r="O289" s="47" t="str">
        <f>HYPERLINK(AB2 &amp; "/bottle/sn_d8b6c270d29c58c55627157b31e16dc2/rendering/12.obj", "3.36386077881")</f>
        <v>3.36386077881</v>
      </c>
      <c r="P289" s="25" t="str">
        <f>HYPERLINK(AB2 &amp; "/bottle/sn_d8b6c270d29c58c55627157b31e16dc2/rendering/13.obj", "3.35670349121")</f>
        <v>3.35670349121</v>
      </c>
      <c r="Q289" s="120" t="str">
        <f>HYPERLINK(AB2 &amp; "/bottle/sn_d8b6c270d29c58c55627157b31e16dc2/rendering/14.obj", "4.11238098145")</f>
        <v>4.11238098145</v>
      </c>
      <c r="R289" s="78" t="str">
        <f>HYPERLINK(AB2 &amp; "/bottle/sn_d8b6c270d29c58c55627157b31e16dc2/rendering/15.obj", "3.59455383301")</f>
        <v>3.59455383301</v>
      </c>
      <c r="S289" s="38" t="str">
        <f>HYPERLINK(AB2 &amp; "/bottle/sn_d8b6c270d29c58c55627157b31e16dc2/rendering/16.obj", "3.08840179443")</f>
        <v>3.08840179443</v>
      </c>
      <c r="T289" s="35" t="str">
        <f>HYPERLINK(AB2 &amp; "/bottle/sn_d8b6c270d29c58c55627157b31e16dc2/rendering/17.obj", "3.19834533691")</f>
        <v>3.19834533691</v>
      </c>
      <c r="U289" s="46" t="str">
        <f>HYPERLINK(AB2 &amp; "/bottle/sn_d8b6c270d29c58c55627157b31e16dc2/rendering/18.obj", "3.33684997559")</f>
        <v>3.33684997559</v>
      </c>
      <c r="V289" s="13" t="str">
        <f>HYPERLINK(AB2 &amp; "/bottle/sn_d8b6c270d29c58c55627157b31e16dc2/rendering/19.obj", "3.3852911377")</f>
        <v>3.3852911377</v>
      </c>
      <c r="W289" s="12" t="s">
        <v>31</v>
      </c>
      <c r="X289" s="13">
        <v>3.390802444458008</v>
      </c>
      <c r="Y289" s="13">
        <v>0.25672668909365859</v>
      </c>
      <c r="Z289" s="5">
        <v>7.571266486293167E-2</v>
      </c>
    </row>
    <row r="290" spans="1:26" x14ac:dyDescent="0.2">
      <c r="A290" s="1">
        <v>288</v>
      </c>
      <c r="B290" s="2" t="s">
        <v>90</v>
      </c>
      <c r="C290" s="34" t="str">
        <f>HYPERLINK(AB2 &amp; "/bottle/sn_d8b6c270d29c58c55627157b31e16dc2/rendering/00.obj", "2.13039827347")</f>
        <v>2.13039827347</v>
      </c>
      <c r="D290" s="34" t="str">
        <f>HYPERLINK(AB2 &amp; "/bottle/sn_d8b6c270d29c58c55627157b31e16dc2/rendering/01.obj", "2.34930348396")</f>
        <v>2.34930348396</v>
      </c>
      <c r="E290" s="34" t="str">
        <f>HYPERLINK(AB2 &amp; "/bottle/sn_d8b6c270d29c58c55627157b31e16dc2/rendering/02.obj", "2.1326956749")</f>
        <v>2.1326956749</v>
      </c>
      <c r="F290" s="91" t="str">
        <f>HYPERLINK(AB2 &amp; "/bottle/sn_d8b6c270d29c58c55627157b31e16dc2/rendering/03.obj", "2.29859161377")</f>
        <v>2.29859161377</v>
      </c>
      <c r="G290" s="73" t="str">
        <f>HYPERLINK(AB2 &amp; "/bottle/sn_d8b6c270d29c58c55627157b31e16dc2/rendering/04.obj", "2.15811944008")</f>
        <v>2.15811944008</v>
      </c>
      <c r="H290" s="27" t="str">
        <f>HYPERLINK(AB2 &amp; "/bottle/sn_d8b6c270d29c58c55627157b31e16dc2/rendering/05.obj", "2.40121006966")</f>
        <v>2.40121006966</v>
      </c>
      <c r="I290" s="67" t="str">
        <f>HYPERLINK(AB2 &amp; "/bottle/sn_d8b6c270d29c58c55627157b31e16dc2/rendering/06.obj", "2.03007984161")</f>
        <v>2.03007984161</v>
      </c>
      <c r="J290" s="30" t="str">
        <f>HYPERLINK(AB2 &amp; "/bottle/sn_d8b6c270d29c58c55627157b31e16dc2/rendering/07.obj", "2.226998806")</f>
        <v>2.226998806</v>
      </c>
      <c r="K290" s="41" t="str">
        <f>HYPERLINK(AB2 &amp; "/bottle/sn_d8b6c270d29c58c55627157b31e16dc2/rendering/08.obj", "2.08970451355")</f>
        <v>2.08970451355</v>
      </c>
      <c r="L290" s="90" t="str">
        <f>HYPERLINK(AB2 &amp; "/bottle/sn_d8b6c270d29c58c55627157b31e16dc2/rendering/09.obj", "2.0238878727")</f>
        <v>2.0238878727</v>
      </c>
      <c r="M290" s="72" t="str">
        <f>HYPERLINK(AB2 &amp; "/bottle/sn_d8b6c270d29c58c55627157b31e16dc2/rendering/10.obj", "2.31348466873")</f>
        <v>2.31348466873</v>
      </c>
      <c r="N290" s="38" t="str">
        <f>HYPERLINK(AB2 &amp; "/bottle/sn_d8b6c270d29c58c55627157b31e16dc2/rendering/11.obj", "2.04080510139")</f>
        <v>2.04080510139</v>
      </c>
      <c r="O290" s="23" t="str">
        <f>HYPERLINK(AB2 &amp; "/bottle/sn_d8b6c270d29c58c55627157b31e16dc2/rendering/12.obj", "2.32681465149")</f>
        <v>2.32681465149</v>
      </c>
      <c r="P290" s="54" t="str">
        <f>HYPERLINK(AB2 &amp; "/bottle/sn_d8b6c270d29c58c55627157b31e16dc2/rendering/13.obj", "2.97478723526")</f>
        <v>2.97478723526</v>
      </c>
      <c r="Q290" s="76" t="str">
        <f>HYPERLINK(AB2 &amp; "/bottle/sn_d8b6c270d29c58c55627157b31e16dc2/rendering/14.obj", "1.82817041874")</f>
        <v>1.82817041874</v>
      </c>
      <c r="R290" s="88" t="str">
        <f>HYPERLINK(AB2 &amp; "/bottle/sn_d8b6c270d29c58c55627157b31e16dc2/rendering/15.obj", "1.78971385956")</f>
        <v>1.78971385956</v>
      </c>
      <c r="S290" s="31" t="str">
        <f>HYPERLINK(AB2 &amp; "/bottle/sn_d8b6c270d29c58c55627157b31e16dc2/rendering/16.obj", "2.5880279541")</f>
        <v>2.5880279541</v>
      </c>
      <c r="T290" s="69" t="str">
        <f>HYPERLINK(AB2 &amp; "/bottle/sn_d8b6c270d29c58c55627157b31e16dc2/rendering/17.obj", "2.308344841")</f>
        <v>2.308344841</v>
      </c>
      <c r="U290" s="80" t="str">
        <f>HYPERLINK(AB2 &amp; "/bottle/sn_d8b6c270d29c58c55627157b31e16dc2/rendering/18.obj", "2.57454323769")</f>
        <v>2.57454323769</v>
      </c>
      <c r="V290" s="25" t="str">
        <f>HYPERLINK(AB2 &amp; "/bottle/sn_d8b6c270d29c58c55627157b31e16dc2/rendering/19.obj", "2.21679592133")</f>
        <v>2.21679592133</v>
      </c>
      <c r="W290" s="12" t="s">
        <v>32</v>
      </c>
      <c r="X290" s="13">
        <v>2.240123873949051</v>
      </c>
      <c r="Y290" s="13">
        <v>0.2634643659496107</v>
      </c>
      <c r="Z290" s="71">
        <v>0.1176115164940217</v>
      </c>
    </row>
    <row r="291" spans="1:26" x14ac:dyDescent="0.2">
      <c r="A291" s="1">
        <v>289</v>
      </c>
      <c r="B291" s="2" t="s">
        <v>90</v>
      </c>
      <c r="C291" s="13" t="str">
        <f>HYPERLINK(AC2 &amp; "/bottle/sn_d8b6c270d29c58c55627157b31e16dc2/rendering/00.xyz", "0.0")</f>
        <v>0.0</v>
      </c>
      <c r="D291" s="13" t="str">
        <f>HYPERLINK(AC2 &amp; "/bottle/sn_d8b6c270d29c58c55627157b31e16dc2/rendering/01.xyz", "0.0")</f>
        <v>0.0</v>
      </c>
      <c r="E291" s="13" t="str">
        <f>HYPERLINK(AC2 &amp; "/bottle/sn_d8b6c270d29c58c55627157b31e16dc2/rendering/02.xyz", "0.0")</f>
        <v>0.0</v>
      </c>
      <c r="F291" s="13" t="str">
        <f>HYPERLINK(AC2 &amp; "/bottle/sn_d8b6c270d29c58c55627157b31e16dc2/rendering/03.xyz", "0.0")</f>
        <v>0.0</v>
      </c>
      <c r="G291" s="13" t="str">
        <f>HYPERLINK(AC2 &amp; "/bottle/sn_d8b6c270d29c58c55627157b31e16dc2/rendering/04.xyz", "0.0")</f>
        <v>0.0</v>
      </c>
      <c r="H291" s="13" t="str">
        <f>HYPERLINK(AC2 &amp; "/bottle/sn_d8b6c270d29c58c55627157b31e16dc2/rendering/05.xyz", "0.0")</f>
        <v>0.0</v>
      </c>
      <c r="I291" s="13" t="str">
        <f>HYPERLINK(AC2 &amp; "/bottle/sn_d8b6c270d29c58c55627157b31e16dc2/rendering/06.xyz", "0.0")</f>
        <v>0.0</v>
      </c>
      <c r="J291" s="13" t="str">
        <f>HYPERLINK(AC2 &amp; "/bottle/sn_d8b6c270d29c58c55627157b31e16dc2/rendering/07.xyz", "0.0")</f>
        <v>0.0</v>
      </c>
      <c r="K291" s="13" t="str">
        <f>HYPERLINK(AC2 &amp; "/bottle/sn_d8b6c270d29c58c55627157b31e16dc2/rendering/08.xyz", "0.0")</f>
        <v>0.0</v>
      </c>
      <c r="L291" s="13" t="str">
        <f>HYPERLINK(AC2 &amp; "/bottle/sn_d8b6c270d29c58c55627157b31e16dc2/rendering/09.xyz", "0.0")</f>
        <v>0.0</v>
      </c>
      <c r="M291" s="13" t="str">
        <f>HYPERLINK(AC2 &amp; "/bottle/sn_d8b6c270d29c58c55627157b31e16dc2/rendering/10.xyz", "0.0")</f>
        <v>0.0</v>
      </c>
      <c r="N291" s="13" t="str">
        <f>HYPERLINK(AC2 &amp; "/bottle/sn_d8b6c270d29c58c55627157b31e16dc2/rendering/11.xyz", "0.0")</f>
        <v>0.0</v>
      </c>
      <c r="O291" s="13" t="str">
        <f>HYPERLINK(AC2 &amp; "/bottle/sn_d8b6c270d29c58c55627157b31e16dc2/rendering/12.xyz", "0.0")</f>
        <v>0.0</v>
      </c>
      <c r="P291" s="13" t="str">
        <f>HYPERLINK(AC2 &amp; "/bottle/sn_d8b6c270d29c58c55627157b31e16dc2/rendering/13.xyz", "0.0")</f>
        <v>0.0</v>
      </c>
      <c r="Q291" s="13" t="str">
        <f>HYPERLINK(AC2 &amp; "/bottle/sn_d8b6c270d29c58c55627157b31e16dc2/rendering/14.xyz", "0.0")</f>
        <v>0.0</v>
      </c>
      <c r="R291" s="13" t="str">
        <f>HYPERLINK(AC2 &amp; "/bottle/sn_d8b6c270d29c58c55627157b31e16dc2/rendering/15.xyz", "0.0")</f>
        <v>0.0</v>
      </c>
      <c r="S291" s="13" t="str">
        <f>HYPERLINK(AC2 &amp; "/bottle/sn_d8b6c270d29c58c55627157b31e16dc2/rendering/16.xyz", "0.0")</f>
        <v>0.0</v>
      </c>
      <c r="T291" s="13" t="str">
        <f>HYPERLINK(AC2 &amp; "/bottle/sn_d8b6c270d29c58c55627157b31e16dc2/rendering/17.xyz", "0.0")</f>
        <v>0.0</v>
      </c>
      <c r="U291" s="13" t="str">
        <f>HYPERLINK(AC2 &amp; "/bottle/sn_d8b6c270d29c58c55627157b31e16dc2/rendering/18.xyz", "0.0")</f>
        <v>0.0</v>
      </c>
      <c r="V291" s="13" t="str">
        <f>HYPERLINK(AC2 &amp; "/bottle/sn_d8b6c270d29c58c55627157b31e16dc2/rendering/19.xyz", "0.0")</f>
        <v>0.0</v>
      </c>
      <c r="W291" s="12" t="s">
        <v>33</v>
      </c>
      <c r="X291" s="13">
        <v>0</v>
      </c>
      <c r="Y291" s="13">
        <v>0</v>
      </c>
      <c r="Z291" s="13">
        <v>0</v>
      </c>
    </row>
    <row r="292" spans="1:26" x14ac:dyDescent="0.2">
      <c r="A292" s="1">
        <v>290</v>
      </c>
      <c r="B292" s="2" t="s">
        <v>91</v>
      </c>
      <c r="C292" s="65" t="str">
        <f>HYPERLINK(AA2 &amp; "/bottle/sn_d910d855fd179dc066c1a8ee69277898/rendering/00.obj", "3.52293640137")</f>
        <v>3.52293640137</v>
      </c>
      <c r="D292" s="151" t="str">
        <f>HYPERLINK(AA2 &amp; "/bottle/sn_d910d855fd179dc066c1a8ee69277898/rendering/01.obj", "1.99582504272")</f>
        <v>1.99582504272</v>
      </c>
      <c r="E292" s="176" t="str">
        <f>HYPERLINK(AA2 &amp; "/bottle/sn_d910d855fd179dc066c1a8ee69277898/rendering/02.obj", "2.12158447266")</f>
        <v>2.12158447266</v>
      </c>
      <c r="F292" s="7" t="str">
        <f>HYPERLINK(AA2 &amp; "/bottle/sn_d910d855fd179dc066c1a8ee69277898/rendering/03.obj", "2.24564910889")</f>
        <v>2.24564910889</v>
      </c>
      <c r="G292" s="170" t="str">
        <f>HYPERLINK(AA2 &amp; "/bottle/sn_d910d855fd179dc066c1a8ee69277898/rendering/04.obj", "2.32718139648")</f>
        <v>2.32718139648</v>
      </c>
      <c r="H292" s="44" t="str">
        <f>HYPERLINK(AA2 &amp; "/bottle/sn_d910d855fd179dc066c1a8ee69277898/rendering/05.obj", "3.71820953369")</f>
        <v>3.71820953369</v>
      </c>
      <c r="I292" s="171" t="str">
        <f>HYPERLINK(AA2 &amp; "/bottle/sn_d910d855fd179dc066c1a8ee69277898/rendering/06.obj", "2.15725738525")</f>
        <v>2.15725738525</v>
      </c>
      <c r="J292" s="28" t="str">
        <f>HYPERLINK(AA2 &amp; "/bottle/sn_d910d855fd179dc066c1a8ee69277898/rendering/07.obj", "3.45822998047")</f>
        <v>3.45822998047</v>
      </c>
      <c r="K292" s="122" t="str">
        <f>HYPERLINK(AA2 &amp; "/bottle/sn_d910d855fd179dc066c1a8ee69277898/rendering/08.obj", "1.85637374878")</f>
        <v>1.85637374878</v>
      </c>
      <c r="L292" s="228" t="str">
        <f>HYPERLINK(AA2 &amp; "/bottle/sn_d910d855fd179dc066c1a8ee69277898/rendering/09.obj", "4.76409423828")</f>
        <v>4.76409423828</v>
      </c>
      <c r="M292" s="108" t="str">
        <f>HYPERLINK(AA2 &amp; "/bottle/sn_d910d855fd179dc066c1a8ee69277898/rendering/10.obj", "2.33938323975")</f>
        <v>2.33938323975</v>
      </c>
      <c r="N292" s="128" t="str">
        <f>HYPERLINK(AA2 &amp; "/bottle/sn_d910d855fd179dc066c1a8ee69277898/rendering/11.obj", "1.89332305908")</f>
        <v>1.89332305908</v>
      </c>
      <c r="O292" s="20" t="str">
        <f>HYPERLINK(AA2 &amp; "/bottle/sn_d910d855fd179dc066c1a8ee69277898/rendering/12.obj", "8.19100585938")</f>
        <v>8.19100585938</v>
      </c>
      <c r="P292" s="170" t="str">
        <f>HYPERLINK(AA2 &amp; "/bottle/sn_d910d855fd179dc066c1a8ee69277898/rendering/13.obj", "3.89653442383")</f>
        <v>3.89653442383</v>
      </c>
      <c r="Q292" s="120" t="str">
        <f>HYPERLINK(AA2 &amp; "/bottle/sn_d910d855fd179dc066c1a8ee69277898/rendering/14.obj", "2.44961700439")</f>
        <v>2.44961700439</v>
      </c>
      <c r="R292" s="59" t="str">
        <f>HYPERLINK(AA2 &amp; "/bottle/sn_d910d855fd179dc066c1a8ee69277898/rendering/15.obj", "2.36629257202")</f>
        <v>2.36629257202</v>
      </c>
      <c r="S292" s="98" t="str">
        <f>HYPERLINK(AA2 &amp; "/bottle/sn_d910d855fd179dc066c1a8ee69277898/rendering/16.obj", "2.39044342041")</f>
        <v>2.39044342041</v>
      </c>
      <c r="T292" s="20" t="str">
        <f>HYPERLINK(AA2 &amp; "/bottle/sn_d910d855fd179dc066c1a8ee69277898/rendering/17.obj", "6.53700073242")</f>
        <v>6.53700073242</v>
      </c>
      <c r="U292" s="97" t="str">
        <f>HYPERLINK(AA2 &amp; "/bottle/sn_d910d855fd179dc066c1a8ee69277898/rendering/18.obj", "1.75974456787")</f>
        <v>1.75974456787</v>
      </c>
      <c r="V292" s="85" t="str">
        <f>HYPERLINK(AA2 &amp; "/bottle/sn_d910d855fd179dc066c1a8ee69277898/rendering/19.obj", "2.18855285645")</f>
        <v>2.18855285645</v>
      </c>
      <c r="W292" s="12" t="s">
        <v>29</v>
      </c>
      <c r="X292" s="13">
        <v>3.1089619522094729</v>
      </c>
      <c r="Y292" s="13">
        <v>1.641466235204537</v>
      </c>
      <c r="Z292" s="160">
        <v>0.52797887540501498</v>
      </c>
    </row>
    <row r="293" spans="1:26" x14ac:dyDescent="0.2">
      <c r="A293" s="1">
        <v>291</v>
      </c>
      <c r="B293" s="2" t="s">
        <v>91</v>
      </c>
      <c r="C293" s="17" t="str">
        <f>HYPERLINK(AA2 &amp; "/bottle/sn_d910d855fd179dc066c1a8ee69277898/rendering/00.obj", "2.40036439896")</f>
        <v>2.40036439896</v>
      </c>
      <c r="D293" s="212" t="str">
        <f>HYPERLINK(AA2 &amp; "/bottle/sn_d910d855fd179dc066c1a8ee69277898/rendering/01.obj", "1.3397295475")</f>
        <v>1.3397295475</v>
      </c>
      <c r="E293" s="97" t="str">
        <f>HYPERLINK(AA2 &amp; "/bottle/sn_d910d855fd179dc066c1a8ee69277898/rendering/02.obj", "1.33355557919")</f>
        <v>1.33355557919</v>
      </c>
      <c r="F293" s="52" t="str">
        <f>HYPERLINK(AA2 &amp; "/bottle/sn_d910d855fd179dc066c1a8ee69277898/rendering/03.obj", "1.41164803505")</f>
        <v>1.41164803505</v>
      </c>
      <c r="G293" s="230" t="str">
        <f>HYPERLINK(AA2 &amp; "/bottle/sn_d910d855fd179dc066c1a8ee69277898/rendering/04.obj", "1.27603054047")</f>
        <v>1.27603054047</v>
      </c>
      <c r="H293" s="51" t="str">
        <f>HYPERLINK(AA2 &amp; "/bottle/sn_d910d855fd179dc066c1a8ee69277898/rendering/05.obj", "2.16381120682")</f>
        <v>2.16381120682</v>
      </c>
      <c r="I293" s="181" t="str">
        <f>HYPERLINK(AA2 &amp; "/bottle/sn_d910d855fd179dc066c1a8ee69277898/rendering/06.obj", "1.30914735794")</f>
        <v>1.30914735794</v>
      </c>
      <c r="J293" s="91" t="str">
        <f>HYPERLINK(AA2 &amp; "/bottle/sn_d910d855fd179dc066c1a8ee69277898/rendering/07.obj", "2.41726970673")</f>
        <v>2.41726970673</v>
      </c>
      <c r="K293" s="148" t="str">
        <f>HYPERLINK(AA2 &amp; "/bottle/sn_d910d855fd179dc066c1a8ee69277898/rendering/08.obj", "1.21505844593")</f>
        <v>1.21505844593</v>
      </c>
      <c r="L293" s="20" t="str">
        <f>HYPERLINK(AA2 &amp; "/bottle/sn_d910d855fd179dc066c1a8ee69277898/rendering/09.obj", "4.31259727478")</f>
        <v>4.31259727478</v>
      </c>
      <c r="M293" s="54" t="str">
        <f>HYPERLINK(AA2 &amp; "/bottle/sn_d910d855fd179dc066c1a8ee69277898/rendering/10.obj", "1.58092582226")</f>
        <v>1.58092582226</v>
      </c>
      <c r="N293" s="157" t="str">
        <f>HYPERLINK(AA2 &amp; "/bottle/sn_d910d855fd179dc066c1a8ee69277898/rendering/11.obj", "1.37381446362")</f>
        <v>1.37381446362</v>
      </c>
      <c r="O293" s="20" t="str">
        <f>HYPERLINK(AA2 &amp; "/bottle/sn_d910d855fd179dc066c1a8ee69277898/rendering/12.obj", "9.31666564941")</f>
        <v>9.31666564941</v>
      </c>
      <c r="P293" s="73" t="str">
        <f>HYPERLINK(AA2 &amp; "/bottle/sn_d910d855fd179dc066c1a8ee69277898/rendering/13.obj", "2.27103686333")</f>
        <v>2.27103686333</v>
      </c>
      <c r="Q293" s="153" t="str">
        <f>HYPERLINK(AA2 &amp; "/bottle/sn_d910d855fd179dc066c1a8ee69277898/rendering/14.obj", "1.51550221443")</f>
        <v>1.51550221443</v>
      </c>
      <c r="R293" s="157" t="str">
        <f>HYPERLINK(AA2 &amp; "/bottle/sn_d910d855fd179dc066c1a8ee69277898/rendering/15.obj", "1.37734532356")</f>
        <v>1.37734532356</v>
      </c>
      <c r="S293" s="42" t="str">
        <f>HYPERLINK(AA2 &amp; "/bottle/sn_d910d855fd179dc066c1a8ee69277898/rendering/16.obj", "2.0357735157")</f>
        <v>2.0357735157</v>
      </c>
      <c r="T293" s="20" t="str">
        <f>HYPERLINK(AA2 &amp; "/bottle/sn_d910d855fd179dc066c1a8ee69277898/rendering/17.obj", "5.64823436737")</f>
        <v>5.64823436737</v>
      </c>
      <c r="U293" s="116" t="str">
        <f>HYPERLINK(AA2 &amp; "/bottle/sn_d910d855fd179dc066c1a8ee69277898/rendering/18.obj", "1.32307875156")</f>
        <v>1.32307875156</v>
      </c>
      <c r="V293" s="172" t="str">
        <f>HYPERLINK(AA2 &amp; "/bottle/sn_d910d855fd179dc066c1a8ee69277898/rendering/19.obj", "1.45227169991")</f>
        <v>1.45227169991</v>
      </c>
      <c r="W293" s="12" t="s">
        <v>30</v>
      </c>
      <c r="X293" s="13">
        <v>2.353693038225174</v>
      </c>
      <c r="Y293" s="13">
        <v>1.935426624122961</v>
      </c>
      <c r="Z293" s="20">
        <v>0.82229355854423103</v>
      </c>
    </row>
    <row r="294" spans="1:26" x14ac:dyDescent="0.2">
      <c r="A294" s="1">
        <v>292</v>
      </c>
      <c r="B294" s="2" t="s">
        <v>91</v>
      </c>
      <c r="C294" s="133" t="str">
        <f>HYPERLINK(AB2 &amp; "/bottle/sn_d910d855fd179dc066c1a8ee69277898/rendering/00.obj", "2.50045562744")</f>
        <v>2.50045562744</v>
      </c>
      <c r="D294" s="46" t="str">
        <f>HYPERLINK(AB2 &amp; "/bottle/sn_d910d855fd179dc066c1a8ee69277898/rendering/01.obj", "2.23319610596")</f>
        <v>2.23319610596</v>
      </c>
      <c r="E294" s="90" t="str">
        <f>HYPERLINK(AB2 &amp; "/bottle/sn_d910d855fd179dc066c1a8ee69277898/rendering/02.obj", "2.05342727661")</f>
        <v>2.05342727661</v>
      </c>
      <c r="F294" s="74" t="str">
        <f>HYPERLINK(AB2 &amp; "/bottle/sn_d910d855fd179dc066c1a8ee69277898/rendering/03.obj", "2.29859146118")</f>
        <v>2.29859146118</v>
      </c>
      <c r="G294" s="34" t="str">
        <f>HYPERLINK(AB2 &amp; "/bottle/sn_d910d855fd179dc066c1a8ee69277898/rendering/04.obj", "2.15659973145")</f>
        <v>2.15659973145</v>
      </c>
      <c r="H294" s="30" t="str">
        <f>HYPERLINK(AB2 &amp; "/bottle/sn_d910d855fd179dc066c1a8ee69277898/rendering/05.obj", "2.25601791382")</f>
        <v>2.25601791382</v>
      </c>
      <c r="I294" s="27" t="str">
        <f>HYPERLINK(AB2 &amp; "/bottle/sn_d910d855fd179dc066c1a8ee69277898/rendering/06.obj", "2.107940979")</f>
        <v>2.107940979</v>
      </c>
      <c r="J294" s="107" t="str">
        <f>HYPERLINK(AB2 &amp; "/bottle/sn_d910d855fd179dc066c1a8ee69277898/rendering/07.obj", "2.07714141846")</f>
        <v>2.07714141846</v>
      </c>
      <c r="K294" s="32" t="str">
        <f>HYPERLINK(AB2 &amp; "/bottle/sn_d910d855fd179dc066c1a8ee69277898/rendering/08.obj", "2.50881912231")</f>
        <v>2.50881912231</v>
      </c>
      <c r="L294" s="5" t="str">
        <f>HYPERLINK(AB2 &amp; "/bottle/sn_d910d855fd179dc066c1a8ee69277898/rendering/09.obj", "2.09590118408")</f>
        <v>2.09590118408</v>
      </c>
      <c r="M294" s="8" t="str">
        <f>HYPERLINK(AB2 &amp; "/bottle/sn_d910d855fd179dc066c1a8ee69277898/rendering/10.obj", "2.59578735352")</f>
        <v>2.59578735352</v>
      </c>
      <c r="N294" s="51" t="str">
        <f>HYPERLINK(AB2 &amp; "/bottle/sn_d910d855fd179dc066c1a8ee69277898/rendering/11.obj", "2.45126983643")</f>
        <v>2.45126983643</v>
      </c>
      <c r="O294" s="37" t="str">
        <f>HYPERLINK(AB2 &amp; "/bottle/sn_d910d855fd179dc066c1a8ee69277898/rendering/12.obj", "1.87611282349")</f>
        <v>1.87611282349</v>
      </c>
      <c r="P294" s="8" t="str">
        <f>HYPERLINK(AB2 &amp; "/bottle/sn_d910d855fd179dc066c1a8ee69277898/rendering/13.obj", "1.94822906494")</f>
        <v>1.94822906494</v>
      </c>
      <c r="Q294" s="35" t="str">
        <f>HYPERLINK(AB2 &amp; "/bottle/sn_d910d855fd179dc066c1a8ee69277898/rendering/14.obj", "2.1360774231")</f>
        <v>2.1360774231</v>
      </c>
      <c r="R294" s="82" t="str">
        <f>HYPERLINK(AB2 &amp; "/bottle/sn_d910d855fd179dc066c1a8ee69277898/rendering/15.obj", "2.73537475586")</f>
        <v>2.73537475586</v>
      </c>
      <c r="S294" s="26" t="str">
        <f>HYPERLINK(AB2 &amp; "/bottle/sn_d910d855fd179dc066c1a8ee69277898/rendering/16.obj", "2.12196350098")</f>
        <v>2.12196350098</v>
      </c>
      <c r="T294" s="119" t="str">
        <f>HYPERLINK(AB2 &amp; "/bottle/sn_d910d855fd179dc066c1a8ee69277898/rendering/17.obj", "2.86905059814")</f>
        <v>2.86905059814</v>
      </c>
      <c r="U294" s="48" t="str">
        <f>HYPERLINK(AB2 &amp; "/bottle/sn_d910d855fd179dc066c1a8ee69277898/rendering/18.obj", "2.21338317871")</f>
        <v>2.21338317871</v>
      </c>
      <c r="V294" s="60" t="str">
        <f>HYPERLINK(AB2 &amp; "/bottle/sn_d910d855fd179dc066c1a8ee69277898/rendering/19.obj", "2.15199005127")</f>
        <v>2.15199005127</v>
      </c>
      <c r="W294" s="12" t="s">
        <v>31</v>
      </c>
      <c r="X294" s="13">
        <v>2.2693664703369141</v>
      </c>
      <c r="Y294" s="13">
        <v>0.25457141566815339</v>
      </c>
      <c r="Z294" s="28">
        <v>0.1121773054267253</v>
      </c>
    </row>
    <row r="295" spans="1:26" x14ac:dyDescent="0.2">
      <c r="A295" s="1">
        <v>293</v>
      </c>
      <c r="B295" s="2" t="s">
        <v>91</v>
      </c>
      <c r="C295" s="25" t="str">
        <f>HYPERLINK(AB2 &amp; "/bottle/sn_d910d855fd179dc066c1a8ee69277898/rendering/00.obj", "1.37371718884")</f>
        <v>1.37371718884</v>
      </c>
      <c r="D295" s="29" t="str">
        <f>HYPERLINK(AB2 &amp; "/bottle/sn_d910d855fd179dc066c1a8ee69277898/rendering/01.obj", "1.18238115311")</f>
        <v>1.18238115311</v>
      </c>
      <c r="E295" s="60" t="str">
        <f>HYPERLINK(AB2 &amp; "/bottle/sn_d910d855fd179dc066c1a8ee69277898/rendering/02.obj", "1.28584206104")</f>
        <v>1.28584206104</v>
      </c>
      <c r="F295" s="47" t="str">
        <f>HYPERLINK(AB2 &amp; "/bottle/sn_d910d855fd179dc066c1a8ee69277898/rendering/03.obj", "1.34823894501")</f>
        <v>1.34823894501</v>
      </c>
      <c r="G295" s="90" t="str">
        <f>HYPERLINK(AB2 &amp; "/bottle/sn_d910d855fd179dc066c1a8ee69277898/rendering/04.obj", "1.22922587395")</f>
        <v>1.22922587395</v>
      </c>
      <c r="H295" s="26" t="str">
        <f>HYPERLINK(AB2 &amp; "/bottle/sn_d910d855fd179dc066c1a8ee69277898/rendering/05.obj", "1.27016234398")</f>
        <v>1.27016234398</v>
      </c>
      <c r="I295" s="73" t="str">
        <f>HYPERLINK(AB2 &amp; "/bottle/sn_d910d855fd179dc066c1a8ee69277898/rendering/06.obj", "1.30689942837")</f>
        <v>1.30689942837</v>
      </c>
      <c r="J295" s="38" t="str">
        <f>HYPERLINK(AB2 &amp; "/bottle/sn_d910d855fd179dc066c1a8ee69277898/rendering/07.obj", "1.47683274746")</f>
        <v>1.47683274746</v>
      </c>
      <c r="K295" s="133" t="str">
        <f>HYPERLINK(AB2 &amp; "/bottle/sn_d910d855fd179dc066c1a8ee69277898/rendering/08.obj", "1.22095108032")</f>
        <v>1.22095108032</v>
      </c>
      <c r="L295" s="42" t="str">
        <f>HYPERLINK(AB2 &amp; "/bottle/sn_d910d855fd179dc066c1a8ee69277898/rendering/09.obj", "1.54446029663")</f>
        <v>1.54446029663</v>
      </c>
      <c r="M295" s="73" t="str">
        <f>HYPERLINK(AB2 &amp; "/bottle/sn_d910d855fd179dc066c1a8ee69277898/rendering/10.obj", "1.40734529495")</f>
        <v>1.40734529495</v>
      </c>
      <c r="N295" s="90" t="str">
        <f>HYPERLINK(AB2 &amp; "/bottle/sn_d910d855fd179dc066c1a8ee69277898/rendering/11.obj", "1.22939741611")</f>
        <v>1.22939741611</v>
      </c>
      <c r="O295" s="65" t="str">
        <f>HYPERLINK(AB2 &amp; "/bottle/sn_d910d855fd179dc066c1a8ee69277898/rendering/12.obj", "1.54035282135")</f>
        <v>1.54035282135</v>
      </c>
      <c r="P295" s="78" t="str">
        <f>HYPERLINK(AB2 &amp; "/bottle/sn_d910d855fd179dc066c1a8ee69277898/rendering/13.obj", "1.27248597145")</f>
        <v>1.27248597145</v>
      </c>
      <c r="Q295" s="65" t="str">
        <f>HYPERLINK(AB2 &amp; "/bottle/sn_d910d855fd179dc066c1a8ee69277898/rendering/14.obj", "1.17764365673")</f>
        <v>1.17764365673</v>
      </c>
      <c r="R295" s="60" t="str">
        <f>HYPERLINK(AB2 &amp; "/bottle/sn_d910d855fd179dc066c1a8ee69277898/rendering/15.obj", "1.42841053009")</f>
        <v>1.42841053009</v>
      </c>
      <c r="S295" s="33" t="str">
        <f>HYPERLINK(AB2 &amp; "/bottle/sn_d910d855fd179dc066c1a8ee69277898/rendering/16.obj", "1.50308918953")</f>
        <v>1.50308918953</v>
      </c>
      <c r="T295" s="81" t="str">
        <f>HYPERLINK(AB2 &amp; "/bottle/sn_d910d855fd179dc066c1a8ee69277898/rendering/17.obj", "1.65219497681")</f>
        <v>1.65219497681</v>
      </c>
      <c r="U295" s="10" t="str">
        <f>HYPERLINK(AB2 &amp; "/bottle/sn_d910d855fd179dc066c1a8ee69277898/rendering/18.obj", "1.28323054314")</f>
        <v>1.28323054314</v>
      </c>
      <c r="V295" s="6" t="str">
        <f>HYPERLINK(AB2 &amp; "/bottle/sn_d910d855fd179dc066c1a8ee69277898/rendering/19.obj", "1.41829419136")</f>
        <v>1.41829419136</v>
      </c>
      <c r="W295" s="12" t="s">
        <v>32</v>
      </c>
      <c r="X295" s="13">
        <v>1.357557785511017</v>
      </c>
      <c r="Y295" s="13">
        <v>0.1313049823840442</v>
      </c>
      <c r="Z295" s="90">
        <v>9.6721468349590667E-2</v>
      </c>
    </row>
    <row r="296" spans="1:26" x14ac:dyDescent="0.2">
      <c r="A296" s="1">
        <v>294</v>
      </c>
      <c r="B296" s="2" t="s">
        <v>91</v>
      </c>
      <c r="C296" s="13" t="str">
        <f>HYPERLINK(AC2 &amp; "/bottle/sn_d910d855fd179dc066c1a8ee69277898/rendering/00.xyz", "0.0")</f>
        <v>0.0</v>
      </c>
      <c r="D296" s="13" t="str">
        <f>HYPERLINK(AC2 &amp; "/bottle/sn_d910d855fd179dc066c1a8ee69277898/rendering/01.xyz", "0.0")</f>
        <v>0.0</v>
      </c>
      <c r="E296" s="13" t="str">
        <f>HYPERLINK(AC2 &amp; "/bottle/sn_d910d855fd179dc066c1a8ee69277898/rendering/02.xyz", "0.0")</f>
        <v>0.0</v>
      </c>
      <c r="F296" s="13" t="str">
        <f>HYPERLINK(AC2 &amp; "/bottle/sn_d910d855fd179dc066c1a8ee69277898/rendering/03.xyz", "0.0")</f>
        <v>0.0</v>
      </c>
      <c r="G296" s="13" t="str">
        <f>HYPERLINK(AC2 &amp; "/bottle/sn_d910d855fd179dc066c1a8ee69277898/rendering/04.xyz", "0.0")</f>
        <v>0.0</v>
      </c>
      <c r="H296" s="13" t="str">
        <f>HYPERLINK(AC2 &amp; "/bottle/sn_d910d855fd179dc066c1a8ee69277898/rendering/05.xyz", "0.0")</f>
        <v>0.0</v>
      </c>
      <c r="I296" s="13" t="str">
        <f>HYPERLINK(AC2 &amp; "/bottle/sn_d910d855fd179dc066c1a8ee69277898/rendering/06.xyz", "0.0")</f>
        <v>0.0</v>
      </c>
      <c r="J296" s="13" t="str">
        <f>HYPERLINK(AC2 &amp; "/bottle/sn_d910d855fd179dc066c1a8ee69277898/rendering/07.xyz", "0.0")</f>
        <v>0.0</v>
      </c>
      <c r="K296" s="13" t="str">
        <f>HYPERLINK(AC2 &amp; "/bottle/sn_d910d855fd179dc066c1a8ee69277898/rendering/08.xyz", "0.0")</f>
        <v>0.0</v>
      </c>
      <c r="L296" s="13" t="str">
        <f>HYPERLINK(AC2 &amp; "/bottle/sn_d910d855fd179dc066c1a8ee69277898/rendering/09.xyz", "0.0")</f>
        <v>0.0</v>
      </c>
      <c r="M296" s="13" t="str">
        <f>HYPERLINK(AC2 &amp; "/bottle/sn_d910d855fd179dc066c1a8ee69277898/rendering/10.xyz", "0.0")</f>
        <v>0.0</v>
      </c>
      <c r="N296" s="13" t="str">
        <f>HYPERLINK(AC2 &amp; "/bottle/sn_d910d855fd179dc066c1a8ee69277898/rendering/11.xyz", "0.0")</f>
        <v>0.0</v>
      </c>
      <c r="O296" s="13" t="str">
        <f>HYPERLINK(AC2 &amp; "/bottle/sn_d910d855fd179dc066c1a8ee69277898/rendering/12.xyz", "0.0")</f>
        <v>0.0</v>
      </c>
      <c r="P296" s="13" t="str">
        <f>HYPERLINK(AC2 &amp; "/bottle/sn_d910d855fd179dc066c1a8ee69277898/rendering/13.xyz", "0.0")</f>
        <v>0.0</v>
      </c>
      <c r="Q296" s="13" t="str">
        <f>HYPERLINK(AC2 &amp; "/bottle/sn_d910d855fd179dc066c1a8ee69277898/rendering/14.xyz", "0.0")</f>
        <v>0.0</v>
      </c>
      <c r="R296" s="13" t="str">
        <f>HYPERLINK(AC2 &amp; "/bottle/sn_d910d855fd179dc066c1a8ee69277898/rendering/15.xyz", "0.0")</f>
        <v>0.0</v>
      </c>
      <c r="S296" s="13" t="str">
        <f>HYPERLINK(AC2 &amp; "/bottle/sn_d910d855fd179dc066c1a8ee69277898/rendering/16.xyz", "0.0")</f>
        <v>0.0</v>
      </c>
      <c r="T296" s="13" t="str">
        <f>HYPERLINK(AC2 &amp; "/bottle/sn_d910d855fd179dc066c1a8ee69277898/rendering/17.xyz", "0.0")</f>
        <v>0.0</v>
      </c>
      <c r="U296" s="13" t="str">
        <f>HYPERLINK(AC2 &amp; "/bottle/sn_d910d855fd179dc066c1a8ee69277898/rendering/18.xyz", "0.0")</f>
        <v>0.0</v>
      </c>
      <c r="V296" s="13" t="str">
        <f>HYPERLINK(AC2 &amp; "/bottle/sn_d910d855fd179dc066c1a8ee69277898/rendering/19.xyz", "0.0")</f>
        <v>0.0</v>
      </c>
      <c r="W296" s="12" t="s">
        <v>33</v>
      </c>
      <c r="X296" s="13">
        <v>0</v>
      </c>
      <c r="Y296" s="13">
        <v>0</v>
      </c>
      <c r="Z296" s="13">
        <v>0</v>
      </c>
    </row>
    <row r="297" spans="1:26" x14ac:dyDescent="0.2">
      <c r="A297" s="1">
        <v>295</v>
      </c>
      <c r="B297" s="2" t="s">
        <v>92</v>
      </c>
      <c r="C297" s="20" t="str">
        <f>HYPERLINK(AA2 &amp; "/bottle/sn_d9aee510fd5e8afb93fb5c975e8de2b7/rendering/00.obj", "12.4935095215")</f>
        <v>12.4935095215</v>
      </c>
      <c r="D297" s="128" t="str">
        <f>HYPERLINK(AA2 &amp; "/bottle/sn_d9aee510fd5e8afb93fb5c975e8de2b7/rendering/01.obj", "2.47697967529")</f>
        <v>2.47697967529</v>
      </c>
      <c r="E297" s="20" t="str">
        <f>HYPERLINK(AA2 &amp; "/bottle/sn_d9aee510fd5e8afb93fb5c975e8de2b7/rendering/02.obj", "8.26598022461")</f>
        <v>8.26598022461</v>
      </c>
      <c r="F297" s="44" t="str">
        <f>HYPERLINK(AA2 &amp; "/bottle/sn_d9aee510fd5e8afb93fb5c975e8de2b7/rendering/03.obj", "3.27678833008")</f>
        <v>3.27678833008</v>
      </c>
      <c r="G297" s="143" t="str">
        <f>HYPERLINK(AA2 &amp; "/bottle/sn_d9aee510fd5e8afb93fb5c975e8de2b7/rendering/04.obj", "2.14870864868")</f>
        <v>2.14870864868</v>
      </c>
      <c r="H297" s="20" t="str">
        <f>HYPERLINK(AA2 &amp; "/bottle/sn_d9aee510fd5e8afb93fb5c975e8de2b7/rendering/05.obj", "9.39100280762")</f>
        <v>9.39100280762</v>
      </c>
      <c r="I297" s="182" t="str">
        <f>HYPERLINK(AA2 &amp; "/bottle/sn_d9aee510fd5e8afb93fb5c975e8de2b7/rendering/06.obj", "2.70577758789")</f>
        <v>2.70577758789</v>
      </c>
      <c r="J297" s="182" t="str">
        <f>HYPERLINK(AA2 &amp; "/bottle/sn_d9aee510fd5e8afb93fb5c975e8de2b7/rendering/07.obj", "2.70428131104")</f>
        <v>2.70428131104</v>
      </c>
      <c r="K297" s="121" t="str">
        <f>HYPERLINK(AA2 &amp; "/bottle/sn_d9aee510fd5e8afb93fb5c975e8de2b7/rendering/08.obj", "2.62697906494")</f>
        <v>2.62697906494</v>
      </c>
      <c r="L297" s="30" t="str">
        <f>HYPERLINK(AA2 &amp; "/bottle/sn_d9aee510fd5e8afb93fb5c975e8de2b7/rendering/09.obj", "4.08314422607")</f>
        <v>4.08314422607</v>
      </c>
      <c r="M297" s="58" t="str">
        <f>HYPERLINK(AA2 &amp; "/bottle/sn_d9aee510fd5e8afb93fb5c975e8de2b7/rendering/10.obj", "3.08367858887")</f>
        <v>3.08367858887</v>
      </c>
      <c r="N297" s="61" t="str">
        <f>HYPERLINK(AA2 &amp; "/bottle/sn_d9aee510fd5e8afb93fb5c975e8de2b7/rendering/11.obj", "2.84254333496")</f>
        <v>2.84254333496</v>
      </c>
      <c r="O297" s="21" t="str">
        <f>HYPERLINK(AA2 &amp; "/bottle/sn_d9aee510fd5e8afb93fb5c975e8de2b7/rendering/12.obj", "1.81514007568")</f>
        <v>1.81514007568</v>
      </c>
      <c r="P297" s="110" t="str">
        <f>HYPERLINK(AA2 &amp; "/bottle/sn_d9aee510fd5e8afb93fb5c975e8de2b7/rendering/13.obj", "4.46948059082")</f>
        <v>4.46948059082</v>
      </c>
      <c r="Q297" s="131" t="str">
        <f>HYPERLINK(AA2 &amp; "/bottle/sn_d9aee510fd5e8afb93fb5c975e8de2b7/rendering/14.obj", "2.18648406982")</f>
        <v>2.18648406982</v>
      </c>
      <c r="R297" s="8" t="str">
        <f>HYPERLINK(AA2 &amp; "/bottle/sn_d9aee510fd5e8afb93fb5c975e8de2b7/rendering/15.obj", "4.65358581543")</f>
        <v>4.65358581543</v>
      </c>
      <c r="S297" s="75" t="str">
        <f>HYPERLINK(AA2 &amp; "/bottle/sn_d9aee510fd5e8afb93fb5c975e8de2b7/rendering/16.obj", "3.16722595215")</f>
        <v>3.16722595215</v>
      </c>
      <c r="T297" s="113" t="str">
        <f>HYPERLINK(AA2 &amp; "/bottle/sn_d9aee510fd5e8afb93fb5c975e8de2b7/rendering/17.obj", "2.95130249023")</f>
        <v>2.95130249023</v>
      </c>
      <c r="U297" s="203" t="str">
        <f>HYPERLINK(AA2 &amp; "/bottle/sn_d9aee510fd5e8afb93fb5c975e8de2b7/rendering/18.obj", "2.1674911499")</f>
        <v>2.1674911499</v>
      </c>
      <c r="V297" s="6" t="str">
        <f>HYPERLINK(AA2 &amp; "/bottle/sn_d9aee510fd5e8afb93fb5c975e8de2b7/rendering/19.obj", "3.88186706543")</f>
        <v>3.88186706543</v>
      </c>
      <c r="W297" s="12" t="s">
        <v>29</v>
      </c>
      <c r="X297" s="13">
        <v>4.0695975265502931</v>
      </c>
      <c r="Y297" s="13">
        <v>2.709934900736775</v>
      </c>
      <c r="Z297" s="205">
        <v>0.66589752010045244</v>
      </c>
    </row>
    <row r="298" spans="1:26" x14ac:dyDescent="0.2">
      <c r="A298" s="1">
        <v>296</v>
      </c>
      <c r="B298" s="2" t="s">
        <v>92</v>
      </c>
      <c r="C298" s="20" t="str">
        <f>HYPERLINK(AA2 &amp; "/bottle/sn_d9aee510fd5e8afb93fb5c975e8de2b7/rendering/00.obj", "21.2157382965")</f>
        <v>21.2157382965</v>
      </c>
      <c r="D298" s="179" t="str">
        <f>HYPERLINK(AA2 &amp; "/bottle/sn_d9aee510fd5e8afb93fb5c975e8de2b7/rendering/01.obj", "2.78516793251")</f>
        <v>2.78516793251</v>
      </c>
      <c r="E298" s="20" t="str">
        <f>HYPERLINK(AA2 &amp; "/bottle/sn_d9aee510fd5e8afb93fb5c975e8de2b7/rendering/02.obj", "10.1297559738")</f>
        <v>10.1297559738</v>
      </c>
      <c r="F298" s="162" t="str">
        <f>HYPERLINK(AA2 &amp; "/bottle/sn_d9aee510fd5e8afb93fb5c975e8de2b7/rendering/03.obj", "2.80129766464")</f>
        <v>2.80129766464</v>
      </c>
      <c r="G298" s="16" t="str">
        <f>HYPERLINK(AA2 &amp; "/bottle/sn_d9aee510fd5e8afb93fb5c975e8de2b7/rendering/04.obj", "2.21241760254")</f>
        <v>2.21241760254</v>
      </c>
      <c r="H298" s="20" t="str">
        <f>HYPERLINK(AA2 &amp; "/bottle/sn_d9aee510fd5e8afb93fb5c975e8de2b7/rendering/05.obj", "13.7977924347")</f>
        <v>13.7977924347</v>
      </c>
      <c r="I298" s="195" t="str">
        <f>HYPERLINK(AA2 &amp; "/bottle/sn_d9aee510fd5e8afb93fb5c975e8de2b7/rendering/06.obj", "2.20529937744")</f>
        <v>2.20529937744</v>
      </c>
      <c r="J298" s="225" t="str">
        <f>HYPERLINK(AA2 &amp; "/bottle/sn_d9aee510fd5e8afb93fb5c975e8de2b7/rendering/07.obj", "2.09843325615")</f>
        <v>2.09843325615</v>
      </c>
      <c r="K298" s="201" t="str">
        <f>HYPERLINK(AA2 &amp; "/bottle/sn_d9aee510fd5e8afb93fb5c975e8de2b7/rendering/08.obj", "2.02976679802")</f>
        <v>2.02976679802</v>
      </c>
      <c r="L298" s="47" t="str">
        <f>HYPERLINK(AA2 &amp; "/bottle/sn_d9aee510fd5e8afb93fb5c975e8de2b7/rendering/09.obj", "4.89913702011")</f>
        <v>4.89913702011</v>
      </c>
      <c r="M298" s="166" t="str">
        <f>HYPERLINK(AA2 &amp; "/bottle/sn_d9aee510fd5e8afb93fb5c975e8de2b7/rendering/10.obj", "3.46798968315")</f>
        <v>3.46798968315</v>
      </c>
      <c r="N298" s="15" t="str">
        <f>HYPERLINK(AA2 &amp; "/bottle/sn_d9aee510fd5e8afb93fb5c975e8de2b7/rendering/11.obj", "2.40163564682")</f>
        <v>2.40163564682</v>
      </c>
      <c r="O298" s="167" t="str">
        <f>HYPERLINK(AA2 &amp; "/bottle/sn_d9aee510fd5e8afb93fb5c975e8de2b7/rendering/12.obj", "1.93022358418")</f>
        <v>1.93022358418</v>
      </c>
      <c r="P298" s="84" t="str">
        <f>HYPERLINK(AA2 &amp; "/bottle/sn_d9aee510fd5e8afb93fb5c975e8de2b7/rendering/13.obj", "4.15662622452")</f>
        <v>4.15662622452</v>
      </c>
      <c r="Q298" s="231" t="str">
        <f>HYPERLINK(AA2 &amp; "/bottle/sn_d9aee510fd5e8afb93fb5c975e8de2b7/rendering/14.obj", "2.06885528564")</f>
        <v>2.06885528564</v>
      </c>
      <c r="R298" s="8" t="str">
        <f>HYPERLINK(AA2 &amp; "/bottle/sn_d9aee510fd5e8afb93fb5c975e8de2b7/rendering/15.obj", "5.55745744705")</f>
        <v>5.55745744705</v>
      </c>
      <c r="S298" s="118" t="str">
        <f>HYPERLINK(AA2 &amp; "/bottle/sn_d9aee510fd5e8afb93fb5c975e8de2b7/rendering/16.obj", "3.43997502327")</f>
        <v>3.43997502327</v>
      </c>
      <c r="T298" s="191" t="str">
        <f>HYPERLINK(AA2 &amp; "/bottle/sn_d9aee510fd5e8afb93fb5c975e8de2b7/rendering/17.obj", "2.65975046158")</f>
        <v>2.65975046158</v>
      </c>
      <c r="U298" s="127" t="str">
        <f>HYPERLINK(AA2 &amp; "/bottle/sn_d9aee510fd5e8afb93fb5c975e8de2b7/rendering/18.obj", "2.33942198753")</f>
        <v>2.33942198753</v>
      </c>
      <c r="V298" s="72" t="str">
        <f>HYPERLINK(AA2 &amp; "/bottle/sn_d9aee510fd5e8afb93fb5c975e8de2b7/rendering/19.obj", "5.02684593201")</f>
        <v>5.02684593201</v>
      </c>
      <c r="W298" s="12" t="s">
        <v>30</v>
      </c>
      <c r="X298" s="13">
        <v>4.861179381608963</v>
      </c>
      <c r="Y298" s="13">
        <v>4.7538308302058114</v>
      </c>
      <c r="Z298" s="20">
        <v>0.97791717956155277</v>
      </c>
    </row>
    <row r="299" spans="1:26" x14ac:dyDescent="0.2">
      <c r="A299" s="1">
        <v>297</v>
      </c>
      <c r="B299" s="2" t="s">
        <v>92</v>
      </c>
      <c r="C299" s="106" t="str">
        <f>HYPERLINK(AB2 &amp; "/bottle/sn_d9aee510fd5e8afb93fb5c975e8de2b7/rendering/00.obj", "2.44131347656")</f>
        <v>2.44131347656</v>
      </c>
      <c r="D299" s="93" t="str">
        <f>HYPERLINK(AB2 &amp; "/bottle/sn_d9aee510fd5e8afb93fb5c975e8de2b7/rendering/01.obj", "1.88194061279")</f>
        <v>1.88194061279</v>
      </c>
      <c r="E299" s="90" t="str">
        <f>HYPERLINK(AB2 &amp; "/bottle/sn_d9aee510fd5e8afb93fb5c975e8de2b7/rendering/02.obj", "1.98021759033")</f>
        <v>1.98021759033</v>
      </c>
      <c r="F299" s="6" t="str">
        <f>HYPERLINK(AB2 &amp; "/bottle/sn_d9aee510fd5e8afb93fb5c975e8de2b7/rendering/03.obj", "2.08509735107")</f>
        <v>2.08509735107</v>
      </c>
      <c r="G299" s="48" t="str">
        <f>HYPERLINK(AB2 &amp; "/bottle/sn_d9aee510fd5e8afb93fb5c975e8de2b7/rendering/04.obj", "2.24222640991")</f>
        <v>2.24222640991</v>
      </c>
      <c r="H299" s="39" t="str">
        <f>HYPERLINK(AB2 &amp; "/bottle/sn_d9aee510fd5e8afb93fb5c975e8de2b7/rendering/05.obj", "2.37622192383")</f>
        <v>2.37622192383</v>
      </c>
      <c r="I299" s="91" t="str">
        <f>HYPERLINK(AB2 &amp; "/bottle/sn_d9aee510fd5e8afb93fb5c975e8de2b7/rendering/06.obj", "2.1277520752")</f>
        <v>2.1277520752</v>
      </c>
      <c r="J299" s="39" t="str">
        <f>HYPERLINK(AB2 &amp; "/bottle/sn_d9aee510fd5e8afb93fb5c975e8de2b7/rendering/07.obj", "1.99628692627")</f>
        <v>1.99628692627</v>
      </c>
      <c r="K299" s="84" t="str">
        <f>HYPERLINK(AB2 &amp; "/bottle/sn_d9aee510fd5e8afb93fb5c975e8de2b7/rendering/08.obj", "2.50963653564")</f>
        <v>2.50963653564</v>
      </c>
      <c r="L299" s="69" t="str">
        <f>HYPERLINK(AB2 &amp; "/bottle/sn_d9aee510fd5e8afb93fb5c975e8de2b7/rendering/09.obj", "2.25005187988")</f>
        <v>2.25005187988</v>
      </c>
      <c r="M299" s="34" t="str">
        <f>HYPERLINK(AB2 &amp; "/bottle/sn_d9aee510fd5e8afb93fb5c975e8de2b7/rendering/10.obj", "2.08251831055")</f>
        <v>2.08251831055</v>
      </c>
      <c r="N299" s="107" t="str">
        <f>HYPERLINK(AB2 &amp; "/bottle/sn_d9aee510fd5e8afb93fb5c975e8de2b7/rendering/11.obj", "2.00332321167")</f>
        <v>2.00332321167</v>
      </c>
      <c r="O299" s="94" t="str">
        <f>HYPERLINK(AB2 &amp; "/bottle/sn_d9aee510fd5e8afb93fb5c975e8de2b7/rendering/12.obj", "2.02814147949")</f>
        <v>2.02814147949</v>
      </c>
      <c r="P299" s="72" t="str">
        <f>HYPERLINK(AB2 &amp; "/bottle/sn_d9aee510fd5e8afb93fb5c975e8de2b7/rendering/13.obj", "2.25935638428")</f>
        <v>2.25935638428</v>
      </c>
      <c r="Q299" s="26" t="str">
        <f>HYPERLINK(AB2 &amp; "/bottle/sn_d9aee510fd5e8afb93fb5c975e8de2b7/rendering/14.obj", "2.32977371216")</f>
        <v>2.32977371216</v>
      </c>
      <c r="R299" s="78" t="str">
        <f>HYPERLINK(AB2 &amp; "/bottle/sn_d9aee510fd5e8afb93fb5c975e8de2b7/rendering/15.obj", "2.32177947998")</f>
        <v>2.32177947998</v>
      </c>
      <c r="S299" s="36" t="str">
        <f>HYPERLINK(AB2 &amp; "/bottle/sn_d9aee510fd5e8afb93fb5c975e8de2b7/rendering/16.obj", "2.65808227539")</f>
        <v>2.65808227539</v>
      </c>
      <c r="T299" s="6" t="str">
        <f>HYPERLINK(AB2 &amp; "/bottle/sn_d9aee510fd5e8afb93fb5c975e8de2b7/rendering/17.obj", "2.28429138184")</f>
        <v>2.28429138184</v>
      </c>
      <c r="U299" s="106" t="str">
        <f>HYPERLINK(AB2 &amp; "/bottle/sn_d9aee510fd5e8afb93fb5c975e8de2b7/rendering/18.obj", "1.93750915527")</f>
        <v>1.93750915527</v>
      </c>
      <c r="V299" s="32" t="str">
        <f>HYPERLINK(AB2 &amp; "/bottle/sn_d9aee510fd5e8afb93fb5c975e8de2b7/rendering/19.obj", "1.95836547852")</f>
        <v>1.95836547852</v>
      </c>
      <c r="W299" s="12" t="s">
        <v>31</v>
      </c>
      <c r="X299" s="13">
        <v>2.187694282531738</v>
      </c>
      <c r="Y299" s="13">
        <v>0.20703321715203021</v>
      </c>
      <c r="Z299" s="90">
        <v>9.4635351385769631E-2</v>
      </c>
    </row>
    <row r="300" spans="1:26" x14ac:dyDescent="0.2">
      <c r="A300" s="1">
        <v>298</v>
      </c>
      <c r="B300" s="2" t="s">
        <v>92</v>
      </c>
      <c r="C300" s="92" t="str">
        <f>HYPERLINK(AB2 &amp; "/bottle/sn_d9aee510fd5e8afb93fb5c975e8de2b7/rendering/00.obj", "2.4132130146")</f>
        <v>2.4132130146</v>
      </c>
      <c r="D300" s="39" t="str">
        <f>HYPERLINK(AB2 &amp; "/bottle/sn_d9aee510fd5e8afb93fb5c975e8de2b7/rendering/01.obj", "1.96619141102")</f>
        <v>1.96619141102</v>
      </c>
      <c r="E300" s="91" t="str">
        <f>HYPERLINK(AB2 &amp; "/bottle/sn_d9aee510fd5e8afb93fb5c975e8de2b7/rendering/02.obj", "2.09434628487")</f>
        <v>2.09434628487</v>
      </c>
      <c r="F300" s="26" t="str">
        <f>HYPERLINK(AB2 &amp; "/bottle/sn_d9aee510fd5e8afb93fb5c975e8de2b7/rendering/03.obj", "2.28942894936")</f>
        <v>2.28942894936</v>
      </c>
      <c r="G300" s="110" t="str">
        <f>HYPERLINK(AB2 &amp; "/bottle/sn_d9aee510fd5e8afb93fb5c975e8de2b7/rendering/04.obj", "1.93611192703")</f>
        <v>1.93611192703</v>
      </c>
      <c r="H300" s="34" t="str">
        <f>HYPERLINK(AB2 &amp; "/bottle/sn_d9aee510fd5e8afb93fb5c975e8de2b7/rendering/05.obj", "2.25049448013")</f>
        <v>2.25049448013</v>
      </c>
      <c r="I300" s="35" t="str">
        <f>HYPERLINK(AB2 &amp; "/bottle/sn_d9aee510fd5e8afb93fb5c975e8de2b7/rendering/06.obj", "2.02119612694")</f>
        <v>2.02119612694</v>
      </c>
      <c r="J300" s="110" t="str">
        <f>HYPERLINK(AB2 &amp; "/bottle/sn_d9aee510fd5e8afb93fb5c975e8de2b7/rendering/07.obj", "1.9399702549")</f>
        <v>1.9399702549</v>
      </c>
      <c r="K300" s="71" t="str">
        <f>HYPERLINK(AB2 &amp; "/bottle/sn_d9aee510fd5e8afb93fb5c975e8de2b7/rendering/08.obj", "2.40058135986")</f>
        <v>2.40058135986</v>
      </c>
      <c r="L300" s="68" t="str">
        <f>HYPERLINK(AB2 &amp; "/bottle/sn_d9aee510fd5e8afb93fb5c975e8de2b7/rendering/09.obj", "2.23883914948")</f>
        <v>2.23883914948</v>
      </c>
      <c r="M300" s="60" t="str">
        <f>HYPERLINK(AB2 &amp; "/bottle/sn_d9aee510fd5e8afb93fb5c975e8de2b7/rendering/10.obj", "2.25805258751")</f>
        <v>2.25805258751</v>
      </c>
      <c r="N300" s="60" t="str">
        <f>HYPERLINK(AB2 &amp; "/bottle/sn_d9aee510fd5e8afb93fb5c975e8de2b7/rendering/11.obj", "2.03667759895")</f>
        <v>2.03667759895</v>
      </c>
      <c r="O300" s="71" t="str">
        <f>HYPERLINK(AB2 &amp; "/bottle/sn_d9aee510fd5e8afb93fb5c975e8de2b7/rendering/12.obj", "1.89404535294")</f>
        <v>1.89404535294</v>
      </c>
      <c r="P300" s="34" t="str">
        <f>HYPERLINK(AB2 &amp; "/bottle/sn_d9aee510fd5e8afb93fb5c975e8de2b7/rendering/13.obj", "2.04355216026")</f>
        <v>2.04355216026</v>
      </c>
      <c r="Q300" s="29" t="str">
        <f>HYPERLINK(AB2 &amp; "/bottle/sn_d9aee510fd5e8afb93fb5c975e8de2b7/rendering/14.obj", "1.87089180946")</f>
        <v>1.87089180946</v>
      </c>
      <c r="R300" s="39" t="str">
        <f>HYPERLINK(AB2 &amp; "/bottle/sn_d9aee510fd5e8afb93fb5c975e8de2b7/rendering/15.obj", "2.33381581306")</f>
        <v>2.33381581306</v>
      </c>
      <c r="S300" s="28" t="str">
        <f>HYPERLINK(AB2 &amp; "/bottle/sn_d9aee510fd5e8afb93fb5c975e8de2b7/rendering/16.obj", "2.38973450661")</f>
        <v>2.38973450661</v>
      </c>
      <c r="T300" s="117" t="str">
        <f>HYPERLINK(AB2 &amp; "/bottle/sn_d9aee510fd5e8afb93fb5c975e8de2b7/rendering/17.obj", "2.52988290787")</f>
        <v>2.52988290787</v>
      </c>
      <c r="U300" s="17" t="str">
        <f>HYPERLINK(AB2 &amp; "/bottle/sn_d9aee510fd5e8afb93fb5c975e8de2b7/rendering/18.obj", "2.19366288185")</f>
        <v>2.19366288185</v>
      </c>
      <c r="V300" s="92" t="str">
        <f>HYPERLINK(AB2 &amp; "/bottle/sn_d9aee510fd5e8afb93fb5c975e8de2b7/rendering/19.obj", "1.88178634644")</f>
        <v>1.88178634644</v>
      </c>
      <c r="W300" s="12" t="s">
        <v>32</v>
      </c>
      <c r="X300" s="13">
        <v>2.1491237461566919</v>
      </c>
      <c r="Y300" s="13">
        <v>0.20018769293828231</v>
      </c>
      <c r="Z300" s="67">
        <v>9.3148518458409241E-2</v>
      </c>
    </row>
    <row r="301" spans="1:26" x14ac:dyDescent="0.2">
      <c r="A301" s="1">
        <v>299</v>
      </c>
      <c r="B301" s="2" t="s">
        <v>92</v>
      </c>
      <c r="C301" s="13" t="str">
        <f>HYPERLINK(AC2 &amp; "/bottle/sn_d9aee510fd5e8afb93fb5c975e8de2b7/rendering/00.xyz", "0.0")</f>
        <v>0.0</v>
      </c>
      <c r="D301" s="13" t="str">
        <f>HYPERLINK(AC2 &amp; "/bottle/sn_d9aee510fd5e8afb93fb5c975e8de2b7/rendering/01.xyz", "0.0")</f>
        <v>0.0</v>
      </c>
      <c r="E301" s="13" t="str">
        <f>HYPERLINK(AC2 &amp; "/bottle/sn_d9aee510fd5e8afb93fb5c975e8de2b7/rendering/02.xyz", "0.0")</f>
        <v>0.0</v>
      </c>
      <c r="F301" s="13" t="str">
        <f>HYPERLINK(AC2 &amp; "/bottle/sn_d9aee510fd5e8afb93fb5c975e8de2b7/rendering/03.xyz", "0.0")</f>
        <v>0.0</v>
      </c>
      <c r="G301" s="13" t="str">
        <f>HYPERLINK(AC2 &amp; "/bottle/sn_d9aee510fd5e8afb93fb5c975e8de2b7/rendering/04.xyz", "0.0")</f>
        <v>0.0</v>
      </c>
      <c r="H301" s="13" t="str">
        <f>HYPERLINK(AC2 &amp; "/bottle/sn_d9aee510fd5e8afb93fb5c975e8de2b7/rendering/05.xyz", "0.0")</f>
        <v>0.0</v>
      </c>
      <c r="I301" s="13" t="str">
        <f>HYPERLINK(AC2 &amp; "/bottle/sn_d9aee510fd5e8afb93fb5c975e8de2b7/rendering/06.xyz", "0.0")</f>
        <v>0.0</v>
      </c>
      <c r="J301" s="13" t="str">
        <f>HYPERLINK(AC2 &amp; "/bottle/sn_d9aee510fd5e8afb93fb5c975e8de2b7/rendering/07.xyz", "0.0")</f>
        <v>0.0</v>
      </c>
      <c r="K301" s="13" t="str">
        <f>HYPERLINK(AC2 &amp; "/bottle/sn_d9aee510fd5e8afb93fb5c975e8de2b7/rendering/08.xyz", "0.0")</f>
        <v>0.0</v>
      </c>
      <c r="L301" s="13" t="str">
        <f>HYPERLINK(AC2 &amp; "/bottle/sn_d9aee510fd5e8afb93fb5c975e8de2b7/rendering/09.xyz", "0.0")</f>
        <v>0.0</v>
      </c>
      <c r="M301" s="13" t="str">
        <f>HYPERLINK(AC2 &amp; "/bottle/sn_d9aee510fd5e8afb93fb5c975e8de2b7/rendering/10.xyz", "0.0")</f>
        <v>0.0</v>
      </c>
      <c r="N301" s="13" t="str">
        <f>HYPERLINK(AC2 &amp; "/bottle/sn_d9aee510fd5e8afb93fb5c975e8de2b7/rendering/11.xyz", "0.0")</f>
        <v>0.0</v>
      </c>
      <c r="O301" s="13" t="str">
        <f>HYPERLINK(AC2 &amp; "/bottle/sn_d9aee510fd5e8afb93fb5c975e8de2b7/rendering/12.xyz", "0.0")</f>
        <v>0.0</v>
      </c>
      <c r="P301" s="13" t="str">
        <f>HYPERLINK(AC2 &amp; "/bottle/sn_d9aee510fd5e8afb93fb5c975e8de2b7/rendering/13.xyz", "0.0")</f>
        <v>0.0</v>
      </c>
      <c r="Q301" s="13" t="str">
        <f>HYPERLINK(AC2 &amp; "/bottle/sn_d9aee510fd5e8afb93fb5c975e8de2b7/rendering/14.xyz", "0.0")</f>
        <v>0.0</v>
      </c>
      <c r="R301" s="13" t="str">
        <f>HYPERLINK(AC2 &amp; "/bottle/sn_d9aee510fd5e8afb93fb5c975e8de2b7/rendering/15.xyz", "0.0")</f>
        <v>0.0</v>
      </c>
      <c r="S301" s="13" t="str">
        <f>HYPERLINK(AC2 &amp; "/bottle/sn_d9aee510fd5e8afb93fb5c975e8de2b7/rendering/16.xyz", "0.0")</f>
        <v>0.0</v>
      </c>
      <c r="T301" s="13" t="str">
        <f>HYPERLINK(AC2 &amp; "/bottle/sn_d9aee510fd5e8afb93fb5c975e8de2b7/rendering/17.xyz", "0.0")</f>
        <v>0.0</v>
      </c>
      <c r="U301" s="13" t="str">
        <f>HYPERLINK(AC2 &amp; "/bottle/sn_d9aee510fd5e8afb93fb5c975e8de2b7/rendering/18.xyz", "0.0")</f>
        <v>0.0</v>
      </c>
      <c r="V301" s="13" t="str">
        <f>HYPERLINK(AC2 &amp; "/bottle/sn_d9aee510fd5e8afb93fb5c975e8de2b7/rendering/19.xyz", "0.0")</f>
        <v>0.0</v>
      </c>
      <c r="W301" s="12" t="s">
        <v>33</v>
      </c>
      <c r="X301" s="13">
        <v>0</v>
      </c>
      <c r="Y301" s="13">
        <v>0</v>
      </c>
      <c r="Z301" s="13">
        <v>0</v>
      </c>
    </row>
    <row r="302" spans="1:26" x14ac:dyDescent="0.2">
      <c r="A302" s="1">
        <v>300</v>
      </c>
      <c r="B302" s="2" t="s">
        <v>93</v>
      </c>
      <c r="C302" s="48" t="str">
        <f>HYPERLINK(AA2 &amp; "/bottle/sn_da2703e6d87a28e75887f1f81e7530ec/rendering/00.obj", "2.13120452881")</f>
        <v>2.13120452881</v>
      </c>
      <c r="D302" s="25" t="str">
        <f>HYPERLINK(AA2 &amp; "/bottle/sn_da2703e6d87a28e75887f1f81e7530ec/rendering/01.obj", "2.05796051025")</f>
        <v>2.05796051025</v>
      </c>
      <c r="E302" s="28" t="str">
        <f>HYPERLINK(AA2 &amp; "/bottle/sn_da2703e6d87a28e75887f1f81e7530ec/rendering/02.obj", "2.31160064697")</f>
        <v>2.31160064697</v>
      </c>
      <c r="F302" s="23" t="str">
        <f>HYPERLINK(AA2 &amp; "/bottle/sn_da2703e6d87a28e75887f1f81e7530ec/rendering/03.obj", "1.9965057373")</f>
        <v>1.9965057373</v>
      </c>
      <c r="G302" s="47" t="str">
        <f>HYPERLINK(AA2 &amp; "/bottle/sn_da2703e6d87a28e75887f1f81e7530ec/rendering/04.obj", "2.06626037598")</f>
        <v>2.06626037598</v>
      </c>
      <c r="H302" s="34" t="str">
        <f>HYPERLINK(AA2 &amp; "/bottle/sn_da2703e6d87a28e75887f1f81e7530ec/rendering/05.obj", "1.98217315674")</f>
        <v>1.98217315674</v>
      </c>
      <c r="I302" s="47" t="str">
        <f>HYPERLINK(AA2 &amp; "/bottle/sn_da2703e6d87a28e75887f1f81e7530ec/rendering/06.obj", "2.09932342529")</f>
        <v>2.09932342529</v>
      </c>
      <c r="J302" s="30" t="str">
        <f>HYPERLINK(AA2 &amp; "/bottle/sn_da2703e6d87a28e75887f1f81e7530ec/rendering/07.obj", "2.07212677002")</f>
        <v>2.07212677002</v>
      </c>
      <c r="K302" s="94" t="str">
        <f>HYPERLINK(AA2 &amp; "/bottle/sn_da2703e6d87a28e75887f1f81e7530ec/rendering/08.obj", "1.93023422241")</f>
        <v>1.93023422241</v>
      </c>
      <c r="L302" s="78" t="str">
        <f>HYPERLINK(AA2 &amp; "/bottle/sn_da2703e6d87a28e75887f1f81e7530ec/rendering/09.obj", "2.20788284302")</f>
        <v>2.20788284302</v>
      </c>
      <c r="M302" s="110" t="str">
        <f>HYPERLINK(AA2 &amp; "/bottle/sn_da2703e6d87a28e75887f1f81e7530ec/rendering/10.obj", "2.28404525757")</f>
        <v>2.28404525757</v>
      </c>
      <c r="N302" s="65" t="str">
        <f>HYPERLINK(AA2 &amp; "/bottle/sn_da2703e6d87a28e75887f1f81e7530ec/rendering/11.obj", "2.35818511963")</f>
        <v>2.35818511963</v>
      </c>
      <c r="O302" s="106" t="str">
        <f>HYPERLINK(AA2 &amp; "/bottle/sn_da2703e6d87a28e75887f1f81e7530ec/rendering/12.obj", "1.84587554932")</f>
        <v>1.84587554932</v>
      </c>
      <c r="P302" s="106" t="str">
        <f>HYPERLINK(AA2 &amp; "/bottle/sn_da2703e6d87a28e75887f1f81e7530ec/rendering/13.obj", "2.31680007935")</f>
        <v>2.31680007935</v>
      </c>
      <c r="Q302" s="17" t="str">
        <f>HYPERLINK(AA2 &amp; "/bottle/sn_da2703e6d87a28e75887f1f81e7530ec/rendering/14.obj", "2.0378012085")</f>
        <v>2.0378012085</v>
      </c>
      <c r="R302" s="68" t="str">
        <f>HYPERLINK(AA2 &amp; "/bottle/sn_da2703e6d87a28e75887f1f81e7530ec/rendering/15.obj", "1.99059112549")</f>
        <v>1.99059112549</v>
      </c>
      <c r="S302" s="17" t="str">
        <f>HYPERLINK(AA2 &amp; "/bottle/sn_da2703e6d87a28e75887f1f81e7530ec/rendering/16.obj", "2.03707794189")</f>
        <v>2.03707794189</v>
      </c>
      <c r="T302" s="28" t="str">
        <f>HYPERLINK(AA2 &amp; "/bottle/sn_da2703e6d87a28e75887f1f81e7530ec/rendering/17.obj", "1.84836013794")</f>
        <v>1.84836013794</v>
      </c>
      <c r="U302" s="13" t="str">
        <f>HYPERLINK(AA2 &amp; "/bottle/sn_da2703e6d87a28e75887f1f81e7530ec/rendering/18.obj", "2.07702819824")</f>
        <v>2.07702819824</v>
      </c>
      <c r="V302" s="60" t="str">
        <f>HYPERLINK(AA2 &amp; "/bottle/sn_da2703e6d87a28e75887f1f81e7530ec/rendering/19.obj", "1.97121871948")</f>
        <v>1.97121871948</v>
      </c>
      <c r="W302" s="12" t="s">
        <v>29</v>
      </c>
      <c r="X302" s="13">
        <v>2.0811127777099609</v>
      </c>
      <c r="Y302" s="13">
        <v>0.1448615314380349</v>
      </c>
      <c r="Z302" s="27">
        <v>6.9607727649166271E-2</v>
      </c>
    </row>
    <row r="303" spans="1:26" x14ac:dyDescent="0.2">
      <c r="A303" s="1">
        <v>301</v>
      </c>
      <c r="B303" s="2" t="s">
        <v>93</v>
      </c>
      <c r="C303" s="6" t="str">
        <f>HYPERLINK(AA2 &amp; "/bottle/sn_da2703e6d87a28e75887f1f81e7530ec/rendering/00.obj", "2.86269426346")</f>
        <v>2.86269426346</v>
      </c>
      <c r="D303" s="23" t="str">
        <f>HYPERLINK(AA2 &amp; "/bottle/sn_da2703e6d87a28e75887f1f81e7530ec/rendering/01.obj", "2.6345937252")</f>
        <v>2.6345937252</v>
      </c>
      <c r="E303" s="34" t="str">
        <f>HYPERLINK(AA2 &amp; "/bottle/sn_da2703e6d87a28e75887f1f81e7530ec/rendering/02.obj", "2.87288022041")</f>
        <v>2.87288022041</v>
      </c>
      <c r="F303" s="74" t="str">
        <f>HYPERLINK(AA2 &amp; "/bottle/sn_da2703e6d87a28e75887f1f81e7530ec/rendering/03.obj", "2.77917742729")</f>
        <v>2.77917742729</v>
      </c>
      <c r="G303" s="6" t="str">
        <f>HYPERLINK(AA2 &amp; "/bottle/sn_da2703e6d87a28e75887f1f81e7530ec/rendering/04.obj", "2.6198682785")</f>
        <v>2.6198682785</v>
      </c>
      <c r="H303" s="94" t="str">
        <f>HYPERLINK(AA2 &amp; "/bottle/sn_da2703e6d87a28e75887f1f81e7530ec/rendering/05.obj", "2.53721022606")</f>
        <v>2.53721022606</v>
      </c>
      <c r="I303" s="35" t="str">
        <f>HYPERLINK(AA2 &amp; "/bottle/sn_da2703e6d87a28e75887f1f81e7530ec/rendering/06.obj", "2.90106534958")</f>
        <v>2.90106534958</v>
      </c>
      <c r="J303" s="73" t="str">
        <f>HYPERLINK(AA2 &amp; "/bottle/sn_da2703e6d87a28e75887f1f81e7530ec/rendering/07.obj", "2.64148545265")</f>
        <v>2.64148545265</v>
      </c>
      <c r="K303" s="90" t="str">
        <f>HYPERLINK(AA2 &amp; "/bottle/sn_da2703e6d87a28e75887f1f81e7530ec/rendering/08.obj", "2.47794103622")</f>
        <v>2.47794103622</v>
      </c>
      <c r="L303" s="35" t="str">
        <f>HYPERLINK(AA2 &amp; "/bottle/sn_da2703e6d87a28e75887f1f81e7530ec/rendering/09.obj", "2.89965748787")</f>
        <v>2.89965748787</v>
      </c>
      <c r="M303" s="110" t="str">
        <f>HYPERLINK(AA2 &amp; "/bottle/sn_da2703e6d87a28e75887f1f81e7530ec/rendering/10.obj", "3.00924396515")</f>
        <v>3.00924396515</v>
      </c>
      <c r="N303" s="84" t="str">
        <f>HYPERLINK(AA2 &amp; "/bottle/sn_da2703e6d87a28e75887f1f81e7530ec/rendering/11.obj", "3.1443965435")</f>
        <v>3.1443965435</v>
      </c>
      <c r="O303" s="10" t="str">
        <f>HYPERLINK(AA2 &amp; "/bottle/sn_da2703e6d87a28e75887f1f81e7530ec/rendering/12.obj", "2.59390807152")</f>
        <v>2.59390807152</v>
      </c>
      <c r="P303" s="30" t="str">
        <f>HYPERLINK(AA2 &amp; "/bottle/sn_da2703e6d87a28e75887f1f81e7530ec/rendering/13.obj", "2.724807024")</f>
        <v>2.724807024</v>
      </c>
      <c r="Q303" s="23" t="str">
        <f>HYPERLINK(AA2 &amp; "/bottle/sn_da2703e6d87a28e75887f1f81e7530ec/rendering/14.obj", "2.6344332695")</f>
        <v>2.6344332695</v>
      </c>
      <c r="R303" s="72" t="str">
        <f>HYPERLINK(AA2 &amp; "/bottle/sn_da2703e6d87a28e75887f1f81e7530ec/rendering/15.obj", "2.65448212624")</f>
        <v>2.65448212624</v>
      </c>
      <c r="S303" s="73" t="str">
        <f>HYPERLINK(AA2 &amp; "/bottle/sn_da2703e6d87a28e75887f1f81e7530ec/rendering/16.obj", "2.83753180504")</f>
        <v>2.83753180504</v>
      </c>
      <c r="T303" s="27" t="str">
        <f>HYPERLINK(AA2 &amp; "/bottle/sn_da2703e6d87a28e75887f1f81e7530ec/rendering/17.obj", "2.55196046829")</f>
        <v>2.55196046829</v>
      </c>
      <c r="U303" s="72" t="str">
        <f>HYPERLINK(AA2 &amp; "/bottle/sn_da2703e6d87a28e75887f1f81e7530ec/rendering/18.obj", "2.64660406113")</f>
        <v>2.64660406113</v>
      </c>
      <c r="V303" s="17" t="str">
        <f>HYPERLINK(AA2 &amp; "/bottle/sn_da2703e6d87a28e75887f1f81e7530ec/rendering/19.obj", "2.79957866669")</f>
        <v>2.79957866669</v>
      </c>
      <c r="W303" s="12" t="s">
        <v>30</v>
      </c>
      <c r="X303" s="13">
        <v>2.7411759734153751</v>
      </c>
      <c r="Y303" s="13">
        <v>0.16791375230627359</v>
      </c>
      <c r="Z303" s="78">
        <v>6.1256101007284507E-2</v>
      </c>
    </row>
    <row r="304" spans="1:26" x14ac:dyDescent="0.2">
      <c r="A304" s="1">
        <v>302</v>
      </c>
      <c r="B304" s="2" t="s">
        <v>93</v>
      </c>
      <c r="C304" s="6" t="str">
        <f>HYPERLINK(AB2 &amp; "/bottle/sn_da2703e6d87a28e75887f1f81e7530ec/rendering/00.obj", "2.72334136963")</f>
        <v>2.72334136963</v>
      </c>
      <c r="D304" s="48" t="str">
        <f>HYPERLINK(AB2 &amp; "/bottle/sn_da2703e6d87a28e75887f1f81e7530ec/rendering/01.obj", "2.66228088379")</f>
        <v>2.66228088379</v>
      </c>
      <c r="E304" s="13" t="str">
        <f>HYPERLINK(AB2 &amp; "/bottle/sn_da2703e6d87a28e75887f1f81e7530ec/rendering/02.obj", "2.59422668457")</f>
        <v>2.59422668457</v>
      </c>
      <c r="F304" s="74" t="str">
        <f>HYPERLINK(AB2 &amp; "/bottle/sn_da2703e6d87a28e75887f1f81e7530ec/rendering/03.obj", "2.56383331299")</f>
        <v>2.56383331299</v>
      </c>
      <c r="G304" s="25" t="str">
        <f>HYPERLINK(AB2 &amp; "/bottle/sn_da2703e6d87a28e75887f1f81e7530ec/rendering/04.obj", "2.57602294922")</f>
        <v>2.57602294922</v>
      </c>
      <c r="H304" s="48" t="str">
        <f>HYPERLINK(AB2 &amp; "/bottle/sn_da2703e6d87a28e75887f1f81e7530ec/rendering/05.obj", "2.66506835938")</f>
        <v>2.66506835938</v>
      </c>
      <c r="I304" s="69" t="str">
        <f>HYPERLINK(AB2 &amp; "/bottle/sn_da2703e6d87a28e75887f1f81e7530ec/rendering/06.obj", "2.68337341309")</f>
        <v>2.68337341309</v>
      </c>
      <c r="J304" s="47" t="str">
        <f>HYPERLINK(AB2 &amp; "/bottle/sn_da2703e6d87a28e75887f1f81e7530ec/rendering/07.obj", "2.61892272949")</f>
        <v>2.61892272949</v>
      </c>
      <c r="K304" s="17" t="str">
        <f>HYPERLINK(AB2 &amp; "/bottle/sn_da2703e6d87a28e75887f1f81e7530ec/rendering/08.obj", "2.55251037598")</f>
        <v>2.55251037598</v>
      </c>
      <c r="L304" s="17" t="str">
        <f>HYPERLINK(AB2 &amp; "/bottle/sn_da2703e6d87a28e75887f1f81e7530ec/rendering/09.obj", "2.65502502441")</f>
        <v>2.65502502441</v>
      </c>
      <c r="M304" s="30" t="str">
        <f>HYPERLINK(AB2 &amp; "/bottle/sn_da2703e6d87a28e75887f1f81e7530ec/rendering/10.obj", "2.59012207031")</f>
        <v>2.59012207031</v>
      </c>
      <c r="N304" s="94" t="str">
        <f>HYPERLINK(AB2 &amp; "/bottle/sn_da2703e6d87a28e75887f1f81e7530ec/rendering/11.obj", "2.40973907471")</f>
        <v>2.40973907471</v>
      </c>
      <c r="O304" s="25" t="str">
        <f>HYPERLINK(AB2 &amp; "/bottle/sn_da2703e6d87a28e75887f1f81e7530ec/rendering/12.obj", "2.57345977783")</f>
        <v>2.57345977783</v>
      </c>
      <c r="P304" s="25" t="str">
        <f>HYPERLINK(AB2 &amp; "/bottle/sn_da2703e6d87a28e75887f1f81e7530ec/rendering/13.obj", "2.57356048584")</f>
        <v>2.57356048584</v>
      </c>
      <c r="Q304" s="46" t="str">
        <f>HYPERLINK(AB2 &amp; "/bottle/sn_da2703e6d87a28e75887f1f81e7530ec/rendering/14.obj", "2.65079772949")</f>
        <v>2.65079772949</v>
      </c>
      <c r="R304" s="25" t="str">
        <f>HYPERLINK(AB2 &amp; "/bottle/sn_da2703e6d87a28e75887f1f81e7530ec/rendering/15.obj", "2.56966491699")</f>
        <v>2.56966491699</v>
      </c>
      <c r="S304" s="47" t="str">
        <f>HYPERLINK(AB2 &amp; "/bottle/sn_da2703e6d87a28e75887f1f81e7530ec/rendering/16.obj", "2.62508575439")</f>
        <v>2.62508575439</v>
      </c>
      <c r="T304" s="68" t="str">
        <f>HYPERLINK(AB2 &amp; "/bottle/sn_da2703e6d87a28e75887f1f81e7530ec/rendering/17.obj", "2.48860198975")</f>
        <v>2.48860198975</v>
      </c>
      <c r="U304" s="25" t="str">
        <f>HYPERLINK(AB2 &amp; "/bottle/sn_da2703e6d87a28e75887f1f81e7530ec/rendering/18.obj", "2.57718933105")</f>
        <v>2.57718933105</v>
      </c>
      <c r="V304" s="73" t="str">
        <f>HYPERLINK(AB2 &amp; "/bottle/sn_da2703e6d87a28e75887f1f81e7530ec/rendering/19.obj", "2.6922277832")</f>
        <v>2.6922277832</v>
      </c>
      <c r="W304" s="12" t="s">
        <v>31</v>
      </c>
      <c r="X304" s="13">
        <v>2.6022527008056642</v>
      </c>
      <c r="Y304" s="13">
        <v>7.1062939129748134E-2</v>
      </c>
      <c r="Z304" s="91">
        <v>2.7308239168220241E-2</v>
      </c>
    </row>
    <row r="305" spans="1:26" x14ac:dyDescent="0.2">
      <c r="A305" s="1">
        <v>303</v>
      </c>
      <c r="B305" s="2" t="s">
        <v>93</v>
      </c>
      <c r="C305" s="110" t="str">
        <f>HYPERLINK(AB2 &amp; "/bottle/sn_da2703e6d87a28e75887f1f81e7530ec/rendering/00.obj", "2.82323789597")</f>
        <v>2.82323789597</v>
      </c>
      <c r="D305" s="46" t="str">
        <f>HYPERLINK(AB2 &amp; "/bottle/sn_da2703e6d87a28e75887f1f81e7530ec/rendering/01.obj", "2.61547636986")</f>
        <v>2.61547636986</v>
      </c>
      <c r="E305" s="91" t="str">
        <f>HYPERLINK(AB2 &amp; "/bottle/sn_da2703e6d87a28e75887f1f81e7530ec/rendering/02.obj", "2.50198626518")</f>
        <v>2.50198626518</v>
      </c>
      <c r="F305" s="91" t="str">
        <f>HYPERLINK(AB2 &amp; "/bottle/sn_da2703e6d87a28e75887f1f81e7530ec/rendering/03.obj", "2.64061117172")</f>
        <v>2.64061117172</v>
      </c>
      <c r="G305" s="48" t="str">
        <f>HYPERLINK(AB2 &amp; "/bottle/sn_da2703e6d87a28e75887f1f81e7530ec/rendering/04.obj", "2.51494336128")</f>
        <v>2.51494336128</v>
      </c>
      <c r="H305" s="74" t="str">
        <f>HYPERLINK(AB2 &amp; "/bottle/sn_da2703e6d87a28e75887f1f81e7530ec/rendering/05.obj", "2.61061143875")</f>
        <v>2.61061143875</v>
      </c>
      <c r="I305" s="73" t="str">
        <f>HYPERLINK(AB2 &amp; "/bottle/sn_da2703e6d87a28e75887f1f81e7530ec/rendering/06.obj", "2.66412401199")</f>
        <v>2.66412401199</v>
      </c>
      <c r="J305" s="48" t="str">
        <f>HYPERLINK(AB2 &amp; "/bottle/sn_da2703e6d87a28e75887f1f81e7530ec/rendering/07.obj", "2.5127415657")</f>
        <v>2.5127415657</v>
      </c>
      <c r="K305" s="72" t="str">
        <f>HYPERLINK(AB2 &amp; "/bottle/sn_da2703e6d87a28e75887f1f81e7530ec/rendering/08.obj", "2.48543310165")</f>
        <v>2.48543310165</v>
      </c>
      <c r="L305" s="17" t="str">
        <f>HYPERLINK(AB2 &amp; "/bottle/sn_da2703e6d87a28e75887f1f81e7530ec/rendering/09.obj", "2.62639093399")</f>
        <v>2.62639093399</v>
      </c>
      <c r="M305" s="30" t="str">
        <f>HYPERLINK(AB2 &amp; "/bottle/sn_da2703e6d87a28e75887f1f81e7530ec/rendering/10.obj", "2.56306576729")</f>
        <v>2.56306576729</v>
      </c>
      <c r="N305" s="68" t="str">
        <f>HYPERLINK(AB2 &amp; "/bottle/sn_da2703e6d87a28e75887f1f81e7530ec/rendering/11.obj", "2.46145367622")</f>
        <v>2.46145367622</v>
      </c>
      <c r="O305" s="69" t="str">
        <f>HYPERLINK(AB2 &amp; "/bottle/sn_da2703e6d87a28e75887f1f81e7530ec/rendering/12.obj", "2.498472929")</f>
        <v>2.498472929</v>
      </c>
      <c r="P305" s="73" t="str">
        <f>HYPERLINK(AB2 &amp; "/bottle/sn_da2703e6d87a28e75887f1f81e7530ec/rendering/13.obj", "2.47926926613")</f>
        <v>2.47926926613</v>
      </c>
      <c r="Q305" s="46" t="str">
        <f>HYPERLINK(AB2 &amp; "/bottle/sn_da2703e6d87a28e75887f1f81e7530ec/rendering/14.obj", "2.5270755291")</f>
        <v>2.5270755291</v>
      </c>
      <c r="R305" s="25" t="str">
        <f>HYPERLINK(AB2 &amp; "/bottle/sn_da2703e6d87a28e75887f1f81e7530ec/rendering/15.obj", "2.54039907455")</f>
        <v>2.54039907455</v>
      </c>
      <c r="S305" s="46" t="str">
        <f>HYPERLINK(AB2 &amp; "/bottle/sn_da2703e6d87a28e75887f1f81e7530ec/rendering/16.obj", "2.613758564")</f>
        <v>2.613758564</v>
      </c>
      <c r="T305" s="34" t="str">
        <f>HYPERLINK(AB2 &amp; "/bottle/sn_da2703e6d87a28e75887f1f81e7530ec/rendering/17.obj", "2.44763183594")</f>
        <v>2.44763183594</v>
      </c>
      <c r="U305" s="74" t="str">
        <f>HYPERLINK(AB2 &amp; "/bottle/sn_da2703e6d87a28e75887f1f81e7530ec/rendering/18.obj", "2.53364348412")</f>
        <v>2.53364348412</v>
      </c>
      <c r="V305" s="51" t="str">
        <f>HYPERLINK(AB2 &amp; "/bottle/sn_da2703e6d87a28e75887f1f81e7530ec/rendering/19.obj", "2.77344942093")</f>
        <v>2.77344942093</v>
      </c>
      <c r="W305" s="12" t="s">
        <v>32</v>
      </c>
      <c r="X305" s="13">
        <v>2.5716887831687929</v>
      </c>
      <c r="Y305" s="13">
        <v>9.7570927979576436E-2</v>
      </c>
      <c r="Z305" s="23">
        <v>3.7940410448635678E-2</v>
      </c>
    </row>
    <row r="306" spans="1:26" x14ac:dyDescent="0.2">
      <c r="A306" s="1">
        <v>304</v>
      </c>
      <c r="B306" s="2" t="s">
        <v>93</v>
      </c>
      <c r="C306" s="13" t="str">
        <f>HYPERLINK(AC2 &amp; "/bottle/sn_da2703e6d87a28e75887f1f81e7530ec/rendering/00.xyz", "0.0")</f>
        <v>0.0</v>
      </c>
      <c r="D306" s="13" t="str">
        <f>HYPERLINK(AC2 &amp; "/bottle/sn_da2703e6d87a28e75887f1f81e7530ec/rendering/01.xyz", "0.0")</f>
        <v>0.0</v>
      </c>
      <c r="E306" s="13" t="str">
        <f>HYPERLINK(AC2 &amp; "/bottle/sn_da2703e6d87a28e75887f1f81e7530ec/rendering/02.xyz", "0.0")</f>
        <v>0.0</v>
      </c>
      <c r="F306" s="13" t="str">
        <f>HYPERLINK(AC2 &amp; "/bottle/sn_da2703e6d87a28e75887f1f81e7530ec/rendering/03.xyz", "0.0")</f>
        <v>0.0</v>
      </c>
      <c r="G306" s="13" t="str">
        <f>HYPERLINK(AC2 &amp; "/bottle/sn_da2703e6d87a28e75887f1f81e7530ec/rendering/04.xyz", "0.0")</f>
        <v>0.0</v>
      </c>
      <c r="H306" s="13" t="str">
        <f>HYPERLINK(AC2 &amp; "/bottle/sn_da2703e6d87a28e75887f1f81e7530ec/rendering/05.xyz", "0.0")</f>
        <v>0.0</v>
      </c>
      <c r="I306" s="13" t="str">
        <f>HYPERLINK(AC2 &amp; "/bottle/sn_da2703e6d87a28e75887f1f81e7530ec/rendering/06.xyz", "0.0")</f>
        <v>0.0</v>
      </c>
      <c r="J306" s="13" t="str">
        <f>HYPERLINK(AC2 &amp; "/bottle/sn_da2703e6d87a28e75887f1f81e7530ec/rendering/07.xyz", "0.0")</f>
        <v>0.0</v>
      </c>
      <c r="K306" s="13" t="str">
        <f>HYPERLINK(AC2 &amp; "/bottle/sn_da2703e6d87a28e75887f1f81e7530ec/rendering/08.xyz", "0.0")</f>
        <v>0.0</v>
      </c>
      <c r="L306" s="13" t="str">
        <f>HYPERLINK(AC2 &amp; "/bottle/sn_da2703e6d87a28e75887f1f81e7530ec/rendering/09.xyz", "0.0")</f>
        <v>0.0</v>
      </c>
      <c r="M306" s="13" t="str">
        <f>HYPERLINK(AC2 &amp; "/bottle/sn_da2703e6d87a28e75887f1f81e7530ec/rendering/10.xyz", "0.0")</f>
        <v>0.0</v>
      </c>
      <c r="N306" s="13" t="str">
        <f>HYPERLINK(AC2 &amp; "/bottle/sn_da2703e6d87a28e75887f1f81e7530ec/rendering/11.xyz", "0.0")</f>
        <v>0.0</v>
      </c>
      <c r="O306" s="13" t="str">
        <f>HYPERLINK(AC2 &amp; "/bottle/sn_da2703e6d87a28e75887f1f81e7530ec/rendering/12.xyz", "0.0")</f>
        <v>0.0</v>
      </c>
      <c r="P306" s="13" t="str">
        <f>HYPERLINK(AC2 &amp; "/bottle/sn_da2703e6d87a28e75887f1f81e7530ec/rendering/13.xyz", "0.0")</f>
        <v>0.0</v>
      </c>
      <c r="Q306" s="13" t="str">
        <f>HYPERLINK(AC2 &amp; "/bottle/sn_da2703e6d87a28e75887f1f81e7530ec/rendering/14.xyz", "0.0")</f>
        <v>0.0</v>
      </c>
      <c r="R306" s="13" t="str">
        <f>HYPERLINK(AC2 &amp; "/bottle/sn_da2703e6d87a28e75887f1f81e7530ec/rendering/15.xyz", "0.0")</f>
        <v>0.0</v>
      </c>
      <c r="S306" s="13" t="str">
        <f>HYPERLINK(AC2 &amp; "/bottle/sn_da2703e6d87a28e75887f1f81e7530ec/rendering/16.xyz", "0.0")</f>
        <v>0.0</v>
      </c>
      <c r="T306" s="13" t="str">
        <f>HYPERLINK(AC2 &amp; "/bottle/sn_da2703e6d87a28e75887f1f81e7530ec/rendering/17.xyz", "0.0")</f>
        <v>0.0</v>
      </c>
      <c r="U306" s="13" t="str">
        <f>HYPERLINK(AC2 &amp; "/bottle/sn_da2703e6d87a28e75887f1f81e7530ec/rendering/18.xyz", "0.0")</f>
        <v>0.0</v>
      </c>
      <c r="V306" s="13" t="str">
        <f>HYPERLINK(AC2 &amp; "/bottle/sn_da2703e6d87a28e75887f1f81e7530ec/rendering/19.xyz", "0.0")</f>
        <v>0.0</v>
      </c>
      <c r="W306" s="12" t="s">
        <v>33</v>
      </c>
      <c r="X306" s="13">
        <v>0</v>
      </c>
      <c r="Y306" s="13">
        <v>0</v>
      </c>
      <c r="Z306" s="13">
        <v>0</v>
      </c>
    </row>
    <row r="307" spans="1:26" x14ac:dyDescent="0.2">
      <c r="A307" s="1">
        <v>305</v>
      </c>
      <c r="B307" s="2" t="s">
        <v>94</v>
      </c>
      <c r="C307" s="32" t="str">
        <f>HYPERLINK(AA2 &amp; "/bottle/sn_dacc6638cd62d82f42ebc0504c999b/rendering/00.obj", "1.0294695282")</f>
        <v>1.0294695282</v>
      </c>
      <c r="D307" s="91" t="str">
        <f>HYPERLINK(AA2 &amp; "/bottle/sn_dacc6638cd62d82f42ebc0504c999b/rendering/01.obj", "1.18115234375")</f>
        <v>1.18115234375</v>
      </c>
      <c r="E307" s="51" t="str">
        <f>HYPERLINK(AA2 &amp; "/bottle/sn_dacc6638cd62d82f42ebc0504c999b/rendering/02.obj", "1.05829391479")</f>
        <v>1.05829391479</v>
      </c>
      <c r="F307" s="27" t="str">
        <f>HYPERLINK(AA2 &amp; "/bottle/sn_dacc6638cd62d82f42ebc0504c999b/rendering/03.obj", "1.06986053467")</f>
        <v>1.06986053467</v>
      </c>
      <c r="G307" s="32" t="str">
        <f>HYPERLINK(AA2 &amp; "/bottle/sn_dacc6638cd62d82f42ebc0504c999b/rendering/04.obj", "1.02938842773")</f>
        <v>1.02938842773</v>
      </c>
      <c r="H307" s="11" t="str">
        <f>HYPERLINK(AA2 &amp; "/bottle/sn_dacc6638cd62d82f42ebc0504c999b/rendering/05.obj", "1.4090423584")</f>
        <v>1.4090423584</v>
      </c>
      <c r="I307" s="34" t="str">
        <f>HYPERLINK(AA2 &amp; "/bottle/sn_dacc6638cd62d82f42ebc0504c999b/rendering/06.obj", "1.09526687622")</f>
        <v>1.09526687622</v>
      </c>
      <c r="J307" s="166" t="str">
        <f>HYPERLINK(AA2 &amp; "/bottle/sn_dacc6638cd62d82f42ebc0504c999b/rendering/07.obj", "1.48270446777")</f>
        <v>1.48270446777</v>
      </c>
      <c r="K307" s="40" t="str">
        <f>HYPERLINK(AA2 &amp; "/bottle/sn_dacc6638cd62d82f42ebc0504c999b/rendering/08.obj", "1.34833831787")</f>
        <v>1.34833831787</v>
      </c>
      <c r="L307" s="110" t="str">
        <f>HYPERLINK(AA2 &amp; "/bottle/sn_dacc6638cd62d82f42ebc0504c999b/rendering/09.obj", "1.26413330078")</f>
        <v>1.26413330078</v>
      </c>
      <c r="M307" s="6" t="str">
        <f>HYPERLINK(AA2 &amp; "/bottle/sn_dacc6638cd62d82f42ebc0504c999b/rendering/10.obj", "1.20401351929")</f>
        <v>1.20401351929</v>
      </c>
      <c r="N307" s="38" t="str">
        <f>HYPERLINK(AA2 &amp; "/bottle/sn_dacc6638cd62d82f42ebc0504c999b/rendering/11.obj", "1.04843170166")</f>
        <v>1.04843170166</v>
      </c>
      <c r="O307" s="35" t="str">
        <f>HYPERLINK(AA2 &amp; "/bottle/sn_dacc6638cd62d82f42ebc0504c999b/rendering/12.obj", "1.21728912354")</f>
        <v>1.21728912354</v>
      </c>
      <c r="P307" s="94" t="str">
        <f>HYPERLINK(AA2 &amp; "/bottle/sn_dacc6638cd62d82f42ebc0504c999b/rendering/13.obj", "1.06853263855")</f>
        <v>1.06853263855</v>
      </c>
      <c r="Q307" s="93" t="str">
        <f>HYPERLINK(AA2 &amp; "/bottle/sn_dacc6638cd62d82f42ebc0504c999b/rendering/14.obj", "0.991985778809")</f>
        <v>0.991985778809</v>
      </c>
      <c r="R307" s="94" t="str">
        <f>HYPERLINK(AA2 &amp; "/bottle/sn_dacc6638cd62d82f42ebc0504c999b/rendering/15.obj", "1.0659487915")</f>
        <v>1.0659487915</v>
      </c>
      <c r="S307" s="23" t="str">
        <f>HYPERLINK(AA2 &amp; "/bottle/sn_dacc6638cd62d82f42ebc0504c999b/rendering/16.obj", "1.10842254639")</f>
        <v>1.10842254639</v>
      </c>
      <c r="T307" s="13" t="str">
        <f>HYPERLINK(AA2 &amp; "/bottle/sn_dacc6638cd62d82f42ebc0504c999b/rendering/17.obj", "1.1543321228")</f>
        <v>1.1543321228</v>
      </c>
      <c r="U307" s="5" t="str">
        <f>HYPERLINK(AA2 &amp; "/bottle/sn_dacc6638cd62d82f42ebc0504c999b/rendering/18.obj", "1.06217056274")</f>
        <v>1.06217056274</v>
      </c>
      <c r="V307" s="13" t="str">
        <f>HYPERLINK(AA2 &amp; "/bottle/sn_dacc6638cd62d82f42ebc0504c999b/rendering/19.obj", "1.14845123291")</f>
        <v>1.14845123291</v>
      </c>
      <c r="W307" s="12" t="s">
        <v>29</v>
      </c>
      <c r="X307" s="13">
        <v>1.151861404418945</v>
      </c>
      <c r="Y307" s="13">
        <v>0.13112188506022451</v>
      </c>
      <c r="Z307" s="106">
        <v>0.1138347760912856</v>
      </c>
    </row>
    <row r="308" spans="1:26" x14ac:dyDescent="0.2">
      <c r="A308" s="1">
        <v>306</v>
      </c>
      <c r="B308" s="2" t="s">
        <v>94</v>
      </c>
      <c r="C308" s="5" t="str">
        <f>HYPERLINK(AA2 &amp; "/bottle/sn_dacc6638cd62d82f42ebc0504c999b/rendering/00.obj", "2.58638834953")</f>
        <v>2.58638834953</v>
      </c>
      <c r="D308" s="27" t="str">
        <f>HYPERLINK(AA2 &amp; "/bottle/sn_dacc6638cd62d82f42ebc0504c999b/rendering/01.obj", "2.99344825745")</f>
        <v>2.99344825745</v>
      </c>
      <c r="E308" s="106" t="str">
        <f>HYPERLINK(AA2 &amp; "/bottle/sn_dacc6638cd62d82f42ebc0504c999b/rendering/02.obj", "2.47867393494")</f>
        <v>2.47867393494</v>
      </c>
      <c r="F308" s="64" t="str">
        <f>HYPERLINK(AA2 &amp; "/bottle/sn_dacc6638cd62d82f42ebc0504c999b/rendering/03.obj", "2.33887290955")</f>
        <v>2.33887290955</v>
      </c>
      <c r="G308" s="60" t="str">
        <f>HYPERLINK(AA2 &amp; "/bottle/sn_dacc6638cd62d82f42ebc0504c999b/rendering/04.obj", "2.65414094925")</f>
        <v>2.65414094925</v>
      </c>
      <c r="H308" s="97" t="str">
        <f>HYPERLINK(AA2 &amp; "/bottle/sn_dacc6638cd62d82f42ebc0504c999b/rendering/05.obj", "4.01719379425")</f>
        <v>4.01719379425</v>
      </c>
      <c r="I308" s="84" t="str">
        <f>HYPERLINK(AA2 &amp; "/bottle/sn_dacc6638cd62d82f42ebc0504c999b/rendering/06.obj", "2.38928174973")</f>
        <v>2.38928174973</v>
      </c>
      <c r="J308" s="124" t="str">
        <f>HYPERLINK(AA2 &amp; "/bottle/sn_dacc6638cd62d82f42ebc0504c999b/rendering/07.obj", "3.86239361763")</f>
        <v>3.86239361763</v>
      </c>
      <c r="K308" s="69" t="str">
        <f>HYPERLINK(AA2 &amp; "/bottle/sn_dacc6638cd62d82f42ebc0504c999b/rendering/08.obj", "2.88375926018")</f>
        <v>2.88375926018</v>
      </c>
      <c r="L308" s="13" t="str">
        <f>HYPERLINK(AA2 &amp; "/bottle/sn_dacc6638cd62d82f42ebc0504c999b/rendering/09.obj", "2.79704356194")</f>
        <v>2.79704356194</v>
      </c>
      <c r="M308" s="13" t="str">
        <f>HYPERLINK(AA2 &amp; "/bottle/sn_dacc6638cd62d82f42ebc0504c999b/rendering/10.obj", "2.80058550835")</f>
        <v>2.80058550835</v>
      </c>
      <c r="N308" s="64" t="str">
        <f>HYPERLINK(AA2 &amp; "/bottle/sn_dacc6638cd62d82f42ebc0504c999b/rendering/11.obj", "2.33573698997")</f>
        <v>2.33573698997</v>
      </c>
      <c r="O308" s="78" t="str">
        <f>HYPERLINK(AA2 &amp; "/bottle/sn_dacc6638cd62d82f42ebc0504c999b/rendering/12.obj", "2.62646722794")</f>
        <v>2.62646722794</v>
      </c>
      <c r="P308" s="17" t="str">
        <f>HYPERLINK(AA2 &amp; "/bottle/sn_dacc6638cd62d82f42ebc0504c999b/rendering/13.obj", "2.74019098282")</f>
        <v>2.74019098282</v>
      </c>
      <c r="Q308" s="63" t="str">
        <f>HYPERLINK(AA2 &amp; "/bottle/sn_dacc6638cd62d82f42ebc0504c999b/rendering/14.obj", "2.4593808651")</f>
        <v>2.4593808651</v>
      </c>
      <c r="R308" s="38" t="str">
        <f>HYPERLINK(AA2 &amp; "/bottle/sn_dacc6638cd62d82f42ebc0504c999b/rendering/15.obj", "2.54408836365")</f>
        <v>2.54408836365</v>
      </c>
      <c r="S308" s="65" t="str">
        <f>HYPERLINK(AA2 &amp; "/bottle/sn_dacc6638cd62d82f42ebc0504c999b/rendering/16.obj", "3.16894721985")</f>
        <v>3.16894721985</v>
      </c>
      <c r="T308" s="47" t="str">
        <f>HYPERLINK(AA2 &amp; "/bottle/sn_dacc6638cd62d82f42ebc0504c999b/rendering/17.obj", "2.7793803215")</f>
        <v>2.7793803215</v>
      </c>
      <c r="U308" s="48" t="str">
        <f>HYPERLINK(AA2 &amp; "/bottle/sn_dacc6638cd62d82f42ebc0504c999b/rendering/18.obj", "2.73555827141")</f>
        <v>2.73555827141</v>
      </c>
      <c r="V308" s="74" t="str">
        <f>HYPERLINK(AA2 &amp; "/bottle/sn_dacc6638cd62d82f42ebc0504c999b/rendering/19.obj", "2.76225566864")</f>
        <v>2.76225566864</v>
      </c>
      <c r="W308" s="12" t="s">
        <v>30</v>
      </c>
      <c r="X308" s="13">
        <v>2.7976893901824949</v>
      </c>
      <c r="Y308" s="13">
        <v>0.43467986098646361</v>
      </c>
      <c r="Z308" s="31">
        <v>0.15537102242722839</v>
      </c>
    </row>
    <row r="309" spans="1:26" x14ac:dyDescent="0.2">
      <c r="A309" s="1">
        <v>307</v>
      </c>
      <c r="B309" s="2" t="s">
        <v>94</v>
      </c>
      <c r="C309" s="33" t="str">
        <f>HYPERLINK(AB2 &amp; "/bottle/sn_dacc6638cd62d82f42ebc0504c999b/rendering/00.obj", "1.67774627686")</f>
        <v>1.67774627686</v>
      </c>
      <c r="D309" s="17" t="str">
        <f>HYPERLINK(AB2 &amp; "/bottle/sn_dacc6638cd62d82f42ebc0504c999b/rendering/01.obj", "1.48350708008")</f>
        <v>1.48350708008</v>
      </c>
      <c r="E309" s="41" t="str">
        <f>HYPERLINK(AB2 &amp; "/bottle/sn_dacc6638cd62d82f42ebc0504c999b/rendering/02.obj", "1.61382171631")</f>
        <v>1.61382171631</v>
      </c>
      <c r="F309" s="69" t="str">
        <f>HYPERLINK(AB2 &amp; "/bottle/sn_dacc6638cd62d82f42ebc0504c999b/rendering/03.obj", "1.46613952637")</f>
        <v>1.46613952637</v>
      </c>
      <c r="G309" s="6" t="str">
        <f>HYPERLINK(AB2 &amp; "/bottle/sn_dacc6638cd62d82f42ebc0504c999b/rendering/04.obj", "1.44631958008")</f>
        <v>1.44631958008</v>
      </c>
      <c r="H309" s="25" t="str">
        <f>HYPERLINK(AB2 &amp; "/bottle/sn_dacc6638cd62d82f42ebc0504c999b/rendering/05.obj", "1.52914642334")</f>
        <v>1.52914642334</v>
      </c>
      <c r="I309" s="78" t="str">
        <f>HYPERLINK(AB2 &amp; "/bottle/sn_dacc6638cd62d82f42ebc0504c999b/rendering/06.obj", "1.42044555664")</f>
        <v>1.42044555664</v>
      </c>
      <c r="J309" s="46" t="str">
        <f>HYPERLINK(AB2 &amp; "/bottle/sn_dacc6638cd62d82f42ebc0504c999b/rendering/07.obj", "1.53774902344")</f>
        <v>1.53774902344</v>
      </c>
      <c r="K309" s="78" t="str">
        <f>HYPERLINK(AB2 &amp; "/bottle/sn_dacc6638cd62d82f42ebc0504c999b/rendering/08.obj", "1.42149200439")</f>
        <v>1.42149200439</v>
      </c>
      <c r="L309" s="38" t="str">
        <f>HYPERLINK(AB2 &amp; "/bottle/sn_dacc6638cd62d82f42ebc0504c999b/rendering/09.obj", "1.37842498779")</f>
        <v>1.37842498779</v>
      </c>
      <c r="M309" s="74" t="str">
        <f>HYPERLINK(AB2 &amp; "/bottle/sn_dacc6638cd62d82f42ebc0504c999b/rendering/10.obj", "1.53470550537")</f>
        <v>1.53470550537</v>
      </c>
      <c r="N309" s="78" t="str">
        <f>HYPERLINK(AB2 &amp; "/bottle/sn_dacc6638cd62d82f42ebc0504c999b/rendering/11.obj", "1.60639221191")</f>
        <v>1.60639221191</v>
      </c>
      <c r="O309" s="69" t="str">
        <f>HYPERLINK(AB2 &amp; "/bottle/sn_dacc6638cd62d82f42ebc0504c999b/rendering/12.obj", "1.46968566895")</f>
        <v>1.46968566895</v>
      </c>
      <c r="P309" s="74" t="str">
        <f>HYPERLINK(AB2 &amp; "/bottle/sn_dacc6638cd62d82f42ebc0504c999b/rendering/13.obj", "1.5347277832")</f>
        <v>1.5347277832</v>
      </c>
      <c r="Q309" s="72" t="str">
        <f>HYPERLINK(AB2 &amp; "/bottle/sn_dacc6638cd62d82f42ebc0504c999b/rendering/14.obj", "1.56235961914")</f>
        <v>1.56235961914</v>
      </c>
      <c r="R309" s="25" t="str">
        <f>HYPERLINK(AB2 &amp; "/bottle/sn_dacc6638cd62d82f42ebc0504c999b/rendering/15.obj", "1.52962417603")</f>
        <v>1.52962417603</v>
      </c>
      <c r="S309" s="23" t="str">
        <f>HYPERLINK(AB2 &amp; "/bottle/sn_dacc6638cd62d82f42ebc0504c999b/rendering/16.obj", "1.57360717773")</f>
        <v>1.57360717773</v>
      </c>
      <c r="T309" s="46" t="str">
        <f>HYPERLINK(AB2 &amp; "/bottle/sn_dacc6638cd62d82f42ebc0504c999b/rendering/17.obj", "1.54025817871")</f>
        <v>1.54025817871</v>
      </c>
      <c r="U309" s="10" t="str">
        <f>HYPERLINK(AB2 &amp; "/bottle/sn_dacc6638cd62d82f42ebc0504c999b/rendering/18.obj", "1.42979156494")</f>
        <v>1.42979156494</v>
      </c>
      <c r="V309" s="13" t="str">
        <f>HYPERLINK(AB2 &amp; "/bottle/sn_dacc6638cd62d82f42ebc0504c999b/rendering/19.obj", "1.51100097656")</f>
        <v>1.51100097656</v>
      </c>
      <c r="W309" s="12" t="s">
        <v>31</v>
      </c>
      <c r="X309" s="13">
        <v>1.5133472518920901</v>
      </c>
      <c r="Y309" s="13">
        <v>7.2916982211084558E-2</v>
      </c>
      <c r="Z309" s="34">
        <v>4.8182584743798072E-2</v>
      </c>
    </row>
    <row r="310" spans="1:26" x14ac:dyDescent="0.2">
      <c r="A310" s="1">
        <v>308</v>
      </c>
      <c r="B310" s="2" t="s">
        <v>94</v>
      </c>
      <c r="C310" s="74" t="str">
        <f>HYPERLINK(AB2 &amp; "/bottle/sn_dacc6638cd62d82f42ebc0504c999b/rendering/00.obj", "2.43954062462")</f>
        <v>2.43954062462</v>
      </c>
      <c r="D310" s="5" t="str">
        <f>HYPERLINK(AB2 &amp; "/bottle/sn_dacc6638cd62d82f42ebc0504c999b/rendering/01.obj", "2.2825615406")</f>
        <v>2.2825615406</v>
      </c>
      <c r="E310" s="90" t="str">
        <f>HYPERLINK(AB2 &amp; "/bottle/sn_dacc6638cd62d82f42ebc0504c999b/rendering/02.obj", "2.71367383003")</f>
        <v>2.71367383003</v>
      </c>
      <c r="F310" s="69" t="str">
        <f>HYPERLINK(AB2 &amp; "/bottle/sn_dacc6638cd62d82f42ebc0504c999b/rendering/03.obj", "2.40367698669")</f>
        <v>2.40367698669</v>
      </c>
      <c r="G310" s="68" t="str">
        <f>HYPERLINK(AB2 &amp; "/bottle/sn_dacc6638cd62d82f42ebc0504c999b/rendering/04.obj", "2.5821287632")</f>
        <v>2.5821287632</v>
      </c>
      <c r="H310" s="6" t="str">
        <f>HYPERLINK(AB2 &amp; "/bottle/sn_dacc6638cd62d82f42ebc0504c999b/rendering/05.obj", "2.58359289169")</f>
        <v>2.58359289169</v>
      </c>
      <c r="I310" s="17" t="str">
        <f>HYPERLINK(AB2 &amp; "/bottle/sn_dacc6638cd62d82f42ebc0504c999b/rendering/06.obj", "2.42654490471")</f>
        <v>2.42654490471</v>
      </c>
      <c r="J310" s="60" t="str">
        <f>HYPERLINK(AB2 &amp; "/bottle/sn_dacc6638cd62d82f42ebc0504c999b/rendering/07.obj", "2.59930515289")</f>
        <v>2.59930515289</v>
      </c>
      <c r="K310" s="60" t="str">
        <f>HYPERLINK(AB2 &amp; "/bottle/sn_dacc6638cd62d82f42ebc0504c999b/rendering/08.obj", "2.60399794579")</f>
        <v>2.60399794579</v>
      </c>
      <c r="L310" s="27" t="str">
        <f>HYPERLINK(AB2 &amp; "/bottle/sn_dacc6638cd62d82f42ebc0504c999b/rendering/09.obj", "2.30010724068")</f>
        <v>2.30010724068</v>
      </c>
      <c r="M310" s="51" t="str">
        <f>HYPERLINK(AB2 &amp; "/bottle/sn_dacc6638cd62d82f42ebc0504c999b/rendering/10.obj", "2.67153120041")</f>
        <v>2.67153120041</v>
      </c>
      <c r="N310" s="69" t="str">
        <f>HYPERLINK(AB2 &amp; "/bottle/sn_dacc6638cd62d82f42ebc0504c999b/rendering/11.obj", "2.3998093605")</f>
        <v>2.3998093605</v>
      </c>
      <c r="O310" s="72" t="str">
        <f>HYPERLINK(AB2 &amp; "/bottle/sn_dacc6638cd62d82f42ebc0504c999b/rendering/12.obj", "2.39452648163")</f>
        <v>2.39452648163</v>
      </c>
      <c r="P310" s="47" t="str">
        <f>HYPERLINK(AB2 &amp; "/bottle/sn_dacc6638cd62d82f42ebc0504c999b/rendering/13.obj", "2.49331045151")</f>
        <v>2.49331045151</v>
      </c>
      <c r="Q310" s="34" t="str">
        <f>HYPERLINK(AB2 &amp; "/bottle/sn_dacc6638cd62d82f42ebc0504c999b/rendering/14.obj", "2.35418057442")</f>
        <v>2.35418057442</v>
      </c>
      <c r="R310" s="74" t="str">
        <f>HYPERLINK(AB2 &amp; "/bottle/sn_dacc6638cd62d82f42ebc0504c999b/rendering/15.obj", "2.50490355492")</f>
        <v>2.50490355492</v>
      </c>
      <c r="S310" s="23" t="str">
        <f>HYPERLINK(AB2 &amp; "/bottle/sn_dacc6638cd62d82f42ebc0504c999b/rendering/16.obj", "2.37655973434")</f>
        <v>2.37655973434</v>
      </c>
      <c r="T310" s="48" t="str">
        <f>HYPERLINK(AB2 &amp; "/bottle/sn_dacc6638cd62d82f42ebc0504c999b/rendering/17.obj", "2.41515254974")</f>
        <v>2.41515254974</v>
      </c>
      <c r="U310" s="91" t="str">
        <f>HYPERLINK(AB2 &amp; "/bottle/sn_dacc6638cd62d82f42ebc0504c999b/rendering/18.obj", "2.5372903347")</f>
        <v>2.5372903347</v>
      </c>
      <c r="V310" s="72" t="str">
        <f>HYPERLINK(AB2 &amp; "/bottle/sn_dacc6638cd62d82f42ebc0504c999b/rendering/19.obj", "2.39406561852")</f>
        <v>2.39406561852</v>
      </c>
      <c r="W310" s="12" t="s">
        <v>32</v>
      </c>
      <c r="X310" s="13">
        <v>2.47382298707962</v>
      </c>
      <c r="Y310" s="13">
        <v>0.1180878098796561</v>
      </c>
      <c r="Z310" s="34">
        <v>4.7734947284591399E-2</v>
      </c>
    </row>
    <row r="311" spans="1:26" x14ac:dyDescent="0.2">
      <c r="A311" s="1">
        <v>309</v>
      </c>
      <c r="B311" s="2" t="s">
        <v>94</v>
      </c>
      <c r="C311" s="13" t="str">
        <f>HYPERLINK(AC2 &amp; "/bottle/sn_dacc6638cd62d82f42ebc0504c999b/rendering/00.xyz", "0.0")</f>
        <v>0.0</v>
      </c>
      <c r="D311" s="13" t="str">
        <f>HYPERLINK(AC2 &amp; "/bottle/sn_dacc6638cd62d82f42ebc0504c999b/rendering/01.xyz", "0.0")</f>
        <v>0.0</v>
      </c>
      <c r="E311" s="13" t="str">
        <f>HYPERLINK(AC2 &amp; "/bottle/sn_dacc6638cd62d82f42ebc0504c999b/rendering/02.xyz", "0.0")</f>
        <v>0.0</v>
      </c>
      <c r="F311" s="13" t="str">
        <f>HYPERLINK(AC2 &amp; "/bottle/sn_dacc6638cd62d82f42ebc0504c999b/rendering/03.xyz", "0.0")</f>
        <v>0.0</v>
      </c>
      <c r="G311" s="13" t="str">
        <f>HYPERLINK(AC2 &amp; "/bottle/sn_dacc6638cd62d82f42ebc0504c999b/rendering/04.xyz", "0.0")</f>
        <v>0.0</v>
      </c>
      <c r="H311" s="13" t="str">
        <f>HYPERLINK(AC2 &amp; "/bottle/sn_dacc6638cd62d82f42ebc0504c999b/rendering/05.xyz", "0.0")</f>
        <v>0.0</v>
      </c>
      <c r="I311" s="13" t="str">
        <f>HYPERLINK(AC2 &amp; "/bottle/sn_dacc6638cd62d82f42ebc0504c999b/rendering/06.xyz", "0.0")</f>
        <v>0.0</v>
      </c>
      <c r="J311" s="13" t="str">
        <f>HYPERLINK(AC2 &amp; "/bottle/sn_dacc6638cd62d82f42ebc0504c999b/rendering/07.xyz", "0.0")</f>
        <v>0.0</v>
      </c>
      <c r="K311" s="13" t="str">
        <f>HYPERLINK(AC2 &amp; "/bottle/sn_dacc6638cd62d82f42ebc0504c999b/rendering/08.xyz", "0.0")</f>
        <v>0.0</v>
      </c>
      <c r="L311" s="13" t="str">
        <f>HYPERLINK(AC2 &amp; "/bottle/sn_dacc6638cd62d82f42ebc0504c999b/rendering/09.xyz", "0.0")</f>
        <v>0.0</v>
      </c>
      <c r="M311" s="13" t="str">
        <f>HYPERLINK(AC2 &amp; "/bottle/sn_dacc6638cd62d82f42ebc0504c999b/rendering/10.xyz", "0.0")</f>
        <v>0.0</v>
      </c>
      <c r="N311" s="13" t="str">
        <f>HYPERLINK(AC2 &amp; "/bottle/sn_dacc6638cd62d82f42ebc0504c999b/rendering/11.xyz", "0.0")</f>
        <v>0.0</v>
      </c>
      <c r="O311" s="13" t="str">
        <f>HYPERLINK(AC2 &amp; "/bottle/sn_dacc6638cd62d82f42ebc0504c999b/rendering/12.xyz", "0.0")</f>
        <v>0.0</v>
      </c>
      <c r="P311" s="13" t="str">
        <f>HYPERLINK(AC2 &amp; "/bottle/sn_dacc6638cd62d82f42ebc0504c999b/rendering/13.xyz", "0.0")</f>
        <v>0.0</v>
      </c>
      <c r="Q311" s="13" t="str">
        <f>HYPERLINK(AC2 &amp; "/bottle/sn_dacc6638cd62d82f42ebc0504c999b/rendering/14.xyz", "0.0")</f>
        <v>0.0</v>
      </c>
      <c r="R311" s="13" t="str">
        <f>HYPERLINK(AC2 &amp; "/bottle/sn_dacc6638cd62d82f42ebc0504c999b/rendering/15.xyz", "0.0")</f>
        <v>0.0</v>
      </c>
      <c r="S311" s="13" t="str">
        <f>HYPERLINK(AC2 &amp; "/bottle/sn_dacc6638cd62d82f42ebc0504c999b/rendering/16.xyz", "0.0")</f>
        <v>0.0</v>
      </c>
      <c r="T311" s="13" t="str">
        <f>HYPERLINK(AC2 &amp; "/bottle/sn_dacc6638cd62d82f42ebc0504c999b/rendering/17.xyz", "0.0")</f>
        <v>0.0</v>
      </c>
      <c r="U311" s="13" t="str">
        <f>HYPERLINK(AC2 &amp; "/bottle/sn_dacc6638cd62d82f42ebc0504c999b/rendering/18.xyz", "0.0")</f>
        <v>0.0</v>
      </c>
      <c r="V311" s="13" t="str">
        <f>HYPERLINK(AC2 &amp; "/bottle/sn_dacc6638cd62d82f42ebc0504c999b/rendering/19.xyz", "0.0")</f>
        <v>0.0</v>
      </c>
      <c r="W311" s="12" t="s">
        <v>33</v>
      </c>
      <c r="X311" s="13">
        <v>0</v>
      </c>
      <c r="Y311" s="13">
        <v>0</v>
      </c>
      <c r="Z311" s="13">
        <v>0</v>
      </c>
    </row>
    <row r="312" spans="1:26" x14ac:dyDescent="0.2">
      <c r="A312" s="1">
        <v>310</v>
      </c>
      <c r="B312" s="2" t="s">
        <v>95</v>
      </c>
      <c r="C312" s="27" t="str">
        <f>HYPERLINK(AA2 &amp; "/bottle/sn_db09f7ed1f2b22cab0429693e6b73c4e/rendering/00.obj", "3.92119842529")</f>
        <v>3.92119842529</v>
      </c>
      <c r="D312" s="93" t="str">
        <f>HYPERLINK(AA2 &amp; "/bottle/sn_db09f7ed1f2b22cab0429693e6b73c4e/rendering/01.obj", "4.1829800415")</f>
        <v>4.1829800415</v>
      </c>
      <c r="E312" s="119" t="str">
        <f>HYPERLINK(AA2 &amp; "/bottle/sn_db09f7ed1f2b22cab0429693e6b73c4e/rendering/02.obj", "4.63670806885")</f>
        <v>4.63670806885</v>
      </c>
      <c r="F312" s="73" t="str">
        <f>HYPERLINK(AA2 &amp; "/bottle/sn_db09f7ed1f2b22cab0429693e6b73c4e/rendering/03.obj", "3.79248168945")</f>
        <v>3.79248168945</v>
      </c>
      <c r="G312" s="170" t="str">
        <f>HYPERLINK(AA2 &amp; "/bottle/sn_db09f7ed1f2b22cab0429693e6b73c4e/rendering/04.obj", "2.74468688965")</f>
        <v>2.74468688965</v>
      </c>
      <c r="H312" s="188" t="str">
        <f>HYPERLINK(AA2 &amp; "/bottle/sn_db09f7ed1f2b22cab0429693e6b73c4e/rendering/05.obj", "6.29529968262")</f>
        <v>6.29529968262</v>
      </c>
      <c r="I312" s="59" t="str">
        <f>HYPERLINK(AA2 &amp; "/bottle/sn_db09f7ed1f2b22cab0429693e6b73c4e/rendering/06.obj", "2.78729125977")</f>
        <v>2.78729125977</v>
      </c>
      <c r="J312" s="47" t="str">
        <f>HYPERLINK(AA2 &amp; "/bottle/sn_db09f7ed1f2b22cab0429693e6b73c4e/rendering/07.obj", "3.69140686035")</f>
        <v>3.69140686035</v>
      </c>
      <c r="K312" s="50" t="str">
        <f>HYPERLINK(AA2 &amp; "/bottle/sn_db09f7ed1f2b22cab0429693e6b73c4e/rendering/08.obj", "2.93807250977")</f>
        <v>2.93807250977</v>
      </c>
      <c r="L312" s="38" t="str">
        <f>HYPERLINK(AA2 &amp; "/bottle/sn_db09f7ed1f2b22cab0429693e6b73c4e/rendering/09.obj", "3.98972137451")</f>
        <v>3.98972137451</v>
      </c>
      <c r="M312" s="85" t="str">
        <f>HYPERLINK(AA2 &amp; "/bottle/sn_db09f7ed1f2b22cab0429693e6b73c4e/rendering/10.obj", "2.5768951416")</f>
        <v>2.5768951416</v>
      </c>
      <c r="N312" s="55" t="str">
        <f>HYPERLINK(AA2 &amp; "/bottle/sn_db09f7ed1f2b22cab0429693e6b73c4e/rendering/11.obj", "2.96372589111")</f>
        <v>2.96372589111</v>
      </c>
      <c r="O312" s="57" t="str">
        <f>HYPERLINK(AA2 &amp; "/bottle/sn_db09f7ed1f2b22cab0429693e6b73c4e/rendering/12.obj", "4.82122467041")</f>
        <v>4.82122467041</v>
      </c>
      <c r="P312" s="83" t="str">
        <f>HYPERLINK(AA2 &amp; "/bottle/sn_db09f7ed1f2b22cab0429693e6b73c4e/rendering/13.obj", "3.10875")</f>
        <v>3.10875</v>
      </c>
      <c r="Q312" s="58" t="str">
        <f>HYPERLINK(AA2 &amp; "/bottle/sn_db09f7ed1f2b22cab0429693e6b73c4e/rendering/14.obj", "2.77779541016")</f>
        <v>2.77779541016</v>
      </c>
      <c r="R312" s="118" t="str">
        <f>HYPERLINK(AA2 &amp; "/bottle/sn_db09f7ed1f2b22cab0429693e6b73c4e/rendering/15.obj", "2.59049255371")</f>
        <v>2.59049255371</v>
      </c>
      <c r="S312" s="145" t="str">
        <f>HYPERLINK(AA2 &amp; "/bottle/sn_db09f7ed1f2b22cab0429693e6b73c4e/rendering/16.obj", "5.47147216797")</f>
        <v>5.47147216797</v>
      </c>
      <c r="T312" s="23" t="str">
        <f>HYPERLINK(AA2 &amp; "/bottle/sn_db09f7ed1f2b22cab0429693e6b73c4e/rendering/17.obj", "3.52074279785")</f>
        <v>3.52074279785</v>
      </c>
      <c r="U312" s="88" t="str">
        <f>HYPERLINK(AA2 &amp; "/bottle/sn_db09f7ed1f2b22cab0429693e6b73c4e/rendering/18.obj", "2.92585510254")</f>
        <v>2.92585510254</v>
      </c>
      <c r="V312" s="48" t="str">
        <f>HYPERLINK(AA2 &amp; "/bottle/sn_db09f7ed1f2b22cab0429693e6b73c4e/rendering/19.obj", "3.58051269531")</f>
        <v>3.58051269531</v>
      </c>
      <c r="W312" s="12" t="s">
        <v>29</v>
      </c>
      <c r="X312" s="13">
        <v>3.6658656616210941</v>
      </c>
      <c r="Y312" s="13">
        <v>0.98909389667976688</v>
      </c>
      <c r="Z312" s="99">
        <v>0.26981182290307287</v>
      </c>
    </row>
    <row r="313" spans="1:26" x14ac:dyDescent="0.2">
      <c r="A313" s="1">
        <v>311</v>
      </c>
      <c r="B313" s="2" t="s">
        <v>95</v>
      </c>
      <c r="C313" s="27" t="str">
        <f>HYPERLINK(AA2 &amp; "/bottle/sn_db09f7ed1f2b22cab0429693e6b73c4e/rendering/00.obj", "4.04125595093")</f>
        <v>4.04125595093</v>
      </c>
      <c r="D313" s="40" t="str">
        <f>HYPERLINK(AA2 &amp; "/bottle/sn_db09f7ed1f2b22cab0429693e6b73c4e/rendering/01.obj", "5.08879566193")</f>
        <v>5.08879566193</v>
      </c>
      <c r="E313" s="19" t="str">
        <f>HYPERLINK(AA2 &amp; "/bottle/sn_db09f7ed1f2b22cab0429693e6b73c4e/rendering/02.obj", "5.48268127441")</f>
        <v>5.48268127441</v>
      </c>
      <c r="F313" s="133" t="str">
        <f>HYPERLINK(AA2 &amp; "/bottle/sn_db09f7ed1f2b22cab0429693e6b73c4e/rendering/03.obj", "3.90742444992")</f>
        <v>3.90742444992</v>
      </c>
      <c r="G313" s="129" t="str">
        <f>HYPERLINK(AA2 &amp; "/bottle/sn_db09f7ed1f2b22cab0429693e6b73c4e/rendering/04.obj", "3.25634384155")</f>
        <v>3.25634384155</v>
      </c>
      <c r="H313" s="20" t="str">
        <f>HYPERLINK(AA2 &amp; "/bottle/sn_db09f7ed1f2b22cab0429693e6b73c4e/rendering/05.obj", "8.40214824677")</f>
        <v>8.40214824677</v>
      </c>
      <c r="I313" s="7" t="str">
        <f>HYPERLINK(AA2 &amp; "/bottle/sn_db09f7ed1f2b22cab0429693e6b73c4e/rendering/06.obj", "3.13870573044")</f>
        <v>3.13870573044</v>
      </c>
      <c r="J313" s="35" t="str">
        <f>HYPERLINK(AA2 &amp; "/bottle/sn_db09f7ed1f2b22cab0429693e6b73c4e/rendering/07.obj", "4.59624910355")</f>
        <v>4.59624910355</v>
      </c>
      <c r="K313" s="49" t="str">
        <f>HYPERLINK(AA2 &amp; "/bottle/sn_db09f7ed1f2b22cab0429693e6b73c4e/rendering/08.obj", "3.43601131439")</f>
        <v>3.43601131439</v>
      </c>
      <c r="L313" s="91" t="str">
        <f>HYPERLINK(AA2 &amp; "/bottle/sn_db09f7ed1f2b22cab0429693e6b73c4e/rendering/09.obj", "4.46222257614")</f>
        <v>4.46222257614</v>
      </c>
      <c r="M313" s="99" t="str">
        <f>HYPERLINK(AA2 &amp; "/bottle/sn_db09f7ed1f2b22cab0429693e6b73c4e/rendering/10.obj", "3.15807294846")</f>
        <v>3.15807294846</v>
      </c>
      <c r="N313" s="24" t="str">
        <f>HYPERLINK(AA2 &amp; "/bottle/sn_db09f7ed1f2b22cab0429693e6b73c4e/rendering/11.obj", "3.61417984962")</f>
        <v>3.61417984962</v>
      </c>
      <c r="O313" s="96" t="str">
        <f>HYPERLINK(AA2 &amp; "/bottle/sn_db09f7ed1f2b22cab0429693e6b73c4e/rendering/12.obj", "5.91428470612")</f>
        <v>5.91428470612</v>
      </c>
      <c r="P313" s="70" t="str">
        <f>HYPERLINK(AA2 &amp; "/bottle/sn_db09f7ed1f2b22cab0429693e6b73c4e/rendering/13.obj", "3.78813624382")</f>
        <v>3.78813624382</v>
      </c>
      <c r="Q313" s="129" t="str">
        <f>HYPERLINK(AA2 &amp; "/bottle/sn_db09f7ed1f2b22cab0429693e6b73c4e/rendering/14.obj", "3.2614440918")</f>
        <v>3.2614440918</v>
      </c>
      <c r="R313" s="171" t="str">
        <f>HYPERLINK(AA2 &amp; "/bottle/sn_db09f7ed1f2b22cab0429693e6b73c4e/rendering/15.obj", "3.01139712334")</f>
        <v>3.01139712334</v>
      </c>
      <c r="S313" s="161" t="str">
        <f>HYPERLINK(AA2 &amp; "/bottle/sn_db09f7ed1f2b22cab0429693e6b73c4e/rendering/16.obj", "6.88084220886")</f>
        <v>6.88084220886</v>
      </c>
      <c r="T313" s="10" t="str">
        <f>HYPERLINK(AA2 &amp; "/bottle/sn_db09f7ed1f2b22cab0429693e6b73c4e/rendering/17.obj", "4.10264253616")</f>
        <v>4.10264253616</v>
      </c>
      <c r="U313" s="95" t="str">
        <f>HYPERLINK(AA2 &amp; "/bottle/sn_db09f7ed1f2b22cab0429693e6b73c4e/rendering/18.obj", "3.12849354744")</f>
        <v>3.12849354744</v>
      </c>
      <c r="V313" s="72" t="str">
        <f>HYPERLINK(AA2 &amp; "/bottle/sn_db09f7ed1f2b22cab0429693e6b73c4e/rendering/19.obj", "4.19913053513")</f>
        <v>4.19913053513</v>
      </c>
      <c r="W313" s="12" t="s">
        <v>30</v>
      </c>
      <c r="X313" s="13">
        <v>4.3435230970382692</v>
      </c>
      <c r="Y313" s="13">
        <v>1.374659447056207</v>
      </c>
      <c r="Z313" s="57">
        <v>0.31648489402382818</v>
      </c>
    </row>
    <row r="314" spans="1:26" x14ac:dyDescent="0.2">
      <c r="A314" s="1">
        <v>312</v>
      </c>
      <c r="B314" s="2" t="s">
        <v>95</v>
      </c>
      <c r="C314" s="27" t="str">
        <f>HYPERLINK(AB2 &amp; "/bottle/sn_db09f7ed1f2b22cab0429693e6b73c4e/rendering/00.obj", "2.89176208496")</f>
        <v>2.89176208496</v>
      </c>
      <c r="D314" s="73" t="str">
        <f>HYPERLINK(AB2 &amp; "/bottle/sn_db09f7ed1f2b22cab0429693e6b73c4e/rendering/01.obj", "2.60353759766")</f>
        <v>2.60353759766</v>
      </c>
      <c r="E314" s="91" t="str">
        <f>HYPERLINK(AB2 &amp; "/bottle/sn_db09f7ed1f2b22cab0429693e6b73c4e/rendering/02.obj", "2.76760864258")</f>
        <v>2.76760864258</v>
      </c>
      <c r="F314" s="48" t="str">
        <f>HYPERLINK(AB2 &amp; "/bottle/sn_db09f7ed1f2b22cab0429693e6b73c4e/rendering/03.obj", "2.63782562256")</f>
        <v>2.63782562256</v>
      </c>
      <c r="G314" s="133" t="str">
        <f>HYPERLINK(AB2 &amp; "/bottle/sn_db09f7ed1f2b22cab0429693e6b73c4e/rendering/04.obj", "2.42156616211")</f>
        <v>2.42156616211</v>
      </c>
      <c r="H314" s="27" t="str">
        <f>HYPERLINK(AB2 &amp; "/bottle/sn_db09f7ed1f2b22cab0429693e6b73c4e/rendering/05.obj", "2.89087646484")</f>
        <v>2.89087646484</v>
      </c>
      <c r="I314" s="75" t="str">
        <f>HYPERLINK(AB2 &amp; "/bottle/sn_db09f7ed1f2b22cab0429693e6b73c4e/rendering/06.obj", "3.29841918945")</f>
        <v>3.29841918945</v>
      </c>
      <c r="J314" s="25" t="str">
        <f>HYPERLINK(AB2 &amp; "/bottle/sn_db09f7ed1f2b22cab0429693e6b73c4e/rendering/07.obj", "2.66930969238")</f>
        <v>2.66930969238</v>
      </c>
      <c r="K314" s="48" t="str">
        <f>HYPERLINK(AB2 &amp; "/bottle/sn_db09f7ed1f2b22cab0429693e6b73c4e/rendering/08.obj", "2.76315979004")</f>
        <v>2.76315979004</v>
      </c>
      <c r="L314" s="26" t="str">
        <f>HYPERLINK(AB2 &amp; "/bottle/sn_db09f7ed1f2b22cab0429693e6b73c4e/rendering/09.obj", "2.52224456787")</f>
        <v>2.52224456787</v>
      </c>
      <c r="M314" s="51" t="str">
        <f>HYPERLINK(AB2 &amp; "/bottle/sn_db09f7ed1f2b22cab0429693e6b73c4e/rendering/10.obj", "2.4821282959")</f>
        <v>2.4821282959</v>
      </c>
      <c r="N314" s="27" t="str">
        <f>HYPERLINK(AB2 &amp; "/bottle/sn_db09f7ed1f2b22cab0429693e6b73c4e/rendering/11.obj", "2.51116973877")</f>
        <v>2.51116973877</v>
      </c>
      <c r="O314" s="120" t="str">
        <f>HYPERLINK(AB2 &amp; "/bottle/sn_db09f7ed1f2b22cab0429693e6b73c4e/rendering/12.obj", "3.27261566162")</f>
        <v>3.27261566162</v>
      </c>
      <c r="P314" s="6" t="str">
        <f>HYPERLINK(AB2 &amp; "/bottle/sn_db09f7ed1f2b22cab0429693e6b73c4e/rendering/13.obj", "2.57566162109")</f>
        <v>2.57566162109</v>
      </c>
      <c r="Q314" s="17" t="str">
        <f>HYPERLINK(AB2 &amp; "/bottle/sn_db09f7ed1f2b22cab0429693e6b73c4e/rendering/14.obj", "2.75767669678")</f>
        <v>2.75767669678</v>
      </c>
      <c r="R314" s="72" t="str">
        <f>HYPERLINK(AB2 &amp; "/bottle/sn_db09f7ed1f2b22cab0429693e6b73c4e/rendering/15.obj", "2.78497314453")</f>
        <v>2.78497314453</v>
      </c>
      <c r="S314" s="38" t="str">
        <f>HYPERLINK(AB2 &amp; "/bottle/sn_db09f7ed1f2b22cab0429693e6b73c4e/rendering/16.obj", "2.45483215332")</f>
        <v>2.45483215332</v>
      </c>
      <c r="T314" s="68" t="str">
        <f>HYPERLINK(AB2 &amp; "/bottle/sn_db09f7ed1f2b22cab0429693e6b73c4e/rendering/17.obj", "2.5861605835")</f>
        <v>2.5861605835</v>
      </c>
      <c r="U314" s="35" t="str">
        <f>HYPERLINK(AB2 &amp; "/bottle/sn_db09f7ed1f2b22cab0429693e6b73c4e/rendering/18.obj", "2.53904907227")</f>
        <v>2.53904907227</v>
      </c>
      <c r="V314" s="34" t="str">
        <f>HYPERLINK(AB2 &amp; "/bottle/sn_db09f7ed1f2b22cab0429693e6b73c4e/rendering/19.obj", "2.56500457764")</f>
        <v>2.56500457764</v>
      </c>
      <c r="W314" s="12" t="s">
        <v>31</v>
      </c>
      <c r="X314" s="13">
        <v>2.6997790679931639</v>
      </c>
      <c r="Y314" s="13">
        <v>0.2363601554630389</v>
      </c>
      <c r="Z314" s="39">
        <v>8.7547962077775959E-2</v>
      </c>
    </row>
    <row r="315" spans="1:26" x14ac:dyDescent="0.2">
      <c r="A315" s="1">
        <v>313</v>
      </c>
      <c r="B315" s="2" t="s">
        <v>95</v>
      </c>
      <c r="C315" s="5" t="str">
        <f>HYPERLINK(AB2 &amp; "/bottle/sn_db09f7ed1f2b22cab0429693e6b73c4e/rendering/00.obj", "3.44313430786")</f>
        <v>3.44313430786</v>
      </c>
      <c r="D315" s="91" t="str">
        <f>HYPERLINK(AB2 &amp; "/bottle/sn_db09f7ed1f2b22cab0429693e6b73c4e/rendering/01.obj", "3.28674054146")</f>
        <v>3.28674054146</v>
      </c>
      <c r="E315" s="72" t="str">
        <f>HYPERLINK(AB2 &amp; "/bottle/sn_db09f7ed1f2b22cab0429693e6b73c4e/rendering/02.obj", "3.30283331871")</f>
        <v>3.30283331871</v>
      </c>
      <c r="F315" s="35" t="str">
        <f>HYPERLINK(AB2 &amp; "/bottle/sn_db09f7ed1f2b22cab0429693e6b73c4e/rendering/03.obj", "3.38906550407")</f>
        <v>3.38906550407</v>
      </c>
      <c r="G315" s="27" t="str">
        <f>HYPERLINK(AB2 &amp; "/bottle/sn_db09f7ed1f2b22cab0429693e6b73c4e/rendering/04.obj", "2.9744887352")</f>
        <v>2.9744887352</v>
      </c>
      <c r="H315" s="41" t="str">
        <f>HYPERLINK(AB2 &amp; "/bottle/sn_db09f7ed1f2b22cab0429693e6b73c4e/rendering/05.obj", "3.42248558998")</f>
        <v>3.42248558998</v>
      </c>
      <c r="I315" s="50" t="str">
        <f>HYPERLINK(AB2 &amp; "/bottle/sn_db09f7ed1f2b22cab0429693e6b73c4e/rendering/06.obj", "3.84163689613")</f>
        <v>3.84163689613</v>
      </c>
      <c r="J315" s="68" t="str">
        <f>HYPERLINK(AB2 &amp; "/bottle/sn_db09f7ed1f2b22cab0429693e6b73c4e/rendering/07.obj", "3.06647372246")</f>
        <v>3.06647372246</v>
      </c>
      <c r="K315" s="73" t="str">
        <f>HYPERLINK(AB2 &amp; "/bottle/sn_db09f7ed1f2b22cab0429693e6b73c4e/rendering/08.obj", "3.08848595619")</f>
        <v>3.08848595619</v>
      </c>
      <c r="L315" s="25" t="str">
        <f>HYPERLINK(AB2 &amp; "/bottle/sn_db09f7ed1f2b22cab0429693e6b73c4e/rendering/09.obj", "3.16318368912")</f>
        <v>3.16318368912</v>
      </c>
      <c r="M315" s="68" t="str">
        <f>HYPERLINK(AB2 &amp; "/bottle/sn_db09f7ed1f2b22cab0429693e6b73c4e/rendering/10.obj", "3.06448602676")</f>
        <v>3.06448602676</v>
      </c>
      <c r="N315" s="110" t="str">
        <f>HYPERLINK(AB2 &amp; "/bottle/sn_db09f7ed1f2b22cab0429693e6b73c4e/rendering/11.obj", "2.88739299774")</f>
        <v>2.88739299774</v>
      </c>
      <c r="O315" s="63" t="str">
        <f>HYPERLINK(AB2 &amp; "/bottle/sn_db09f7ed1f2b22cab0429693e6b73c4e/rendering/12.obj", "3.5855243206")</f>
        <v>3.5855243206</v>
      </c>
      <c r="P315" s="51" t="str">
        <f>HYPERLINK(AB2 &amp; "/bottle/sn_db09f7ed1f2b22cab0429693e6b73c4e/rendering/13.obj", "2.9465174675")</f>
        <v>2.9465174675</v>
      </c>
      <c r="Q315" s="6" t="str">
        <f>HYPERLINK(AB2 &amp; "/bottle/sn_db09f7ed1f2b22cab0429693e6b73c4e/rendering/14.obj", "3.05431413651")</f>
        <v>3.05431413651</v>
      </c>
      <c r="R315" s="27" t="str">
        <f>HYPERLINK(AB2 &amp; "/bottle/sn_db09f7ed1f2b22cab0429693e6b73c4e/rendering/15.obj", "3.43085241318")</f>
        <v>3.43085241318</v>
      </c>
      <c r="S315" s="94" t="str">
        <f>HYPERLINK(AB2 &amp; "/bottle/sn_db09f7ed1f2b22cab0429693e6b73c4e/rendering/16.obj", "2.96677780151")</f>
        <v>2.96677780151</v>
      </c>
      <c r="T315" s="94" t="str">
        <f>HYPERLINK(AB2 &amp; "/bottle/sn_db09f7ed1f2b22cab0429693e6b73c4e/rendering/17.obj", "2.9629278183")</f>
        <v>2.9629278183</v>
      </c>
      <c r="U315" s="107" t="str">
        <f>HYPERLINK(AB2 &amp; "/bottle/sn_db09f7ed1f2b22cab0429693e6b73c4e/rendering/18.obj", "2.93405032158")</f>
        <v>2.93405032158</v>
      </c>
      <c r="V315" s="47" t="str">
        <f>HYPERLINK(AB2 &amp; "/bottle/sn_db09f7ed1f2b22cab0429693e6b73c4e/rendering/19.obj", "3.22461366653")</f>
        <v>3.22461366653</v>
      </c>
      <c r="W315" s="12" t="s">
        <v>32</v>
      </c>
      <c r="X315" s="13">
        <v>3.2017992615699771</v>
      </c>
      <c r="Y315" s="13">
        <v>0.24919718522636031</v>
      </c>
      <c r="Z315" s="5">
        <v>7.7830358766516949E-2</v>
      </c>
    </row>
    <row r="316" spans="1:26" x14ac:dyDescent="0.2">
      <c r="A316" s="1">
        <v>314</v>
      </c>
      <c r="B316" s="2" t="s">
        <v>95</v>
      </c>
      <c r="C316" s="13" t="str">
        <f>HYPERLINK(AC2 &amp; "/bottle/sn_db09f7ed1f2b22cab0429693e6b73c4e/rendering/00.xyz", "0.0")</f>
        <v>0.0</v>
      </c>
      <c r="D316" s="13" t="str">
        <f>HYPERLINK(AC2 &amp; "/bottle/sn_db09f7ed1f2b22cab0429693e6b73c4e/rendering/01.xyz", "0.0")</f>
        <v>0.0</v>
      </c>
      <c r="E316" s="13" t="str">
        <f>HYPERLINK(AC2 &amp; "/bottle/sn_db09f7ed1f2b22cab0429693e6b73c4e/rendering/02.xyz", "0.0")</f>
        <v>0.0</v>
      </c>
      <c r="F316" s="13" t="str">
        <f>HYPERLINK(AC2 &amp; "/bottle/sn_db09f7ed1f2b22cab0429693e6b73c4e/rendering/03.xyz", "0.0")</f>
        <v>0.0</v>
      </c>
      <c r="G316" s="13" t="str">
        <f>HYPERLINK(AC2 &amp; "/bottle/sn_db09f7ed1f2b22cab0429693e6b73c4e/rendering/04.xyz", "0.0")</f>
        <v>0.0</v>
      </c>
      <c r="H316" s="13" t="str">
        <f>HYPERLINK(AC2 &amp; "/bottle/sn_db09f7ed1f2b22cab0429693e6b73c4e/rendering/05.xyz", "0.0")</f>
        <v>0.0</v>
      </c>
      <c r="I316" s="13" t="str">
        <f>HYPERLINK(AC2 &amp; "/bottle/sn_db09f7ed1f2b22cab0429693e6b73c4e/rendering/06.xyz", "0.0")</f>
        <v>0.0</v>
      </c>
      <c r="J316" s="13" t="str">
        <f>HYPERLINK(AC2 &amp; "/bottle/sn_db09f7ed1f2b22cab0429693e6b73c4e/rendering/07.xyz", "0.0")</f>
        <v>0.0</v>
      </c>
      <c r="K316" s="13" t="str">
        <f>HYPERLINK(AC2 &amp; "/bottle/sn_db09f7ed1f2b22cab0429693e6b73c4e/rendering/08.xyz", "0.0")</f>
        <v>0.0</v>
      </c>
      <c r="L316" s="13" t="str">
        <f>HYPERLINK(AC2 &amp; "/bottle/sn_db09f7ed1f2b22cab0429693e6b73c4e/rendering/09.xyz", "0.0")</f>
        <v>0.0</v>
      </c>
      <c r="M316" s="13" t="str">
        <f>HYPERLINK(AC2 &amp; "/bottle/sn_db09f7ed1f2b22cab0429693e6b73c4e/rendering/10.xyz", "0.0")</f>
        <v>0.0</v>
      </c>
      <c r="N316" s="13" t="str">
        <f>HYPERLINK(AC2 &amp; "/bottle/sn_db09f7ed1f2b22cab0429693e6b73c4e/rendering/11.xyz", "0.0")</f>
        <v>0.0</v>
      </c>
      <c r="O316" s="13" t="str">
        <f>HYPERLINK(AC2 &amp; "/bottle/sn_db09f7ed1f2b22cab0429693e6b73c4e/rendering/12.xyz", "0.0")</f>
        <v>0.0</v>
      </c>
      <c r="P316" s="13" t="str">
        <f>HYPERLINK(AC2 &amp; "/bottle/sn_db09f7ed1f2b22cab0429693e6b73c4e/rendering/13.xyz", "0.0")</f>
        <v>0.0</v>
      </c>
      <c r="Q316" s="13" t="str">
        <f>HYPERLINK(AC2 &amp; "/bottle/sn_db09f7ed1f2b22cab0429693e6b73c4e/rendering/14.xyz", "0.0")</f>
        <v>0.0</v>
      </c>
      <c r="R316" s="13" t="str">
        <f>HYPERLINK(AC2 &amp; "/bottle/sn_db09f7ed1f2b22cab0429693e6b73c4e/rendering/15.xyz", "0.0")</f>
        <v>0.0</v>
      </c>
      <c r="S316" s="13" t="str">
        <f>HYPERLINK(AC2 &amp; "/bottle/sn_db09f7ed1f2b22cab0429693e6b73c4e/rendering/16.xyz", "0.0")</f>
        <v>0.0</v>
      </c>
      <c r="T316" s="13" t="str">
        <f>HYPERLINK(AC2 &amp; "/bottle/sn_db09f7ed1f2b22cab0429693e6b73c4e/rendering/17.xyz", "0.0")</f>
        <v>0.0</v>
      </c>
      <c r="U316" s="13" t="str">
        <f>HYPERLINK(AC2 &amp; "/bottle/sn_db09f7ed1f2b22cab0429693e6b73c4e/rendering/18.xyz", "0.0")</f>
        <v>0.0</v>
      </c>
      <c r="V316" s="13" t="str">
        <f>HYPERLINK(AC2 &amp; "/bottle/sn_db09f7ed1f2b22cab0429693e6b73c4e/rendering/19.xyz", "0.0")</f>
        <v>0.0</v>
      </c>
      <c r="W316" s="12" t="s">
        <v>33</v>
      </c>
      <c r="X316" s="13">
        <v>0</v>
      </c>
      <c r="Y316" s="13">
        <v>0</v>
      </c>
      <c r="Z316" s="13">
        <v>0</v>
      </c>
    </row>
    <row r="317" spans="1:26" x14ac:dyDescent="0.2">
      <c r="A317" s="1">
        <v>315</v>
      </c>
      <c r="B317" s="2" t="s">
        <v>96</v>
      </c>
      <c r="C317" s="88" t="str">
        <f>HYPERLINK(AA2 &amp; "/bottle/sn_dc0926ce09d6ce78eb8e919b102c6c08/rendering/00.obj", "2.61548828125")</f>
        <v>2.61548828125</v>
      </c>
      <c r="D317" s="81" t="str">
        <f>HYPERLINK(AA2 &amp; "/bottle/sn_dc0926ce09d6ce78eb8e919b102c6c08/rendering/01.obj", "2.56064208984")</f>
        <v>2.56064208984</v>
      </c>
      <c r="E317" s="182" t="str">
        <f>HYPERLINK(AA2 &amp; "/bottle/sn_dc0926ce09d6ce78eb8e919b102c6c08/rendering/02.obj", "2.18904602051")</f>
        <v>2.18904602051</v>
      </c>
      <c r="F317" s="26" t="str">
        <f>HYPERLINK(AA2 &amp; "/bottle/sn_dc0926ce09d6ce78eb8e919b102c6c08/rendering/03.obj", "3.07078186035")</f>
        <v>3.07078186035</v>
      </c>
      <c r="G317" s="38" t="str">
        <f>HYPERLINK(AA2 &amp; "/bottle/sn_dc0926ce09d6ce78eb8e919b102c6c08/rendering/04.obj", "2.98967834473")</f>
        <v>2.98967834473</v>
      </c>
      <c r="H317" s="90" t="str">
        <f>HYPERLINK(AA2 &amp; "/bottle/sn_dc0926ce09d6ce78eb8e919b102c6c08/rendering/05.obj", "2.96748474121")</f>
        <v>2.96748474121</v>
      </c>
      <c r="I317" s="60" t="str">
        <f>HYPERLINK(AA2 &amp; "/bottle/sn_dc0926ce09d6ce78eb8e919b102c6c08/rendering/06.obj", "3.45071594238")</f>
        <v>3.45071594238</v>
      </c>
      <c r="J317" s="166" t="str">
        <f>HYPERLINK(AA2 &amp; "/bottle/sn_dc0926ce09d6ce78eb8e919b102c6c08/rendering/07.obj", "2.34083786011")</f>
        <v>2.34083786011</v>
      </c>
      <c r="K317" s="7" t="str">
        <f>HYPERLINK(AA2 &amp; "/bottle/sn_dc0926ce09d6ce78eb8e919b102c6c08/rendering/08.obj", "2.37220367432")</f>
        <v>2.37220367432</v>
      </c>
      <c r="L317" s="5" t="str">
        <f>HYPERLINK(AA2 &amp; "/bottle/sn_dc0926ce09d6ce78eb8e919b102c6c08/rendering/09.obj", "3.0269354248")</f>
        <v>3.0269354248</v>
      </c>
      <c r="M317" s="20" t="str">
        <f>HYPERLINK(AA2 &amp; "/bottle/sn_dc0926ce09d6ce78eb8e919b102c6c08/rendering/10.obj", "8.64432983398")</f>
        <v>8.64432983398</v>
      </c>
      <c r="N317" s="202" t="str">
        <f>HYPERLINK(AA2 &amp; "/bottle/sn_dc0926ce09d6ce78eb8e919b102c6c08/rendering/11.obj", "5.3479901123")</f>
        <v>5.3479901123</v>
      </c>
      <c r="O317" s="100" t="str">
        <f>HYPERLINK(AA2 &amp; "/bottle/sn_dc0926ce09d6ce78eb8e919b102c6c08/rendering/12.obj", "4.26672271729")</f>
        <v>4.26672271729</v>
      </c>
      <c r="P317" s="152" t="str">
        <f>HYPERLINK(AA2 &amp; "/bottle/sn_dc0926ce09d6ce78eb8e919b102c6c08/rendering/13.obj", "1.95120178223")</f>
        <v>1.95120178223</v>
      </c>
      <c r="Q317" s="36" t="str">
        <f>HYPERLINK(AA2 &amp; "/bottle/sn_dc0926ce09d6ce78eb8e919b102c6c08/rendering/14.obj", "2.57732971191")</f>
        <v>2.57732971191</v>
      </c>
      <c r="R317" s="86" t="str">
        <f>HYPERLINK(AA2 &amp; "/bottle/sn_dc0926ce09d6ce78eb8e919b102c6c08/rendering/15.obj", "2.39609588623")</f>
        <v>2.39609588623</v>
      </c>
      <c r="S317" s="81" t="str">
        <f>HYPERLINK(AA2 &amp; "/bottle/sn_dc0926ce09d6ce78eb8e919b102c6c08/rendering/16.obj", "2.56549072266")</f>
        <v>2.56549072266</v>
      </c>
      <c r="T317" s="75" t="str">
        <f>HYPERLINK(AA2 &amp; "/bottle/sn_dc0926ce09d6ce78eb8e919b102c6c08/rendering/17.obj", "2.56021911621")</f>
        <v>2.56021911621</v>
      </c>
      <c r="U317" s="120" t="str">
        <f>HYPERLINK(AA2 &amp; "/bottle/sn_dc0926ce09d6ce78eb8e919b102c6c08/rendering/18.obj", "3.9731829834")</f>
        <v>3.9731829834</v>
      </c>
      <c r="V317" s="8" t="str">
        <f>HYPERLINK(AA2 &amp; "/bottle/sn_dc0926ce09d6ce78eb8e919b102c6c08/rendering/19.obj", "3.75164001465")</f>
        <v>3.75164001465</v>
      </c>
      <c r="W317" s="12" t="s">
        <v>29</v>
      </c>
      <c r="X317" s="13">
        <v>3.280900856018067</v>
      </c>
      <c r="Y317" s="13">
        <v>1.4658236091219199</v>
      </c>
      <c r="Z317" s="156">
        <v>0.44677473457730382</v>
      </c>
    </row>
    <row r="318" spans="1:26" x14ac:dyDescent="0.2">
      <c r="A318" s="1">
        <v>316</v>
      </c>
      <c r="B318" s="2" t="s">
        <v>96</v>
      </c>
      <c r="C318" s="136" t="str">
        <f>HYPERLINK(AA2 &amp; "/bottle/sn_dc0926ce09d6ce78eb8e919b102c6c08/rendering/00.obj", "1.95745587349")</f>
        <v>1.95745587349</v>
      </c>
      <c r="D318" s="19" t="str">
        <f>HYPERLINK(AA2 &amp; "/bottle/sn_dc0926ce09d6ce78eb8e919b102c6c08/rendering/01.obj", "1.89006793499")</f>
        <v>1.89006793499</v>
      </c>
      <c r="E318" s="52" t="str">
        <f>HYPERLINK(AA2 &amp; "/bottle/sn_dc0926ce09d6ce78eb8e919b102c6c08/rendering/02.obj", "1.54039406776")</f>
        <v>1.54039406776</v>
      </c>
      <c r="F318" s="10" t="str">
        <f>HYPERLINK(AA2 &amp; "/bottle/sn_dc0926ce09d6ce78eb8e919b102c6c08/rendering/03.obj", "2.42364382744")</f>
        <v>2.42364382744</v>
      </c>
      <c r="G318" s="158" t="str">
        <f>HYPERLINK(AA2 &amp; "/bottle/sn_dc0926ce09d6ce78eb8e919b102c6c08/rendering/04.obj", "1.51071202755")</f>
        <v>1.51071202755</v>
      </c>
      <c r="H318" s="193" t="str">
        <f>HYPERLINK(AA2 &amp; "/bottle/sn_dc0926ce09d6ce78eb8e919b102c6c08/rendering/05.obj", "1.71089971066")</f>
        <v>1.71089971066</v>
      </c>
      <c r="I318" s="4" t="str">
        <f>HYPERLINK(AA2 &amp; "/bottle/sn_dc0926ce09d6ce78eb8e919b102c6c08/rendering/06.obj", "1.83266925812")</f>
        <v>1.83266925812</v>
      </c>
      <c r="J318" s="132" t="str">
        <f>HYPERLINK(AA2 &amp; "/bottle/sn_dc0926ce09d6ce78eb8e919b102c6c08/rendering/07.obj", "1.48858952522")</f>
        <v>1.48858952522</v>
      </c>
      <c r="K318" s="152" t="str">
        <f>HYPERLINK(AA2 &amp; "/bottle/sn_dc0926ce09d6ce78eb8e919b102c6c08/rendering/08.obj", "1.52525019646")</f>
        <v>1.52525019646</v>
      </c>
      <c r="L318" s="80" t="str">
        <f>HYPERLINK(AA2 &amp; "/bottle/sn_dc0926ce09d6ce78eb8e919b102c6c08/rendering/09.obj", "2.18213176727")</f>
        <v>2.18213176727</v>
      </c>
      <c r="M318" s="20" t="str">
        <f>HYPERLINK(AA2 &amp; "/bottle/sn_dc0926ce09d6ce78eb8e919b102c6c08/rendering/10.obj", "9.87827014923")</f>
        <v>9.87827014923</v>
      </c>
      <c r="N318" s="20" t="str">
        <f>HYPERLINK(AA2 &amp; "/bottle/sn_dc0926ce09d6ce78eb8e919b102c6c08/rendering/11.obj", "5.88132190704")</f>
        <v>5.88132190704</v>
      </c>
      <c r="O318" s="124" t="str">
        <f>HYPERLINK(AA2 &amp; "/bottle/sn_dc0926ce09d6ce78eb8e919b102c6c08/rendering/12.obj", "3.5373108387")</f>
        <v>3.5373108387</v>
      </c>
      <c r="P318" s="130" t="str">
        <f>HYPERLINK(AA2 &amp; "/bottle/sn_dc0926ce09d6ce78eb8e919b102c6c08/rendering/13.obj", "1.40959465504")</f>
        <v>1.40959465504</v>
      </c>
      <c r="Q318" s="111" t="str">
        <f>HYPERLINK(AA2 &amp; "/bottle/sn_dc0926ce09d6ce78eb8e919b102c6c08/rendering/14.obj", "1.48195850849")</f>
        <v>1.48195850849</v>
      </c>
      <c r="R318" s="142" t="str">
        <f>HYPERLINK(AA2 &amp; "/bottle/sn_dc0926ce09d6ce78eb8e919b102c6c08/rendering/15.obj", "1.55519604683")</f>
        <v>1.55519604683</v>
      </c>
      <c r="S318" s="110" t="str">
        <f>HYPERLINK(AA2 &amp; "/bottle/sn_dc0926ce09d6ce78eb8e919b102c6c08/rendering/16.obj", "2.30586910248")</f>
        <v>2.30586910248</v>
      </c>
      <c r="T318" s="57" t="str">
        <f>HYPERLINK(AA2 &amp; "/bottle/sn_dc0926ce09d6ce78eb8e919b102c6c08/rendering/17.obj", "1.75312674046")</f>
        <v>1.75312674046</v>
      </c>
      <c r="U318" s="29" t="str">
        <f>HYPERLINK(AA2 &amp; "/bottle/sn_dc0926ce09d6ce78eb8e919b102c6c08/rendering/18.obj", "2.8943798542")</f>
        <v>2.8943798542</v>
      </c>
      <c r="V318" s="48" t="str">
        <f>HYPERLINK(AA2 &amp; "/bottle/sn_dc0926ce09d6ce78eb8e919b102c6c08/rendering/19.obj", "2.50368666649")</f>
        <v>2.50368666649</v>
      </c>
      <c r="W318" s="12" t="s">
        <v>30</v>
      </c>
      <c r="X318" s="13">
        <v>2.5631264328956598</v>
      </c>
      <c r="Y318" s="13">
        <v>1.9551406509414719</v>
      </c>
      <c r="Z318" s="208">
        <v>0.76279524328133763</v>
      </c>
    </row>
    <row r="319" spans="1:26" x14ac:dyDescent="0.2">
      <c r="A319" s="1">
        <v>317</v>
      </c>
      <c r="B319" s="2" t="s">
        <v>96</v>
      </c>
      <c r="C319" s="134" t="str">
        <f>HYPERLINK(AB2 &amp; "/bottle/sn_dc0926ce09d6ce78eb8e919b102c6c08/rendering/00.obj", "2.93742736816")</f>
        <v>2.93742736816</v>
      </c>
      <c r="D319" s="5" t="str">
        <f>HYPERLINK(AB2 &amp; "/bottle/sn_dc0926ce09d6ce78eb8e919b102c6c08/rendering/01.obj", "2.29744171143")</f>
        <v>2.29744171143</v>
      </c>
      <c r="E319" s="75" t="str">
        <f>HYPERLINK(AB2 &amp; "/bottle/sn_dc0926ce09d6ce78eb8e919b102c6c08/rendering/02.obj", "3.04108642578")</f>
        <v>3.04108642578</v>
      </c>
      <c r="F319" s="41" t="str">
        <f>HYPERLINK(AB2 &amp; "/bottle/sn_dc0926ce09d6ce78eb8e919b102c6c08/rendering/03.obj", "2.32159561157")</f>
        <v>2.32159561157</v>
      </c>
      <c r="G319" s="32" t="str">
        <f>HYPERLINK(AB2 &amp; "/bottle/sn_dc0926ce09d6ce78eb8e919b102c6c08/rendering/04.obj", "2.22597503662")</f>
        <v>2.22597503662</v>
      </c>
      <c r="H319" s="69" t="str">
        <f>HYPERLINK(AB2 &amp; "/bottle/sn_dc0926ce09d6ce78eb8e919b102c6c08/rendering/05.obj", "2.56556213379")</f>
        <v>2.56556213379</v>
      </c>
      <c r="I319" s="94" t="str">
        <f>HYPERLINK(AB2 &amp; "/bottle/sn_dc0926ce09d6ce78eb8e919b102c6c08/rendering/06.obj", "2.30608428955")</f>
        <v>2.30608428955</v>
      </c>
      <c r="J319" s="41" t="str">
        <f>HYPERLINK(AB2 &amp; "/bottle/sn_dc0926ce09d6ce78eb8e919b102c6c08/rendering/07.obj", "2.65690765381")</f>
        <v>2.65690765381</v>
      </c>
      <c r="K319" s="40" t="str">
        <f>HYPERLINK(AB2 &amp; "/bottle/sn_dc0926ce09d6ce78eb8e919b102c6c08/rendering/08.obj", "2.06288406372")</f>
        <v>2.06288406372</v>
      </c>
      <c r="L319" s="60" t="str">
        <f>HYPERLINK(AB2 &amp; "/bottle/sn_dc0926ce09d6ce78eb8e919b102c6c08/rendering/09.obj", "2.35976135254")</f>
        <v>2.35976135254</v>
      </c>
      <c r="M319" s="137" t="str">
        <f>HYPERLINK(AB2 &amp; "/bottle/sn_dc0926ce09d6ce78eb8e919b102c6c08/rendering/10.obj", "3.40567382812")</f>
        <v>3.40567382812</v>
      </c>
      <c r="N319" s="48" t="str">
        <f>HYPERLINK(AB2 &amp; "/bottle/sn_dc0926ce09d6ce78eb8e919b102c6c08/rendering/11.obj", "2.55354827881")</f>
        <v>2.55354827881</v>
      </c>
      <c r="O319" s="110" t="str">
        <f>HYPERLINK(AB2 &amp; "/bottle/sn_dc0926ce09d6ce78eb8e919b102c6c08/rendering/12.obj", "2.74045898438")</f>
        <v>2.74045898438</v>
      </c>
      <c r="P319" s="91" t="str">
        <f>HYPERLINK(AB2 &amp; "/bottle/sn_dc0926ce09d6ce78eb8e919b102c6c08/rendering/13.obj", "2.42234100342")</f>
        <v>2.42234100342</v>
      </c>
      <c r="Q319" s="48" t="str">
        <f>HYPERLINK(AB2 &amp; "/bottle/sn_dc0926ce09d6ce78eb8e919b102c6c08/rendering/14.obj", "2.550496521")</f>
        <v>2.550496521</v>
      </c>
      <c r="R319" s="23" t="str">
        <f>HYPERLINK(AB2 &amp; "/bottle/sn_dc0926ce09d6ce78eb8e919b102c6c08/rendering/15.obj", "2.39354751587")</f>
        <v>2.39354751587</v>
      </c>
      <c r="S319" s="50" t="str">
        <f>HYPERLINK(AB2 &amp; "/bottle/sn_dc0926ce09d6ce78eb8e919b102c6c08/rendering/16.obj", "1.9928453064")</f>
        <v>1.9928453064</v>
      </c>
      <c r="T319" s="39" t="str">
        <f>HYPERLINK(AB2 &amp; "/bottle/sn_dc0926ce09d6ce78eb8e919b102c6c08/rendering/17.obj", "2.70792419434")</f>
        <v>2.70792419434</v>
      </c>
      <c r="U319" s="24" t="str">
        <f>HYPERLINK(AB2 &amp; "/bottle/sn_dc0926ce09d6ce78eb8e919b102c6c08/rendering/18.obj", "2.07071014404")</f>
        <v>2.07071014404</v>
      </c>
      <c r="V319" s="28" t="str">
        <f>HYPERLINK(AB2 &amp; "/bottle/sn_dc0926ce09d6ce78eb8e919b102c6c08/rendering/19.obj", "2.21776535034")</f>
        <v>2.21776535034</v>
      </c>
      <c r="W319" s="12" t="s">
        <v>31</v>
      </c>
      <c r="X319" s="13">
        <v>2.4915018386840821</v>
      </c>
      <c r="Y319" s="13">
        <v>0.3444640727300351</v>
      </c>
      <c r="Z319" s="93">
        <v>0.13825559643655261</v>
      </c>
    </row>
    <row r="320" spans="1:26" x14ac:dyDescent="0.2">
      <c r="A320" s="1">
        <v>318</v>
      </c>
      <c r="B320" s="2" t="s">
        <v>96</v>
      </c>
      <c r="C320" s="17" t="str">
        <f>HYPERLINK(AB2 &amp; "/bottle/sn_dc0926ce09d6ce78eb8e919b102c6c08/rendering/00.obj", "1.68805515766")</f>
        <v>1.68805515766</v>
      </c>
      <c r="D320" s="107" t="str">
        <f>HYPERLINK(AB2 &amp; "/bottle/sn_dc0926ce09d6ce78eb8e919b102c6c08/rendering/01.obj", "1.51662516594")</f>
        <v>1.51662516594</v>
      </c>
      <c r="E320" s="23" t="str">
        <f>HYPERLINK(AB2 &amp; "/bottle/sn_dc0926ce09d6ce78eb8e919b102c6c08/rendering/02.obj", "1.71640563011")</f>
        <v>1.71640563011</v>
      </c>
      <c r="F320" s="44" t="str">
        <f>HYPERLINK(AB2 &amp; "/bottle/sn_dc0926ce09d6ce78eb8e919b102c6c08/rendering/03.obj", "1.33005094528")</f>
        <v>1.33005094528</v>
      </c>
      <c r="G320" s="34" t="str">
        <f>HYPERLINK(AB2 &amp; "/bottle/sn_dc0926ce09d6ce78eb8e919b102c6c08/rendering/04.obj", "1.57102298737")</f>
        <v>1.57102298737</v>
      </c>
      <c r="H320" s="29" t="str">
        <f>HYPERLINK(AB2 &amp; "/bottle/sn_dc0926ce09d6ce78eb8e919b102c6c08/rendering/05.obj", "1.86814785004")</f>
        <v>1.86814785004</v>
      </c>
      <c r="I320" s="29" t="str">
        <f>HYPERLINK(AB2 &amp; "/bottle/sn_dc0926ce09d6ce78eb8e919b102c6c08/rendering/06.obj", "1.868968606")</f>
        <v>1.868968606</v>
      </c>
      <c r="J320" s="25" t="str">
        <f>HYPERLINK(AB2 &amp; "/bottle/sn_dc0926ce09d6ce78eb8e919b102c6c08/rendering/07.obj", "1.6360168457")</f>
        <v>1.6360168457</v>
      </c>
      <c r="K320" s="27" t="str">
        <f>HYPERLINK(AB2 &amp; "/bottle/sn_dc0926ce09d6ce78eb8e919b102c6c08/rendering/08.obj", "1.53397750854")</f>
        <v>1.53397750854</v>
      </c>
      <c r="L320" s="134" t="str">
        <f>HYPERLINK(AB2 &amp; "/bottle/sn_dc0926ce09d6ce78eb8e919b102c6c08/rendering/09.obj", "1.35573601723")</f>
        <v>1.35573601723</v>
      </c>
      <c r="M320" s="166" t="str">
        <f>HYPERLINK(AB2 &amp; "/bottle/sn_dc0926ce09d6ce78eb8e919b102c6c08/rendering/10.obj", "2.12869858742")</f>
        <v>2.12869858742</v>
      </c>
      <c r="N320" s="64" t="str">
        <f>HYPERLINK(AB2 &amp; "/bottle/sn_dc0926ce09d6ce78eb8e919b102c6c08/rendering/11.obj", "1.924695611")</f>
        <v>1.924695611</v>
      </c>
      <c r="O320" s="47" t="str">
        <f>HYPERLINK(AB2 &amp; "/bottle/sn_dc0926ce09d6ce78eb8e919b102c6c08/rendering/12.obj", "1.66773295403")</f>
        <v>1.66773295403</v>
      </c>
      <c r="P320" s="94" t="str">
        <f>HYPERLINK(AB2 &amp; "/bottle/sn_dc0926ce09d6ce78eb8e919b102c6c08/rendering/13.obj", "1.5298525095")</f>
        <v>1.5298525095</v>
      </c>
      <c r="Q320" s="90" t="str">
        <f>HYPERLINK(AB2 &amp; "/bottle/sn_dc0926ce09d6ce78eb8e919b102c6c08/rendering/14.obj", "1.81027543545")</f>
        <v>1.81027543545</v>
      </c>
      <c r="R320" s="41" t="str">
        <f>HYPERLINK(AB2 &amp; "/bottle/sn_dc0926ce09d6ce78eb8e919b102c6c08/rendering/15.obj", "1.53910696507")</f>
        <v>1.53910696507</v>
      </c>
      <c r="S320" s="41" t="str">
        <f>HYPERLINK(AB2 &amp; "/bottle/sn_dc0926ce09d6ce78eb8e919b102c6c08/rendering/16.obj", "1.54080367088")</f>
        <v>1.54080367088</v>
      </c>
      <c r="T320" s="74" t="str">
        <f>HYPERLINK(AB2 &amp; "/bottle/sn_dc0926ce09d6ce78eb8e919b102c6c08/rendering/17.obj", "1.63078963757")</f>
        <v>1.63078963757</v>
      </c>
      <c r="U320" s="73" t="str">
        <f>HYPERLINK(AB2 &amp; "/bottle/sn_dc0926ce09d6ce78eb8e919b102c6c08/rendering/18.obj", "1.59179723263")</f>
        <v>1.59179723263</v>
      </c>
      <c r="V320" s="91" t="str">
        <f>HYPERLINK(AB2 &amp; "/bottle/sn_dc0926ce09d6ce78eb8e919b102c6c08/rendering/19.obj", "1.60618650913")</f>
        <v>1.60618650913</v>
      </c>
      <c r="W320" s="12" t="s">
        <v>32</v>
      </c>
      <c r="X320" s="13">
        <v>1.6527472913265231</v>
      </c>
      <c r="Y320" s="13">
        <v>0.18746063198436741</v>
      </c>
      <c r="Z320" s="106">
        <v>0.1134236510131614</v>
      </c>
    </row>
    <row r="321" spans="1:26" x14ac:dyDescent="0.2">
      <c r="A321" s="1">
        <v>319</v>
      </c>
      <c r="B321" s="2" t="s">
        <v>96</v>
      </c>
      <c r="C321" s="13" t="str">
        <f>HYPERLINK(AC2 &amp; "/bottle/sn_dc0926ce09d6ce78eb8e919b102c6c08/rendering/00.xyz", "0.0")</f>
        <v>0.0</v>
      </c>
      <c r="D321" s="13" t="str">
        <f>HYPERLINK(AC2 &amp; "/bottle/sn_dc0926ce09d6ce78eb8e919b102c6c08/rendering/01.xyz", "0.0")</f>
        <v>0.0</v>
      </c>
      <c r="E321" s="13" t="str">
        <f>HYPERLINK(AC2 &amp; "/bottle/sn_dc0926ce09d6ce78eb8e919b102c6c08/rendering/02.xyz", "0.0")</f>
        <v>0.0</v>
      </c>
      <c r="F321" s="13" t="str">
        <f>HYPERLINK(AC2 &amp; "/bottle/sn_dc0926ce09d6ce78eb8e919b102c6c08/rendering/03.xyz", "0.0")</f>
        <v>0.0</v>
      </c>
      <c r="G321" s="13" t="str">
        <f>HYPERLINK(AC2 &amp; "/bottle/sn_dc0926ce09d6ce78eb8e919b102c6c08/rendering/04.xyz", "0.0")</f>
        <v>0.0</v>
      </c>
      <c r="H321" s="13" t="str">
        <f>HYPERLINK(AC2 &amp; "/bottle/sn_dc0926ce09d6ce78eb8e919b102c6c08/rendering/05.xyz", "0.0")</f>
        <v>0.0</v>
      </c>
      <c r="I321" s="13" t="str">
        <f>HYPERLINK(AC2 &amp; "/bottle/sn_dc0926ce09d6ce78eb8e919b102c6c08/rendering/06.xyz", "0.0")</f>
        <v>0.0</v>
      </c>
      <c r="J321" s="13" t="str">
        <f>HYPERLINK(AC2 &amp; "/bottle/sn_dc0926ce09d6ce78eb8e919b102c6c08/rendering/07.xyz", "0.0")</f>
        <v>0.0</v>
      </c>
      <c r="K321" s="13" t="str">
        <f>HYPERLINK(AC2 &amp; "/bottle/sn_dc0926ce09d6ce78eb8e919b102c6c08/rendering/08.xyz", "0.0")</f>
        <v>0.0</v>
      </c>
      <c r="L321" s="13" t="str">
        <f>HYPERLINK(AC2 &amp; "/bottle/sn_dc0926ce09d6ce78eb8e919b102c6c08/rendering/09.xyz", "0.0")</f>
        <v>0.0</v>
      </c>
      <c r="M321" s="13" t="str">
        <f>HYPERLINK(AC2 &amp; "/bottle/sn_dc0926ce09d6ce78eb8e919b102c6c08/rendering/10.xyz", "0.0")</f>
        <v>0.0</v>
      </c>
      <c r="N321" s="13" t="str">
        <f>HYPERLINK(AC2 &amp; "/bottle/sn_dc0926ce09d6ce78eb8e919b102c6c08/rendering/11.xyz", "0.0")</f>
        <v>0.0</v>
      </c>
      <c r="O321" s="13" t="str">
        <f>HYPERLINK(AC2 &amp; "/bottle/sn_dc0926ce09d6ce78eb8e919b102c6c08/rendering/12.xyz", "0.0")</f>
        <v>0.0</v>
      </c>
      <c r="P321" s="13" t="str">
        <f>HYPERLINK(AC2 &amp; "/bottle/sn_dc0926ce09d6ce78eb8e919b102c6c08/rendering/13.xyz", "0.0")</f>
        <v>0.0</v>
      </c>
      <c r="Q321" s="13" t="str">
        <f>HYPERLINK(AC2 &amp; "/bottle/sn_dc0926ce09d6ce78eb8e919b102c6c08/rendering/14.xyz", "0.0")</f>
        <v>0.0</v>
      </c>
      <c r="R321" s="13" t="str">
        <f>HYPERLINK(AC2 &amp; "/bottle/sn_dc0926ce09d6ce78eb8e919b102c6c08/rendering/15.xyz", "0.0")</f>
        <v>0.0</v>
      </c>
      <c r="S321" s="13" t="str">
        <f>HYPERLINK(AC2 &amp; "/bottle/sn_dc0926ce09d6ce78eb8e919b102c6c08/rendering/16.xyz", "0.0")</f>
        <v>0.0</v>
      </c>
      <c r="T321" s="13" t="str">
        <f>HYPERLINK(AC2 &amp; "/bottle/sn_dc0926ce09d6ce78eb8e919b102c6c08/rendering/17.xyz", "0.0")</f>
        <v>0.0</v>
      </c>
      <c r="U321" s="13" t="str">
        <f>HYPERLINK(AC2 &amp; "/bottle/sn_dc0926ce09d6ce78eb8e919b102c6c08/rendering/18.xyz", "0.0")</f>
        <v>0.0</v>
      </c>
      <c r="V321" s="13" t="str">
        <f>HYPERLINK(AC2 &amp; "/bottle/sn_dc0926ce09d6ce78eb8e919b102c6c08/rendering/19.xyz", "0.0")</f>
        <v>0.0</v>
      </c>
      <c r="W321" s="12" t="s">
        <v>33</v>
      </c>
      <c r="X321" s="13">
        <v>0</v>
      </c>
      <c r="Y321" s="13">
        <v>0</v>
      </c>
      <c r="Z321" s="13">
        <v>0</v>
      </c>
    </row>
    <row r="322" spans="1:26" x14ac:dyDescent="0.2">
      <c r="A322" s="1">
        <v>320</v>
      </c>
      <c r="B322" s="2" t="s">
        <v>97</v>
      </c>
      <c r="C322" s="91" t="str">
        <f>HYPERLINK(AA2 &amp; "/bottle/sn_dc192dfce3556031fc0310aa34dddc94/rendering/00.obj", "2.28519195557")</f>
        <v>2.28519195557</v>
      </c>
      <c r="D322" s="48" t="str">
        <f>HYPERLINK(AA2 &amp; "/bottle/sn_dc192dfce3556031fc0310aa34dddc94/rendering/01.obj", "2.2934916687")</f>
        <v>2.2934916687</v>
      </c>
      <c r="E322" s="69" t="str">
        <f>HYPERLINK(AA2 &amp; "/bottle/sn_dc192dfce3556031fc0310aa34dddc94/rendering/02.obj", "2.27726531982")</f>
        <v>2.27726531982</v>
      </c>
      <c r="F322" s="91" t="str">
        <f>HYPERLINK(AA2 &amp; "/bottle/sn_dc192dfce3556031fc0310aa34dddc94/rendering/03.obj", "2.2902947998")</f>
        <v>2.2902947998</v>
      </c>
      <c r="G322" s="60" t="str">
        <f>HYPERLINK(AA2 &amp; "/bottle/sn_dc192dfce3556031fc0310aa34dddc94/rendering/04.obj", "2.22930877686")</f>
        <v>2.22930877686</v>
      </c>
      <c r="H322" s="48" t="str">
        <f>HYPERLINK(AA2 &amp; "/bottle/sn_dc192dfce3556031fc0310aa34dddc94/rendering/05.obj", "2.40193908691")</f>
        <v>2.40193908691</v>
      </c>
      <c r="I322" s="13" t="str">
        <f>HYPERLINK(AA2 &amp; "/bottle/sn_dc192dfce3556031fc0310aa34dddc94/rendering/06.obj", "2.3456211853")</f>
        <v>2.3456211853</v>
      </c>
      <c r="J322" s="30" t="str">
        <f>HYPERLINK(AA2 &amp; "/bottle/sn_dc192dfce3556031fc0310aa34dddc94/rendering/07.obj", "2.36309677124")</f>
        <v>2.36309677124</v>
      </c>
      <c r="K322" s="25" t="str">
        <f>HYPERLINK(AA2 &amp; "/bottle/sn_dc192dfce3556031fc0310aa34dddc94/rendering/08.obj", "2.32682907104")</f>
        <v>2.32682907104</v>
      </c>
      <c r="L322" s="72" t="str">
        <f>HYPERLINK(AA2 &amp; "/bottle/sn_dc192dfce3556031fc0310aa34dddc94/rendering/09.obj", "2.42708312988")</f>
        <v>2.42708312988</v>
      </c>
      <c r="M322" s="30" t="str">
        <f>HYPERLINK(AA2 &amp; "/bottle/sn_dc192dfce3556031fc0310aa34dddc94/rendering/10.obj", "2.34184906006")</f>
        <v>2.34184906006</v>
      </c>
      <c r="N322" s="72" t="str">
        <f>HYPERLINK(AA2 &amp; "/bottle/sn_dc192dfce3556031fc0310aa34dddc94/rendering/11.obj", "2.27326034546")</f>
        <v>2.27326034546</v>
      </c>
      <c r="O322" s="73" t="str">
        <f>HYPERLINK(AA2 &amp; "/bottle/sn_dc192dfce3556031fc0310aa34dddc94/rendering/12.obj", "2.43253631592")</f>
        <v>2.43253631592</v>
      </c>
      <c r="P322" s="35" t="str">
        <f>HYPERLINK(AA2 &amp; "/bottle/sn_dc192dfce3556031fc0310aa34dddc94/rendering/13.obj", "2.48700836182")</f>
        <v>2.48700836182</v>
      </c>
      <c r="Q322" s="91" t="str">
        <f>HYPERLINK(AA2 &amp; "/bottle/sn_dc192dfce3556031fc0310aa34dddc94/rendering/14.obj", "2.29051544189")</f>
        <v>2.29051544189</v>
      </c>
      <c r="R322" s="67" t="str">
        <f>HYPERLINK(AA2 &amp; "/bottle/sn_dc192dfce3556031fc0310aa34dddc94/rendering/15.obj", "2.56678710937")</f>
        <v>2.56678710937</v>
      </c>
      <c r="S322" s="48" t="str">
        <f>HYPERLINK(AA2 &amp; "/bottle/sn_dc192dfce3556031fc0310aa34dddc94/rendering/16.obj", "2.40434799194")</f>
        <v>2.40434799194</v>
      </c>
      <c r="T322" s="48" t="str">
        <f>HYPERLINK(AA2 &amp; "/bottle/sn_dc192dfce3556031fc0310aa34dddc94/rendering/17.obj", "2.29525421143")</f>
        <v>2.29525421143</v>
      </c>
      <c r="U322" s="68" t="str">
        <f>HYPERLINK(AA2 &amp; "/bottle/sn_dc192dfce3556031fc0310aa34dddc94/rendering/18.obj", "2.25271774292")</f>
        <v>2.25271774292</v>
      </c>
      <c r="V322" s="91" t="str">
        <f>HYPERLINK(AA2 &amp; "/bottle/sn_dc192dfce3556031fc0310aa34dddc94/rendering/19.obj", "2.40974517822")</f>
        <v>2.40974517822</v>
      </c>
      <c r="W322" s="12" t="s">
        <v>29</v>
      </c>
      <c r="X322" s="13">
        <v>2.3497071762084958</v>
      </c>
      <c r="Y322" s="13">
        <v>8.4035166505141187E-2</v>
      </c>
      <c r="Z322" s="73">
        <v>3.5764101738302953E-2</v>
      </c>
    </row>
    <row r="323" spans="1:26" x14ac:dyDescent="0.2">
      <c r="A323" s="1">
        <v>321</v>
      </c>
      <c r="B323" s="2" t="s">
        <v>97</v>
      </c>
      <c r="C323" s="46" t="str">
        <f>HYPERLINK(AA2 &amp; "/bottle/sn_dc192dfce3556031fc0310aa34dddc94/rendering/00.obj", "1.82375085354")</f>
        <v>1.82375085354</v>
      </c>
      <c r="D323" s="46" t="str">
        <f>HYPERLINK(AA2 &amp; "/bottle/sn_dc192dfce3556031fc0310aa34dddc94/rendering/01.obj", "1.82460343838")</f>
        <v>1.82460343838</v>
      </c>
      <c r="E323" s="5" t="str">
        <f>HYPERLINK(AA2 &amp; "/bottle/sn_dc192dfce3556031fc0310aa34dddc94/rendering/02.obj", "2.00057578087")</f>
        <v>2.00057578087</v>
      </c>
      <c r="F323" s="13" t="str">
        <f>HYPERLINK(AA2 &amp; "/bottle/sn_dc192dfce3556031fc0310aa34dddc94/rendering/03.obj", "1.85762321949")</f>
        <v>1.85762321949</v>
      </c>
      <c r="G323" s="74" t="str">
        <f>HYPERLINK(AA2 &amp; "/bottle/sn_dc192dfce3556031fc0310aa34dddc94/rendering/04.obj", "1.82994866371")</f>
        <v>1.82994866371</v>
      </c>
      <c r="H323" s="46" t="str">
        <f>HYPERLINK(AA2 &amp; "/bottle/sn_dc192dfce3556031fc0310aa34dddc94/rendering/05.obj", "1.82267463207")</f>
        <v>1.82267463207</v>
      </c>
      <c r="I323" s="46" t="str">
        <f>HYPERLINK(AA2 &amp; "/bottle/sn_dc192dfce3556031fc0310aa34dddc94/rendering/06.obj", "1.82460510731")</f>
        <v>1.82460510731</v>
      </c>
      <c r="J323" s="68" t="str">
        <f>HYPERLINK(AA2 &amp; "/bottle/sn_dc192dfce3556031fc0310aa34dddc94/rendering/07.obj", "1.77981710434")</f>
        <v>1.77981710434</v>
      </c>
      <c r="K323" s="48" t="str">
        <f>HYPERLINK(AA2 &amp; "/bottle/sn_dc192dfce3556031fc0310aa34dddc94/rendering/08.obj", "1.89838087559")</f>
        <v>1.89838087559</v>
      </c>
      <c r="L323" s="68" t="str">
        <f>HYPERLINK(AA2 &amp; "/bottle/sn_dc192dfce3556031fc0310aa34dddc94/rendering/09.obj", "1.93261384964")</f>
        <v>1.93261384964</v>
      </c>
      <c r="M323" s="47" t="str">
        <f>HYPERLINK(AA2 &amp; "/bottle/sn_dc192dfce3556031fc0310aa34dddc94/rendering/10.obj", "1.86958301067")</f>
        <v>1.86958301067</v>
      </c>
      <c r="N323" s="74" t="str">
        <f>HYPERLINK(AA2 &amp; "/bottle/sn_dc192dfce3556031fc0310aa34dddc94/rendering/11.obj", "1.83073461056")</f>
        <v>1.83073461056</v>
      </c>
      <c r="O323" s="47" t="str">
        <f>HYPERLINK(AA2 &amp; "/bottle/sn_dc192dfce3556031fc0310aa34dddc94/rendering/12.obj", "1.8431853056")</f>
        <v>1.8431853056</v>
      </c>
      <c r="P323" s="72" t="str">
        <f>HYPERLINK(AA2 &amp; "/bottle/sn_dc192dfce3556031fc0310aa34dddc94/rendering/13.obj", "1.91805636883")</f>
        <v>1.91805636883</v>
      </c>
      <c r="Q323" s="91" t="str">
        <f>HYPERLINK(AA2 &amp; "/bottle/sn_dc192dfce3556031fc0310aa34dddc94/rendering/14.obj", "1.80745983124")</f>
        <v>1.80745983124</v>
      </c>
      <c r="R323" s="13" t="str">
        <f>HYPERLINK(AA2 &amp; "/bottle/sn_dc192dfce3556031fc0310aa34dddc94/rendering/15.obj", "1.85670804977")</f>
        <v>1.85670804977</v>
      </c>
      <c r="S323" s="91" t="str">
        <f>HYPERLINK(AA2 &amp; "/bottle/sn_dc192dfce3556031fc0310aa34dddc94/rendering/16.obj", "1.90682029724")</f>
        <v>1.90682029724</v>
      </c>
      <c r="T323" s="91" t="str">
        <f>HYPERLINK(AA2 &amp; "/bottle/sn_dc192dfce3556031fc0310aa34dddc94/rendering/17.obj", "1.80899059772")</f>
        <v>1.80899059772</v>
      </c>
      <c r="U323" s="30" t="str">
        <f>HYPERLINK(AA2 &amp; "/bottle/sn_dc192dfce3556031fc0310aa34dddc94/rendering/18.obj", "1.86498832703")</f>
        <v>1.86498832703</v>
      </c>
      <c r="V323" s="17" t="str">
        <f>HYPERLINK(AA2 &amp; "/bottle/sn_dc192dfce3556031fc0310aa34dddc94/rendering/19.obj", "1.81596386433")</f>
        <v>1.81596386433</v>
      </c>
      <c r="W323" s="12" t="s">
        <v>30</v>
      </c>
      <c r="X323" s="13">
        <v>1.8558541893959051</v>
      </c>
      <c r="Y323" s="13">
        <v>5.1403126700641018E-2</v>
      </c>
      <c r="Z323" s="91">
        <v>2.7697826151618699E-2</v>
      </c>
    </row>
    <row r="324" spans="1:26" x14ac:dyDescent="0.2">
      <c r="A324" s="1">
        <v>322</v>
      </c>
      <c r="B324" s="2" t="s">
        <v>97</v>
      </c>
      <c r="C324" s="78" t="str">
        <f>HYPERLINK(AB2 &amp; "/bottle/sn_dc192dfce3556031fc0310aa34dddc94/rendering/00.obj", "3.46789306641")</f>
        <v>3.46789306641</v>
      </c>
      <c r="D324" s="78" t="str">
        <f>HYPERLINK(AB2 &amp; "/bottle/sn_dc192dfce3556031fc0310aa34dddc94/rendering/01.obj", "3.46855926514")</f>
        <v>3.46855926514</v>
      </c>
      <c r="E324" s="25" t="str">
        <f>HYPERLINK(AB2 &amp; "/bottle/sn_dc192dfce3556031fc0310aa34dddc94/rendering/02.obj", "3.65181518555")</f>
        <v>3.65181518555</v>
      </c>
      <c r="F324" s="74" t="str">
        <f>HYPERLINK(AB2 &amp; "/bottle/sn_dc192dfce3556031fc0310aa34dddc94/rendering/03.obj", "3.64227294922")</f>
        <v>3.64227294922</v>
      </c>
      <c r="G324" s="17" t="str">
        <f>HYPERLINK(AB2 &amp; "/bottle/sn_dc192dfce3556031fc0310aa34dddc94/rendering/04.obj", "3.61547119141")</f>
        <v>3.61547119141</v>
      </c>
      <c r="H324" s="60" t="str">
        <f>HYPERLINK(AB2 &amp; "/bottle/sn_dc192dfce3556031fc0310aa34dddc94/rendering/05.obj", "3.88937744141")</f>
        <v>3.88937744141</v>
      </c>
      <c r="I324" s="91" t="str">
        <f>HYPERLINK(AB2 &amp; "/bottle/sn_dc192dfce3556031fc0310aa34dddc94/rendering/06.obj", "3.60051635742")</f>
        <v>3.60051635742</v>
      </c>
      <c r="J324" s="34" t="str">
        <f>HYPERLINK(AB2 &amp; "/bottle/sn_dc192dfce3556031fc0310aa34dddc94/rendering/07.obj", "3.87202453613")</f>
        <v>3.87202453613</v>
      </c>
      <c r="K324" s="91" t="str">
        <f>HYPERLINK(AB2 &amp; "/bottle/sn_dc192dfce3556031fc0310aa34dddc94/rendering/08.obj", "3.59802124023")</f>
        <v>3.59802124023</v>
      </c>
      <c r="L324" s="27" t="str">
        <f>HYPERLINK(AB2 &amp; "/bottle/sn_dc192dfce3556031fc0310aa34dddc94/rendering/09.obj", "3.95661682129")</f>
        <v>3.95661682129</v>
      </c>
      <c r="M324" s="34" t="str">
        <f>HYPERLINK(AB2 &amp; "/bottle/sn_dc192dfce3556031fc0310aa34dddc94/rendering/10.obj", "3.87271972656")</f>
        <v>3.87271972656</v>
      </c>
      <c r="N324" s="94" t="str">
        <f>HYPERLINK(AB2 &amp; "/bottle/sn_dc192dfce3556031fc0310aa34dddc94/rendering/11.obj", "3.42129394531")</f>
        <v>3.42129394531</v>
      </c>
      <c r="O324" s="35" t="str">
        <f>HYPERLINK(AB2 &amp; "/bottle/sn_dc192dfce3556031fc0310aa34dddc94/rendering/12.obj", "3.91466827393")</f>
        <v>3.91466827393</v>
      </c>
      <c r="P324" s="6" t="str">
        <f>HYPERLINK(AB2 &amp; "/bottle/sn_dc192dfce3556031fc0310aa34dddc94/rendering/13.obj", "3.5322467041")</f>
        <v>3.5322467041</v>
      </c>
      <c r="Q324" s="26" t="str">
        <f>HYPERLINK(AB2 &amp; "/bottle/sn_dc192dfce3556031fc0310aa34dddc94/rendering/14.obj", "3.93214538574")</f>
        <v>3.93214538574</v>
      </c>
      <c r="R324" s="26" t="str">
        <f>HYPERLINK(AB2 &amp; "/bottle/sn_dc192dfce3556031fc0310aa34dddc94/rendering/15.obj", "3.45946166992")</f>
        <v>3.45946166992</v>
      </c>
      <c r="S324" s="72" t="str">
        <f>HYPERLINK(AB2 &amp; "/bottle/sn_dc192dfce3556031fc0310aa34dddc94/rendering/16.obj", "3.81450500488")</f>
        <v>3.81450500488</v>
      </c>
      <c r="T324" s="74" t="str">
        <f>HYPERLINK(AB2 &amp; "/bottle/sn_dc192dfce3556031fc0310aa34dddc94/rendering/17.obj", "3.74518676758")</f>
        <v>3.74518676758</v>
      </c>
      <c r="U324" s="25" t="str">
        <f>HYPERLINK(AB2 &amp; "/bottle/sn_dc192dfce3556031fc0310aa34dddc94/rendering/18.obj", "3.73470947266")</f>
        <v>3.73470947266</v>
      </c>
      <c r="V324" s="25" t="str">
        <f>HYPERLINK(AB2 &amp; "/bottle/sn_dc192dfce3556031fc0310aa34dddc94/rendering/19.obj", "3.73322662354")</f>
        <v>3.73322662354</v>
      </c>
      <c r="W324" s="12" t="s">
        <v>31</v>
      </c>
      <c r="X324" s="13">
        <v>3.6961365814208982</v>
      </c>
      <c r="Y324" s="13">
        <v>0.17065891595186539</v>
      </c>
      <c r="Z324" s="6">
        <v>4.6172242879146883E-2</v>
      </c>
    </row>
    <row r="325" spans="1:26" x14ac:dyDescent="0.2">
      <c r="A325" s="1">
        <v>323</v>
      </c>
      <c r="B325" s="2" t="s">
        <v>97</v>
      </c>
      <c r="C325" s="10" t="str">
        <f>HYPERLINK(AB2 &amp; "/bottle/sn_dc192dfce3556031fc0310aa34dddc94/rendering/00.obj", "1.94679319859")</f>
        <v>1.94679319859</v>
      </c>
      <c r="D325" s="13" t="str">
        <f>HYPERLINK(AB2 &amp; "/bottle/sn_dc192dfce3556031fc0310aa34dddc94/rendering/01.obj", "2.0584821701")</f>
        <v>2.0584821701</v>
      </c>
      <c r="E325" s="91" t="str">
        <f>HYPERLINK(AB2 &amp; "/bottle/sn_dc192dfce3556031fc0310aa34dddc94/rendering/02.obj", "2.00494980812")</f>
        <v>2.00494980812</v>
      </c>
      <c r="F325" s="30" t="str">
        <f>HYPERLINK(AB2 &amp; "/bottle/sn_dc192dfce3556031fc0310aa34dddc94/rendering/03.obj", "2.05189418793")</f>
        <v>2.05189418793</v>
      </c>
      <c r="G325" s="72" t="str">
        <f>HYPERLINK(AB2 &amp; "/bottle/sn_dc192dfce3556031fc0310aa34dddc94/rendering/04.obj", "1.99210643768")</f>
        <v>1.99210643768</v>
      </c>
      <c r="H325" s="74" t="str">
        <f>HYPERLINK(AB2 &amp; "/bottle/sn_dc192dfce3556031fc0310aa34dddc94/rendering/05.obj", "2.03311252594")</f>
        <v>2.03311252594</v>
      </c>
      <c r="I325" s="110" t="str">
        <f>HYPERLINK(AB2 &amp; "/bottle/sn_dc192dfce3556031fc0310aa34dddc94/rendering/06.obj", "2.26603198051")</f>
        <v>2.26603198051</v>
      </c>
      <c r="J325" s="73" t="str">
        <f>HYPERLINK(AB2 &amp; "/bottle/sn_dc192dfce3556031fc0310aa34dddc94/rendering/07.obj", "1.986805439")</f>
        <v>1.986805439</v>
      </c>
      <c r="K325" s="72" t="str">
        <f>HYPERLINK(AB2 &amp; "/bottle/sn_dc192dfce3556031fc0310aa34dddc94/rendering/08.obj", "1.99692857265")</f>
        <v>1.99692857265</v>
      </c>
      <c r="L325" s="35" t="str">
        <f>HYPERLINK(AB2 &amp; "/bottle/sn_dc192dfce3556031fc0310aa34dddc94/rendering/09.obj", "2.18263745308")</f>
        <v>2.18263745308</v>
      </c>
      <c r="M325" s="30" t="str">
        <f>HYPERLINK(AB2 &amp; "/bottle/sn_dc192dfce3556031fc0310aa34dddc94/rendering/10.obj", "2.0747961998")</f>
        <v>2.0747961998</v>
      </c>
      <c r="N325" s="26" t="str">
        <f>HYPERLINK(AB2 &amp; "/bottle/sn_dc192dfce3556031fc0310aa34dddc94/rendering/11.obj", "1.92866301537")</f>
        <v>1.92866301537</v>
      </c>
      <c r="O325" s="46" t="str">
        <f>HYPERLINK(AB2 &amp; "/bottle/sn_dc192dfce3556031fc0310aa34dddc94/rendering/12.obj", "2.02554321289")</f>
        <v>2.02554321289</v>
      </c>
      <c r="P325" s="90" t="str">
        <f>HYPERLINK(AB2 &amp; "/bottle/sn_dc192dfce3556031fc0310aa34dddc94/rendering/13.obj", "2.26216220856")</f>
        <v>2.26216220856</v>
      </c>
      <c r="Q325" s="13" t="str">
        <f>HYPERLINK(AB2 &amp; "/bottle/sn_dc192dfce3556031fc0310aa34dddc94/rendering/14.obj", "2.06063294411")</f>
        <v>2.06063294411</v>
      </c>
      <c r="R325" s="32" t="str">
        <f>HYPERLINK(AB2 &amp; "/bottle/sn_dc192dfce3556031fc0310aa34dddc94/rendering/15.obj", "2.27749919891")</f>
        <v>2.27749919891</v>
      </c>
      <c r="S325" s="74" t="str">
        <f>HYPERLINK(AB2 &amp; "/bottle/sn_dc192dfce3556031fc0310aa34dddc94/rendering/16.obj", "2.09077143669")</f>
        <v>2.09077143669</v>
      </c>
      <c r="T325" s="91" t="str">
        <f>HYPERLINK(AB2 &amp; "/bottle/sn_dc192dfce3556031fc0310aa34dddc94/rendering/17.obj", "2.00508284569")</f>
        <v>2.00508284569</v>
      </c>
      <c r="U325" s="13" t="str">
        <f>HYPERLINK(AB2 &amp; "/bottle/sn_dc192dfce3556031fc0310aa34dddc94/rendering/18.obj", "2.06367135048")</f>
        <v>2.06367135048</v>
      </c>
      <c r="V325" s="10" t="str">
        <f>HYPERLINK(AB2 &amp; "/bottle/sn_dc192dfce3556031fc0310aa34dddc94/rendering/19.obj", "1.94626879692")</f>
        <v>1.94626879692</v>
      </c>
      <c r="W325" s="12" t="s">
        <v>32</v>
      </c>
      <c r="X325" s="13">
        <v>2.062741649150849</v>
      </c>
      <c r="Y325" s="13">
        <v>0.1028745653332744</v>
      </c>
      <c r="Z325" s="34">
        <v>4.9872733880960751E-2</v>
      </c>
    </row>
    <row r="326" spans="1:26" x14ac:dyDescent="0.2">
      <c r="A326" s="1">
        <v>324</v>
      </c>
      <c r="B326" s="2" t="s">
        <v>97</v>
      </c>
      <c r="C326" s="13" t="str">
        <f>HYPERLINK(AC2 &amp; "/bottle/sn_dc192dfce3556031fc0310aa34dddc94/rendering/00.xyz", "0.0")</f>
        <v>0.0</v>
      </c>
      <c r="D326" s="13" t="str">
        <f>HYPERLINK(AC2 &amp; "/bottle/sn_dc192dfce3556031fc0310aa34dddc94/rendering/01.xyz", "0.0")</f>
        <v>0.0</v>
      </c>
      <c r="E326" s="13" t="str">
        <f>HYPERLINK(AC2 &amp; "/bottle/sn_dc192dfce3556031fc0310aa34dddc94/rendering/02.xyz", "0.0")</f>
        <v>0.0</v>
      </c>
      <c r="F326" s="13" t="str">
        <f>HYPERLINK(AC2 &amp; "/bottle/sn_dc192dfce3556031fc0310aa34dddc94/rendering/03.xyz", "0.0")</f>
        <v>0.0</v>
      </c>
      <c r="G326" s="13" t="str">
        <f>HYPERLINK(AC2 &amp; "/bottle/sn_dc192dfce3556031fc0310aa34dddc94/rendering/04.xyz", "0.0")</f>
        <v>0.0</v>
      </c>
      <c r="H326" s="13" t="str">
        <f>HYPERLINK(AC2 &amp; "/bottle/sn_dc192dfce3556031fc0310aa34dddc94/rendering/05.xyz", "0.0")</f>
        <v>0.0</v>
      </c>
      <c r="I326" s="13" t="str">
        <f>HYPERLINK(AC2 &amp; "/bottle/sn_dc192dfce3556031fc0310aa34dddc94/rendering/06.xyz", "0.0")</f>
        <v>0.0</v>
      </c>
      <c r="J326" s="13" t="str">
        <f>HYPERLINK(AC2 &amp; "/bottle/sn_dc192dfce3556031fc0310aa34dddc94/rendering/07.xyz", "0.0")</f>
        <v>0.0</v>
      </c>
      <c r="K326" s="13" t="str">
        <f>HYPERLINK(AC2 &amp; "/bottle/sn_dc192dfce3556031fc0310aa34dddc94/rendering/08.xyz", "0.0")</f>
        <v>0.0</v>
      </c>
      <c r="L326" s="13" t="str">
        <f>HYPERLINK(AC2 &amp; "/bottle/sn_dc192dfce3556031fc0310aa34dddc94/rendering/09.xyz", "0.0")</f>
        <v>0.0</v>
      </c>
      <c r="M326" s="13" t="str">
        <f>HYPERLINK(AC2 &amp; "/bottle/sn_dc192dfce3556031fc0310aa34dddc94/rendering/10.xyz", "0.0")</f>
        <v>0.0</v>
      </c>
      <c r="N326" s="13" t="str">
        <f>HYPERLINK(AC2 &amp; "/bottle/sn_dc192dfce3556031fc0310aa34dddc94/rendering/11.xyz", "0.0")</f>
        <v>0.0</v>
      </c>
      <c r="O326" s="13" t="str">
        <f>HYPERLINK(AC2 &amp; "/bottle/sn_dc192dfce3556031fc0310aa34dddc94/rendering/12.xyz", "0.0")</f>
        <v>0.0</v>
      </c>
      <c r="P326" s="13" t="str">
        <f>HYPERLINK(AC2 &amp; "/bottle/sn_dc192dfce3556031fc0310aa34dddc94/rendering/13.xyz", "0.0")</f>
        <v>0.0</v>
      </c>
      <c r="Q326" s="13" t="str">
        <f>HYPERLINK(AC2 &amp; "/bottle/sn_dc192dfce3556031fc0310aa34dddc94/rendering/14.xyz", "0.0")</f>
        <v>0.0</v>
      </c>
      <c r="R326" s="13" t="str">
        <f>HYPERLINK(AC2 &amp; "/bottle/sn_dc192dfce3556031fc0310aa34dddc94/rendering/15.xyz", "0.0")</f>
        <v>0.0</v>
      </c>
      <c r="S326" s="13" t="str">
        <f>HYPERLINK(AC2 &amp; "/bottle/sn_dc192dfce3556031fc0310aa34dddc94/rendering/16.xyz", "0.0")</f>
        <v>0.0</v>
      </c>
      <c r="T326" s="13" t="str">
        <f>HYPERLINK(AC2 &amp; "/bottle/sn_dc192dfce3556031fc0310aa34dddc94/rendering/17.xyz", "0.0")</f>
        <v>0.0</v>
      </c>
      <c r="U326" s="13" t="str">
        <f>HYPERLINK(AC2 &amp; "/bottle/sn_dc192dfce3556031fc0310aa34dddc94/rendering/18.xyz", "0.0")</f>
        <v>0.0</v>
      </c>
      <c r="V326" s="13" t="str">
        <f>HYPERLINK(AC2 &amp; "/bottle/sn_dc192dfce3556031fc0310aa34dddc94/rendering/19.xyz", "0.0")</f>
        <v>0.0</v>
      </c>
      <c r="W326" s="12" t="s">
        <v>33</v>
      </c>
      <c r="X326" s="13">
        <v>0</v>
      </c>
      <c r="Y326" s="13">
        <v>0</v>
      </c>
      <c r="Z326" s="13">
        <v>0</v>
      </c>
    </row>
    <row r="327" spans="1:26" x14ac:dyDescent="0.2">
      <c r="A327" s="1">
        <v>325</v>
      </c>
      <c r="B327" s="2" t="s">
        <v>98</v>
      </c>
      <c r="C327" s="28" t="str">
        <f>HYPERLINK(AA2 &amp; "/bottle/sn_dc687759ea93d1b72cd6cd3dc3fb5dc2/rendering/00.obj", "3.15301147461")</f>
        <v>3.15301147461</v>
      </c>
      <c r="D327" s="50" t="str">
        <f>HYPERLINK(AA2 &amp; "/bottle/sn_dc687759ea93d1b72cd6cd3dc3fb5dc2/rendering/01.obj", "2.27466156006")</f>
        <v>2.27466156006</v>
      </c>
      <c r="E327" s="10" t="str">
        <f>HYPERLINK(AA2 &amp; "/bottle/sn_dc687759ea93d1b72cd6cd3dc3fb5dc2/rendering/02.obj", "2.99277679443")</f>
        <v>2.99277679443</v>
      </c>
      <c r="F327" s="7" t="str">
        <f>HYPERLINK(AA2 &amp; "/bottle/sn_dc687759ea93d1b72cd6cd3dc3fb5dc2/rendering/03.obj", "2.05080841064")</f>
        <v>2.05080841064</v>
      </c>
      <c r="G327" s="129" t="str">
        <f>HYPERLINK(AA2 &amp; "/bottle/sn_dc687759ea93d1b72cd6cd3dc3fb5dc2/rendering/04.obj", "2.13053344727")</f>
        <v>2.13053344727</v>
      </c>
      <c r="H327" s="151" t="str">
        <f>HYPERLINK(AA2 &amp; "/bottle/sn_dc687759ea93d1b72cd6cd3dc3fb5dc2/rendering/05.obj", "3.85678375244")</f>
        <v>3.85678375244</v>
      </c>
      <c r="I327" s="118" t="str">
        <f>HYPERLINK(AA2 &amp; "/bottle/sn_dc687759ea93d1b72cd6cd3dc3fb5dc2/rendering/06.obj", "2.00378234863")</f>
        <v>2.00378234863</v>
      </c>
      <c r="J327" s="98" t="str">
        <f>HYPERLINK(AA2 &amp; "/bottle/sn_dc687759ea93d1b72cd6cd3dc3fb5dc2/rendering/07.obj", "3.49188354492")</f>
        <v>3.49188354492</v>
      </c>
      <c r="K327" s="164" t="str">
        <f>HYPERLINK(AA2 &amp; "/bottle/sn_dc687759ea93d1b72cd6cd3dc3fb5dc2/rendering/08.obj", "4.64033843994")</f>
        <v>4.64033843994</v>
      </c>
      <c r="L327" s="109" t="str">
        <f>HYPERLINK(AA2 &amp; "/bottle/sn_dc687759ea93d1b72cd6cd3dc3fb5dc2/rendering/09.obj", "2.29948226929")</f>
        <v>2.29948226929</v>
      </c>
      <c r="M327" s="89" t="str">
        <f>HYPERLINK(AA2 &amp; "/bottle/sn_dc687759ea93d1b72cd6cd3dc3fb5dc2/rendering/10.obj", "2.10261566162")</f>
        <v>2.10261566162</v>
      </c>
      <c r="N327" s="71" t="str">
        <f>HYPERLINK(AA2 &amp; "/bottle/sn_dc687759ea93d1b72cd6cd3dc3fb5dc2/rendering/11.obj", "3.17263519287")</f>
        <v>3.17263519287</v>
      </c>
      <c r="O327" s="42" t="str">
        <f>HYPERLINK(AA2 &amp; "/bottle/sn_dc687759ea93d1b72cd6cd3dc3fb5dc2/rendering/12.obj", "3.22069335938")</f>
        <v>3.22069335938</v>
      </c>
      <c r="P327" s="72" t="str">
        <f>HYPERLINK(AA2 &amp; "/bottle/sn_dc687759ea93d1b72cd6cd3dc3fb5dc2/rendering/13.obj", "2.7418182373")</f>
        <v>2.7418182373</v>
      </c>
      <c r="Q327" s="106" t="str">
        <f>HYPERLINK(AA2 &amp; "/bottle/sn_dc687759ea93d1b72cd6cd3dc3fb5dc2/rendering/14.obj", "2.51148101807")</f>
        <v>2.51148101807</v>
      </c>
      <c r="R327" s="118" t="str">
        <f>HYPERLINK(AA2 &amp; "/bottle/sn_dc687759ea93d1b72cd6cd3dc3fb5dc2/rendering/15.obj", "3.66551879883")</f>
        <v>3.66551879883</v>
      </c>
      <c r="S327" s="19" t="str">
        <f>HYPERLINK(AA2 &amp; "/bottle/sn_dc687759ea93d1b72cd6cd3dc3fb5dc2/rendering/16.obj", "2.0896963501")</f>
        <v>2.0896963501</v>
      </c>
      <c r="T327" s="94" t="str">
        <f>HYPERLINK(AA2 &amp; "/bottle/sn_dc687759ea93d1b72cd6cd3dc3fb5dc2/rendering/17.obj", "2.63013092041")</f>
        <v>2.63013092041</v>
      </c>
      <c r="U327" s="90" t="str">
        <f>HYPERLINK(AA2 &amp; "/bottle/sn_dc687759ea93d1b72cd6cd3dc3fb5dc2/rendering/18.obj", "2.56815429687")</f>
        <v>2.56815429687</v>
      </c>
      <c r="V327" s="133" t="str">
        <f>HYPERLINK(AA2 &amp; "/bottle/sn_dc687759ea93d1b72cd6cd3dc3fb5dc2/rendering/19.obj", "3.12335693359")</f>
        <v>3.12335693359</v>
      </c>
      <c r="W327" s="12" t="s">
        <v>29</v>
      </c>
      <c r="X327" s="13">
        <v>2.836008140563965</v>
      </c>
      <c r="Y327" s="13">
        <v>0.69346081148842442</v>
      </c>
      <c r="Z327" s="58">
        <v>0.244520035598531</v>
      </c>
    </row>
    <row r="328" spans="1:26" x14ac:dyDescent="0.2">
      <c r="A328" s="1">
        <v>326</v>
      </c>
      <c r="B328" s="2" t="s">
        <v>98</v>
      </c>
      <c r="C328" s="42" t="str">
        <f>HYPERLINK(AA2 &amp; "/bottle/sn_dc687759ea93d1b72cd6cd3dc3fb5dc2/rendering/00.obj", "2.99897360802")</f>
        <v>2.99897360802</v>
      </c>
      <c r="D328" s="99" t="str">
        <f>HYPERLINK(AA2 &amp; "/bottle/sn_dc687759ea93d1b72cd6cd3dc3fb5dc2/rendering/01.obj", "1.92214846611")</f>
        <v>1.92214846611</v>
      </c>
      <c r="E328" s="91" t="str">
        <f>HYPERLINK(AA2 &amp; "/bottle/sn_dc687759ea93d1b72cd6cd3dc3fb5dc2/rendering/02.obj", "2.56882405281")</f>
        <v>2.56882405281</v>
      </c>
      <c r="F328" s="31" t="str">
        <f>HYPERLINK(AA2 &amp; "/bottle/sn_dc687759ea93d1b72cd6cd3dc3fb5dc2/rendering/03.obj", "2.22767138481")</f>
        <v>2.22767138481</v>
      </c>
      <c r="G328" s="185" t="str">
        <f>HYPERLINK(AA2 &amp; "/bottle/sn_dc687759ea93d1b72cd6cd3dc3fb5dc2/rendering/04.obj", "1.74223935604")</f>
        <v>1.74223935604</v>
      </c>
      <c r="H328" s="101" t="str">
        <f>HYPERLINK(AA2 &amp; "/bottle/sn_dc687759ea93d1b72cd6cd3dc3fb5dc2/rendering/05.obj", "3.63819599152")</f>
        <v>3.63819599152</v>
      </c>
      <c r="I328" s="113" t="str">
        <f>HYPERLINK(AA2 &amp; "/bottle/sn_dc687759ea93d1b72cd6cd3dc3fb5dc2/rendering/06.obj", "1.91088569164")</f>
        <v>1.91088569164</v>
      </c>
      <c r="J328" s="193" t="str">
        <f>HYPERLINK(AA2 &amp; "/bottle/sn_dc687759ea93d1b72cd6cd3dc3fb5dc2/rendering/07.obj", "3.50921297073")</f>
        <v>3.50921297073</v>
      </c>
      <c r="K328" s="62" t="str">
        <f>HYPERLINK(AA2 &amp; "/bottle/sn_dc687759ea93d1b72cd6cd3dc3fb5dc2/rendering/08.obj", "4.21723031998")</f>
        <v>4.21723031998</v>
      </c>
      <c r="L328" s="169" t="str">
        <f>HYPERLINK(AA2 &amp; "/bottle/sn_dc687759ea93d1b72cd6cd3dc3fb5dc2/rendering/09.obj", "1.81175732613")</f>
        <v>1.81175732613</v>
      </c>
      <c r="M328" s="182" t="str">
        <f>HYPERLINK(AA2 &amp; "/bottle/sn_dc687759ea93d1b72cd6cd3dc3fb5dc2/rendering/10.obj", "1.75475084782")</f>
        <v>1.75475084782</v>
      </c>
      <c r="N328" s="8" t="str">
        <f>HYPERLINK(AA2 &amp; "/bottle/sn_dc687759ea93d1b72cd6cd3dc3fb5dc2/rendering/11.obj", "2.26523351669")</f>
        <v>2.26523351669</v>
      </c>
      <c r="O328" s="93" t="str">
        <f>HYPERLINK(AA2 &amp; "/bottle/sn_dc687759ea93d1b72cd6cd3dc3fb5dc2/rendering/12.obj", "3.00547146797")</f>
        <v>3.00547146797</v>
      </c>
      <c r="P328" s="73" t="str">
        <f>HYPERLINK(AA2 &amp; "/bottle/sn_dc687759ea93d1b72cd6cd3dc3fb5dc2/rendering/13.obj", "2.73337316513")</f>
        <v>2.73337316513</v>
      </c>
      <c r="Q328" s="47" t="str">
        <f>HYPERLINK(AA2 &amp; "/bottle/sn_dc687759ea93d1b72cd6cd3dc3fb5dc2/rendering/14.obj", "2.61707997322")</f>
        <v>2.61707997322</v>
      </c>
      <c r="R328" s="22" t="str">
        <f>HYPERLINK(AA2 &amp; "/bottle/sn_dc687759ea93d1b72cd6cd3dc3fb5dc2/rendering/15.obj", "4.01993656158")</f>
        <v>4.01993656158</v>
      </c>
      <c r="S328" s="37" t="str">
        <f>HYPERLINK(AA2 &amp; "/bottle/sn_dc687759ea93d1b72cd6cd3dc3fb5dc2/rendering/16.obj", "2.17897343636")</f>
        <v>2.17897343636</v>
      </c>
      <c r="T328" s="40" t="str">
        <f>HYPERLINK(AA2 &amp; "/bottle/sn_dc687759ea93d1b72cd6cd3dc3fb5dc2/rendering/17.obj", "2.18546152115")</f>
        <v>2.18546152115</v>
      </c>
      <c r="U328" s="94" t="str">
        <f>HYPERLINK(AA2 &amp; "/bottle/sn_dc687759ea93d1b72cd6cd3dc3fb5dc2/rendering/18.obj", "2.44629955292")</f>
        <v>2.44629955292</v>
      </c>
      <c r="V328" s="84" t="str">
        <f>HYPERLINK(AA2 &amp; "/bottle/sn_dc687759ea93d1b72cd6cd3dc3fb5dc2/rendering/19.obj", "3.02652478218")</f>
        <v>3.02652478218</v>
      </c>
      <c r="W328" s="12" t="s">
        <v>30</v>
      </c>
      <c r="X328" s="13">
        <v>2.6390121996402738</v>
      </c>
      <c r="Y328" s="13">
        <v>0.7300551383423628</v>
      </c>
      <c r="Z328" s="7">
        <v>0.27663954658560402</v>
      </c>
    </row>
    <row r="329" spans="1:26" x14ac:dyDescent="0.2">
      <c r="A329" s="1">
        <v>327</v>
      </c>
      <c r="B329" s="2" t="s">
        <v>98</v>
      </c>
      <c r="C329" s="69" t="str">
        <f>HYPERLINK(AB2 &amp; "/bottle/sn_dc687759ea93d1b72cd6cd3dc3fb5dc2/rendering/00.obj", "2.34642990112")</f>
        <v>2.34642990112</v>
      </c>
      <c r="D329" s="25" t="str">
        <f>HYPERLINK(AB2 &amp; "/bottle/sn_dc687759ea93d1b72cd6cd3dc3fb5dc2/rendering/01.obj", "2.25399414063")</f>
        <v>2.25399414063</v>
      </c>
      <c r="E329" s="42" t="str">
        <f>HYPERLINK(AB2 &amp; "/bottle/sn_dc687759ea93d1b72cd6cd3dc3fb5dc2/rendering/02.obj", "1.97294372559")</f>
        <v>1.97294372559</v>
      </c>
      <c r="F329" s="33" t="str">
        <f>HYPERLINK(AB2 &amp; "/bottle/sn_dc687759ea93d1b72cd6cd3dc3fb5dc2/rendering/03.obj", "2.03482269287")</f>
        <v>2.03482269287</v>
      </c>
      <c r="G329" s="83" t="str">
        <f>HYPERLINK(AB2 &amp; "/bottle/sn_dc687759ea93d1b72cd6cd3dc3fb5dc2/rendering/04.obj", "1.93213623047")</f>
        <v>1.93213623047</v>
      </c>
      <c r="H329" s="34" t="str">
        <f>HYPERLINK(AB2 &amp; "/bottle/sn_dc687759ea93d1b72cd6cd3dc3fb5dc2/rendering/05.obj", "2.17270278931")</f>
        <v>2.17270278931</v>
      </c>
      <c r="I329" s="60" t="str">
        <f>HYPERLINK(AB2 &amp; "/bottle/sn_dc687759ea93d1b72cd6cd3dc3fb5dc2/rendering/06.obj", "2.16076141357")</f>
        <v>2.16076141357</v>
      </c>
      <c r="J329" s="67" t="str">
        <f>HYPERLINK(AB2 &amp; "/bottle/sn_dc687759ea93d1b72cd6cd3dc3fb5dc2/rendering/07.obj", "2.07030685425")</f>
        <v>2.07030685425</v>
      </c>
      <c r="K329" s="73" t="str">
        <f>HYPERLINK(AB2 &amp; "/bottle/sn_dc687759ea93d1b72cd6cd3dc3fb5dc2/rendering/08.obj", "2.36323059082")</f>
        <v>2.36323059082</v>
      </c>
      <c r="L329" s="136" t="str">
        <f>HYPERLINK(AB2 &amp; "/bottle/sn_dc687759ea93d1b72cd6cd3dc3fb5dc2/rendering/09.obj", "2.81946655273")</f>
        <v>2.81946655273</v>
      </c>
      <c r="M329" s="34" t="str">
        <f>HYPERLINK(AB2 &amp; "/bottle/sn_dc687759ea93d1b72cd6cd3dc3fb5dc2/rendering/10.obj", "2.17034759521")</f>
        <v>2.17034759521</v>
      </c>
      <c r="N329" s="31" t="str">
        <f>HYPERLINK(AB2 &amp; "/bottle/sn_dc687759ea93d1b72cd6cd3dc3fb5dc2/rendering/11.obj", "2.63824707031")</f>
        <v>2.63824707031</v>
      </c>
      <c r="O329" s="74" t="str">
        <f>HYPERLINK(AB2 &amp; "/bottle/sn_dc687759ea93d1b72cd6cd3dc3fb5dc2/rendering/12.obj", "2.2517098999")</f>
        <v>2.2517098999</v>
      </c>
      <c r="P329" s="110" t="str">
        <f>HYPERLINK(AB2 &amp; "/bottle/sn_dc687759ea93d1b72cd6cd3dc3fb5dc2/rendering/13.obj", "2.05213928223")</f>
        <v>2.05213928223</v>
      </c>
      <c r="Q329" s="4" t="str">
        <f>HYPERLINK(AB2 &amp; "/bottle/sn_dc687759ea93d1b72cd6cd3dc3fb5dc2/rendering/14.obj", "2.93141204834")</f>
        <v>2.93141204834</v>
      </c>
      <c r="R329" s="6" t="str">
        <f>HYPERLINK(AB2 &amp; "/bottle/sn_dc687759ea93d1b72cd6cd3dc3fb5dc2/rendering/15.obj", "2.1758505249")</f>
        <v>2.1758505249</v>
      </c>
      <c r="S329" s="83" t="str">
        <f>HYPERLINK(AB2 &amp; "/bottle/sn_dc687759ea93d1b72cd6cd3dc3fb5dc2/rendering/16.obj", "2.62963806152")</f>
        <v>2.62963806152</v>
      </c>
      <c r="T329" s="94" t="str">
        <f>HYPERLINK(AB2 &amp; "/bottle/sn_dc687759ea93d1b72cd6cd3dc3fb5dc2/rendering/17.obj", "2.44832626343")</f>
        <v>2.44832626343</v>
      </c>
      <c r="U329" s="73" t="str">
        <f>HYPERLINK(AB2 &amp; "/bottle/sn_dc687759ea93d1b72cd6cd3dc3fb5dc2/rendering/18.obj", "2.19815063477")</f>
        <v>2.19815063477</v>
      </c>
      <c r="V329" s="70" t="str">
        <f>HYPERLINK(AB2 &amp; "/bottle/sn_dc687759ea93d1b72cd6cd3dc3fb5dc2/rendering/19.obj", "1.99175918579")</f>
        <v>1.99175918579</v>
      </c>
      <c r="W329" s="12" t="s">
        <v>31</v>
      </c>
      <c r="X329" s="13">
        <v>2.2807187728881839</v>
      </c>
      <c r="Y329" s="13">
        <v>0.2753878740795252</v>
      </c>
      <c r="Z329" s="63">
        <v>0.1207460899402289</v>
      </c>
    </row>
    <row r="330" spans="1:26" x14ac:dyDescent="0.2">
      <c r="A330" s="1">
        <v>328</v>
      </c>
      <c r="B330" s="2" t="s">
        <v>98</v>
      </c>
      <c r="C330" s="26" t="str">
        <f>HYPERLINK(AB2 &amp; "/bottle/sn_dc687759ea93d1b72cd6cd3dc3fb5dc2/rendering/00.obj", "1.87932884693")</f>
        <v>1.87932884693</v>
      </c>
      <c r="D330" s="92" t="str">
        <f>HYPERLINK(AB2 &amp; "/bottle/sn_dc687759ea93d1b72cd6cd3dc3fb5dc2/rendering/01.obj", "2.25294852257")</f>
        <v>2.25294852257</v>
      </c>
      <c r="E330" s="37" t="str">
        <f>HYPERLINK(AB2 &amp; "/bottle/sn_dc687759ea93d1b72cd6cd3dc3fb5dc2/rendering/02.obj", "1.66048002243")</f>
        <v>1.66048002243</v>
      </c>
      <c r="F330" s="29" t="str">
        <f>HYPERLINK(AB2 &amp; "/bottle/sn_dc687759ea93d1b72cd6cd3dc3fb5dc2/rendering/03.obj", "1.74835991859")</f>
        <v>1.74835991859</v>
      </c>
      <c r="G330" s="84" t="str">
        <f>HYPERLINK(AB2 &amp; "/bottle/sn_dc687759ea93d1b72cd6cd3dc3fb5dc2/rendering/04.obj", "1.71668148041")</f>
        <v>1.71668148041</v>
      </c>
      <c r="H330" s="133" t="str">
        <f>HYPERLINK(AB2 &amp; "/bottle/sn_dc687759ea93d1b72cd6cd3dc3fb5dc2/rendering/05.obj", "1.80078005791")</f>
        <v>1.80078005791</v>
      </c>
      <c r="I330" s="23" t="str">
        <f>HYPERLINK(AB2 &amp; "/bottle/sn_dc687759ea93d1b72cd6cd3dc3fb5dc2/rendering/06.obj", "1.93141150475")</f>
        <v>1.93141150475</v>
      </c>
      <c r="J330" s="10" t="str">
        <f>HYPERLINK(AB2 &amp; "/bottle/sn_dc687759ea93d1b72cd6cd3dc3fb5dc2/rendering/07.obj", "1.89742588997")</f>
        <v>1.89742588997</v>
      </c>
      <c r="K330" s="6" t="str">
        <f>HYPERLINK(AB2 &amp; "/bottle/sn_dc687759ea93d1b72cd6cd3dc3fb5dc2/rendering/08.obj", "2.10077738762")</f>
        <v>2.10077738762</v>
      </c>
      <c r="L330" s="69" t="str">
        <f>HYPERLINK(AB2 &amp; "/bottle/sn_dc687759ea93d1b72cd6cd3dc3fb5dc2/rendering/09.obj", "2.06667113304")</f>
        <v>2.06667113304</v>
      </c>
      <c r="M330" s="34" t="str">
        <f>HYPERLINK(AB2 &amp; "/bottle/sn_dc687759ea93d1b72cd6cd3dc3fb5dc2/rendering/10.obj", "2.10477590561")</f>
        <v>2.10477590561</v>
      </c>
      <c r="N330" s="24" t="str">
        <f>HYPERLINK(AB2 &amp; "/bottle/sn_dc687759ea93d1b72cd6cd3dc3fb5dc2/rendering/11.obj", "2.34222149849")</f>
        <v>2.34222149849</v>
      </c>
      <c r="O330" s="73" t="str">
        <f>HYPERLINK(AB2 &amp; "/bottle/sn_dc687759ea93d1b72cd6cd3dc3fb5dc2/rendering/12.obj", "2.07699370384")</f>
        <v>2.07699370384</v>
      </c>
      <c r="P330" s="17" t="str">
        <f>HYPERLINK(AB2 &amp; "/bottle/sn_dc687759ea93d1b72cd6cd3dc3fb5dc2/rendering/13.obj", "1.96768832207")</f>
        <v>1.96768832207</v>
      </c>
      <c r="Q330" s="132" t="str">
        <f>HYPERLINK(AB2 &amp; "/bottle/sn_dc687759ea93d1b72cd6cd3dc3fb5dc2/rendering/14.obj", "2.84943366051")</f>
        <v>2.84943366051</v>
      </c>
      <c r="R330" s="34" t="str">
        <f>HYPERLINK(AB2 &amp; "/bottle/sn_dc687759ea93d1b72cd6cd3dc3fb5dc2/rendering/15.obj", "1.91131234169")</f>
        <v>1.91131234169</v>
      </c>
      <c r="S330" s="5" t="str">
        <f>HYPERLINK(AB2 &amp; "/bottle/sn_dc687759ea93d1b72cd6cd3dc3fb5dc2/rendering/16.obj", "2.16009807587")</f>
        <v>2.16009807587</v>
      </c>
      <c r="T330" s="48" t="str">
        <f>HYPERLINK(AB2 &amp; "/bottle/sn_dc687759ea93d1b72cd6cd3dc3fb5dc2/rendering/17.obj", "2.05162739754")</f>
        <v>2.05162739754</v>
      </c>
      <c r="U330" s="65" t="str">
        <f>HYPERLINK(AB2 &amp; "/bottle/sn_dc687759ea93d1b72cd6cd3dc3fb5dc2/rendering/18.obj", "1.74052345753")</f>
        <v>1.74052345753</v>
      </c>
      <c r="V330" s="78" t="str">
        <f>HYPERLINK(AB2 &amp; "/bottle/sn_dc687759ea93d1b72cd6cd3dc3fb5dc2/rendering/19.obj", "1.88125026226")</f>
        <v>1.88125026226</v>
      </c>
      <c r="W330" s="12" t="s">
        <v>32</v>
      </c>
      <c r="X330" s="13">
        <v>2.0070394694805151</v>
      </c>
      <c r="Y330" s="13">
        <v>0.26269087231217358</v>
      </c>
      <c r="Z330" s="29">
        <v>0.1308847565315526</v>
      </c>
    </row>
    <row r="331" spans="1:26" x14ac:dyDescent="0.2">
      <c r="A331" s="1">
        <v>329</v>
      </c>
      <c r="B331" s="2" t="s">
        <v>98</v>
      </c>
      <c r="C331" s="13" t="str">
        <f>HYPERLINK(AC2 &amp; "/bottle/sn_dc687759ea93d1b72cd6cd3dc3fb5dc2/rendering/00.xyz", "0.0")</f>
        <v>0.0</v>
      </c>
      <c r="D331" s="13" t="str">
        <f>HYPERLINK(AC2 &amp; "/bottle/sn_dc687759ea93d1b72cd6cd3dc3fb5dc2/rendering/01.xyz", "0.0")</f>
        <v>0.0</v>
      </c>
      <c r="E331" s="13" t="str">
        <f>HYPERLINK(AC2 &amp; "/bottle/sn_dc687759ea93d1b72cd6cd3dc3fb5dc2/rendering/02.xyz", "0.0")</f>
        <v>0.0</v>
      </c>
      <c r="F331" s="13" t="str">
        <f>HYPERLINK(AC2 &amp; "/bottle/sn_dc687759ea93d1b72cd6cd3dc3fb5dc2/rendering/03.xyz", "0.0")</f>
        <v>0.0</v>
      </c>
      <c r="G331" s="13" t="str">
        <f>HYPERLINK(AC2 &amp; "/bottle/sn_dc687759ea93d1b72cd6cd3dc3fb5dc2/rendering/04.xyz", "0.0")</f>
        <v>0.0</v>
      </c>
      <c r="H331" s="13" t="str">
        <f>HYPERLINK(AC2 &amp; "/bottle/sn_dc687759ea93d1b72cd6cd3dc3fb5dc2/rendering/05.xyz", "0.0")</f>
        <v>0.0</v>
      </c>
      <c r="I331" s="13" t="str">
        <f>HYPERLINK(AC2 &amp; "/bottle/sn_dc687759ea93d1b72cd6cd3dc3fb5dc2/rendering/06.xyz", "0.0")</f>
        <v>0.0</v>
      </c>
      <c r="J331" s="13" t="str">
        <f>HYPERLINK(AC2 &amp; "/bottle/sn_dc687759ea93d1b72cd6cd3dc3fb5dc2/rendering/07.xyz", "0.0")</f>
        <v>0.0</v>
      </c>
      <c r="K331" s="13" t="str">
        <f>HYPERLINK(AC2 &amp; "/bottle/sn_dc687759ea93d1b72cd6cd3dc3fb5dc2/rendering/08.xyz", "0.0")</f>
        <v>0.0</v>
      </c>
      <c r="L331" s="13" t="str">
        <f>HYPERLINK(AC2 &amp; "/bottle/sn_dc687759ea93d1b72cd6cd3dc3fb5dc2/rendering/09.xyz", "0.0")</f>
        <v>0.0</v>
      </c>
      <c r="M331" s="13" t="str">
        <f>HYPERLINK(AC2 &amp; "/bottle/sn_dc687759ea93d1b72cd6cd3dc3fb5dc2/rendering/10.xyz", "0.0")</f>
        <v>0.0</v>
      </c>
      <c r="N331" s="13" t="str">
        <f>HYPERLINK(AC2 &amp; "/bottle/sn_dc687759ea93d1b72cd6cd3dc3fb5dc2/rendering/11.xyz", "0.0")</f>
        <v>0.0</v>
      </c>
      <c r="O331" s="13" t="str">
        <f>HYPERLINK(AC2 &amp; "/bottle/sn_dc687759ea93d1b72cd6cd3dc3fb5dc2/rendering/12.xyz", "0.0")</f>
        <v>0.0</v>
      </c>
      <c r="P331" s="13" t="str">
        <f>HYPERLINK(AC2 &amp; "/bottle/sn_dc687759ea93d1b72cd6cd3dc3fb5dc2/rendering/13.xyz", "0.0")</f>
        <v>0.0</v>
      </c>
      <c r="Q331" s="13" t="str">
        <f>HYPERLINK(AC2 &amp; "/bottle/sn_dc687759ea93d1b72cd6cd3dc3fb5dc2/rendering/14.xyz", "0.0")</f>
        <v>0.0</v>
      </c>
      <c r="R331" s="13" t="str">
        <f>HYPERLINK(AC2 &amp; "/bottle/sn_dc687759ea93d1b72cd6cd3dc3fb5dc2/rendering/15.xyz", "0.0")</f>
        <v>0.0</v>
      </c>
      <c r="S331" s="13" t="str">
        <f>HYPERLINK(AC2 &amp; "/bottle/sn_dc687759ea93d1b72cd6cd3dc3fb5dc2/rendering/16.xyz", "0.0")</f>
        <v>0.0</v>
      </c>
      <c r="T331" s="13" t="str">
        <f>HYPERLINK(AC2 &amp; "/bottle/sn_dc687759ea93d1b72cd6cd3dc3fb5dc2/rendering/17.xyz", "0.0")</f>
        <v>0.0</v>
      </c>
      <c r="U331" s="13" t="str">
        <f>HYPERLINK(AC2 &amp; "/bottle/sn_dc687759ea93d1b72cd6cd3dc3fb5dc2/rendering/18.xyz", "0.0")</f>
        <v>0.0</v>
      </c>
      <c r="V331" s="13" t="str">
        <f>HYPERLINK(AC2 &amp; "/bottle/sn_dc687759ea93d1b72cd6cd3dc3fb5dc2/rendering/19.xyz", "0.0")</f>
        <v>0.0</v>
      </c>
      <c r="W331" s="12" t="s">
        <v>33</v>
      </c>
      <c r="X331" s="13">
        <v>0</v>
      </c>
      <c r="Y331" s="13">
        <v>0</v>
      </c>
      <c r="Z331" s="13">
        <v>0</v>
      </c>
    </row>
    <row r="332" spans="1:26" x14ac:dyDescent="0.2">
      <c r="A332" s="1">
        <v>330</v>
      </c>
      <c r="B332" s="2" t="s">
        <v>99</v>
      </c>
      <c r="C332" s="110" t="str">
        <f>HYPERLINK(AA2 &amp; "/bottle/sn_dd686080a4d1cac8e85013a1e4383bdd/rendering/00.obj", "5.92466247559")</f>
        <v>5.92466247559</v>
      </c>
      <c r="D332" s="232" t="str">
        <f>HYPERLINK(AA2 &amp; "/bottle/sn_dd686080a4d1cac8e85013a1e4383bdd/rendering/01.obj", "11.7080480957")</f>
        <v>11.7080480957</v>
      </c>
      <c r="E332" s="100" t="str">
        <f>HYPERLINK(AA2 &amp; "/bottle/sn_dd686080a4d1cac8e85013a1e4383bdd/rendering/02.obj", "4.60621002197")</f>
        <v>4.60621002197</v>
      </c>
      <c r="F332" s="171" t="str">
        <f>HYPERLINK(AA2 &amp; "/bottle/sn_dd686080a4d1cac8e85013a1e4383bdd/rendering/03.obj", "4.56543334961")</f>
        <v>4.56543334961</v>
      </c>
      <c r="G332" s="11" t="str">
        <f>HYPERLINK(AA2 &amp; "/bottle/sn_dd686080a4d1cac8e85013a1e4383bdd/rendering/04.obj", "5.09553070068")</f>
        <v>5.09553070068</v>
      </c>
      <c r="H332" s="100" t="str">
        <f>HYPERLINK(AA2 &amp; "/bottle/sn_dd686080a4d1cac8e85013a1e4383bdd/rendering/05.obj", "4.59442962646")</f>
        <v>4.59442962646</v>
      </c>
      <c r="I332" s="100" t="str">
        <f>HYPERLINK(AA2 &amp; "/bottle/sn_dd686080a4d1cac8e85013a1e4383bdd/rendering/06.obj", "4.60222442627")</f>
        <v>4.60222442627</v>
      </c>
      <c r="J332" s="88" t="str">
        <f>HYPERLINK(AA2 &amp; "/bottle/sn_dd686080a4d1cac8e85013a1e4383bdd/rendering/07.obj", "5.24651489258")</f>
        <v>5.24651489258</v>
      </c>
      <c r="K332" s="175" t="str">
        <f>HYPERLINK(AA2 &amp; "/bottle/sn_dd686080a4d1cac8e85013a1e4383bdd/rendering/08.obj", "5.0443359375")</f>
        <v>5.0443359375</v>
      </c>
      <c r="L332" s="20" t="str">
        <f>HYPERLINK(AA2 &amp; "/bottle/sn_dd686080a4d1cac8e85013a1e4383bdd/rendering/09.obj", "16.1596032715")</f>
        <v>16.1596032715</v>
      </c>
      <c r="M332" s="58" t="str">
        <f>HYPERLINK(AA2 &amp; "/bottle/sn_dd686080a4d1cac8e85013a1e4383bdd/rendering/10.obj", "4.97543426514")</f>
        <v>4.97543426514</v>
      </c>
      <c r="N332" s="4" t="str">
        <f>HYPERLINK(AA2 &amp; "/bottle/sn_dd686080a4d1cac8e85013a1e4383bdd/rendering/11.obj", "4.69904296875")</f>
        <v>4.69904296875</v>
      </c>
      <c r="O332" s="118" t="str">
        <f>HYPERLINK(AA2 &amp; "/bottle/sn_dd686080a4d1cac8e85013a1e4383bdd/rendering/12.obj", "4.65094543457")</f>
        <v>4.65094543457</v>
      </c>
      <c r="P332" s="98" t="str">
        <f>HYPERLINK(AA2 &amp; "/bottle/sn_dd686080a4d1cac8e85013a1e4383bdd/rendering/13.obj", "5.05550079346")</f>
        <v>5.05550079346</v>
      </c>
      <c r="Q332" s="11" t="str">
        <f>HYPERLINK(AA2 &amp; "/bottle/sn_dd686080a4d1cac8e85013a1e4383bdd/rendering/14.obj", "5.10436737061")</f>
        <v>5.10436737061</v>
      </c>
      <c r="R332" s="170" t="str">
        <f>HYPERLINK(AA2 &amp; "/bottle/sn_dd686080a4d1cac8e85013a1e4383bdd/rendering/15.obj", "4.90193756104")</f>
        <v>4.90193756104</v>
      </c>
      <c r="S332" s="134" t="str">
        <f>HYPERLINK(AA2 &amp; "/bottle/sn_dd686080a4d1cac8e85013a1e4383bdd/rendering/16.obj", "5.37757446289")</f>
        <v>5.37757446289</v>
      </c>
      <c r="T332" s="117" t="str">
        <f>HYPERLINK(AA2 &amp; "/bottle/sn_dd686080a4d1cac8e85013a1e4383bdd/rendering/17.obj", "7.73989379883")</f>
        <v>7.73989379883</v>
      </c>
      <c r="U332" s="20" t="str">
        <f>HYPERLINK(AA2 &amp; "/bottle/sn_dd686080a4d1cac8e85013a1e4383bdd/rendering/18.obj", "16.7965478516")</f>
        <v>16.7965478516</v>
      </c>
      <c r="V332" s="61" t="str">
        <f>HYPERLINK(AA2 &amp; "/bottle/sn_dd686080a4d1cac8e85013a1e4383bdd/rendering/19.obj", "4.58116394043")</f>
        <v>4.58116394043</v>
      </c>
      <c r="W332" s="12" t="s">
        <v>29</v>
      </c>
      <c r="X332" s="13">
        <v>6.5714700622558579</v>
      </c>
      <c r="Y332" s="13">
        <v>3.6671374191728781</v>
      </c>
      <c r="Z332" s="221">
        <v>0.55803912738423422</v>
      </c>
    </row>
    <row r="333" spans="1:26" x14ac:dyDescent="0.2">
      <c r="A333" s="1">
        <v>331</v>
      </c>
      <c r="B333" s="2" t="s">
        <v>99</v>
      </c>
      <c r="C333" s="118" t="str">
        <f>HYPERLINK(AA2 &amp; "/bottle/sn_dd686080a4d1cac8e85013a1e4383bdd/rendering/00.obj", "8.80746459961")</f>
        <v>8.80746459961</v>
      </c>
      <c r="D333" s="20" t="str">
        <f>HYPERLINK(AA2 &amp; "/bottle/sn_dd686080a4d1cac8e85013a1e4383bdd/rendering/01.obj", "13.3006744385")</f>
        <v>13.3006744385</v>
      </c>
      <c r="E333" s="58" t="str">
        <f>HYPERLINK(AA2 &amp; "/bottle/sn_dd686080a4d1cac8e85013a1e4383bdd/rendering/02.obj", "5.1565990448")</f>
        <v>5.1565990448</v>
      </c>
      <c r="F333" s="227" t="str">
        <f>HYPERLINK(AA2 &amp; "/bottle/sn_dd686080a4d1cac8e85013a1e4383bdd/rendering/03.obj", "3.33930802345")</f>
        <v>3.33930802345</v>
      </c>
      <c r="G333" s="157" t="str">
        <f>HYPERLINK(AA2 &amp; "/bottle/sn_dd686080a4d1cac8e85013a1e4383bdd/rendering/04.obj", "3.96686625481")</f>
        <v>3.96686625481</v>
      </c>
      <c r="H333" s="119" t="str">
        <f>HYPERLINK(AA2 &amp; "/bottle/sn_dd686080a4d1cac8e85013a1e4383bdd/rendering/05.obj", "5.00643920898")</f>
        <v>5.00643920898</v>
      </c>
      <c r="I333" s="157" t="str">
        <f>HYPERLINK(AA2 &amp; "/bottle/sn_dd686080a4d1cac8e85013a1e4383bdd/rendering/06.obj", "3.98211812973")</f>
        <v>3.98211812973</v>
      </c>
      <c r="J333" s="89" t="str">
        <f>HYPERLINK(AA2 &amp; "/bottle/sn_dd686080a4d1cac8e85013a1e4383bdd/rendering/07.obj", "5.03724098206")</f>
        <v>5.03724098206</v>
      </c>
      <c r="K333" s="193" t="str">
        <f>HYPERLINK(AA2 &amp; "/bottle/sn_dd686080a4d1cac8e85013a1e4383bdd/rendering/08.obj", "4.54095411301")</f>
        <v>4.54095411301</v>
      </c>
      <c r="L333" s="20" t="str">
        <f>HYPERLINK(AA2 &amp; "/bottle/sn_dd686080a4d1cac8e85013a1e4383bdd/rendering/09.obj", "17.079120636")</f>
        <v>17.079120636</v>
      </c>
      <c r="M333" s="22" t="str">
        <f>HYPERLINK(AA2 &amp; "/bottle/sn_dd686080a4d1cac8e85013a1e4383bdd/rendering/10.obj", "3.25820398331")</f>
        <v>3.25820398331</v>
      </c>
      <c r="N333" s="108" t="str">
        <f>HYPERLINK(AA2 &amp; "/bottle/sn_dd686080a4d1cac8e85013a1e4383bdd/rendering/11.obj", "5.12308359146")</f>
        <v>5.12308359146</v>
      </c>
      <c r="O333" s="128" t="str">
        <f>HYPERLINK(AA2 &amp; "/bottle/sn_dd686080a4d1cac8e85013a1e4383bdd/rendering/12.obj", "4.15385580063")</f>
        <v>4.15385580063</v>
      </c>
      <c r="P333" s="93" t="str">
        <f>HYPERLINK(AA2 &amp; "/bottle/sn_dd686080a4d1cac8e85013a1e4383bdd/rendering/13.obj", "5.84463167191")</f>
        <v>5.84463167191</v>
      </c>
      <c r="Q333" s="19" t="str">
        <f>HYPERLINK(AA2 &amp; "/bottle/sn_dd686080a4d1cac8e85013a1e4383bdd/rendering/14.obj", "5.01457309723")</f>
        <v>5.01457309723</v>
      </c>
      <c r="R333" s="198" t="str">
        <f>HYPERLINK(AA2 &amp; "/bottle/sn_dd686080a4d1cac8e85013a1e4383bdd/rendering/15.obj", "4.15982675552")</f>
        <v>4.15982675552</v>
      </c>
      <c r="S333" s="169" t="str">
        <f>HYPERLINK(AA2 &amp; "/bottle/sn_dd686080a4d1cac8e85013a1e4383bdd/rendering/16.obj", "4.67724514008")</f>
        <v>4.67724514008</v>
      </c>
      <c r="T333" s="36" t="str">
        <f>HYPERLINK(AA2 &amp; "/bottle/sn_dd686080a4d1cac8e85013a1e4383bdd/rendering/17.obj", "5.33557796478")</f>
        <v>5.33557796478</v>
      </c>
      <c r="U333" s="20" t="str">
        <f>HYPERLINK(AA2 &amp; "/bottle/sn_dd686080a4d1cac8e85013a1e4383bdd/rendering/18.obj", "23.8917713165")</f>
        <v>23.8917713165</v>
      </c>
      <c r="V333" s="153" t="str">
        <f>HYPERLINK(AA2 &amp; "/bottle/sn_dd686080a4d1cac8e85013a1e4383bdd/rendering/19.obj", "4.37312841415")</f>
        <v>4.37312841415</v>
      </c>
      <c r="W333" s="12" t="s">
        <v>30</v>
      </c>
      <c r="X333" s="13">
        <v>6.8024341583251946</v>
      </c>
      <c r="Y333" s="13">
        <v>5.1580957021748146</v>
      </c>
      <c r="Z333" s="209">
        <v>0.75827205116892626</v>
      </c>
    </row>
    <row r="334" spans="1:26" x14ac:dyDescent="0.2">
      <c r="A334" s="1">
        <v>332</v>
      </c>
      <c r="B334" s="2" t="s">
        <v>99</v>
      </c>
      <c r="C334" s="80" t="str">
        <f>HYPERLINK(AB2 &amp; "/bottle/sn_dd686080a4d1cac8e85013a1e4383bdd/rendering/00.obj", "3.8402041626")</f>
        <v>3.8402041626</v>
      </c>
      <c r="D334" s="23" t="str">
        <f>HYPERLINK(AB2 &amp; "/bottle/sn_dd686080a4d1cac8e85013a1e4383bdd/rendering/01.obj", "4.33243164062")</f>
        <v>4.33243164062</v>
      </c>
      <c r="E334" s="83" t="str">
        <f>HYPERLINK(AB2 &amp; "/bottle/sn_dd686080a4d1cac8e85013a1e4383bdd/rendering/02.obj", "3.81932556152")</f>
        <v>3.81932556152</v>
      </c>
      <c r="F334" s="91" t="str">
        <f>HYPERLINK(AB2 &amp; "/bottle/sn_dd686080a4d1cac8e85013a1e4383bdd/rendering/03.obj", "4.39036315918")</f>
        <v>4.39036315918</v>
      </c>
      <c r="G334" s="26" t="str">
        <f>HYPERLINK(AB2 &amp; "/bottle/sn_dd686080a4d1cac8e85013a1e4383bdd/rendering/04.obj", "4.22782165527")</f>
        <v>4.22782165527</v>
      </c>
      <c r="H334" s="5" t="str">
        <f>HYPERLINK(AB2 &amp; "/bottle/sn_dd686080a4d1cac8e85013a1e4383bdd/rendering/05.obj", "4.86301300049")</f>
        <v>4.86301300049</v>
      </c>
      <c r="I334" s="72" t="str">
        <f>HYPERLINK(AB2 &amp; "/bottle/sn_dd686080a4d1cac8e85013a1e4383bdd/rendering/06.obj", "4.66342041016")</f>
        <v>4.66342041016</v>
      </c>
      <c r="J334" s="68" t="str">
        <f>HYPERLINK(AB2 &amp; "/bottle/sn_dd686080a4d1cac8e85013a1e4383bdd/rendering/07.obj", "4.70769897461")</f>
        <v>4.70769897461</v>
      </c>
      <c r="K334" s="91" t="str">
        <f>HYPERLINK(AB2 &amp; "/bottle/sn_dd686080a4d1cac8e85013a1e4383bdd/rendering/08.obj", "4.38654968262")</f>
        <v>4.38654968262</v>
      </c>
      <c r="L334" s="120" t="str">
        <f>HYPERLINK(AB2 &amp; "/bottle/sn_dd686080a4d1cac8e85013a1e4383bdd/rendering/09.obj", "5.46260009766")</f>
        <v>5.46260009766</v>
      </c>
      <c r="M334" s="48" t="str">
        <f>HYPERLINK(AB2 &amp; "/bottle/sn_dd686080a4d1cac8e85013a1e4383bdd/rendering/10.obj", "4.62028869629")</f>
        <v>4.62028869629</v>
      </c>
      <c r="N334" s="23" t="str">
        <f>HYPERLINK(AB2 &amp; "/bottle/sn_dd686080a4d1cac8e85013a1e4383bdd/rendering/11.obj", "4.68236877441")</f>
        <v>4.68236877441</v>
      </c>
      <c r="O334" s="10" t="str">
        <f>HYPERLINK(AB2 &amp; "/bottle/sn_dd686080a4d1cac8e85013a1e4383bdd/rendering/12.obj", "4.75864440918")</f>
        <v>4.75864440918</v>
      </c>
      <c r="P334" s="48" t="str">
        <f>HYPERLINK(AB2 &amp; "/bottle/sn_dd686080a4d1cac8e85013a1e4383bdd/rendering/13.obj", "4.62221282959")</f>
        <v>4.62221282959</v>
      </c>
      <c r="Q334" s="32" t="str">
        <f>HYPERLINK(AB2 &amp; "/bottle/sn_dd686080a4d1cac8e85013a1e4383bdd/rendering/14.obj", "4.98750244141")</f>
        <v>4.98750244141</v>
      </c>
      <c r="R334" s="23" t="str">
        <f>HYPERLINK(AB2 &amp; "/bottle/sn_dd686080a4d1cac8e85013a1e4383bdd/rendering/15.obj", "4.33424102783")</f>
        <v>4.33424102783</v>
      </c>
      <c r="S334" s="80" t="str">
        <f>HYPERLINK(AB2 &amp; "/bottle/sn_dd686080a4d1cac8e85013a1e4383bdd/rendering/16.obj", "3.83526062012")</f>
        <v>3.83526062012</v>
      </c>
      <c r="T334" s="51" t="str">
        <f>HYPERLINK(AB2 &amp; "/bottle/sn_dd686080a4d1cac8e85013a1e4383bdd/rendering/17.obj", "4.8677557373")</f>
        <v>4.8677557373</v>
      </c>
      <c r="U334" s="6" t="str">
        <f>HYPERLINK(AB2 &amp; "/bottle/sn_dd686080a4d1cac8e85013a1e4383bdd/rendering/18.obj", "4.30982055664")</f>
        <v>4.30982055664</v>
      </c>
      <c r="V334" s="13" t="str">
        <f>HYPERLINK(AB2 &amp; "/bottle/sn_dd686080a4d1cac8e85013a1e4383bdd/rendering/19.obj", "4.51489135742")</f>
        <v>4.51489135742</v>
      </c>
      <c r="W334" s="12" t="s">
        <v>31</v>
      </c>
      <c r="X334" s="13">
        <v>4.5113207397460942</v>
      </c>
      <c r="Y334" s="13">
        <v>0.39746490200244211</v>
      </c>
      <c r="Z334" s="38">
        <v>8.8103889067486729E-2</v>
      </c>
    </row>
    <row r="335" spans="1:26" x14ac:dyDescent="0.2">
      <c r="A335" s="1">
        <v>333</v>
      </c>
      <c r="B335" s="2" t="s">
        <v>99</v>
      </c>
      <c r="C335" s="87" t="str">
        <f>HYPERLINK(AB2 &amp; "/bottle/sn_dd686080a4d1cac8e85013a1e4383bdd/rendering/00.obj", "3.16249465942")</f>
        <v>3.16249465942</v>
      </c>
      <c r="D335" s="89" t="str">
        <f>HYPERLINK(AB2 &amp; "/bottle/sn_dd686080a4d1cac8e85013a1e4383bdd/rendering/01.obj", "3.03634023666")</f>
        <v>3.03634023666</v>
      </c>
      <c r="E335" s="108" t="str">
        <f>HYPERLINK(AB2 &amp; "/bottle/sn_dd686080a4d1cac8e85013a1e4383bdd/rendering/02.obj", "3.08689498901")</f>
        <v>3.08689498901</v>
      </c>
      <c r="F335" s="13" t="str">
        <f>HYPERLINK(AB2 &amp; "/bottle/sn_dd686080a4d1cac8e85013a1e4383bdd/rendering/03.obj", "4.09982204437")</f>
        <v>4.09982204437</v>
      </c>
      <c r="G335" s="67" t="str">
        <f>HYPERLINK(AB2 &amp; "/bottle/sn_dd686080a4d1cac8e85013a1e4383bdd/rendering/04.obj", "4.47395467758")</f>
        <v>4.47395467758</v>
      </c>
      <c r="H335" s="135" t="str">
        <f>HYPERLINK(AB2 &amp; "/bottle/sn_dd686080a4d1cac8e85013a1e4383bdd/rendering/05.obj", "5.13942050934")</f>
        <v>5.13942050934</v>
      </c>
      <c r="I335" s="38" t="str">
        <f>HYPERLINK(AB2 &amp; "/bottle/sn_dd686080a4d1cac8e85013a1e4383bdd/rendering/06.obj", "3.73031115532")</f>
        <v>3.73031115532</v>
      </c>
      <c r="J335" s="38" t="str">
        <f>HYPERLINK(AB2 &amp; "/bottle/sn_dd686080a4d1cac8e85013a1e4383bdd/rendering/07.obj", "3.72955822945")</f>
        <v>3.72955822945</v>
      </c>
      <c r="K335" s="73" t="str">
        <f>HYPERLINK(AB2 &amp; "/bottle/sn_dd686080a4d1cac8e85013a1e4383bdd/rendering/08.obj", "4.24067974091")</f>
        <v>4.24067974091</v>
      </c>
      <c r="L335" s="70" t="str">
        <f>HYPERLINK(AB2 &amp; "/bottle/sn_dd686080a4d1cac8e85013a1e4383bdd/rendering/09.obj", "3.5712556839")</f>
        <v>3.5712556839</v>
      </c>
      <c r="M335" s="69" t="str">
        <f>HYPERLINK(AB2 &amp; "/bottle/sn_dd686080a4d1cac8e85013a1e4383bdd/rendering/10.obj", "3.97802138329")</f>
        <v>3.97802138329</v>
      </c>
      <c r="N335" s="77" t="str">
        <f>HYPERLINK(AB2 &amp; "/bottle/sn_dd686080a4d1cac8e85013a1e4383bdd/rendering/11.obj", "4.85879230499")</f>
        <v>4.85879230499</v>
      </c>
      <c r="O335" s="98" t="str">
        <f>HYPERLINK(AB2 &amp; "/bottle/sn_dd686080a4d1cac8e85013a1e4383bdd/rendering/12.obj", "5.04609489441")</f>
        <v>5.04609489441</v>
      </c>
      <c r="P335" s="39" t="str">
        <f>HYPERLINK(AB2 &amp; "/bottle/sn_dd686080a4d1cac8e85013a1e4383bdd/rendering/13.obj", "3.74172472954")</f>
        <v>3.74172472954</v>
      </c>
      <c r="Q335" s="119" t="str">
        <f>HYPERLINK(AB2 &amp; "/bottle/sn_dd686080a4d1cac8e85013a1e4383bdd/rendering/14.obj", "5.18280792236")</f>
        <v>5.18280792236</v>
      </c>
      <c r="R335" s="48" t="str">
        <f>HYPERLINK(AB2 &amp; "/bottle/sn_dd686080a4d1cac8e85013a1e4383bdd/rendering/15.obj", "4.1882185936")</f>
        <v>4.1882185936</v>
      </c>
      <c r="S335" s="40" t="str">
        <f>HYPERLINK(AB2 &amp; "/bottle/sn_dd686080a4d1cac8e85013a1e4383bdd/rendering/16.obj", "3.39016199112")</f>
        <v>3.39016199112</v>
      </c>
      <c r="T335" s="52" t="str">
        <f>HYPERLINK(AB2 &amp; "/bottle/sn_dd686080a4d1cac8e85013a1e4383bdd/rendering/17.obj", "5.73156499863")</f>
        <v>5.73156499863</v>
      </c>
      <c r="U335" s="113" t="str">
        <f>HYPERLINK(AB2 &amp; "/bottle/sn_dd686080a4d1cac8e85013a1e4383bdd/rendering/18.obj", "2.97566151619")</f>
        <v>2.97566151619</v>
      </c>
      <c r="V335" s="71" t="str">
        <f>HYPERLINK(AB2 &amp; "/bottle/sn_dd686080a4d1cac8e85013a1e4383bdd/rendering/19.obj", "4.57844638824")</f>
        <v>4.57844638824</v>
      </c>
      <c r="W335" s="12" t="s">
        <v>32</v>
      </c>
      <c r="X335" s="13">
        <v>4.0971113324165342</v>
      </c>
      <c r="Y335" s="13">
        <v>0.78368608971531095</v>
      </c>
      <c r="Z335" s="109">
        <v>0.191277714011516</v>
      </c>
    </row>
    <row r="336" spans="1:26" x14ac:dyDescent="0.2">
      <c r="A336" s="1">
        <v>334</v>
      </c>
      <c r="B336" s="2" t="s">
        <v>99</v>
      </c>
      <c r="C336" s="13" t="str">
        <f>HYPERLINK(AC2 &amp; "/bottle/sn_dd686080a4d1cac8e85013a1e4383bdd/rendering/00.xyz", "0.0")</f>
        <v>0.0</v>
      </c>
      <c r="D336" s="13" t="str">
        <f>HYPERLINK(AC2 &amp; "/bottle/sn_dd686080a4d1cac8e85013a1e4383bdd/rendering/01.xyz", "0.0")</f>
        <v>0.0</v>
      </c>
      <c r="E336" s="13" t="str">
        <f>HYPERLINK(AC2 &amp; "/bottle/sn_dd686080a4d1cac8e85013a1e4383bdd/rendering/02.xyz", "0.0")</f>
        <v>0.0</v>
      </c>
      <c r="F336" s="13" t="str">
        <f>HYPERLINK(AC2 &amp; "/bottle/sn_dd686080a4d1cac8e85013a1e4383bdd/rendering/03.xyz", "0.0")</f>
        <v>0.0</v>
      </c>
      <c r="G336" s="13" t="str">
        <f>HYPERLINK(AC2 &amp; "/bottle/sn_dd686080a4d1cac8e85013a1e4383bdd/rendering/04.xyz", "0.0")</f>
        <v>0.0</v>
      </c>
      <c r="H336" s="13" t="str">
        <f>HYPERLINK(AC2 &amp; "/bottle/sn_dd686080a4d1cac8e85013a1e4383bdd/rendering/05.xyz", "0.0")</f>
        <v>0.0</v>
      </c>
      <c r="I336" s="13" t="str">
        <f>HYPERLINK(AC2 &amp; "/bottle/sn_dd686080a4d1cac8e85013a1e4383bdd/rendering/06.xyz", "0.0")</f>
        <v>0.0</v>
      </c>
      <c r="J336" s="13" t="str">
        <f>HYPERLINK(AC2 &amp; "/bottle/sn_dd686080a4d1cac8e85013a1e4383bdd/rendering/07.xyz", "0.0")</f>
        <v>0.0</v>
      </c>
      <c r="K336" s="13" t="str">
        <f>HYPERLINK(AC2 &amp; "/bottle/sn_dd686080a4d1cac8e85013a1e4383bdd/rendering/08.xyz", "0.0")</f>
        <v>0.0</v>
      </c>
      <c r="L336" s="13" t="str">
        <f>HYPERLINK(AC2 &amp; "/bottle/sn_dd686080a4d1cac8e85013a1e4383bdd/rendering/09.xyz", "0.0")</f>
        <v>0.0</v>
      </c>
      <c r="M336" s="13" t="str">
        <f>HYPERLINK(AC2 &amp; "/bottle/sn_dd686080a4d1cac8e85013a1e4383bdd/rendering/10.xyz", "0.0")</f>
        <v>0.0</v>
      </c>
      <c r="N336" s="13" t="str">
        <f>HYPERLINK(AC2 &amp; "/bottle/sn_dd686080a4d1cac8e85013a1e4383bdd/rendering/11.xyz", "0.0")</f>
        <v>0.0</v>
      </c>
      <c r="O336" s="13" t="str">
        <f>HYPERLINK(AC2 &amp; "/bottle/sn_dd686080a4d1cac8e85013a1e4383bdd/rendering/12.xyz", "0.0")</f>
        <v>0.0</v>
      </c>
      <c r="P336" s="13" t="str">
        <f>HYPERLINK(AC2 &amp; "/bottle/sn_dd686080a4d1cac8e85013a1e4383bdd/rendering/13.xyz", "0.0")</f>
        <v>0.0</v>
      </c>
      <c r="Q336" s="13" t="str">
        <f>HYPERLINK(AC2 &amp; "/bottle/sn_dd686080a4d1cac8e85013a1e4383bdd/rendering/14.xyz", "0.0")</f>
        <v>0.0</v>
      </c>
      <c r="R336" s="13" t="str">
        <f>HYPERLINK(AC2 &amp; "/bottle/sn_dd686080a4d1cac8e85013a1e4383bdd/rendering/15.xyz", "0.0")</f>
        <v>0.0</v>
      </c>
      <c r="S336" s="13" t="str">
        <f>HYPERLINK(AC2 &amp; "/bottle/sn_dd686080a4d1cac8e85013a1e4383bdd/rendering/16.xyz", "0.0")</f>
        <v>0.0</v>
      </c>
      <c r="T336" s="13" t="str">
        <f>HYPERLINK(AC2 &amp; "/bottle/sn_dd686080a4d1cac8e85013a1e4383bdd/rendering/17.xyz", "0.0")</f>
        <v>0.0</v>
      </c>
      <c r="U336" s="13" t="str">
        <f>HYPERLINK(AC2 &amp; "/bottle/sn_dd686080a4d1cac8e85013a1e4383bdd/rendering/18.xyz", "0.0")</f>
        <v>0.0</v>
      </c>
      <c r="V336" s="13" t="str">
        <f>HYPERLINK(AC2 &amp; "/bottle/sn_dd686080a4d1cac8e85013a1e4383bdd/rendering/19.xyz", "0.0")</f>
        <v>0.0</v>
      </c>
      <c r="W336" s="12" t="s">
        <v>33</v>
      </c>
      <c r="X336" s="13">
        <v>0</v>
      </c>
      <c r="Y336" s="13">
        <v>0</v>
      </c>
      <c r="Z336" s="13">
        <v>0</v>
      </c>
    </row>
    <row r="337" spans="1:26" x14ac:dyDescent="0.2">
      <c r="A337" s="1">
        <v>335</v>
      </c>
      <c r="B337" s="2" t="s">
        <v>100</v>
      </c>
      <c r="C337" s="34" t="str">
        <f>HYPERLINK(AA2 &amp; "/bottle/sn_dd8c0d1b1e602409ebe413aa61702255/rendering/00.obj", "1.73575012207")</f>
        <v>1.73575012207</v>
      </c>
      <c r="D337" s="48" t="str">
        <f>HYPERLINK(AA2 &amp; "/bottle/sn_dd8c0d1b1e602409ebe413aa61702255/rendering/01.obj", "1.77921020508")</f>
        <v>1.77921020508</v>
      </c>
      <c r="E337" s="78" t="str">
        <f>HYPERLINK(AA2 &amp; "/bottle/sn_dd8c0d1b1e602409ebe413aa61702255/rendering/02.obj", "1.71302139282")</f>
        <v>1.71302139282</v>
      </c>
      <c r="F337" s="33" t="str">
        <f>HYPERLINK(AA2 &amp; "/bottle/sn_dd8c0d1b1e602409ebe413aa61702255/rendering/03.obj", "1.62504150391")</f>
        <v>1.62504150391</v>
      </c>
      <c r="G337" s="23" t="str">
        <f>HYPERLINK(AA2 &amp; "/bottle/sn_dd8c0d1b1e602409ebe413aa61702255/rendering/04.obj", "1.75046051025")</f>
        <v>1.75046051025</v>
      </c>
      <c r="H337" s="5" t="str">
        <f>HYPERLINK(AA2 &amp; "/bottle/sn_dd8c0d1b1e602409ebe413aa61702255/rendering/05.obj", "1.68224700928")</f>
        <v>1.68224700928</v>
      </c>
      <c r="I337" s="133" t="str">
        <f>HYPERLINK(AA2 &amp; "/bottle/sn_dd8c0d1b1e602409ebe413aa61702255/rendering/06.obj", "2.00846710205")</f>
        <v>2.00846710205</v>
      </c>
      <c r="J337" s="25" t="str">
        <f>HYPERLINK(AA2 &amp; "/bottle/sn_dd8c0d1b1e602409ebe413aa61702255/rendering/07.obj", "1.80125640869")</f>
        <v>1.80125640869</v>
      </c>
      <c r="K337" s="77" t="str">
        <f>HYPERLINK(AA2 &amp; "/bottle/sn_dd8c0d1b1e602409ebe413aa61702255/rendering/08.obj", "2.16313964844")</f>
        <v>2.16313964844</v>
      </c>
      <c r="L337" s="8" t="str">
        <f>HYPERLINK(AA2 &amp; "/bottle/sn_dd8c0d1b1e602409ebe413aa61702255/rendering/09.obj", "1.56566101074")</f>
        <v>1.56566101074</v>
      </c>
      <c r="M337" s="46" t="str">
        <f>HYPERLINK(AA2 &amp; "/bottle/sn_dd8c0d1b1e602409ebe413aa61702255/rendering/10.obj", "1.85458526611")</f>
        <v>1.85458526611</v>
      </c>
      <c r="N337" s="41" t="str">
        <f>HYPERLINK(AA2 &amp; "/bottle/sn_dd8c0d1b1e602409ebe413aa61702255/rendering/11.obj", "1.7026776123")</f>
        <v>1.7026776123</v>
      </c>
      <c r="O337" s="33" t="str">
        <f>HYPERLINK(AA2 &amp; "/bottle/sn_dd8c0d1b1e602409ebe413aa61702255/rendering/12.obj", "2.0205847168")</f>
        <v>2.0205847168</v>
      </c>
      <c r="P337" s="41" t="str">
        <f>HYPERLINK(AA2 &amp; "/bottle/sn_dd8c0d1b1e602409ebe413aa61702255/rendering/13.obj", "1.94893341064")</f>
        <v>1.94893341064</v>
      </c>
      <c r="Q337" s="47" t="str">
        <f>HYPERLINK(AA2 &amp; "/bottle/sn_dd8c0d1b1e602409ebe413aa61702255/rendering/14.obj", "1.80876846313")</f>
        <v>1.80876846313</v>
      </c>
      <c r="R337" s="30" t="str">
        <f>HYPERLINK(AA2 &amp; "/bottle/sn_dd8c0d1b1e602409ebe413aa61702255/rendering/15.obj", "1.83059921265")</f>
        <v>1.83059921265</v>
      </c>
      <c r="S337" s="33" t="str">
        <f>HYPERLINK(AA2 &amp; "/bottle/sn_dd8c0d1b1e602409ebe413aa61702255/rendering/16.obj", "2.01994720459")</f>
        <v>2.01994720459</v>
      </c>
      <c r="T337" s="6" t="str">
        <f>HYPERLINK(AA2 &amp; "/bottle/sn_dd8c0d1b1e602409ebe413aa61702255/rendering/17.obj", "1.74291687012")</f>
        <v>1.74291687012</v>
      </c>
      <c r="U337" s="39" t="str">
        <f>HYPERLINK(AA2 &amp; "/bottle/sn_dd8c0d1b1e602409ebe413aa61702255/rendering/18.obj", "1.66377838135")</f>
        <v>1.66377838135</v>
      </c>
      <c r="V337" s="70" t="str">
        <f>HYPERLINK(AA2 &amp; "/bottle/sn_dd8c0d1b1e602409ebe413aa61702255/rendering/19.obj", "2.05765731812")</f>
        <v>2.05765731812</v>
      </c>
      <c r="W337" s="12" t="s">
        <v>29</v>
      </c>
      <c r="X337" s="13">
        <v>1.8237351684570311</v>
      </c>
      <c r="Y337" s="13">
        <v>0.1579424120371905</v>
      </c>
      <c r="Z337" s="39">
        <v>8.6603808913120583E-2</v>
      </c>
    </row>
    <row r="338" spans="1:26" x14ac:dyDescent="0.2">
      <c r="A338" s="1">
        <v>336</v>
      </c>
      <c r="B338" s="2" t="s">
        <v>100</v>
      </c>
      <c r="C338" s="30" t="str">
        <f>HYPERLINK(AA2 &amp; "/bottle/sn_dd8c0d1b1e602409ebe413aa61702255/rendering/00.obj", "1.71734797955")</f>
        <v>1.71734797955</v>
      </c>
      <c r="D338" s="46" t="str">
        <f>HYPERLINK(AA2 &amp; "/bottle/sn_dd8c0d1b1e602409ebe413aa61702255/rendering/01.obj", "1.75385713577")</f>
        <v>1.75385713577</v>
      </c>
      <c r="E338" s="34" t="str">
        <f>HYPERLINK(AA2 &amp; "/bottle/sn_dd8c0d1b1e602409ebe413aa61702255/rendering/02.obj", "1.64266347885")</f>
        <v>1.64266347885</v>
      </c>
      <c r="F338" s="41" t="str">
        <f>HYPERLINK(AA2 &amp; "/bottle/sn_dd8c0d1b1e602409ebe413aa61702255/rendering/03.obj", "1.60761916637")</f>
        <v>1.60761916637</v>
      </c>
      <c r="G338" s="17" t="str">
        <f>HYPERLINK(AA2 &amp; "/bottle/sn_dd8c0d1b1e602409ebe413aa61702255/rendering/04.obj", "1.68875920773")</f>
        <v>1.68875920773</v>
      </c>
      <c r="H338" s="90" t="str">
        <f>HYPERLINK(AA2 &amp; "/bottle/sn_dd8c0d1b1e602409ebe413aa61702255/rendering/05.obj", "1.55912780762")</f>
        <v>1.55912780762</v>
      </c>
      <c r="I338" s="110" t="str">
        <f>HYPERLINK(AA2 &amp; "/bottle/sn_dd8c0d1b1e602409ebe413aa61702255/rendering/06.obj", "1.89381492138")</f>
        <v>1.89381492138</v>
      </c>
      <c r="J338" s="6" t="str">
        <f>HYPERLINK(AA2 &amp; "/bottle/sn_dd8c0d1b1e602409ebe413aa61702255/rendering/07.obj", "1.64461779594")</f>
        <v>1.64461779594</v>
      </c>
      <c r="K338" s="90" t="str">
        <f>HYPERLINK(AA2 &amp; "/bottle/sn_dd8c0d1b1e602409ebe413aa61702255/rendering/08.obj", "1.89289522171")</f>
        <v>1.89289522171</v>
      </c>
      <c r="L338" s="133" t="str">
        <f>HYPERLINK(AA2 &amp; "/bottle/sn_dd8c0d1b1e602409ebe413aa61702255/rendering/09.obj", "1.55096387863")</f>
        <v>1.55096387863</v>
      </c>
      <c r="M338" s="17" t="str">
        <f>HYPERLINK(AA2 &amp; "/bottle/sn_dd8c0d1b1e602409ebe413aa61702255/rendering/10.obj", "1.75891602039")</f>
        <v>1.75891602039</v>
      </c>
      <c r="N338" s="69" t="str">
        <f>HYPERLINK(AA2 &amp; "/bottle/sn_dd8c0d1b1e602409ebe413aa61702255/rendering/11.obj", "1.77894413471")</f>
        <v>1.77894413471</v>
      </c>
      <c r="O338" s="17" t="str">
        <f>HYPERLINK(AA2 &amp; "/bottle/sn_dd8c0d1b1e602409ebe413aa61702255/rendering/12.obj", "1.75987565517")</f>
        <v>1.75987565517</v>
      </c>
      <c r="P338" s="10" t="str">
        <f>HYPERLINK(AA2 &amp; "/bottle/sn_dd8c0d1b1e602409ebe413aa61702255/rendering/13.obj", "1.82236647606")</f>
        <v>1.82236647606</v>
      </c>
      <c r="Q338" s="94" t="str">
        <f>HYPERLINK(AA2 &amp; "/bottle/sn_dd8c0d1b1e602409ebe413aa61702255/rendering/14.obj", "1.85347354412")</f>
        <v>1.85347354412</v>
      </c>
      <c r="R338" s="74" t="str">
        <f>HYPERLINK(AA2 &amp; "/bottle/sn_dd8c0d1b1e602409ebe413aa61702255/rendering/15.obj", "1.69937634468")</f>
        <v>1.69937634468</v>
      </c>
      <c r="S338" s="133" t="str">
        <f>HYPERLINK(AA2 &amp; "/bottle/sn_dd8c0d1b1e602409ebe413aa61702255/rendering/16.obj", "1.90311694145")</f>
        <v>1.90311694145</v>
      </c>
      <c r="T338" s="67" t="str">
        <f>HYPERLINK(AA2 &amp; "/bottle/sn_dd8c0d1b1e602409ebe413aa61702255/rendering/17.obj", "1.56632328033")</f>
        <v>1.56632328033</v>
      </c>
      <c r="U338" s="90" t="str">
        <f>HYPERLINK(AA2 &amp; "/bottle/sn_dd8c0d1b1e602409ebe413aa61702255/rendering/18.obj", "1.55852711201")</f>
        <v>1.55852711201</v>
      </c>
      <c r="V338" s="5" t="str">
        <f>HYPERLINK(AA2 &amp; "/bottle/sn_dd8c0d1b1e602409ebe413aa61702255/rendering/19.obj", "1.85739386082")</f>
        <v>1.85739386082</v>
      </c>
      <c r="W338" s="12" t="s">
        <v>30</v>
      </c>
      <c r="X338" s="13">
        <v>1.725498998165131</v>
      </c>
      <c r="Y338" s="13">
        <v>0.1178499337184183</v>
      </c>
      <c r="Z338" s="41">
        <v>6.8299044997266398E-2</v>
      </c>
    </row>
    <row r="339" spans="1:26" x14ac:dyDescent="0.2">
      <c r="A339" s="1">
        <v>337</v>
      </c>
      <c r="B339" s="2" t="s">
        <v>100</v>
      </c>
      <c r="C339" s="34" t="str">
        <f>HYPERLINK(AB2 &amp; "/bottle/sn_dd8c0d1b1e602409ebe413aa61702255/rendering/00.obj", "2.88252532959")</f>
        <v>2.88252532959</v>
      </c>
      <c r="D339" s="25" t="str">
        <f>HYPERLINK(AB2 &amp; "/bottle/sn_dd8c0d1b1e602409ebe413aa61702255/rendering/01.obj", "3.05722595215")</f>
        <v>3.05722595215</v>
      </c>
      <c r="E339" s="47" t="str">
        <f>HYPERLINK(AB2 &amp; "/bottle/sn_dd8c0d1b1e602409ebe413aa61702255/rendering/02.obj", "2.9993359375")</f>
        <v>2.9993359375</v>
      </c>
      <c r="F339" s="5" t="str">
        <f>HYPERLINK(AB2 &amp; "/bottle/sn_dd8c0d1b1e602409ebe413aa61702255/rendering/03.obj", "3.26122924805")</f>
        <v>3.26122924805</v>
      </c>
      <c r="G339" s="74" t="str">
        <f>HYPERLINK(AB2 &amp; "/bottle/sn_dd8c0d1b1e602409ebe413aa61702255/rendering/04.obj", "3.0736895752")</f>
        <v>3.0736895752</v>
      </c>
      <c r="H339" s="39" t="str">
        <f>HYPERLINK(AB2 &amp; "/bottle/sn_dd8c0d1b1e602409ebe413aa61702255/rendering/05.obj", "3.28692687988")</f>
        <v>3.28692687988</v>
      </c>
      <c r="I339" s="47" t="str">
        <f>HYPERLINK(AB2 &amp; "/bottle/sn_dd8c0d1b1e602409ebe413aa61702255/rendering/06.obj", "3.00393218994")</f>
        <v>3.00393218994</v>
      </c>
      <c r="J339" s="13" t="str">
        <f>HYPERLINK(AB2 &amp; "/bottle/sn_dd8c0d1b1e602409ebe413aa61702255/rendering/07.obj", "3.02951324463")</f>
        <v>3.02951324463</v>
      </c>
      <c r="K339" s="27" t="str">
        <f>HYPERLINK(AB2 &amp; "/bottle/sn_dd8c0d1b1e602409ebe413aa61702255/rendering/08.obj", "2.81304016113")</f>
        <v>2.81304016113</v>
      </c>
      <c r="L339" s="69" t="str">
        <f>HYPERLINK(AB2 &amp; "/bottle/sn_dd8c0d1b1e602409ebe413aa61702255/rendering/09.obj", "3.12144287109")</f>
        <v>3.12144287109</v>
      </c>
      <c r="M339" s="68" t="str">
        <f>HYPERLINK(AB2 &amp; "/bottle/sn_dd8c0d1b1e602409ebe413aa61702255/rendering/10.obj", "2.89658081055")</f>
        <v>2.89658081055</v>
      </c>
      <c r="N339" s="25" t="str">
        <f>HYPERLINK(AB2 &amp; "/bottle/sn_dd8c0d1b1e602409ebe413aa61702255/rendering/11.obj", "2.99104736328")</f>
        <v>2.99104736328</v>
      </c>
      <c r="O339" s="17" t="str">
        <f>HYPERLINK(AB2 &amp; "/bottle/sn_dd8c0d1b1e602409ebe413aa61702255/rendering/12.obj", "3.08627807617")</f>
        <v>3.08627807617</v>
      </c>
      <c r="P339" s="10" t="str">
        <f>HYPERLINK(AB2 &amp; "/bottle/sn_dd8c0d1b1e602409ebe413aa61702255/rendering/13.obj", "2.86303955078")</f>
        <v>2.86303955078</v>
      </c>
      <c r="Q339" s="8" t="str">
        <f>HYPERLINK(AB2 &amp; "/bottle/sn_dd8c0d1b1e602409ebe413aa61702255/rendering/14.obj", "3.45884887695")</f>
        <v>3.45884887695</v>
      </c>
      <c r="R339" s="23" t="str">
        <f>HYPERLINK(AB2 &amp; "/bottle/sn_dd8c0d1b1e602409ebe413aa61702255/rendering/15.obj", "2.90602478027")</f>
        <v>2.90602478027</v>
      </c>
      <c r="S339" s="47" t="str">
        <f>HYPERLINK(AB2 &amp; "/bottle/sn_dd8c0d1b1e602409ebe413aa61702255/rendering/16.obj", "3.00171203613")</f>
        <v>3.00171203613</v>
      </c>
      <c r="T339" s="13" t="str">
        <f>HYPERLINK(AB2 &amp; "/bottle/sn_dd8c0d1b1e602409ebe413aa61702255/rendering/17.obj", "3.02488464355")</f>
        <v>3.02488464355</v>
      </c>
      <c r="U339" s="72" t="str">
        <f>HYPERLINK(AB2 &amp; "/bottle/sn_dd8c0d1b1e602409ebe413aa61702255/rendering/18.obj", "2.92861328125")</f>
        <v>2.92861328125</v>
      </c>
      <c r="V339" s="10" t="str">
        <f>HYPERLINK(AB2 &amp; "/bottle/sn_dd8c0d1b1e602409ebe413aa61702255/rendering/19.obj", "2.85717956543")</f>
        <v>2.85717956543</v>
      </c>
      <c r="W339" s="12" t="s">
        <v>31</v>
      </c>
      <c r="X339" s="13">
        <v>3.0271535186767582</v>
      </c>
      <c r="Y339" s="13">
        <v>0.1567455471788862</v>
      </c>
      <c r="Z339" s="60">
        <v>5.1779847375366513E-2</v>
      </c>
    </row>
    <row r="340" spans="1:26" x14ac:dyDescent="0.2">
      <c r="A340" s="1">
        <v>338</v>
      </c>
      <c r="B340" s="2" t="s">
        <v>100</v>
      </c>
      <c r="C340" s="73" t="str">
        <f>HYPERLINK(AB2 &amp; "/bottle/sn_dd8c0d1b1e602409ebe413aa61702255/rendering/00.obj", "1.68099665642")</f>
        <v>1.68099665642</v>
      </c>
      <c r="D340" s="60" t="str">
        <f>HYPERLINK(AB2 &amp; "/bottle/sn_dd8c0d1b1e602409ebe413aa61702255/rendering/01.obj", "1.8384373188")</f>
        <v>1.8384373188</v>
      </c>
      <c r="E340" s="74" t="str">
        <f>HYPERLINK(AB2 &amp; "/bottle/sn_dd8c0d1b1e602409ebe413aa61702255/rendering/02.obj", "1.72112846375")</f>
        <v>1.72112846375</v>
      </c>
      <c r="F340" s="26" t="str">
        <f>HYPERLINK(AB2 &amp; "/bottle/sn_dd8c0d1b1e602409ebe413aa61702255/rendering/03.obj", "1.85891568661")</f>
        <v>1.85891568661</v>
      </c>
      <c r="G340" s="25" t="str">
        <f>HYPERLINK(AB2 &amp; "/bottle/sn_dd8c0d1b1e602409ebe413aa61702255/rendering/04.obj", "1.76532042027")</f>
        <v>1.76532042027</v>
      </c>
      <c r="H340" s="25" t="str">
        <f>HYPERLINK(AB2 &amp; "/bottle/sn_dd8c0d1b1e602409ebe413aa61702255/rendering/05.obj", "1.76710581779")</f>
        <v>1.76710581779</v>
      </c>
      <c r="I340" s="17" t="str">
        <f>HYPERLINK(AB2 &amp; "/bottle/sn_dd8c0d1b1e602409ebe413aa61702255/rendering/06.obj", "1.71239995956")</f>
        <v>1.71239995956</v>
      </c>
      <c r="J340" s="13" t="str">
        <f>HYPERLINK(AB2 &amp; "/bottle/sn_dd8c0d1b1e602409ebe413aa61702255/rendering/07.obj", "1.75118303299")</f>
        <v>1.75118303299</v>
      </c>
      <c r="K340" s="34" t="str">
        <f>HYPERLINK(AB2 &amp; "/bottle/sn_dd8c0d1b1e602409ebe413aa61702255/rendering/08.obj", "1.66251277924")</f>
        <v>1.66251277924</v>
      </c>
      <c r="L340" s="47" t="str">
        <f>HYPERLINK(AB2 &amp; "/bottle/sn_dd8c0d1b1e602409ebe413aa61702255/rendering/09.obj", "1.76108407974")</f>
        <v>1.76108407974</v>
      </c>
      <c r="M340" s="34" t="str">
        <f>HYPERLINK(AB2 &amp; "/bottle/sn_dd8c0d1b1e602409ebe413aa61702255/rendering/10.obj", "1.66271698475")</f>
        <v>1.66271698475</v>
      </c>
      <c r="N340" s="72" t="str">
        <f>HYPERLINK(AB2 &amp; "/bottle/sn_dd8c0d1b1e602409ebe413aa61702255/rendering/11.obj", "1.68659055233")</f>
        <v>1.68659055233</v>
      </c>
      <c r="O340" s="6" t="str">
        <f>HYPERLINK(AB2 &amp; "/bottle/sn_dd8c0d1b1e602409ebe413aa61702255/rendering/12.obj", "1.82562541962")</f>
        <v>1.82562541962</v>
      </c>
      <c r="P340" s="73" t="str">
        <f>HYPERLINK(AB2 &amp; "/bottle/sn_dd8c0d1b1e602409ebe413aa61702255/rendering/13.obj", "1.68487346172")</f>
        <v>1.68487346172</v>
      </c>
      <c r="Q340" s="55" t="str">
        <f>HYPERLINK(AB2 &amp; "/bottle/sn_dd8c0d1b1e602409ebe413aa61702255/rendering/14.obj", "2.08505034447")</f>
        <v>2.08505034447</v>
      </c>
      <c r="R340" s="73" t="str">
        <f>HYPERLINK(AB2 &amp; "/bottle/sn_dd8c0d1b1e602409ebe413aa61702255/rendering/15.obj", "1.68621003628")</f>
        <v>1.68621003628</v>
      </c>
      <c r="S340" s="13" t="str">
        <f>HYPERLINK(AB2 &amp; "/bottle/sn_dd8c0d1b1e602409ebe413aa61702255/rendering/16.obj", "1.74618172646")</f>
        <v>1.74618172646</v>
      </c>
      <c r="T340" s="17" t="str">
        <f>HYPERLINK(AB2 &amp; "/bottle/sn_dd8c0d1b1e602409ebe413aa61702255/rendering/17.obj", "1.70868265629")</f>
        <v>1.70868265629</v>
      </c>
      <c r="U340" s="23" t="str">
        <f>HYPERLINK(AB2 &amp; "/bottle/sn_dd8c0d1b1e602409ebe413aa61702255/rendering/18.obj", "1.68047237396")</f>
        <v>1.68047237396</v>
      </c>
      <c r="V340" s="10" t="str">
        <f>HYPERLINK(AB2 &amp; "/bottle/sn_dd8c0d1b1e602409ebe413aa61702255/rendering/19.obj", "1.64805912971")</f>
        <v>1.64805912971</v>
      </c>
      <c r="W340" s="12" t="s">
        <v>32</v>
      </c>
      <c r="X340" s="13">
        <v>1.74667734503746</v>
      </c>
      <c r="Y340" s="13">
        <v>9.7378834859285016E-2</v>
      </c>
      <c r="Z340" s="10">
        <v>5.5750900494559608E-2</v>
      </c>
    </row>
    <row r="341" spans="1:26" x14ac:dyDescent="0.2">
      <c r="A341" s="1">
        <v>339</v>
      </c>
      <c r="B341" s="2" t="s">
        <v>100</v>
      </c>
      <c r="C341" s="13" t="str">
        <f>HYPERLINK(AC2 &amp; "/bottle/sn_dd8c0d1b1e602409ebe413aa61702255/rendering/00.xyz", "0.0")</f>
        <v>0.0</v>
      </c>
      <c r="D341" s="13" t="str">
        <f>HYPERLINK(AC2 &amp; "/bottle/sn_dd8c0d1b1e602409ebe413aa61702255/rendering/01.xyz", "0.0")</f>
        <v>0.0</v>
      </c>
      <c r="E341" s="13" t="str">
        <f>HYPERLINK(AC2 &amp; "/bottle/sn_dd8c0d1b1e602409ebe413aa61702255/rendering/02.xyz", "0.0")</f>
        <v>0.0</v>
      </c>
      <c r="F341" s="13" t="str">
        <f>HYPERLINK(AC2 &amp; "/bottle/sn_dd8c0d1b1e602409ebe413aa61702255/rendering/03.xyz", "0.0")</f>
        <v>0.0</v>
      </c>
      <c r="G341" s="13" t="str">
        <f>HYPERLINK(AC2 &amp; "/bottle/sn_dd8c0d1b1e602409ebe413aa61702255/rendering/04.xyz", "0.0")</f>
        <v>0.0</v>
      </c>
      <c r="H341" s="13" t="str">
        <f>HYPERLINK(AC2 &amp; "/bottle/sn_dd8c0d1b1e602409ebe413aa61702255/rendering/05.xyz", "0.0")</f>
        <v>0.0</v>
      </c>
      <c r="I341" s="13" t="str">
        <f>HYPERLINK(AC2 &amp; "/bottle/sn_dd8c0d1b1e602409ebe413aa61702255/rendering/06.xyz", "0.0")</f>
        <v>0.0</v>
      </c>
      <c r="J341" s="13" t="str">
        <f>HYPERLINK(AC2 &amp; "/bottle/sn_dd8c0d1b1e602409ebe413aa61702255/rendering/07.xyz", "0.0")</f>
        <v>0.0</v>
      </c>
      <c r="K341" s="13" t="str">
        <f>HYPERLINK(AC2 &amp; "/bottle/sn_dd8c0d1b1e602409ebe413aa61702255/rendering/08.xyz", "0.0")</f>
        <v>0.0</v>
      </c>
      <c r="L341" s="13" t="str">
        <f>HYPERLINK(AC2 &amp; "/bottle/sn_dd8c0d1b1e602409ebe413aa61702255/rendering/09.xyz", "0.0")</f>
        <v>0.0</v>
      </c>
      <c r="M341" s="13" t="str">
        <f>HYPERLINK(AC2 &amp; "/bottle/sn_dd8c0d1b1e602409ebe413aa61702255/rendering/10.xyz", "0.0")</f>
        <v>0.0</v>
      </c>
      <c r="N341" s="13" t="str">
        <f>HYPERLINK(AC2 &amp; "/bottle/sn_dd8c0d1b1e602409ebe413aa61702255/rendering/11.xyz", "0.0")</f>
        <v>0.0</v>
      </c>
      <c r="O341" s="13" t="str">
        <f>HYPERLINK(AC2 &amp; "/bottle/sn_dd8c0d1b1e602409ebe413aa61702255/rendering/12.xyz", "0.0")</f>
        <v>0.0</v>
      </c>
      <c r="P341" s="13" t="str">
        <f>HYPERLINK(AC2 &amp; "/bottle/sn_dd8c0d1b1e602409ebe413aa61702255/rendering/13.xyz", "0.0")</f>
        <v>0.0</v>
      </c>
      <c r="Q341" s="13" t="str">
        <f>HYPERLINK(AC2 &amp; "/bottle/sn_dd8c0d1b1e602409ebe413aa61702255/rendering/14.xyz", "0.0")</f>
        <v>0.0</v>
      </c>
      <c r="R341" s="13" t="str">
        <f>HYPERLINK(AC2 &amp; "/bottle/sn_dd8c0d1b1e602409ebe413aa61702255/rendering/15.xyz", "0.0")</f>
        <v>0.0</v>
      </c>
      <c r="S341" s="13" t="str">
        <f>HYPERLINK(AC2 &amp; "/bottle/sn_dd8c0d1b1e602409ebe413aa61702255/rendering/16.xyz", "0.0")</f>
        <v>0.0</v>
      </c>
      <c r="T341" s="13" t="str">
        <f>HYPERLINK(AC2 &amp; "/bottle/sn_dd8c0d1b1e602409ebe413aa61702255/rendering/17.xyz", "0.0")</f>
        <v>0.0</v>
      </c>
      <c r="U341" s="13" t="str">
        <f>HYPERLINK(AC2 &amp; "/bottle/sn_dd8c0d1b1e602409ebe413aa61702255/rendering/18.xyz", "0.0")</f>
        <v>0.0</v>
      </c>
      <c r="V341" s="13" t="str">
        <f>HYPERLINK(AC2 &amp; "/bottle/sn_dd8c0d1b1e602409ebe413aa61702255/rendering/19.xyz", "0.0")</f>
        <v>0.0</v>
      </c>
      <c r="W341" s="12" t="s">
        <v>33</v>
      </c>
      <c r="X341" s="13">
        <v>0</v>
      </c>
      <c r="Y341" s="13">
        <v>0</v>
      </c>
      <c r="Z341" s="13">
        <v>0</v>
      </c>
    </row>
    <row r="342" spans="1:26" x14ac:dyDescent="0.2">
      <c r="A342" s="1">
        <v>340</v>
      </c>
      <c r="B342" s="2" t="s">
        <v>101</v>
      </c>
      <c r="C342" s="163" t="str">
        <f>HYPERLINK(AA2 &amp; "/bottle/sn_de71aa5eca9ee76a95f577622f465c85/rendering/00.obj", "4.18421478271")</f>
        <v>4.18421478271</v>
      </c>
      <c r="D342" s="153" t="str">
        <f>HYPERLINK(AA2 &amp; "/bottle/sn_de71aa5eca9ee76a95f577622f465c85/rendering/01.obj", "4.82406860352")</f>
        <v>4.82406860352</v>
      </c>
      <c r="E342" s="206" t="str">
        <f>HYPERLINK(AA2 &amp; "/bottle/sn_de71aa5eca9ee76a95f577622f465c85/rendering/02.obj", "3.07028625488")</f>
        <v>3.07028625488</v>
      </c>
      <c r="F342" s="101" t="str">
        <f>HYPERLINK(AA2 &amp; "/bottle/sn_de71aa5eca9ee76a95f577622f465c85/rendering/03.obj", "4.67153259277")</f>
        <v>4.67153259277</v>
      </c>
      <c r="G342" s="53" t="str">
        <f>HYPERLINK(AA2 &amp; "/bottle/sn_de71aa5eca9ee76a95f577622f465c85/rendering/04.obj", "4.39442871094")</f>
        <v>4.39442871094</v>
      </c>
      <c r="H342" s="124" t="str">
        <f>HYPERLINK(AA2 &amp; "/bottle/sn_de71aa5eca9ee76a95f577622f465c85/rendering/05.obj", "4.6335736084")</f>
        <v>4.6335736084</v>
      </c>
      <c r="I342" s="110" t="str">
        <f>HYPERLINK(AA2 &amp; "/bottle/sn_de71aa5eca9ee76a95f577622f465c85/rendering/06.obj", "6.74618835449")</f>
        <v>6.74618835449</v>
      </c>
      <c r="J342" s="135" t="str">
        <f>HYPERLINK(AA2 &amp; "/bottle/sn_de71aa5eca9ee76a95f577622f465c85/rendering/07.obj", "5.57151428223")</f>
        <v>5.57151428223</v>
      </c>
      <c r="K342" s="114" t="str">
        <f>HYPERLINK(AA2 &amp; "/bottle/sn_de71aa5eca9ee76a95f577622f465c85/rendering/08.obj", "4.06055969238")</f>
        <v>4.06055969238</v>
      </c>
      <c r="L342" s="14" t="str">
        <f>HYPERLINK(AA2 &amp; "/bottle/sn_de71aa5eca9ee76a95f577622f465c85/rendering/09.obj", "5.32858459473")</f>
        <v>5.32858459473</v>
      </c>
      <c r="M342" s="184" t="str">
        <f>HYPERLINK(AA2 &amp; "/bottle/sn_de71aa5eca9ee76a95f577622f465c85/rendering/10.obj", "13.0127685547")</f>
        <v>13.0127685547</v>
      </c>
      <c r="N342" s="20" t="str">
        <f>HYPERLINK(AA2 &amp; "/bottle/sn_de71aa5eca9ee76a95f577622f465c85/rendering/11.obj", "43.1350341797")</f>
        <v>43.1350341797</v>
      </c>
      <c r="O342" s="132" t="str">
        <f>HYPERLINK(AA2 &amp; "/bottle/sn_de71aa5eca9ee76a95f577622f465c85/rendering/12.obj", "4.35441467285")</f>
        <v>4.35441467285</v>
      </c>
      <c r="P342" s="67" t="str">
        <f>HYPERLINK(AA2 &amp; "/bottle/sn_de71aa5eca9ee76a95f577622f465c85/rendering/13.obj", "8.19305419922")</f>
        <v>8.19305419922</v>
      </c>
      <c r="Q342" s="218" t="str">
        <f>HYPERLINK(AA2 &amp; "/bottle/sn_de71aa5eca9ee76a95f577622f465c85/rendering/14.obj", "3.63593475342")</f>
        <v>3.63593475342</v>
      </c>
      <c r="R342" s="145" t="str">
        <f>HYPERLINK(AA2 &amp; "/bottle/sn_de71aa5eca9ee76a95f577622f465c85/rendering/15.obj", "3.82384887695")</f>
        <v>3.82384887695</v>
      </c>
      <c r="S342" s="179" t="str">
        <f>HYPERLINK(AA2 &amp; "/bottle/sn_de71aa5eca9ee76a95f577622f465c85/rendering/16.obj", "4.29063415527")</f>
        <v>4.29063415527</v>
      </c>
      <c r="T342" s="20" t="str">
        <f>HYPERLINK(AA2 &amp; "/bottle/sn_de71aa5eca9ee76a95f577622f465c85/rendering/17.obj", "15.3430029297")</f>
        <v>15.3430029297</v>
      </c>
      <c r="U342" s="226" t="str">
        <f>HYPERLINK(AA2 &amp; "/bottle/sn_de71aa5eca9ee76a95f577622f465c85/rendering/18.obj", "3.27346984863")</f>
        <v>3.27346984863</v>
      </c>
      <c r="V342" s="221" t="str">
        <f>HYPERLINK(AA2 &amp; "/bottle/sn_de71aa5eca9ee76a95f577622f465c85/rendering/19.obj", "3.33250518799")</f>
        <v>3.33250518799</v>
      </c>
      <c r="W342" s="12" t="s">
        <v>29</v>
      </c>
      <c r="X342" s="13">
        <v>7.4939809417724614</v>
      </c>
      <c r="Y342" s="13">
        <v>8.7480873777105739</v>
      </c>
      <c r="Z342" s="20">
        <v>1.1673484955035791</v>
      </c>
    </row>
    <row r="343" spans="1:26" x14ac:dyDescent="0.2">
      <c r="A343" s="1">
        <v>341</v>
      </c>
      <c r="B343" s="2" t="s">
        <v>101</v>
      </c>
      <c r="C343" s="20" t="str">
        <f>HYPERLINK(AA2 &amp; "/bottle/sn_de71aa5eca9ee76a95f577622f465c85/rendering/00.obj", "5.70040130615")</f>
        <v>5.70040130615</v>
      </c>
      <c r="D343" s="20" t="str">
        <f>HYPERLINK(AA2 &amp; "/bottle/sn_de71aa5eca9ee76a95f577622f465c85/rendering/01.obj", "6.07648897171")</f>
        <v>6.07648897171</v>
      </c>
      <c r="E343" s="20" t="str">
        <f>HYPERLINK(AA2 &amp; "/bottle/sn_de71aa5eca9ee76a95f577622f465c85/rendering/02.obj", "4.29799604416")</f>
        <v>4.29799604416</v>
      </c>
      <c r="F343" s="20" t="str">
        <f>HYPERLINK(AA2 &amp; "/bottle/sn_de71aa5eca9ee76a95f577622f465c85/rendering/03.obj", "6.19290781021")</f>
        <v>6.19290781021</v>
      </c>
      <c r="G343" s="20" t="str">
        <f>HYPERLINK(AA2 &amp; "/bottle/sn_de71aa5eca9ee76a95f577622f465c85/rendering/04.obj", "5.53654336929")</f>
        <v>5.53654336929</v>
      </c>
      <c r="H343" s="20" t="str">
        <f>HYPERLINK(AA2 &amp; "/bottle/sn_de71aa5eca9ee76a95f577622f465c85/rendering/05.obj", "5.75685119629")</f>
        <v>5.75685119629</v>
      </c>
      <c r="I343" s="233" t="str">
        <f>HYPERLINK(AA2 &amp; "/bottle/sn_de71aa5eca9ee76a95f577622f465c85/rendering/06.obj", "9.30967903137")</f>
        <v>9.30967903137</v>
      </c>
      <c r="J343" s="234" t="str">
        <f>HYPERLINK(AA2 &amp; "/bottle/sn_de71aa5eca9ee76a95f577622f465c85/rendering/07.obj", "7.97278928757")</f>
        <v>7.97278928757</v>
      </c>
      <c r="K343" s="20" t="str">
        <f>HYPERLINK(AA2 &amp; "/bottle/sn_de71aa5eca9ee76a95f577622f465c85/rendering/08.obj", "4.33348083496")</f>
        <v>4.33348083496</v>
      </c>
      <c r="L343" s="211" t="str">
        <f>HYPERLINK(AA2 &amp; "/bottle/sn_de71aa5eca9ee76a95f577622f465c85/rendering/09.obj", "7.26204109192")</f>
        <v>7.26204109192</v>
      </c>
      <c r="M343" s="138" t="str">
        <f>HYPERLINK(AA2 &amp; "/bottle/sn_de71aa5eca9ee76a95f577622f465c85/rendering/10.obj", "20.546869278")</f>
        <v>20.546869278</v>
      </c>
      <c r="N343" s="20" t="str">
        <f>HYPERLINK(AA2 &amp; "/bottle/sn_de71aa5eca9ee76a95f577622f465c85/rendering/11.obj", "468.380462646")</f>
        <v>468.380462646</v>
      </c>
      <c r="O343" s="208" t="str">
        <f>HYPERLINK(AA2 &amp; "/bottle/sn_de71aa5eca9ee76a95f577622f465c85/rendering/12.obj", "7.27969455719")</f>
        <v>7.27969455719</v>
      </c>
      <c r="P343" s="115" t="str">
        <f>HYPERLINK(AA2 &amp; "/bottle/sn_de71aa5eca9ee76a95f577622f465c85/rendering/13.obj", "11.1738176346")</f>
        <v>11.1738176346</v>
      </c>
      <c r="Q343" s="20" t="str">
        <f>HYPERLINK(AA2 &amp; "/bottle/sn_de71aa5eca9ee76a95f577622f465c85/rendering/14.obj", "4.17874574661")</f>
        <v>4.17874574661</v>
      </c>
      <c r="R343" s="20" t="str">
        <f>HYPERLINK(AA2 &amp; "/bottle/sn_de71aa5eca9ee76a95f577622f465c85/rendering/15.obj", "5.70410871506")</f>
        <v>5.70410871506</v>
      </c>
      <c r="S343" s="20" t="str">
        <f>HYPERLINK(AA2 &amp; "/bottle/sn_de71aa5eca9ee76a95f577622f465c85/rendering/16.obj", "5.10756111145")</f>
        <v>5.10756111145</v>
      </c>
      <c r="T343" s="92" t="str">
        <f>HYPERLINK(AA2 &amp; "/bottle/sn_de71aa5eca9ee76a95f577622f465c85/rendering/17.obj", "27.1497135162")</f>
        <v>27.1497135162</v>
      </c>
      <c r="U343" s="20" t="str">
        <f>HYPERLINK(AA2 &amp; "/bottle/sn_de71aa5eca9ee76a95f577622f465c85/rendering/18.obj", "4.56355333328")</f>
        <v>4.56355333328</v>
      </c>
      <c r="V343" s="20" t="str">
        <f>HYPERLINK(AA2 &amp; "/bottle/sn_de71aa5eca9ee76a95f577622f465c85/rendering/19.obj", "3.47591686249")</f>
        <v>3.47591686249</v>
      </c>
      <c r="W343" s="12" t="s">
        <v>30</v>
      </c>
      <c r="X343" s="13">
        <v>30.999981117248531</v>
      </c>
      <c r="Y343" s="13">
        <v>100.5032819653473</v>
      </c>
      <c r="Z343" s="20">
        <v>3.242043328517604</v>
      </c>
    </row>
    <row r="344" spans="1:26" x14ac:dyDescent="0.2">
      <c r="A344" s="1">
        <v>342</v>
      </c>
      <c r="B344" s="2" t="s">
        <v>101</v>
      </c>
      <c r="C344" s="48" t="str">
        <f>HYPERLINK(AB2 &amp; "/bottle/sn_de71aa5eca9ee76a95f577622f465c85/rendering/00.obj", "3.90548217773")</f>
        <v>3.90548217773</v>
      </c>
      <c r="D344" s="67" t="str">
        <f>HYPERLINK(AB2 &amp; "/bottle/sn_de71aa5eca9ee76a95f577622f465c85/rendering/01.obj", "3.45921966553")</f>
        <v>3.45921966553</v>
      </c>
      <c r="E344" s="28" t="str">
        <f>HYPERLINK(AB2 &amp; "/bottle/sn_de71aa5eca9ee76a95f577622f465c85/rendering/02.obj", "3.39303833008")</f>
        <v>3.39303833008</v>
      </c>
      <c r="F344" s="69" t="str">
        <f>HYPERLINK(AB2 &amp; "/bottle/sn_de71aa5eca9ee76a95f577622f465c85/rendering/03.obj", "3.92530700684")</f>
        <v>3.92530700684</v>
      </c>
      <c r="G344" s="60" t="str">
        <f>HYPERLINK(AB2 &amp; "/bottle/sn_de71aa5eca9ee76a95f577622f465c85/rendering/04.obj", "3.61593688965")</f>
        <v>3.61593688965</v>
      </c>
      <c r="H344" s="60" t="str">
        <f>HYPERLINK(AB2 &amp; "/bottle/sn_de71aa5eca9ee76a95f577622f465c85/rendering/05.obj", "3.62536865234")</f>
        <v>3.62536865234</v>
      </c>
      <c r="I344" s="78" t="str">
        <f>HYPERLINK(AB2 &amp; "/bottle/sn_de71aa5eca9ee76a95f577622f465c85/rendering/06.obj", "4.04553161621")</f>
        <v>4.04553161621</v>
      </c>
      <c r="J344" s="193" t="str">
        <f>HYPERLINK(AB2 &amp; "/bottle/sn_de71aa5eca9ee76a95f577622f465c85/rendering/07.obj", "5.08214508057")</f>
        <v>5.08214508057</v>
      </c>
      <c r="K344" s="134" t="str">
        <f>HYPERLINK(AB2 &amp; "/bottle/sn_de71aa5eca9ee76a95f577622f465c85/rendering/08.obj", "4.50864318848")</f>
        <v>4.50864318848</v>
      </c>
      <c r="L344" s="95" t="str">
        <f>HYPERLINK(AB2 &amp; "/bottle/sn_de71aa5eca9ee76a95f577622f465c85/rendering/09.obj", "4.88520019531")</f>
        <v>4.88520019531</v>
      </c>
      <c r="M344" s="47" t="str">
        <f>HYPERLINK(AB2 &amp; "/bottle/sn_de71aa5eca9ee76a95f577622f465c85/rendering/10.obj", "3.84566040039")</f>
        <v>3.84566040039</v>
      </c>
      <c r="N344" s="8" t="str">
        <f>HYPERLINK(AB2 &amp; "/bottle/sn_de71aa5eca9ee76a95f577622f465c85/rendering/11.obj", "3.27754516602")</f>
        <v>3.27754516602</v>
      </c>
      <c r="O344" s="42" t="str">
        <f>HYPERLINK(AB2 &amp; "/bottle/sn_de71aa5eca9ee76a95f577622f465c85/rendering/12.obj", "3.29918457031")</f>
        <v>3.29918457031</v>
      </c>
      <c r="P344" s="90" t="str">
        <f>HYPERLINK(AB2 &amp; "/bottle/sn_de71aa5eca9ee76a95f577622f465c85/rendering/13.obj", "4.18034057617")</f>
        <v>4.18034057617</v>
      </c>
      <c r="Q344" s="110" t="str">
        <f>HYPERLINK(AB2 &amp; "/bottle/sn_de71aa5eca9ee76a95f577622f465c85/rendering/14.obj", "4.19643951416")</f>
        <v>4.19643951416</v>
      </c>
      <c r="R344" s="108" t="str">
        <f>HYPERLINK(AB2 &amp; "/bottle/sn_de71aa5eca9ee76a95f577622f465c85/rendering/15.obj", "2.87220458984")</f>
        <v>2.87220458984</v>
      </c>
      <c r="S344" s="133" t="str">
        <f>HYPERLINK(AB2 &amp; "/bottle/sn_de71aa5eca9ee76a95f577622f465c85/rendering/16.obj", "4.20690795898")</f>
        <v>4.20690795898</v>
      </c>
      <c r="T344" s="66" t="str">
        <f>HYPERLINK(AB2 &amp; "/bottle/sn_de71aa5eca9ee76a95f577622f465c85/rendering/17.obj", "3.19766662598")</f>
        <v>3.19766662598</v>
      </c>
      <c r="U344" s="80" t="str">
        <f>HYPERLINK(AB2 &amp; "/bottle/sn_de71aa5eca9ee76a95f577622f465c85/rendering/18.obj", "3.24658630371")</f>
        <v>3.24658630371</v>
      </c>
      <c r="V344" s="78" t="str">
        <f>HYPERLINK(AB2 &amp; "/bottle/sn_de71aa5eca9ee76a95f577622f465c85/rendering/19.obj", "3.58152160645")</f>
        <v>3.58152160645</v>
      </c>
      <c r="W344" s="12" t="s">
        <v>31</v>
      </c>
      <c r="X344" s="13">
        <v>3.8174965057373051</v>
      </c>
      <c r="Y344" s="13">
        <v>0.5622149617118386</v>
      </c>
      <c r="Z344" s="84">
        <v>0.14727320925294549</v>
      </c>
    </row>
    <row r="345" spans="1:26" x14ac:dyDescent="0.2">
      <c r="A345" s="1">
        <v>343</v>
      </c>
      <c r="B345" s="2" t="s">
        <v>101</v>
      </c>
      <c r="C345" s="79" t="str">
        <f>HYPERLINK(AB2 &amp; "/bottle/sn_de71aa5eca9ee76a95f577622f465c85/rendering/00.obj", "3.17332005501")</f>
        <v>3.17332005501</v>
      </c>
      <c r="D345" s="88" t="str">
        <f>HYPERLINK(AB2 &amp; "/bottle/sn_de71aa5eca9ee76a95f577622f465c85/rendering/01.obj", "3.00275015831")</f>
        <v>3.00275015831</v>
      </c>
      <c r="E345" s="13" t="str">
        <f>HYPERLINK(AB2 &amp; "/bottle/sn_de71aa5eca9ee76a95f577622f465c85/rendering/02.obj", "3.76113581657")</f>
        <v>3.76113581657</v>
      </c>
      <c r="F345" s="55" t="str">
        <f>HYPERLINK(AB2 &amp; "/bottle/sn_de71aa5eca9ee76a95f577622f465c85/rendering/03.obj", "3.04136443138")</f>
        <v>3.04136443138</v>
      </c>
      <c r="G345" s="6" t="str">
        <f>HYPERLINK(AB2 &amp; "/bottle/sn_de71aa5eca9ee76a95f577622f465c85/rendering/04.obj", "3.60211348534")</f>
        <v>3.60211348534</v>
      </c>
      <c r="H345" s="24" t="str">
        <f>HYPERLINK(AB2 &amp; "/bottle/sn_de71aa5eca9ee76a95f577622f465c85/rendering/05.obj", "3.13146018982")</f>
        <v>3.13146018982</v>
      </c>
      <c r="I345" s="135" t="str">
        <f>HYPERLINK(AB2 &amp; "/bottle/sn_de71aa5eca9ee76a95f577622f465c85/rendering/06.obj", "4.7277302742")</f>
        <v>4.7277302742</v>
      </c>
      <c r="J345" s="77" t="str">
        <f>HYPERLINK(AB2 &amp; "/bottle/sn_de71aa5eca9ee76a95f577622f465c85/rendering/07.obj", "4.47559833527")</f>
        <v>4.47559833527</v>
      </c>
      <c r="K345" s="19" t="str">
        <f>HYPERLINK(AB2 &amp; "/bottle/sn_de71aa5eca9ee76a95f577622f465c85/rendering/08.obj", "4.75806903839")</f>
        <v>4.75806903839</v>
      </c>
      <c r="L345" s="91" t="str">
        <f>HYPERLINK(AB2 &amp; "/bottle/sn_de71aa5eca9ee76a95f577622f465c85/rendering/09.obj", "3.866294384")</f>
        <v>3.866294384</v>
      </c>
      <c r="M345" s="17" t="str">
        <f>HYPERLINK(AB2 &amp; "/bottle/sn_de71aa5eca9ee76a95f577622f465c85/rendering/10.obj", "3.84179377556")</f>
        <v>3.84179377556</v>
      </c>
      <c r="N345" s="46" t="str">
        <f>HYPERLINK(AB2 &amp; "/bottle/sn_de71aa5eca9ee76a95f577622f465c85/rendering/11.obj", "3.82930207253")</f>
        <v>3.82930207253</v>
      </c>
      <c r="O345" s="84" t="str">
        <f>HYPERLINK(AB2 &amp; "/bottle/sn_de71aa5eca9ee76a95f577622f465c85/rendering/12.obj", "3.2172472477")</f>
        <v>3.2172472477</v>
      </c>
      <c r="P345" s="114" t="str">
        <f>HYPERLINK(AB2 &amp; "/bottle/sn_de71aa5eca9ee76a95f577622f465c85/rendering/13.obj", "5.49690151215")</f>
        <v>5.49690151215</v>
      </c>
      <c r="Q345" s="65" t="str">
        <f>HYPERLINK(AB2 &amp; "/bottle/sn_de71aa5eca9ee76a95f577622f465c85/rendering/14.obj", "4.26705932617")</f>
        <v>4.26705932617</v>
      </c>
      <c r="R345" s="136" t="str">
        <f>HYPERLINK(AB2 &amp; "/bottle/sn_de71aa5eca9ee76a95f577622f465c85/rendering/15.obj", "2.87963604927")</f>
        <v>2.87963604927</v>
      </c>
      <c r="S345" s="37" t="str">
        <f>HYPERLINK(AB2 &amp; "/bottle/sn_de71aa5eca9ee76a95f577622f465c85/rendering/16.obj", "3.10697126389")</f>
        <v>3.10697126389</v>
      </c>
      <c r="T345" s="84" t="str">
        <f>HYPERLINK(AB2 &amp; "/bottle/sn_de71aa5eca9ee76a95f577622f465c85/rendering/17.obj", "4.31184101105")</f>
        <v>4.31184101105</v>
      </c>
      <c r="U345" s="66" t="str">
        <f>HYPERLINK(AB2 &amp; "/bottle/sn_de71aa5eca9ee76a95f577622f465c85/rendering/18.obj", "3.15620779991")</f>
        <v>3.15620779991</v>
      </c>
      <c r="V345" s="74" t="str">
        <f>HYPERLINK(AB2 &amp; "/bottle/sn_de71aa5eca9ee76a95f577622f465c85/rendering/19.obj", "3.70975399017")</f>
        <v>3.70975399017</v>
      </c>
      <c r="W345" s="12" t="s">
        <v>32</v>
      </c>
      <c r="X345" s="13">
        <v>3.7678275108337398</v>
      </c>
      <c r="Y345" s="13">
        <v>0.69864018749656165</v>
      </c>
      <c r="Z345" s="77">
        <v>0.18542255065757171</v>
      </c>
    </row>
    <row r="346" spans="1:26" x14ac:dyDescent="0.2">
      <c r="A346" s="1">
        <v>344</v>
      </c>
      <c r="B346" s="2" t="s">
        <v>101</v>
      </c>
      <c r="C346" s="13" t="str">
        <f>HYPERLINK(AC2 &amp; "/bottle/sn_de71aa5eca9ee76a95f577622f465c85/rendering/00.xyz", "0.0")</f>
        <v>0.0</v>
      </c>
      <c r="D346" s="13" t="str">
        <f>HYPERLINK(AC2 &amp; "/bottle/sn_de71aa5eca9ee76a95f577622f465c85/rendering/01.xyz", "0.0")</f>
        <v>0.0</v>
      </c>
      <c r="E346" s="13" t="str">
        <f>HYPERLINK(AC2 &amp; "/bottle/sn_de71aa5eca9ee76a95f577622f465c85/rendering/02.xyz", "0.0")</f>
        <v>0.0</v>
      </c>
      <c r="F346" s="13" t="str">
        <f>HYPERLINK(AC2 &amp; "/bottle/sn_de71aa5eca9ee76a95f577622f465c85/rendering/03.xyz", "0.0")</f>
        <v>0.0</v>
      </c>
      <c r="G346" s="13" t="str">
        <f>HYPERLINK(AC2 &amp; "/bottle/sn_de71aa5eca9ee76a95f577622f465c85/rendering/04.xyz", "0.0")</f>
        <v>0.0</v>
      </c>
      <c r="H346" s="13" t="str">
        <f>HYPERLINK(AC2 &amp; "/bottle/sn_de71aa5eca9ee76a95f577622f465c85/rendering/05.xyz", "0.0")</f>
        <v>0.0</v>
      </c>
      <c r="I346" s="13" t="str">
        <f>HYPERLINK(AC2 &amp; "/bottle/sn_de71aa5eca9ee76a95f577622f465c85/rendering/06.xyz", "0.0")</f>
        <v>0.0</v>
      </c>
      <c r="J346" s="13" t="str">
        <f>HYPERLINK(AC2 &amp; "/bottle/sn_de71aa5eca9ee76a95f577622f465c85/rendering/07.xyz", "0.0")</f>
        <v>0.0</v>
      </c>
      <c r="K346" s="13" t="str">
        <f>HYPERLINK(AC2 &amp; "/bottle/sn_de71aa5eca9ee76a95f577622f465c85/rendering/08.xyz", "0.0")</f>
        <v>0.0</v>
      </c>
      <c r="L346" s="13" t="str">
        <f>HYPERLINK(AC2 &amp; "/bottle/sn_de71aa5eca9ee76a95f577622f465c85/rendering/09.xyz", "0.0")</f>
        <v>0.0</v>
      </c>
      <c r="M346" s="13" t="str">
        <f>HYPERLINK(AC2 &amp; "/bottle/sn_de71aa5eca9ee76a95f577622f465c85/rendering/10.xyz", "0.0")</f>
        <v>0.0</v>
      </c>
      <c r="N346" s="13" t="str">
        <f>HYPERLINK(AC2 &amp; "/bottle/sn_de71aa5eca9ee76a95f577622f465c85/rendering/11.xyz", "0.0")</f>
        <v>0.0</v>
      </c>
      <c r="O346" s="13" t="str">
        <f>HYPERLINK(AC2 &amp; "/bottle/sn_de71aa5eca9ee76a95f577622f465c85/rendering/12.xyz", "0.0")</f>
        <v>0.0</v>
      </c>
      <c r="P346" s="13" t="str">
        <f>HYPERLINK(AC2 &amp; "/bottle/sn_de71aa5eca9ee76a95f577622f465c85/rendering/13.xyz", "0.0")</f>
        <v>0.0</v>
      </c>
      <c r="Q346" s="13" t="str">
        <f>HYPERLINK(AC2 &amp; "/bottle/sn_de71aa5eca9ee76a95f577622f465c85/rendering/14.xyz", "0.0")</f>
        <v>0.0</v>
      </c>
      <c r="R346" s="13" t="str">
        <f>HYPERLINK(AC2 &amp; "/bottle/sn_de71aa5eca9ee76a95f577622f465c85/rendering/15.xyz", "0.0")</f>
        <v>0.0</v>
      </c>
      <c r="S346" s="13" t="str">
        <f>HYPERLINK(AC2 &amp; "/bottle/sn_de71aa5eca9ee76a95f577622f465c85/rendering/16.xyz", "0.0")</f>
        <v>0.0</v>
      </c>
      <c r="T346" s="13" t="str">
        <f>HYPERLINK(AC2 &amp; "/bottle/sn_de71aa5eca9ee76a95f577622f465c85/rendering/17.xyz", "0.0")</f>
        <v>0.0</v>
      </c>
      <c r="U346" s="13" t="str">
        <f>HYPERLINK(AC2 &amp; "/bottle/sn_de71aa5eca9ee76a95f577622f465c85/rendering/18.xyz", "0.0")</f>
        <v>0.0</v>
      </c>
      <c r="V346" s="13" t="str">
        <f>HYPERLINK(AC2 &amp; "/bottle/sn_de71aa5eca9ee76a95f577622f465c85/rendering/19.xyz", "0.0")</f>
        <v>0.0</v>
      </c>
      <c r="W346" s="12" t="s">
        <v>33</v>
      </c>
      <c r="X346" s="13">
        <v>0</v>
      </c>
      <c r="Y346" s="13">
        <v>0</v>
      </c>
      <c r="Z346" s="13">
        <v>0</v>
      </c>
    </row>
    <row r="347" spans="1:26" x14ac:dyDescent="0.2">
      <c r="A347" s="1">
        <v>345</v>
      </c>
      <c r="B347" s="2" t="s">
        <v>102</v>
      </c>
      <c r="C347" s="20" t="str">
        <f>HYPERLINK(AA2 &amp; "/bottle/sn_defc45107217afb846564a8a219239b/rendering/00.obj", "10.0575201416")</f>
        <v>10.0575201416</v>
      </c>
      <c r="D347" s="164" t="str">
        <f>HYPERLINK(AA2 &amp; "/bottle/sn_defc45107217afb846564a8a219239b/rendering/01.obj", "6.15420654297")</f>
        <v>6.15420654297</v>
      </c>
      <c r="E347" s="49" t="str">
        <f>HYPERLINK(AA2 &amp; "/bottle/sn_defc45107217afb846564a8a219239b/rendering/02.obj", "2.97605072021")</f>
        <v>2.97605072021</v>
      </c>
      <c r="F347" s="37" t="str">
        <f>HYPERLINK(AA2 &amp; "/bottle/sn_defc45107217afb846564a8a219239b/rendering/03.obj", "3.1127923584")</f>
        <v>3.1127923584</v>
      </c>
      <c r="G347" s="20" t="str">
        <f>HYPERLINK(AA2 &amp; "/bottle/sn_defc45107217afb846564a8a219239b/rendering/04.obj", "13.4969580078")</f>
        <v>13.4969580078</v>
      </c>
      <c r="H347" s="138" t="str">
        <f>HYPERLINK(AA2 &amp; "/bottle/sn_defc45107217afb846564a8a219239b/rendering/05.obj", "2.49390884399")</f>
        <v>2.49390884399</v>
      </c>
      <c r="I347" s="55" t="str">
        <f>HYPERLINK(AA2 &amp; "/bottle/sn_defc45107217afb846564a8a219239b/rendering/06.obj", "3.03318359375")</f>
        <v>3.03318359375</v>
      </c>
      <c r="J347" s="88" t="str">
        <f>HYPERLINK(AA2 &amp; "/bottle/sn_defc45107217afb846564a8a219239b/rendering/07.obj", "2.9990246582")</f>
        <v>2.9990246582</v>
      </c>
      <c r="K347" s="52" t="str">
        <f>HYPERLINK(AA2 &amp; "/bottle/sn_defc45107217afb846564a8a219239b/rendering/08.obj", "2.25480621338")</f>
        <v>2.25480621338</v>
      </c>
      <c r="L347" s="163" t="str">
        <f>HYPERLINK(AA2 &amp; "/bottle/sn_defc45107217afb846564a8a219239b/rendering/09.obj", "2.10809844971")</f>
        <v>2.10809844971</v>
      </c>
      <c r="M347" s="129" t="str">
        <f>HYPERLINK(AA2 &amp; "/bottle/sn_defc45107217afb846564a8a219239b/rendering/10.obj", "4.69741271973")</f>
        <v>4.69741271973</v>
      </c>
      <c r="N347" s="136" t="str">
        <f>HYPERLINK(AA2 &amp; "/bottle/sn_defc45107217afb846564a8a219239b/rendering/11.obj", "2.86741088867")</f>
        <v>2.86741088867</v>
      </c>
      <c r="O347" s="181" t="str">
        <f>HYPERLINK(AA2 &amp; "/bottle/sn_defc45107217afb846564a8a219239b/rendering/12.obj", "2.09527282715")</f>
        <v>2.09527282715</v>
      </c>
      <c r="P347" s="172" t="str">
        <f>HYPERLINK(AA2 &amp; "/bottle/sn_defc45107217afb846564a8a219239b/rendering/13.obj", "2.31946517944")</f>
        <v>2.31946517944</v>
      </c>
      <c r="Q347" s="185" t="str">
        <f>HYPERLINK(AA2 &amp; "/bottle/sn_defc45107217afb846564a8a219239b/rendering/14.obj", "2.48743408203")</f>
        <v>2.48743408203</v>
      </c>
      <c r="R347" s="97" t="str">
        <f>HYPERLINK(AA2 &amp; "/bottle/sn_defc45107217afb846564a8a219239b/rendering/15.obj", "2.12487289429")</f>
        <v>2.12487289429</v>
      </c>
      <c r="S347" s="58" t="str">
        <f>HYPERLINK(AA2 &amp; "/bottle/sn_defc45107217afb846564a8a219239b/rendering/16.obj", "2.84385681152")</f>
        <v>2.84385681152</v>
      </c>
      <c r="T347" s="118" t="str">
        <f>HYPERLINK(AA2 &amp; "/bottle/sn_defc45107217afb846564a8a219239b/rendering/17.obj", "2.66116851807")</f>
        <v>2.66116851807</v>
      </c>
      <c r="U347" s="156" t="str">
        <f>HYPERLINK(AA2 &amp; "/bottle/sn_defc45107217afb846564a8a219239b/rendering/18.obj", "2.08078140259")</f>
        <v>2.08078140259</v>
      </c>
      <c r="V347" s="137" t="str">
        <f>HYPERLINK(AA2 &amp; "/bottle/sn_defc45107217afb846564a8a219239b/rendering/19.obj", "2.38530258179")</f>
        <v>2.38530258179</v>
      </c>
      <c r="W347" s="12" t="s">
        <v>29</v>
      </c>
      <c r="X347" s="13">
        <v>3.7624763717651368</v>
      </c>
      <c r="Y347" s="13">
        <v>2.88538285094539</v>
      </c>
      <c r="Z347" s="211">
        <v>0.76688397901931138</v>
      </c>
    </row>
    <row r="348" spans="1:26" x14ac:dyDescent="0.2">
      <c r="A348" s="1">
        <v>346</v>
      </c>
      <c r="B348" s="2" t="s">
        <v>102</v>
      </c>
      <c r="C348" s="20" t="str">
        <f>HYPERLINK(AA2 &amp; "/bottle/sn_defc45107217afb846564a8a219239b/rendering/00.obj", "13.7060279846")</f>
        <v>13.7060279846</v>
      </c>
      <c r="D348" s="20" t="str">
        <f>HYPERLINK(AA2 &amp; "/bottle/sn_defc45107217afb846564a8a219239b/rendering/01.obj", "8.43509197235")</f>
        <v>8.43509197235</v>
      </c>
      <c r="E348" s="137" t="str">
        <f>HYPERLINK(AA2 &amp; "/bottle/sn_defc45107217afb846564a8a219239b/rendering/02.obj", "2.98137974739")</f>
        <v>2.98137974739</v>
      </c>
      <c r="F348" s="193" t="str">
        <f>HYPERLINK(AA2 &amp; "/bottle/sn_defc45107217afb846564a8a219239b/rendering/03.obj", "3.14570260048")</f>
        <v>3.14570260048</v>
      </c>
      <c r="G348" s="20" t="str">
        <f>HYPERLINK(AA2 &amp; "/bottle/sn_defc45107217afb846564a8a219239b/rendering/04.obj", "22.2749271393")</f>
        <v>22.2749271393</v>
      </c>
      <c r="H348" s="200" t="str">
        <f>HYPERLINK(AA2 &amp; "/bottle/sn_defc45107217afb846564a8a219239b/rendering/05.obj", "2.44831562042")</f>
        <v>2.44831562042</v>
      </c>
      <c r="I348" s="24" t="str">
        <f>HYPERLINK(AA2 &amp; "/bottle/sn_defc45107217afb846564a8a219239b/rendering/06.obj", "3.90550041199")</f>
        <v>3.90550041199</v>
      </c>
      <c r="J348" s="119" t="str">
        <f>HYPERLINK(AA2 &amp; "/bottle/sn_defc45107217afb846564a8a219239b/rendering/07.obj", "3.44267344475")</f>
        <v>3.44267344475</v>
      </c>
      <c r="K348" s="174" t="str">
        <f>HYPERLINK(AA2 &amp; "/bottle/sn_defc45107217afb846564a8a219239b/rendering/08.obj", "2.23136782646")</f>
        <v>2.23136782646</v>
      </c>
      <c r="L348" s="22" t="str">
        <f>HYPERLINK(AA2 &amp; "/bottle/sn_defc45107217afb846564a8a219239b/rendering/09.obj", "2.23821568489")</f>
        <v>2.23821568489</v>
      </c>
      <c r="M348" s="106" t="str">
        <f>HYPERLINK(AA2 &amp; "/bottle/sn_defc45107217afb846564a8a219239b/rendering/10.obj", "5.2230553627")</f>
        <v>5.2230553627</v>
      </c>
      <c r="N348" s="135" t="str">
        <f>HYPERLINK(AA2 &amp; "/bottle/sn_defc45107217afb846564a8a219239b/rendering/11.obj", "3.4906308651")</f>
        <v>3.4906308651</v>
      </c>
      <c r="O348" s="218" t="str">
        <f>HYPERLINK(AA2 &amp; "/bottle/sn_defc45107217afb846564a8a219239b/rendering/12.obj", "2.27187848091")</f>
        <v>2.27187848091</v>
      </c>
      <c r="P348" s="228" t="str">
        <f>HYPERLINK(AA2 &amp; "/bottle/sn_defc45107217afb846564a8a219239b/rendering/13.obj", "2.1996819973")</f>
        <v>2.1996819973</v>
      </c>
      <c r="Q348" s="116" t="str">
        <f>HYPERLINK(AA2 &amp; "/bottle/sn_defc45107217afb846564a8a219239b/rendering/14.obj", "2.63717603683")</f>
        <v>2.63717603683</v>
      </c>
      <c r="R348" s="174" t="str">
        <f>HYPERLINK(AA2 &amp; "/bottle/sn_defc45107217afb846564a8a219239b/rendering/15.obj", "2.22205162048")</f>
        <v>2.22205162048</v>
      </c>
      <c r="S348" s="170" t="str">
        <f>HYPERLINK(AA2 &amp; "/bottle/sn_defc45107217afb846564a8a219239b/rendering/16.obj", "3.49994826317")</f>
        <v>3.49994826317</v>
      </c>
      <c r="T348" s="52" t="str">
        <f>HYPERLINK(AA2 &amp; "/bottle/sn_defc45107217afb846564a8a219239b/rendering/17.obj", "2.81098031998")</f>
        <v>2.81098031998</v>
      </c>
      <c r="U348" s="102" t="str">
        <f>HYPERLINK(AA2 &amp; "/bottle/sn_defc45107217afb846564a8a219239b/rendering/18.obj", "2.35340690613")</f>
        <v>2.35340690613</v>
      </c>
      <c r="V348" s="15" t="str">
        <f>HYPERLINK(AA2 &amp; "/bottle/sn_defc45107217afb846564a8a219239b/rendering/19.obj", "2.31062865257")</f>
        <v>2.31062865257</v>
      </c>
      <c r="W348" s="12" t="s">
        <v>30</v>
      </c>
      <c r="X348" s="13">
        <v>4.6914320468902586</v>
      </c>
      <c r="Y348" s="13">
        <v>4.8437865492241841</v>
      </c>
      <c r="Z348" s="20">
        <v>1.0324750525662869</v>
      </c>
    </row>
    <row r="349" spans="1:26" x14ac:dyDescent="0.2">
      <c r="A349" s="1">
        <v>347</v>
      </c>
      <c r="B349" s="2" t="s">
        <v>102</v>
      </c>
      <c r="C349" s="135" t="str">
        <f>HYPERLINK(AB2 &amp; "/bottle/sn_defc45107217afb846564a8a219239b/rendering/00.obj", "2.57823455811")</f>
        <v>2.57823455811</v>
      </c>
      <c r="D349" s="94" t="str">
        <f>HYPERLINK(AB2 &amp; "/bottle/sn_defc45107217afb846564a8a219239b/rendering/01.obj", "2.20026290894")</f>
        <v>2.20026290894</v>
      </c>
      <c r="E349" s="133" t="str">
        <f>HYPERLINK(AB2 &amp; "/bottle/sn_defc45107217afb846564a8a219239b/rendering/02.obj", "2.2589743042")</f>
        <v>2.2589743042</v>
      </c>
      <c r="F349" s="32" t="str">
        <f>HYPERLINK(AB2 &amp; "/bottle/sn_defc45107217afb846564a8a219239b/rendering/03.obj", "2.26976013184")</f>
        <v>2.26976013184</v>
      </c>
      <c r="G349" s="78" t="str">
        <f>HYPERLINK(AB2 &amp; "/bottle/sn_defc45107217afb846564a8a219239b/rendering/04.obj", "1.92837341309")</f>
        <v>1.92837341309</v>
      </c>
      <c r="H349" s="72" t="str">
        <f>HYPERLINK(AB2 &amp; "/bottle/sn_defc45107217afb846564a8a219239b/rendering/05.obj", "1.98446075439")</f>
        <v>1.98446075439</v>
      </c>
      <c r="I349" s="35" t="str">
        <f>HYPERLINK(AB2 &amp; "/bottle/sn_defc45107217afb846564a8a219239b/rendering/06.obj", "2.17308349609")</f>
        <v>2.17308349609</v>
      </c>
      <c r="J349" s="24" t="str">
        <f>HYPERLINK(AB2 &amp; "/bottle/sn_defc45107217afb846564a8a219239b/rendering/07.obj", "1.70913696289")</f>
        <v>1.70913696289</v>
      </c>
      <c r="K349" s="91" t="str">
        <f>HYPERLINK(AB2 &amp; "/bottle/sn_defc45107217afb846564a8a219239b/rendering/08.obj", "2.10574020386")</f>
        <v>2.10574020386</v>
      </c>
      <c r="L349" s="41" t="str">
        <f>HYPERLINK(AB2 &amp; "/bottle/sn_defc45107217afb846564a8a219239b/rendering/09.obj", "1.91241912842")</f>
        <v>1.91241912842</v>
      </c>
      <c r="M349" s="69" t="str">
        <f>HYPERLINK(AB2 &amp; "/bottle/sn_defc45107217afb846564a8a219239b/rendering/10.obj", "2.11267791748")</f>
        <v>2.11267791748</v>
      </c>
      <c r="N349" s="13" t="str">
        <f>HYPERLINK(AB2 &amp; "/bottle/sn_defc45107217afb846564a8a219239b/rendering/11.obj", "2.05752532959")</f>
        <v>2.05752532959</v>
      </c>
      <c r="O349" s="5" t="str">
        <f>HYPERLINK(AB2 &amp; "/bottle/sn_defc45107217afb846564a8a219239b/rendering/12.obj", "2.20802734375")</f>
        <v>2.20802734375</v>
      </c>
      <c r="P349" s="27" t="str">
        <f>HYPERLINK(AB2 &amp; "/bottle/sn_defc45107217afb846564a8a219239b/rendering/13.obj", "2.19738372803")</f>
        <v>2.19738372803</v>
      </c>
      <c r="Q349" s="5" t="str">
        <f>HYPERLINK(AB2 &amp; "/bottle/sn_defc45107217afb846564a8a219239b/rendering/14.obj", "1.89710174561")</f>
        <v>1.89710174561</v>
      </c>
      <c r="R349" s="110" t="str">
        <f>HYPERLINK(AB2 &amp; "/bottle/sn_defc45107217afb846564a8a219239b/rendering/15.obj", "1.85107254028")</f>
        <v>1.85107254028</v>
      </c>
      <c r="S349" s="26" t="str">
        <f>HYPERLINK(AB2 &amp; "/bottle/sn_defc45107217afb846564a8a219239b/rendering/16.obj", "1.91845031738")</f>
        <v>1.91845031738</v>
      </c>
      <c r="T349" s="110" t="str">
        <f>HYPERLINK(AB2 &amp; "/bottle/sn_defc45107217afb846564a8a219239b/rendering/17.obj", "1.84915618896")</f>
        <v>1.84915618896</v>
      </c>
      <c r="U349" s="91" t="str">
        <f>HYPERLINK(AB2 &amp; "/bottle/sn_defc45107217afb846564a8a219239b/rendering/18.obj", "2.10961013794")</f>
        <v>2.10961013794</v>
      </c>
      <c r="V349" s="64" t="str">
        <f>HYPERLINK(AB2 &amp; "/bottle/sn_defc45107217afb846564a8a219239b/rendering/19.obj", "1.71687713623")</f>
        <v>1.71687713623</v>
      </c>
      <c r="W349" s="12" t="s">
        <v>31</v>
      </c>
      <c r="X349" s="13">
        <v>2.0519164123535161</v>
      </c>
      <c r="Y349" s="13">
        <v>0.20636867363425049</v>
      </c>
      <c r="Z349" s="133">
        <v>0.1005736259000672</v>
      </c>
    </row>
    <row r="350" spans="1:26" x14ac:dyDescent="0.2">
      <c r="A350" s="1">
        <v>348</v>
      </c>
      <c r="B350" s="2" t="s">
        <v>102</v>
      </c>
      <c r="C350" s="176" t="str">
        <f>HYPERLINK(AB2 &amp; "/bottle/sn_defc45107217afb846564a8a219239b/rendering/00.obj", "3.02417564392")</f>
        <v>3.02417564392</v>
      </c>
      <c r="D350" s="69" t="str">
        <f>HYPERLINK(AB2 &amp; "/bottle/sn_defc45107217afb846564a8a219239b/rendering/01.obj", "2.22703695297")</f>
        <v>2.22703695297</v>
      </c>
      <c r="E350" s="73" t="str">
        <f>HYPERLINK(AB2 &amp; "/bottle/sn_defc45107217afb846564a8a219239b/rendering/02.obj", "2.37746524811")</f>
        <v>2.37746524811</v>
      </c>
      <c r="F350" s="48" t="str">
        <f>HYPERLINK(AB2 &amp; "/bottle/sn_defc45107217afb846564a8a219239b/rendering/03.obj", "2.34962272644")</f>
        <v>2.34962272644</v>
      </c>
      <c r="G350" s="46" t="str">
        <f>HYPERLINK(AB2 &amp; "/bottle/sn_defc45107217afb846564a8a219239b/rendering/04.obj", "2.25358247757")</f>
        <v>2.25358247757</v>
      </c>
      <c r="H350" s="73" t="str">
        <f>HYPERLINK(AB2 &amp; "/bottle/sn_defc45107217afb846564a8a219239b/rendering/05.obj", "2.37456464767")</f>
        <v>2.37456464767</v>
      </c>
      <c r="I350" s="10" t="str">
        <f>HYPERLINK(AB2 &amp; "/bottle/sn_defc45107217afb846564a8a219239b/rendering/06.obj", "2.41883230209")</f>
        <v>2.41883230209</v>
      </c>
      <c r="J350" s="66" t="str">
        <f>HYPERLINK(AB2 &amp; "/bottle/sn_defc45107217afb846564a8a219239b/rendering/07.obj", "1.92128193378")</f>
        <v>1.92128193378</v>
      </c>
      <c r="K350" s="92" t="str">
        <f>HYPERLINK(AB2 &amp; "/bottle/sn_defc45107217afb846564a8a219239b/rendering/08.obj", "2.5780775547")</f>
        <v>2.5780775547</v>
      </c>
      <c r="L350" s="32" t="str">
        <f>HYPERLINK(AB2 &amp; "/bottle/sn_defc45107217afb846564a8a219239b/rendering/09.obj", "2.04929304123")</f>
        <v>2.04929304123</v>
      </c>
      <c r="M350" s="60" t="str">
        <f>HYPERLINK(AB2 &amp; "/bottle/sn_defc45107217afb846564a8a219239b/rendering/10.obj", "2.41392445564")</f>
        <v>2.41392445564</v>
      </c>
      <c r="N350" s="48" t="str">
        <f>HYPERLINK(AB2 &amp; "/bottle/sn_defc45107217afb846564a8a219239b/rendering/11.obj", "2.34484410286")</f>
        <v>2.34484410286</v>
      </c>
      <c r="O350" s="72" t="str">
        <f>HYPERLINK(AB2 &amp; "/bottle/sn_defc45107217afb846564a8a219239b/rendering/12.obj", "2.36790633202")</f>
        <v>2.36790633202</v>
      </c>
      <c r="P350" s="13" t="str">
        <f>HYPERLINK(AB2 &amp; "/bottle/sn_defc45107217afb846564a8a219239b/rendering/13.obj", "2.2960255146")</f>
        <v>2.2960255146</v>
      </c>
      <c r="Q350" s="5" t="str">
        <f>HYPERLINK(AB2 &amp; "/bottle/sn_defc45107217afb846564a8a219239b/rendering/14.obj", "2.11864686012")</f>
        <v>2.11864686012</v>
      </c>
      <c r="R350" s="13" t="str">
        <f>HYPERLINK(AB2 &amp; "/bottle/sn_defc45107217afb846564a8a219239b/rendering/15.obj", "2.287753582")</f>
        <v>2.287753582</v>
      </c>
      <c r="S350" s="60" t="str">
        <f>HYPERLINK(AB2 &amp; "/bottle/sn_defc45107217afb846564a8a219239b/rendering/16.obj", "2.17633867264")</f>
        <v>2.17633867264</v>
      </c>
      <c r="T350" s="110" t="str">
        <f>HYPERLINK(AB2 &amp; "/bottle/sn_defc45107217afb846564a8a219239b/rendering/17.obj", "2.06483483315")</f>
        <v>2.06483483315</v>
      </c>
      <c r="U350" s="17" t="str">
        <f>HYPERLINK(AB2 &amp; "/bottle/sn_defc45107217afb846564a8a219239b/rendering/18.obj", "2.24368000031")</f>
        <v>2.24368000031</v>
      </c>
      <c r="V350" s="8" t="str">
        <f>HYPERLINK(AB2 &amp; "/bottle/sn_defc45107217afb846564a8a219239b/rendering/19.obj", "1.96416568756")</f>
        <v>1.96416568756</v>
      </c>
      <c r="W350" s="12" t="s">
        <v>32</v>
      </c>
      <c r="X350" s="13">
        <v>2.2926026284694672</v>
      </c>
      <c r="Y350" s="13">
        <v>0.2325697831260515</v>
      </c>
      <c r="Z350" s="133">
        <v>0.1014435647233442</v>
      </c>
    </row>
    <row r="351" spans="1:26" x14ac:dyDescent="0.2">
      <c r="A351" s="1">
        <v>349</v>
      </c>
      <c r="B351" s="2" t="s">
        <v>102</v>
      </c>
      <c r="C351" s="13" t="str">
        <f>HYPERLINK(AC2 &amp; "/bottle/sn_defc45107217afb846564a8a219239b/rendering/00.xyz", "0.0")</f>
        <v>0.0</v>
      </c>
      <c r="D351" s="13" t="str">
        <f>HYPERLINK(AC2 &amp; "/bottle/sn_defc45107217afb846564a8a219239b/rendering/01.xyz", "0.0")</f>
        <v>0.0</v>
      </c>
      <c r="E351" s="13" t="str">
        <f>HYPERLINK(AC2 &amp; "/bottle/sn_defc45107217afb846564a8a219239b/rendering/02.xyz", "0.0")</f>
        <v>0.0</v>
      </c>
      <c r="F351" s="13" t="str">
        <f>HYPERLINK(AC2 &amp; "/bottle/sn_defc45107217afb846564a8a219239b/rendering/03.xyz", "0.0")</f>
        <v>0.0</v>
      </c>
      <c r="G351" s="13" t="str">
        <f>HYPERLINK(AC2 &amp; "/bottle/sn_defc45107217afb846564a8a219239b/rendering/04.xyz", "0.0")</f>
        <v>0.0</v>
      </c>
      <c r="H351" s="13" t="str">
        <f>HYPERLINK(AC2 &amp; "/bottle/sn_defc45107217afb846564a8a219239b/rendering/05.xyz", "0.0")</f>
        <v>0.0</v>
      </c>
      <c r="I351" s="13" t="str">
        <f>HYPERLINK(AC2 &amp; "/bottle/sn_defc45107217afb846564a8a219239b/rendering/06.xyz", "0.0")</f>
        <v>0.0</v>
      </c>
      <c r="J351" s="13" t="str">
        <f>HYPERLINK(AC2 &amp; "/bottle/sn_defc45107217afb846564a8a219239b/rendering/07.xyz", "0.0")</f>
        <v>0.0</v>
      </c>
      <c r="K351" s="13" t="str">
        <f>HYPERLINK(AC2 &amp; "/bottle/sn_defc45107217afb846564a8a219239b/rendering/08.xyz", "0.0")</f>
        <v>0.0</v>
      </c>
      <c r="L351" s="13" t="str">
        <f>HYPERLINK(AC2 &amp; "/bottle/sn_defc45107217afb846564a8a219239b/rendering/09.xyz", "0.0")</f>
        <v>0.0</v>
      </c>
      <c r="M351" s="13" t="str">
        <f>HYPERLINK(AC2 &amp; "/bottle/sn_defc45107217afb846564a8a219239b/rendering/10.xyz", "0.0")</f>
        <v>0.0</v>
      </c>
      <c r="N351" s="13" t="str">
        <f>HYPERLINK(AC2 &amp; "/bottle/sn_defc45107217afb846564a8a219239b/rendering/11.xyz", "0.0")</f>
        <v>0.0</v>
      </c>
      <c r="O351" s="13" t="str">
        <f>HYPERLINK(AC2 &amp; "/bottle/sn_defc45107217afb846564a8a219239b/rendering/12.xyz", "0.0")</f>
        <v>0.0</v>
      </c>
      <c r="P351" s="13" t="str">
        <f>HYPERLINK(AC2 &amp; "/bottle/sn_defc45107217afb846564a8a219239b/rendering/13.xyz", "0.0")</f>
        <v>0.0</v>
      </c>
      <c r="Q351" s="13" t="str">
        <f>HYPERLINK(AC2 &amp; "/bottle/sn_defc45107217afb846564a8a219239b/rendering/14.xyz", "0.0")</f>
        <v>0.0</v>
      </c>
      <c r="R351" s="13" t="str">
        <f>HYPERLINK(AC2 &amp; "/bottle/sn_defc45107217afb846564a8a219239b/rendering/15.xyz", "0.0")</f>
        <v>0.0</v>
      </c>
      <c r="S351" s="13" t="str">
        <f>HYPERLINK(AC2 &amp; "/bottle/sn_defc45107217afb846564a8a219239b/rendering/16.xyz", "0.0")</f>
        <v>0.0</v>
      </c>
      <c r="T351" s="13" t="str">
        <f>HYPERLINK(AC2 &amp; "/bottle/sn_defc45107217afb846564a8a219239b/rendering/17.xyz", "0.0")</f>
        <v>0.0</v>
      </c>
      <c r="U351" s="13" t="str">
        <f>HYPERLINK(AC2 &amp; "/bottle/sn_defc45107217afb846564a8a219239b/rendering/18.xyz", "0.0")</f>
        <v>0.0</v>
      </c>
      <c r="V351" s="13" t="str">
        <f>HYPERLINK(AC2 &amp; "/bottle/sn_defc45107217afb846564a8a219239b/rendering/19.xyz", "0.0")</f>
        <v>0.0</v>
      </c>
      <c r="W351" s="12" t="s">
        <v>33</v>
      </c>
      <c r="X351" s="13">
        <v>0</v>
      </c>
      <c r="Y351" s="13">
        <v>0</v>
      </c>
      <c r="Z351" s="13">
        <v>0</v>
      </c>
    </row>
    <row r="352" spans="1:26" x14ac:dyDescent="0.2">
      <c r="A352" s="1">
        <v>350</v>
      </c>
      <c r="B352" s="2" t="s">
        <v>103</v>
      </c>
      <c r="C352" s="26" t="str">
        <f>HYPERLINK(AA2 &amp; "/bottle/sn_df4ec460683acbb89d789ef7917b7723/rendering/00.obj", "3.47905029297")</f>
        <v>3.47905029297</v>
      </c>
      <c r="D352" s="36" t="str">
        <f>HYPERLINK(AA2 &amp; "/bottle/sn_df4ec460683acbb89d789ef7917b7723/rendering/01.obj", "2.56391174316")</f>
        <v>2.56391174316</v>
      </c>
      <c r="E352" s="59" t="str">
        <f>HYPERLINK(AA2 &amp; "/bottle/sn_df4ec460683acbb89d789ef7917b7723/rendering/02.obj", "2.48748214722")</f>
        <v>2.48748214722</v>
      </c>
      <c r="F352" s="80" t="str">
        <f>HYPERLINK(AA2 &amp; "/bottle/sn_df4ec460683acbb89d789ef7917b7723/rendering/03.obj", "2.78435974121")</f>
        <v>2.78435974121</v>
      </c>
      <c r="G352" s="88" t="str">
        <f>HYPERLINK(AA2 &amp; "/bottle/sn_df4ec460683acbb89d789ef7917b7723/rendering/04.obj", "2.60832275391")</f>
        <v>2.60832275391</v>
      </c>
      <c r="H352" s="26" t="str">
        <f>HYPERLINK(AA2 &amp; "/bottle/sn_df4ec460683acbb89d789ef7917b7723/rendering/05.obj", "3.05599487305")</f>
        <v>3.05599487305</v>
      </c>
      <c r="I352" s="4" t="str">
        <f>HYPERLINK(AA2 &amp; "/bottle/sn_df4ec460683acbb89d789ef7917b7723/rendering/06.obj", "2.33602615356")</f>
        <v>2.33602615356</v>
      </c>
      <c r="J352" s="20" t="str">
        <f>HYPERLINK(AA2 &amp; "/bottle/sn_df4ec460683acbb89d789ef7917b7723/rendering/07.obj", "6.19518554687")</f>
        <v>6.19518554687</v>
      </c>
      <c r="K352" s="34" t="str">
        <f>HYPERLINK(AA2 &amp; "/bottle/sn_df4ec460683acbb89d789ef7917b7723/rendering/08.obj", "3.10648040771")</f>
        <v>3.10648040771</v>
      </c>
      <c r="L352" s="26" t="str">
        <f>HYPERLINK(AA2 &amp; "/bottle/sn_df4ec460683acbb89d789ef7917b7723/rendering/09.obj", "3.48046112061")</f>
        <v>3.48046112061</v>
      </c>
      <c r="M352" s="4" t="str">
        <f>HYPERLINK(AA2 &amp; "/bottle/sn_df4ec460683acbb89d789ef7917b7723/rendering/10.obj", "2.33588531494")</f>
        <v>2.33588531494</v>
      </c>
      <c r="N352" s="175" t="str">
        <f>HYPERLINK(AA2 &amp; "/bottle/sn_df4ec460683acbb89d789ef7917b7723/rendering/11.obj", "4.03188110352")</f>
        <v>4.03188110352</v>
      </c>
      <c r="O352" s="20" t="str">
        <f>HYPERLINK(AA2 &amp; "/bottle/sn_df4ec460683acbb89d789ef7917b7723/rendering/12.obj", "7.93961914063")</f>
        <v>7.93961914063</v>
      </c>
      <c r="P352" s="52" t="str">
        <f>HYPERLINK(AA2 &amp; "/bottle/sn_df4ec460683acbb89d789ef7917b7723/rendering/13.obj", "1.95687255859")</f>
        <v>1.95687255859</v>
      </c>
      <c r="Q352" s="108" t="str">
        <f>HYPERLINK(AA2 &amp; "/bottle/sn_df4ec460683acbb89d789ef7917b7723/rendering/14.obj", "2.46837371826")</f>
        <v>2.46837371826</v>
      </c>
      <c r="R352" s="63" t="str">
        <f>HYPERLINK(AA2 &amp; "/bottle/sn_df4ec460683acbb89d789ef7917b7723/rendering/15.obj", "2.87069549561")</f>
        <v>2.87069549561</v>
      </c>
      <c r="S352" s="60" t="str">
        <f>HYPERLINK(AA2 &amp; "/bottle/sn_df4ec460683acbb89d789ef7917b7723/rendering/16.obj", "3.44006286621")</f>
        <v>3.44006286621</v>
      </c>
      <c r="T352" s="31" t="str">
        <f>HYPERLINK(AA2 &amp; "/bottle/sn_df4ec460683acbb89d789ef7917b7723/rendering/17.obj", "2.76268859863")</f>
        <v>2.76268859863</v>
      </c>
      <c r="U352" s="39" t="str">
        <f>HYPERLINK(AA2 &amp; "/bottle/sn_df4ec460683acbb89d789ef7917b7723/rendering/18.obj", "3.5455581665")</f>
        <v>3.5455581665</v>
      </c>
      <c r="V352" s="53" t="str">
        <f>HYPERLINK(AA2 &amp; "/bottle/sn_df4ec460683acbb89d789ef7917b7723/rendering/19.obj", "1.92170028687")</f>
        <v>1.92170028687</v>
      </c>
      <c r="W352" s="12" t="s">
        <v>29</v>
      </c>
      <c r="X352" s="13">
        <v>3.2685306015014648</v>
      </c>
      <c r="Y352" s="13">
        <v>1.402478598005092</v>
      </c>
      <c r="Z352" s="179">
        <v>0.42908535026743683</v>
      </c>
    </row>
    <row r="353" spans="1:26" x14ac:dyDescent="0.2">
      <c r="A353" s="1">
        <v>351</v>
      </c>
      <c r="B353" s="2" t="s">
        <v>103</v>
      </c>
      <c r="C353" s="92" t="str">
        <f>HYPERLINK(AA2 &amp; "/bottle/sn_df4ec460683acbb89d789ef7917b7723/rendering/00.obj", "3.62835359573")</f>
        <v>3.62835359573</v>
      </c>
      <c r="D353" s="99" t="str">
        <f>HYPERLINK(AA2 &amp; "/bottle/sn_df4ec460683acbb89d789ef7917b7723/rendering/01.obj", "2.35085558891")</f>
        <v>2.35085558891</v>
      </c>
      <c r="E353" s="198" t="str">
        <f>HYPERLINK(AA2 &amp; "/bottle/sn_df4ec460683acbb89d789ef7917b7723/rendering/02.obj", "1.98216712475")</f>
        <v>1.98216712475</v>
      </c>
      <c r="F353" s="41" t="str">
        <f>HYPERLINK(AA2 &amp; "/bottle/sn_df4ec460683acbb89d789ef7917b7723/rendering/03.obj", "3.01653432846")</f>
        <v>3.01653432846</v>
      </c>
      <c r="G353" s="128" t="str">
        <f>HYPERLINK(AA2 &amp; "/bottle/sn_df4ec460683acbb89d789ef7917b7723/rendering/04.obj", "1.96554648876")</f>
        <v>1.96554648876</v>
      </c>
      <c r="H353" s="73" t="str">
        <f>HYPERLINK(AA2 &amp; "/bottle/sn_df4ec460683acbb89d789ef7917b7723/rendering/05.obj", "3.10918974876")</f>
        <v>3.10918974876</v>
      </c>
      <c r="I353" s="57" t="str">
        <f>HYPERLINK(AA2 &amp; "/bottle/sn_df4ec460683acbb89d789ef7917b7723/rendering/06.obj", "2.21211791039")</f>
        <v>2.21211791039</v>
      </c>
      <c r="J353" s="20" t="str">
        <f>HYPERLINK(AA2 &amp; "/bottle/sn_df4ec460683acbb89d789ef7917b7723/rendering/07.obj", "6.80442476273")</f>
        <v>6.80442476273</v>
      </c>
      <c r="K353" s="51" t="str">
        <f>HYPERLINK(AA2 &amp; "/bottle/sn_df4ec460683acbb89d789ef7917b7723/rendering/08.obj", "2.97004747391")</f>
        <v>2.97004747391</v>
      </c>
      <c r="L353" s="7" t="str">
        <f>HYPERLINK(AA2 &amp; "/bottle/sn_df4ec460683acbb89d789ef7917b7723/rendering/09.obj", "4.12637472153")</f>
        <v>4.12637472153</v>
      </c>
      <c r="M353" s="170" t="str">
        <f>HYPERLINK(AA2 &amp; "/bottle/sn_df4ec460683acbb89d789ef7917b7723/rendering/10.obj", "2.41489267349")</f>
        <v>2.41489267349</v>
      </c>
      <c r="N353" s="58" t="str">
        <f>HYPERLINK(AA2 &amp; "/bottle/sn_df4ec460683acbb89d789ef7917b7723/rendering/11.obj", "4.01809358597")</f>
        <v>4.01809358597</v>
      </c>
      <c r="O353" s="20" t="str">
        <f>HYPERLINK(AA2 &amp; "/bottle/sn_df4ec460683acbb89d789ef7917b7723/rendering/12.obj", "8.90396022797")</f>
        <v>8.90396022797</v>
      </c>
      <c r="P353" s="153" t="str">
        <f>HYPERLINK(AA2 &amp; "/bottle/sn_df4ec460683acbb89d789ef7917b7723/rendering/13.obj", "2.08047032356")</f>
        <v>2.08047032356</v>
      </c>
      <c r="Q353" s="138" t="str">
        <f>HYPERLINK(AA2 &amp; "/bottle/sn_df4ec460683acbb89d789ef7917b7723/rendering/14.obj", "2.13914632797")</f>
        <v>2.13914632797</v>
      </c>
      <c r="R353" s="129" t="str">
        <f>HYPERLINK(AA2 &amp; "/bottle/sn_df4ec460683acbb89d789ef7917b7723/rendering/15.obj", "2.42565751076")</f>
        <v>2.42565751076</v>
      </c>
      <c r="S353" s="70" t="str">
        <f>HYPERLINK(AA2 &amp; "/bottle/sn_df4ec460683acbb89d789ef7917b7723/rendering/16.obj", "3.64375686646")</f>
        <v>3.64375686646</v>
      </c>
      <c r="T353" s="198" t="str">
        <f>HYPERLINK(AA2 &amp; "/bottle/sn_df4ec460683acbb89d789ef7917b7723/rendering/17.obj", "1.97988784313")</f>
        <v>1.97988784313</v>
      </c>
      <c r="U353" s="110" t="str">
        <f>HYPERLINK(AA2 &amp; "/bottle/sn_df4ec460683acbb89d789ef7917b7723/rendering/18.obj", "2.91153240204")</f>
        <v>2.91153240204</v>
      </c>
      <c r="V353" s="152" t="str">
        <f>HYPERLINK(AA2 &amp; "/bottle/sn_df4ec460683acbb89d789ef7917b7723/rendering/19.obj", "1.91834449768")</f>
        <v>1.91834449768</v>
      </c>
      <c r="W353" s="12" t="s">
        <v>30</v>
      </c>
      <c r="X353" s="13">
        <v>3.2300677001476288</v>
      </c>
      <c r="Y353" s="13">
        <v>1.7179178101374619</v>
      </c>
      <c r="Z353" s="228">
        <v>0.53185195160427912</v>
      </c>
    </row>
    <row r="354" spans="1:26" x14ac:dyDescent="0.2">
      <c r="A354" s="1">
        <v>352</v>
      </c>
      <c r="B354" s="2" t="s">
        <v>103</v>
      </c>
      <c r="C354" s="25" t="str">
        <f>HYPERLINK(AB2 &amp; "/bottle/sn_df4ec460683acbb89d789ef7917b7723/rendering/00.obj", "2.26478759766")</f>
        <v>2.26478759766</v>
      </c>
      <c r="D354" s="41" t="str">
        <f>HYPERLINK(AB2 &amp; "/bottle/sn_df4ec460683acbb89d789ef7917b7723/rendering/01.obj", "2.38808441162")</f>
        <v>2.38808441162</v>
      </c>
      <c r="E354" s="60" t="str">
        <f>HYPERLINK(AB2 &amp; "/bottle/sn_df4ec460683acbb89d789ef7917b7723/rendering/02.obj", "2.35874206543")</f>
        <v>2.35874206543</v>
      </c>
      <c r="F354" s="66" t="str">
        <f>HYPERLINK(AB2 &amp; "/bottle/sn_df4ec460683acbb89d789ef7917b7723/rendering/03.obj", "2.6037298584")</f>
        <v>2.6037298584</v>
      </c>
      <c r="G354" s="79" t="str">
        <f>HYPERLINK(AB2 &amp; "/bottle/sn_df4ec460683acbb89d789ef7917b7723/rendering/04.obj", "1.88629455566")</f>
        <v>1.88629455566</v>
      </c>
      <c r="H354" s="92" t="str">
        <f>HYPERLINK(AB2 &amp; "/bottle/sn_df4ec460683acbb89d789ef7917b7723/rendering/05.obj", "1.96387969971")</f>
        <v>1.96387969971</v>
      </c>
      <c r="I354" s="34" t="str">
        <f>HYPERLINK(AB2 &amp; "/bottle/sn_df4ec460683acbb89d789ef7917b7723/rendering/06.obj", "2.13389297485")</f>
        <v>2.13389297485</v>
      </c>
      <c r="J354" s="80" t="str">
        <f>HYPERLINK(AB2 &amp; "/bottle/sn_df4ec460683acbb89d789ef7917b7723/rendering/07.obj", "1.90364562988")</f>
        <v>1.90364562988</v>
      </c>
      <c r="K354" s="68" t="str">
        <f>HYPERLINK(AB2 &amp; "/bottle/sn_df4ec460683acbb89d789ef7917b7723/rendering/08.obj", "2.14782409668")</f>
        <v>2.14782409668</v>
      </c>
      <c r="L354" s="48" t="str">
        <f>HYPERLINK(AB2 &amp; "/bottle/sn_df4ec460683acbb89d789ef7917b7723/rendering/09.obj", "2.2909387207")</f>
        <v>2.2909387207</v>
      </c>
      <c r="M354" s="19" t="str">
        <f>HYPERLINK(AB2 &amp; "/bottle/sn_df4ec460683acbb89d789ef7917b7723/rendering/10.obj", "2.82572692871")</f>
        <v>2.82572692871</v>
      </c>
      <c r="N354" s="25" t="str">
        <f>HYPERLINK(AB2 &amp; "/bottle/sn_df4ec460683acbb89d789ef7917b7723/rendering/11.obj", "2.21643890381")</f>
        <v>2.21643890381</v>
      </c>
      <c r="O354" s="39" t="str">
        <f>HYPERLINK(AB2 &amp; "/bottle/sn_df4ec460683acbb89d789ef7917b7723/rendering/12.obj", "2.43371520996")</f>
        <v>2.43371520996</v>
      </c>
      <c r="P354" s="79" t="str">
        <f>HYPERLINK(AB2 &amp; "/bottle/sn_df4ec460683acbb89d789ef7917b7723/rendering/13.obj", "1.88704803467")</f>
        <v>1.88704803467</v>
      </c>
      <c r="Q354" s="94" t="str">
        <f>HYPERLINK(AB2 &amp; "/bottle/sn_df4ec460683acbb89d789ef7917b7723/rendering/14.obj", "2.40577056885")</f>
        <v>2.40577056885</v>
      </c>
      <c r="R354" s="48" t="str">
        <f>HYPERLINK(AB2 &amp; "/bottle/sn_df4ec460683acbb89d789ef7917b7723/rendering/15.obj", "2.2900100708")</f>
        <v>2.2900100708</v>
      </c>
      <c r="S354" s="25" t="str">
        <f>HYPERLINK(AB2 &amp; "/bottle/sn_df4ec460683acbb89d789ef7917b7723/rendering/16.obj", "2.21416748047")</f>
        <v>2.21416748047</v>
      </c>
      <c r="T354" s="91" t="str">
        <f>HYPERLINK(AB2 &amp; "/bottle/sn_df4ec460683acbb89d789ef7917b7723/rendering/17.obj", "2.17984832764")</f>
        <v>2.17984832764</v>
      </c>
      <c r="U354" s="46" t="str">
        <f>HYPERLINK(AB2 &amp; "/bottle/sn_df4ec460683acbb89d789ef7917b7723/rendering/18.obj", "2.19840057373")</f>
        <v>2.19840057373</v>
      </c>
      <c r="V354" s="74" t="str">
        <f>HYPERLINK(AB2 &amp; "/bottle/sn_df4ec460683acbb89d789ef7917b7723/rendering/19.obj", "2.21019454956")</f>
        <v>2.21019454956</v>
      </c>
      <c r="W354" s="12" t="s">
        <v>31</v>
      </c>
      <c r="X354" s="13">
        <v>2.240157012939453</v>
      </c>
      <c r="Y354" s="13">
        <v>0.22895340456402291</v>
      </c>
      <c r="Z354" s="133">
        <v>0.1022041773150528</v>
      </c>
    </row>
    <row r="355" spans="1:26" x14ac:dyDescent="0.2">
      <c r="A355" s="1">
        <v>353</v>
      </c>
      <c r="B355" s="2" t="s">
        <v>103</v>
      </c>
      <c r="C355" s="65" t="str">
        <f>HYPERLINK(AB2 &amp; "/bottle/sn_df4ec460683acbb89d789ef7917b7723/rendering/00.obj", "2.27300024033")</f>
        <v>2.27300024033</v>
      </c>
      <c r="D355" s="98" t="str">
        <f>HYPERLINK(AB2 &amp; "/bottle/sn_df4ec460683acbb89d789ef7917b7723/rendering/01.obj", "2.46541547775")</f>
        <v>2.46541547775</v>
      </c>
      <c r="E355" s="107" t="str">
        <f>HYPERLINK(AB2 &amp; "/bottle/sn_df4ec460683acbb89d789ef7917b7723/rendering/02.obj", "2.17161726952")</f>
        <v>2.17161726952</v>
      </c>
      <c r="F355" s="8" t="str">
        <f>HYPERLINK(AB2 &amp; "/bottle/sn_df4ec460683acbb89d789ef7917b7723/rendering/03.obj", "2.29484415054")</f>
        <v>2.29484415054</v>
      </c>
      <c r="G355" s="73" t="str">
        <f>HYPERLINK(AB2 &amp; "/bottle/sn_df4ec460683acbb89d789ef7917b7723/rendering/04.obj", "1.93630051613")</f>
        <v>1.93630051613</v>
      </c>
      <c r="H355" s="94" t="str">
        <f>HYPERLINK(AB2 &amp; "/bottle/sn_df4ec460683acbb89d789ef7917b7723/rendering/05.obj", "1.86008441448")</f>
        <v>1.86008441448</v>
      </c>
      <c r="I355" s="70" t="str">
        <f>HYPERLINK(AB2 &amp; "/bottle/sn_df4ec460683acbb89d789ef7917b7723/rendering/06.obj", "1.75380003452")</f>
        <v>1.75380003452</v>
      </c>
      <c r="J355" s="5" t="str">
        <f>HYPERLINK(AB2 &amp; "/bottle/sn_df4ec460683acbb89d789ef7917b7723/rendering/07.obj", "1.85437726974")</f>
        <v>1.85437726974</v>
      </c>
      <c r="K355" s="13" t="str">
        <f>HYPERLINK(AB2 &amp; "/bottle/sn_df4ec460683acbb89d789ef7917b7723/rendering/08.obj", "2.00545787811")</f>
        <v>2.00545787811</v>
      </c>
      <c r="L355" s="94" t="str">
        <f>HYPERLINK(AB2 &amp; "/bottle/sn_df4ec460683acbb89d789ef7917b7723/rendering/09.obj", "2.15125989914")</f>
        <v>2.15125989914</v>
      </c>
      <c r="M355" s="10" t="str">
        <f>HYPERLINK(AB2 &amp; "/bottle/sn_df4ec460683acbb89d789ef7917b7723/rendering/10.obj", "2.11373281479")</f>
        <v>2.11373281479</v>
      </c>
      <c r="N355" s="106" t="str">
        <f>HYPERLINK(AB2 &amp; "/bottle/sn_df4ec460683acbb89d789ef7917b7723/rendering/11.obj", "1.77457034588")</f>
        <v>1.77457034588</v>
      </c>
      <c r="O355" s="35" t="str">
        <f>HYPERLINK(AB2 &amp; "/bottle/sn_df4ec460683acbb89d789ef7917b7723/rendering/12.obj", "2.12204456329")</f>
        <v>2.12204456329</v>
      </c>
      <c r="P355" s="49" t="str">
        <f>HYPERLINK(AB2 &amp; "/bottle/sn_df4ec460683acbb89d789ef7917b7723/rendering/13.obj", "1.58430492878")</f>
        <v>1.58430492878</v>
      </c>
      <c r="Q355" s="10" t="str">
        <f>HYPERLINK(AB2 &amp; "/bottle/sn_df4ec460683acbb89d789ef7917b7723/rendering/14.obj", "2.1134557724")</f>
        <v>2.1134557724</v>
      </c>
      <c r="R355" s="51" t="str">
        <f>HYPERLINK(AB2 &amp; "/bottle/sn_df4ec460683acbb89d789ef7917b7723/rendering/15.obj", "1.84694421291")</f>
        <v>1.84694421291</v>
      </c>
      <c r="S355" s="80" t="str">
        <f>HYPERLINK(AB2 &amp; "/bottle/sn_df4ec460683acbb89d789ef7917b7723/rendering/16.obj", "1.70954477787")</f>
        <v>1.70954477787</v>
      </c>
      <c r="T355" s="27" t="str">
        <f>HYPERLINK(AB2 &amp; "/bottle/sn_df4ec460683acbb89d789ef7917b7723/rendering/17.obj", "2.14635062218")</f>
        <v>2.14635062218</v>
      </c>
      <c r="U355" s="33" t="str">
        <f>HYPERLINK(AB2 &amp; "/bottle/sn_df4ec460683acbb89d789ef7917b7723/rendering/18.obj", "2.22374796867")</f>
        <v>2.22374796867</v>
      </c>
      <c r="V355" s="84" t="str">
        <f>HYPERLINK(AB2 &amp; "/bottle/sn_df4ec460683acbb89d789ef7917b7723/rendering/19.obj", "1.71631491184")</f>
        <v>1.71631491184</v>
      </c>
      <c r="W355" s="12" t="s">
        <v>32</v>
      </c>
      <c r="X355" s="13">
        <v>2.0058584034442899</v>
      </c>
      <c r="Y355" s="13">
        <v>0.23013864771917181</v>
      </c>
      <c r="Z355" s="106">
        <v>0.1147332470347843</v>
      </c>
    </row>
    <row r="356" spans="1:26" x14ac:dyDescent="0.2">
      <c r="A356" s="1">
        <v>354</v>
      </c>
      <c r="B356" s="2" t="s">
        <v>103</v>
      </c>
      <c r="C356" s="13" t="str">
        <f>HYPERLINK(AC2 &amp; "/bottle/sn_df4ec460683acbb89d789ef7917b7723/rendering/00.xyz", "0.0")</f>
        <v>0.0</v>
      </c>
      <c r="D356" s="13" t="str">
        <f>HYPERLINK(AC2 &amp; "/bottle/sn_df4ec460683acbb89d789ef7917b7723/rendering/01.xyz", "0.0")</f>
        <v>0.0</v>
      </c>
      <c r="E356" s="13" t="str">
        <f>HYPERLINK(AC2 &amp; "/bottle/sn_df4ec460683acbb89d789ef7917b7723/rendering/02.xyz", "0.0")</f>
        <v>0.0</v>
      </c>
      <c r="F356" s="13" t="str">
        <f>HYPERLINK(AC2 &amp; "/bottle/sn_df4ec460683acbb89d789ef7917b7723/rendering/03.xyz", "0.0")</f>
        <v>0.0</v>
      </c>
      <c r="G356" s="13" t="str">
        <f>HYPERLINK(AC2 &amp; "/bottle/sn_df4ec460683acbb89d789ef7917b7723/rendering/04.xyz", "0.0")</f>
        <v>0.0</v>
      </c>
      <c r="H356" s="13" t="str">
        <f>HYPERLINK(AC2 &amp; "/bottle/sn_df4ec460683acbb89d789ef7917b7723/rendering/05.xyz", "0.0")</f>
        <v>0.0</v>
      </c>
      <c r="I356" s="13" t="str">
        <f>HYPERLINK(AC2 &amp; "/bottle/sn_df4ec460683acbb89d789ef7917b7723/rendering/06.xyz", "0.0")</f>
        <v>0.0</v>
      </c>
      <c r="J356" s="13" t="str">
        <f>HYPERLINK(AC2 &amp; "/bottle/sn_df4ec460683acbb89d789ef7917b7723/rendering/07.xyz", "0.0")</f>
        <v>0.0</v>
      </c>
      <c r="K356" s="13" t="str">
        <f>HYPERLINK(AC2 &amp; "/bottle/sn_df4ec460683acbb89d789ef7917b7723/rendering/08.xyz", "0.0")</f>
        <v>0.0</v>
      </c>
      <c r="L356" s="13" t="str">
        <f>HYPERLINK(AC2 &amp; "/bottle/sn_df4ec460683acbb89d789ef7917b7723/rendering/09.xyz", "0.0")</f>
        <v>0.0</v>
      </c>
      <c r="M356" s="13" t="str">
        <f>HYPERLINK(AC2 &amp; "/bottle/sn_df4ec460683acbb89d789ef7917b7723/rendering/10.xyz", "0.0")</f>
        <v>0.0</v>
      </c>
      <c r="N356" s="13" t="str">
        <f>HYPERLINK(AC2 &amp; "/bottle/sn_df4ec460683acbb89d789ef7917b7723/rendering/11.xyz", "0.0")</f>
        <v>0.0</v>
      </c>
      <c r="O356" s="13" t="str">
        <f>HYPERLINK(AC2 &amp; "/bottle/sn_df4ec460683acbb89d789ef7917b7723/rendering/12.xyz", "0.0")</f>
        <v>0.0</v>
      </c>
      <c r="P356" s="13" t="str">
        <f>HYPERLINK(AC2 &amp; "/bottle/sn_df4ec460683acbb89d789ef7917b7723/rendering/13.xyz", "0.0")</f>
        <v>0.0</v>
      </c>
      <c r="Q356" s="13" t="str">
        <f>HYPERLINK(AC2 &amp; "/bottle/sn_df4ec460683acbb89d789ef7917b7723/rendering/14.xyz", "0.0")</f>
        <v>0.0</v>
      </c>
      <c r="R356" s="13" t="str">
        <f>HYPERLINK(AC2 &amp; "/bottle/sn_df4ec460683acbb89d789ef7917b7723/rendering/15.xyz", "0.0")</f>
        <v>0.0</v>
      </c>
      <c r="S356" s="13" t="str">
        <f>HYPERLINK(AC2 &amp; "/bottle/sn_df4ec460683acbb89d789ef7917b7723/rendering/16.xyz", "0.0")</f>
        <v>0.0</v>
      </c>
      <c r="T356" s="13" t="str">
        <f>HYPERLINK(AC2 &amp; "/bottle/sn_df4ec460683acbb89d789ef7917b7723/rendering/17.xyz", "0.0")</f>
        <v>0.0</v>
      </c>
      <c r="U356" s="13" t="str">
        <f>HYPERLINK(AC2 &amp; "/bottle/sn_df4ec460683acbb89d789ef7917b7723/rendering/18.xyz", "0.0")</f>
        <v>0.0</v>
      </c>
      <c r="V356" s="13" t="str">
        <f>HYPERLINK(AC2 &amp; "/bottle/sn_df4ec460683acbb89d789ef7917b7723/rendering/19.xyz", "0.0")</f>
        <v>0.0</v>
      </c>
      <c r="W356" s="12" t="s">
        <v>33</v>
      </c>
      <c r="X356" s="13">
        <v>0</v>
      </c>
      <c r="Y356" s="13">
        <v>0</v>
      </c>
      <c r="Z356" s="13">
        <v>0</v>
      </c>
    </row>
    <row r="357" spans="1:26" x14ac:dyDescent="0.2">
      <c r="A357" s="1">
        <v>355</v>
      </c>
      <c r="B357" s="2" t="s">
        <v>104</v>
      </c>
      <c r="C357" s="78" t="str">
        <f>HYPERLINK(AA2 &amp; "/bottle/sn_e017cd91e485756aef026123226f5519/rendering/00.obj", "3.50200866699")</f>
        <v>3.50200866699</v>
      </c>
      <c r="D357" s="110" t="str">
        <f>HYPERLINK(AA2 &amp; "/bottle/sn_e017cd91e485756aef026123226f5519/rendering/01.obj", "3.36457275391")</f>
        <v>3.36457275391</v>
      </c>
      <c r="E357" s="5" t="str">
        <f>HYPERLINK(AA2 &amp; "/bottle/sn_e017cd91e485756aef026123226f5519/rendering/02.obj", "3.44861633301")</f>
        <v>3.44861633301</v>
      </c>
      <c r="F357" s="33" t="str">
        <f>HYPERLINK(AA2 &amp; "/bottle/sn_e017cd91e485756aef026123226f5519/rendering/03.obj", "4.13943939209")</f>
        <v>4.13943939209</v>
      </c>
      <c r="G357" s="63" t="str">
        <f>HYPERLINK(AA2 &amp; "/bottle/sn_e017cd91e485756aef026123226f5519/rendering/04.obj", "4.18638275146")</f>
        <v>4.18638275146</v>
      </c>
      <c r="H357" s="90" t="str">
        <f>HYPERLINK(AA2 &amp; "/bottle/sn_e017cd91e485756aef026123226f5519/rendering/05.obj", "4.08777130127")</f>
        <v>4.08777130127</v>
      </c>
      <c r="I357" s="71" t="str">
        <f>HYPERLINK(AA2 &amp; "/bottle/sn_e017cd91e485756aef026123226f5519/rendering/06.obj", "4.17023132324")</f>
        <v>4.17023132324</v>
      </c>
      <c r="J357" s="10" t="str">
        <f>HYPERLINK(AA2 &amp; "/bottle/sn_e017cd91e485756aef026123226f5519/rendering/07.obj", "3.5238583374")</f>
        <v>3.5238583374</v>
      </c>
      <c r="K357" s="106" t="str">
        <f>HYPERLINK(AA2 &amp; "/bottle/sn_e017cd91e485756aef026123226f5519/rendering/08.obj", "3.30234680176")</f>
        <v>3.30234680176</v>
      </c>
      <c r="L357" s="51" t="str">
        <f>HYPERLINK(AA2 &amp; "/bottle/sn_e017cd91e485756aef026123226f5519/rendering/09.obj", "3.43608917236")</f>
        <v>3.43608917236</v>
      </c>
      <c r="M357" s="69" t="str">
        <f>HYPERLINK(AA2 &amp; "/bottle/sn_e017cd91e485756aef026123226f5519/rendering/10.obj", "3.62549713135")</f>
        <v>3.62549713135</v>
      </c>
      <c r="N357" s="107" t="str">
        <f>HYPERLINK(AA2 &amp; "/bottle/sn_e017cd91e485756aef026123226f5519/rendering/11.obj", "3.42107391357")</f>
        <v>3.42107391357</v>
      </c>
      <c r="O357" s="94" t="str">
        <f>HYPERLINK(AA2 &amp; "/bottle/sn_e017cd91e485756aef026123226f5519/rendering/12.obj", "4.0047052002")</f>
        <v>4.0047052002</v>
      </c>
      <c r="P357" s="25" t="str">
        <f>HYPERLINK(AA2 &amp; "/bottle/sn_e017cd91e485756aef026123226f5519/rendering/13.obj", "3.69382324219")</f>
        <v>3.69382324219</v>
      </c>
      <c r="Q357" s="26" t="str">
        <f>HYPERLINK(AA2 &amp; "/bottle/sn_e017cd91e485756aef026123226f5519/rendering/14.obj", "3.49686981201")</f>
        <v>3.49686981201</v>
      </c>
      <c r="R357" s="107" t="str">
        <f>HYPERLINK(AA2 &amp; "/bottle/sn_e017cd91e485756aef026123226f5519/rendering/15.obj", "3.41760009766")</f>
        <v>3.41760009766</v>
      </c>
      <c r="S357" s="39" t="str">
        <f>HYPERLINK(AA2 &amp; "/bottle/sn_e017cd91e485756aef026123226f5519/rendering/16.obj", "4.04970916748")</f>
        <v>4.04970916748</v>
      </c>
      <c r="T357" s="110" t="str">
        <f>HYPERLINK(AA2 &amp; "/bottle/sn_e017cd91e485756aef026123226f5519/rendering/17.obj", "4.10284301758")</f>
        <v>4.10284301758</v>
      </c>
      <c r="U357" s="23" t="str">
        <f>HYPERLINK(AA2 &amp; "/bottle/sn_e017cd91e485756aef026123226f5519/rendering/18.obj", "3.87447937012")</f>
        <v>3.87447937012</v>
      </c>
      <c r="V357" s="46" t="str">
        <f>HYPERLINK(AA2 &amp; "/bottle/sn_e017cd91e485756aef026123226f5519/rendering/19.obj", "3.79992919922")</f>
        <v>3.79992919922</v>
      </c>
      <c r="W357" s="12" t="s">
        <v>29</v>
      </c>
      <c r="X357" s="13">
        <v>3.7323923492431641</v>
      </c>
      <c r="Y357" s="13">
        <v>0.30627895016687351</v>
      </c>
      <c r="Z357" s="107">
        <v>8.2059687596610587E-2</v>
      </c>
    </row>
    <row r="358" spans="1:26" x14ac:dyDescent="0.2">
      <c r="A358" s="1">
        <v>356</v>
      </c>
      <c r="B358" s="2" t="s">
        <v>104</v>
      </c>
      <c r="C358" s="69" t="str">
        <f>HYPERLINK(AA2 &amp; "/bottle/sn_e017cd91e485756aef026123226f5519/rendering/00.obj", "4.52002763748")</f>
        <v>4.52002763748</v>
      </c>
      <c r="D358" s="63" t="str">
        <f>HYPERLINK(AA2 &amp; "/bottle/sn_e017cd91e485756aef026123226f5519/rendering/01.obj", "4.08903217316")</f>
        <v>4.08903217316</v>
      </c>
      <c r="E358" s="66" t="str">
        <f>HYPERLINK(AA2 &amp; "/bottle/sn_e017cd91e485756aef026123226f5519/rendering/02.obj", "3.90351724625")</f>
        <v>3.90351724625</v>
      </c>
      <c r="F358" s="92" t="str">
        <f>HYPERLINK(AA2 &amp; "/bottle/sn_e017cd91e485756aef026123226f5519/rendering/03.obj", "5.23614263535")</f>
        <v>5.23614263535</v>
      </c>
      <c r="G358" s="31" t="str">
        <f>HYPERLINK(AA2 &amp; "/bottle/sn_e017cd91e485756aef026123226f5519/rendering/04.obj", "5.38132429123")</f>
        <v>5.38132429123</v>
      </c>
      <c r="H358" s="76" t="str">
        <f>HYPERLINK(AA2 &amp; "/bottle/sn_e017cd91e485756aef026123226f5519/rendering/05.obj", "5.50440216064")</f>
        <v>5.50440216064</v>
      </c>
      <c r="I358" s="82" t="str">
        <f>HYPERLINK(AA2 &amp; "/bottle/sn_e017cd91e485756aef026123226f5519/rendering/06.obj", "5.61393356323")</f>
        <v>5.61393356323</v>
      </c>
      <c r="J358" s="84" t="str">
        <f>HYPERLINK(AA2 &amp; "/bottle/sn_e017cd91e485756aef026123226f5519/rendering/07.obj", "3.97591924667")</f>
        <v>3.97591924667</v>
      </c>
      <c r="K358" s="64" t="str">
        <f>HYPERLINK(AA2 &amp; "/bottle/sn_e017cd91e485756aef026123226f5519/rendering/08.obj", "3.88212966919")</f>
        <v>3.88212966919</v>
      </c>
      <c r="L358" s="67" t="str">
        <f>HYPERLINK(AA2 &amp; "/bottle/sn_e017cd91e485756aef026123226f5519/rendering/09.obj", "4.22943878174")</f>
        <v>4.22943878174</v>
      </c>
      <c r="M358" s="71" t="str">
        <f>HYPERLINK(AA2 &amp; "/bottle/sn_e017cd91e485756aef026123226f5519/rendering/10.obj", "4.10073661804")</f>
        <v>4.10073661804</v>
      </c>
      <c r="N358" s="60" t="str">
        <f>HYPERLINK(AA2 &amp; "/bottle/sn_e017cd91e485756aef026123226f5519/rendering/11.obj", "4.41345596313")</f>
        <v>4.41345596313</v>
      </c>
      <c r="O358" s="27" t="str">
        <f>HYPERLINK(AA2 &amp; "/bottle/sn_e017cd91e485756aef026123226f5519/rendering/12.obj", "4.99110555649")</f>
        <v>4.99110555649</v>
      </c>
      <c r="P358" s="60" t="str">
        <f>HYPERLINK(AA2 &amp; "/bottle/sn_e017cd91e485756aef026123226f5519/rendering/13.obj", "4.88957166672")</f>
        <v>4.88957166672</v>
      </c>
      <c r="Q358" s="35" t="str">
        <f>HYPERLINK(AA2 &amp; "/bottle/sn_e017cd91e485756aef026123226f5519/rendering/14.obj", "4.38790416718")</f>
        <v>4.38790416718</v>
      </c>
      <c r="R358" s="92" t="str">
        <f>HYPERLINK(AA2 &amp; "/bottle/sn_e017cd91e485756aef026123226f5519/rendering/15.obj", "4.07217168808")</f>
        <v>4.07217168808</v>
      </c>
      <c r="S358" s="33" t="str">
        <f>HYPERLINK(AA2 &amp; "/bottle/sn_e017cd91e485756aef026123226f5519/rendering/16.obj", "5.16068935394")</f>
        <v>5.16068935394</v>
      </c>
      <c r="T358" s="29" t="str">
        <f>HYPERLINK(AA2 &amp; "/bottle/sn_e017cd91e485756aef026123226f5519/rendering/17.obj", "5.25853776932")</f>
        <v>5.25853776932</v>
      </c>
      <c r="U358" s="74" t="str">
        <f>HYPERLINK(AA2 &amp; "/bottle/sn_e017cd91e485756aef026123226f5519/rendering/18.obj", "4.71677112579")</f>
        <v>4.71677112579</v>
      </c>
      <c r="V358" s="69" t="str">
        <f>HYPERLINK(AA2 &amp; "/bottle/sn_e017cd91e485756aef026123226f5519/rendering/19.obj", "4.78797531128")</f>
        <v>4.78797531128</v>
      </c>
      <c r="W358" s="12" t="s">
        <v>30</v>
      </c>
      <c r="X358" s="13">
        <v>4.6557393312454227</v>
      </c>
      <c r="Y358" s="13">
        <v>0.55835447321478204</v>
      </c>
      <c r="Z358" s="63">
        <v>0.1199282076355896</v>
      </c>
    </row>
    <row r="359" spans="1:26" x14ac:dyDescent="0.2">
      <c r="A359" s="1">
        <v>357</v>
      </c>
      <c r="B359" s="2" t="s">
        <v>104</v>
      </c>
      <c r="C359" s="25" t="str">
        <f>HYPERLINK(AB2 &amp; "/bottle/sn_e017cd91e485756aef026123226f5519/rendering/00.obj", "3.55926391602")</f>
        <v>3.55926391602</v>
      </c>
      <c r="D359" s="47" t="str">
        <f>HYPERLINK(AB2 &amp; "/bottle/sn_e017cd91e485756aef026123226f5519/rendering/01.obj", "3.6315222168")</f>
        <v>3.6315222168</v>
      </c>
      <c r="E359" s="91" t="str">
        <f>HYPERLINK(AB2 &amp; "/bottle/sn_e017cd91e485756aef026123226f5519/rendering/02.obj", "3.49844360352")</f>
        <v>3.49844360352</v>
      </c>
      <c r="F359" s="46" t="str">
        <f>HYPERLINK(AB2 &amp; "/bottle/sn_e017cd91e485756aef026123226f5519/rendering/03.obj", "3.54078796387")</f>
        <v>3.54078796387</v>
      </c>
      <c r="G359" s="30" t="str">
        <f>HYPERLINK(AB2 &amp; "/bottle/sn_e017cd91e485756aef026123226f5519/rendering/04.obj", "3.61705749512")</f>
        <v>3.61705749512</v>
      </c>
      <c r="H359" s="25" t="str">
        <f>HYPERLINK(AB2 &amp; "/bottle/sn_e017cd91e485756aef026123226f5519/rendering/05.obj", "3.64270141602")</f>
        <v>3.64270141602</v>
      </c>
      <c r="I359" s="30" t="str">
        <f>HYPERLINK(AB2 &amp; "/bottle/sn_e017cd91e485756aef026123226f5519/rendering/06.obj", "3.61739562988")</f>
        <v>3.61739562988</v>
      </c>
      <c r="J359" s="73" t="str">
        <f>HYPERLINK(AB2 &amp; "/bottle/sn_e017cd91e485756aef026123226f5519/rendering/07.obj", "3.46632110596")</f>
        <v>3.46632110596</v>
      </c>
      <c r="K359" s="25" t="str">
        <f>HYPERLINK(AB2 &amp; "/bottle/sn_e017cd91e485756aef026123226f5519/rendering/08.obj", "3.639559021")</f>
        <v>3.639559021</v>
      </c>
      <c r="L359" s="74" t="str">
        <f>HYPERLINK(AB2 &amp; "/bottle/sn_e017cd91e485756aef026123226f5519/rendering/09.obj", "3.6493762207")</f>
        <v>3.6493762207</v>
      </c>
      <c r="M359" s="30" t="str">
        <f>HYPERLINK(AB2 &amp; "/bottle/sn_e017cd91e485756aef026123226f5519/rendering/10.obj", "3.61126403809")</f>
        <v>3.61126403809</v>
      </c>
      <c r="N359" s="13" t="str">
        <f>HYPERLINK(AB2 &amp; "/bottle/sn_e017cd91e485756aef026123226f5519/rendering/11.obj", "3.605809021")</f>
        <v>3.605809021</v>
      </c>
      <c r="O359" s="74" t="str">
        <f>HYPERLINK(AB2 &amp; "/bottle/sn_e017cd91e485756aef026123226f5519/rendering/12.obj", "3.5491986084")</f>
        <v>3.5491986084</v>
      </c>
      <c r="P359" s="69" t="str">
        <f>HYPERLINK(AB2 &amp; "/bottle/sn_e017cd91e485756aef026123226f5519/rendering/13.obj", "3.70360839844")</f>
        <v>3.70360839844</v>
      </c>
      <c r="Q359" s="47" t="str">
        <f>HYPERLINK(AB2 &amp; "/bottle/sn_e017cd91e485756aef026123226f5519/rendering/14.obj", "3.57497283936")</f>
        <v>3.57497283936</v>
      </c>
      <c r="R359" s="91" t="str">
        <f>HYPERLINK(AB2 &amp; "/bottle/sn_e017cd91e485756aef026123226f5519/rendering/15.obj", "3.69013153076")</f>
        <v>3.69013153076</v>
      </c>
      <c r="S359" s="30" t="str">
        <f>HYPERLINK(AB2 &amp; "/bottle/sn_e017cd91e485756aef026123226f5519/rendering/16.obj", "3.62000152588")</f>
        <v>3.62000152588</v>
      </c>
      <c r="T359" s="47" t="str">
        <f>HYPERLINK(AB2 &amp; "/bottle/sn_e017cd91e485756aef026123226f5519/rendering/17.obj", "3.56958587646")</f>
        <v>3.56958587646</v>
      </c>
      <c r="U359" s="17" t="str">
        <f>HYPERLINK(AB2 &amp; "/bottle/sn_e017cd91e485756aef026123226f5519/rendering/18.obj", "3.5283605957")</f>
        <v>3.5283605957</v>
      </c>
      <c r="V359" s="46" t="str">
        <f>HYPERLINK(AB2 &amp; "/bottle/sn_e017cd91e485756aef026123226f5519/rendering/19.obj", "3.65785461426")</f>
        <v>3.65785461426</v>
      </c>
      <c r="W359" s="12" t="s">
        <v>31</v>
      </c>
      <c r="X359" s="13">
        <v>3.5986607818603522</v>
      </c>
      <c r="Y359" s="13">
        <v>6.0314808960238192E-2</v>
      </c>
      <c r="Z359" s="46">
        <v>1.676034853417277E-2</v>
      </c>
    </row>
    <row r="360" spans="1:26" x14ac:dyDescent="0.2">
      <c r="A360" s="1">
        <v>358</v>
      </c>
      <c r="B360" s="2" t="s">
        <v>104</v>
      </c>
      <c r="C360" s="91" t="str">
        <f>HYPERLINK(AB2 &amp; "/bottle/sn_e017cd91e485756aef026123226f5519/rendering/00.obj", "2.90487360954")</f>
        <v>2.90487360954</v>
      </c>
      <c r="D360" s="46" t="str">
        <f>HYPERLINK(AB2 &amp; "/bottle/sn_e017cd91e485756aef026123226f5519/rendering/01.obj", "3.04089713097")</f>
        <v>3.04089713097</v>
      </c>
      <c r="E360" s="30" t="str">
        <f>HYPERLINK(AB2 &amp; "/bottle/sn_e017cd91e485756aef026123226f5519/rendering/02.obj", "2.97256326675")</f>
        <v>2.97256326675</v>
      </c>
      <c r="F360" s="30" t="str">
        <f>HYPERLINK(AB2 &amp; "/bottle/sn_e017cd91e485756aef026123226f5519/rendering/03.obj", "2.97271442413")</f>
        <v>2.97271442413</v>
      </c>
      <c r="G360" s="47" t="str">
        <f>HYPERLINK(AB2 &amp; "/bottle/sn_e017cd91e485756aef026123226f5519/rendering/04.obj", "2.95895504951")</f>
        <v>2.95895504951</v>
      </c>
      <c r="H360" s="25" t="str">
        <f>HYPERLINK(AB2 &amp; "/bottle/sn_e017cd91e485756aef026123226f5519/rendering/05.obj", "2.9582593441")</f>
        <v>2.9582593441</v>
      </c>
      <c r="I360" s="23" t="str">
        <f>HYPERLINK(AB2 &amp; "/bottle/sn_e017cd91e485756aef026123226f5519/rendering/06.obj", "2.87123632431")</f>
        <v>2.87123632431</v>
      </c>
      <c r="J360" s="68" t="str">
        <f>HYPERLINK(AB2 &amp; "/bottle/sn_e017cd91e485756aef026123226f5519/rendering/07.obj", "2.86321425438")</f>
        <v>2.86321425438</v>
      </c>
      <c r="K360" s="10" t="str">
        <f>HYPERLINK(AB2 &amp; "/bottle/sn_e017cd91e485756aef026123226f5519/rendering/08.obj", "3.15095186234")</f>
        <v>3.15095186234</v>
      </c>
      <c r="L360" s="10" t="str">
        <f>HYPERLINK(AB2 &amp; "/bottle/sn_e017cd91e485756aef026123226f5519/rendering/09.obj", "3.14943623543")</f>
        <v>3.14943623543</v>
      </c>
      <c r="M360" s="17" t="str">
        <f>HYPERLINK(AB2 &amp; "/bottle/sn_e017cd91e485756aef026123226f5519/rendering/10.obj", "3.0506541729")</f>
        <v>3.0506541729</v>
      </c>
      <c r="N360" s="73" t="str">
        <f>HYPERLINK(AB2 &amp; "/bottle/sn_e017cd91e485756aef026123226f5519/rendering/11.obj", "3.09653925896")</f>
        <v>3.09653925896</v>
      </c>
      <c r="O360" s="10" t="str">
        <f>HYPERLINK(AB2 &amp; "/bottle/sn_e017cd91e485756aef026123226f5519/rendering/12.obj", "2.82436442375")</f>
        <v>2.82436442375</v>
      </c>
      <c r="P360" s="38" t="str">
        <f>HYPERLINK(AB2 &amp; "/bottle/sn_e017cd91e485756aef026123226f5519/rendering/13.obj", "3.25088238716")</f>
        <v>3.25088238716</v>
      </c>
      <c r="Q360" s="46" t="str">
        <f>HYPERLINK(AB2 &amp; "/bottle/sn_e017cd91e485756aef026123226f5519/rendering/14.obj", "2.93681955338")</f>
        <v>2.93681955338</v>
      </c>
      <c r="R360" s="51" t="str">
        <f>HYPERLINK(AB2 &amp; "/bottle/sn_e017cd91e485756aef026123226f5519/rendering/15.obj", "3.22494459152")</f>
        <v>3.22494459152</v>
      </c>
      <c r="S360" s="91" t="str">
        <f>HYPERLINK(AB2 &amp; "/bottle/sn_e017cd91e485756aef026123226f5519/rendering/16.obj", "2.90896129608")</f>
        <v>2.90896129608</v>
      </c>
      <c r="T360" s="34" t="str">
        <f>HYPERLINK(AB2 &amp; "/bottle/sn_e017cd91e485756aef026123226f5519/rendering/17.obj", "2.84430956841")</f>
        <v>2.84430956841</v>
      </c>
      <c r="U360" s="5" t="str">
        <f>HYPERLINK(AB2 &amp; "/bottle/sn_e017cd91e485756aef026123226f5519/rendering/18.obj", "2.75559067726")</f>
        <v>2.75559067726</v>
      </c>
      <c r="V360" s="30" t="str">
        <f>HYPERLINK(AB2 &amp; "/bottle/sn_e017cd91e485756aef026123226f5519/rendering/19.obj", "3.00353193283")</f>
        <v>3.00353193283</v>
      </c>
      <c r="W360" s="12" t="s">
        <v>32</v>
      </c>
      <c r="X360" s="13">
        <v>2.9869849681854248</v>
      </c>
      <c r="Y360" s="13">
        <v>0.1313791072939467</v>
      </c>
      <c r="Z360" s="6">
        <v>4.3983852846021763E-2</v>
      </c>
    </row>
    <row r="361" spans="1:26" x14ac:dyDescent="0.2">
      <c r="A361" s="1">
        <v>359</v>
      </c>
      <c r="B361" s="2" t="s">
        <v>104</v>
      </c>
      <c r="C361" s="13" t="str">
        <f>HYPERLINK(AC2 &amp; "/bottle/sn_e017cd91e485756aef026123226f5519/rendering/00.xyz", "0.0")</f>
        <v>0.0</v>
      </c>
      <c r="D361" s="13" t="str">
        <f>HYPERLINK(AC2 &amp; "/bottle/sn_e017cd91e485756aef026123226f5519/rendering/01.xyz", "0.0")</f>
        <v>0.0</v>
      </c>
      <c r="E361" s="13" t="str">
        <f>HYPERLINK(AC2 &amp; "/bottle/sn_e017cd91e485756aef026123226f5519/rendering/02.xyz", "0.0")</f>
        <v>0.0</v>
      </c>
      <c r="F361" s="13" t="str">
        <f>HYPERLINK(AC2 &amp; "/bottle/sn_e017cd91e485756aef026123226f5519/rendering/03.xyz", "0.0")</f>
        <v>0.0</v>
      </c>
      <c r="G361" s="13" t="str">
        <f>HYPERLINK(AC2 &amp; "/bottle/sn_e017cd91e485756aef026123226f5519/rendering/04.xyz", "0.0")</f>
        <v>0.0</v>
      </c>
      <c r="H361" s="13" t="str">
        <f>HYPERLINK(AC2 &amp; "/bottle/sn_e017cd91e485756aef026123226f5519/rendering/05.xyz", "0.0")</f>
        <v>0.0</v>
      </c>
      <c r="I361" s="13" t="str">
        <f>HYPERLINK(AC2 &amp; "/bottle/sn_e017cd91e485756aef026123226f5519/rendering/06.xyz", "0.0")</f>
        <v>0.0</v>
      </c>
      <c r="J361" s="13" t="str">
        <f>HYPERLINK(AC2 &amp; "/bottle/sn_e017cd91e485756aef026123226f5519/rendering/07.xyz", "0.0")</f>
        <v>0.0</v>
      </c>
      <c r="K361" s="13" t="str">
        <f>HYPERLINK(AC2 &amp; "/bottle/sn_e017cd91e485756aef026123226f5519/rendering/08.xyz", "0.0")</f>
        <v>0.0</v>
      </c>
      <c r="L361" s="13" t="str">
        <f>HYPERLINK(AC2 &amp; "/bottle/sn_e017cd91e485756aef026123226f5519/rendering/09.xyz", "0.0")</f>
        <v>0.0</v>
      </c>
      <c r="M361" s="13" t="str">
        <f>HYPERLINK(AC2 &amp; "/bottle/sn_e017cd91e485756aef026123226f5519/rendering/10.xyz", "0.0")</f>
        <v>0.0</v>
      </c>
      <c r="N361" s="13" t="str">
        <f>HYPERLINK(AC2 &amp; "/bottle/sn_e017cd91e485756aef026123226f5519/rendering/11.xyz", "0.0")</f>
        <v>0.0</v>
      </c>
      <c r="O361" s="13" t="str">
        <f>HYPERLINK(AC2 &amp; "/bottle/sn_e017cd91e485756aef026123226f5519/rendering/12.xyz", "0.0")</f>
        <v>0.0</v>
      </c>
      <c r="P361" s="13" t="str">
        <f>HYPERLINK(AC2 &amp; "/bottle/sn_e017cd91e485756aef026123226f5519/rendering/13.xyz", "0.0")</f>
        <v>0.0</v>
      </c>
      <c r="Q361" s="13" t="str">
        <f>HYPERLINK(AC2 &amp; "/bottle/sn_e017cd91e485756aef026123226f5519/rendering/14.xyz", "0.0")</f>
        <v>0.0</v>
      </c>
      <c r="R361" s="13" t="str">
        <f>HYPERLINK(AC2 &amp; "/bottle/sn_e017cd91e485756aef026123226f5519/rendering/15.xyz", "0.0")</f>
        <v>0.0</v>
      </c>
      <c r="S361" s="13" t="str">
        <f>HYPERLINK(AC2 &amp; "/bottle/sn_e017cd91e485756aef026123226f5519/rendering/16.xyz", "0.0")</f>
        <v>0.0</v>
      </c>
      <c r="T361" s="13" t="str">
        <f>HYPERLINK(AC2 &amp; "/bottle/sn_e017cd91e485756aef026123226f5519/rendering/17.xyz", "0.0")</f>
        <v>0.0</v>
      </c>
      <c r="U361" s="13" t="str">
        <f>HYPERLINK(AC2 &amp; "/bottle/sn_e017cd91e485756aef026123226f5519/rendering/18.xyz", "0.0")</f>
        <v>0.0</v>
      </c>
      <c r="V361" s="13" t="str">
        <f>HYPERLINK(AC2 &amp; "/bottle/sn_e017cd91e485756aef026123226f5519/rendering/19.xyz", "0.0")</f>
        <v>0.0</v>
      </c>
      <c r="W361" s="12" t="s">
        <v>33</v>
      </c>
      <c r="X361" s="13">
        <v>0</v>
      </c>
      <c r="Y361" s="13">
        <v>0</v>
      </c>
      <c r="Z361" s="13">
        <v>0</v>
      </c>
    </row>
    <row r="362" spans="1:26" x14ac:dyDescent="0.2">
      <c r="A362" s="1">
        <v>360</v>
      </c>
      <c r="B362" s="2" t="s">
        <v>105</v>
      </c>
      <c r="C362" s="69" t="str">
        <f>HYPERLINK(AA2 &amp; "/bottle/sn_e24fb21f7cb7998d94b2f4c4a75fd722/rendering/00.obj", "2.08328582764")</f>
        <v>2.08328582764</v>
      </c>
      <c r="D362" s="23" t="str">
        <f>HYPERLINK(AA2 &amp; "/bottle/sn_e24fb21f7cb7998d94b2f4c4a75fd722/rendering/01.obj", "1.94023956299")</f>
        <v>1.94023956299</v>
      </c>
      <c r="E362" s="91" t="str">
        <f>HYPERLINK(AA2 &amp; "/bottle/sn_e24fb21f7cb7998d94b2f4c4a75fd722/rendering/02.obj", "1.96776824951")</f>
        <v>1.96776824951</v>
      </c>
      <c r="F362" s="35" t="str">
        <f>HYPERLINK(AA2 &amp; "/bottle/sn_e24fb21f7cb7998d94b2f4c4a75fd722/rendering/03.obj", "1.90389312744")</f>
        <v>1.90389312744</v>
      </c>
      <c r="G362" s="151" t="str">
        <f>HYPERLINK(AA2 &amp; "/bottle/sn_e24fb21f7cb7998d94b2f4c4a75fd722/rendering/04.obj", "2.75106567383")</f>
        <v>2.75106567383</v>
      </c>
      <c r="H362" s="69" t="str">
        <f>HYPERLINK(AA2 &amp; "/bottle/sn_e24fb21f7cb7998d94b2f4c4a75fd722/rendering/05.obj", "1.96453521729")</f>
        <v>1.96453521729</v>
      </c>
      <c r="I362" s="41" t="str">
        <f>HYPERLINK(AA2 &amp; "/bottle/sn_e24fb21f7cb7998d94b2f4c4a75fd722/rendering/06.obj", "1.88614898682")</f>
        <v>1.88614898682</v>
      </c>
      <c r="J362" s="65" t="str">
        <f>HYPERLINK(AA2 &amp; "/bottle/sn_e24fb21f7cb7998d94b2f4c4a75fd722/rendering/07.obj", "2.28945755005")</f>
        <v>2.28945755005</v>
      </c>
      <c r="K362" s="35" t="str">
        <f>HYPERLINK(AA2 &amp; "/bottle/sn_e24fb21f7cb7998d94b2f4c4a75fd722/rendering/08.obj", "1.90694641113")</f>
        <v>1.90694641113</v>
      </c>
      <c r="L362" s="73" t="str">
        <f>HYPERLINK(AA2 &amp; "/bottle/sn_e24fb21f7cb7998d94b2f4c4a75fd722/rendering/09.obj", "1.94694473267")</f>
        <v>1.94694473267</v>
      </c>
      <c r="M362" s="47" t="str">
        <f>HYPERLINK(AA2 &amp; "/bottle/sn_e24fb21f7cb7998d94b2f4c4a75fd722/rendering/10.obj", "2.00765808105")</f>
        <v>2.00765808105</v>
      </c>
      <c r="N362" s="46" t="str">
        <f>HYPERLINK(AA2 &amp; "/bottle/sn_e24fb21f7cb7998d94b2f4c4a75fd722/rendering/11.obj", "1.99011444092")</f>
        <v>1.99011444092</v>
      </c>
      <c r="O362" s="39" t="str">
        <f>HYPERLINK(AA2 &amp; "/bottle/sn_e24fb21f7cb7998d94b2f4c4a75fd722/rendering/12.obj", "2.19613418579")</f>
        <v>2.19613418579</v>
      </c>
      <c r="P362" s="74" t="str">
        <f>HYPERLINK(AA2 &amp; "/bottle/sn_e24fb21f7cb7998d94b2f4c4a75fd722/rendering/13.obj", "1.99555664063")</f>
        <v>1.99555664063</v>
      </c>
      <c r="Q362" s="39" t="str">
        <f>HYPERLINK(AA2 &amp; "/bottle/sn_e24fb21f7cb7998d94b2f4c4a75fd722/rendering/14.obj", "1.84760116577")</f>
        <v>1.84760116577</v>
      </c>
      <c r="R362" s="72" t="str">
        <f>HYPERLINK(AA2 &amp; "/bottle/sn_e24fb21f7cb7998d94b2f4c4a75fd722/rendering/15.obj", "1.95522689819")</f>
        <v>1.95522689819</v>
      </c>
      <c r="S362" s="6" t="str">
        <f>HYPERLINK(AA2 &amp; "/bottle/sn_e24fb21f7cb7998d94b2f4c4a75fd722/rendering/16.obj", "1.92935897827")</f>
        <v>1.92935897827</v>
      </c>
      <c r="T362" s="72" t="str">
        <f>HYPERLINK(AA2 &amp; "/bottle/sn_e24fb21f7cb7998d94b2f4c4a75fd722/rendering/17.obj", "2.08803436279")</f>
        <v>2.08803436279</v>
      </c>
      <c r="U362" s="47" t="str">
        <f>HYPERLINK(AA2 &amp; "/bottle/sn_e24fb21f7cb7998d94b2f4c4a75fd722/rendering/18.obj", "2.00875854492")</f>
        <v>2.00875854492</v>
      </c>
      <c r="V362" s="28" t="str">
        <f>HYPERLINK(AA2 &amp; "/bottle/sn_e24fb21f7cb7998d94b2f4c4a75fd722/rendering/19.obj", "1.79579589844")</f>
        <v>1.79579589844</v>
      </c>
      <c r="W362" s="12" t="s">
        <v>29</v>
      </c>
      <c r="X362" s="13">
        <v>2.022726226806641</v>
      </c>
      <c r="Y362" s="13">
        <v>0.2003027186127741</v>
      </c>
      <c r="Z362" s="110">
        <v>9.9026114339259896E-2</v>
      </c>
    </row>
    <row r="363" spans="1:26" x14ac:dyDescent="0.2">
      <c r="A363" s="1">
        <v>361</v>
      </c>
      <c r="B363" s="2" t="s">
        <v>105</v>
      </c>
      <c r="C363" s="34" t="str">
        <f>HYPERLINK(AA2 &amp; "/bottle/sn_e24fb21f7cb7998d94b2f4c4a75fd722/rendering/00.obj", "1.90573072433")</f>
        <v>1.90573072433</v>
      </c>
      <c r="D363" s="73" t="str">
        <f>HYPERLINK(AA2 &amp; "/bottle/sn_e24fb21f7cb7998d94b2f4c4a75fd722/rendering/01.obj", "1.75055992603")</f>
        <v>1.75055992603</v>
      </c>
      <c r="E363" s="91" t="str">
        <f>HYPERLINK(AA2 &amp; "/bottle/sn_e24fb21f7cb7998d94b2f4c4a75fd722/rendering/02.obj", "1.76667928696")</f>
        <v>1.76667928696</v>
      </c>
      <c r="F363" s="91" t="str">
        <f>HYPERLINK(AA2 &amp; "/bottle/sn_e24fb21f7cb7998d94b2f4c4a75fd722/rendering/03.obj", "1.76921474934")</f>
        <v>1.76921474934</v>
      </c>
      <c r="G363" s="111" t="str">
        <f>HYPERLINK(AA2 &amp; "/bottle/sn_e24fb21f7cb7998d94b2f4c4a75fd722/rendering/04.obj", "2.58196187019")</f>
        <v>2.58196187019</v>
      </c>
      <c r="H363" s="23" t="str">
        <f>HYPERLINK(AA2 &amp; "/bottle/sn_e24fb21f7cb7998d94b2f4c4a75fd722/rendering/05.obj", "1.74565684795")</f>
        <v>1.74565684795</v>
      </c>
      <c r="I363" s="10" t="str">
        <f>HYPERLINK(AA2 &amp; "/bottle/sn_e24fb21f7cb7998d94b2f4c4a75fd722/rendering/06.obj", "1.71508657932")</f>
        <v>1.71508657932</v>
      </c>
      <c r="J363" s="133" t="str">
        <f>HYPERLINK(AA2 &amp; "/bottle/sn_e24fb21f7cb7998d94b2f4c4a75fd722/rendering/07.obj", "2.0030169487")</f>
        <v>2.0030169487</v>
      </c>
      <c r="K363" s="30" t="str">
        <f>HYPERLINK(AA2 &amp; "/bottle/sn_e24fb21f7cb7998d94b2f4c4a75fd722/rendering/08.obj", "1.80522167683")</f>
        <v>1.80522167683</v>
      </c>
      <c r="L363" s="41" t="str">
        <f>HYPERLINK(AA2 &amp; "/bottle/sn_e24fb21f7cb7998d94b2f4c4a75fd722/rendering/09.obj", "1.69138264656")</f>
        <v>1.69138264656</v>
      </c>
      <c r="M363" s="91" t="str">
        <f>HYPERLINK(AA2 &amp; "/bottle/sn_e24fb21f7cb7998d94b2f4c4a75fd722/rendering/10.obj", "1.76411831379")</f>
        <v>1.76411831379</v>
      </c>
      <c r="N363" s="73" t="str">
        <f>HYPERLINK(AA2 &amp; "/bottle/sn_e24fb21f7cb7998d94b2f4c4a75fd722/rendering/11.obj", "1.75045859814")</f>
        <v>1.75045859814</v>
      </c>
      <c r="O363" s="70" t="str">
        <f>HYPERLINK(AA2 &amp; "/bottle/sn_e24fb21f7cb7998d94b2f4c4a75fd722/rendering/12.obj", "2.04447889328")</f>
        <v>2.04447889328</v>
      </c>
      <c r="P363" s="107" t="str">
        <f>HYPERLINK(AA2 &amp; "/bottle/sn_e24fb21f7cb7998d94b2f4c4a75fd722/rendering/13.obj", "1.66344773769")</f>
        <v>1.66344773769</v>
      </c>
      <c r="Q363" s="38" t="str">
        <f>HYPERLINK(AA2 &amp; "/bottle/sn_e24fb21f7cb7998d94b2f4c4a75fd722/rendering/14.obj", "1.65091812611")</f>
        <v>1.65091812611</v>
      </c>
      <c r="R363" s="107" t="str">
        <f>HYPERLINK(AA2 &amp; "/bottle/sn_e24fb21f7cb7998d94b2f4c4a75fd722/rendering/15.obj", "1.66515123844")</f>
        <v>1.66515123844</v>
      </c>
      <c r="S363" s="60" t="str">
        <f>HYPERLINK(AA2 &amp; "/bottle/sn_e24fb21f7cb7998d94b2f4c4a75fd722/rendering/16.obj", "1.72082650661")</f>
        <v>1.72082650661</v>
      </c>
      <c r="T363" s="25" t="str">
        <f>HYPERLINK(AA2 &amp; "/bottle/sn_e24fb21f7cb7998d94b2f4c4a75fd722/rendering/17.obj", "1.79566943645")</f>
        <v>1.79566943645</v>
      </c>
      <c r="U363" s="13" t="str">
        <f>HYPERLINK(AA2 &amp; "/bottle/sn_e24fb21f7cb7998d94b2f4c4a75fd722/rendering/18.obj", "1.81742703915")</f>
        <v>1.81742703915</v>
      </c>
      <c r="V363" s="26" t="str">
        <f>HYPERLINK(AA2 &amp; "/bottle/sn_e24fb21f7cb7998d94b2f4c4a75fd722/rendering/19.obj", "1.69734656811")</f>
        <v>1.69734656811</v>
      </c>
      <c r="W363" s="12" t="s">
        <v>30</v>
      </c>
      <c r="X363" s="13">
        <v>1.8152176856994631</v>
      </c>
      <c r="Y363" s="13">
        <v>0.20315203341164459</v>
      </c>
      <c r="Z363" s="28">
        <v>0.1119160721119591</v>
      </c>
    </row>
    <row r="364" spans="1:26" x14ac:dyDescent="0.2">
      <c r="A364" s="1">
        <v>362</v>
      </c>
      <c r="B364" s="2" t="s">
        <v>105</v>
      </c>
      <c r="C364" s="69" t="str">
        <f>HYPERLINK(AB2 &amp; "/bottle/sn_e24fb21f7cb7998d94b2f4c4a75fd722/rendering/00.obj", "3.20828369141")</f>
        <v>3.20828369141</v>
      </c>
      <c r="D364" s="30" t="str">
        <f>HYPERLINK(AB2 &amp; "/bottle/sn_e24fb21f7cb7998d94b2f4c4a75fd722/rendering/01.obj", "3.13269775391")</f>
        <v>3.13269775391</v>
      </c>
      <c r="E364" s="17" t="str">
        <f>HYPERLINK(AB2 &amp; "/bottle/sn_e24fb21f7cb7998d94b2f4c4a75fd722/rendering/02.obj", "3.05222106934")</f>
        <v>3.05222106934</v>
      </c>
      <c r="F364" s="34" t="str">
        <f>HYPERLINK(AB2 &amp; "/bottle/sn_e24fb21f7cb7998d94b2f4c4a75fd722/rendering/03.obj", "2.9608392334")</f>
        <v>2.9608392334</v>
      </c>
      <c r="G364" s="47" t="str">
        <f>HYPERLINK(AB2 &amp; "/bottle/sn_e24fb21f7cb7998d94b2f4c4a75fd722/rendering/04.obj", "3.09042877197")</f>
        <v>3.09042877197</v>
      </c>
      <c r="H364" s="68" t="str">
        <f>HYPERLINK(AB2 &amp; "/bottle/sn_e24fb21f7cb7998d94b2f4c4a75fd722/rendering/05.obj", "2.97967468262")</f>
        <v>2.97967468262</v>
      </c>
      <c r="I364" s="41" t="str">
        <f>HYPERLINK(AB2 &amp; "/bottle/sn_e24fb21f7cb7998d94b2f4c4a75fd722/rendering/06.obj", "2.90351837158")</f>
        <v>2.90351837158</v>
      </c>
      <c r="J364" s="10" t="str">
        <f>HYPERLINK(AB2 &amp; "/bottle/sn_e24fb21f7cb7998d94b2f4c4a75fd722/rendering/07.obj", "3.28214416504")</f>
        <v>3.28214416504</v>
      </c>
      <c r="K364" s="26" t="str">
        <f>HYPERLINK(AB2 &amp; "/bottle/sn_e24fb21f7cb7998d94b2f4c4a75fd722/rendering/08.obj", "2.91935943604")</f>
        <v>2.91935943604</v>
      </c>
      <c r="L364" s="26" t="str">
        <f>HYPERLINK(AB2 &amp; "/bottle/sn_e24fb21f7cb7998d94b2f4c4a75fd722/rendering/09.obj", "3.31905212402")</f>
        <v>3.31905212402</v>
      </c>
      <c r="M364" s="73" t="str">
        <f>HYPERLINK(AB2 &amp; "/bottle/sn_e24fb21f7cb7998d94b2f4c4a75fd722/rendering/10.obj", "3.22699707031")</f>
        <v>3.22699707031</v>
      </c>
      <c r="N364" s="48" t="str">
        <f>HYPERLINK(AB2 &amp; "/bottle/sn_e24fb21f7cb7998d94b2f4c4a75fd722/rendering/11.obj", "3.1876272583")</f>
        <v>3.1876272583</v>
      </c>
      <c r="O364" s="78" t="str">
        <f>HYPERLINK(AB2 &amp; "/bottle/sn_e24fb21f7cb7998d94b2f4c4a75fd722/rendering/12.obj", "3.30344299316")</f>
        <v>3.30344299316</v>
      </c>
      <c r="P364" s="72" t="str">
        <f>HYPERLINK(AB2 &amp; "/bottle/sn_e24fb21f7cb7998d94b2f4c4a75fd722/rendering/13.obj", "3.00986877441")</f>
        <v>3.00986877441</v>
      </c>
      <c r="Q364" s="46" t="str">
        <f>HYPERLINK(AB2 &amp; "/bottle/sn_e24fb21f7cb7998d94b2f4c4a75fd722/rendering/14.obj", "3.16759246826")</f>
        <v>3.16759246826</v>
      </c>
      <c r="R364" s="69" t="str">
        <f>HYPERLINK(AB2 &amp; "/bottle/sn_e24fb21f7cb7998d94b2f4c4a75fd722/rendering/15.obj", "3.20879852295")</f>
        <v>3.20879852295</v>
      </c>
      <c r="S364" s="13" t="str">
        <f>HYPERLINK(AB2 &amp; "/bottle/sn_e24fb21f7cb7998d94b2f4c4a75fd722/rendering/16.obj", "3.11518005371")</f>
        <v>3.11518005371</v>
      </c>
      <c r="T364" s="46" t="str">
        <f>HYPERLINK(AB2 &amp; "/bottle/sn_e24fb21f7cb7998d94b2f4c4a75fd722/rendering/17.obj", "3.16741485596")</f>
        <v>3.16741485596</v>
      </c>
      <c r="U364" s="48" t="str">
        <f>HYPERLINK(AB2 &amp; "/bottle/sn_e24fb21f7cb7998d94b2f4c4a75fd722/rendering/18.obj", "3.19029388428")</f>
        <v>3.19029388428</v>
      </c>
      <c r="V364" s="5" t="str">
        <f>HYPERLINK(AB2 &amp; "/bottle/sn_e24fb21f7cb7998d94b2f4c4a75fd722/rendering/19.obj", "2.87581420898")</f>
        <v>2.87581420898</v>
      </c>
      <c r="W364" s="12" t="s">
        <v>31</v>
      </c>
      <c r="X364" s="13">
        <v>3.1150624694824218</v>
      </c>
      <c r="Y364" s="13">
        <v>0.13224682293359391</v>
      </c>
      <c r="Z364" s="68">
        <v>4.2453987433377922E-2</v>
      </c>
    </row>
    <row r="365" spans="1:26" x14ac:dyDescent="0.2">
      <c r="A365" s="1">
        <v>363</v>
      </c>
      <c r="B365" s="2" t="s">
        <v>105</v>
      </c>
      <c r="C365" s="72" t="str">
        <f>HYPERLINK(AB2 &amp; "/bottle/sn_e24fb21f7cb7998d94b2f4c4a75fd722/rendering/00.obj", "2.06966471672")</f>
        <v>2.06966471672</v>
      </c>
      <c r="D365" s="47" t="str">
        <f>HYPERLINK(AB2 &amp; "/bottle/sn_e24fb21f7cb7998d94b2f4c4a75fd722/rendering/01.obj", "1.9866206646")</f>
        <v>1.9866206646</v>
      </c>
      <c r="E365" s="34" t="str">
        <f>HYPERLINK(AB2 &amp; "/bottle/sn_e24fb21f7cb7998d94b2f4c4a75fd722/rendering/02.obj", "1.90281116962")</f>
        <v>1.90281116962</v>
      </c>
      <c r="F365" s="110" t="str">
        <f>HYPERLINK(AB2 &amp; "/bottle/sn_e24fb21f7cb7998d94b2f4c4a75fd722/rendering/03.obj", "1.80290877819")</f>
        <v>1.80290877819</v>
      </c>
      <c r="G365" s="25" t="str">
        <f>HYPERLINK(AB2 &amp; "/bottle/sn_e24fb21f7cb7998d94b2f4c4a75fd722/rendering/04.obj", "1.9784964323")</f>
        <v>1.9784964323</v>
      </c>
      <c r="H365" s="94" t="str">
        <f>HYPERLINK(AB2 &amp; "/bottle/sn_e24fb21f7cb7998d94b2f4c4a75fd722/rendering/05.obj", "1.8542342186")</f>
        <v>1.8542342186</v>
      </c>
      <c r="I365" s="110" t="str">
        <f>HYPERLINK(AB2 &amp; "/bottle/sn_e24fb21f7cb7998d94b2f4c4a75fd722/rendering/06.obj", "1.80705225468")</f>
        <v>1.80705225468</v>
      </c>
      <c r="J365" s="39" t="str">
        <f>HYPERLINK(AB2 &amp; "/bottle/sn_e24fb21f7cb7998d94b2f4c4a75fd722/rendering/07.obj", "2.17384386063")</f>
        <v>2.17384386063</v>
      </c>
      <c r="K365" s="106" t="str">
        <f>HYPERLINK(AB2 &amp; "/bottle/sn_e24fb21f7cb7998d94b2f4c4a75fd722/rendering/08.obj", "1.77020180225")</f>
        <v>1.77020180225</v>
      </c>
      <c r="L365" s="42" t="str">
        <f>HYPERLINK(AB2 &amp; "/bottle/sn_e24fb21f7cb7998d94b2f4c4a75fd722/rendering/09.obj", "2.2771115303")</f>
        <v>2.2771115303</v>
      </c>
      <c r="M365" s="26" t="str">
        <f>HYPERLINK(AB2 &amp; "/bottle/sn_e24fb21f7cb7998d94b2f4c4a75fd722/rendering/10.obj", "2.13152456284")</f>
        <v>2.13152456284</v>
      </c>
      <c r="N365" s="73" t="str">
        <f>HYPERLINK(AB2 &amp; "/bottle/sn_e24fb21f7cb7998d94b2f4c4a75fd722/rendering/11.obj", "2.07685446739")</f>
        <v>2.07685446739</v>
      </c>
      <c r="O365" s="106" t="str">
        <f>HYPERLINK(AB2 &amp; "/bottle/sn_e24fb21f7cb7998d94b2f4c4a75fd722/rendering/12.obj", "2.23195266724")</f>
        <v>2.23195266724</v>
      </c>
      <c r="P365" s="23" t="str">
        <f>HYPERLINK(AB2 &amp; "/bottle/sn_e24fb21f7cb7998d94b2f4c4a75fd722/rendering/13.obj", "1.92131412029")</f>
        <v>1.92131412029</v>
      </c>
      <c r="Q365" s="46" t="str">
        <f>HYPERLINK(AB2 &amp; "/bottle/sn_e24fb21f7cb7998d94b2f4c4a75fd722/rendering/14.obj", "2.03326010704")</f>
        <v>2.03326010704</v>
      </c>
      <c r="R365" s="60" t="str">
        <f>HYPERLINK(AB2 &amp; "/bottle/sn_e24fb21f7cb7998d94b2f4c4a75fd722/rendering/15.obj", "2.10647249222")</f>
        <v>2.10647249222</v>
      </c>
      <c r="S365" s="72" t="str">
        <f>HYPERLINK(AB2 &amp; "/bottle/sn_e24fb21f7cb7998d94b2f4c4a75fd722/rendering/16.obj", "1.93304133415")</f>
        <v>1.93304133415</v>
      </c>
      <c r="T365" s="60" t="str">
        <f>HYPERLINK(AB2 &amp; "/bottle/sn_e24fb21f7cb7998d94b2f4c4a75fd722/rendering/17.obj", "2.10832190514")</f>
        <v>2.10832190514</v>
      </c>
      <c r="U365" s="91" t="str">
        <f>HYPERLINK(AB2 &amp; "/bottle/sn_e24fb21f7cb7998d94b2f4c4a75fd722/rendering/18.obj", "2.05292129517")</f>
        <v>2.05292129517</v>
      </c>
      <c r="V365" s="67" t="str">
        <f>HYPERLINK(AB2 &amp; "/bottle/sn_e24fb21f7cb7998d94b2f4c4a75fd722/rendering/19.obj", "1.81695282459")</f>
        <v>1.81695282459</v>
      </c>
      <c r="W365" s="12" t="s">
        <v>32</v>
      </c>
      <c r="X365" s="13">
        <v>2.0017780601978301</v>
      </c>
      <c r="Y365" s="13">
        <v>0.14494544665573789</v>
      </c>
      <c r="Z365" s="94">
        <v>7.2408350125194851E-2</v>
      </c>
    </row>
    <row r="366" spans="1:26" x14ac:dyDescent="0.2">
      <c r="A366" s="1">
        <v>364</v>
      </c>
      <c r="B366" s="2" t="s">
        <v>105</v>
      </c>
      <c r="C366" s="13" t="str">
        <f>HYPERLINK(AC2 &amp; "/bottle/sn_e24fb21f7cb7998d94b2f4c4a75fd722/rendering/00.xyz", "0.0")</f>
        <v>0.0</v>
      </c>
      <c r="D366" s="13" t="str">
        <f>HYPERLINK(AC2 &amp; "/bottle/sn_e24fb21f7cb7998d94b2f4c4a75fd722/rendering/01.xyz", "0.0")</f>
        <v>0.0</v>
      </c>
      <c r="E366" s="13" t="str">
        <f>HYPERLINK(AC2 &amp; "/bottle/sn_e24fb21f7cb7998d94b2f4c4a75fd722/rendering/02.xyz", "0.0")</f>
        <v>0.0</v>
      </c>
      <c r="F366" s="13" t="str">
        <f>HYPERLINK(AC2 &amp; "/bottle/sn_e24fb21f7cb7998d94b2f4c4a75fd722/rendering/03.xyz", "0.0")</f>
        <v>0.0</v>
      </c>
      <c r="G366" s="13" t="str">
        <f>HYPERLINK(AC2 &amp; "/bottle/sn_e24fb21f7cb7998d94b2f4c4a75fd722/rendering/04.xyz", "0.0")</f>
        <v>0.0</v>
      </c>
      <c r="H366" s="13" t="str">
        <f>HYPERLINK(AC2 &amp; "/bottle/sn_e24fb21f7cb7998d94b2f4c4a75fd722/rendering/05.xyz", "0.0")</f>
        <v>0.0</v>
      </c>
      <c r="I366" s="13" t="str">
        <f>HYPERLINK(AC2 &amp; "/bottle/sn_e24fb21f7cb7998d94b2f4c4a75fd722/rendering/06.xyz", "0.0")</f>
        <v>0.0</v>
      </c>
      <c r="J366" s="13" t="str">
        <f>HYPERLINK(AC2 &amp; "/bottle/sn_e24fb21f7cb7998d94b2f4c4a75fd722/rendering/07.xyz", "0.0")</f>
        <v>0.0</v>
      </c>
      <c r="K366" s="13" t="str">
        <f>HYPERLINK(AC2 &amp; "/bottle/sn_e24fb21f7cb7998d94b2f4c4a75fd722/rendering/08.xyz", "0.0")</f>
        <v>0.0</v>
      </c>
      <c r="L366" s="13" t="str">
        <f>HYPERLINK(AC2 &amp; "/bottle/sn_e24fb21f7cb7998d94b2f4c4a75fd722/rendering/09.xyz", "0.0")</f>
        <v>0.0</v>
      </c>
      <c r="M366" s="13" t="str">
        <f>HYPERLINK(AC2 &amp; "/bottle/sn_e24fb21f7cb7998d94b2f4c4a75fd722/rendering/10.xyz", "0.0")</f>
        <v>0.0</v>
      </c>
      <c r="N366" s="13" t="str">
        <f>HYPERLINK(AC2 &amp; "/bottle/sn_e24fb21f7cb7998d94b2f4c4a75fd722/rendering/11.xyz", "0.0")</f>
        <v>0.0</v>
      </c>
      <c r="O366" s="13" t="str">
        <f>HYPERLINK(AC2 &amp; "/bottle/sn_e24fb21f7cb7998d94b2f4c4a75fd722/rendering/12.xyz", "0.0")</f>
        <v>0.0</v>
      </c>
      <c r="P366" s="13" t="str">
        <f>HYPERLINK(AC2 &amp; "/bottle/sn_e24fb21f7cb7998d94b2f4c4a75fd722/rendering/13.xyz", "0.0")</f>
        <v>0.0</v>
      </c>
      <c r="Q366" s="13" t="str">
        <f>HYPERLINK(AC2 &amp; "/bottle/sn_e24fb21f7cb7998d94b2f4c4a75fd722/rendering/14.xyz", "0.0")</f>
        <v>0.0</v>
      </c>
      <c r="R366" s="13" t="str">
        <f>HYPERLINK(AC2 &amp; "/bottle/sn_e24fb21f7cb7998d94b2f4c4a75fd722/rendering/15.xyz", "0.0")</f>
        <v>0.0</v>
      </c>
      <c r="S366" s="13" t="str">
        <f>HYPERLINK(AC2 &amp; "/bottle/sn_e24fb21f7cb7998d94b2f4c4a75fd722/rendering/16.xyz", "0.0")</f>
        <v>0.0</v>
      </c>
      <c r="T366" s="13" t="str">
        <f>HYPERLINK(AC2 &amp; "/bottle/sn_e24fb21f7cb7998d94b2f4c4a75fd722/rendering/17.xyz", "0.0")</f>
        <v>0.0</v>
      </c>
      <c r="U366" s="13" t="str">
        <f>HYPERLINK(AC2 &amp; "/bottle/sn_e24fb21f7cb7998d94b2f4c4a75fd722/rendering/18.xyz", "0.0")</f>
        <v>0.0</v>
      </c>
      <c r="V366" s="13" t="str">
        <f>HYPERLINK(AC2 &amp; "/bottle/sn_e24fb21f7cb7998d94b2f4c4a75fd722/rendering/19.xyz", "0.0")</f>
        <v>0.0</v>
      </c>
      <c r="W366" s="12" t="s">
        <v>33</v>
      </c>
      <c r="X366" s="13">
        <v>0</v>
      </c>
      <c r="Y366" s="13">
        <v>0</v>
      </c>
      <c r="Z366" s="13">
        <v>0</v>
      </c>
    </row>
    <row r="367" spans="1:26" x14ac:dyDescent="0.2">
      <c r="A367" s="1">
        <v>365</v>
      </c>
      <c r="B367" s="2" t="s">
        <v>106</v>
      </c>
      <c r="C367" s="49" t="str">
        <f>HYPERLINK(AA2 &amp; "/bottle/sn_e284c5156e0e798b527f8e9c7570d3cc/rendering/00.obj", "4.44579467773")</f>
        <v>4.44579467773</v>
      </c>
      <c r="D367" s="169" t="str">
        <f>HYPERLINK(AA2 &amp; "/bottle/sn_e284c5156e0e798b527f8e9c7570d3cc/rendering/01.obj", "3.86562164307")</f>
        <v>3.86562164307</v>
      </c>
      <c r="E367" s="81" t="str">
        <f>HYPERLINK(AA2 &amp; "/bottle/sn_e284c5156e0e798b527f8e9c7570d3cc/rendering/02.obj", "6.83968261719")</f>
        <v>6.83968261719</v>
      </c>
      <c r="F367" s="5" t="str">
        <f>HYPERLINK(AA2 &amp; "/bottle/sn_e284c5156e0e798b527f8e9c7570d3cc/rendering/03.obj", "5.18033813477")</f>
        <v>5.18033813477</v>
      </c>
      <c r="G367" s="8" t="str">
        <f>HYPERLINK(AA2 &amp; "/bottle/sn_e284c5156e0e798b527f8e9c7570d3cc/rendering/04.obj", "4.81102172852")</f>
        <v>4.81102172852</v>
      </c>
      <c r="H367" s="79" t="str">
        <f>HYPERLINK(AA2 &amp; "/bottle/sn_e284c5156e0e798b527f8e9c7570d3cc/rendering/05.obj", "6.50426635742")</f>
        <v>6.50426635742</v>
      </c>
      <c r="I367" s="169" t="str">
        <f>HYPERLINK(AA2 &amp; "/bottle/sn_e284c5156e0e798b527f8e9c7570d3cc/rendering/06.obj", "3.85401733398")</f>
        <v>3.85401733398</v>
      </c>
      <c r="J367" s="129" t="str">
        <f>HYPERLINK(AA2 &amp; "/bottle/sn_e284c5156e0e798b527f8e9c7570d3cc/rendering/07.obj", "4.20515533447")</f>
        <v>4.20515533447</v>
      </c>
      <c r="K367" s="174" t="str">
        <f>HYPERLINK(AA2 &amp; "/bottle/sn_e284c5156e0e798b527f8e9c7570d3cc/rendering/08.obj", "8.55399536133")</f>
        <v>8.55399536133</v>
      </c>
      <c r="L367" s="38" t="str">
        <f>HYPERLINK(AA2 &amp; "/bottle/sn_e284c5156e0e798b527f8e9c7570d3cc/rendering/09.obj", "6.1157800293")</f>
        <v>6.1157800293</v>
      </c>
      <c r="M367" s="34" t="str">
        <f>HYPERLINK(AA2 &amp; "/bottle/sn_e284c5156e0e798b527f8e9c7570d3cc/rendering/10.obj", "5.33366882324")</f>
        <v>5.33366882324</v>
      </c>
      <c r="N367" s="88" t="str">
        <f>HYPERLINK(AA2 &amp; "/bottle/sn_e284c5156e0e798b527f8e9c7570d3cc/rendering/11.obj", "6.74745300293")</f>
        <v>6.74745300293</v>
      </c>
      <c r="O367" s="63" t="str">
        <f>HYPERLINK(AA2 &amp; "/bottle/sn_e284c5156e0e798b527f8e9c7570d3cc/rendering/12.obj", "6.29379638672")</f>
        <v>6.29379638672</v>
      </c>
      <c r="P367" s="29" t="str">
        <f>HYPERLINK(AA2 &amp; "/bottle/sn_e284c5156e0e798b527f8e9c7570d3cc/rendering/13.obj", "4.88429748535")</f>
        <v>4.88429748535</v>
      </c>
      <c r="Q367" s="98" t="str">
        <f>HYPERLINK(AA2 &amp; "/bottle/sn_e284c5156e0e798b527f8e9c7570d3cc/rendering/14.obj", "4.31686523438")</f>
        <v>4.31686523438</v>
      </c>
      <c r="R367" s="20" t="str">
        <f>HYPERLINK(AA2 &amp; "/bottle/sn_e284c5156e0e798b527f8e9c7570d3cc/rendering/15.obj", "10.1154602051")</f>
        <v>10.1154602051</v>
      </c>
      <c r="S367" s="121" t="str">
        <f>HYPERLINK(AA2 &amp; "/bottle/sn_e284c5156e0e798b527f8e9c7570d3cc/rendering/16.obj", "7.5857611084")</f>
        <v>7.5857611084</v>
      </c>
      <c r="T367" s="138" t="str">
        <f>HYPERLINK(AA2 &amp; "/bottle/sn_e284c5156e0e798b527f8e9c7570d3cc/rendering/17.obj", "3.71046081543")</f>
        <v>3.71046081543</v>
      </c>
      <c r="U367" s="36" t="str">
        <f>HYPERLINK(AA2 &amp; "/bottle/sn_e284c5156e0e798b527f8e9c7570d3cc/rendering/18.obj", "4.39805328369")</f>
        <v>4.39805328369</v>
      </c>
      <c r="V367" s="49" t="str">
        <f>HYPERLINK(AA2 &amp; "/bottle/sn_e284c5156e0e798b527f8e9c7570d3cc/rendering/19.obj", "4.43479888916")</f>
        <v>4.43479888916</v>
      </c>
      <c r="W367" s="12" t="s">
        <v>29</v>
      </c>
      <c r="X367" s="13">
        <v>5.6098144226074229</v>
      </c>
      <c r="Y367" s="13">
        <v>1.6764630158602341</v>
      </c>
      <c r="Z367" s="100">
        <v>0.29884464789140391</v>
      </c>
    </row>
    <row r="368" spans="1:26" x14ac:dyDescent="0.2">
      <c r="A368" s="1">
        <v>366</v>
      </c>
      <c r="B368" s="2" t="s">
        <v>106</v>
      </c>
      <c r="C368" s="176" t="str">
        <f>HYPERLINK(AA2 &amp; "/bottle/sn_e284c5156e0e798b527f8e9c7570d3cc/rendering/00.obj", "4.96519136429")</f>
        <v>4.96519136429</v>
      </c>
      <c r="D368" s="196" t="str">
        <f>HYPERLINK(AA2 &amp; "/bottle/sn_e284c5156e0e798b527f8e9c7570d3cc/rendering/01.obj", "4.38743448257")</f>
        <v>4.38743448257</v>
      </c>
      <c r="E368" s="78" t="str">
        <f>HYPERLINK(AA2 &amp; "/bottle/sn_e284c5156e0e798b527f8e9c7570d3cc/rendering/02.obj", "6.85304069519")</f>
        <v>6.85304069519</v>
      </c>
      <c r="F368" s="28" t="str">
        <f>HYPERLINK(AA2 &amp; "/bottle/sn_e284c5156e0e798b527f8e9c7570d3cc/rendering/03.obj", "6.46716833115")</f>
        <v>6.46716833115</v>
      </c>
      <c r="G368" s="84" t="str">
        <f>HYPERLINK(AA2 &amp; "/bottle/sn_e284c5156e0e798b527f8e9c7570d3cc/rendering/04.obj", "6.22624397278")</f>
        <v>6.22624397278</v>
      </c>
      <c r="H368" s="210" t="str">
        <f>HYPERLINK(AA2 &amp; "/bottle/sn_e284c5156e0e798b527f8e9c7570d3cc/rendering/05.obj", "12.8968906403")</f>
        <v>12.8968906403</v>
      </c>
      <c r="I368" s="103" t="str">
        <f>HYPERLINK(AA2 &amp; "/bottle/sn_e284c5156e0e798b527f8e9c7570d3cc/rendering/06.obj", "4.91499710083")</f>
        <v>4.91499710083</v>
      </c>
      <c r="J368" s="100" t="str">
        <f>HYPERLINK(AA2 &amp; "/bottle/sn_e284c5156e0e798b527f8e9c7570d3cc/rendering/07.obj", "5.09533119202")</f>
        <v>5.09533119202</v>
      </c>
      <c r="K368" s="71" t="str">
        <f>HYPERLINK(AA2 &amp; "/bottle/sn_e284c5156e0e798b527f8e9c7570d3cc/rendering/08.obj", "8.14553546906")</f>
        <v>8.14553546906</v>
      </c>
      <c r="L368" s="127" t="str">
        <f>HYPERLINK(AA2 &amp; "/bottle/sn_e284c5156e0e798b527f8e9c7570d3cc/rendering/09.obj", "11.0682916641")</f>
        <v>11.0682916641</v>
      </c>
      <c r="M368" s="59" t="str">
        <f>HYPERLINK(AA2 &amp; "/bottle/sn_e284c5156e0e798b527f8e9c7570d3cc/rendering/10.obj", "9.03202915192")</f>
        <v>9.03202915192</v>
      </c>
      <c r="N368" s="60" t="str">
        <f>HYPERLINK(AA2 &amp; "/bottle/sn_e284c5156e0e798b527f8e9c7570d3cc/rendering/11.obj", "6.91797780991")</f>
        <v>6.91797780991</v>
      </c>
      <c r="O368" s="192" t="str">
        <f>HYPERLINK(AA2 &amp; "/bottle/sn_e284c5156e0e798b527f8e9c7570d3cc/rendering/12.obj", "9.99241733551")</f>
        <v>9.99241733551</v>
      </c>
      <c r="P368" s="27" t="str">
        <f>HYPERLINK(AA2 &amp; "/bottle/sn_e284c5156e0e798b527f8e9c7570d3cc/rendering/13.obj", "6.77352619171")</f>
        <v>6.77352619171</v>
      </c>
      <c r="Q368" s="108" t="str">
        <f>HYPERLINK(AA2 &amp; "/bottle/sn_e284c5156e0e798b527f8e9c7570d3cc/rendering/14.obj", "5.49310398102")</f>
        <v>5.49310398102</v>
      </c>
      <c r="R368" s="20" t="str">
        <f>HYPERLINK(AA2 &amp; "/bottle/sn_e284c5156e0e798b527f8e9c7570d3cc/rendering/15.obj", "14.2068691254")</f>
        <v>14.2068691254</v>
      </c>
      <c r="S368" s="32" t="str">
        <f>HYPERLINK(AA2 &amp; "/bottle/sn_e284c5156e0e798b527f8e9c7570d3cc/rendering/16.obj", "8.04786205292")</f>
        <v>8.04786205292</v>
      </c>
      <c r="T368" s="179" t="str">
        <f>HYPERLINK(AA2 &amp; "/bottle/sn_e284c5156e0e798b527f8e9c7570d3cc/rendering/17.obj", "4.16588830948")</f>
        <v>4.16588830948</v>
      </c>
      <c r="U368" s="54" t="str">
        <f>HYPERLINK(AA2 &amp; "/bottle/sn_e284c5156e0e798b527f8e9c7570d3cc/rendering/18.obj", "4.90701770782")</f>
        <v>4.90701770782</v>
      </c>
      <c r="V368" s="95" t="str">
        <f>HYPERLINK(AA2 &amp; "/bottle/sn_e284c5156e0e798b527f8e9c7570d3cc/rendering/19.obj", "5.23733139038")</f>
        <v>5.23733139038</v>
      </c>
      <c r="W368" s="12" t="s">
        <v>30</v>
      </c>
      <c r="X368" s="13">
        <v>7.2897073984146106</v>
      </c>
      <c r="Y368" s="13">
        <v>2.7818367140613529</v>
      </c>
      <c r="Z368" s="124">
        <v>0.38161157396610412</v>
      </c>
    </row>
    <row r="369" spans="1:26" x14ac:dyDescent="0.2">
      <c r="A369" s="1">
        <v>367</v>
      </c>
      <c r="B369" s="2" t="s">
        <v>106</v>
      </c>
      <c r="C369" s="68" t="str">
        <f>HYPERLINK(AB2 &amp; "/bottle/sn_e284c5156e0e798b527f8e9c7570d3cc/rendering/00.obj", "3.61309936523")</f>
        <v>3.61309936523</v>
      </c>
      <c r="D369" s="10" t="str">
        <f>HYPERLINK(AB2 &amp; "/bottle/sn_e284c5156e0e798b527f8e9c7570d3cc/rendering/01.obj", "3.5667288208")</f>
        <v>3.5667288208</v>
      </c>
      <c r="E369" s="40" t="str">
        <f>HYPERLINK(AB2 &amp; "/bottle/sn_e284c5156e0e798b527f8e9c7570d3cc/rendering/02.obj", "3.12973937988")</f>
        <v>3.12973937988</v>
      </c>
      <c r="F369" s="46" t="str">
        <f>HYPERLINK(AB2 &amp; "/bottle/sn_e284c5156e0e798b527f8e9c7570d3cc/rendering/03.obj", "3.83381164551")</f>
        <v>3.83381164551</v>
      </c>
      <c r="G369" s="72" t="str">
        <f>HYPERLINK(AB2 &amp; "/bottle/sn_e284c5156e0e798b527f8e9c7570d3cc/rendering/04.obj", "3.65384246826")</f>
        <v>3.65384246826</v>
      </c>
      <c r="H369" s="74" t="str">
        <f>HYPERLINK(AB2 &amp; "/bottle/sn_e284c5156e0e798b527f8e9c7570d3cc/rendering/05.obj", "3.82240447998")</f>
        <v>3.82240447998</v>
      </c>
      <c r="I369" s="69" t="str">
        <f>HYPERLINK(AB2 &amp; "/bottle/sn_e284c5156e0e798b527f8e9c7570d3cc/rendering/06.obj", "3.65931640625")</f>
        <v>3.65931640625</v>
      </c>
      <c r="J369" s="13" t="str">
        <f>HYPERLINK(AB2 &amp; "/bottle/sn_e284c5156e0e798b527f8e9c7570d3cc/rendering/07.obj", "3.76200073242")</f>
        <v>3.76200073242</v>
      </c>
      <c r="K369" s="63" t="str">
        <f>HYPERLINK(AB2 &amp; "/bottle/sn_e284c5156e0e798b527f8e9c7570d3cc/rendering/08.obj", "3.31489715576")</f>
        <v>3.31489715576</v>
      </c>
      <c r="L369" s="84" t="str">
        <f>HYPERLINK(AB2 &amp; "/bottle/sn_e284c5156e0e798b527f8e9c7570d3cc/rendering/09.obj", "4.33007629395")</f>
        <v>4.33007629395</v>
      </c>
      <c r="M369" s="41" t="str">
        <f>HYPERLINK(AB2 &amp; "/bottle/sn_e284c5156e0e798b527f8e9c7570d3cc/rendering/10.obj", "4.02822753906")</f>
        <v>4.02822753906</v>
      </c>
      <c r="N369" s="70" t="str">
        <f>HYPERLINK(AB2 &amp; "/bottle/sn_e284c5156e0e798b527f8e9c7570d3cc/rendering/11.obj", "3.2949041748")</f>
        <v>3.2949041748</v>
      </c>
      <c r="O369" s="63" t="str">
        <f>HYPERLINK(AB2 &amp; "/bottle/sn_e284c5156e0e798b527f8e9c7570d3cc/rendering/12.obj", "4.23434204102")</f>
        <v>4.23434204102</v>
      </c>
      <c r="P369" s="17" t="str">
        <f>HYPERLINK(AB2 &amp; "/bottle/sn_e284c5156e0e798b527f8e9c7570d3cc/rendering/13.obj", "3.85520019531")</f>
        <v>3.85520019531</v>
      </c>
      <c r="Q369" s="48" t="str">
        <f>HYPERLINK(AB2 &amp; "/bottle/sn_e284c5156e0e798b527f8e9c7570d3cc/rendering/14.obj", "3.68581085205")</f>
        <v>3.68581085205</v>
      </c>
      <c r="R369" s="48" t="str">
        <f>HYPERLINK(AB2 &amp; "/bottle/sn_e284c5156e0e798b527f8e9c7570d3cc/rendering/15.obj", "3.68142089844")</f>
        <v>3.68142089844</v>
      </c>
      <c r="S369" s="71" t="str">
        <f>HYPERLINK(AB2 &amp; "/bottle/sn_e284c5156e0e798b527f8e9c7570d3cc/rendering/16.obj", "4.22152984619")</f>
        <v>4.22152984619</v>
      </c>
      <c r="T369" s="51" t="str">
        <f>HYPERLINK(AB2 &amp; "/bottle/sn_e284c5156e0e798b527f8e9c7570d3cc/rendering/17.obj", "3.4750100708")</f>
        <v>3.4750100708</v>
      </c>
      <c r="U369" s="39" t="str">
        <f>HYPERLINK(AB2 &amp; "/bottle/sn_e284c5156e0e798b527f8e9c7570d3cc/rendering/18.obj", "4.09706665039")</f>
        <v>4.09706665039</v>
      </c>
      <c r="V369" s="71" t="str">
        <f>HYPERLINK(AB2 &amp; "/bottle/sn_e284c5156e0e798b527f8e9c7570d3cc/rendering/19.obj", "4.21389587402")</f>
        <v>4.21389587402</v>
      </c>
      <c r="W369" s="12" t="s">
        <v>31</v>
      </c>
      <c r="X369" s="13">
        <v>3.773666244506837</v>
      </c>
      <c r="Y369" s="13">
        <v>0.32818821005773968</v>
      </c>
      <c r="Z369" s="39">
        <v>8.6968001087925878E-2</v>
      </c>
    </row>
    <row r="370" spans="1:26" x14ac:dyDescent="0.2">
      <c r="A370" s="1">
        <v>368</v>
      </c>
      <c r="B370" s="2" t="s">
        <v>106</v>
      </c>
      <c r="C370" s="78" t="str">
        <f>HYPERLINK(AB2 &amp; "/bottle/sn_e284c5156e0e798b527f8e9c7570d3cc/rendering/00.obj", "3.36484146118")</f>
        <v>3.36484146118</v>
      </c>
      <c r="D370" s="35" t="str">
        <f>HYPERLINK(AB2 &amp; "/bottle/sn_e284c5156e0e798b527f8e9c7570d3cc/rendering/01.obj", "3.80022978783")</f>
        <v>3.80022978783</v>
      </c>
      <c r="E370" s="35" t="str">
        <f>HYPERLINK(AB2 &amp; "/bottle/sn_e284c5156e0e798b527f8e9c7570d3cc/rendering/02.obj", "3.37866735458")</f>
        <v>3.37866735458</v>
      </c>
      <c r="F370" s="10" t="str">
        <f>HYPERLINK(AB2 &amp; "/bottle/sn_e284c5156e0e798b527f8e9c7570d3cc/rendering/03.obj", "3.39414715767")</f>
        <v>3.39414715767</v>
      </c>
      <c r="G370" s="5" t="str">
        <f>HYPERLINK(AB2 &amp; "/bottle/sn_e284c5156e0e798b527f8e9c7570d3cc/rendering/04.obj", "3.31175661087")</f>
        <v>3.31175661087</v>
      </c>
      <c r="H370" s="73" t="str">
        <f>HYPERLINK(AB2 &amp; "/bottle/sn_e284c5156e0e798b527f8e9c7570d3cc/rendering/05.obj", "3.71755337715")</f>
        <v>3.71755337715</v>
      </c>
      <c r="I370" s="27" t="str">
        <f>HYPERLINK(AB2 &amp; "/bottle/sn_e284c5156e0e798b527f8e9c7570d3cc/rendering/06.obj", "3.33440566063")</f>
        <v>3.33440566063</v>
      </c>
      <c r="J370" s="6" t="str">
        <f>HYPERLINK(AB2 &amp; "/bottle/sn_e284c5156e0e798b527f8e9c7570d3cc/rendering/07.obj", "3.74967455864")</f>
        <v>3.74967455864</v>
      </c>
      <c r="K370" s="48" t="str">
        <f>HYPERLINK(AB2 &amp; "/bottle/sn_e284c5156e0e798b527f8e9c7570d3cc/rendering/08.obj", "3.50711584091")</f>
        <v>3.50711584091</v>
      </c>
      <c r="L370" s="93" t="str">
        <f>HYPERLINK(AB2 &amp; "/bottle/sn_e284c5156e0e798b527f8e9c7570d3cc/rendering/09.obj", "4.08813333511")</f>
        <v>4.08813333511</v>
      </c>
      <c r="M370" s="94" t="str">
        <f>HYPERLINK(AB2 &amp; "/bottle/sn_e284c5156e0e798b527f8e9c7570d3cc/rendering/10.obj", "3.84882259369")</f>
        <v>3.84882259369</v>
      </c>
      <c r="N370" s="92" t="str">
        <f>HYPERLINK(AB2 &amp; "/bottle/sn_e284c5156e0e798b527f8e9c7570d3cc/rendering/11.obj", "3.14319419861")</f>
        <v>3.14319419861</v>
      </c>
      <c r="O370" s="8" t="str">
        <f>HYPERLINK(AB2 &amp; "/bottle/sn_e284c5156e0e798b527f8e9c7570d3cc/rendering/12.obj", "4.10173368454")</f>
        <v>4.10173368454</v>
      </c>
      <c r="P370" s="27" t="str">
        <f>HYPERLINK(AB2 &amp; "/bottle/sn_e284c5156e0e798b527f8e9c7570d3cc/rendering/13.obj", "3.33991026878")</f>
        <v>3.33991026878</v>
      </c>
      <c r="Q370" s="73" t="str">
        <f>HYPERLINK(AB2 &amp; "/bottle/sn_e284c5156e0e798b527f8e9c7570d3cc/rendering/14.obj", "3.45788240433")</f>
        <v>3.45788240433</v>
      </c>
      <c r="R370" s="23" t="str">
        <f>HYPERLINK(AB2 &amp; "/bottle/sn_e284c5156e0e798b527f8e9c7570d3cc/rendering/15.obj", "3.44616913795")</f>
        <v>3.44616913795</v>
      </c>
      <c r="S370" s="13" t="str">
        <f>HYPERLINK(AB2 &amp; "/bottle/sn_e284c5156e0e798b527f8e9c7570d3cc/rendering/16.obj", "3.59102010727")</f>
        <v>3.59102010727</v>
      </c>
      <c r="T370" s="68" t="str">
        <f>HYPERLINK(AB2 &amp; "/bottle/sn_e284c5156e0e798b527f8e9c7570d3cc/rendering/17.obj", "3.43888449669")</f>
        <v>3.43888449669</v>
      </c>
      <c r="U370" s="30" t="str">
        <f>HYPERLINK(AB2 &amp; "/bottle/sn_e284c5156e0e798b527f8e9c7570d3cc/rendering/18.obj", "3.57449102402")</f>
        <v>3.57449102402</v>
      </c>
      <c r="V370" s="24" t="str">
        <f>HYPERLINK(AB2 &amp; "/bottle/sn_e284c5156e0e798b527f8e9c7570d3cc/rendering/19.obj", "4.18953514099")</f>
        <v>4.18953514099</v>
      </c>
      <c r="W370" s="12" t="s">
        <v>32</v>
      </c>
      <c r="X370" s="13">
        <v>3.5889084100723272</v>
      </c>
      <c r="Y370" s="13">
        <v>0.28540429455737559</v>
      </c>
      <c r="Z370" s="51">
        <v>7.9523983882225591E-2</v>
      </c>
    </row>
    <row r="371" spans="1:26" x14ac:dyDescent="0.2">
      <c r="A371" s="1">
        <v>369</v>
      </c>
      <c r="B371" s="2" t="s">
        <v>106</v>
      </c>
      <c r="C371" s="13" t="str">
        <f>HYPERLINK(AC2 &amp; "/bottle/sn_e284c5156e0e798b527f8e9c7570d3cc/rendering/00.xyz", "0.0")</f>
        <v>0.0</v>
      </c>
      <c r="D371" s="13" t="str">
        <f>HYPERLINK(AC2 &amp; "/bottle/sn_e284c5156e0e798b527f8e9c7570d3cc/rendering/01.xyz", "0.0")</f>
        <v>0.0</v>
      </c>
      <c r="E371" s="13" t="str">
        <f>HYPERLINK(AC2 &amp; "/bottle/sn_e284c5156e0e798b527f8e9c7570d3cc/rendering/02.xyz", "0.0")</f>
        <v>0.0</v>
      </c>
      <c r="F371" s="13" t="str">
        <f>HYPERLINK(AC2 &amp; "/bottle/sn_e284c5156e0e798b527f8e9c7570d3cc/rendering/03.xyz", "0.0")</f>
        <v>0.0</v>
      </c>
      <c r="G371" s="13" t="str">
        <f>HYPERLINK(AC2 &amp; "/bottle/sn_e284c5156e0e798b527f8e9c7570d3cc/rendering/04.xyz", "0.0")</f>
        <v>0.0</v>
      </c>
      <c r="H371" s="13" t="str">
        <f>HYPERLINK(AC2 &amp; "/bottle/sn_e284c5156e0e798b527f8e9c7570d3cc/rendering/05.xyz", "0.0")</f>
        <v>0.0</v>
      </c>
      <c r="I371" s="13" t="str">
        <f>HYPERLINK(AC2 &amp; "/bottle/sn_e284c5156e0e798b527f8e9c7570d3cc/rendering/06.xyz", "0.0")</f>
        <v>0.0</v>
      </c>
      <c r="J371" s="13" t="str">
        <f>HYPERLINK(AC2 &amp; "/bottle/sn_e284c5156e0e798b527f8e9c7570d3cc/rendering/07.xyz", "0.0")</f>
        <v>0.0</v>
      </c>
      <c r="K371" s="13" t="str">
        <f>HYPERLINK(AC2 &amp; "/bottle/sn_e284c5156e0e798b527f8e9c7570d3cc/rendering/08.xyz", "0.0")</f>
        <v>0.0</v>
      </c>
      <c r="L371" s="13" t="str">
        <f>HYPERLINK(AC2 &amp; "/bottle/sn_e284c5156e0e798b527f8e9c7570d3cc/rendering/09.xyz", "0.0")</f>
        <v>0.0</v>
      </c>
      <c r="M371" s="13" t="str">
        <f>HYPERLINK(AC2 &amp; "/bottle/sn_e284c5156e0e798b527f8e9c7570d3cc/rendering/10.xyz", "0.0")</f>
        <v>0.0</v>
      </c>
      <c r="N371" s="13" t="str">
        <f>HYPERLINK(AC2 &amp; "/bottle/sn_e284c5156e0e798b527f8e9c7570d3cc/rendering/11.xyz", "0.0")</f>
        <v>0.0</v>
      </c>
      <c r="O371" s="13" t="str">
        <f>HYPERLINK(AC2 &amp; "/bottle/sn_e284c5156e0e798b527f8e9c7570d3cc/rendering/12.xyz", "0.0")</f>
        <v>0.0</v>
      </c>
      <c r="P371" s="13" t="str">
        <f>HYPERLINK(AC2 &amp; "/bottle/sn_e284c5156e0e798b527f8e9c7570d3cc/rendering/13.xyz", "0.0")</f>
        <v>0.0</v>
      </c>
      <c r="Q371" s="13" t="str">
        <f>HYPERLINK(AC2 &amp; "/bottle/sn_e284c5156e0e798b527f8e9c7570d3cc/rendering/14.xyz", "0.0")</f>
        <v>0.0</v>
      </c>
      <c r="R371" s="13" t="str">
        <f>HYPERLINK(AC2 &amp; "/bottle/sn_e284c5156e0e798b527f8e9c7570d3cc/rendering/15.xyz", "0.0")</f>
        <v>0.0</v>
      </c>
      <c r="S371" s="13" t="str">
        <f>HYPERLINK(AC2 &amp; "/bottle/sn_e284c5156e0e798b527f8e9c7570d3cc/rendering/16.xyz", "0.0")</f>
        <v>0.0</v>
      </c>
      <c r="T371" s="13" t="str">
        <f>HYPERLINK(AC2 &amp; "/bottle/sn_e284c5156e0e798b527f8e9c7570d3cc/rendering/17.xyz", "0.0")</f>
        <v>0.0</v>
      </c>
      <c r="U371" s="13" t="str">
        <f>HYPERLINK(AC2 &amp; "/bottle/sn_e284c5156e0e798b527f8e9c7570d3cc/rendering/18.xyz", "0.0")</f>
        <v>0.0</v>
      </c>
      <c r="V371" s="13" t="str">
        <f>HYPERLINK(AC2 &amp; "/bottle/sn_e284c5156e0e798b527f8e9c7570d3cc/rendering/19.xyz", "0.0")</f>
        <v>0.0</v>
      </c>
      <c r="W371" s="12" t="s">
        <v>33</v>
      </c>
      <c r="X371" s="13">
        <v>0</v>
      </c>
      <c r="Y371" s="13">
        <v>0</v>
      </c>
      <c r="Z371" s="13">
        <v>0</v>
      </c>
    </row>
    <row r="372" spans="1:26" x14ac:dyDescent="0.2">
      <c r="A372" s="1">
        <v>370</v>
      </c>
      <c r="B372" s="2" t="s">
        <v>107</v>
      </c>
      <c r="C372" s="94" t="str">
        <f>HYPERLINK(AA2 &amp; "/bottle/sn_e4915635a488cbfc4c3a35cee92bb95b/rendering/00.obj", "3.28351593018")</f>
        <v>3.28351593018</v>
      </c>
      <c r="D372" s="35" t="str">
        <f>HYPERLINK(AA2 &amp; "/bottle/sn_e4915635a488cbfc4c3a35cee92bb95b/rendering/01.obj", "3.3328894043")</f>
        <v>3.3328894043</v>
      </c>
      <c r="E372" s="84" t="str">
        <f>HYPERLINK(AA2 &amp; "/bottle/sn_e4915635a488cbfc4c3a35cee92bb95b/rendering/02.obj", "3.02500518799")</f>
        <v>3.02500518799</v>
      </c>
      <c r="F372" s="20" t="str">
        <f>HYPERLINK(AA2 &amp; "/bottle/sn_e4915635a488cbfc4c3a35cee92bb95b/rendering/03.obj", "9.38597717285")</f>
        <v>9.38597717285</v>
      </c>
      <c r="G372" s="113" t="str">
        <f>HYPERLINK(AA2 &amp; "/bottle/sn_e4915635a488cbfc4c3a35cee92bb95b/rendering/04.obj", "2.57077880859")</f>
        <v>2.57077880859</v>
      </c>
      <c r="H372" s="181" t="str">
        <f>HYPERLINK(AA2 &amp; "/bottle/sn_e4915635a488cbfc4c3a35cee92bb95b/rendering/05.obj", "5.1096295166")</f>
        <v>5.1096295166</v>
      </c>
      <c r="I372" s="187" t="str">
        <f>HYPERLINK(AA2 &amp; "/bottle/sn_e4915635a488cbfc4c3a35cee92bb95b/rendering/06.obj", "4.78079345703")</f>
        <v>4.78079345703</v>
      </c>
      <c r="J372" s="23" t="str">
        <f>HYPERLINK(AA2 &amp; "/bottle/sn_e4915635a488cbfc4c3a35cee92bb95b/rendering/07.obj", "3.68135314941")</f>
        <v>3.68135314941</v>
      </c>
      <c r="K372" s="185" t="str">
        <f>HYPERLINK(AA2 &amp; "/bottle/sn_e4915635a488cbfc4c3a35cee92bb95b/rendering/08.obj", "2.34035339355")</f>
        <v>2.34035339355</v>
      </c>
      <c r="L372" s="142" t="str">
        <f>HYPERLINK(AA2 &amp; "/bottle/sn_e4915635a488cbfc4c3a35cee92bb95b/rendering/09.obj", "2.148306427")</f>
        <v>2.148306427</v>
      </c>
      <c r="M372" s="65" t="str">
        <f>HYPERLINK(AA2 &amp; "/bottle/sn_e4915635a488cbfc4c3a35cee92bb95b/rendering/10.obj", "4.01307434082")</f>
        <v>4.01307434082</v>
      </c>
      <c r="N372" s="136" t="str">
        <f>HYPERLINK(AA2 &amp; "/bottle/sn_e4915635a488cbfc4c3a35cee92bb95b/rendering/11.obj", "2.69961517334")</f>
        <v>2.69961517334</v>
      </c>
      <c r="O372" s="41" t="str">
        <f>HYPERLINK(AA2 &amp; "/bottle/sn_e4915635a488cbfc4c3a35cee92bb95b/rendering/12.obj", "3.78085449219")</f>
        <v>3.78085449219</v>
      </c>
      <c r="P372" s="80" t="str">
        <f>HYPERLINK(AA2 &amp; "/bottle/sn_e4915635a488cbfc4c3a35cee92bb95b/rendering/13.obj", "4.07117401123")</f>
        <v>4.07117401123</v>
      </c>
      <c r="Q372" s="49" t="str">
        <f>HYPERLINK(AA2 &amp; "/bottle/sn_e4915635a488cbfc4c3a35cee92bb95b/rendering/14.obj", "2.8014239502")</f>
        <v>2.8014239502</v>
      </c>
      <c r="R372" s="95" t="str">
        <f>HYPERLINK(AA2 &amp; "/bottle/sn_e4915635a488cbfc4c3a35cee92bb95b/rendering/15.obj", "2.54856430054")</f>
        <v>2.54856430054</v>
      </c>
      <c r="S372" s="82" t="str">
        <f>HYPERLINK(AA2 &amp; "/bottle/sn_e4915635a488cbfc4c3a35cee92bb95b/rendering/16.obj", "2.81615356445")</f>
        <v>2.81615356445</v>
      </c>
      <c r="T372" s="29" t="str">
        <f>HYPERLINK(AA2 &amp; "/bottle/sn_e4915635a488cbfc4c3a35cee92bb95b/rendering/17.obj", "3.07728210449")</f>
        <v>3.07728210449</v>
      </c>
      <c r="U372" s="11" t="str">
        <f>HYPERLINK(AA2 &amp; "/bottle/sn_e4915635a488cbfc4c3a35cee92bb95b/rendering/18.obj", "2.75246856689")</f>
        <v>2.75246856689</v>
      </c>
      <c r="V372" s="19" t="str">
        <f>HYPERLINK(AA2 &amp; "/bottle/sn_e4915635a488cbfc4c3a35cee92bb95b/rendering/19.obj", "2.61744506836")</f>
        <v>2.61744506836</v>
      </c>
      <c r="W372" s="12" t="s">
        <v>29</v>
      </c>
      <c r="X372" s="13">
        <v>3.5418329010009768</v>
      </c>
      <c r="Y372" s="13">
        <v>1.5475131015431749</v>
      </c>
      <c r="Z372" s="116">
        <v>0.43692436791860612</v>
      </c>
    </row>
    <row r="373" spans="1:26" x14ac:dyDescent="0.2">
      <c r="A373" s="1">
        <v>371</v>
      </c>
      <c r="B373" s="2" t="s">
        <v>107</v>
      </c>
      <c r="C373" s="82" t="str">
        <f>HYPERLINK(AA2 &amp; "/bottle/sn_e4915635a488cbfc4c3a35cee92bb95b/rendering/00.obj", "2.34360671043")</f>
        <v>2.34360671043</v>
      </c>
      <c r="D373" s="79" t="str">
        <f>HYPERLINK(AA2 &amp; "/bottle/sn_e4915635a488cbfc4c3a35cee92bb95b/rendering/01.obj", "3.42419028282")</f>
        <v>3.42419028282</v>
      </c>
      <c r="E373" s="166" t="str">
        <f>HYPERLINK(AA2 &amp; "/bottle/sn_e4915635a488cbfc4c3a35cee92bb95b/rendering/02.obj", "2.10270690918")</f>
        <v>2.10270690918</v>
      </c>
      <c r="F373" s="20" t="str">
        <f>HYPERLINK(AA2 &amp; "/bottle/sn_e4915635a488cbfc4c3a35cee92bb95b/rendering/03.obj", "11.9722089767")</f>
        <v>11.9722089767</v>
      </c>
      <c r="G373" s="162" t="str">
        <f>HYPERLINK(AA2 &amp; "/bottle/sn_e4915635a488cbfc4c3a35cee92bb95b/rendering/04.obj", "1.6958899498")</f>
        <v>1.6958899498</v>
      </c>
      <c r="H373" s="235" t="str">
        <f>HYPERLINK(AA2 &amp; "/bottle/sn_e4915635a488cbfc4c3a35cee92bb95b/rendering/05.obj", "4.55803632736")</f>
        <v>4.55803632736</v>
      </c>
      <c r="I373" s="147" t="str">
        <f>HYPERLINK(AA2 &amp; "/bottle/sn_e4915635a488cbfc4c3a35cee92bb95b/rendering/06.obj", "4.39740085602")</f>
        <v>4.39740085602</v>
      </c>
      <c r="J373" s="65" t="str">
        <f>HYPERLINK(AA2 &amp; "/bottle/sn_e4915635a488cbfc4c3a35cee92bb95b/rendering/07.obj", "2.55927371979")</f>
        <v>2.55927371979</v>
      </c>
      <c r="K373" s="157" t="str">
        <f>HYPERLINK(AA2 &amp; "/bottle/sn_e4915635a488cbfc4c3a35cee92bb95b/rendering/08.obj", "1.72741830349")</f>
        <v>1.72741830349</v>
      </c>
      <c r="L373" s="230" t="str">
        <f>HYPERLINK(AA2 &amp; "/bottle/sn_e4915635a488cbfc4c3a35cee92bb95b/rendering/09.obj", "1.61068499088")</f>
        <v>1.61068499088</v>
      </c>
      <c r="M373" s="14" t="str">
        <f>HYPERLINK(AA2 &amp; "/bottle/sn_e4915635a488cbfc4c3a35cee92bb95b/rendering/10.obj", "3.81358408928")</f>
        <v>3.81358408928</v>
      </c>
      <c r="N373" s="172" t="str">
        <f>HYPERLINK(AA2 &amp; "/bottle/sn_e4915635a488cbfc4c3a35cee92bb95b/rendering/11.obj", "1.815117836")</f>
        <v>1.815117836</v>
      </c>
      <c r="O373" s="17" t="str">
        <f>HYPERLINK(AA2 &amp; "/bottle/sn_e4915635a488cbfc4c3a35cee92bb95b/rendering/12.obj", "2.89558339119")</f>
        <v>2.89558339119</v>
      </c>
      <c r="P373" s="69" t="str">
        <f>HYPERLINK(AA2 &amp; "/bottle/sn_e4915635a488cbfc4c3a35cee92bb95b/rendering/13.obj", "3.0408039093")</f>
        <v>3.0408039093</v>
      </c>
      <c r="Q373" s="128" t="str">
        <f>HYPERLINK(AA2 &amp; "/bottle/sn_e4915635a488cbfc4c3a35cee92bb95b/rendering/14.obj", "1.8049145937")</f>
        <v>1.8049145937</v>
      </c>
      <c r="R373" s="97" t="str">
        <f>HYPERLINK(AA2 &amp; "/bottle/sn_e4915635a488cbfc4c3a35cee92bb95b/rendering/15.obj", "1.66837954521")</f>
        <v>1.66837954521</v>
      </c>
      <c r="S373" s="182" t="str">
        <f>HYPERLINK(AA2 &amp; "/bottle/sn_e4915635a488cbfc4c3a35cee92bb95b/rendering/16.obj", "1.96652841568")</f>
        <v>1.96652841568</v>
      </c>
      <c r="T373" s="56" t="str">
        <f>HYPERLINK(AA2 &amp; "/bottle/sn_e4915635a488cbfc4c3a35cee92bb95b/rendering/17.obj", "2.04361653328")</f>
        <v>2.04361653328</v>
      </c>
      <c r="U373" s="103" t="str">
        <f>HYPERLINK(AA2 &amp; "/bottle/sn_e4915635a488cbfc4c3a35cee92bb95b/rendering/18.obj", "1.99499177933")</f>
        <v>1.99499177933</v>
      </c>
      <c r="V373" s="97" t="str">
        <f>HYPERLINK(AA2 &amp; "/bottle/sn_e4915635a488cbfc4c3a35cee92bb95b/rendering/19.obj", "1.67303824425")</f>
        <v>1.67303824425</v>
      </c>
      <c r="W373" s="12" t="s">
        <v>30</v>
      </c>
      <c r="X373" s="13">
        <v>2.9553987681865692</v>
      </c>
      <c r="Y373" s="13">
        <v>2.255381996447023</v>
      </c>
      <c r="Z373" s="208">
        <v>0.76313965503576486</v>
      </c>
    </row>
    <row r="374" spans="1:26" x14ac:dyDescent="0.2">
      <c r="A374" s="1">
        <v>372</v>
      </c>
      <c r="B374" s="2" t="s">
        <v>107</v>
      </c>
      <c r="C374" s="91" t="str">
        <f>HYPERLINK(AB2 &amp; "/bottle/sn_e4915635a488cbfc4c3a35cee92bb95b/rendering/00.obj", "2.57316955566")</f>
        <v>2.57316955566</v>
      </c>
      <c r="D374" s="39" t="str">
        <f>HYPERLINK(AB2 &amp; "/bottle/sn_e4915635a488cbfc4c3a35cee92bb95b/rendering/01.obj", "2.72256408691")</f>
        <v>2.72256408691</v>
      </c>
      <c r="E374" s="133" t="str">
        <f>HYPERLINK(AB2 &amp; "/bottle/sn_e4915635a488cbfc4c3a35cee92bb95b/rendering/02.obj", "2.25377532959")</f>
        <v>2.25377532959</v>
      </c>
      <c r="F374" s="90" t="str">
        <f>HYPERLINK(AB2 &amp; "/bottle/sn_e4915635a488cbfc4c3a35cee92bb95b/rendering/03.obj", "2.26772476196")</f>
        <v>2.26772476196</v>
      </c>
      <c r="G374" s="48" t="str">
        <f>HYPERLINK(AB2 &amp; "/bottle/sn_e4915635a488cbfc4c3a35cee92bb95b/rendering/04.obj", "2.57013183594")</f>
        <v>2.57013183594</v>
      </c>
      <c r="H374" s="25" t="str">
        <f>HYPERLINK(AB2 &amp; "/bottle/sn_e4915635a488cbfc4c3a35cee92bb95b/rendering/05.obj", "2.53785079956")</f>
        <v>2.53785079956</v>
      </c>
      <c r="I374" s="78" t="str">
        <f>HYPERLINK(AB2 &amp; "/bottle/sn_e4915635a488cbfc4c3a35cee92bb95b/rendering/06.obj", "2.66157409668")</f>
        <v>2.66157409668</v>
      </c>
      <c r="J374" s="34" t="str">
        <f>HYPERLINK(AB2 &amp; "/bottle/sn_e4915635a488cbfc4c3a35cee92bb95b/rendering/07.obj", "2.38483932495")</f>
        <v>2.38483932495</v>
      </c>
      <c r="K374" s="69" t="str">
        <f>HYPERLINK(AB2 &amp; "/bottle/sn_e4915635a488cbfc4c3a35cee92bb95b/rendering/08.obj", "2.4323878479")</f>
        <v>2.4323878479</v>
      </c>
      <c r="L374" s="48" t="str">
        <f>HYPERLINK(AB2 &amp; "/bottle/sn_e4915635a488cbfc4c3a35cee92bb95b/rendering/09.obj", "2.56985473633")</f>
        <v>2.56985473633</v>
      </c>
      <c r="M374" s="94" t="str">
        <f>HYPERLINK(AB2 &amp; "/bottle/sn_e4915635a488cbfc4c3a35cee92bb95b/rendering/10.obj", "2.69648345947")</f>
        <v>2.69648345947</v>
      </c>
      <c r="N374" s="29" t="str">
        <f>HYPERLINK(AB2 &amp; "/bottle/sn_e4915635a488cbfc4c3a35cee92bb95b/rendering/11.obj", "2.18182312012")</f>
        <v>2.18182312012</v>
      </c>
      <c r="O374" s="91" t="str">
        <f>HYPERLINK(AB2 &amp; "/bottle/sn_e4915635a488cbfc4c3a35cee92bb95b/rendering/12.obj", "2.44099456787")</f>
        <v>2.44099456787</v>
      </c>
      <c r="P374" s="91" t="str">
        <f>HYPERLINK(AB2 &amp; "/bottle/sn_e4915635a488cbfc4c3a35cee92bb95b/rendering/13.obj", "2.57518188477")</f>
        <v>2.57518188477</v>
      </c>
      <c r="Q374" s="8" t="str">
        <f>HYPERLINK(AB2 &amp; "/bottle/sn_e4915635a488cbfc4c3a35cee92bb95b/rendering/14.obj", "2.86464660645")</f>
        <v>2.86464660645</v>
      </c>
      <c r="R374" s="46" t="str">
        <f>HYPERLINK(AB2 &amp; "/bottle/sn_e4915635a488cbfc4c3a35cee92bb95b/rendering/15.obj", "2.46527267456")</f>
        <v>2.46527267456</v>
      </c>
      <c r="S374" s="74" t="str">
        <f>HYPERLINK(AB2 &amp; "/bottle/sn_e4915635a488cbfc4c3a35cee92bb95b/rendering/16.obj", "2.47429016113")</f>
        <v>2.47429016113</v>
      </c>
      <c r="T374" s="94" t="str">
        <f>HYPERLINK(AB2 &amp; "/bottle/sn_e4915635a488cbfc4c3a35cee92bb95b/rendering/17.obj", "2.69323669434")</f>
        <v>2.69323669434</v>
      </c>
      <c r="U374" s="72" t="str">
        <f>HYPERLINK(AB2 &amp; "/bottle/sn_e4915635a488cbfc4c3a35cee92bb95b/rendering/18.obj", "2.42668228149")</f>
        <v>2.42668228149</v>
      </c>
      <c r="V374" s="6" t="str">
        <f>HYPERLINK(AB2 &amp; "/bottle/sn_e4915635a488cbfc4c3a35cee92bb95b/rendering/19.obj", "2.39915100098")</f>
        <v>2.39915100098</v>
      </c>
      <c r="W374" s="12" t="s">
        <v>31</v>
      </c>
      <c r="X374" s="13">
        <v>2.5095817413330068</v>
      </c>
      <c r="Y374" s="13">
        <v>0.16725697937033809</v>
      </c>
      <c r="Z374" s="41">
        <v>6.6647352670607451E-2</v>
      </c>
    </row>
    <row r="375" spans="1:26" x14ac:dyDescent="0.2">
      <c r="A375" s="1">
        <v>373</v>
      </c>
      <c r="B375" s="2" t="s">
        <v>107</v>
      </c>
      <c r="C375" s="38" t="str">
        <f>HYPERLINK(AB2 &amp; "/bottle/sn_e4915635a488cbfc4c3a35cee92bb95b/rendering/00.obj", "1.54903960228")</f>
        <v>1.54903960228</v>
      </c>
      <c r="D375" s="5" t="str">
        <f>HYPERLINK(AB2 &amp; "/bottle/sn_e4915635a488cbfc4c3a35cee92bb95b/rendering/01.obj", "1.83166921139")</f>
        <v>1.83166921139</v>
      </c>
      <c r="E375" s="39" t="str">
        <f>HYPERLINK(AB2 &amp; "/bottle/sn_e4915635a488cbfc4c3a35cee92bb95b/rendering/02.obj", "1.55491697788")</f>
        <v>1.55491697788</v>
      </c>
      <c r="F375" s="48" t="str">
        <f>HYPERLINK(AB2 &amp; "/bottle/sn_e4915635a488cbfc4c3a35cee92bb95b/rendering/03.obj", "1.65884613991")</f>
        <v>1.65884613991</v>
      </c>
      <c r="G375" s="34" t="str">
        <f>HYPERLINK(AB2 &amp; "/bottle/sn_e4915635a488cbfc4c3a35cee92bb95b/rendering/04.obj", "1.6175532341")</f>
        <v>1.6175532341</v>
      </c>
      <c r="H375" s="63" t="str">
        <f>HYPERLINK(AB2 &amp; "/bottle/sn_e4915635a488cbfc4c3a35cee92bb95b/rendering/05.obj", "1.90564846992")</f>
        <v>1.90564846992</v>
      </c>
      <c r="I375" s="13" t="str">
        <f>HYPERLINK(AB2 &amp; "/bottle/sn_e4915635a488cbfc4c3a35cee92bb95b/rendering/06.obj", "1.70294094086")</f>
        <v>1.70294094086</v>
      </c>
      <c r="J375" s="51" t="str">
        <f>HYPERLINK(AB2 &amp; "/bottle/sn_e4915635a488cbfc4c3a35cee92bb95b/rendering/07.obj", "1.83581328392")</f>
        <v>1.83581328392</v>
      </c>
      <c r="K375" s="107" t="str">
        <f>HYPERLINK(AB2 &amp; "/bottle/sn_e4915635a488cbfc4c3a35cee92bb95b/rendering/08.obj", "1.83986926079")</f>
        <v>1.83986926079</v>
      </c>
      <c r="L375" s="33" t="str">
        <f>HYPERLINK(AB2 &amp; "/bottle/sn_e4915635a488cbfc4c3a35cee92bb95b/rendering/09.obj", "1.88171327114")</f>
        <v>1.88171327114</v>
      </c>
      <c r="M375" s="41" t="str">
        <f>HYPERLINK(AB2 &amp; "/bottle/sn_e4915635a488cbfc4c3a35cee92bb95b/rendering/10.obj", "1.81335532665")</f>
        <v>1.81335532665</v>
      </c>
      <c r="N375" s="5" t="str">
        <f>HYPERLINK(AB2 &amp; "/bottle/sn_e4915635a488cbfc4c3a35cee92bb95b/rendering/11.obj", "1.57064700127")</f>
        <v>1.57064700127</v>
      </c>
      <c r="O375" s="17" t="str">
        <f>HYPERLINK(AB2 &amp; "/bottle/sn_e4915635a488cbfc4c3a35cee92bb95b/rendering/12.obj", "1.66416358948")</f>
        <v>1.66416358948</v>
      </c>
      <c r="P375" s="74" t="str">
        <f>HYPERLINK(AB2 &amp; "/bottle/sn_e4915635a488cbfc4c3a35cee92bb95b/rendering/13.obj", "1.67732739449")</f>
        <v>1.67732739449</v>
      </c>
      <c r="Q375" s="34" t="str">
        <f>HYPERLINK(AB2 &amp; "/bottle/sn_e4915635a488cbfc4c3a35cee92bb95b/rendering/14.obj", "1.78242731094")</f>
        <v>1.78242731094</v>
      </c>
      <c r="R375" s="84" t="str">
        <f>HYPERLINK(AB2 &amp; "/bottle/sn_e4915635a488cbfc4c3a35cee92bb95b/rendering/15.obj", "1.4487029314")</f>
        <v>1.4487029314</v>
      </c>
      <c r="S375" s="74" t="str">
        <f>HYPERLINK(AB2 &amp; "/bottle/sn_e4915635a488cbfc4c3a35cee92bb95b/rendering/16.obj", "1.6753590107")</f>
        <v>1.6753590107</v>
      </c>
      <c r="T375" s="39" t="str">
        <f>HYPERLINK(AB2 &amp; "/bottle/sn_e4915635a488cbfc4c3a35cee92bb95b/rendering/17.obj", "1.84446406364")</f>
        <v>1.84446406364</v>
      </c>
      <c r="U375" s="28" t="str">
        <f>HYPERLINK(AB2 &amp; "/bottle/sn_e4915635a488cbfc4c3a35cee92bb95b/rendering/18.obj", "1.51179456711")</f>
        <v>1.51179456711</v>
      </c>
      <c r="V375" s="34" t="str">
        <f>HYPERLINK(AB2 &amp; "/bottle/sn_e4915635a488cbfc4c3a35cee92bb95b/rendering/19.obj", "1.61864805222")</f>
        <v>1.61864805222</v>
      </c>
      <c r="W375" s="12" t="s">
        <v>32</v>
      </c>
      <c r="X375" s="13">
        <v>1.699244982004166</v>
      </c>
      <c r="Y375" s="13">
        <v>0.1318756608359373</v>
      </c>
      <c r="Z375" s="5">
        <v>7.760838621420979E-2</v>
      </c>
    </row>
    <row r="376" spans="1:26" x14ac:dyDescent="0.2">
      <c r="A376" s="1">
        <v>374</v>
      </c>
      <c r="B376" s="2" t="s">
        <v>107</v>
      </c>
      <c r="C376" s="13" t="str">
        <f>HYPERLINK(AC2 &amp; "/bottle/sn_e4915635a488cbfc4c3a35cee92bb95b/rendering/00.xyz", "0.0")</f>
        <v>0.0</v>
      </c>
      <c r="D376" s="13" t="str">
        <f>HYPERLINK(AC2 &amp; "/bottle/sn_e4915635a488cbfc4c3a35cee92bb95b/rendering/01.xyz", "0.0")</f>
        <v>0.0</v>
      </c>
      <c r="E376" s="13" t="str">
        <f>HYPERLINK(AC2 &amp; "/bottle/sn_e4915635a488cbfc4c3a35cee92bb95b/rendering/02.xyz", "0.0")</f>
        <v>0.0</v>
      </c>
      <c r="F376" s="13" t="str">
        <f>HYPERLINK(AC2 &amp; "/bottle/sn_e4915635a488cbfc4c3a35cee92bb95b/rendering/03.xyz", "0.0")</f>
        <v>0.0</v>
      </c>
      <c r="G376" s="13" t="str">
        <f>HYPERLINK(AC2 &amp; "/bottle/sn_e4915635a488cbfc4c3a35cee92bb95b/rendering/04.xyz", "0.0")</f>
        <v>0.0</v>
      </c>
      <c r="H376" s="13" t="str">
        <f>HYPERLINK(AC2 &amp; "/bottle/sn_e4915635a488cbfc4c3a35cee92bb95b/rendering/05.xyz", "0.0")</f>
        <v>0.0</v>
      </c>
      <c r="I376" s="13" t="str">
        <f>HYPERLINK(AC2 &amp; "/bottle/sn_e4915635a488cbfc4c3a35cee92bb95b/rendering/06.xyz", "0.0")</f>
        <v>0.0</v>
      </c>
      <c r="J376" s="13" t="str">
        <f>HYPERLINK(AC2 &amp; "/bottle/sn_e4915635a488cbfc4c3a35cee92bb95b/rendering/07.xyz", "0.0")</f>
        <v>0.0</v>
      </c>
      <c r="K376" s="13" t="str">
        <f>HYPERLINK(AC2 &amp; "/bottle/sn_e4915635a488cbfc4c3a35cee92bb95b/rendering/08.xyz", "0.0")</f>
        <v>0.0</v>
      </c>
      <c r="L376" s="13" t="str">
        <f>HYPERLINK(AC2 &amp; "/bottle/sn_e4915635a488cbfc4c3a35cee92bb95b/rendering/09.xyz", "0.0")</f>
        <v>0.0</v>
      </c>
      <c r="M376" s="13" t="str">
        <f>HYPERLINK(AC2 &amp; "/bottle/sn_e4915635a488cbfc4c3a35cee92bb95b/rendering/10.xyz", "0.0")</f>
        <v>0.0</v>
      </c>
      <c r="N376" s="13" t="str">
        <f>HYPERLINK(AC2 &amp; "/bottle/sn_e4915635a488cbfc4c3a35cee92bb95b/rendering/11.xyz", "0.0")</f>
        <v>0.0</v>
      </c>
      <c r="O376" s="13" t="str">
        <f>HYPERLINK(AC2 &amp; "/bottle/sn_e4915635a488cbfc4c3a35cee92bb95b/rendering/12.xyz", "0.0")</f>
        <v>0.0</v>
      </c>
      <c r="P376" s="13" t="str">
        <f>HYPERLINK(AC2 &amp; "/bottle/sn_e4915635a488cbfc4c3a35cee92bb95b/rendering/13.xyz", "0.0")</f>
        <v>0.0</v>
      </c>
      <c r="Q376" s="13" t="str">
        <f>HYPERLINK(AC2 &amp; "/bottle/sn_e4915635a488cbfc4c3a35cee92bb95b/rendering/14.xyz", "0.0")</f>
        <v>0.0</v>
      </c>
      <c r="R376" s="13" t="str">
        <f>HYPERLINK(AC2 &amp; "/bottle/sn_e4915635a488cbfc4c3a35cee92bb95b/rendering/15.xyz", "0.0")</f>
        <v>0.0</v>
      </c>
      <c r="S376" s="13" t="str">
        <f>HYPERLINK(AC2 &amp; "/bottle/sn_e4915635a488cbfc4c3a35cee92bb95b/rendering/16.xyz", "0.0")</f>
        <v>0.0</v>
      </c>
      <c r="T376" s="13" t="str">
        <f>HYPERLINK(AC2 &amp; "/bottle/sn_e4915635a488cbfc4c3a35cee92bb95b/rendering/17.xyz", "0.0")</f>
        <v>0.0</v>
      </c>
      <c r="U376" s="13" t="str">
        <f>HYPERLINK(AC2 &amp; "/bottle/sn_e4915635a488cbfc4c3a35cee92bb95b/rendering/18.xyz", "0.0")</f>
        <v>0.0</v>
      </c>
      <c r="V376" s="13" t="str">
        <f>HYPERLINK(AC2 &amp; "/bottle/sn_e4915635a488cbfc4c3a35cee92bb95b/rendering/19.xyz", "0.0")</f>
        <v>0.0</v>
      </c>
      <c r="W376" s="12" t="s">
        <v>33</v>
      </c>
      <c r="X376" s="13">
        <v>0</v>
      </c>
      <c r="Y376" s="13">
        <v>0</v>
      </c>
      <c r="Z376" s="13">
        <v>0</v>
      </c>
    </row>
    <row r="377" spans="1:26" x14ac:dyDescent="0.2">
      <c r="A377" s="1">
        <v>375</v>
      </c>
      <c r="B377" s="2" t="s">
        <v>108</v>
      </c>
      <c r="C377" s="159" t="str">
        <f>HYPERLINK(AA2 &amp; "/bottle/sn_e5a5dac174982cea2dcdfc29ed7a2492/rendering/00.obj", "4.49812713623")</f>
        <v>4.49812713623</v>
      </c>
      <c r="D377" s="7" t="str">
        <f>HYPERLINK(AA2 &amp; "/bottle/sn_e5a5dac174982cea2dcdfc29ed7a2492/rendering/01.obj", "2.2181338501")</f>
        <v>2.2181338501</v>
      </c>
      <c r="E377" s="152" t="str">
        <f>HYPERLINK(AA2 &amp; "/bottle/sn_e5a5dac174982cea2dcdfc29ed7a2492/rendering/02.obj", "1.82386993408")</f>
        <v>1.82386993408</v>
      </c>
      <c r="F377" s="50" t="str">
        <f>HYPERLINK(AA2 &amp; "/bottle/sn_e5a5dac174982cea2dcdfc29ed7a2492/rendering/03.obj", "2.44924163818")</f>
        <v>2.44924163818</v>
      </c>
      <c r="G377" s="117" t="str">
        <f>HYPERLINK(AA2 &amp; "/bottle/sn_e5a5dac174982cea2dcdfc29ed7a2492/rendering/04.obj", "2.52207504272")</f>
        <v>2.52207504272</v>
      </c>
      <c r="H377" s="214" t="str">
        <f>HYPERLINK(AA2 &amp; "/bottle/sn_e5a5dac174982cea2dcdfc29ed7a2492/rendering/05.obj", "4.95107879639")</f>
        <v>4.95107879639</v>
      </c>
      <c r="I377" s="129" t="str">
        <f>HYPERLINK(AA2 &amp; "/bottle/sn_e5a5dac174982cea2dcdfc29ed7a2492/rendering/06.obj", "2.29585281372")</f>
        <v>2.29585281372</v>
      </c>
      <c r="J377" s="99" t="str">
        <f>HYPERLINK(AA2 &amp; "/bottle/sn_e5a5dac174982cea2dcdfc29ed7a2492/rendering/07.obj", "2.2287008667")</f>
        <v>2.2287008667</v>
      </c>
      <c r="K377" s="130" t="str">
        <f>HYPERLINK(AA2 &amp; "/bottle/sn_e5a5dac174982cea2dcdfc29ed7a2492/rendering/08.obj", "4.44089874268")</f>
        <v>4.44089874268</v>
      </c>
      <c r="L377" s="56" t="str">
        <f>HYPERLINK(AA2 &amp; "/bottle/sn_e5a5dac174982cea2dcdfc29ed7a2492/rendering/09.obj", "2.11676544189")</f>
        <v>2.11676544189</v>
      </c>
      <c r="M377" s="76" t="str">
        <f>HYPERLINK(AA2 &amp; "/bottle/sn_e5a5dac174982cea2dcdfc29ed7a2492/rendering/10.obj", "2.50216293335")</f>
        <v>2.50216293335</v>
      </c>
      <c r="N377" s="67" t="str">
        <f>HYPERLINK(AA2 &amp; "/bottle/sn_e5a5dac174982cea2dcdfc29ed7a2492/rendering/11.obj", "2.7774432373")</f>
        <v>2.7774432373</v>
      </c>
      <c r="O377" s="36" t="str">
        <f>HYPERLINK(AA2 &amp; "/bottle/sn_e5a5dac174982cea2dcdfc29ed7a2492/rendering/12.obj", "2.40725524902")</f>
        <v>2.40725524902</v>
      </c>
      <c r="P377" s="60" t="str">
        <f>HYPERLINK(AA2 &amp; "/bottle/sn_e5a5dac174982cea2dcdfc29ed7a2492/rendering/13.obj", "2.90720336914")</f>
        <v>2.90720336914</v>
      </c>
      <c r="Q377" s="20" t="str">
        <f>HYPERLINK(AA2 &amp; "/bottle/sn_e5a5dac174982cea2dcdfc29ed7a2492/rendering/14.obj", "6.76374267578")</f>
        <v>6.76374267578</v>
      </c>
      <c r="R377" s="193" t="str">
        <f>HYPERLINK(AA2 &amp; "/bottle/sn_e5a5dac174982cea2dcdfc29ed7a2492/rendering/15.obj", "2.04959060669")</f>
        <v>2.04959060669</v>
      </c>
      <c r="S377" s="60" t="str">
        <f>HYPERLINK(AA2 &amp; "/bottle/sn_e5a5dac174982cea2dcdfc29ed7a2492/rendering/16.obj", "3.22443054199")</f>
        <v>3.22443054199</v>
      </c>
      <c r="T377" s="118" t="str">
        <f>HYPERLINK(AA2 &amp; "/bottle/sn_e5a5dac174982cea2dcdfc29ed7a2492/rendering/17.obj", "3.95920837402")</f>
        <v>3.95920837402</v>
      </c>
      <c r="U377" s="86" t="str">
        <f>HYPERLINK(AA2 &amp; "/bottle/sn_e5a5dac174982cea2dcdfc29ed7a2492/rendering/18.obj", "2.24369018555")</f>
        <v>2.24369018555</v>
      </c>
      <c r="V377" s="60" t="str">
        <f>HYPERLINK(AA2 &amp; "/bottle/sn_e5a5dac174982cea2dcdfc29ed7a2492/rendering/19.obj", "2.90651916504")</f>
        <v>2.90651916504</v>
      </c>
      <c r="W377" s="12" t="s">
        <v>29</v>
      </c>
      <c r="X377" s="13">
        <v>3.064299530029297</v>
      </c>
      <c r="Y377" s="13">
        <v>1.2190021996825751</v>
      </c>
      <c r="Z377" s="196">
        <v>0.3978077820841881</v>
      </c>
    </row>
    <row r="378" spans="1:26" x14ac:dyDescent="0.2">
      <c r="A378" s="1">
        <v>376</v>
      </c>
      <c r="B378" s="2" t="s">
        <v>108</v>
      </c>
      <c r="C378" s="236" t="str">
        <f>HYPERLINK(AA2 &amp; "/bottle/sn_e5a5dac174982cea2dcdfc29ed7a2492/rendering/00.obj", "4.6670217514")</f>
        <v>4.6670217514</v>
      </c>
      <c r="D378" s="152" t="str">
        <f>HYPERLINK(AA2 &amp; "/bottle/sn_e5a5dac174982cea2dcdfc29ed7a2492/rendering/01.obj", "1.59280753136")</f>
        <v>1.59280753136</v>
      </c>
      <c r="E378" s="53" t="str">
        <f>HYPERLINK(AA2 &amp; "/bottle/sn_e5a5dac174982cea2dcdfc29ed7a2492/rendering/02.obj", "1.57781839371")</f>
        <v>1.57781839371</v>
      </c>
      <c r="F378" s="153" t="str">
        <f>HYPERLINK(AA2 &amp; "/bottle/sn_e5a5dac174982cea2dcdfc29ed7a2492/rendering/03.obj", "1.72904360294")</f>
        <v>1.72904360294</v>
      </c>
      <c r="G378" s="56" t="str">
        <f>HYPERLINK(AA2 &amp; "/bottle/sn_e5a5dac174982cea2dcdfc29ed7a2492/rendering/04.obj", "1.85518419743")</f>
        <v>1.85518419743</v>
      </c>
      <c r="H378" s="210" t="str">
        <f>HYPERLINK(AA2 &amp; "/bottle/sn_e5a5dac174982cea2dcdfc29ed7a2492/rendering/05.obj", "4.75445127487")</f>
        <v>4.75445127487</v>
      </c>
      <c r="I378" s="117" t="str">
        <f>HYPERLINK(AA2 &amp; "/bottle/sn_e5a5dac174982cea2dcdfc29ed7a2492/rendering/06.obj", "2.20883131027")</f>
        <v>2.20883131027</v>
      </c>
      <c r="J378" s="181" t="str">
        <f>HYPERLINK(AA2 &amp; "/bottle/sn_e5a5dac174982cea2dcdfc29ed7a2492/rendering/07.obj", "1.49643492699")</f>
        <v>1.49643492699</v>
      </c>
      <c r="K378" s="237" t="str">
        <f>HYPERLINK(AA2 &amp; "/bottle/sn_e5a5dac174982cea2dcdfc29ed7a2492/rendering/08.obj", "4.4892077446")</f>
        <v>4.4892077446</v>
      </c>
      <c r="L378" s="169" t="str">
        <f>HYPERLINK(AA2 &amp; "/bottle/sn_e5a5dac174982cea2dcdfc29ed7a2492/rendering/09.obj", "1.84951281548")</f>
        <v>1.84951281548</v>
      </c>
      <c r="M378" s="99" t="str">
        <f>HYPERLINK(AA2 &amp; "/bottle/sn_e5a5dac174982cea2dcdfc29ed7a2492/rendering/10.obj", "1.95533132553")</f>
        <v>1.95533132553</v>
      </c>
      <c r="N378" s="88" t="str">
        <f>HYPERLINK(AA2 &amp; "/bottle/sn_e5a5dac174982cea2dcdfc29ed7a2492/rendering/11.obj", "2.14008665085")</f>
        <v>2.14008665085</v>
      </c>
      <c r="O378" s="43" t="str">
        <f>HYPERLINK(AA2 &amp; "/bottle/sn_e5a5dac174982cea2dcdfc29ed7a2492/rendering/12.obj", "1.67500853539")</f>
        <v>1.67500853539</v>
      </c>
      <c r="P378" s="88" t="str">
        <f>HYPERLINK(AA2 &amp; "/bottle/sn_e5a5dac174982cea2dcdfc29ed7a2492/rendering/13.obj", "2.14359855652")</f>
        <v>2.14359855652</v>
      </c>
      <c r="Q378" s="20" t="str">
        <f>HYPERLINK(AA2 &amp; "/bottle/sn_e5a5dac174982cea2dcdfc29ed7a2492/rendering/14.obj", "7.11144685745")</f>
        <v>7.11144685745</v>
      </c>
      <c r="R378" s="185" t="str">
        <f>HYPERLINK(AA2 &amp; "/bottle/sn_e5a5dac174982cea2dcdfc29ed7a2492/rendering/15.obj", "1.77362012863")</f>
        <v>1.77362012863</v>
      </c>
      <c r="S378" s="63" t="str">
        <f>HYPERLINK(AA2 &amp; "/bottle/sn_e5a5dac174982cea2dcdfc29ed7a2492/rendering/16.obj", "2.36325311661")</f>
        <v>2.36325311661</v>
      </c>
      <c r="T378" s="159" t="str">
        <f>HYPERLINK(AA2 &amp; "/bottle/sn_e5a5dac174982cea2dcdfc29ed7a2492/rendering/17.obj", "3.94681715965")</f>
        <v>3.94681715965</v>
      </c>
      <c r="U378" s="19" t="str">
        <f>HYPERLINK(AA2 &amp; "/bottle/sn_e5a5dac174982cea2dcdfc29ed7a2492/rendering/18.obj", "1.97940003872")</f>
        <v>1.97940003872</v>
      </c>
      <c r="V378" s="32" t="str">
        <f>HYPERLINK(AA2 &amp; "/bottle/sn_e5a5dac174982cea2dcdfc29ed7a2492/rendering/19.obj", "2.40275025368")</f>
        <v>2.40275025368</v>
      </c>
      <c r="W378" s="12" t="s">
        <v>30</v>
      </c>
      <c r="X378" s="13">
        <v>2.6855813086032869</v>
      </c>
      <c r="Y378" s="13">
        <v>1.4605593536021411</v>
      </c>
      <c r="Z378" s="16">
        <v>0.54385221885601609</v>
      </c>
    </row>
    <row r="379" spans="1:26" x14ac:dyDescent="0.2">
      <c r="A379" s="1">
        <v>377</v>
      </c>
      <c r="B379" s="2" t="s">
        <v>108</v>
      </c>
      <c r="C379" s="8" t="str">
        <f>HYPERLINK(AB2 &amp; "/bottle/sn_e5a5dac174982cea2dcdfc29ed7a2492/rendering/00.obj", "2.45220428467")</f>
        <v>2.45220428467</v>
      </c>
      <c r="D379" s="107" t="str">
        <f>HYPERLINK(AB2 &amp; "/bottle/sn_e5a5dac174982cea2dcdfc29ed7a2492/rendering/01.obj", "2.322762146")</f>
        <v>2.322762146</v>
      </c>
      <c r="E379" s="94" t="str">
        <f>HYPERLINK(AB2 &amp; "/bottle/sn_e5a5dac174982cea2dcdfc29ed7a2492/rendering/02.obj", "1.98722320557")</f>
        <v>1.98722320557</v>
      </c>
      <c r="F379" s="91" t="str">
        <f>HYPERLINK(AB2 &amp; "/bottle/sn_e5a5dac174982cea2dcdfc29ed7a2492/rendering/03.obj", "2.09018478394")</f>
        <v>2.09018478394</v>
      </c>
      <c r="G379" s="69" t="str">
        <f>HYPERLINK(AB2 &amp; "/bottle/sn_e5a5dac174982cea2dcdfc29ed7a2492/rendering/04.obj", "2.2108354187")</f>
        <v>2.2108354187</v>
      </c>
      <c r="H379" s="39" t="str">
        <f>HYPERLINK(AB2 &amp; "/bottle/sn_e5a5dac174982cea2dcdfc29ed7a2492/rendering/05.obj", "1.95739822388")</f>
        <v>1.95739822388</v>
      </c>
      <c r="I379" s="32" t="str">
        <f>HYPERLINK(AB2 &amp; "/bottle/sn_e5a5dac174982cea2dcdfc29ed7a2492/rendering/06.obj", "1.91701950073")</f>
        <v>1.91701950073</v>
      </c>
      <c r="J379" s="72" t="str">
        <f>HYPERLINK(AB2 &amp; "/bottle/sn_e5a5dac174982cea2dcdfc29ed7a2492/rendering/07.obj", "2.21927780151")</f>
        <v>2.21927780151</v>
      </c>
      <c r="K379" s="133" t="str">
        <f>HYPERLINK(AB2 &amp; "/bottle/sn_e5a5dac174982cea2dcdfc29ed7a2492/rendering/08.obj", "2.36198303223")</f>
        <v>2.36198303223</v>
      </c>
      <c r="L379" s="66" t="str">
        <f>HYPERLINK(AB2 &amp; "/bottle/sn_e5a5dac174982cea2dcdfc29ed7a2492/rendering/09.obj", "1.79602096558")</f>
        <v>1.79602096558</v>
      </c>
      <c r="M379" s="35" t="str">
        <f>HYPERLINK(AB2 &amp; "/bottle/sn_e5a5dac174982cea2dcdfc29ed7a2492/rendering/10.obj", "2.26879119873")</f>
        <v>2.26879119873</v>
      </c>
      <c r="N379" s="69" t="str">
        <f>HYPERLINK(AB2 &amp; "/bottle/sn_e5a5dac174982cea2dcdfc29ed7a2492/rendering/11.obj", "2.08494171143")</f>
        <v>2.08494171143</v>
      </c>
      <c r="O379" s="28" t="str">
        <f>HYPERLINK(AB2 &amp; "/bottle/sn_e5a5dac174982cea2dcdfc29ed7a2492/rendering/12.obj", "1.90499343872")</f>
        <v>1.90499343872</v>
      </c>
      <c r="P379" s="72" t="str">
        <f>HYPERLINK(AB2 &amp; "/bottle/sn_e5a5dac174982cea2dcdfc29ed7a2492/rendering/13.obj", "2.07399841309")</f>
        <v>2.07399841309</v>
      </c>
      <c r="Q379" s="135" t="str">
        <f>HYPERLINK(AB2 &amp; "/bottle/sn_e5a5dac174982cea2dcdfc29ed7a2492/rendering/14.obj", "2.69577636719")</f>
        <v>2.69577636719</v>
      </c>
      <c r="R379" s="48" t="str">
        <f>HYPERLINK(AB2 &amp; "/bottle/sn_e5a5dac174982cea2dcdfc29ed7a2492/rendering/15.obj", "2.09221313477")</f>
        <v>2.09221313477</v>
      </c>
      <c r="S379" s="72" t="str">
        <f>HYPERLINK(AB2 &amp; "/bottle/sn_e5a5dac174982cea2dcdfc29ed7a2492/rendering/16.obj", "2.21773864746")</f>
        <v>2.21773864746</v>
      </c>
      <c r="T379" s="39" t="str">
        <f>HYPERLINK(AB2 &amp; "/bottle/sn_e5a5dac174982cea2dcdfc29ed7a2492/rendering/17.obj", "2.32748565674")</f>
        <v>2.32748565674</v>
      </c>
      <c r="U379" s="65" t="str">
        <f>HYPERLINK(AB2 &amp; "/bottle/sn_e5a5dac174982cea2dcdfc29ed7a2492/rendering/18.obj", "1.86188018799")</f>
        <v>1.86188018799</v>
      </c>
      <c r="V379" s="73" t="str">
        <f>HYPERLINK(AB2 &amp; "/bottle/sn_e5a5dac174982cea2dcdfc29ed7a2492/rendering/19.obj", "2.06950256348")</f>
        <v>2.06950256348</v>
      </c>
      <c r="W379" s="12" t="s">
        <v>31</v>
      </c>
      <c r="X379" s="13">
        <v>2.145611534118653</v>
      </c>
      <c r="Y379" s="13">
        <v>0.2158609436462422</v>
      </c>
      <c r="Z379" s="133">
        <v>0.1006057901039905</v>
      </c>
    </row>
    <row r="380" spans="1:26" x14ac:dyDescent="0.2">
      <c r="A380" s="1">
        <v>378</v>
      </c>
      <c r="B380" s="2" t="s">
        <v>108</v>
      </c>
      <c r="C380" s="119" t="str">
        <f>HYPERLINK(AB2 &amp; "/bottle/sn_e5a5dac174982cea2dcdfc29ed7a2492/rendering/00.obj", "2.20230317116")</f>
        <v>2.20230317116</v>
      </c>
      <c r="D380" s="46" t="str">
        <f>HYPERLINK(AB2 &amp; "/bottle/sn_e5a5dac174982cea2dcdfc29ed7a2492/rendering/01.obj", "1.7699971199")</f>
        <v>1.7699971199</v>
      </c>
      <c r="E380" s="17" t="str">
        <f>HYPERLINK(AB2 &amp; "/bottle/sn_e5a5dac174982cea2dcdfc29ed7a2492/rendering/02.obj", "1.70547020435")</f>
        <v>1.70547020435</v>
      </c>
      <c r="F380" s="27" t="str">
        <f>HYPERLINK(AB2 &amp; "/bottle/sn_e5a5dac174982cea2dcdfc29ed7a2492/rendering/03.obj", "1.61753261089")</f>
        <v>1.61753261089</v>
      </c>
      <c r="G380" s="37" t="str">
        <f>HYPERLINK(AB2 &amp; "/bottle/sn_e5a5dac174982cea2dcdfc29ed7a2492/rendering/04.obj", "2.04139566422")</f>
        <v>2.04139566422</v>
      </c>
      <c r="H380" s="69" t="str">
        <f>HYPERLINK(AB2 &amp; "/bottle/sn_e5a5dac174982cea2dcdfc29ed7a2492/rendering/05.obj", "1.68682670593")</f>
        <v>1.68682670593</v>
      </c>
      <c r="I380" s="65" t="str">
        <f>HYPERLINK(AB2 &amp; "/bottle/sn_e5a5dac174982cea2dcdfc29ed7a2492/rendering/06.obj", "1.50951588154")</f>
        <v>1.50951588154</v>
      </c>
      <c r="J380" s="30" t="str">
        <f>HYPERLINK(AB2 &amp; "/bottle/sn_e5a5dac174982cea2dcdfc29ed7a2492/rendering/07.obj", "1.74685454369")</f>
        <v>1.74685454369</v>
      </c>
      <c r="K380" s="106" t="str">
        <f>HYPERLINK(AB2 &amp; "/bottle/sn_e5a5dac174982cea2dcdfc29ed7a2492/rendering/08.obj", "1.93681764603")</f>
        <v>1.93681764603</v>
      </c>
      <c r="L380" s="117" t="str">
        <f>HYPERLINK(AB2 &amp; "/bottle/sn_e5a5dac174982cea2dcdfc29ed7a2492/rendering/09.obj", "1.4335706234")</f>
        <v>1.4335706234</v>
      </c>
      <c r="M380" s="6" t="str">
        <f>HYPERLINK(AB2 &amp; "/bottle/sn_e5a5dac174982cea2dcdfc29ed7a2492/rendering/10.obj", "1.65836274624")</f>
        <v>1.65836274624</v>
      </c>
      <c r="N380" s="65" t="str">
        <f>HYPERLINK(AB2 &amp; "/bottle/sn_e5a5dac174982cea2dcdfc29ed7a2492/rendering/11.obj", "1.51007342339")</f>
        <v>1.51007342339</v>
      </c>
      <c r="O380" s="27" t="str">
        <f>HYPERLINK(AB2 &amp; "/bottle/sn_e5a5dac174982cea2dcdfc29ed7a2492/rendering/12.obj", "1.61900651455")</f>
        <v>1.61900651455</v>
      </c>
      <c r="P380" s="110" t="str">
        <f>HYPERLINK(AB2 &amp; "/bottle/sn_e5a5dac174982cea2dcdfc29ed7a2492/rendering/13.obj", "1.90961515903")</f>
        <v>1.90961515903</v>
      </c>
      <c r="Q380" s="136" t="str">
        <f>HYPERLINK(AB2 &amp; "/bottle/sn_e5a5dac174982cea2dcdfc29ed7a2492/rendering/14.obj", "2.15214252472")</f>
        <v>2.15214252472</v>
      </c>
      <c r="R380" s="74" t="str">
        <f>HYPERLINK(AB2 &amp; "/bottle/sn_e5a5dac174982cea2dcdfc29ed7a2492/rendering/15.obj", "1.71566545963")</f>
        <v>1.71566545963</v>
      </c>
      <c r="S380" s="30" t="str">
        <f>HYPERLINK(AB2 &amp; "/bottle/sn_e5a5dac174982cea2dcdfc29ed7a2492/rendering/16.obj", "1.7338373661")</f>
        <v>1.7338373661</v>
      </c>
      <c r="T380" s="91" t="str">
        <f>HYPERLINK(AB2 &amp; "/bottle/sn_e5a5dac174982cea2dcdfc29ed7a2492/rendering/17.obj", "1.78867805004")</f>
        <v>1.78867805004</v>
      </c>
      <c r="U380" s="64" t="str">
        <f>HYPERLINK(AB2 &amp; "/bottle/sn_e5a5dac174982cea2dcdfc29ed7a2492/rendering/18.obj", "1.4536999464")</f>
        <v>1.4536999464</v>
      </c>
      <c r="V380" s="51" t="str">
        <f>HYPERLINK(AB2 &amp; "/bottle/sn_e5a5dac174982cea2dcdfc29ed7a2492/rendering/19.obj", "1.60078001022")</f>
        <v>1.60078001022</v>
      </c>
      <c r="W380" s="12" t="s">
        <v>32</v>
      </c>
      <c r="X380" s="13">
        <v>1.739607268571854</v>
      </c>
      <c r="Y380" s="13">
        <v>0.21064603313198241</v>
      </c>
      <c r="Z380" s="63">
        <v>0.1210882691384212</v>
      </c>
    </row>
    <row r="381" spans="1:26" x14ac:dyDescent="0.2">
      <c r="A381" s="1">
        <v>379</v>
      </c>
      <c r="B381" s="2" t="s">
        <v>108</v>
      </c>
      <c r="C381" s="13" t="str">
        <f>HYPERLINK(AC2 &amp; "/bottle/sn_e5a5dac174982cea2dcdfc29ed7a2492/rendering/00.xyz", "0.0")</f>
        <v>0.0</v>
      </c>
      <c r="D381" s="13" t="str">
        <f>HYPERLINK(AC2 &amp; "/bottle/sn_e5a5dac174982cea2dcdfc29ed7a2492/rendering/01.xyz", "0.0")</f>
        <v>0.0</v>
      </c>
      <c r="E381" s="13" t="str">
        <f>HYPERLINK(AC2 &amp; "/bottle/sn_e5a5dac174982cea2dcdfc29ed7a2492/rendering/02.xyz", "0.0")</f>
        <v>0.0</v>
      </c>
      <c r="F381" s="13" t="str">
        <f>HYPERLINK(AC2 &amp; "/bottle/sn_e5a5dac174982cea2dcdfc29ed7a2492/rendering/03.xyz", "0.0")</f>
        <v>0.0</v>
      </c>
      <c r="G381" s="13" t="str">
        <f>HYPERLINK(AC2 &amp; "/bottle/sn_e5a5dac174982cea2dcdfc29ed7a2492/rendering/04.xyz", "0.0")</f>
        <v>0.0</v>
      </c>
      <c r="H381" s="13" t="str">
        <f>HYPERLINK(AC2 &amp; "/bottle/sn_e5a5dac174982cea2dcdfc29ed7a2492/rendering/05.xyz", "0.0")</f>
        <v>0.0</v>
      </c>
      <c r="I381" s="13" t="str">
        <f>HYPERLINK(AC2 &amp; "/bottle/sn_e5a5dac174982cea2dcdfc29ed7a2492/rendering/06.xyz", "0.0")</f>
        <v>0.0</v>
      </c>
      <c r="J381" s="13" t="str">
        <f>HYPERLINK(AC2 &amp; "/bottle/sn_e5a5dac174982cea2dcdfc29ed7a2492/rendering/07.xyz", "0.0")</f>
        <v>0.0</v>
      </c>
      <c r="K381" s="13" t="str">
        <f>HYPERLINK(AC2 &amp; "/bottle/sn_e5a5dac174982cea2dcdfc29ed7a2492/rendering/08.xyz", "0.0")</f>
        <v>0.0</v>
      </c>
      <c r="L381" s="13" t="str">
        <f>HYPERLINK(AC2 &amp; "/bottle/sn_e5a5dac174982cea2dcdfc29ed7a2492/rendering/09.xyz", "0.0")</f>
        <v>0.0</v>
      </c>
      <c r="M381" s="13" t="str">
        <f>HYPERLINK(AC2 &amp; "/bottle/sn_e5a5dac174982cea2dcdfc29ed7a2492/rendering/10.xyz", "0.0")</f>
        <v>0.0</v>
      </c>
      <c r="N381" s="13" t="str">
        <f>HYPERLINK(AC2 &amp; "/bottle/sn_e5a5dac174982cea2dcdfc29ed7a2492/rendering/11.xyz", "0.0")</f>
        <v>0.0</v>
      </c>
      <c r="O381" s="13" t="str">
        <f>HYPERLINK(AC2 &amp; "/bottle/sn_e5a5dac174982cea2dcdfc29ed7a2492/rendering/12.xyz", "0.0")</f>
        <v>0.0</v>
      </c>
      <c r="P381" s="13" t="str">
        <f>HYPERLINK(AC2 &amp; "/bottle/sn_e5a5dac174982cea2dcdfc29ed7a2492/rendering/13.xyz", "0.0")</f>
        <v>0.0</v>
      </c>
      <c r="Q381" s="13" t="str">
        <f>HYPERLINK(AC2 &amp; "/bottle/sn_e5a5dac174982cea2dcdfc29ed7a2492/rendering/14.xyz", "0.0")</f>
        <v>0.0</v>
      </c>
      <c r="R381" s="13" t="str">
        <f>HYPERLINK(AC2 &amp; "/bottle/sn_e5a5dac174982cea2dcdfc29ed7a2492/rendering/15.xyz", "0.0")</f>
        <v>0.0</v>
      </c>
      <c r="S381" s="13" t="str">
        <f>HYPERLINK(AC2 &amp; "/bottle/sn_e5a5dac174982cea2dcdfc29ed7a2492/rendering/16.xyz", "0.0")</f>
        <v>0.0</v>
      </c>
      <c r="T381" s="13" t="str">
        <f>HYPERLINK(AC2 &amp; "/bottle/sn_e5a5dac174982cea2dcdfc29ed7a2492/rendering/17.xyz", "0.0")</f>
        <v>0.0</v>
      </c>
      <c r="U381" s="13" t="str">
        <f>HYPERLINK(AC2 &amp; "/bottle/sn_e5a5dac174982cea2dcdfc29ed7a2492/rendering/18.xyz", "0.0")</f>
        <v>0.0</v>
      </c>
      <c r="V381" s="13" t="str">
        <f>HYPERLINK(AC2 &amp; "/bottle/sn_e5a5dac174982cea2dcdfc29ed7a2492/rendering/19.xyz", "0.0")</f>
        <v>0.0</v>
      </c>
      <c r="W381" s="12" t="s">
        <v>33</v>
      </c>
      <c r="X381" s="13">
        <v>0</v>
      </c>
      <c r="Y381" s="13">
        <v>0</v>
      </c>
      <c r="Z381" s="13">
        <v>0</v>
      </c>
    </row>
    <row r="382" spans="1:26" x14ac:dyDescent="0.2">
      <c r="A382" s="1">
        <v>380</v>
      </c>
      <c r="B382" s="2" t="s">
        <v>109</v>
      </c>
      <c r="C382" s="68" t="str">
        <f>HYPERLINK(AA2 &amp; "/bottle/sn_e656d6586d481f41eb69804478f9c547/rendering/00.obj", "2.54996078491")</f>
        <v>2.54996078491</v>
      </c>
      <c r="D382" s="78" t="str">
        <f>HYPERLINK(AA2 &amp; "/bottle/sn_e656d6586d481f41eb69804478f9c547/rendering/01.obj", "2.82481628418")</f>
        <v>2.82481628418</v>
      </c>
      <c r="E382" s="192" t="str">
        <f>HYPERLINK(AA2 &amp; "/bottle/sn_e656d6586d481f41eb69804478f9c547/rendering/02.obj", "1.67707580566")</f>
        <v>1.67707580566</v>
      </c>
      <c r="F382" s="25" t="str">
        <f>HYPERLINK(AA2 &amp; "/bottle/sn_e656d6586d481f41eb69804478f9c547/rendering/03.obj", "2.69707763672")</f>
        <v>2.69707763672</v>
      </c>
      <c r="G382" s="49" t="str">
        <f>HYPERLINK(AA2 &amp; "/bottle/sn_e656d6586d481f41eb69804478f9c547/rendering/04.obj", "2.10673904419")</f>
        <v>2.10673904419</v>
      </c>
      <c r="H382" s="152" t="str">
        <f>HYPERLINK(AA2 &amp; "/bottle/sn_e656d6586d481f41eb69804478f9c547/rendering/05.obj", "3.74835174561")</f>
        <v>3.74835174561</v>
      </c>
      <c r="I382" s="20" t="str">
        <f>HYPERLINK(AA2 &amp; "/bottle/sn_e656d6586d481f41eb69804478f9c547/rendering/06.obj", "5.24209838867")</f>
        <v>5.24209838867</v>
      </c>
      <c r="J382" s="100" t="str">
        <f>HYPERLINK(AA2 &amp; "/bottle/sn_e656d6586d481f41eb69804478f9c547/rendering/07.obj", "1.86594238281")</f>
        <v>1.86594238281</v>
      </c>
      <c r="K382" s="96" t="str">
        <f>HYPERLINK(AA2 &amp; "/bottle/sn_e656d6586d481f41eb69804478f9c547/rendering/08.obj", "1.70228912354")</f>
        <v>1.70228912354</v>
      </c>
      <c r="L382" s="50" t="str">
        <f>HYPERLINK(AA2 &amp; "/bottle/sn_e656d6586d481f41eb69804478f9c547/rendering/09.obj", "2.13539596558")</f>
        <v>2.13539596558</v>
      </c>
      <c r="M382" s="168" t="str">
        <f>HYPERLINK(AA2 &amp; "/bottle/sn_e656d6586d481f41eb69804478f9c547/rendering/10.obj", "1.80914550781")</f>
        <v>1.80914550781</v>
      </c>
      <c r="N382" s="128" t="str">
        <f>HYPERLINK(AA2 &amp; "/bottle/sn_e656d6586d481f41eb69804478f9c547/rendering/11.obj", "1.62825164795")</f>
        <v>1.62825164795</v>
      </c>
      <c r="O382" s="35" t="str">
        <f>HYPERLINK(AA2 &amp; "/bottle/sn_e656d6586d481f41eb69804478f9c547/rendering/12.obj", "2.5141015625")</f>
        <v>2.5141015625</v>
      </c>
      <c r="P382" s="20" t="str">
        <f>HYPERLINK(AA2 &amp; "/bottle/sn_e656d6586d481f41eb69804478f9c547/rendering/13.obj", "4.81919158936")</f>
        <v>4.81919158936</v>
      </c>
      <c r="Q382" s="49" t="str">
        <f>HYPERLINK(AA2 &amp; "/bottle/sn_e656d6586d481f41eb69804478f9c547/rendering/14.obj", "2.1111819458")</f>
        <v>2.1111819458</v>
      </c>
      <c r="R382" s="36" t="str">
        <f>HYPERLINK(AA2 &amp; "/bottle/sn_e656d6586d481f41eb69804478f9c547/rendering/15.obj", "2.09229125977")</f>
        <v>2.09229125977</v>
      </c>
      <c r="S382" s="134" t="str">
        <f>HYPERLINK(AA2 &amp; "/bottle/sn_e656d6586d481f41eb69804478f9c547/rendering/16.obj", "2.18827514648")</f>
        <v>2.18827514648</v>
      </c>
      <c r="T382" s="138" t="str">
        <f>HYPERLINK(AA2 &amp; "/bottle/sn_e656d6586d481f41eb69804478f9c547/rendering/17.obj", "3.56405181885")</f>
        <v>3.56405181885</v>
      </c>
      <c r="U382" s="160" t="str">
        <f>HYPERLINK(AA2 &amp; "/bottle/sn_e656d6586d481f41eb69804478f9c547/rendering/18.obj", "4.07871795654")</f>
        <v>4.07871795654</v>
      </c>
      <c r="V382" s="119" t="str">
        <f>HYPERLINK(AA2 &amp; "/bottle/sn_e656d6586d481f41eb69804478f9c547/rendering/19.obj", "1.9563104248")</f>
        <v>1.9563104248</v>
      </c>
      <c r="W382" s="12" t="s">
        <v>29</v>
      </c>
      <c r="X382" s="13">
        <v>2.6655633010864261</v>
      </c>
      <c r="Y382" s="13">
        <v>1.039953747149799</v>
      </c>
      <c r="Z382" s="128">
        <v>0.39014408201296019</v>
      </c>
    </row>
    <row r="383" spans="1:26" x14ac:dyDescent="0.2">
      <c r="A383" s="1">
        <v>381</v>
      </c>
      <c r="B383" s="2" t="s">
        <v>109</v>
      </c>
      <c r="C383" s="67" t="str">
        <f>HYPERLINK(AA2 &amp; "/bottle/sn_e656d6586d481f41eb69804478f9c547/rendering/00.obj", "2.39421200752")</f>
        <v>2.39421200752</v>
      </c>
      <c r="D383" s="73" t="str">
        <f>HYPERLINK(AA2 &amp; "/bottle/sn_e656d6586d481f41eb69804478f9c547/rendering/01.obj", "2.73622226715")</f>
        <v>2.73622226715</v>
      </c>
      <c r="E383" s="61" t="str">
        <f>HYPERLINK(AA2 &amp; "/bottle/sn_e656d6586d481f41eb69804478f9c547/rendering/02.obj", "1.84120392799")</f>
        <v>1.84120392799</v>
      </c>
      <c r="F383" s="74" t="str">
        <f>HYPERLINK(AA2 &amp; "/bottle/sn_e656d6586d481f41eb69804478f9c547/rendering/03.obj", "2.60117006302")</f>
        <v>2.60117006302</v>
      </c>
      <c r="G383" s="19" t="str">
        <f>HYPERLINK(AA2 &amp; "/bottle/sn_e656d6586d481f41eb69804478f9c547/rendering/04.obj", "1.95012164116")</f>
        <v>1.95012164116</v>
      </c>
      <c r="H383" s="28" t="str">
        <f>HYPERLINK(AA2 &amp; "/bottle/sn_e656d6586d481f41eb69804478f9c547/rendering/05.obj", "2.92799544334")</f>
        <v>2.92799544334</v>
      </c>
      <c r="I383" s="20" t="str">
        <f>HYPERLINK(AA2 &amp; "/bottle/sn_e656d6586d481f41eb69804478f9c547/rendering/06.obj", "4.93933677673")</f>
        <v>4.93933677673</v>
      </c>
      <c r="J383" s="129" t="str">
        <f>HYPERLINK(AA2 &amp; "/bottle/sn_e656d6586d481f41eb69804478f9c547/rendering/07.obj", "1.98070847988")</f>
        <v>1.98070847988</v>
      </c>
      <c r="K383" s="169" t="str">
        <f>HYPERLINK(AA2 &amp; "/bottle/sn_e656d6586d481f41eb69804478f9c547/rendering/08.obj", "1.81286132336")</f>
        <v>1.81286132336</v>
      </c>
      <c r="L383" s="79" t="str">
        <f>HYPERLINK(AA2 &amp; "/bottle/sn_e656d6586d481f41eb69804478f9c547/rendering/09.obj", "2.2180390358")</f>
        <v>2.2180390358</v>
      </c>
      <c r="M383" s="100" t="str">
        <f>HYPERLINK(AA2 &amp; "/bottle/sn_e656d6586d481f41eb69804478f9c547/rendering/10.obj", "1.84353327751")</f>
        <v>1.84353327751</v>
      </c>
      <c r="N383" s="176" t="str">
        <f>HYPERLINK(AA2 &amp; "/bottle/sn_e656d6586d481f41eb69804478f9c547/rendering/11.obj", "1.79975295067")</f>
        <v>1.79975295067</v>
      </c>
      <c r="O383" s="70" t="str">
        <f>HYPERLINK(AA2 &amp; "/bottle/sn_e656d6586d481f41eb69804478f9c547/rendering/12.obj", "2.29870390892")</f>
        <v>2.29870390892</v>
      </c>
      <c r="P383" s="20" t="str">
        <f>HYPERLINK(AA2 &amp; "/bottle/sn_e656d6586d481f41eb69804478f9c547/rendering/13.obj", "5.79779863358")</f>
        <v>5.79779863358</v>
      </c>
      <c r="Q383" s="93" t="str">
        <f>HYPERLINK(AA2 &amp; "/bottle/sn_e656d6586d481f41eb69804478f9c547/rendering/14.obj", "2.27254128456")</f>
        <v>2.27254128456</v>
      </c>
      <c r="R383" s="120" t="str">
        <f>HYPERLINK(AA2 &amp; "/bottle/sn_e656d6586d481f41eb69804478f9c547/rendering/15.obj", "2.07727479935")</f>
        <v>2.07727479935</v>
      </c>
      <c r="S383" s="171" t="str">
        <f>HYPERLINK(AA2 &amp; "/bottle/sn_e656d6586d481f41eb69804478f9c547/rendering/16.obj", "1.8292645216")</f>
        <v>1.8292645216</v>
      </c>
      <c r="T383" s="121" t="str">
        <f>HYPERLINK(AA2 &amp; "/bottle/sn_e656d6586d481f41eb69804478f9c547/rendering/17.obj", "3.57052636147")</f>
        <v>3.57052636147</v>
      </c>
      <c r="U383" s="156" t="str">
        <f>HYPERLINK(AA2 &amp; "/bottle/sn_e656d6586d481f41eb69804478f9c547/rendering/18.obj", "3.81673121452")</f>
        <v>3.81673121452</v>
      </c>
      <c r="V383" s="11" t="str">
        <f>HYPERLINK(AA2 &amp; "/bottle/sn_e656d6586d481f41eb69804478f9c547/rendering/19.obj", "2.04325175285")</f>
        <v>2.04325175285</v>
      </c>
      <c r="W383" s="12" t="s">
        <v>30</v>
      </c>
      <c r="X383" s="13">
        <v>2.637562483549118</v>
      </c>
      <c r="Y383" s="13">
        <v>1.0722882946128041</v>
      </c>
      <c r="Z383" s="152">
        <v>0.40654517240855159</v>
      </c>
    </row>
    <row r="384" spans="1:26" x14ac:dyDescent="0.2">
      <c r="A384" s="1">
        <v>382</v>
      </c>
      <c r="B384" s="2" t="s">
        <v>109</v>
      </c>
      <c r="C384" s="72" t="str">
        <f>HYPERLINK(AB2 &amp; "/bottle/sn_e656d6586d481f41eb69804478f9c547/rendering/00.obj", "1.87175506592")</f>
        <v>1.87175506592</v>
      </c>
      <c r="D384" s="5" t="str">
        <f>HYPERLINK(AB2 &amp; "/bottle/sn_e656d6586d481f41eb69804478f9c547/rendering/01.obj", "1.78649108887")</f>
        <v>1.78649108887</v>
      </c>
      <c r="E384" s="28" t="str">
        <f>HYPERLINK(AB2 &amp; "/bottle/sn_e656d6586d481f41eb69804478f9c547/rendering/02.obj", "1.71674438477")</f>
        <v>1.71674438477</v>
      </c>
      <c r="F384" s="136" t="str">
        <f>HYPERLINK(AB2 &amp; "/bottle/sn_e656d6586d481f41eb69804478f9c547/rendering/03.obj", "2.38950378418")</f>
        <v>2.38950378418</v>
      </c>
      <c r="G384" s="133" t="str">
        <f>HYPERLINK(AB2 &amp; "/bottle/sn_e656d6586d481f41eb69804478f9c547/rendering/04.obj", "1.73581207275")</f>
        <v>1.73581207275</v>
      </c>
      <c r="H384" s="24" t="str">
        <f>HYPERLINK(AB2 &amp; "/bottle/sn_e656d6586d481f41eb69804478f9c547/rendering/05.obj", "2.25871047974")</f>
        <v>2.25871047974</v>
      </c>
      <c r="I384" s="117" t="str">
        <f>HYPERLINK(AB2 &amp; "/bottle/sn_e656d6586d481f41eb69804478f9c547/rendering/06.obj", "2.27598175049")</f>
        <v>2.27598175049</v>
      </c>
      <c r="J384" s="66" t="str">
        <f>HYPERLINK(AB2 &amp; "/bottle/sn_e656d6586d481f41eb69804478f9c547/rendering/07.obj", "1.62347717285")</f>
        <v>1.62347717285</v>
      </c>
      <c r="K384" s="17" t="str">
        <f>HYPERLINK(AB2 &amp; "/bottle/sn_e656d6586d481f41eb69804478f9c547/rendering/08.obj", "1.89477172852")</f>
        <v>1.89477172852</v>
      </c>
      <c r="L384" s="48" t="str">
        <f>HYPERLINK(AB2 &amp; "/bottle/sn_e656d6586d481f41eb69804478f9c547/rendering/09.obj", "1.88989105225")</f>
        <v>1.88989105225</v>
      </c>
      <c r="M384" s="65" t="str">
        <f>HYPERLINK(AB2 &amp; "/bottle/sn_e656d6586d481f41eb69804478f9c547/rendering/10.obj", "1.67339126587")</f>
        <v>1.67339126587</v>
      </c>
      <c r="N384" s="78" t="str">
        <f>HYPERLINK(AB2 &amp; "/bottle/sn_e656d6586d481f41eb69804478f9c547/rendering/11.obj", "2.05334594727")</f>
        <v>2.05334594727</v>
      </c>
      <c r="O384" s="38" t="str">
        <f>HYPERLINK(AB2 &amp; "/bottle/sn_e656d6586d481f41eb69804478f9c547/rendering/12.obj", "2.1088609314")</f>
        <v>2.1088609314</v>
      </c>
      <c r="P384" s="26" t="str">
        <f>HYPERLINK(AB2 &amp; "/bottle/sn_e656d6586d481f41eb69804478f9c547/rendering/13.obj", "2.05505493164")</f>
        <v>2.05505493164</v>
      </c>
      <c r="Q384" s="71" t="str">
        <f>HYPERLINK(AB2 &amp; "/bottle/sn_e656d6586d481f41eb69804478f9c547/rendering/14.obj", "1.70833740234")</f>
        <v>1.70833740234</v>
      </c>
      <c r="R384" s="74" t="str">
        <f>HYPERLINK(AB2 &amp; "/bottle/sn_e656d6586d481f41eb69804478f9c547/rendering/15.obj", "1.90393508911")</f>
        <v>1.90393508911</v>
      </c>
      <c r="S384" s="94" t="str">
        <f>HYPERLINK(AB2 &amp; "/bottle/sn_e656d6586d481f41eb69804478f9c547/rendering/16.obj", "2.07384887695")</f>
        <v>2.07384887695</v>
      </c>
      <c r="T384" s="30" t="str">
        <f>HYPERLINK(AB2 &amp; "/bottle/sn_e656d6586d481f41eb69804478f9c547/rendering/17.obj", "1.92607681274")</f>
        <v>1.92607681274</v>
      </c>
      <c r="U384" s="91" t="str">
        <f>HYPERLINK(AB2 &amp; "/bottle/sn_e656d6586d481f41eb69804478f9c547/rendering/18.obj", "1.88149978638")</f>
        <v>1.88149978638</v>
      </c>
      <c r="V384" s="6" t="str">
        <f>HYPERLINK(AB2 &amp; "/bottle/sn_e656d6586d481f41eb69804478f9c547/rendering/19.obj", "1.84487579346")</f>
        <v>1.84487579346</v>
      </c>
      <c r="W384" s="12" t="s">
        <v>31</v>
      </c>
      <c r="X384" s="13">
        <v>1.933618270874023</v>
      </c>
      <c r="Y384" s="13">
        <v>0.20632840868882329</v>
      </c>
      <c r="Z384" s="33">
        <v>0.10670586423221989</v>
      </c>
    </row>
    <row r="385" spans="1:26" x14ac:dyDescent="0.2">
      <c r="A385" s="1">
        <v>383</v>
      </c>
      <c r="B385" s="2" t="s">
        <v>109</v>
      </c>
      <c r="C385" s="78" t="str">
        <f>HYPERLINK(AB2 &amp; "/bottle/sn_e656d6586d481f41eb69804478f9c547/rendering/00.obj", "1.79268860817")</f>
        <v>1.79268860817</v>
      </c>
      <c r="D385" s="38" t="str">
        <f>HYPERLINK(AB2 &amp; "/bottle/sn_e656d6586d481f41eb69804478f9c547/rendering/01.obj", "1.73680722713")</f>
        <v>1.73680722713</v>
      </c>
      <c r="E385" s="84" t="str">
        <f>HYPERLINK(AB2 &amp; "/bottle/sn_e656d6586d481f41eb69804478f9c547/rendering/02.obj", "1.62922430038")</f>
        <v>1.62922430038</v>
      </c>
      <c r="F385" s="44" t="str">
        <f>HYPERLINK(AB2 &amp; "/bottle/sn_e656d6586d481f41eb69804478f9c547/rendering/03.obj", "2.28346157074")</f>
        <v>2.28346157074</v>
      </c>
      <c r="G385" s="34" t="str">
        <f>HYPERLINK(AB2 &amp; "/bottle/sn_e656d6586d481f41eb69804478f9c547/rendering/04.obj", "1.81599259377")</f>
        <v>1.81599259377</v>
      </c>
      <c r="H385" s="106" t="str">
        <f>HYPERLINK(AB2 &amp; "/bottle/sn_e656d6586d481f41eb69804478f9c547/rendering/05.obj", "2.12537574768")</f>
        <v>2.12537574768</v>
      </c>
      <c r="I385" s="77" t="str">
        <f>HYPERLINK(AB2 &amp; "/bottle/sn_e656d6586d481f41eb69804478f9c547/rendering/06.obj", "2.26220774651")</f>
        <v>2.26220774651</v>
      </c>
      <c r="J385" s="92" t="str">
        <f>HYPERLINK(AB2 &amp; "/bottle/sn_e656d6586d481f41eb69804478f9c547/rendering/07.obj", "1.67169213295")</f>
        <v>1.67169213295</v>
      </c>
      <c r="K385" s="39" t="str">
        <f>HYPERLINK(AB2 &amp; "/bottle/sn_e656d6586d481f41eb69804478f9c547/rendering/08.obj", "1.74353802204")</f>
        <v>1.74353802204</v>
      </c>
      <c r="L385" s="33" t="str">
        <f>HYPERLINK(AB2 &amp; "/bottle/sn_e656d6586d481f41eb69804478f9c547/rendering/09.obj", "1.70301103592")</f>
        <v>1.70301103592</v>
      </c>
      <c r="M385" s="67" t="str">
        <f>HYPERLINK(AB2 &amp; "/bottle/sn_e656d6586d481f41eb69804478f9c547/rendering/10.obj", "1.7315030098")</f>
        <v>1.7315030098</v>
      </c>
      <c r="N385" s="41" t="str">
        <f>HYPERLINK(AB2 &amp; "/bottle/sn_e656d6586d481f41eb69804478f9c547/rendering/11.obj", "2.03547716141")</f>
        <v>2.03547716141</v>
      </c>
      <c r="O385" s="84" t="str">
        <f>HYPERLINK(AB2 &amp; "/bottle/sn_e656d6586d481f41eb69804478f9c547/rendering/12.obj", "2.18580770493")</f>
        <v>2.18580770493</v>
      </c>
      <c r="P385" s="38" t="str">
        <f>HYPERLINK(AB2 &amp; "/bottle/sn_e656d6586d481f41eb69804478f9c547/rendering/13.obj", "2.07502603531")</f>
        <v>2.07502603531</v>
      </c>
      <c r="Q385" s="110" t="str">
        <f>HYPERLINK(AB2 &amp; "/bottle/sn_e656d6586d481f41eb69804478f9c547/rendering/14.obj", "1.71687173843")</f>
        <v>1.71687173843</v>
      </c>
      <c r="R385" s="13" t="str">
        <f>HYPERLINK(AB2 &amp; "/bottle/sn_e656d6586d481f41eb69804478f9c547/rendering/15.obj", "1.91089653969")</f>
        <v>1.91089653969</v>
      </c>
      <c r="S385" s="73" t="str">
        <f>HYPERLINK(AB2 &amp; "/bottle/sn_e656d6586d481f41eb69804478f9c547/rendering/16.obj", "1.97364282608")</f>
        <v>1.97364282608</v>
      </c>
      <c r="T385" s="51" t="str">
        <f>HYPERLINK(AB2 &amp; "/bottle/sn_e656d6586d481f41eb69804478f9c547/rendering/17.obj", "2.05867099762")</f>
        <v>2.05867099762</v>
      </c>
      <c r="U385" s="78" t="str">
        <f>HYPERLINK(AB2 &amp; "/bottle/sn_e656d6586d481f41eb69804478f9c547/rendering/18.obj", "1.78838586807")</f>
        <v>1.78838586807</v>
      </c>
      <c r="V385" s="13" t="str">
        <f>HYPERLINK(AB2 &amp; "/bottle/sn_e656d6586d481f41eb69804478f9c547/rendering/19.obj", "1.90530657768")</f>
        <v>1.90530657768</v>
      </c>
      <c r="W385" s="12" t="s">
        <v>32</v>
      </c>
      <c r="X385" s="13">
        <v>1.907279372215271</v>
      </c>
      <c r="Y385" s="13">
        <v>0.19971370373773051</v>
      </c>
      <c r="Z385" s="32">
        <v>0.10471130063435161</v>
      </c>
    </row>
    <row r="386" spans="1:26" x14ac:dyDescent="0.2">
      <c r="A386" s="1">
        <v>384</v>
      </c>
      <c r="B386" s="2" t="s">
        <v>109</v>
      </c>
      <c r="C386" s="13" t="str">
        <f>HYPERLINK(AC2 &amp; "/bottle/sn_e656d6586d481f41eb69804478f9c547/rendering/00.xyz", "0.0")</f>
        <v>0.0</v>
      </c>
      <c r="D386" s="13" t="str">
        <f>HYPERLINK(AC2 &amp; "/bottle/sn_e656d6586d481f41eb69804478f9c547/rendering/01.xyz", "0.0")</f>
        <v>0.0</v>
      </c>
      <c r="E386" s="13" t="str">
        <f>HYPERLINK(AC2 &amp; "/bottle/sn_e656d6586d481f41eb69804478f9c547/rendering/02.xyz", "0.0")</f>
        <v>0.0</v>
      </c>
      <c r="F386" s="13" t="str">
        <f>HYPERLINK(AC2 &amp; "/bottle/sn_e656d6586d481f41eb69804478f9c547/rendering/03.xyz", "0.0")</f>
        <v>0.0</v>
      </c>
      <c r="G386" s="13" t="str">
        <f>HYPERLINK(AC2 &amp; "/bottle/sn_e656d6586d481f41eb69804478f9c547/rendering/04.xyz", "0.0")</f>
        <v>0.0</v>
      </c>
      <c r="H386" s="13" t="str">
        <f>HYPERLINK(AC2 &amp; "/bottle/sn_e656d6586d481f41eb69804478f9c547/rendering/05.xyz", "0.0")</f>
        <v>0.0</v>
      </c>
      <c r="I386" s="13" t="str">
        <f>HYPERLINK(AC2 &amp; "/bottle/sn_e656d6586d481f41eb69804478f9c547/rendering/06.xyz", "0.0")</f>
        <v>0.0</v>
      </c>
      <c r="J386" s="13" t="str">
        <f>HYPERLINK(AC2 &amp; "/bottle/sn_e656d6586d481f41eb69804478f9c547/rendering/07.xyz", "0.0")</f>
        <v>0.0</v>
      </c>
      <c r="K386" s="13" t="str">
        <f>HYPERLINK(AC2 &amp; "/bottle/sn_e656d6586d481f41eb69804478f9c547/rendering/08.xyz", "0.0")</f>
        <v>0.0</v>
      </c>
      <c r="L386" s="13" t="str">
        <f>HYPERLINK(AC2 &amp; "/bottle/sn_e656d6586d481f41eb69804478f9c547/rendering/09.xyz", "0.0")</f>
        <v>0.0</v>
      </c>
      <c r="M386" s="13" t="str">
        <f>HYPERLINK(AC2 &amp; "/bottle/sn_e656d6586d481f41eb69804478f9c547/rendering/10.xyz", "0.0")</f>
        <v>0.0</v>
      </c>
      <c r="N386" s="13" t="str">
        <f>HYPERLINK(AC2 &amp; "/bottle/sn_e656d6586d481f41eb69804478f9c547/rendering/11.xyz", "0.0")</f>
        <v>0.0</v>
      </c>
      <c r="O386" s="13" t="str">
        <f>HYPERLINK(AC2 &amp; "/bottle/sn_e656d6586d481f41eb69804478f9c547/rendering/12.xyz", "0.0")</f>
        <v>0.0</v>
      </c>
      <c r="P386" s="13" t="str">
        <f>HYPERLINK(AC2 &amp; "/bottle/sn_e656d6586d481f41eb69804478f9c547/rendering/13.xyz", "0.0")</f>
        <v>0.0</v>
      </c>
      <c r="Q386" s="13" t="str">
        <f>HYPERLINK(AC2 &amp; "/bottle/sn_e656d6586d481f41eb69804478f9c547/rendering/14.xyz", "0.0")</f>
        <v>0.0</v>
      </c>
      <c r="R386" s="13" t="str">
        <f>HYPERLINK(AC2 &amp; "/bottle/sn_e656d6586d481f41eb69804478f9c547/rendering/15.xyz", "0.0")</f>
        <v>0.0</v>
      </c>
      <c r="S386" s="13" t="str">
        <f>HYPERLINK(AC2 &amp; "/bottle/sn_e656d6586d481f41eb69804478f9c547/rendering/16.xyz", "0.0")</f>
        <v>0.0</v>
      </c>
      <c r="T386" s="13" t="str">
        <f>HYPERLINK(AC2 &amp; "/bottle/sn_e656d6586d481f41eb69804478f9c547/rendering/17.xyz", "0.0")</f>
        <v>0.0</v>
      </c>
      <c r="U386" s="13" t="str">
        <f>HYPERLINK(AC2 &amp; "/bottle/sn_e656d6586d481f41eb69804478f9c547/rendering/18.xyz", "0.0")</f>
        <v>0.0</v>
      </c>
      <c r="V386" s="13" t="str">
        <f>HYPERLINK(AC2 &amp; "/bottle/sn_e656d6586d481f41eb69804478f9c547/rendering/19.xyz", "0.0")</f>
        <v>0.0</v>
      </c>
      <c r="W386" s="12" t="s">
        <v>33</v>
      </c>
      <c r="X386" s="13">
        <v>0</v>
      </c>
      <c r="Y386" s="13">
        <v>0</v>
      </c>
      <c r="Z386" s="13">
        <v>0</v>
      </c>
    </row>
    <row r="387" spans="1:26" x14ac:dyDescent="0.2">
      <c r="A387" s="1">
        <v>385</v>
      </c>
      <c r="B387" s="2" t="s">
        <v>110</v>
      </c>
      <c r="C387" s="17" t="str">
        <f>HYPERLINK(AA2 &amp; "/bottle/sn_e6a68d29f41143c52744e7c6d2047385/rendering/00.obj", "0.657329101563")</f>
        <v>0.657329101563</v>
      </c>
      <c r="D387" s="68" t="str">
        <f>HYPERLINK(AA2 &amp; "/bottle/sn_e6a68d29f41143c52744e7c6d2047385/rendering/01.obj", "0.643466873169")</f>
        <v>0.643466873169</v>
      </c>
      <c r="E387" s="23" t="str">
        <f>HYPERLINK(AA2 &amp; "/bottle/sn_e6a68d29f41143c52744e7c6d2047385/rendering/02.obj", "0.645260314941")</f>
        <v>0.645260314941</v>
      </c>
      <c r="F387" s="10" t="str">
        <f>HYPERLINK(AA2 &amp; "/bottle/sn_e6a68d29f41143c52744e7c6d2047385/rendering/03.obj", "0.635724639893")</f>
        <v>0.635724639893</v>
      </c>
      <c r="G387" s="67" t="str">
        <f>HYPERLINK(AA2 &amp; "/bottle/sn_e6a68d29f41143c52744e7c6d2047385/rendering/04.obj", "0.733651885986")</f>
        <v>0.733651885986</v>
      </c>
      <c r="H387" s="17" t="str">
        <f>HYPERLINK(AA2 &amp; "/bottle/sn_e6a68d29f41143c52744e7c6d2047385/rendering/05.obj", "0.685625152588")</f>
        <v>0.685625152588</v>
      </c>
      <c r="I387" s="73" t="str">
        <f>HYPERLINK(AA2 &amp; "/bottle/sn_e6a68d29f41143c52744e7c6d2047385/rendering/06.obj", "0.695730743408")</f>
        <v>0.695730743408</v>
      </c>
      <c r="J387" s="47" t="str">
        <f>HYPERLINK(AA2 &amp; "/bottle/sn_e6a68d29f41143c52744e7c6d2047385/rendering/07.obj", "0.667402267456")</f>
        <v>0.667402267456</v>
      </c>
      <c r="K387" s="17" t="str">
        <f>HYPERLINK(AA2 &amp; "/bottle/sn_e6a68d29f41143c52744e7c6d2047385/rendering/08.obj", "0.65870300293")</f>
        <v>0.65870300293</v>
      </c>
      <c r="L387" s="23" t="str">
        <f>HYPERLINK(AA2 &amp; "/bottle/sn_e6a68d29f41143c52744e7c6d2047385/rendering/09.obj", "0.644596710205")</f>
        <v>0.644596710205</v>
      </c>
      <c r="M387" s="23" t="str">
        <f>HYPERLINK(AA2 &amp; "/bottle/sn_e6a68d29f41143c52744e7c6d2047385/rendering/10.obj", "0.644882354736")</f>
        <v>0.644882354736</v>
      </c>
      <c r="N387" s="91" t="str">
        <f>HYPERLINK(AA2 &amp; "/bottle/sn_e6a68d29f41143c52744e7c6d2047385/rendering/11.obj", "0.654691848755")</f>
        <v>0.654691848755</v>
      </c>
      <c r="O387" s="6" t="str">
        <f>HYPERLINK(AA2 &amp; "/bottle/sn_e6a68d29f41143c52744e7c6d2047385/rendering/12.obj", "0.701227035522")</f>
        <v>0.701227035522</v>
      </c>
      <c r="P387" s="23" t="str">
        <f>HYPERLINK(AA2 &amp; "/bottle/sn_e6a68d29f41143c52744e7c6d2047385/rendering/13.obj", "0.697672119141")</f>
        <v>0.697672119141</v>
      </c>
      <c r="Q387" s="25" t="str">
        <f>HYPERLINK(AA2 &amp; "/bottle/sn_e6a68d29f41143c52744e7c6d2047385/rendering/14.obj", "0.663319473267")</f>
        <v>0.663319473267</v>
      </c>
      <c r="R387" s="25" t="str">
        <f>HYPERLINK(AA2 &amp; "/bottle/sn_e6a68d29f41143c52744e7c6d2047385/rendering/15.obj", "0.678446807861")</f>
        <v>0.678446807861</v>
      </c>
      <c r="S387" s="30" t="str">
        <f>HYPERLINK(AA2 &amp; "/bottle/sn_e6a68d29f41143c52744e7c6d2047385/rendering/16.obj", "0.667475891113")</f>
        <v>0.667475891113</v>
      </c>
      <c r="T387" s="69" t="str">
        <f>HYPERLINK(AA2 &amp; "/bottle/sn_e6a68d29f41143c52744e7c6d2047385/rendering/17.obj", "0.650668487549")</f>
        <v>0.650668487549</v>
      </c>
      <c r="U387" s="78" t="str">
        <f>HYPERLINK(AA2 &amp; "/bottle/sn_e6a68d29f41143c52744e7c6d2047385/rendering/18.obj", "0.713367080688")</f>
        <v>0.713367080688</v>
      </c>
      <c r="V387" s="72" t="str">
        <f>HYPERLINK(AA2 &amp; "/bottle/sn_e6a68d29f41143c52744e7c6d2047385/rendering/19.obj", "0.694450378418")</f>
        <v>0.694450378418</v>
      </c>
      <c r="W387" s="12" t="s">
        <v>29</v>
      </c>
      <c r="X387" s="13">
        <v>0.67168460845947264</v>
      </c>
      <c r="Y387" s="13">
        <v>2.637500715170563E-2</v>
      </c>
      <c r="Z387" s="23">
        <v>3.9266951809715338E-2</v>
      </c>
    </row>
    <row r="388" spans="1:26" x14ac:dyDescent="0.2">
      <c r="A388" s="1">
        <v>386</v>
      </c>
      <c r="B388" s="2" t="s">
        <v>110</v>
      </c>
      <c r="C388" s="17" t="str">
        <f>HYPERLINK(AA2 &amp; "/bottle/sn_e6a68d29f41143c52744e7c6d2047385/rendering/00.obj", "1.65040636063")</f>
        <v>1.65040636063</v>
      </c>
      <c r="D388" s="6" t="str">
        <f>HYPERLINK(AA2 &amp; "/bottle/sn_e6a68d29f41143c52744e7c6d2047385/rendering/01.obj", "1.5451169014")</f>
        <v>1.5451169014</v>
      </c>
      <c r="E388" s="30" t="str">
        <f>HYPERLINK(AA2 &amp; "/bottle/sn_e6a68d29f41143c52744e7c6d2047385/rendering/02.obj", "1.61010479927")</f>
        <v>1.61010479927</v>
      </c>
      <c r="F388" s="35" t="str">
        <f>HYPERLINK(AA2 &amp; "/bottle/sn_e6a68d29f41143c52744e7c6d2047385/rendering/03.obj", "1.52115905285")</f>
        <v>1.52115905285</v>
      </c>
      <c r="G388" s="10" t="str">
        <f>HYPERLINK(AA2 &amp; "/bottle/sn_e6a68d29f41143c52744e7c6d2047385/rendering/04.obj", "1.70448756218")</f>
        <v>1.70448756218</v>
      </c>
      <c r="H388" s="10" t="str">
        <f>HYPERLINK(AA2 &amp; "/bottle/sn_e6a68d29f41143c52744e7c6d2047385/rendering/05.obj", "1.70567941666")</f>
        <v>1.70567941666</v>
      </c>
      <c r="I388" s="25" t="str">
        <f>HYPERLINK(AA2 &amp; "/bottle/sn_e6a68d29f41143c52744e7c6d2047385/rendering/06.obj", "1.60095143318")</f>
        <v>1.60095143318</v>
      </c>
      <c r="J388" s="74" t="str">
        <f>HYPERLINK(AA2 &amp; "/bottle/sn_e6a68d29f41143c52744e7c6d2047385/rendering/07.obj", "1.63935983181")</f>
        <v>1.63935983181</v>
      </c>
      <c r="K388" s="35" t="str">
        <f>HYPERLINK(AA2 &amp; "/bottle/sn_e6a68d29f41143c52744e7c6d2047385/rendering/08.obj", "1.52412927151")</f>
        <v>1.52412927151</v>
      </c>
      <c r="L388" s="5" t="str">
        <f>HYPERLINK(AA2 &amp; "/bottle/sn_e6a68d29f41143c52744e7c6d2047385/rendering/09.obj", "1.49062120914")</f>
        <v>1.49062120914</v>
      </c>
      <c r="M388" s="23" t="str">
        <f>HYPERLINK(AA2 &amp; "/bottle/sn_e6a68d29f41143c52744e7c6d2047385/rendering/10.obj", "1.55467963219")</f>
        <v>1.55467963219</v>
      </c>
      <c r="N388" s="30" t="str">
        <f>HYPERLINK(AA2 &amp; "/bottle/sn_e6a68d29f41143c52744e7c6d2047385/rendering/11.obj", "1.62578415871")</f>
        <v>1.62578415871</v>
      </c>
      <c r="O388" s="107" t="str">
        <f>HYPERLINK(AA2 &amp; "/bottle/sn_e6a68d29f41143c52744e7c6d2047385/rendering/12.obj", "1.75276684761")</f>
        <v>1.75276684761</v>
      </c>
      <c r="P388" s="68" t="str">
        <f>HYPERLINK(AA2 &amp; "/bottle/sn_e6a68d29f41143c52744e7c6d2047385/rendering/13.obj", "1.54752123356")</f>
        <v>1.54752123356</v>
      </c>
      <c r="Q388" s="74" t="str">
        <f>HYPERLINK(AA2 &amp; "/bottle/sn_e6a68d29f41143c52744e7c6d2047385/rendering/14.obj", "1.6426692009")</f>
        <v>1.6426692009</v>
      </c>
      <c r="R388" s="25" t="str">
        <f>HYPERLINK(AA2 &amp; "/bottle/sn_e6a68d29f41143c52744e7c6d2047385/rendering/15.obj", "1.60157454014")</f>
        <v>1.60157454014</v>
      </c>
      <c r="S388" s="17" t="str">
        <f>HYPERLINK(AA2 &amp; "/bottle/sn_e6a68d29f41143c52744e7c6d2047385/rendering/16.obj", "1.64926207066")</f>
        <v>1.64926207066</v>
      </c>
      <c r="T388" s="25" t="str">
        <f>HYPERLINK(AA2 &amp; "/bottle/sn_e6a68d29f41143c52744e7c6d2047385/rendering/17.obj", "1.59898579121")</f>
        <v>1.59898579121</v>
      </c>
      <c r="U388" s="28" t="str">
        <f>HYPERLINK(AA2 &amp; "/bottle/sn_e6a68d29f41143c52744e7c6d2047385/rendering/18.obj", "1.79876613617")</f>
        <v>1.79876613617</v>
      </c>
      <c r="V388" s="17" t="str">
        <f>HYPERLINK(AA2 &amp; "/bottle/sn_e6a68d29f41143c52744e7c6d2047385/rendering/19.obj", "1.58385181427")</f>
        <v>1.58385181427</v>
      </c>
      <c r="W388" s="12" t="s">
        <v>30</v>
      </c>
      <c r="X388" s="13">
        <v>1.6173938632011411</v>
      </c>
      <c r="Y388" s="13">
        <v>7.7461654023642509E-2</v>
      </c>
      <c r="Z388" s="34">
        <v>4.7892882362203737E-2</v>
      </c>
    </row>
    <row r="389" spans="1:26" x14ac:dyDescent="0.2">
      <c r="A389" s="1">
        <v>387</v>
      </c>
      <c r="B389" s="2" t="s">
        <v>110</v>
      </c>
      <c r="C389" s="73" t="str">
        <f>HYPERLINK(AB2 &amp; "/bottle/sn_e6a68d29f41143c52744e7c6d2047385/rendering/00.obj", "1.0039642334")</f>
        <v>1.0039642334</v>
      </c>
      <c r="D389" s="6" t="str">
        <f>HYPERLINK(AB2 &amp; "/bottle/sn_e6a68d29f41143c52744e7c6d2047385/rendering/01.obj", "1.08944396973")</f>
        <v>1.08944396973</v>
      </c>
      <c r="E389" s="17" t="str">
        <f>HYPERLINK(AB2 &amp; "/bottle/sn_e6a68d29f41143c52744e7c6d2047385/rendering/02.obj", "1.06298706055")</f>
        <v>1.06298706055</v>
      </c>
      <c r="F389" s="94" t="str">
        <f>HYPERLINK(AB2 &amp; "/bottle/sn_e6a68d29f41143c52744e7c6d2047385/rendering/03.obj", "1.11964141846")</f>
        <v>1.11964141846</v>
      </c>
      <c r="G389" s="72" t="str">
        <f>HYPERLINK(AB2 &amp; "/bottle/sn_e6a68d29f41143c52744e7c6d2047385/rendering/04.obj", "1.07876190186")</f>
        <v>1.07876190186</v>
      </c>
      <c r="H389" s="46" t="str">
        <f>HYPERLINK(AB2 &amp; "/bottle/sn_e6a68d29f41143c52744e7c6d2047385/rendering/05.obj", "1.02550460815")</f>
        <v>1.02550460815</v>
      </c>
      <c r="I389" s="69" t="str">
        <f>HYPERLINK(AB2 &amp; "/bottle/sn_e6a68d29f41143c52744e7c6d2047385/rendering/06.obj", "1.01219482422")</f>
        <v>1.01219482422</v>
      </c>
      <c r="J389" s="110" t="str">
        <f>HYPERLINK(AB2 &amp; "/bottle/sn_e6a68d29f41143c52744e7c6d2047385/rendering/07.obj", "1.14663757324")</f>
        <v>1.14663757324</v>
      </c>
      <c r="K389" s="72" t="str">
        <f>HYPERLINK(AB2 &amp; "/bottle/sn_e6a68d29f41143c52744e7c6d2047385/rendering/08.obj", "1.00834892273")</f>
        <v>1.00834892273</v>
      </c>
      <c r="L389" s="47" t="str">
        <f>HYPERLINK(AB2 &amp; "/bottle/sn_e6a68d29f41143c52744e7c6d2047385/rendering/09.obj", "1.05188217163")</f>
        <v>1.05188217163</v>
      </c>
      <c r="M389" s="30" t="str">
        <f>HYPERLINK(AB2 &amp; "/bottle/sn_e6a68d29f41143c52744e7c6d2047385/rendering/10.obj", "1.04634483337")</f>
        <v>1.04634483337</v>
      </c>
      <c r="N389" s="73" t="str">
        <f>HYPERLINK(AB2 &amp; "/bottle/sn_e6a68d29f41143c52744e7c6d2047385/rendering/11.obj", "1.08026695251")</f>
        <v>1.08026695251</v>
      </c>
      <c r="O389" s="74" t="str">
        <f>HYPERLINK(AB2 &amp; "/bottle/sn_e6a68d29f41143c52744e7c6d2047385/rendering/12.obj", "1.02898681641")</f>
        <v>1.02898681641</v>
      </c>
      <c r="P389" s="72" t="str">
        <f>HYPERLINK(AB2 &amp; "/bottle/sn_e6a68d29f41143c52744e7c6d2047385/rendering/13.obj", "1.01014572144")</f>
        <v>1.01014572144</v>
      </c>
      <c r="Q389" s="48" t="str">
        <f>HYPERLINK(AB2 &amp; "/bottle/sn_e6a68d29f41143c52744e7c6d2047385/rendering/14.obj", "1.01968223572")</f>
        <v>1.01968223572</v>
      </c>
      <c r="R389" s="91" t="str">
        <f>HYPERLINK(AB2 &amp; "/bottle/sn_e6a68d29f41143c52744e7c6d2047385/rendering/15.obj", "1.01393081665")</f>
        <v>1.01393081665</v>
      </c>
      <c r="S389" s="68" t="str">
        <f>HYPERLINK(AB2 &amp; "/bottle/sn_e6a68d29f41143c52744e7c6d2047385/rendering/16.obj", "0.998546142578")</f>
        <v>0.998546142578</v>
      </c>
      <c r="T389" s="13" t="str">
        <f>HYPERLINK(AB2 &amp; "/bottle/sn_e6a68d29f41143c52744e7c6d2047385/rendering/17.obj", "1.03990104675")</f>
        <v>1.03990104675</v>
      </c>
      <c r="U389" s="73" t="str">
        <f>HYPERLINK(AB2 &amp; "/bottle/sn_e6a68d29f41143c52744e7c6d2047385/rendering/18.obj", "1.00481887817")</f>
        <v>1.00481887817</v>
      </c>
      <c r="V389" s="48" t="str">
        <f>HYPERLINK(AB2 &amp; "/bottle/sn_e6a68d29f41143c52744e7c6d2047385/rendering/19.obj", "1.01778572083")</f>
        <v>1.01778572083</v>
      </c>
      <c r="W389" s="12" t="s">
        <v>31</v>
      </c>
      <c r="X389" s="13">
        <v>1.0429887924194341</v>
      </c>
      <c r="Y389" s="13">
        <v>4.0405660163608317E-2</v>
      </c>
      <c r="Z389" s="23">
        <v>3.8740263037610218E-2</v>
      </c>
    </row>
    <row r="390" spans="1:26" x14ac:dyDescent="0.2">
      <c r="A390" s="1">
        <v>388</v>
      </c>
      <c r="B390" s="2" t="s">
        <v>110</v>
      </c>
      <c r="C390" s="68" t="str">
        <f>HYPERLINK(AB2 &amp; "/bottle/sn_e6a68d29f41143c52744e7c6d2047385/rendering/00.obj", "1.87649989128")</f>
        <v>1.87649989128</v>
      </c>
      <c r="D390" s="39" t="str">
        <f>HYPERLINK(AB2 &amp; "/bottle/sn_e6a68d29f41143c52744e7c6d2047385/rendering/01.obj", "2.13072371483")</f>
        <v>2.13072371483</v>
      </c>
      <c r="E390" s="41" t="str">
        <f>HYPERLINK(AB2 &amp; "/bottle/sn_e6a68d29f41143c52744e7c6d2047385/rendering/02.obj", "1.82735943794")</f>
        <v>1.82735943794</v>
      </c>
      <c r="F390" s="42" t="str">
        <f>HYPERLINK(AB2 &amp; "/bottle/sn_e6a68d29f41143c52744e7c6d2047385/rendering/03.obj", "2.22830748558")</f>
        <v>2.22830748558</v>
      </c>
      <c r="G390" s="6" t="str">
        <f>HYPERLINK(AB2 &amp; "/bottle/sn_e6a68d29f41143c52744e7c6d2047385/rendering/04.obj", "2.04819321632")</f>
        <v>2.04819321632</v>
      </c>
      <c r="H390" s="60" t="str">
        <f>HYPERLINK(AB2 &amp; "/bottle/sn_e6a68d29f41143c52744e7c6d2047385/rendering/05.obj", "1.86120402813")</f>
        <v>1.86120402813</v>
      </c>
      <c r="I390" s="51" t="str">
        <f>HYPERLINK(AB2 &amp; "/bottle/sn_e6a68d29f41143c52744e7c6d2047385/rendering/06.obj", "1.8037147522")</f>
        <v>1.8037147522</v>
      </c>
      <c r="J390" s="39" t="str">
        <f>HYPERLINK(AB2 &amp; "/bottle/sn_e6a68d29f41143c52744e7c6d2047385/rendering/07.obj", "2.12872219086")</f>
        <v>2.12872219086</v>
      </c>
      <c r="K390" s="72" t="str">
        <f>HYPERLINK(AB2 &amp; "/bottle/sn_e6a68d29f41143c52744e7c6d2047385/rendering/08.obj", "2.02254295349")</f>
        <v>2.02254295349</v>
      </c>
      <c r="L390" s="47" t="str">
        <f>HYPERLINK(AB2 &amp; "/bottle/sn_e6a68d29f41143c52744e7c6d2047385/rendering/09.obj", "1.94326210022")</f>
        <v>1.94326210022</v>
      </c>
      <c r="M390" s="46" t="str">
        <f>HYPERLINK(AB2 &amp; "/bottle/sn_e6a68d29f41143c52744e7c6d2047385/rendering/10.obj", "1.92816162109")</f>
        <v>1.92816162109</v>
      </c>
      <c r="N390" s="41" t="str">
        <f>HYPERLINK(AB2 &amp; "/bottle/sn_e6a68d29f41143c52744e7c6d2047385/rendering/11.obj", "2.0893201828")</f>
        <v>2.0893201828</v>
      </c>
      <c r="O390" s="13" t="str">
        <f>HYPERLINK(AB2 &amp; "/bottle/sn_e6a68d29f41143c52744e7c6d2047385/rendering/12.obj", "1.95480954647")</f>
        <v>1.95480954647</v>
      </c>
      <c r="P390" s="68" t="str">
        <f>HYPERLINK(AB2 &amp; "/bottle/sn_e6a68d29f41143c52744e7c6d2047385/rendering/13.obj", "1.87427866459")</f>
        <v>1.87427866459</v>
      </c>
      <c r="Q390" s="46" t="str">
        <f>HYPERLINK(AB2 &amp; "/bottle/sn_e6a68d29f41143c52744e7c6d2047385/rendering/14.obj", "1.92664659023")</f>
        <v>1.92664659023</v>
      </c>
      <c r="R390" s="25" t="str">
        <f>HYPERLINK(AB2 &amp; "/bottle/sn_e6a68d29f41143c52744e7c6d2047385/rendering/15.obj", "1.97845697403")</f>
        <v>1.97845697403</v>
      </c>
      <c r="S390" s="73" t="str">
        <f>HYPERLINK(AB2 &amp; "/bottle/sn_e6a68d29f41143c52744e7c6d2047385/rendering/16.obj", "1.8870755434")</f>
        <v>1.8870755434</v>
      </c>
      <c r="T390" s="30" t="str">
        <f>HYPERLINK(AB2 &amp; "/bottle/sn_e6a68d29f41143c52744e7c6d2047385/rendering/17.obj", "1.95248687267")</f>
        <v>1.95248687267</v>
      </c>
      <c r="U390" s="60" t="str">
        <f>HYPERLINK(AB2 &amp; "/bottle/sn_e6a68d29f41143c52744e7c6d2047385/rendering/18.obj", "1.86136388779")</f>
        <v>1.86136388779</v>
      </c>
      <c r="V390" s="68" t="str">
        <f>HYPERLINK(AB2 &amp; "/bottle/sn_e6a68d29f41143c52744e7c6d2047385/rendering/19.obj", "1.87457334995")</f>
        <v>1.87457334995</v>
      </c>
      <c r="W390" s="12" t="s">
        <v>32</v>
      </c>
      <c r="X390" s="13">
        <v>1.9598851501941681</v>
      </c>
      <c r="Y390" s="13">
        <v>0.1116446477634863</v>
      </c>
      <c r="Z390" s="35">
        <v>5.6964892944071532E-2</v>
      </c>
    </row>
    <row r="391" spans="1:26" x14ac:dyDescent="0.2">
      <c r="A391" s="1">
        <v>389</v>
      </c>
      <c r="B391" s="2" t="s">
        <v>110</v>
      </c>
      <c r="C391" s="13" t="str">
        <f>HYPERLINK(AC2 &amp; "/bottle/sn_e6a68d29f41143c52744e7c6d2047385/rendering/00.xyz", "0.0")</f>
        <v>0.0</v>
      </c>
      <c r="D391" s="13" t="str">
        <f>HYPERLINK(AC2 &amp; "/bottle/sn_e6a68d29f41143c52744e7c6d2047385/rendering/01.xyz", "0.0")</f>
        <v>0.0</v>
      </c>
      <c r="E391" s="13" t="str">
        <f>HYPERLINK(AC2 &amp; "/bottle/sn_e6a68d29f41143c52744e7c6d2047385/rendering/02.xyz", "0.0")</f>
        <v>0.0</v>
      </c>
      <c r="F391" s="13" t="str">
        <f>HYPERLINK(AC2 &amp; "/bottle/sn_e6a68d29f41143c52744e7c6d2047385/rendering/03.xyz", "0.0")</f>
        <v>0.0</v>
      </c>
      <c r="G391" s="13" t="str">
        <f>HYPERLINK(AC2 &amp; "/bottle/sn_e6a68d29f41143c52744e7c6d2047385/rendering/04.xyz", "0.0")</f>
        <v>0.0</v>
      </c>
      <c r="H391" s="13" t="str">
        <f>HYPERLINK(AC2 &amp; "/bottle/sn_e6a68d29f41143c52744e7c6d2047385/rendering/05.xyz", "0.0")</f>
        <v>0.0</v>
      </c>
      <c r="I391" s="13" t="str">
        <f>HYPERLINK(AC2 &amp; "/bottle/sn_e6a68d29f41143c52744e7c6d2047385/rendering/06.xyz", "0.0")</f>
        <v>0.0</v>
      </c>
      <c r="J391" s="13" t="str">
        <f>HYPERLINK(AC2 &amp; "/bottle/sn_e6a68d29f41143c52744e7c6d2047385/rendering/07.xyz", "0.0")</f>
        <v>0.0</v>
      </c>
      <c r="K391" s="13" t="str">
        <f>HYPERLINK(AC2 &amp; "/bottle/sn_e6a68d29f41143c52744e7c6d2047385/rendering/08.xyz", "0.0")</f>
        <v>0.0</v>
      </c>
      <c r="L391" s="13" t="str">
        <f>HYPERLINK(AC2 &amp; "/bottle/sn_e6a68d29f41143c52744e7c6d2047385/rendering/09.xyz", "0.0")</f>
        <v>0.0</v>
      </c>
      <c r="M391" s="13" t="str">
        <f>HYPERLINK(AC2 &amp; "/bottle/sn_e6a68d29f41143c52744e7c6d2047385/rendering/10.xyz", "0.0")</f>
        <v>0.0</v>
      </c>
      <c r="N391" s="13" t="str">
        <f>HYPERLINK(AC2 &amp; "/bottle/sn_e6a68d29f41143c52744e7c6d2047385/rendering/11.xyz", "0.0")</f>
        <v>0.0</v>
      </c>
      <c r="O391" s="13" t="str">
        <f>HYPERLINK(AC2 &amp; "/bottle/sn_e6a68d29f41143c52744e7c6d2047385/rendering/12.xyz", "0.0")</f>
        <v>0.0</v>
      </c>
      <c r="P391" s="13" t="str">
        <f>HYPERLINK(AC2 &amp; "/bottle/sn_e6a68d29f41143c52744e7c6d2047385/rendering/13.xyz", "0.0")</f>
        <v>0.0</v>
      </c>
      <c r="Q391" s="13" t="str">
        <f>HYPERLINK(AC2 &amp; "/bottle/sn_e6a68d29f41143c52744e7c6d2047385/rendering/14.xyz", "0.0")</f>
        <v>0.0</v>
      </c>
      <c r="R391" s="13" t="str">
        <f>HYPERLINK(AC2 &amp; "/bottle/sn_e6a68d29f41143c52744e7c6d2047385/rendering/15.xyz", "0.0")</f>
        <v>0.0</v>
      </c>
      <c r="S391" s="13" t="str">
        <f>HYPERLINK(AC2 &amp; "/bottle/sn_e6a68d29f41143c52744e7c6d2047385/rendering/16.xyz", "0.0")</f>
        <v>0.0</v>
      </c>
      <c r="T391" s="13" t="str">
        <f>HYPERLINK(AC2 &amp; "/bottle/sn_e6a68d29f41143c52744e7c6d2047385/rendering/17.xyz", "0.0")</f>
        <v>0.0</v>
      </c>
      <c r="U391" s="13" t="str">
        <f>HYPERLINK(AC2 &amp; "/bottle/sn_e6a68d29f41143c52744e7c6d2047385/rendering/18.xyz", "0.0")</f>
        <v>0.0</v>
      </c>
      <c r="V391" s="13" t="str">
        <f>HYPERLINK(AC2 &amp; "/bottle/sn_e6a68d29f41143c52744e7c6d2047385/rendering/19.xyz", "0.0")</f>
        <v>0.0</v>
      </c>
      <c r="W391" s="12" t="s">
        <v>33</v>
      </c>
      <c r="X391" s="13">
        <v>0</v>
      </c>
      <c r="Y391" s="13">
        <v>0</v>
      </c>
      <c r="Z391" s="13">
        <v>0</v>
      </c>
    </row>
    <row r="392" spans="1:26" x14ac:dyDescent="0.2">
      <c r="A392" s="1">
        <v>390</v>
      </c>
      <c r="B392" s="2" t="s">
        <v>111</v>
      </c>
      <c r="C392" s="41" t="str">
        <f>HYPERLINK(AA2 &amp; "/bottle/sn_e75c3aeef55b02891d36a9793896730/rendering/00.obj", "2.46810241699")</f>
        <v>2.46810241699</v>
      </c>
      <c r="D392" s="47" t="str">
        <f>HYPERLINK(AA2 &amp; "/bottle/sn_e75c3aeef55b02891d36a9793896730/rendering/01.obj", "2.32984619141")</f>
        <v>2.32984619141</v>
      </c>
      <c r="E392" s="34" t="str">
        <f>HYPERLINK(AA2 &amp; "/bottle/sn_e75c3aeef55b02891d36a9793896730/rendering/02.obj", "2.1974420166")</f>
        <v>2.1974420166</v>
      </c>
      <c r="F392" s="23" t="str">
        <f>HYPERLINK(AA2 &amp; "/bottle/sn_e75c3aeef55b02891d36a9793896730/rendering/03.obj", "2.22089599609")</f>
        <v>2.22089599609</v>
      </c>
      <c r="G392" s="23" t="str">
        <f>HYPERLINK(AA2 &amp; "/bottle/sn_e75c3aeef55b02891d36a9793896730/rendering/04.obj", "2.21776702881")</f>
        <v>2.21776702881</v>
      </c>
      <c r="H392" s="91" t="str">
        <f>HYPERLINK(AA2 &amp; "/bottle/sn_e75c3aeef55b02891d36a9793896730/rendering/05.obj", "2.3697038269")</f>
        <v>2.3697038269</v>
      </c>
      <c r="I392" s="68" t="str">
        <f>HYPERLINK(AA2 &amp; "/bottle/sn_e75c3aeef55b02891d36a9793896730/rendering/06.obj", "2.40593399048")</f>
        <v>2.40593399048</v>
      </c>
      <c r="J392" s="23" t="str">
        <f>HYPERLINK(AA2 &amp; "/bottle/sn_e75c3aeef55b02891d36a9793896730/rendering/07.obj", "2.21626678467")</f>
        <v>2.21626678467</v>
      </c>
      <c r="K392" s="46" t="str">
        <f>HYPERLINK(AA2 &amp; "/bottle/sn_e75c3aeef55b02891d36a9793896730/rendering/08.obj", "2.27253463745")</f>
        <v>2.27253463745</v>
      </c>
      <c r="L392" s="13" t="str">
        <f>HYPERLINK(AA2 &amp; "/bottle/sn_e75c3aeef55b02891d36a9793896730/rendering/09.obj", "2.31388366699")</f>
        <v>2.31388366699</v>
      </c>
      <c r="M392" s="23" t="str">
        <f>HYPERLINK(AA2 &amp; "/bottle/sn_e75c3aeef55b02891d36a9793896730/rendering/10.obj", "2.40348876953")</f>
        <v>2.40348876953</v>
      </c>
      <c r="N392" s="26" t="str">
        <f>HYPERLINK(AA2 &amp; "/bottle/sn_e75c3aeef55b02891d36a9793896730/rendering/11.obj", "2.45798248291")</f>
        <v>2.45798248291</v>
      </c>
      <c r="O392" s="25" t="str">
        <f>HYPERLINK(AA2 &amp; "/bottle/sn_e75c3aeef55b02891d36a9793896730/rendering/12.obj", "2.28297729492")</f>
        <v>2.28297729492</v>
      </c>
      <c r="P392" s="74" t="str">
        <f>HYPERLINK(AA2 &amp; "/bottle/sn_e75c3aeef55b02891d36a9793896730/rendering/13.obj", "2.34448638916")</f>
        <v>2.34448638916</v>
      </c>
      <c r="Q392" s="60" t="str">
        <f>HYPERLINK(AA2 &amp; "/bottle/sn_e75c3aeef55b02891d36a9793896730/rendering/14.obj", "2.18802978516")</f>
        <v>2.18802978516</v>
      </c>
      <c r="R392" s="34" t="str">
        <f>HYPERLINK(AA2 &amp; "/bottle/sn_e75c3aeef55b02891d36a9793896730/rendering/15.obj", "2.42549423218")</f>
        <v>2.42549423218</v>
      </c>
      <c r="S392" s="10" t="str">
        <f>HYPERLINK(AA2 &amp; "/bottle/sn_e75c3aeef55b02891d36a9793896730/rendering/16.obj", "2.18037658691")</f>
        <v>2.18037658691</v>
      </c>
      <c r="T392" s="25" t="str">
        <f>HYPERLINK(AA2 &amp; "/bottle/sn_e75c3aeef55b02891d36a9793896730/rendering/17.obj", "2.33280944824")</f>
        <v>2.33280944824</v>
      </c>
      <c r="U392" s="74" t="str">
        <f>HYPERLINK(AA2 &amp; "/bottle/sn_e75c3aeef55b02891d36a9793896730/rendering/18.obj", "2.34402893066")</f>
        <v>2.34402893066</v>
      </c>
      <c r="V392" s="73" t="str">
        <f>HYPERLINK(AA2 &amp; "/bottle/sn_e75c3aeef55b02891d36a9793896730/rendering/19.obj", "2.22646972656")</f>
        <v>2.22646972656</v>
      </c>
      <c r="W392" s="12" t="s">
        <v>29</v>
      </c>
      <c r="X392" s="13">
        <v>2.3099260101318362</v>
      </c>
      <c r="Y392" s="13">
        <v>9.0473846585506085E-2</v>
      </c>
      <c r="Z392" s="23">
        <v>3.9167421895189798E-2</v>
      </c>
    </row>
    <row r="393" spans="1:26" x14ac:dyDescent="0.2">
      <c r="A393" s="1">
        <v>391</v>
      </c>
      <c r="B393" s="2" t="s">
        <v>111</v>
      </c>
      <c r="C393" s="48" t="str">
        <f>HYPERLINK(AA2 &amp; "/bottle/sn_e75c3aeef55b02891d36a9793896730/rendering/00.obj", "2.26586580276")</f>
        <v>2.26586580276</v>
      </c>
      <c r="D393" s="30" t="str">
        <f>HYPERLINK(AA2 &amp; "/bottle/sn_e75c3aeef55b02891d36a9793896730/rendering/01.obj", "2.22201895714")</f>
        <v>2.22201895714</v>
      </c>
      <c r="E393" s="34" t="str">
        <f>HYPERLINK(AA2 &amp; "/bottle/sn_e75c3aeef55b02891d36a9793896730/rendering/02.obj", "2.10515499115")</f>
        <v>2.10515499115</v>
      </c>
      <c r="F393" s="34" t="str">
        <f>HYPERLINK(AA2 &amp; "/bottle/sn_e75c3aeef55b02891d36a9793896730/rendering/03.obj", "2.10851716995")</f>
        <v>2.10851716995</v>
      </c>
      <c r="G393" s="94" t="str">
        <f>HYPERLINK(AA2 &amp; "/bottle/sn_e75c3aeef55b02891d36a9793896730/rendering/04.obj", "2.37326359749")</f>
        <v>2.37326359749</v>
      </c>
      <c r="H393" s="23" t="str">
        <f>HYPERLINK(AA2 &amp; "/bottle/sn_e75c3aeef55b02891d36a9793896730/rendering/05.obj", "2.30189585686")</f>
        <v>2.30189585686</v>
      </c>
      <c r="I393" s="46" t="str">
        <f>HYPERLINK(AA2 &amp; "/bottle/sn_e75c3aeef55b02891d36a9793896730/rendering/06.obj", "2.25450825691")</f>
        <v>2.25450825691</v>
      </c>
      <c r="J393" s="60" t="str">
        <f>HYPERLINK(AA2 &amp; "/bottle/sn_e75c3aeef55b02891d36a9793896730/rendering/07.obj", "2.09604334831")</f>
        <v>2.09604334831</v>
      </c>
      <c r="K393" s="74" t="str">
        <f>HYPERLINK(AA2 &amp; "/bottle/sn_e75c3aeef55b02891d36a9793896730/rendering/08.obj", "2.18159389496")</f>
        <v>2.18159389496</v>
      </c>
      <c r="L393" s="17" t="str">
        <f>HYPERLINK(AA2 &amp; "/bottle/sn_e75c3aeef55b02891d36a9793896730/rendering/09.obj", "2.16467523575")</f>
        <v>2.16467523575</v>
      </c>
      <c r="M393" s="35" t="str">
        <f>HYPERLINK(AA2 &amp; "/bottle/sn_e75c3aeef55b02891d36a9793896730/rendering/10.obj", "2.33918094635")</f>
        <v>2.33918094635</v>
      </c>
      <c r="N393" s="13" t="str">
        <f>HYPERLINK(AA2 &amp; "/bottle/sn_e75c3aeef55b02891d36a9793896730/rendering/11.obj", "2.21698474884")</f>
        <v>2.21698474884</v>
      </c>
      <c r="O393" s="26" t="str">
        <f>HYPERLINK(AA2 &amp; "/bottle/sn_e75c3aeef55b02891d36a9793896730/rendering/12.obj", "2.07017636299")</f>
        <v>2.07017636299</v>
      </c>
      <c r="P393" s="74" t="str">
        <f>HYPERLINK(AA2 &amp; "/bottle/sn_e75c3aeef55b02891d36a9793896730/rendering/13.obj", "2.24613523483")</f>
        <v>2.24613523483</v>
      </c>
      <c r="Q393" s="34" t="str">
        <f>HYPERLINK(AA2 &amp; "/bottle/sn_e75c3aeef55b02891d36a9793896730/rendering/14.obj", "2.10468149185")</f>
        <v>2.10468149185</v>
      </c>
      <c r="R393" s="41" t="str">
        <f>HYPERLINK(AA2 &amp; "/bottle/sn_e75c3aeef55b02891d36a9793896730/rendering/15.obj", "2.3643488884")</f>
        <v>2.3643488884</v>
      </c>
      <c r="S393" s="73" t="str">
        <f>HYPERLINK(AA2 &amp; "/bottle/sn_e75c3aeef55b02891d36a9793896730/rendering/16.obj", "2.13399600983")</f>
        <v>2.13399600983</v>
      </c>
      <c r="T393" s="69" t="str">
        <f>HYPERLINK(AA2 &amp; "/bottle/sn_e75c3aeef55b02891d36a9793896730/rendering/17.obj", "2.28184151649")</f>
        <v>2.28184151649</v>
      </c>
      <c r="U393" s="17" t="str">
        <f>HYPERLINK(AA2 &amp; "/bottle/sn_e75c3aeef55b02891d36a9793896730/rendering/18.obj", "2.25949859619")</f>
        <v>2.25949859619</v>
      </c>
      <c r="V393" s="46" t="str">
        <f>HYPERLINK(AA2 &amp; "/bottle/sn_e75c3aeef55b02891d36a9793896730/rendering/19.obj", "2.17358541489")</f>
        <v>2.17358541489</v>
      </c>
      <c r="W393" s="12" t="s">
        <v>30</v>
      </c>
      <c r="X393" s="13">
        <v>2.2131983160972601</v>
      </c>
      <c r="Y393" s="13">
        <v>9.0692533725367189E-2</v>
      </c>
      <c r="Z393" s="68">
        <v>4.0978042078621241E-2</v>
      </c>
    </row>
    <row r="394" spans="1:26" x14ac:dyDescent="0.2">
      <c r="A394" s="1">
        <v>392</v>
      </c>
      <c r="B394" s="2" t="s">
        <v>111</v>
      </c>
      <c r="C394" s="28" t="str">
        <f>HYPERLINK(AB2 &amp; "/bottle/sn_e75c3aeef55b02891d36a9793896730/rendering/00.obj", "2.77723632812")</f>
        <v>2.77723632812</v>
      </c>
      <c r="D394" s="91" t="str">
        <f>HYPERLINK(AB2 &amp; "/bottle/sn_e75c3aeef55b02891d36a9793896730/rendering/01.obj", "3.20363555908")</f>
        <v>3.20363555908</v>
      </c>
      <c r="E394" s="94" t="str">
        <f>HYPERLINK(AB2 &amp; "/bottle/sn_e75c3aeef55b02891d36a9793896730/rendering/02.obj", "2.88764007568")</f>
        <v>2.88764007568</v>
      </c>
      <c r="F394" s="41" t="str">
        <f>HYPERLINK(AB2 &amp; "/bottle/sn_e75c3aeef55b02891d36a9793896730/rendering/03.obj", "3.33059661865")</f>
        <v>3.33059661865</v>
      </c>
      <c r="G394" s="84" t="str">
        <f>HYPERLINK(AB2 &amp; "/bottle/sn_e75c3aeef55b02891d36a9793896730/rendering/04.obj", "2.66990722656")</f>
        <v>2.66990722656</v>
      </c>
      <c r="H394" s="23" t="str">
        <f>HYPERLINK(AB2 &amp; "/bottle/sn_e75c3aeef55b02891d36a9793896730/rendering/05.obj", "3.24477600098")</f>
        <v>3.24477600098</v>
      </c>
      <c r="I394" s="48" t="str">
        <f>HYPERLINK(AB2 &amp; "/bottle/sn_e75c3aeef55b02891d36a9793896730/rendering/06.obj", "3.05062652588")</f>
        <v>3.05062652588</v>
      </c>
      <c r="J394" s="73" t="str">
        <f>HYPERLINK(AB2 &amp; "/bottle/sn_e75c3aeef55b02891d36a9793896730/rendering/07.obj", "3.23567932129")</f>
        <v>3.23567932129</v>
      </c>
      <c r="K394" s="28" t="str">
        <f>HYPERLINK(AB2 &amp; "/bottle/sn_e75c3aeef55b02891d36a9793896730/rendering/08.obj", "2.77846557617")</f>
        <v>2.77846557617</v>
      </c>
      <c r="L394" s="23" t="str">
        <f>HYPERLINK(AB2 &amp; "/bottle/sn_e75c3aeef55b02891d36a9793896730/rendering/09.obj", "3.24546630859")</f>
        <v>3.24546630859</v>
      </c>
      <c r="M394" s="23" t="str">
        <f>HYPERLINK(AB2 &amp; "/bottle/sn_e75c3aeef55b02891d36a9793896730/rendering/10.obj", "3.2406463623")</f>
        <v>3.2406463623</v>
      </c>
      <c r="N394" s="25" t="str">
        <f>HYPERLINK(AB2 &amp; "/bottle/sn_e75c3aeef55b02891d36a9793896730/rendering/11.obj", "3.1578225708")</f>
        <v>3.1578225708</v>
      </c>
      <c r="O394" s="72" t="str">
        <f>HYPERLINK(AB2 &amp; "/bottle/sn_e75c3aeef55b02891d36a9793896730/rendering/12.obj", "3.22314208984")</f>
        <v>3.22314208984</v>
      </c>
      <c r="P394" s="48" t="str">
        <f>HYPERLINK(AB2 &amp; "/bottle/sn_e75c3aeef55b02891d36a9793896730/rendering/13.obj", "3.19994903564")</f>
        <v>3.19994903564</v>
      </c>
      <c r="Q394" s="35" t="str">
        <f>HYPERLINK(AB2 &amp; "/bottle/sn_e75c3aeef55b02891d36a9793896730/rendering/14.obj", "2.94208435059")</f>
        <v>2.94208435059</v>
      </c>
      <c r="R394" s="60" t="str">
        <f>HYPERLINK(AB2 &amp; "/bottle/sn_e75c3aeef55b02891d36a9793896730/rendering/15.obj", "3.28856719971")</f>
        <v>3.28856719971</v>
      </c>
      <c r="S394" s="91" t="str">
        <f>HYPERLINK(AB2 &amp; "/bottle/sn_e75c3aeef55b02891d36a9793896730/rendering/16.obj", "3.21035766602")</f>
        <v>3.21035766602</v>
      </c>
      <c r="T394" s="34" t="str">
        <f>HYPERLINK(AB2 &amp; "/bottle/sn_e75c3aeef55b02891d36a9793896730/rendering/17.obj", "3.27413330078")</f>
        <v>3.27413330078</v>
      </c>
      <c r="U394" s="23" t="str">
        <f>HYPERLINK(AB2 &amp; "/bottle/sn_e75c3aeef55b02891d36a9793896730/rendering/18.obj", "3.24173828125")</f>
        <v>3.24173828125</v>
      </c>
      <c r="V394" s="23" t="str">
        <f>HYPERLINK(AB2 &amp; "/bottle/sn_e75c3aeef55b02891d36a9793896730/rendering/19.obj", "3.24623046875")</f>
        <v>3.24623046875</v>
      </c>
      <c r="W394" s="12" t="s">
        <v>31</v>
      </c>
      <c r="X394" s="13">
        <v>3.1224350433349608</v>
      </c>
      <c r="Y394" s="13">
        <v>0.193287461046213</v>
      </c>
      <c r="Z394" s="78">
        <v>6.1902796491730867E-2</v>
      </c>
    </row>
    <row r="395" spans="1:26" x14ac:dyDescent="0.2">
      <c r="A395" s="1">
        <v>393</v>
      </c>
      <c r="B395" s="2" t="s">
        <v>111</v>
      </c>
      <c r="C395" s="41" t="str">
        <f>HYPERLINK(AB2 &amp; "/bottle/sn_e75c3aeef55b02891d36a9793896730/rendering/00.obj", "2.21878695488")</f>
        <v>2.21878695488</v>
      </c>
      <c r="D395" s="13" t="str">
        <f>HYPERLINK(AB2 &amp; "/bottle/sn_e75c3aeef55b02891d36a9793896730/rendering/01.obj", "2.38766217232")</f>
        <v>2.38766217232</v>
      </c>
      <c r="E395" s="13" t="str">
        <f>HYPERLINK(AB2 &amp; "/bottle/sn_e75c3aeef55b02891d36a9793896730/rendering/02.obj", "2.37765097618")</f>
        <v>2.37765097618</v>
      </c>
      <c r="F395" s="133" t="str">
        <f>HYPERLINK(AB2 &amp; "/bottle/sn_e75c3aeef55b02891d36a9793896730/rendering/03.obj", "2.62614631653")</f>
        <v>2.62614631653</v>
      </c>
      <c r="G395" s="39" t="str">
        <f>HYPERLINK(AB2 &amp; "/bottle/sn_e75c3aeef55b02891d36a9793896730/rendering/04.obj", "2.17461228371")</f>
        <v>2.17461228371</v>
      </c>
      <c r="H395" s="48" t="str">
        <f>HYPERLINK(AB2 &amp; "/bottle/sn_e75c3aeef55b02891d36a9793896730/rendering/05.obj", "2.43895578384")</f>
        <v>2.43895578384</v>
      </c>
      <c r="I395" s="34" t="str">
        <f>HYPERLINK(AB2 &amp; "/bottle/sn_e75c3aeef55b02891d36a9793896730/rendering/06.obj", "2.26328754425")</f>
        <v>2.26328754425</v>
      </c>
      <c r="J395" s="47" t="str">
        <f>HYPERLINK(AB2 &amp; "/bottle/sn_e75c3aeef55b02891d36a9793896730/rendering/07.obj", "2.36087346077")</f>
        <v>2.36087346077</v>
      </c>
      <c r="K395" s="68" t="str">
        <f>HYPERLINK(AB2 &amp; "/bottle/sn_e75c3aeef55b02891d36a9793896730/rendering/08.obj", "2.28402805328")</f>
        <v>2.28402805328</v>
      </c>
      <c r="L395" s="48" t="str">
        <f>HYPERLINK(AB2 &amp; "/bottle/sn_e75c3aeef55b02891d36a9793896730/rendering/09.obj", "2.32305622101")</f>
        <v>2.32305622101</v>
      </c>
      <c r="M395" s="30" t="str">
        <f>HYPERLINK(AB2 &amp; "/bottle/sn_e75c3aeef55b02891d36a9793896730/rendering/10.obj", "2.39004158974")</f>
        <v>2.39004158974</v>
      </c>
      <c r="N395" s="23" t="str">
        <f>HYPERLINK(AB2 &amp; "/bottle/sn_e75c3aeef55b02891d36a9793896730/rendering/11.obj", "2.28729152679")</f>
        <v>2.28729152679</v>
      </c>
      <c r="O395" s="47" t="str">
        <f>HYPERLINK(AB2 &amp; "/bottle/sn_e75c3aeef55b02891d36a9793896730/rendering/12.obj", "2.39800429344")</f>
        <v>2.39800429344</v>
      </c>
      <c r="P395" s="74" t="str">
        <f>HYPERLINK(AB2 &amp; "/bottle/sn_e75c3aeef55b02891d36a9793896730/rendering/13.obj", "2.41499400139")</f>
        <v>2.41499400139</v>
      </c>
      <c r="Q395" s="17" t="str">
        <f>HYPERLINK(AB2 &amp; "/bottle/sn_e75c3aeef55b02891d36a9793896730/rendering/14.obj", "2.33051395416")</f>
        <v>2.33051395416</v>
      </c>
      <c r="R395" s="17" t="str">
        <f>HYPERLINK(AB2 &amp; "/bottle/sn_e75c3aeef55b02891d36a9793896730/rendering/15.obj", "2.43038463593")</f>
        <v>2.43038463593</v>
      </c>
      <c r="S395" s="69" t="str">
        <f>HYPERLINK(AB2 &amp; "/bottle/sn_e75c3aeef55b02891d36a9793896730/rendering/16.obj", "2.45176267624")</f>
        <v>2.45176267624</v>
      </c>
      <c r="T395" s="35" t="str">
        <f>HYPERLINK(AB2 &amp; "/bottle/sn_e75c3aeef55b02891d36a9793896730/rendering/17.obj", "2.52104783058")</f>
        <v>2.52104783058</v>
      </c>
      <c r="U395" s="69" t="str">
        <f>HYPERLINK(AB2 &amp; "/bottle/sn_e75c3aeef55b02891d36a9793896730/rendering/18.obj", "2.45085716248")</f>
        <v>2.45085716248</v>
      </c>
      <c r="V395" s="60" t="str">
        <f>HYPERLINK(AB2 &amp; "/bottle/sn_e75c3aeef55b02891d36a9793896730/rendering/19.obj", "2.50415086746")</f>
        <v>2.50415086746</v>
      </c>
      <c r="W395" s="12" t="s">
        <v>32</v>
      </c>
      <c r="X395" s="13">
        <v>2.381705415248871</v>
      </c>
      <c r="Y395" s="13">
        <v>0.1047365501936251</v>
      </c>
      <c r="Z395" s="6">
        <v>4.3975442774345341E-2</v>
      </c>
    </row>
    <row r="396" spans="1:26" x14ac:dyDescent="0.2">
      <c r="A396" s="1">
        <v>394</v>
      </c>
      <c r="B396" s="2" t="s">
        <v>111</v>
      </c>
      <c r="C396" s="13" t="str">
        <f>HYPERLINK(AC2 &amp; "/bottle/sn_e75c3aeef55b02891d36a9793896730/rendering/00.xyz", "0.0")</f>
        <v>0.0</v>
      </c>
      <c r="D396" s="13" t="str">
        <f>HYPERLINK(AC2 &amp; "/bottle/sn_e75c3aeef55b02891d36a9793896730/rendering/01.xyz", "0.0")</f>
        <v>0.0</v>
      </c>
      <c r="E396" s="13" t="str">
        <f>HYPERLINK(AC2 &amp; "/bottle/sn_e75c3aeef55b02891d36a9793896730/rendering/02.xyz", "0.0")</f>
        <v>0.0</v>
      </c>
      <c r="F396" s="13" t="str">
        <f>HYPERLINK(AC2 &amp; "/bottle/sn_e75c3aeef55b02891d36a9793896730/rendering/03.xyz", "0.0")</f>
        <v>0.0</v>
      </c>
      <c r="G396" s="13" t="str">
        <f>HYPERLINK(AC2 &amp; "/bottle/sn_e75c3aeef55b02891d36a9793896730/rendering/04.xyz", "0.0")</f>
        <v>0.0</v>
      </c>
      <c r="H396" s="13" t="str">
        <f>HYPERLINK(AC2 &amp; "/bottle/sn_e75c3aeef55b02891d36a9793896730/rendering/05.xyz", "0.0")</f>
        <v>0.0</v>
      </c>
      <c r="I396" s="13" t="str">
        <f>HYPERLINK(AC2 &amp; "/bottle/sn_e75c3aeef55b02891d36a9793896730/rendering/06.xyz", "0.0")</f>
        <v>0.0</v>
      </c>
      <c r="J396" s="13" t="str">
        <f>HYPERLINK(AC2 &amp; "/bottle/sn_e75c3aeef55b02891d36a9793896730/rendering/07.xyz", "0.0")</f>
        <v>0.0</v>
      </c>
      <c r="K396" s="13" t="str">
        <f>HYPERLINK(AC2 &amp; "/bottle/sn_e75c3aeef55b02891d36a9793896730/rendering/08.xyz", "0.0")</f>
        <v>0.0</v>
      </c>
      <c r="L396" s="13" t="str">
        <f>HYPERLINK(AC2 &amp; "/bottle/sn_e75c3aeef55b02891d36a9793896730/rendering/09.xyz", "0.0")</f>
        <v>0.0</v>
      </c>
      <c r="M396" s="13" t="str">
        <f>HYPERLINK(AC2 &amp; "/bottle/sn_e75c3aeef55b02891d36a9793896730/rendering/10.xyz", "0.0")</f>
        <v>0.0</v>
      </c>
      <c r="N396" s="13" t="str">
        <f>HYPERLINK(AC2 &amp; "/bottle/sn_e75c3aeef55b02891d36a9793896730/rendering/11.xyz", "0.0")</f>
        <v>0.0</v>
      </c>
      <c r="O396" s="13" t="str">
        <f>HYPERLINK(AC2 &amp; "/bottle/sn_e75c3aeef55b02891d36a9793896730/rendering/12.xyz", "0.0")</f>
        <v>0.0</v>
      </c>
      <c r="P396" s="13" t="str">
        <f>HYPERLINK(AC2 &amp; "/bottle/sn_e75c3aeef55b02891d36a9793896730/rendering/13.xyz", "0.0")</f>
        <v>0.0</v>
      </c>
      <c r="Q396" s="13" t="str">
        <f>HYPERLINK(AC2 &amp; "/bottle/sn_e75c3aeef55b02891d36a9793896730/rendering/14.xyz", "0.0")</f>
        <v>0.0</v>
      </c>
      <c r="R396" s="13" t="str">
        <f>HYPERLINK(AC2 &amp; "/bottle/sn_e75c3aeef55b02891d36a9793896730/rendering/15.xyz", "0.0")</f>
        <v>0.0</v>
      </c>
      <c r="S396" s="13" t="str">
        <f>HYPERLINK(AC2 &amp; "/bottle/sn_e75c3aeef55b02891d36a9793896730/rendering/16.xyz", "0.0")</f>
        <v>0.0</v>
      </c>
      <c r="T396" s="13" t="str">
        <f>HYPERLINK(AC2 &amp; "/bottle/sn_e75c3aeef55b02891d36a9793896730/rendering/17.xyz", "0.0")</f>
        <v>0.0</v>
      </c>
      <c r="U396" s="13" t="str">
        <f>HYPERLINK(AC2 &amp; "/bottle/sn_e75c3aeef55b02891d36a9793896730/rendering/18.xyz", "0.0")</f>
        <v>0.0</v>
      </c>
      <c r="V396" s="13" t="str">
        <f>HYPERLINK(AC2 &amp; "/bottle/sn_e75c3aeef55b02891d36a9793896730/rendering/19.xyz", "0.0")</f>
        <v>0.0</v>
      </c>
      <c r="W396" s="12" t="s">
        <v>33</v>
      </c>
      <c r="X396" s="13">
        <v>0</v>
      </c>
      <c r="Y396" s="13">
        <v>0</v>
      </c>
      <c r="Z396" s="13">
        <v>0</v>
      </c>
    </row>
    <row r="397" spans="1:26" x14ac:dyDescent="0.2">
      <c r="A397" s="1">
        <v>395</v>
      </c>
      <c r="B397" s="2" t="s">
        <v>112</v>
      </c>
      <c r="C397" s="95" t="str">
        <f>HYPERLINK(AA2 &amp; "/bottle/sn_e824b049f16b29f19ab27ff78a8ea481/rendering/00.obj", "2.66359313965")</f>
        <v>2.66359313965</v>
      </c>
      <c r="D397" s="98" t="str">
        <f>HYPERLINK(AA2 &amp; "/bottle/sn_e824b049f16b29f19ab27ff78a8ea481/rendering/01.obj", "4.54544708252")</f>
        <v>4.54544708252</v>
      </c>
      <c r="E397" s="61" t="str">
        <f>HYPERLINK(AA2 &amp; "/bottle/sn_e824b049f16b29f19ab27ff78a8ea481/rendering/02.obj", "2.57927734375")</f>
        <v>2.57927734375</v>
      </c>
      <c r="F397" s="55" t="str">
        <f>HYPERLINK(AA2 &amp; "/bottle/sn_e824b049f16b29f19ab27ff78a8ea481/rendering/03.obj", "2.98333557129")</f>
        <v>2.98333557129</v>
      </c>
      <c r="G397" s="143" t="str">
        <f>HYPERLINK(AA2 &amp; "/bottle/sn_e824b049f16b29f19ab27ff78a8ea481/rendering/04.obj", "1.95231170654")</f>
        <v>1.95231170654</v>
      </c>
      <c r="H397" s="42" t="str">
        <f>HYPERLINK(AA2 &amp; "/bottle/sn_e824b049f16b29f19ab27ff78a8ea481/rendering/05.obj", "3.18904022217")</f>
        <v>3.18904022217</v>
      </c>
      <c r="I397" s="4" t="str">
        <f>HYPERLINK(AA2 &amp; "/bottle/sn_e824b049f16b29f19ab27ff78a8ea481/rendering/06.obj", "2.65126190186")</f>
        <v>2.65126190186</v>
      </c>
      <c r="J397" s="159" t="str">
        <f>HYPERLINK(AA2 &amp; "/bottle/sn_e824b049f16b29f19ab27ff78a8ea481/rendering/07.obj", "5.43705566406")</f>
        <v>5.43705566406</v>
      </c>
      <c r="K397" s="135" t="str">
        <f>HYPERLINK(AA2 &amp; "/bottle/sn_e824b049f16b29f19ab27ff78a8ea481/rendering/08.obj", "2.75218994141")</f>
        <v>2.75218994141</v>
      </c>
      <c r="L397" s="20" t="str">
        <f>HYPERLINK(AA2 &amp; "/bottle/sn_e824b049f16b29f19ab27ff78a8ea481/rendering/09.obj", "9.14437072754")</f>
        <v>9.14437072754</v>
      </c>
      <c r="M397" s="159" t="str">
        <f>HYPERLINK(AA2 &amp; "/bottle/sn_e824b049f16b29f19ab27ff78a8ea481/rendering/10.obj", "1.96330886841")</f>
        <v>1.96330886841</v>
      </c>
      <c r="N397" s="16" t="str">
        <f>HYPERLINK(AA2 &amp; "/bottle/sn_e824b049f16b29f19ab27ff78a8ea481/rendering/11.obj", "5.71305419922")</f>
        <v>5.71305419922</v>
      </c>
      <c r="O397" s="43" t="str">
        <f>HYPERLINK(AA2 &amp; "/bottle/sn_e824b049f16b29f19ab27ff78a8ea481/rendering/12.obj", "2.30975982666")</f>
        <v>2.30975982666</v>
      </c>
      <c r="P397" s="20" t="str">
        <f>HYPERLINK(AA2 &amp; "/bottle/sn_e824b049f16b29f19ab27ff78a8ea481/rendering/13.obj", "11.6334228516")</f>
        <v>11.6334228516</v>
      </c>
      <c r="Q397" s="59" t="str">
        <f>HYPERLINK(AA2 &amp; "/bottle/sn_e824b049f16b29f19ab27ff78a8ea481/rendering/14.obj", "2.81529846191")</f>
        <v>2.81529846191</v>
      </c>
      <c r="R397" s="147" t="str">
        <f>HYPERLINK(AA2 &amp; "/bottle/sn_e824b049f16b29f19ab27ff78a8ea481/rendering/15.obj", "1.89177856445")</f>
        <v>1.89177856445</v>
      </c>
      <c r="S397" s="170" t="str">
        <f>HYPERLINK(AA2 &amp; "/bottle/sn_e824b049f16b29f19ab27ff78a8ea481/rendering/16.obj", "2.76740234375")</f>
        <v>2.76740234375</v>
      </c>
      <c r="T397" s="97" t="str">
        <f>HYPERLINK(AA2 &amp; "/bottle/sn_e824b049f16b29f19ab27ff78a8ea481/rendering/17.obj", "2.09281158447")</f>
        <v>2.09281158447</v>
      </c>
      <c r="U397" s="54" t="str">
        <f>HYPERLINK(AA2 &amp; "/bottle/sn_e824b049f16b29f19ab27ff78a8ea481/rendering/18.obj", "2.48381134033")</f>
        <v>2.48381134033</v>
      </c>
      <c r="V397" s="153" t="str">
        <f>HYPERLINK(AA2 &amp; "/bottle/sn_e824b049f16b29f19ab27ff78a8ea481/rendering/19.obj", "2.38677947998")</f>
        <v>2.38677947998</v>
      </c>
      <c r="W397" s="12" t="s">
        <v>29</v>
      </c>
      <c r="X397" s="13">
        <v>3.6977655410766608</v>
      </c>
      <c r="Y397" s="13">
        <v>2.4917858933812811</v>
      </c>
      <c r="Z397" s="237">
        <v>0.67386259775025104</v>
      </c>
    </row>
    <row r="398" spans="1:26" x14ac:dyDescent="0.2">
      <c r="A398" s="1">
        <v>396</v>
      </c>
      <c r="B398" s="2" t="s">
        <v>112</v>
      </c>
      <c r="C398" s="19" t="str">
        <f>HYPERLINK(AA2 &amp; "/bottle/sn_e824b049f16b29f19ab27ff78a8ea481/rendering/00.obj", "2.35098218918")</f>
        <v>2.35098218918</v>
      </c>
      <c r="D398" s="145" t="str">
        <f>HYPERLINK(AA2 &amp; "/bottle/sn_e824b049f16b29f19ab27ff78a8ea481/rendering/01.obj", "4.73823547363")</f>
        <v>4.73823547363</v>
      </c>
      <c r="E398" s="144" t="str">
        <f>HYPERLINK(AA2 &amp; "/bottle/sn_e824b049f16b29f19ab27ff78a8ea481/rendering/02.obj", "1.57766807079")</f>
        <v>1.57766807079</v>
      </c>
      <c r="F398" s="187" t="str">
        <f>HYPERLINK(AA2 &amp; "/bottle/sn_e824b049f16b29f19ab27ff78a8ea481/rendering/03.obj", "2.06862354279")</f>
        <v>2.06862354279</v>
      </c>
      <c r="G398" s="228" t="str">
        <f>HYPERLINK(AA2 &amp; "/bottle/sn_e824b049f16b29f19ab27ff78a8ea481/rendering/04.obj", "1.48579692841")</f>
        <v>1.48579692841</v>
      </c>
      <c r="H398" s="116" t="str">
        <f>HYPERLINK(AA2 &amp; "/bottle/sn_e824b049f16b29f19ab27ff78a8ea481/rendering/05.obj", "1.78553497791")</f>
        <v>1.78553497791</v>
      </c>
      <c r="I398" s="159" t="str">
        <f>HYPERLINK(AA2 &amp; "/bottle/sn_e824b049f16b29f19ab27ff78a8ea481/rendering/06.obj", "1.69265365601")</f>
        <v>1.69265365601</v>
      </c>
      <c r="J398" s="20" t="str">
        <f>HYPERLINK(AA2 &amp; "/bottle/sn_e824b049f16b29f19ab27ff78a8ea481/rendering/07.obj", "5.74597787857")</f>
        <v>5.74597787857</v>
      </c>
      <c r="K398" s="218" t="str">
        <f>HYPERLINK(AA2 &amp; "/bottle/sn_e824b049f16b29f19ab27ff78a8ea481/rendering/08.obj", "1.54163956642")</f>
        <v>1.54163956642</v>
      </c>
      <c r="L398" s="20" t="str">
        <f>HYPERLINK(AA2 &amp; "/bottle/sn_e824b049f16b29f19ab27ff78a8ea481/rendering/09.obj", "9.60666942596")</f>
        <v>9.60666942596</v>
      </c>
      <c r="M398" s="195" t="str">
        <f>HYPERLINK(AA2 &amp; "/bottle/sn_e824b049f16b29f19ab27ff78a8ea481/rendering/10.obj", "1.43783891201")</f>
        <v>1.43783891201</v>
      </c>
      <c r="N398" s="62" t="str">
        <f>HYPERLINK(AA2 &amp; "/bottle/sn_e824b049f16b29f19ab27ff78a8ea481/rendering/11.obj", "5.08530569077")</f>
        <v>5.08530569077</v>
      </c>
      <c r="O398" s="195" t="str">
        <f>HYPERLINK(AA2 &amp; "/bottle/sn_e824b049f16b29f19ab27ff78a8ea481/rendering/12.obj", "1.43863749504")</f>
        <v>1.43863749504</v>
      </c>
      <c r="P398" s="20" t="str">
        <f>HYPERLINK(AA2 &amp; "/bottle/sn_e824b049f16b29f19ab27ff78a8ea481/rendering/13.obj", "13.1231622696")</f>
        <v>13.1231622696</v>
      </c>
      <c r="Q398" s="102" t="str">
        <f>HYPERLINK(AA2 &amp; "/bottle/sn_e824b049f16b29f19ab27ff78a8ea481/rendering/14.obj", "1.59969830513")</f>
        <v>1.59969830513</v>
      </c>
      <c r="R398" s="218" t="str">
        <f>HYPERLINK(AA2 &amp; "/bottle/sn_e824b049f16b29f19ab27ff78a8ea481/rendering/15.obj", "1.53585481644")</f>
        <v>1.53585481644</v>
      </c>
      <c r="S398" s="139" t="str">
        <f>HYPERLINK(AA2 &amp; "/bottle/sn_e824b049f16b29f19ab27ff78a8ea481/rendering/16.obj", "1.65175390244")</f>
        <v>1.65175390244</v>
      </c>
      <c r="T398" s="227" t="str">
        <f>HYPERLINK(AA2 &amp; "/bottle/sn_e824b049f16b29f19ab27ff78a8ea481/rendering/17.obj", "1.55903148651")</f>
        <v>1.55903148651</v>
      </c>
      <c r="U398" s="54" t="str">
        <f>HYPERLINK(AA2 &amp; "/bottle/sn_e824b049f16b29f19ab27ff78a8ea481/rendering/18.obj", "2.13593316078")</f>
        <v>2.13593316078</v>
      </c>
      <c r="V398" s="235" t="str">
        <f>HYPERLINK(AA2 &amp; "/bottle/sn_e824b049f16b29f19ab27ff78a8ea481/rendering/19.obj", "1.46292519569")</f>
        <v>1.46292519569</v>
      </c>
      <c r="W398" s="12" t="s">
        <v>30</v>
      </c>
      <c r="X398" s="13">
        <v>3.1811961472034449</v>
      </c>
      <c r="Y398" s="13">
        <v>3.060079784871427</v>
      </c>
      <c r="Z398" s="20">
        <v>0.9619274144920329</v>
      </c>
    </row>
    <row r="399" spans="1:26" x14ac:dyDescent="0.2">
      <c r="A399" s="1">
        <v>397</v>
      </c>
      <c r="B399" s="2" t="s">
        <v>112</v>
      </c>
      <c r="C399" s="25" t="str">
        <f>HYPERLINK(AB2 &amp; "/bottle/sn_e824b049f16b29f19ab27ff78a8ea481/rendering/00.obj", "2.3159942627")</f>
        <v>2.3159942627</v>
      </c>
      <c r="D399" s="28" t="str">
        <f>HYPERLINK(AB2 &amp; "/bottle/sn_e824b049f16b29f19ab27ff78a8ea481/rendering/01.obj", "2.60727416992")</f>
        <v>2.60727416992</v>
      </c>
      <c r="E399" s="68" t="str">
        <f>HYPERLINK(AB2 &amp; "/bottle/sn_e824b049f16b29f19ab27ff78a8ea481/rendering/02.obj", "2.43944381714")</f>
        <v>2.43944381714</v>
      </c>
      <c r="F399" s="34" t="str">
        <f>HYPERLINK(AB2 &amp; "/bottle/sn_e824b049f16b29f19ab27ff78a8ea481/rendering/03.obj", "2.46000442505")</f>
        <v>2.46000442505</v>
      </c>
      <c r="G399" s="34" t="str">
        <f>HYPERLINK(AB2 &amp; "/bottle/sn_e824b049f16b29f19ab27ff78a8ea481/rendering/04.obj", "2.46018096924")</f>
        <v>2.46018096924</v>
      </c>
      <c r="H399" s="29" t="str">
        <f>HYPERLINK(AB2 &amp; "/bottle/sn_e824b049f16b29f19ab27ff78a8ea481/rendering/05.obj", "2.0355255127")</f>
        <v>2.0355255127</v>
      </c>
      <c r="I399" s="133" t="str">
        <f>HYPERLINK(AB2 &amp; "/bottle/sn_e824b049f16b29f19ab27ff78a8ea481/rendering/06.obj", "2.57879516602")</f>
        <v>2.57879516602</v>
      </c>
      <c r="J399" s="73" t="str">
        <f>HYPERLINK(AB2 &amp; "/bottle/sn_e824b049f16b29f19ab27ff78a8ea481/rendering/07.obj", "2.26076293945")</f>
        <v>2.26076293945</v>
      </c>
      <c r="K399" s="69" t="str">
        <f>HYPERLINK(AB2 &amp; "/bottle/sn_e824b049f16b29f19ab27ff78a8ea481/rendering/08.obj", "2.41582672119")</f>
        <v>2.41582672119</v>
      </c>
      <c r="L399" s="74" t="str">
        <f>HYPERLINK(AB2 &amp; "/bottle/sn_e824b049f16b29f19ab27ff78a8ea481/rendering/09.obj", "2.37728210449")</f>
        <v>2.37728210449</v>
      </c>
      <c r="M399" s="93" t="str">
        <f>HYPERLINK(AB2 &amp; "/bottle/sn_e824b049f16b29f19ab27ff78a8ea481/rendering/10.obj", "2.01596664429")</f>
        <v>2.01596664429</v>
      </c>
      <c r="N399" s="25" t="str">
        <f>HYPERLINK(AB2 &amp; "/bottle/sn_e824b049f16b29f19ab27ff78a8ea481/rendering/11.obj", "2.31866119385")</f>
        <v>2.31866119385</v>
      </c>
      <c r="O399" s="39" t="str">
        <f>HYPERLINK(AB2 &amp; "/bottle/sn_e824b049f16b29f19ab27ff78a8ea481/rendering/12.obj", "2.14235778809")</f>
        <v>2.14235778809</v>
      </c>
      <c r="P399" s="64" t="str">
        <f>HYPERLINK(AB2 &amp; "/bottle/sn_e824b049f16b29f19ab27ff78a8ea481/rendering/13.obj", "2.72945007324")</f>
        <v>2.72945007324</v>
      </c>
      <c r="Q399" s="27" t="str">
        <f>HYPERLINK(AB2 &amp; "/bottle/sn_e824b049f16b29f19ab27ff78a8ea481/rendering/14.obj", "2.5060647583")</f>
        <v>2.5060647583</v>
      </c>
      <c r="R399" s="46" t="str">
        <f>HYPERLINK(AB2 &amp; "/bottle/sn_e824b049f16b29f19ab27ff78a8ea481/rendering/15.obj", "2.30171554565")</f>
        <v>2.30171554565</v>
      </c>
      <c r="S399" s="23" t="str">
        <f>HYPERLINK(AB2 &amp; "/bottle/sn_e824b049f16b29f19ab27ff78a8ea481/rendering/16.obj", "2.43158279419")</f>
        <v>2.43158279419</v>
      </c>
      <c r="T399" s="73" t="str">
        <f>HYPERLINK(AB2 &amp; "/bottle/sn_e824b049f16b29f19ab27ff78a8ea481/rendering/17.obj", "2.42632751465")</f>
        <v>2.42632751465</v>
      </c>
      <c r="U399" s="133" t="str">
        <f>HYPERLINK(AB2 &amp; "/bottle/sn_e824b049f16b29f19ab27ff78a8ea481/rendering/18.obj", "2.10655441284")</f>
        <v>2.10655441284</v>
      </c>
      <c r="V399" s="37" t="str">
        <f>HYPERLINK(AB2 &amp; "/bottle/sn_e824b049f16b29f19ab27ff78a8ea481/rendering/19.obj", "1.93366271973")</f>
        <v>1.93366271973</v>
      </c>
      <c r="W399" s="12" t="s">
        <v>31</v>
      </c>
      <c r="X399" s="13">
        <v>2.343171676635742</v>
      </c>
      <c r="Y399" s="13">
        <v>0.2042506808944107</v>
      </c>
      <c r="Z399" s="39">
        <v>8.7168466114129498E-2</v>
      </c>
    </row>
    <row r="400" spans="1:26" x14ac:dyDescent="0.2">
      <c r="A400" s="1">
        <v>398</v>
      </c>
      <c r="B400" s="2" t="s">
        <v>112</v>
      </c>
      <c r="C400" s="107" t="str">
        <f>HYPERLINK(AB2 &amp; "/bottle/sn_e824b049f16b29f19ab27ff78a8ea481/rendering/00.obj", "1.49455928802")</f>
        <v>1.49455928802</v>
      </c>
      <c r="D400" s="185" t="str">
        <f>HYPERLINK(AB2 &amp; "/bottle/sn_e824b049f16b29f19ab27ff78a8ea481/rendering/01.obj", "2.18350601196")</f>
        <v>2.18350601196</v>
      </c>
      <c r="E400" s="83" t="str">
        <f>HYPERLINK(AB2 &amp; "/bottle/sn_e824b049f16b29f19ab27ff78a8ea481/rendering/02.obj", "1.87693357468")</f>
        <v>1.87693357468</v>
      </c>
      <c r="F400" s="41" t="str">
        <f>HYPERLINK(AB2 &amp; "/bottle/sn_e824b049f16b29f19ab27ff78a8ea481/rendering/03.obj", "1.74072015285")</f>
        <v>1.74072015285</v>
      </c>
      <c r="G400" s="68" t="str">
        <f>HYPERLINK(AB2 &amp; "/bottle/sn_e824b049f16b29f19ab27ff78a8ea481/rendering/04.obj", "1.5580483675")</f>
        <v>1.5580483675</v>
      </c>
      <c r="H400" s="26" t="str">
        <f>HYPERLINK(AB2 &amp; "/bottle/sn_e824b049f16b29f19ab27ff78a8ea481/rendering/05.obj", "1.52682900429")</f>
        <v>1.52682900429</v>
      </c>
      <c r="I400" s="67" t="str">
        <f>HYPERLINK(AB2 &amp; "/bottle/sn_e824b049f16b29f19ab27ff78a8ea481/rendering/06.obj", "1.78105854988")</f>
        <v>1.78105854988</v>
      </c>
      <c r="J400" s="35" t="str">
        <f>HYPERLINK(AB2 &amp; "/bottle/sn_e824b049f16b29f19ab27ff78a8ea481/rendering/07.obj", "1.53708720207")</f>
        <v>1.53708720207</v>
      </c>
      <c r="K400" s="78" t="str">
        <f>HYPERLINK(AB2 &amp; "/bottle/sn_e824b049f16b29f19ab27ff78a8ea481/rendering/08.obj", "1.72909212112")</f>
        <v>1.72909212112</v>
      </c>
      <c r="L400" s="73" t="str">
        <f>HYPERLINK(AB2 &amp; "/bottle/sn_e824b049f16b29f19ab27ff78a8ea481/rendering/09.obj", "1.57006049156")</f>
        <v>1.57006049156</v>
      </c>
      <c r="M400" s="134" t="str">
        <f>HYPERLINK(AB2 &amp; "/bottle/sn_e824b049f16b29f19ab27ff78a8ea481/rendering/10.obj", "1.33315336704")</f>
        <v>1.33315336704</v>
      </c>
      <c r="N400" s="46" t="str">
        <f>HYPERLINK(AB2 &amp; "/bottle/sn_e824b049f16b29f19ab27ff78a8ea481/rendering/11.obj", "1.59914278984")</f>
        <v>1.59914278984</v>
      </c>
      <c r="O400" s="48" t="str">
        <f>HYPERLINK(AB2 &amp; "/bottle/sn_e824b049f16b29f19ab27ff78a8ea481/rendering/12.obj", "1.59118413925")</f>
        <v>1.59118413925</v>
      </c>
      <c r="P400" s="10" t="str">
        <f>HYPERLINK(AB2 &amp; "/bottle/sn_e824b049f16b29f19ab27ff78a8ea481/rendering/13.obj", "1.54024326801")</f>
        <v>1.54024326801</v>
      </c>
      <c r="Q400" s="32" t="str">
        <f>HYPERLINK(AB2 &amp; "/bottle/sn_e824b049f16b29f19ab27ff78a8ea481/rendering/14.obj", "1.80082678795")</f>
        <v>1.80082678795</v>
      </c>
      <c r="R400" s="25" t="str">
        <f>HYPERLINK(AB2 &amp; "/bottle/sn_e824b049f16b29f19ab27ff78a8ea481/rendering/15.obj", "1.61226522923")</f>
        <v>1.61226522923</v>
      </c>
      <c r="S400" s="48" t="str">
        <f>HYPERLINK(AB2 &amp; "/bottle/sn_e824b049f16b29f19ab27ff78a8ea481/rendering/16.obj", "1.66826021671")</f>
        <v>1.66826021671</v>
      </c>
      <c r="T400" s="46" t="str">
        <f>HYPERLINK(AB2 &amp; "/bottle/sn_e824b049f16b29f19ab27ff78a8ea481/rendering/17.obj", "1.59975802898")</f>
        <v>1.59975802898</v>
      </c>
      <c r="U400" s="24" t="str">
        <f>HYPERLINK(AB2 &amp; "/bottle/sn_e824b049f16b29f19ab27ff78a8ea481/rendering/18.obj", "1.35449075699")</f>
        <v>1.35449075699</v>
      </c>
      <c r="V400" s="107" t="str">
        <f>HYPERLINK(AB2 &amp; "/bottle/sn_e824b049f16b29f19ab27ff78a8ea481/rendering/19.obj", "1.49184405804")</f>
        <v>1.49184405804</v>
      </c>
      <c r="W400" s="12" t="s">
        <v>32</v>
      </c>
      <c r="X400" s="13">
        <v>1.6294531702995301</v>
      </c>
      <c r="Y400" s="13">
        <v>0.18494961300529919</v>
      </c>
      <c r="Z400" s="106">
        <v>0.1135040984156061</v>
      </c>
    </row>
    <row r="401" spans="1:26" x14ac:dyDescent="0.2">
      <c r="A401" s="1">
        <v>399</v>
      </c>
      <c r="B401" s="2" t="s">
        <v>112</v>
      </c>
      <c r="C401" s="13" t="str">
        <f>HYPERLINK(AC2 &amp; "/bottle/sn_e824b049f16b29f19ab27ff78a8ea481/rendering/00.xyz", "0.0")</f>
        <v>0.0</v>
      </c>
      <c r="D401" s="13" t="str">
        <f>HYPERLINK(AC2 &amp; "/bottle/sn_e824b049f16b29f19ab27ff78a8ea481/rendering/01.xyz", "0.0")</f>
        <v>0.0</v>
      </c>
      <c r="E401" s="13" t="str">
        <f>HYPERLINK(AC2 &amp; "/bottle/sn_e824b049f16b29f19ab27ff78a8ea481/rendering/02.xyz", "0.0")</f>
        <v>0.0</v>
      </c>
      <c r="F401" s="13" t="str">
        <f>HYPERLINK(AC2 &amp; "/bottle/sn_e824b049f16b29f19ab27ff78a8ea481/rendering/03.xyz", "0.0")</f>
        <v>0.0</v>
      </c>
      <c r="G401" s="13" t="str">
        <f>HYPERLINK(AC2 &amp; "/bottle/sn_e824b049f16b29f19ab27ff78a8ea481/rendering/04.xyz", "0.0")</f>
        <v>0.0</v>
      </c>
      <c r="H401" s="13" t="str">
        <f>HYPERLINK(AC2 &amp; "/bottle/sn_e824b049f16b29f19ab27ff78a8ea481/rendering/05.xyz", "0.0")</f>
        <v>0.0</v>
      </c>
      <c r="I401" s="13" t="str">
        <f>HYPERLINK(AC2 &amp; "/bottle/sn_e824b049f16b29f19ab27ff78a8ea481/rendering/06.xyz", "0.0")</f>
        <v>0.0</v>
      </c>
      <c r="J401" s="13" t="str">
        <f>HYPERLINK(AC2 &amp; "/bottle/sn_e824b049f16b29f19ab27ff78a8ea481/rendering/07.xyz", "0.0")</f>
        <v>0.0</v>
      </c>
      <c r="K401" s="13" t="str">
        <f>HYPERLINK(AC2 &amp; "/bottle/sn_e824b049f16b29f19ab27ff78a8ea481/rendering/08.xyz", "0.0")</f>
        <v>0.0</v>
      </c>
      <c r="L401" s="13" t="str">
        <f>HYPERLINK(AC2 &amp; "/bottle/sn_e824b049f16b29f19ab27ff78a8ea481/rendering/09.xyz", "0.0")</f>
        <v>0.0</v>
      </c>
      <c r="M401" s="13" t="str">
        <f>HYPERLINK(AC2 &amp; "/bottle/sn_e824b049f16b29f19ab27ff78a8ea481/rendering/10.xyz", "0.0")</f>
        <v>0.0</v>
      </c>
      <c r="N401" s="13" t="str">
        <f>HYPERLINK(AC2 &amp; "/bottle/sn_e824b049f16b29f19ab27ff78a8ea481/rendering/11.xyz", "0.0")</f>
        <v>0.0</v>
      </c>
      <c r="O401" s="13" t="str">
        <f>HYPERLINK(AC2 &amp; "/bottle/sn_e824b049f16b29f19ab27ff78a8ea481/rendering/12.xyz", "0.0")</f>
        <v>0.0</v>
      </c>
      <c r="P401" s="13" t="str">
        <f>HYPERLINK(AC2 &amp; "/bottle/sn_e824b049f16b29f19ab27ff78a8ea481/rendering/13.xyz", "0.0")</f>
        <v>0.0</v>
      </c>
      <c r="Q401" s="13" t="str">
        <f>HYPERLINK(AC2 &amp; "/bottle/sn_e824b049f16b29f19ab27ff78a8ea481/rendering/14.xyz", "0.0")</f>
        <v>0.0</v>
      </c>
      <c r="R401" s="13" t="str">
        <f>HYPERLINK(AC2 &amp; "/bottle/sn_e824b049f16b29f19ab27ff78a8ea481/rendering/15.xyz", "0.0")</f>
        <v>0.0</v>
      </c>
      <c r="S401" s="13" t="str">
        <f>HYPERLINK(AC2 &amp; "/bottle/sn_e824b049f16b29f19ab27ff78a8ea481/rendering/16.xyz", "0.0")</f>
        <v>0.0</v>
      </c>
      <c r="T401" s="13" t="str">
        <f>HYPERLINK(AC2 &amp; "/bottle/sn_e824b049f16b29f19ab27ff78a8ea481/rendering/17.xyz", "0.0")</f>
        <v>0.0</v>
      </c>
      <c r="U401" s="13" t="str">
        <f>HYPERLINK(AC2 &amp; "/bottle/sn_e824b049f16b29f19ab27ff78a8ea481/rendering/18.xyz", "0.0")</f>
        <v>0.0</v>
      </c>
      <c r="V401" s="13" t="str">
        <f>HYPERLINK(AC2 &amp; "/bottle/sn_e824b049f16b29f19ab27ff78a8ea481/rendering/19.xyz", "0.0")</f>
        <v>0.0</v>
      </c>
      <c r="W401" s="12" t="s">
        <v>33</v>
      </c>
      <c r="X401" s="13">
        <v>0</v>
      </c>
      <c r="Y401" s="13">
        <v>0</v>
      </c>
      <c r="Z401" s="13">
        <v>0</v>
      </c>
    </row>
    <row r="402" spans="1:26" x14ac:dyDescent="0.2">
      <c r="A402" s="1">
        <v>400</v>
      </c>
      <c r="B402" s="2" t="s">
        <v>113</v>
      </c>
      <c r="C402" s="64" t="str">
        <f>HYPERLINK(AA2 &amp; "/bottle/sn_e8b48d395d3d8744e53e6e0633163da8/rendering/00.obj", "2.34101303101")</f>
        <v>2.34101303101</v>
      </c>
      <c r="D402" s="73" t="str">
        <f>HYPERLINK(AA2 &amp; "/bottle/sn_e8b48d395d3d8744e53e6e0633163da8/rendering/01.obj", "2.90872528076")</f>
        <v>2.90872528076</v>
      </c>
      <c r="E402" s="86" t="str">
        <f>HYPERLINK(AA2 &amp; "/bottle/sn_e8b48d395d3d8744e53e6e0633163da8/rendering/02.obj", "3.5616619873")</f>
        <v>3.5616619873</v>
      </c>
      <c r="F402" s="134" t="str">
        <f>HYPERLINK(AA2 &amp; "/bottle/sn_e8b48d395d3d8744e53e6e0633163da8/rendering/03.obj", "2.29799316406")</f>
        <v>2.29799316406</v>
      </c>
      <c r="G402" s="55" t="str">
        <f>HYPERLINK(AA2 &amp; "/bottle/sn_e8b48d395d3d8744e53e6e0633163da8/rendering/04.obj", "3.3459777832")</f>
        <v>3.3459777832</v>
      </c>
      <c r="H402" s="32" t="str">
        <f>HYPERLINK(AA2 &amp; "/bottle/sn_e8b48d395d3d8744e53e6e0633163da8/rendering/05.obj", "2.51353759766")</f>
        <v>2.51353759766</v>
      </c>
      <c r="I402" s="69" t="str">
        <f>HYPERLINK(AA2 &amp; "/bottle/sn_e8b48d395d3d8744e53e6e0633163da8/rendering/06.obj", "2.88867034912")</f>
        <v>2.88867034912</v>
      </c>
      <c r="J402" s="10" t="str">
        <f>HYPERLINK(AA2 &amp; "/bottle/sn_e8b48d395d3d8744e53e6e0633163da8/rendering/07.obj", "2.95763122559")</f>
        <v>2.95763122559</v>
      </c>
      <c r="K402" s="129" t="str">
        <f>HYPERLINK(AA2 &amp; "/bottle/sn_e8b48d395d3d8744e53e6e0633163da8/rendering/08.obj", "2.10291854858")</f>
        <v>2.10291854858</v>
      </c>
      <c r="L402" s="84" t="str">
        <f>HYPERLINK(AA2 &amp; "/bottle/sn_e8b48d395d3d8744e53e6e0633163da8/rendering/09.obj", "3.2181362915")</f>
        <v>3.2181362915</v>
      </c>
      <c r="M402" s="80" t="str">
        <f>HYPERLINK(AA2 &amp; "/bottle/sn_e8b48d395d3d8744e53e6e0633163da8/rendering/10.obj", "2.3886819458")</f>
        <v>2.3886819458</v>
      </c>
      <c r="N402" s="220" t="str">
        <f>HYPERLINK(AA2 &amp; "/bottle/sn_e8b48d395d3d8744e53e6e0633163da8/rendering/11.obj", "4.71140106201")</f>
        <v>4.71140106201</v>
      </c>
      <c r="O402" s="55" t="str">
        <f>HYPERLINK(AA2 &amp; "/bottle/sn_e8b48d395d3d8744e53e6e0633163da8/rendering/12.obj", "2.26867614746")</f>
        <v>2.26867614746</v>
      </c>
      <c r="P402" s="121" t="str">
        <f>HYPERLINK(AA2 &amp; "/bottle/sn_e8b48d395d3d8744e53e6e0633163da8/rendering/13.obj", "3.79410583496")</f>
        <v>3.79410583496</v>
      </c>
      <c r="Q402" s="4" t="str">
        <f>HYPERLINK(AA2 &amp; "/bottle/sn_e8b48d395d3d8744e53e6e0633163da8/rendering/14.obj", "2.01290847778")</f>
        <v>2.01290847778</v>
      </c>
      <c r="R402" s="64" t="str">
        <f>HYPERLINK(AA2 &amp; "/bottle/sn_e8b48d395d3d8744e53e6e0633163da8/rendering/15.obj", "3.26759521484")</f>
        <v>3.26759521484</v>
      </c>
      <c r="S402" s="42" t="str">
        <f>HYPERLINK(AA2 &amp; "/bottle/sn_e8b48d395d3d8744e53e6e0633163da8/rendering/16.obj", "2.4240045166")</f>
        <v>2.4240045166</v>
      </c>
      <c r="T402" s="109" t="str">
        <f>HYPERLINK(AA2 &amp; "/bottle/sn_e8b48d395d3d8744e53e6e0633163da8/rendering/17.obj", "2.27437042236")</f>
        <v>2.27437042236</v>
      </c>
      <c r="U402" s="37" t="str">
        <f>HYPERLINK(AA2 &amp; "/bottle/sn_e8b48d395d3d8744e53e6e0633163da8/rendering/18.obj", "2.31743041992")</f>
        <v>2.31743041992</v>
      </c>
      <c r="V402" s="133" t="str">
        <f>HYPERLINK(AA2 &amp; "/bottle/sn_e8b48d395d3d8744e53e6e0633163da8/rendering/19.obj", "2.52371704102")</f>
        <v>2.52371704102</v>
      </c>
      <c r="W402" s="12" t="s">
        <v>29</v>
      </c>
      <c r="X402" s="13">
        <v>2.805957817077636</v>
      </c>
      <c r="Y402" s="13">
        <v>0.6627878331946131</v>
      </c>
      <c r="Z402" s="136">
        <v>0.23620734038150901</v>
      </c>
    </row>
    <row r="403" spans="1:26" x14ac:dyDescent="0.2">
      <c r="A403" s="1">
        <v>401</v>
      </c>
      <c r="B403" s="2" t="s">
        <v>113</v>
      </c>
      <c r="C403" s="99" t="str">
        <f>HYPERLINK(AA2 &amp; "/bottle/sn_e8b48d395d3d8744e53e6e0633163da8/rendering/00.obj", "1.60794234276")</f>
        <v>1.60794234276</v>
      </c>
      <c r="D403" s="38" t="str">
        <f>HYPERLINK(AA2 &amp; "/bottle/sn_e8b48d395d3d8744e53e6e0633163da8/rendering/01.obj", "2.00658869743")</f>
        <v>2.00658869743</v>
      </c>
      <c r="E403" s="157" t="str">
        <f>HYPERLINK(AA2 &amp; "/bottle/sn_e8b48d395d3d8744e53e6e0633163da8/rendering/02.obj", "3.12579536438")</f>
        <v>3.12579536438</v>
      </c>
      <c r="F403" s="98" t="str">
        <f>HYPERLINK(AA2 &amp; "/bottle/sn_e8b48d395d3d8744e53e6e0633163da8/rendering/03.obj", "1.69822955132")</f>
        <v>1.69822955132</v>
      </c>
      <c r="G403" s="49" t="str">
        <f>HYPERLINK(AA2 &amp; "/bottle/sn_e8b48d395d3d8744e53e6e0633163da8/rendering/04.obj", "2.66837072372")</f>
        <v>2.66837072372</v>
      </c>
      <c r="H403" s="37" t="str">
        <f>HYPERLINK(AA2 &amp; "/bottle/sn_e8b48d395d3d8744e53e6e0633163da8/rendering/05.obj", "1.82278549671")</f>
        <v>1.82278549671</v>
      </c>
      <c r="I403" s="176" t="str">
        <f>HYPERLINK(AA2 &amp; "/bottle/sn_e8b48d395d3d8744e53e6e0633163da8/rendering/06.obj", "2.9072163105")</f>
        <v>2.9072163105</v>
      </c>
      <c r="J403" s="24" t="str">
        <f>HYPERLINK(AA2 &amp; "/bottle/sn_e8b48d395d3d8744e53e6e0633163da8/rendering/07.obj", "1.83982598782")</f>
        <v>1.83982598782</v>
      </c>
      <c r="K403" s="89" t="str">
        <f>HYPERLINK(AA2 &amp; "/bottle/sn_e8b48d395d3d8744e53e6e0633163da8/rendering/08.obj", "1.63453066349")</f>
        <v>1.63453066349</v>
      </c>
      <c r="L403" s="119" t="str">
        <f>HYPERLINK(AA2 &amp; "/bottle/sn_e8b48d395d3d8744e53e6e0633163da8/rendering/09.obj", "2.79303812981")</f>
        <v>2.79303812981</v>
      </c>
      <c r="M403" s="84" t="str">
        <f>HYPERLINK(AA2 &amp; "/bottle/sn_e8b48d395d3d8744e53e6e0633163da8/rendering/10.obj", "1.8887219429")</f>
        <v>1.8887219429</v>
      </c>
      <c r="N403" s="20" t="str">
        <f>HYPERLINK(AA2 &amp; "/bottle/sn_e8b48d395d3d8744e53e6e0633163da8/rendering/11.obj", "4.549223423")</f>
        <v>4.549223423</v>
      </c>
      <c r="O403" s="11" t="str">
        <f>HYPERLINK(AA2 &amp; "/bottle/sn_e8b48d395d3d8744e53e6e0633163da8/rendering/12.obj", "1.71040463448")</f>
        <v>1.71040463448</v>
      </c>
      <c r="P403" s="123" t="str">
        <f>HYPERLINK(AA2 &amp; "/bottle/sn_e8b48d395d3d8744e53e6e0633163da8/rendering/13.obj", "3.0221247673")</f>
        <v>3.0221247673</v>
      </c>
      <c r="Q403" s="136" t="str">
        <f>HYPERLINK(AA2 &amp; "/bottle/sn_e8b48d395d3d8744e53e6e0633163da8/rendering/14.obj", "1.68416762352")</f>
        <v>1.68416762352</v>
      </c>
      <c r="R403" s="17" t="str">
        <f>HYPERLINK(AA2 &amp; "/bottle/sn_e8b48d395d3d8744e53e6e0633163da8/rendering/15.obj", "2.25446534157")</f>
        <v>2.25446534157</v>
      </c>
      <c r="S403" s="89" t="str">
        <f>HYPERLINK(AA2 &amp; "/bottle/sn_e8b48d395d3d8744e53e6e0633163da8/rendering/16.obj", "1.63332605362")</f>
        <v>1.63332605362</v>
      </c>
      <c r="T403" s="37" t="str">
        <f>HYPERLINK(AA2 &amp; "/bottle/sn_e8b48d395d3d8744e53e6e0633163da8/rendering/17.obj", "1.8221654892")</f>
        <v>1.8221654892</v>
      </c>
      <c r="U403" s="65" t="str">
        <f>HYPERLINK(AA2 &amp; "/bottle/sn_e8b48d395d3d8744e53e6e0633163da8/rendering/18.obj", "1.91131567955")</f>
        <v>1.91131567955</v>
      </c>
      <c r="V403" s="14" t="str">
        <f>HYPERLINK(AA2 &amp; "/bottle/sn_e8b48d395d3d8744e53e6e0633163da8/rendering/19.obj", "1.56513464451")</f>
        <v>1.56513464451</v>
      </c>
      <c r="W403" s="12" t="s">
        <v>30</v>
      </c>
      <c r="X403" s="13">
        <v>2.2072686433792108</v>
      </c>
      <c r="Y403" s="13">
        <v>0.73855954538357271</v>
      </c>
      <c r="Z403" s="182">
        <v>0.33460337852345751</v>
      </c>
    </row>
    <row r="404" spans="1:26" x14ac:dyDescent="0.2">
      <c r="A404" s="1">
        <v>402</v>
      </c>
      <c r="B404" s="2" t="s">
        <v>113</v>
      </c>
      <c r="C404" s="68" t="str">
        <f>HYPERLINK(AB2 &amp; "/bottle/sn_e8b48d395d3d8744e53e6e0633163da8/rendering/00.obj", "2.18507980347")</f>
        <v>2.18507980347</v>
      </c>
      <c r="D404" s="13" t="str">
        <f>HYPERLINK(AB2 &amp; "/bottle/sn_e8b48d395d3d8744e53e6e0633163da8/rendering/01.obj", "2.28172546387")</f>
        <v>2.28172546387</v>
      </c>
      <c r="E404" s="23" t="str">
        <f>HYPERLINK(AB2 &amp; "/bottle/sn_e8b48d395d3d8744e53e6e0633163da8/rendering/02.obj", "2.19085296631")</f>
        <v>2.19085296631</v>
      </c>
      <c r="F404" s="47" t="str">
        <f>HYPERLINK(AB2 &amp; "/bottle/sn_e8b48d395d3d8744e53e6e0633163da8/rendering/03.obj", "2.26644958496")</f>
        <v>2.26644958496</v>
      </c>
      <c r="G404" s="46" t="str">
        <f>HYPERLINK(AB2 &amp; "/bottle/sn_e8b48d395d3d8744e53e6e0633163da8/rendering/04.obj", "2.24297790527")</f>
        <v>2.24297790527</v>
      </c>
      <c r="H404" s="64" t="str">
        <f>HYPERLINK(AB2 &amp; "/bottle/sn_e8b48d395d3d8744e53e6e0633163da8/rendering/05.obj", "1.90581100464")</f>
        <v>1.90581100464</v>
      </c>
      <c r="I404" s="59" t="str">
        <f>HYPERLINK(AB2 &amp; "/bottle/sn_e8b48d395d3d8744e53e6e0633163da8/rendering/06.obj", "2.83049987793")</f>
        <v>2.83049987793</v>
      </c>
      <c r="J404" s="73" t="str">
        <f>HYPERLINK(AB2 &amp; "/bottle/sn_e8b48d395d3d8744e53e6e0633163da8/rendering/07.obj", "2.3665637207")</f>
        <v>2.3665637207</v>
      </c>
      <c r="K404" s="94" t="str">
        <f>HYPERLINK(AB2 &amp; "/bottle/sn_e8b48d395d3d8744e53e6e0633163da8/rendering/08.obj", "2.11043258667")</f>
        <v>2.11043258667</v>
      </c>
      <c r="L404" s="106" t="str">
        <f>HYPERLINK(AB2 &amp; "/bottle/sn_e8b48d395d3d8744e53e6e0633163da8/rendering/09.obj", "2.54408721924")</f>
        <v>2.54408721924</v>
      </c>
      <c r="M404" s="6" t="str">
        <f>HYPERLINK(AB2 &amp; "/bottle/sn_e8b48d395d3d8744e53e6e0633163da8/rendering/10.obj", "2.18009765625")</f>
        <v>2.18009765625</v>
      </c>
      <c r="N404" s="24" t="str">
        <f>HYPERLINK(AB2 &amp; "/bottle/sn_e8b48d395d3d8744e53e6e0633163da8/rendering/11.obj", "2.66553710938")</f>
        <v>2.66553710938</v>
      </c>
      <c r="O404" s="38" t="str">
        <f>HYPERLINK(AB2 &amp; "/bottle/sn_e8b48d395d3d8744e53e6e0633163da8/rendering/12.obj", "2.0781791687")</f>
        <v>2.0781791687</v>
      </c>
      <c r="P404" s="67" t="str">
        <f>HYPERLINK(AB2 &amp; "/bottle/sn_e8b48d395d3d8744e53e6e0633163da8/rendering/13.obj", "2.071512146")</f>
        <v>2.071512146</v>
      </c>
      <c r="Q404" s="38" t="str">
        <f>HYPERLINK(AB2 &amp; "/bottle/sn_e8b48d395d3d8744e53e6e0633163da8/rendering/14.obj", "2.48585281372")</f>
        <v>2.48585281372</v>
      </c>
      <c r="R404" s="5" t="str">
        <f>HYPERLINK(AB2 &amp; "/bottle/sn_e8b48d395d3d8744e53e6e0633163da8/rendering/15.obj", "2.46010894775")</f>
        <v>2.46010894775</v>
      </c>
      <c r="S404" s="47" t="str">
        <f>HYPERLINK(AB2 &amp; "/bottle/sn_e8b48d395d3d8744e53e6e0633163da8/rendering/16.obj", "2.29989379883")</f>
        <v>2.29989379883</v>
      </c>
      <c r="T404" s="48" t="str">
        <f>HYPERLINK(AB2 &amp; "/bottle/sn_e8b48d395d3d8744e53e6e0633163da8/rendering/17.obj", "2.33728897095")</f>
        <v>2.33728897095</v>
      </c>
      <c r="U404" s="106" t="str">
        <f>HYPERLINK(AB2 &amp; "/bottle/sn_e8b48d395d3d8744e53e6e0633163da8/rendering/18.obj", "2.02039215088")</f>
        <v>2.02039215088</v>
      </c>
      <c r="V404" s="94" t="str">
        <f>HYPERLINK(AB2 &amp; "/bottle/sn_e8b48d395d3d8744e53e6e0633163da8/rendering/19.obj", "2.11049942017")</f>
        <v>2.11049942017</v>
      </c>
      <c r="W404" s="12" t="s">
        <v>31</v>
      </c>
      <c r="X404" s="13">
        <v>2.2816921157836911</v>
      </c>
      <c r="Y404" s="13">
        <v>0.22191780266548339</v>
      </c>
      <c r="Z404" s="110">
        <v>9.7260187354095098E-2</v>
      </c>
    </row>
    <row r="405" spans="1:26" x14ac:dyDescent="0.2">
      <c r="A405" s="1">
        <v>403</v>
      </c>
      <c r="B405" s="2" t="s">
        <v>113</v>
      </c>
      <c r="C405" s="33" t="str">
        <f>HYPERLINK(AB2 &amp; "/bottle/sn_e8b48d395d3d8744e53e6e0633163da8/rendering/00.obj", "1.48186564445")</f>
        <v>1.48186564445</v>
      </c>
      <c r="D405" s="51" t="str">
        <f>HYPERLINK(AB2 &amp; "/bottle/sn_e8b48d395d3d8744e53e6e0633163da8/rendering/01.obj", "1.79605698586")</f>
        <v>1.79605698586</v>
      </c>
      <c r="E405" s="38" t="str">
        <f>HYPERLINK(AB2 &amp; "/bottle/sn_e8b48d395d3d8744e53e6e0633163da8/rendering/02.obj", "1.51323330402")</f>
        <v>1.51323330402</v>
      </c>
      <c r="F405" s="92" t="str">
        <f>HYPERLINK(AB2 &amp; "/bottle/sn_e8b48d395d3d8744e53e6e0633163da8/rendering/03.obj", "1.4576369524")</f>
        <v>1.4576369524</v>
      </c>
      <c r="G405" s="74" t="str">
        <f>HYPERLINK(AB2 &amp; "/bottle/sn_e8b48d395d3d8744e53e6e0633163da8/rendering/04.obj", "1.64077138901")</f>
        <v>1.64077138901</v>
      </c>
      <c r="H405" s="67" t="str">
        <f>HYPERLINK(AB2 &amp; "/bottle/sn_e8b48d395d3d8744e53e6e0633163da8/rendering/05.obj", "1.51028251648")</f>
        <v>1.51028251648</v>
      </c>
      <c r="I405" s="7" t="str">
        <f>HYPERLINK(AB2 &amp; "/bottle/sn_e8b48d395d3d8744e53e6e0633163da8/rendering/06.obj", "2.12654876709")</f>
        <v>2.12654876709</v>
      </c>
      <c r="J405" s="69" t="str">
        <f>HYPERLINK(AB2 &amp; "/bottle/sn_e8b48d395d3d8744e53e6e0633163da8/rendering/07.obj", "1.61315560341")</f>
        <v>1.61315560341</v>
      </c>
      <c r="K405" s="8" t="str">
        <f>HYPERLINK(AB2 &amp; "/bottle/sn_e8b48d395d3d8744e53e6e0633163da8/rendering/08.obj", "1.42473840714")</f>
        <v>1.42473840714</v>
      </c>
      <c r="L405" s="90" t="str">
        <f>HYPERLINK(AB2 &amp; "/bottle/sn_e8b48d395d3d8744e53e6e0633163da8/rendering/09.obj", "1.82200980186")</f>
        <v>1.82200980186</v>
      </c>
      <c r="M405" s="94" t="str">
        <f>HYPERLINK(AB2 &amp; "/bottle/sn_e8b48d395d3d8744e53e6e0633163da8/rendering/10.obj", "1.54143381119")</f>
        <v>1.54143381119</v>
      </c>
      <c r="N405" s="83" t="str">
        <f>HYPERLINK(AB2 &amp; "/bottle/sn_e8b48d395d3d8744e53e6e0633163da8/rendering/11.obj", "1.91446173191")</f>
        <v>1.91446173191</v>
      </c>
      <c r="O405" s="106" t="str">
        <f>HYPERLINK(AB2 &amp; "/bottle/sn_e8b48d395d3d8744e53e6e0633163da8/rendering/12.obj", "1.47138810158")</f>
        <v>1.47138810158</v>
      </c>
      <c r="P405" s="10" t="str">
        <f>HYPERLINK(AB2 &amp; "/bottle/sn_e8b48d395d3d8744e53e6e0633163da8/rendering/13.obj", "1.75258696079")</f>
        <v>1.75258696079</v>
      </c>
      <c r="Q405" s="91" t="str">
        <f>HYPERLINK(AB2 &amp; "/bottle/sn_e8b48d395d3d8744e53e6e0633163da8/rendering/14.obj", "1.61790752411")</f>
        <v>1.61790752411</v>
      </c>
      <c r="R405" s="70" t="str">
        <f>HYPERLINK(AB2 &amp; "/bottle/sn_e8b48d395d3d8744e53e6e0633163da8/rendering/15.obj", "1.87629389763")</f>
        <v>1.87629389763</v>
      </c>
      <c r="S405" s="13" t="str">
        <f>HYPERLINK(AB2 &amp; "/bottle/sn_e8b48d395d3d8744e53e6e0633163da8/rendering/16.obj", "1.666918993")</f>
        <v>1.666918993</v>
      </c>
      <c r="T405" s="73" t="str">
        <f>HYPERLINK(AB2 &amp; "/bottle/sn_e8b48d395d3d8744e53e6e0633163da8/rendering/17.obj", "1.60531353951")</f>
        <v>1.60531353951</v>
      </c>
      <c r="U405" s="91" t="str">
        <f>HYPERLINK(AB2 &amp; "/bottle/sn_e8b48d395d3d8744e53e6e0633163da8/rendering/18.obj", "1.61647439003")</f>
        <v>1.61647439003</v>
      </c>
      <c r="V405" s="67" t="str">
        <f>HYPERLINK(AB2 &amp; "/bottle/sn_e8b48d395d3d8744e53e6e0633163da8/rendering/19.obj", "1.81958496571")</f>
        <v>1.81958496571</v>
      </c>
      <c r="W405" s="12" t="s">
        <v>32</v>
      </c>
      <c r="X405" s="13">
        <v>1.663433164358139</v>
      </c>
      <c r="Y405" s="13">
        <v>0.17869694295508981</v>
      </c>
      <c r="Z405" s="33">
        <v>0.10742658423793219</v>
      </c>
    </row>
    <row r="406" spans="1:26" x14ac:dyDescent="0.2">
      <c r="A406" s="1">
        <v>404</v>
      </c>
      <c r="B406" s="2" t="s">
        <v>113</v>
      </c>
      <c r="C406" s="13" t="str">
        <f>HYPERLINK(AC2 &amp; "/bottle/sn_e8b48d395d3d8744e53e6e0633163da8/rendering/00.xyz", "0.0")</f>
        <v>0.0</v>
      </c>
      <c r="D406" s="13" t="str">
        <f>HYPERLINK(AC2 &amp; "/bottle/sn_e8b48d395d3d8744e53e6e0633163da8/rendering/01.xyz", "0.0")</f>
        <v>0.0</v>
      </c>
      <c r="E406" s="13" t="str">
        <f>HYPERLINK(AC2 &amp; "/bottle/sn_e8b48d395d3d8744e53e6e0633163da8/rendering/02.xyz", "0.0")</f>
        <v>0.0</v>
      </c>
      <c r="F406" s="13" t="str">
        <f>HYPERLINK(AC2 &amp; "/bottle/sn_e8b48d395d3d8744e53e6e0633163da8/rendering/03.xyz", "0.0")</f>
        <v>0.0</v>
      </c>
      <c r="G406" s="13" t="str">
        <f>HYPERLINK(AC2 &amp; "/bottle/sn_e8b48d395d3d8744e53e6e0633163da8/rendering/04.xyz", "0.0")</f>
        <v>0.0</v>
      </c>
      <c r="H406" s="13" t="str">
        <f>HYPERLINK(AC2 &amp; "/bottle/sn_e8b48d395d3d8744e53e6e0633163da8/rendering/05.xyz", "0.0")</f>
        <v>0.0</v>
      </c>
      <c r="I406" s="13" t="str">
        <f>HYPERLINK(AC2 &amp; "/bottle/sn_e8b48d395d3d8744e53e6e0633163da8/rendering/06.xyz", "0.0")</f>
        <v>0.0</v>
      </c>
      <c r="J406" s="13" t="str">
        <f>HYPERLINK(AC2 &amp; "/bottle/sn_e8b48d395d3d8744e53e6e0633163da8/rendering/07.xyz", "0.0")</f>
        <v>0.0</v>
      </c>
      <c r="K406" s="13" t="str">
        <f>HYPERLINK(AC2 &amp; "/bottle/sn_e8b48d395d3d8744e53e6e0633163da8/rendering/08.xyz", "0.0")</f>
        <v>0.0</v>
      </c>
      <c r="L406" s="13" t="str">
        <f>HYPERLINK(AC2 &amp; "/bottle/sn_e8b48d395d3d8744e53e6e0633163da8/rendering/09.xyz", "0.0")</f>
        <v>0.0</v>
      </c>
      <c r="M406" s="13" t="str">
        <f>HYPERLINK(AC2 &amp; "/bottle/sn_e8b48d395d3d8744e53e6e0633163da8/rendering/10.xyz", "0.0")</f>
        <v>0.0</v>
      </c>
      <c r="N406" s="13" t="str">
        <f>HYPERLINK(AC2 &amp; "/bottle/sn_e8b48d395d3d8744e53e6e0633163da8/rendering/11.xyz", "0.0")</f>
        <v>0.0</v>
      </c>
      <c r="O406" s="13" t="str">
        <f>HYPERLINK(AC2 &amp; "/bottle/sn_e8b48d395d3d8744e53e6e0633163da8/rendering/12.xyz", "0.0")</f>
        <v>0.0</v>
      </c>
      <c r="P406" s="13" t="str">
        <f>HYPERLINK(AC2 &amp; "/bottle/sn_e8b48d395d3d8744e53e6e0633163da8/rendering/13.xyz", "0.0")</f>
        <v>0.0</v>
      </c>
      <c r="Q406" s="13" t="str">
        <f>HYPERLINK(AC2 &amp; "/bottle/sn_e8b48d395d3d8744e53e6e0633163da8/rendering/14.xyz", "0.0")</f>
        <v>0.0</v>
      </c>
      <c r="R406" s="13" t="str">
        <f>HYPERLINK(AC2 &amp; "/bottle/sn_e8b48d395d3d8744e53e6e0633163da8/rendering/15.xyz", "0.0")</f>
        <v>0.0</v>
      </c>
      <c r="S406" s="13" t="str">
        <f>HYPERLINK(AC2 &amp; "/bottle/sn_e8b48d395d3d8744e53e6e0633163da8/rendering/16.xyz", "0.0")</f>
        <v>0.0</v>
      </c>
      <c r="T406" s="13" t="str">
        <f>HYPERLINK(AC2 &amp; "/bottle/sn_e8b48d395d3d8744e53e6e0633163da8/rendering/17.xyz", "0.0")</f>
        <v>0.0</v>
      </c>
      <c r="U406" s="13" t="str">
        <f>HYPERLINK(AC2 &amp; "/bottle/sn_e8b48d395d3d8744e53e6e0633163da8/rendering/18.xyz", "0.0")</f>
        <v>0.0</v>
      </c>
      <c r="V406" s="13" t="str">
        <f>HYPERLINK(AC2 &amp; "/bottle/sn_e8b48d395d3d8744e53e6e0633163da8/rendering/19.xyz", "0.0")</f>
        <v>0.0</v>
      </c>
      <c r="W406" s="12" t="s">
        <v>33</v>
      </c>
      <c r="X406" s="13">
        <v>0</v>
      </c>
      <c r="Y406" s="13">
        <v>0</v>
      </c>
      <c r="Z406" s="13">
        <v>0</v>
      </c>
    </row>
    <row r="407" spans="1:26" x14ac:dyDescent="0.2">
      <c r="A407" s="1">
        <v>405</v>
      </c>
      <c r="B407" s="2" t="s">
        <v>114</v>
      </c>
      <c r="C407" s="93" t="str">
        <f>HYPERLINK(AA2 &amp; "/bottle/sn_e9371d3abbb3bb7265bca0cae1ecfff5/rendering/00.obj", "2.37266540527")</f>
        <v>2.37266540527</v>
      </c>
      <c r="D407" s="8" t="str">
        <f>HYPERLINK(AA2 &amp; "/bottle/sn_e9371d3abbb3bb7265bca0cae1ecfff5/rendering/01.obj", "2.35630706787")</f>
        <v>2.35630706787</v>
      </c>
      <c r="E407" s="109" t="str">
        <f>HYPERLINK(AA2 &amp; "/bottle/sn_e9371d3abbb3bb7265bca0cae1ecfff5/rendering/02.obj", "2.2279284668")</f>
        <v>2.2279284668</v>
      </c>
      <c r="F407" s="64" t="str">
        <f>HYPERLINK(AA2 &amp; "/bottle/sn_e9371d3abbb3bb7265bca0cae1ecfff5/rendering/03.obj", "3.20683776855")</f>
        <v>3.20683776855</v>
      </c>
      <c r="G407" s="11" t="str">
        <f>HYPERLINK(AA2 &amp; "/bottle/sn_e9371d3abbb3bb7265bca0cae1ecfff5/rendering/04.obj", "2.13124633789")</f>
        <v>2.13124633789</v>
      </c>
      <c r="H407" s="27" t="str">
        <f>HYPERLINK(AA2 &amp; "/bottle/sn_e9371d3abbb3bb7265bca0cae1ecfff5/rendering/05.obj", "2.94692169189")</f>
        <v>2.94692169189</v>
      </c>
      <c r="I407" s="123" t="str">
        <f>HYPERLINK(AA2 &amp; "/bottle/sn_e9371d3abbb3bb7265bca0cae1ecfff5/rendering/06.obj", "3.76952880859")</f>
        <v>3.76952880859</v>
      </c>
      <c r="J407" s="93" t="str">
        <f>HYPERLINK(AA2 &amp; "/bottle/sn_e9371d3abbb3bb7265bca0cae1ecfff5/rendering/07.obj", "2.36640838623")</f>
        <v>2.36640838623</v>
      </c>
      <c r="K407" s="41" t="str">
        <f>HYPERLINK(AA2 &amp; "/bottle/sn_e9371d3abbb3bb7265bca0cae1ecfff5/rendering/08.obj", "2.56595184326")</f>
        <v>2.56595184326</v>
      </c>
      <c r="L407" s="11" t="str">
        <f>HYPERLINK(AA2 &amp; "/bottle/sn_e9371d3abbb3bb7265bca0cae1ecfff5/rendering/09.obj", "2.13535461426")</f>
        <v>2.13535461426</v>
      </c>
      <c r="M407" s="25" t="str">
        <f>HYPERLINK(AA2 &amp; "/bottle/sn_e9371d3abbb3bb7265bca0cae1ecfff5/rendering/10.obj", "2.78425262451")</f>
        <v>2.78425262451</v>
      </c>
      <c r="N407" s="37" t="str">
        <f>HYPERLINK(AA2 &amp; "/bottle/sn_e9371d3abbb3bb7265bca0cae1ecfff5/rendering/11.obj", "2.27607940674")</f>
        <v>2.27607940674</v>
      </c>
      <c r="O407" s="51" t="str">
        <f>HYPERLINK(AA2 &amp; "/bottle/sn_e9371d3abbb3bb7265bca0cae1ecfff5/rendering/12.obj", "2.97367858887")</f>
        <v>2.97367858887</v>
      </c>
      <c r="P407" s="67" t="str">
        <f>HYPERLINK(AA2 &amp; "/bottle/sn_e9371d3abbb3bb7265bca0cae1ecfff5/rendering/13.obj", "3.01131835938")</f>
        <v>3.01131835938</v>
      </c>
      <c r="Q407" s="71" t="str">
        <f>HYPERLINK(AA2 &amp; "/bottle/sn_e9371d3abbb3bb7265bca0cae1ecfff5/rendering/14.obj", "2.43291442871")</f>
        <v>2.43291442871</v>
      </c>
      <c r="R407" s="238" t="str">
        <f>HYPERLINK(AA2 &amp; "/bottle/sn_e9371d3abbb3bb7265bca0cae1ecfff5/rendering/15.obj", "4.69441467285")</f>
        <v>4.69441467285</v>
      </c>
      <c r="S407" s="77" t="str">
        <f>HYPERLINK(AA2 &amp; "/bottle/sn_e9371d3abbb3bb7265bca0cae1ecfff5/rendering/16.obj", "2.24303665161")</f>
        <v>2.24303665161</v>
      </c>
      <c r="T407" s="48" t="str">
        <f>HYPERLINK(AA2 &amp; "/bottle/sn_e9371d3abbb3bb7265bca0cae1ecfff5/rendering/17.obj", "2.68789611816")</f>
        <v>2.68789611816</v>
      </c>
      <c r="U407" s="68" t="str">
        <f>HYPERLINK(AA2 &amp; "/bottle/sn_e9371d3abbb3bb7265bca0cae1ecfff5/rendering/18.obj", "2.86758666992")</f>
        <v>2.86758666992</v>
      </c>
      <c r="V407" s="67" t="str">
        <f>HYPERLINK(AA2 &amp; "/bottle/sn_e9371d3abbb3bb7265bca0cae1ecfff5/rendering/19.obj", "3.00519500732")</f>
        <v>3.00519500732</v>
      </c>
      <c r="W407" s="12" t="s">
        <v>29</v>
      </c>
      <c r="X407" s="13">
        <v>2.752776145935059</v>
      </c>
      <c r="Y407" s="13">
        <v>0.60677690072607038</v>
      </c>
      <c r="Z407" s="75">
        <v>0.22042362638970101</v>
      </c>
    </row>
    <row r="408" spans="1:26" x14ac:dyDescent="0.2">
      <c r="A408" s="1">
        <v>406</v>
      </c>
      <c r="B408" s="2" t="s">
        <v>114</v>
      </c>
      <c r="C408" s="120" t="str">
        <f>HYPERLINK(AA2 &amp; "/bottle/sn_e9371d3abbb3bb7265bca0cae1ecfff5/rendering/00.obj", "1.79251754284")</f>
        <v>1.79251754284</v>
      </c>
      <c r="D408" s="81" t="str">
        <f>HYPERLINK(AA2 &amp; "/bottle/sn_e9371d3abbb3bb7265bca0cae1ecfff5/rendering/01.obj", "1.77293539047")</f>
        <v>1.77293539047</v>
      </c>
      <c r="E408" s="108" t="str">
        <f>HYPERLINK(AA2 &amp; "/bottle/sn_e9371d3abbb3bb7265bca0cae1ecfff5/rendering/02.obj", "1.71132802963")</f>
        <v>1.71132802963</v>
      </c>
      <c r="F408" s="84" t="str">
        <f>HYPERLINK(AA2 &amp; "/bottle/sn_e9371d3abbb3bb7265bca0cae1ecfff5/rendering/03.obj", "2.60139369965")</f>
        <v>2.60139369965</v>
      </c>
      <c r="G408" s="88" t="str">
        <f>HYPERLINK(AA2 &amp; "/bottle/sn_e9371d3abbb3bb7265bca0cae1ecfff5/rendering/04.obj", "1.81230890751")</f>
        <v>1.81230890751</v>
      </c>
      <c r="H408" s="78" t="str">
        <f>HYPERLINK(AA2 &amp; "/bottle/sn_e9371d3abbb3bb7265bca0cae1ecfff5/rendering/05.obj", "2.40804696083")</f>
        <v>2.40804696083</v>
      </c>
      <c r="I408" s="58" t="str">
        <f>HYPERLINK(AA2 &amp; "/bottle/sn_e9371d3abbb3bb7265bca0cae1ecfff5/rendering/06.obj", "2.82449507713")</f>
        <v>2.82449507713</v>
      </c>
      <c r="J408" s="119" t="str">
        <f>HYPERLINK(AA2 &amp; "/bottle/sn_e9371d3abbb3bb7265bca0cae1ecfff5/rendering/07.obj", "1.67302620411")</f>
        <v>1.67302620411</v>
      </c>
      <c r="K408" s="107" t="str">
        <f>HYPERLINK(AA2 &amp; "/bottle/sn_e9371d3abbb3bb7265bca0cae1ecfff5/rendering/08.obj", "2.46244859695")</f>
        <v>2.46244859695</v>
      </c>
      <c r="L408" s="82" t="str">
        <f>HYPERLINK(AA2 &amp; "/bottle/sn_e9371d3abbb3bb7265bca0cae1ecfff5/rendering/09.obj", "1.80752372742")</f>
        <v>1.80752372742</v>
      </c>
      <c r="M408" s="34" t="str">
        <f>HYPERLINK(AA2 &amp; "/bottle/sn_e9371d3abbb3bb7265bca0cae1ecfff5/rendering/10.obj", "2.16391539574")</f>
        <v>2.16391539574</v>
      </c>
      <c r="N408" s="58" t="str">
        <f>HYPERLINK(AA2 &amp; "/bottle/sn_e9371d3abbb3bb7265bca0cae1ecfff5/rendering/11.obj", "1.71973502636")</f>
        <v>1.71973502636</v>
      </c>
      <c r="O408" s="78" t="str">
        <f>HYPERLINK(AA2 &amp; "/bottle/sn_e9371d3abbb3bb7265bca0cae1ecfff5/rendering/12.obj", "2.41035985947")</f>
        <v>2.41035985947</v>
      </c>
      <c r="P408" s="23" t="str">
        <f>HYPERLINK(AA2 &amp; "/bottle/sn_e9371d3abbb3bb7265bca0cae1ecfff5/rendering/13.obj", "2.18498802185")</f>
        <v>2.18498802185</v>
      </c>
      <c r="Q408" s="29" t="str">
        <f>HYPERLINK(AA2 &amp; "/bottle/sn_e9371d3abbb3bb7265bca0cae1ecfff5/rendering/14.obj", "1.97273945808")</f>
        <v>1.97273945808</v>
      </c>
      <c r="R408" s="20" t="str">
        <f>HYPERLINK(AA2 &amp; "/bottle/sn_e9371d3abbb3bb7265bca0cae1ecfff5/rendering/15.obj", "4.87876224518")</f>
        <v>4.87876224518</v>
      </c>
      <c r="S408" s="44" t="str">
        <f>HYPERLINK(AA2 &amp; "/bottle/sn_e9371d3abbb3bb7265bca0cae1ecfff5/rendering/16.obj", "1.82579600811")</f>
        <v>1.82579600811</v>
      </c>
      <c r="T408" s="117" t="str">
        <f>HYPERLINK(AA2 &amp; "/bottle/sn_e9371d3abbb3bb7265bca0cae1ecfff5/rendering/17.obj", "1.86958909035")</f>
        <v>1.86958909035</v>
      </c>
      <c r="U408" s="152" t="str">
        <f>HYPERLINK(AA2 &amp; "/bottle/sn_e9371d3abbb3bb7265bca0cae1ecfff5/rendering/18.obj", "3.19551849365")</f>
        <v>3.19551849365</v>
      </c>
      <c r="V408" s="72" t="str">
        <f>HYPERLINK(AA2 &amp; "/bottle/sn_e9371d3abbb3bb7265bca0cae1ecfff5/rendering/19.obj", "2.34771370888")</f>
        <v>2.34771370888</v>
      </c>
      <c r="W408" s="12" t="s">
        <v>30</v>
      </c>
      <c r="X408" s="13">
        <v>2.271757072210312</v>
      </c>
      <c r="Y408" s="13">
        <v>0.7244130789165093</v>
      </c>
      <c r="Z408" s="176">
        <v>0.31887787993620709</v>
      </c>
    </row>
    <row r="409" spans="1:26" x14ac:dyDescent="0.2">
      <c r="A409" s="1">
        <v>407</v>
      </c>
      <c r="B409" s="2" t="s">
        <v>114</v>
      </c>
      <c r="C409" s="6" t="str">
        <f>HYPERLINK(AB2 &amp; "/bottle/sn_e9371d3abbb3bb7265bca0cae1ecfff5/rendering/00.obj", "2.29147964478")</f>
        <v>2.29147964478</v>
      </c>
      <c r="D409" s="17" t="str">
        <f>HYPERLINK(AB2 &amp; "/bottle/sn_e9371d3abbb3bb7265bca0cae1ecfff5/rendering/01.obj", "2.1516758728")</f>
        <v>2.1516758728</v>
      </c>
      <c r="E409" s="46" t="str">
        <f>HYPERLINK(AB2 &amp; "/bottle/sn_e9371d3abbb3bb7265bca0cae1ecfff5/rendering/02.obj", "2.15788986206")</f>
        <v>2.15788986206</v>
      </c>
      <c r="F409" s="46" t="str">
        <f>HYPERLINK(AB2 &amp; "/bottle/sn_e9371d3abbb3bb7265bca0cae1ecfff5/rendering/03.obj", "2.15891326904")</f>
        <v>2.15891326904</v>
      </c>
      <c r="G409" s="30" t="str">
        <f>HYPERLINK(AB2 &amp; "/bottle/sn_e9371d3abbb3bb7265bca0cae1ecfff5/rendering/04.obj", "2.20548370361")</f>
        <v>2.20548370361</v>
      </c>
      <c r="H409" s="73" t="str">
        <f>HYPERLINK(AB2 &amp; "/bottle/sn_e9371d3abbb3bb7265bca0cae1ecfff5/rendering/05.obj", "2.27318664551")</f>
        <v>2.27318664551</v>
      </c>
      <c r="I409" s="42" t="str">
        <f>HYPERLINK(AB2 &amp; "/bottle/sn_e9371d3abbb3bb7265bca0cae1ecfff5/rendering/06.obj", "2.49375701904")</f>
        <v>2.49375701904</v>
      </c>
      <c r="J409" s="48" t="str">
        <f>HYPERLINK(AB2 &amp; "/bottle/sn_e9371d3abbb3bb7265bca0cae1ecfff5/rendering/07.obj", "2.14551208496")</f>
        <v>2.14551208496</v>
      </c>
      <c r="K409" s="69" t="str">
        <f>HYPERLINK(AB2 &amp; "/bottle/sn_e9371d3abbb3bb7265bca0cae1ecfff5/rendering/08.obj", "2.25805831909")</f>
        <v>2.25805831909</v>
      </c>
      <c r="L409" s="25" t="str">
        <f>HYPERLINK(AB2 &amp; "/bottle/sn_e9371d3abbb3bb7265bca0cae1ecfff5/rendering/09.obj", "2.21568618774")</f>
        <v>2.21568618774</v>
      </c>
      <c r="M409" s="109" t="str">
        <f>HYPERLINK(AB2 &amp; "/bottle/sn_e9371d3abbb3bb7265bca0cae1ecfff5/rendering/10.obj", "1.7765447998")</f>
        <v>1.7765447998</v>
      </c>
      <c r="N409" s="30" t="str">
        <f>HYPERLINK(AB2 &amp; "/bottle/sn_e9371d3abbb3bb7265bca0cae1ecfff5/rendering/11.obj", "2.1813369751")</f>
        <v>2.1813369751</v>
      </c>
      <c r="O409" s="35" t="str">
        <f>HYPERLINK(AB2 &amp; "/bottle/sn_e9371d3abbb3bb7265bca0cae1ecfff5/rendering/12.obj", "2.31931549072")</f>
        <v>2.31931549072</v>
      </c>
      <c r="P409" s="65" t="str">
        <f>HYPERLINK(AB2 &amp; "/bottle/sn_e9371d3abbb3bb7265bca0cae1ecfff5/rendering/13.obj", "1.90217102051")</f>
        <v>1.90217102051</v>
      </c>
      <c r="Q409" s="69" t="str">
        <f>HYPERLINK(AB2 &amp; "/bottle/sn_e9371d3abbb3bb7265bca0cae1ecfff5/rendering/14.obj", "2.13065246582")</f>
        <v>2.13065246582</v>
      </c>
      <c r="R409" s="31" t="str">
        <f>HYPERLINK(AB2 &amp; "/bottle/sn_e9371d3abbb3bb7265bca0cae1ecfff5/rendering/15.obj", "2.53416000366")</f>
        <v>2.53416000366</v>
      </c>
      <c r="S409" s="35" t="str">
        <f>HYPERLINK(AB2 &amp; "/bottle/sn_e9371d3abbb3bb7265bca0cae1ecfff5/rendering/16.obj", "2.06409454346")</f>
        <v>2.06409454346</v>
      </c>
      <c r="T409" s="29" t="str">
        <f>HYPERLINK(AB2 &amp; "/bottle/sn_e9371d3abbb3bb7265bca0cae1ecfff5/rendering/17.obj", "2.48304290771")</f>
        <v>2.48304290771</v>
      </c>
      <c r="U409" s="27" t="str">
        <f>HYPERLINK(AB2 &amp; "/bottle/sn_e9371d3abbb3bb7265bca0cae1ecfff5/rendering/18.obj", "2.04172302246")</f>
        <v>2.04172302246</v>
      </c>
      <c r="V409" s="6" t="str">
        <f>HYPERLINK(AB2 &amp; "/bottle/sn_e9371d3abbb3bb7265bca0cae1ecfff5/rendering/19.obj", "2.09611022949")</f>
        <v>2.09611022949</v>
      </c>
      <c r="W409" s="12" t="s">
        <v>31</v>
      </c>
      <c r="X409" s="13">
        <v>2.1940397033691408</v>
      </c>
      <c r="Y409" s="13">
        <v>0.17961362489729971</v>
      </c>
      <c r="Z409" s="107">
        <v>8.1864345764339264E-2</v>
      </c>
    </row>
    <row r="410" spans="1:26" x14ac:dyDescent="0.2">
      <c r="A410" s="1">
        <v>408</v>
      </c>
      <c r="B410" s="2" t="s">
        <v>114</v>
      </c>
      <c r="C410" s="27" t="str">
        <f>HYPERLINK(AB2 &amp; "/bottle/sn_e9371d3abbb3bb7265bca0cae1ecfff5/rendering/00.obj", "1.69028425217")</f>
        <v>1.69028425217</v>
      </c>
      <c r="D410" s="39" t="str">
        <f>HYPERLINK(AB2 &amp; "/bottle/sn_e9371d3abbb3bb7265bca0cae1ecfff5/rendering/01.obj", "1.65792131424")</f>
        <v>1.65792131424</v>
      </c>
      <c r="E410" s="73" t="str">
        <f>HYPERLINK(AB2 &amp; "/bottle/sn_e9371d3abbb3bb7265bca0cae1ecfff5/rendering/02.obj", "1.75279998779")</f>
        <v>1.75279998779</v>
      </c>
      <c r="F410" s="26" t="str">
        <f>HYPERLINK(AB2 &amp; "/bottle/sn_e9371d3abbb3bb7265bca0cae1ecfff5/rendering/03.obj", "1.70278811455")</f>
        <v>1.70278811455</v>
      </c>
      <c r="G410" s="30" t="str">
        <f>HYPERLINK(AB2 &amp; "/bottle/sn_e9371d3abbb3bb7265bca0cae1ecfff5/rendering/04.obj", "1.8106764555")</f>
        <v>1.8106764555</v>
      </c>
      <c r="H410" s="39" t="str">
        <f>HYPERLINK(AB2 &amp; "/bottle/sn_e9371d3abbb3bb7265bca0cae1ecfff5/rendering/05.obj", "1.97366392612")</f>
        <v>1.97366392612</v>
      </c>
      <c r="I410" s="29" t="str">
        <f>HYPERLINK(AB2 &amp; "/bottle/sn_e9371d3abbb3bb7265bca0cae1ecfff5/rendering/06.obj", "2.05405330658")</f>
        <v>2.05405330658</v>
      </c>
      <c r="J410" s="72" t="str">
        <f>HYPERLINK(AB2 &amp; "/bottle/sn_e9371d3abbb3bb7265bca0cae1ecfff5/rendering/07.obj", "1.87682580948")</f>
        <v>1.87682580948</v>
      </c>
      <c r="K410" s="65" t="str">
        <f>HYPERLINK(AB2 &amp; "/bottle/sn_e9371d3abbb3bb7265bca0cae1ecfff5/rendering/08.obj", "1.57417488098")</f>
        <v>1.57417488098</v>
      </c>
      <c r="L410" s="29" t="str">
        <f>HYPERLINK(AB2 &amp; "/bottle/sn_e9371d3abbb3bb7265bca0cae1ecfff5/rendering/09.obj", "1.58173429966")</f>
        <v>1.58173429966</v>
      </c>
      <c r="M410" s="28" t="str">
        <f>HYPERLINK(AB2 &amp; "/bottle/sn_e9371d3abbb3bb7265bca0cae1ecfff5/rendering/10.obj", "1.61685562134")</f>
        <v>1.61685562134</v>
      </c>
      <c r="N410" s="32" t="str">
        <f>HYPERLINK(AB2 &amp; "/bottle/sn_e9371d3abbb3bb7265bca0cae1ecfff5/rendering/11.obj", "1.62731289864")</f>
        <v>1.62731289864</v>
      </c>
      <c r="O410" s="8" t="str">
        <f>HYPERLINK(AB2 &amp; "/bottle/sn_e9371d3abbb3bb7265bca0cae1ecfff5/rendering/12.obj", "2.07413387299")</f>
        <v>2.07413387299</v>
      </c>
      <c r="P410" s="33" t="str">
        <f>HYPERLINK(AB2 &amp; "/bottle/sn_e9371d3abbb3bb7265bca0cae1ecfff5/rendering/13.obj", "1.62168729305")</f>
        <v>1.62168729305</v>
      </c>
      <c r="Q410" s="133" t="str">
        <f>HYPERLINK(AB2 &amp; "/bottle/sn_e9371d3abbb3bb7265bca0cae1ecfff5/rendering/14.obj", "1.63341069221")</f>
        <v>1.63341069221</v>
      </c>
      <c r="R410" s="171" t="str">
        <f>HYPERLINK(AB2 &amp; "/bottle/sn_e9371d3abbb3bb7265bca0cae1ecfff5/rendering/15.obj", "2.37483882904")</f>
        <v>2.37483882904</v>
      </c>
      <c r="S410" s="38" t="str">
        <f>HYPERLINK(AB2 &amp; "/bottle/sn_e9371d3abbb3bb7265bca0cae1ecfff5/rendering/16.obj", "1.65273976326")</f>
        <v>1.65273976326</v>
      </c>
      <c r="T410" s="89" t="str">
        <f>HYPERLINK(AB2 &amp; "/bottle/sn_e9371d3abbb3bb7265bca0cae1ecfff5/rendering/17.obj", "2.29018735886")</f>
        <v>2.29018735886</v>
      </c>
      <c r="U410" s="90" t="str">
        <f>HYPERLINK(AB2 &amp; "/bottle/sn_e9371d3abbb3bb7265bca0cae1ecfff5/rendering/18.obj", "1.99399673939")</f>
        <v>1.99399673939</v>
      </c>
      <c r="V410" s="46" t="str">
        <f>HYPERLINK(AB2 &amp; "/bottle/sn_e9371d3abbb3bb7265bca0cae1ecfff5/rendering/19.obj", "1.78523004055")</f>
        <v>1.78523004055</v>
      </c>
      <c r="W410" s="12" t="s">
        <v>32</v>
      </c>
      <c r="X410" s="13">
        <v>1.817265772819519</v>
      </c>
      <c r="Y410" s="13">
        <v>0.23082638209894779</v>
      </c>
      <c r="Z410" s="70">
        <v>0.1270185052463827</v>
      </c>
    </row>
    <row r="411" spans="1:26" x14ac:dyDescent="0.2">
      <c r="A411" s="1">
        <v>409</v>
      </c>
      <c r="B411" s="2" t="s">
        <v>114</v>
      </c>
      <c r="C411" s="13" t="str">
        <f>HYPERLINK(AC2 &amp; "/bottle/sn_e9371d3abbb3bb7265bca0cae1ecfff5/rendering/00.xyz", "0.0")</f>
        <v>0.0</v>
      </c>
      <c r="D411" s="13" t="str">
        <f>HYPERLINK(AC2 &amp; "/bottle/sn_e9371d3abbb3bb7265bca0cae1ecfff5/rendering/01.xyz", "0.0")</f>
        <v>0.0</v>
      </c>
      <c r="E411" s="13" t="str">
        <f>HYPERLINK(AC2 &amp; "/bottle/sn_e9371d3abbb3bb7265bca0cae1ecfff5/rendering/02.xyz", "0.0")</f>
        <v>0.0</v>
      </c>
      <c r="F411" s="13" t="str">
        <f>HYPERLINK(AC2 &amp; "/bottle/sn_e9371d3abbb3bb7265bca0cae1ecfff5/rendering/03.xyz", "0.0")</f>
        <v>0.0</v>
      </c>
      <c r="G411" s="13" t="str">
        <f>HYPERLINK(AC2 &amp; "/bottle/sn_e9371d3abbb3bb7265bca0cae1ecfff5/rendering/04.xyz", "0.0")</f>
        <v>0.0</v>
      </c>
      <c r="H411" s="13" t="str">
        <f>HYPERLINK(AC2 &amp; "/bottle/sn_e9371d3abbb3bb7265bca0cae1ecfff5/rendering/05.xyz", "0.0")</f>
        <v>0.0</v>
      </c>
      <c r="I411" s="13" t="str">
        <f>HYPERLINK(AC2 &amp; "/bottle/sn_e9371d3abbb3bb7265bca0cae1ecfff5/rendering/06.xyz", "0.0")</f>
        <v>0.0</v>
      </c>
      <c r="J411" s="13" t="str">
        <f>HYPERLINK(AC2 &amp; "/bottle/sn_e9371d3abbb3bb7265bca0cae1ecfff5/rendering/07.xyz", "0.0")</f>
        <v>0.0</v>
      </c>
      <c r="K411" s="13" t="str">
        <f>HYPERLINK(AC2 &amp; "/bottle/sn_e9371d3abbb3bb7265bca0cae1ecfff5/rendering/08.xyz", "0.0")</f>
        <v>0.0</v>
      </c>
      <c r="L411" s="13" t="str">
        <f>HYPERLINK(AC2 &amp; "/bottle/sn_e9371d3abbb3bb7265bca0cae1ecfff5/rendering/09.xyz", "0.0")</f>
        <v>0.0</v>
      </c>
      <c r="M411" s="13" t="str">
        <f>HYPERLINK(AC2 &amp; "/bottle/sn_e9371d3abbb3bb7265bca0cae1ecfff5/rendering/10.xyz", "0.0")</f>
        <v>0.0</v>
      </c>
      <c r="N411" s="13" t="str">
        <f>HYPERLINK(AC2 &amp; "/bottle/sn_e9371d3abbb3bb7265bca0cae1ecfff5/rendering/11.xyz", "0.0")</f>
        <v>0.0</v>
      </c>
      <c r="O411" s="13" t="str">
        <f>HYPERLINK(AC2 &amp; "/bottle/sn_e9371d3abbb3bb7265bca0cae1ecfff5/rendering/12.xyz", "0.0")</f>
        <v>0.0</v>
      </c>
      <c r="P411" s="13" t="str">
        <f>HYPERLINK(AC2 &amp; "/bottle/sn_e9371d3abbb3bb7265bca0cae1ecfff5/rendering/13.xyz", "0.0")</f>
        <v>0.0</v>
      </c>
      <c r="Q411" s="13" t="str">
        <f>HYPERLINK(AC2 &amp; "/bottle/sn_e9371d3abbb3bb7265bca0cae1ecfff5/rendering/14.xyz", "0.0")</f>
        <v>0.0</v>
      </c>
      <c r="R411" s="13" t="str">
        <f>HYPERLINK(AC2 &amp; "/bottle/sn_e9371d3abbb3bb7265bca0cae1ecfff5/rendering/15.xyz", "0.0")</f>
        <v>0.0</v>
      </c>
      <c r="S411" s="13" t="str">
        <f>HYPERLINK(AC2 &amp; "/bottle/sn_e9371d3abbb3bb7265bca0cae1ecfff5/rendering/16.xyz", "0.0")</f>
        <v>0.0</v>
      </c>
      <c r="T411" s="13" t="str">
        <f>HYPERLINK(AC2 &amp; "/bottle/sn_e9371d3abbb3bb7265bca0cae1ecfff5/rendering/17.xyz", "0.0")</f>
        <v>0.0</v>
      </c>
      <c r="U411" s="13" t="str">
        <f>HYPERLINK(AC2 &amp; "/bottle/sn_e9371d3abbb3bb7265bca0cae1ecfff5/rendering/18.xyz", "0.0")</f>
        <v>0.0</v>
      </c>
      <c r="V411" s="13" t="str">
        <f>HYPERLINK(AC2 &amp; "/bottle/sn_e9371d3abbb3bb7265bca0cae1ecfff5/rendering/19.xyz", "0.0")</f>
        <v>0.0</v>
      </c>
      <c r="W411" s="12" t="s">
        <v>33</v>
      </c>
      <c r="X411" s="13">
        <v>0</v>
      </c>
      <c r="Y411" s="13">
        <v>0</v>
      </c>
      <c r="Z411" s="13">
        <v>0</v>
      </c>
    </row>
    <row r="412" spans="1:26" x14ac:dyDescent="0.2">
      <c r="A412" s="1">
        <v>410</v>
      </c>
      <c r="B412" s="2" t="s">
        <v>115</v>
      </c>
      <c r="C412" s="63" t="str">
        <f>HYPERLINK(AA2 &amp; "/bottle/sn_e9c43d992dec67a7ca98b6e96445e3a2/rendering/00.obj", "0.790708770752")</f>
        <v>0.790708770752</v>
      </c>
      <c r="D412" s="60" t="str">
        <f>HYPERLINK(AA2 &amp; "/bottle/sn_e9c43d992dec67a7ca98b6e96445e3a2/rendering/01.obj", "0.668041610718")</f>
        <v>0.668041610718</v>
      </c>
      <c r="E412" s="109" t="str">
        <f>HYPERLINK(AA2 &amp; "/bottle/sn_e9c43d992dec67a7ca98b6e96445e3a2/rendering/02.obj", "0.839501190186")</f>
        <v>0.839501190186</v>
      </c>
      <c r="F412" s="48" t="str">
        <f>HYPERLINK(AA2 &amp; "/bottle/sn_e9c43d992dec67a7ca98b6e96445e3a2/rendering/03.obj", "0.68855178833")</f>
        <v>0.68855178833</v>
      </c>
      <c r="G412" s="71" t="str">
        <f>HYPERLINK(AA2 &amp; "/bottle/sn_e9c43d992dec67a7ca98b6e96445e3a2/rendering/04.obj", "0.621058692932")</f>
        <v>0.621058692932</v>
      </c>
      <c r="H412" s="78" t="str">
        <f>HYPERLINK(AA2 &amp; "/bottle/sn_e9c43d992dec67a7ca98b6e96445e3a2/rendering/05.obj", "0.662378234863")</f>
        <v>0.662378234863</v>
      </c>
      <c r="I412" s="25" t="str">
        <f>HYPERLINK(AA2 &amp; "/bottle/sn_e9c43d992dec67a7ca98b6e96445e3a2/rendering/06.obj", "0.697770233154")</f>
        <v>0.697770233154</v>
      </c>
      <c r="J412" s="42" t="str">
        <f>HYPERLINK(AA2 &amp; "/bottle/sn_e9c43d992dec67a7ca98b6e96445e3a2/rendering/07.obj", "0.607714004517")</f>
        <v>0.607714004517</v>
      </c>
      <c r="K412" s="42" t="str">
        <f>HYPERLINK(AA2 &amp; "/bottle/sn_e9c43d992dec67a7ca98b6e96445e3a2/rendering/08.obj", "0.801180496216")</f>
        <v>0.801180496216</v>
      </c>
      <c r="L412" s="68" t="str">
        <f>HYPERLINK(AA2 &amp; "/bottle/sn_e9c43d992dec67a7ca98b6e96445e3a2/rendering/09.obj", "0.674400024414")</f>
        <v>0.674400024414</v>
      </c>
      <c r="M412" s="51" t="str">
        <f>HYPERLINK(AA2 &amp; "/bottle/sn_e9c43d992dec67a7ca98b6e96445e3a2/rendering/10.obj", "0.762161254883")</f>
        <v>0.762161254883</v>
      </c>
      <c r="N412" s="17" t="str">
        <f>HYPERLINK(AA2 &amp; "/bottle/sn_e9c43d992dec67a7ca98b6e96445e3a2/rendering/11.obj", "0.719044799805")</f>
        <v>0.719044799805</v>
      </c>
      <c r="O412" s="90" t="str">
        <f>HYPERLINK(AA2 &amp; "/bottle/sn_e9c43d992dec67a7ca98b6e96445e3a2/rendering/12.obj", "0.637167015076")</f>
        <v>0.637167015076</v>
      </c>
      <c r="P412" s="27" t="str">
        <f>HYPERLINK(AA2 &amp; "/bottle/sn_e9c43d992dec67a7ca98b6e96445e3a2/rendering/13.obj", "0.75510559082")</f>
        <v>0.75510559082</v>
      </c>
      <c r="Q412" s="60" t="str">
        <f>HYPERLINK(AA2 &amp; "/bottle/sn_e9c43d992dec67a7ca98b6e96445e3a2/rendering/14.obj", "0.668162689209")</f>
        <v>0.668162689209</v>
      </c>
      <c r="R412" s="90" t="str">
        <f>HYPERLINK(AA2 &amp; "/bottle/sn_e9c43d992dec67a7ca98b6e96445e3a2/rendering/15.obj", "0.772667617798")</f>
        <v>0.772667617798</v>
      </c>
      <c r="S412" s="72" t="str">
        <f>HYPERLINK(AA2 &amp; "/bottle/sn_e9c43d992dec67a7ca98b6e96445e3a2/rendering/16.obj", "0.72908782959")</f>
        <v>0.72908782959</v>
      </c>
      <c r="T412" s="72" t="str">
        <f>HYPERLINK(AA2 &amp; "/bottle/sn_e9c43d992dec67a7ca98b6e96445e3a2/rendering/17.obj", "0.728820343018")</f>
        <v>0.728820343018</v>
      </c>
      <c r="U412" s="133" t="str">
        <f>HYPERLINK(AA2 &amp; "/bottle/sn_e9c43d992dec67a7ca98b6e96445e3a2/rendering/18.obj", "0.631974105835")</f>
        <v>0.631974105835</v>
      </c>
      <c r="V412" s="39" t="str">
        <f>HYPERLINK(AA2 &amp; "/bottle/sn_e9c43d992dec67a7ca98b6e96445e3a2/rendering/19.obj", "0.643242721558")</f>
        <v>0.643242721558</v>
      </c>
      <c r="W412" s="12" t="s">
        <v>29</v>
      </c>
      <c r="X412" s="13">
        <v>0.70493695068359385</v>
      </c>
      <c r="Y412" s="13">
        <v>6.4205298606211617E-2</v>
      </c>
      <c r="Z412" s="67">
        <v>9.1079490930288498E-2</v>
      </c>
    </row>
    <row r="413" spans="1:26" x14ac:dyDescent="0.2">
      <c r="A413" s="1">
        <v>411</v>
      </c>
      <c r="B413" s="2" t="s">
        <v>115</v>
      </c>
      <c r="C413" s="79" t="str">
        <f>HYPERLINK(AA2 &amp; "/bottle/sn_e9c43d992dec67a7ca98b6e96445e3a2/rendering/00.obj", "2.28843426704")</f>
        <v>2.28843426704</v>
      </c>
      <c r="D413" s="72" t="str">
        <f>HYPERLINK(AA2 &amp; "/bottle/sn_e9c43d992dec67a7ca98b6e96445e3a2/rendering/01.obj", "1.91157054901")</f>
        <v>1.91157054901</v>
      </c>
      <c r="E413" s="87" t="str">
        <f>HYPERLINK(AA2 &amp; "/bottle/sn_e9c43d992dec67a7ca98b6e96445e3a2/rendering/02.obj", "2.42650032043")</f>
        <v>2.42650032043</v>
      </c>
      <c r="F413" s="46" t="str">
        <f>HYPERLINK(AA2 &amp; "/bottle/sn_e9c43d992dec67a7ca98b6e96445e3a2/rendering/03.obj", "1.94147658348")</f>
        <v>1.94147658348</v>
      </c>
      <c r="G413" s="42" t="str">
        <f>HYPERLINK(AA2 &amp; "/bottle/sn_e9c43d992dec67a7ca98b6e96445e3a2/rendering/04.obj", "1.7061072588")</f>
        <v>1.7061072588</v>
      </c>
      <c r="H413" s="51" t="str">
        <f>HYPERLINK(AA2 &amp; "/bottle/sn_e9c43d992dec67a7ca98b6e96445e3a2/rendering/05.obj", "1.8175599575")</f>
        <v>1.8175599575</v>
      </c>
      <c r="I413" s="60" t="str">
        <f>HYPERLINK(AA2 &amp; "/bottle/sn_e9c43d992dec67a7ca98b6e96445e3a2/rendering/06.obj", "1.87597429752")</f>
        <v>1.87597429752</v>
      </c>
      <c r="J413" s="80" t="str">
        <f>HYPERLINK(AA2 &amp; "/bottle/sn_e9c43d992dec67a7ca98b6e96445e3a2/rendering/07.obj", "1.68564510345")</f>
        <v>1.68564510345</v>
      </c>
      <c r="K413" s="66" t="str">
        <f>HYPERLINK(AA2 &amp; "/bottle/sn_e9c43d992dec67a7ca98b6e96445e3a2/rendering/08.obj", "2.29529714584")</f>
        <v>2.29529714584</v>
      </c>
      <c r="L413" s="78" t="str">
        <f>HYPERLINK(AA2 &amp; "/bottle/sn_e9c43d992dec67a7ca98b6e96445e3a2/rendering/09.obj", "1.85968577862")</f>
        <v>1.85968577862</v>
      </c>
      <c r="M413" s="38" t="str">
        <f>HYPERLINK(AA2 &amp; "/bottle/sn_e9c43d992dec67a7ca98b6e96445e3a2/rendering/10.obj", "2.15438914299")</f>
        <v>2.15438914299</v>
      </c>
      <c r="N413" s="25" t="str">
        <f>HYPERLINK(AA2 &amp; "/bottle/sn_e9c43d992dec67a7ca98b6e96445e3a2/rendering/11.obj", "1.99797379971")</f>
        <v>1.99797379971</v>
      </c>
      <c r="O413" s="106" t="str">
        <f>HYPERLINK(AA2 &amp; "/bottle/sn_e9c43d992dec67a7ca98b6e96445e3a2/rendering/12.obj", "1.75054657459")</f>
        <v>1.75054657459</v>
      </c>
      <c r="P413" s="5" t="str">
        <f>HYPERLINK(AA2 &amp; "/bottle/sn_e9c43d992dec67a7ca98b6e96445e3a2/rendering/13.obj", "2.12846660614")</f>
        <v>2.12846660614</v>
      </c>
      <c r="Q413" s="72" t="str">
        <f>HYPERLINK(AA2 &amp; "/bottle/sn_e9c43d992dec67a7ca98b6e96445e3a2/rendering/14.obj", "1.91174137592")</f>
        <v>1.91174137592</v>
      </c>
      <c r="R413" s="28" t="str">
        <f>HYPERLINK(AA2 &amp; "/bottle/sn_e9c43d992dec67a7ca98b6e96445e3a2/rendering/15.obj", "2.20097136497")</f>
        <v>2.20097136497</v>
      </c>
      <c r="S413" s="46" t="str">
        <f>HYPERLINK(AA2 &amp; "/bottle/sn_e9c43d992dec67a7ca98b6e96445e3a2/rendering/16.obj", "2.01490664482")</f>
        <v>2.01490664482</v>
      </c>
      <c r="T413" s="10" t="str">
        <f>HYPERLINK(AA2 &amp; "/bottle/sn_e9c43d992dec67a7ca98b6e96445e3a2/rendering/17.obj", "2.08846473694")</f>
        <v>2.08846473694</v>
      </c>
      <c r="U413" s="63" t="str">
        <f>HYPERLINK(AA2 &amp; "/bottle/sn_e9c43d992dec67a7ca98b6e96445e3a2/rendering/18.obj", "1.74021029472")</f>
        <v>1.74021029472</v>
      </c>
      <c r="V413" s="33" t="str">
        <f>HYPERLINK(AA2 &amp; "/bottle/sn_e9c43d992dec67a7ca98b6e96445e3a2/rendering/19.obj", "1.76679515839")</f>
        <v>1.76679515839</v>
      </c>
      <c r="W413" s="12" t="s">
        <v>30</v>
      </c>
      <c r="X413" s="13">
        <v>1.978135848045349</v>
      </c>
      <c r="Y413" s="13">
        <v>0.21073694891878689</v>
      </c>
      <c r="Z413" s="32">
        <v>0.1065331024292502</v>
      </c>
    </row>
    <row r="414" spans="1:26" x14ac:dyDescent="0.2">
      <c r="A414" s="1">
        <v>412</v>
      </c>
      <c r="B414" s="2" t="s">
        <v>115</v>
      </c>
      <c r="C414" s="29" t="str">
        <f>HYPERLINK(AB2 &amp; "/bottle/sn_e9c43d992dec67a7ca98b6e96445e3a2/rendering/00.obj", "1.12445137024")</f>
        <v>1.12445137024</v>
      </c>
      <c r="D414" s="38" t="str">
        <f>HYPERLINK(AB2 &amp; "/bottle/sn_e9c43d992dec67a7ca98b6e96445e3a2/rendering/01.obj", "0.904397506714")</f>
        <v>0.904397506714</v>
      </c>
      <c r="E414" s="5" t="str">
        <f>HYPERLINK(AB2 &amp; "/bottle/sn_e9c43d992dec67a7ca98b6e96445e3a2/rendering/02.obj", "1.06952209473")</f>
        <v>1.06952209473</v>
      </c>
      <c r="F414" s="73" t="str">
        <f>HYPERLINK(AB2 &amp; "/bottle/sn_e9c43d992dec67a7ca98b6e96445e3a2/rendering/03.obj", "1.02961883545")</f>
        <v>1.02961883545</v>
      </c>
      <c r="G414" s="74" t="str">
        <f>HYPERLINK(AB2 &amp; "/bottle/sn_e9c43d992dec67a7ca98b6e96445e3a2/rendering/04.obj", "0.979663696289")</f>
        <v>0.979663696289</v>
      </c>
      <c r="H414" s="13" t="str">
        <f>HYPERLINK(AB2 &amp; "/bottle/sn_e9c43d992dec67a7ca98b6e96445e3a2/rendering/05.obj", "0.990660018921")</f>
        <v>0.990660018921</v>
      </c>
      <c r="I414" s="48" t="str">
        <f>HYPERLINK(AB2 &amp; "/bottle/sn_e9c43d992dec67a7ca98b6e96445e3a2/rendering/06.obj", "1.01660827637")</f>
        <v>1.01660827637</v>
      </c>
      <c r="J414" s="66" t="str">
        <f>HYPERLINK(AB2 &amp; "/bottle/sn_e9c43d992dec67a7ca98b6e96445e3a2/rendering/07.obj", "0.833509063721")</f>
        <v>0.833509063721</v>
      </c>
      <c r="K414" s="34" t="str">
        <f>HYPERLINK(AB2 &amp; "/bottle/sn_e9c43d992dec67a7ca98b6e96445e3a2/rendering/08.obj", "0.946299743652")</f>
        <v>0.946299743652</v>
      </c>
      <c r="L414" s="91" t="str">
        <f>HYPERLINK(AB2 &amp; "/bottle/sn_e9c43d992dec67a7ca98b6e96445e3a2/rendering/09.obj", "1.01931838989")</f>
        <v>1.01931838989</v>
      </c>
      <c r="M414" s="68" t="str">
        <f>HYPERLINK(AB2 &amp; "/bottle/sn_e9c43d992dec67a7ca98b6e96445e3a2/rendering/10.obj", "1.03704956055")</f>
        <v>1.03704956055</v>
      </c>
      <c r="N414" s="5" t="str">
        <f>HYPERLINK(AB2 &amp; "/bottle/sn_e9c43d992dec67a7ca98b6e96445e3a2/rendering/11.obj", "1.06953048706")</f>
        <v>1.06953048706</v>
      </c>
      <c r="O414" s="68" t="str">
        <f>HYPERLINK(AB2 &amp; "/bottle/sn_e9c43d992dec67a7ca98b6e96445e3a2/rendering/12.obj", "1.03471389771")</f>
        <v>1.03471389771</v>
      </c>
      <c r="P414" s="35" t="str">
        <f>HYPERLINK(AB2 &amp; "/bottle/sn_e9c43d992dec67a7ca98b6e96445e3a2/rendering/13.obj", "0.935903396606")</f>
        <v>0.935903396606</v>
      </c>
      <c r="Q414" s="79" t="str">
        <f>HYPERLINK(AB2 &amp; "/bottle/sn_e9c43d992dec67a7ca98b6e96445e3a2/rendering/14.obj", "0.835461654663")</f>
        <v>0.835461654663</v>
      </c>
      <c r="R414" s="91" t="str">
        <f>HYPERLINK(AB2 &amp; "/bottle/sn_e9c43d992dec67a7ca98b6e96445e3a2/rendering/15.obj", "0.965629959106")</f>
        <v>0.965629959106</v>
      </c>
      <c r="S414" s="73" t="str">
        <f>HYPERLINK(AB2 &amp; "/bottle/sn_e9c43d992dec67a7ca98b6e96445e3a2/rendering/16.obj", "1.02844963074")</f>
        <v>1.02844963074</v>
      </c>
      <c r="T414" s="68" t="str">
        <f>HYPERLINK(AB2 &amp; "/bottle/sn_e9c43d992dec67a7ca98b6e96445e3a2/rendering/17.obj", "0.950992126465")</f>
        <v>0.950992126465</v>
      </c>
      <c r="U414" s="26" t="str">
        <f>HYPERLINK(AB2 &amp; "/bottle/sn_e9c43d992dec67a7ca98b6e96445e3a2/rendering/18.obj", "1.05717102051")</f>
        <v>1.05717102051</v>
      </c>
      <c r="V414" s="60" t="str">
        <f>HYPERLINK(AB2 &amp; "/bottle/sn_e9c43d992dec67a7ca98b6e96445e3a2/rendering/19.obj", "1.04419578552")</f>
        <v>1.04419578552</v>
      </c>
      <c r="W414" s="12" t="s">
        <v>31</v>
      </c>
      <c r="X414" s="13">
        <v>0.99365732574462895</v>
      </c>
      <c r="Y414" s="13">
        <v>7.3991375429858286E-2</v>
      </c>
      <c r="Z414" s="94">
        <v>7.4463674259544629E-2</v>
      </c>
    </row>
    <row r="415" spans="1:26" x14ac:dyDescent="0.2">
      <c r="A415" s="1">
        <v>413</v>
      </c>
      <c r="B415" s="2" t="s">
        <v>115</v>
      </c>
      <c r="C415" s="106" t="str">
        <f>HYPERLINK(AB2 &amp; "/bottle/sn_e9c43d992dec67a7ca98b6e96445e3a2/rendering/00.obj", "2.43784379959")</f>
        <v>2.43784379959</v>
      </c>
      <c r="D415" s="48" t="str">
        <f>HYPERLINK(AB2 &amp; "/bottle/sn_e9c43d992dec67a7ca98b6e96445e3a2/rendering/01.obj", "2.13142681122")</f>
        <v>2.13142681122</v>
      </c>
      <c r="E415" s="110" t="str">
        <f>HYPERLINK(AB2 &amp; "/bottle/sn_e9c43d992dec67a7ca98b6e96445e3a2/rendering/02.obj", "2.40251922607")</f>
        <v>2.40251922607</v>
      </c>
      <c r="F415" s="17" t="str">
        <f>HYPERLINK(AB2 &amp; "/bottle/sn_e9c43d992dec67a7ca98b6e96445e3a2/rendering/03.obj", "2.23411130905")</f>
        <v>2.23411130905</v>
      </c>
      <c r="G415" s="39" t="str">
        <f>HYPERLINK(AB2 &amp; "/bottle/sn_e9c43d992dec67a7ca98b6e96445e3a2/rendering/04.obj", "1.996560812")</f>
        <v>1.996560812</v>
      </c>
      <c r="H415" s="10" t="str">
        <f>HYPERLINK(AB2 &amp; "/bottle/sn_e9c43d992dec67a7ca98b6e96445e3a2/rendering/05.obj", "2.06895923615")</f>
        <v>2.06895923615</v>
      </c>
      <c r="I415" s="13" t="str">
        <f>HYPERLINK(AB2 &amp; "/bottle/sn_e9c43d992dec67a7ca98b6e96445e3a2/rendering/06.obj", "2.18233013153")</f>
        <v>2.18233013153</v>
      </c>
      <c r="J415" s="8" t="str">
        <f>HYPERLINK(AB2 &amp; "/bottle/sn_e9c43d992dec67a7ca98b6e96445e3a2/rendering/07.obj", "1.87206828594")</f>
        <v>1.87206828594</v>
      </c>
      <c r="K415" s="72" t="str">
        <f>HYPERLINK(AB2 &amp; "/bottle/sn_e9c43d992dec67a7ca98b6e96445e3a2/rendering/08.obj", "2.11179280281")</f>
        <v>2.11179280281</v>
      </c>
      <c r="L415" s="35" t="str">
        <f>HYPERLINK(AB2 &amp; "/bottle/sn_e9c43d992dec67a7ca98b6e96445e3a2/rendering/09.obj", "2.31016206741")</f>
        <v>2.31016206741</v>
      </c>
      <c r="M415" s="47" t="str">
        <f>HYPERLINK(AB2 &amp; "/bottle/sn_e9c43d992dec67a7ca98b6e96445e3a2/rendering/10.obj", "2.20386791229")</f>
        <v>2.20386791229</v>
      </c>
      <c r="N415" s="30" t="str">
        <f>HYPERLINK(AB2 &amp; "/bottle/sn_e9c43d992dec67a7ca98b6e96445e3a2/rendering/11.obj", "2.17582082748")</f>
        <v>2.17582082748</v>
      </c>
      <c r="O415" s="72" t="str">
        <f>HYPERLINK(AB2 &amp; "/bottle/sn_e9c43d992dec67a7ca98b6e96445e3a2/rendering/12.obj", "2.25687193871")</f>
        <v>2.25687193871</v>
      </c>
      <c r="P415" s="74" t="str">
        <f>HYPERLINK(AB2 &amp; "/bottle/sn_e9c43d992dec67a7ca98b6e96445e3a2/rendering/13.obj", "2.21650981903")</f>
        <v>2.21650981903</v>
      </c>
      <c r="Q415" s="38" t="str">
        <f>HYPERLINK(AB2 &amp; "/bottle/sn_e9c43d992dec67a7ca98b6e96445e3a2/rendering/14.obj", "1.98976743221")</f>
        <v>1.98976743221</v>
      </c>
      <c r="R415" s="17" t="str">
        <f>HYPERLINK(AB2 &amp; "/bottle/sn_e9c43d992dec67a7ca98b6e96445e3a2/rendering/15.obj", "2.22969460487")</f>
        <v>2.22969460487</v>
      </c>
      <c r="S415" s="46" t="str">
        <f>HYPERLINK(AB2 &amp; "/bottle/sn_e9c43d992dec67a7ca98b6e96445e3a2/rendering/16.obj", "2.22172379494")</f>
        <v>2.22172379494</v>
      </c>
      <c r="T415" s="48" t="str">
        <f>HYPERLINK(AB2 &amp; "/bottle/sn_e9c43d992dec67a7ca98b6e96445e3a2/rendering/17.obj", "2.23570609093")</f>
        <v>2.23570609093</v>
      </c>
      <c r="U415" s="67" t="str">
        <f>HYPERLINK(AB2 &amp; "/bottle/sn_e9c43d992dec67a7ca98b6e96445e3a2/rendering/18.obj", "2.38531351089")</f>
        <v>2.38531351089</v>
      </c>
      <c r="V415" s="35" t="str">
        <f>HYPERLINK(AB2 &amp; "/bottle/sn_e9c43d992dec67a7ca98b6e96445e3a2/rendering/19.obj", "2.06173610687")</f>
        <v>2.06173610687</v>
      </c>
      <c r="W415" s="12" t="s">
        <v>32</v>
      </c>
      <c r="X415" s="13">
        <v>2.186239326000214</v>
      </c>
      <c r="Y415" s="13">
        <v>0.1397104498772212</v>
      </c>
      <c r="Z415" s="26">
        <v>6.3904462890083238E-2</v>
      </c>
    </row>
    <row r="416" spans="1:26" x14ac:dyDescent="0.2">
      <c r="A416" s="1">
        <v>414</v>
      </c>
      <c r="B416" s="2" t="s">
        <v>115</v>
      </c>
      <c r="C416" s="13" t="str">
        <f>HYPERLINK(AC2 &amp; "/bottle/sn_e9c43d992dec67a7ca98b6e96445e3a2/rendering/00.xyz", "0.0")</f>
        <v>0.0</v>
      </c>
      <c r="D416" s="13" t="str">
        <f>HYPERLINK(AC2 &amp; "/bottle/sn_e9c43d992dec67a7ca98b6e96445e3a2/rendering/01.xyz", "0.0")</f>
        <v>0.0</v>
      </c>
      <c r="E416" s="13" t="str">
        <f>HYPERLINK(AC2 &amp; "/bottle/sn_e9c43d992dec67a7ca98b6e96445e3a2/rendering/02.xyz", "0.0")</f>
        <v>0.0</v>
      </c>
      <c r="F416" s="13" t="str">
        <f>HYPERLINK(AC2 &amp; "/bottle/sn_e9c43d992dec67a7ca98b6e96445e3a2/rendering/03.xyz", "0.0")</f>
        <v>0.0</v>
      </c>
      <c r="G416" s="13" t="str">
        <f>HYPERLINK(AC2 &amp; "/bottle/sn_e9c43d992dec67a7ca98b6e96445e3a2/rendering/04.xyz", "0.0")</f>
        <v>0.0</v>
      </c>
      <c r="H416" s="13" t="str">
        <f>HYPERLINK(AC2 &amp; "/bottle/sn_e9c43d992dec67a7ca98b6e96445e3a2/rendering/05.xyz", "0.0")</f>
        <v>0.0</v>
      </c>
      <c r="I416" s="13" t="str">
        <f>HYPERLINK(AC2 &amp; "/bottle/sn_e9c43d992dec67a7ca98b6e96445e3a2/rendering/06.xyz", "0.0")</f>
        <v>0.0</v>
      </c>
      <c r="J416" s="13" t="str">
        <f>HYPERLINK(AC2 &amp; "/bottle/sn_e9c43d992dec67a7ca98b6e96445e3a2/rendering/07.xyz", "0.0")</f>
        <v>0.0</v>
      </c>
      <c r="K416" s="13" t="str">
        <f>HYPERLINK(AC2 &amp; "/bottle/sn_e9c43d992dec67a7ca98b6e96445e3a2/rendering/08.xyz", "0.0")</f>
        <v>0.0</v>
      </c>
      <c r="L416" s="13" t="str">
        <f>HYPERLINK(AC2 &amp; "/bottle/sn_e9c43d992dec67a7ca98b6e96445e3a2/rendering/09.xyz", "0.0")</f>
        <v>0.0</v>
      </c>
      <c r="M416" s="13" t="str">
        <f>HYPERLINK(AC2 &amp; "/bottle/sn_e9c43d992dec67a7ca98b6e96445e3a2/rendering/10.xyz", "0.0")</f>
        <v>0.0</v>
      </c>
      <c r="N416" s="13" t="str">
        <f>HYPERLINK(AC2 &amp; "/bottle/sn_e9c43d992dec67a7ca98b6e96445e3a2/rendering/11.xyz", "0.0")</f>
        <v>0.0</v>
      </c>
      <c r="O416" s="13" t="str">
        <f>HYPERLINK(AC2 &amp; "/bottle/sn_e9c43d992dec67a7ca98b6e96445e3a2/rendering/12.xyz", "0.0")</f>
        <v>0.0</v>
      </c>
      <c r="P416" s="13" t="str">
        <f>HYPERLINK(AC2 &amp; "/bottle/sn_e9c43d992dec67a7ca98b6e96445e3a2/rendering/13.xyz", "0.0")</f>
        <v>0.0</v>
      </c>
      <c r="Q416" s="13" t="str">
        <f>HYPERLINK(AC2 &amp; "/bottle/sn_e9c43d992dec67a7ca98b6e96445e3a2/rendering/14.xyz", "0.0")</f>
        <v>0.0</v>
      </c>
      <c r="R416" s="13" t="str">
        <f>HYPERLINK(AC2 &amp; "/bottle/sn_e9c43d992dec67a7ca98b6e96445e3a2/rendering/15.xyz", "0.0")</f>
        <v>0.0</v>
      </c>
      <c r="S416" s="13" t="str">
        <f>HYPERLINK(AC2 &amp; "/bottle/sn_e9c43d992dec67a7ca98b6e96445e3a2/rendering/16.xyz", "0.0")</f>
        <v>0.0</v>
      </c>
      <c r="T416" s="13" t="str">
        <f>HYPERLINK(AC2 &amp; "/bottle/sn_e9c43d992dec67a7ca98b6e96445e3a2/rendering/17.xyz", "0.0")</f>
        <v>0.0</v>
      </c>
      <c r="U416" s="13" t="str">
        <f>HYPERLINK(AC2 &amp; "/bottle/sn_e9c43d992dec67a7ca98b6e96445e3a2/rendering/18.xyz", "0.0")</f>
        <v>0.0</v>
      </c>
      <c r="V416" s="13" t="str">
        <f>HYPERLINK(AC2 &amp; "/bottle/sn_e9c43d992dec67a7ca98b6e96445e3a2/rendering/19.xyz", "0.0")</f>
        <v>0.0</v>
      </c>
      <c r="W416" s="12" t="s">
        <v>33</v>
      </c>
      <c r="X416" s="13">
        <v>0</v>
      </c>
      <c r="Y416" s="13">
        <v>0</v>
      </c>
      <c r="Z416" s="13">
        <v>0</v>
      </c>
    </row>
    <row r="417" spans="1:26" x14ac:dyDescent="0.2">
      <c r="A417" s="1">
        <v>415</v>
      </c>
      <c r="B417" s="2" t="s">
        <v>116</v>
      </c>
      <c r="C417" s="112" t="str">
        <f>HYPERLINK(AA2 &amp; "/bottle/sn_ed55f39e04668bf9837048966ef3fcb9/rendering/00.obj", "4.7601550293")</f>
        <v>4.7601550293</v>
      </c>
      <c r="D417" s="48" t="str">
        <f>HYPERLINK(AA2 &amp; "/bottle/sn_ed55f39e04668bf9837048966ef3fcb9/rendering/01.obj", "2.9219418335")</f>
        <v>2.9219418335</v>
      </c>
      <c r="E417" s="94" t="str">
        <f>HYPERLINK(AA2 &amp; "/bottle/sn_ed55f39e04668bf9837048966ef3fcb9/rendering/02.obj", "2.76428161621")</f>
        <v>2.76428161621</v>
      </c>
      <c r="F417" s="37" t="str">
        <f>HYPERLINK(AA2 &amp; "/bottle/sn_ed55f39e04668bf9837048966ef3fcb9/rendering/03.obj", "2.46435638428")</f>
        <v>2.46435638428</v>
      </c>
      <c r="G417" s="107" t="str">
        <f>HYPERLINK(AA2 &amp; "/bottle/sn_ed55f39e04668bf9837048966ef3fcb9/rendering/04.obj", "3.23511291504")</f>
        <v>3.23511291504</v>
      </c>
      <c r="H417" s="106" t="str">
        <f>HYPERLINK(AA2 &amp; "/bottle/sn_ed55f39e04668bf9837048966ef3fcb9/rendering/05.obj", "2.64859863281")</f>
        <v>2.64859863281</v>
      </c>
      <c r="I417" s="107" t="str">
        <f>HYPERLINK(AA2 &amp; "/bottle/sn_ed55f39e04668bf9837048966ef3fcb9/rendering/06.obj", "3.24049682617")</f>
        <v>3.24049682617</v>
      </c>
      <c r="J417" s="122" t="str">
        <f>HYPERLINK(AA2 &amp; "/bottle/sn_ed55f39e04668bf9837048966ef3fcb9/rendering/07.obj", "4.19515991211")</f>
        <v>4.19515991211</v>
      </c>
      <c r="K417" s="81" t="str">
        <f>HYPERLINK(AA2 &amp; "/bottle/sn_ed55f39e04668bf9837048966ef3fcb9/rendering/08.obj", "2.33316467285")</f>
        <v>2.33316467285</v>
      </c>
      <c r="L417" s="29" t="str">
        <f>HYPERLINK(AA2 &amp; "/bottle/sn_ed55f39e04668bf9837048966ef3fcb9/rendering/09.obj", "2.5960736084")</f>
        <v>2.5960736084</v>
      </c>
      <c r="M417" s="134" t="str">
        <f>HYPERLINK(AA2 &amp; "/bottle/sn_ed55f39e04668bf9837048966ef3fcb9/rendering/10.obj", "2.4475390625")</f>
        <v>2.4475390625</v>
      </c>
      <c r="N417" s="13" t="str">
        <f>HYPERLINK(AA2 &amp; "/bottle/sn_ed55f39e04668bf9837048966ef3fcb9/rendering/11.obj", "2.98330169678")</f>
        <v>2.98330169678</v>
      </c>
      <c r="O417" s="51" t="str">
        <f>HYPERLINK(AA2 &amp; "/bottle/sn_ed55f39e04668bf9837048966ef3fcb9/rendering/12.obj", "2.75118804932")</f>
        <v>2.75118804932</v>
      </c>
      <c r="P417" s="110" t="str">
        <f>HYPERLINK(AA2 &amp; "/bottle/sn_ed55f39e04668bf9837048966ef3fcb9/rendering/13.obj", "2.69102722168")</f>
        <v>2.69102722168</v>
      </c>
      <c r="Q417" s="82" t="str">
        <f>HYPERLINK(AA2 &amp; "/bottle/sn_ed55f39e04668bf9837048966ef3fcb9/rendering/14.obj", "2.37098098755")</f>
        <v>2.37098098755</v>
      </c>
      <c r="R417" s="55" t="str">
        <f>HYPERLINK(AA2 &amp; "/bottle/sn_ed55f39e04668bf9837048966ef3fcb9/rendering/15.obj", "2.41481460571")</f>
        <v>2.41481460571</v>
      </c>
      <c r="S417" s="18" t="str">
        <f>HYPERLINK(AA2 &amp; "/bottle/sn_ed55f39e04668bf9837048966ef3fcb9/rendering/16.obj", "4.71413513184")</f>
        <v>4.71413513184</v>
      </c>
      <c r="T417" s="60" t="str">
        <f>HYPERLINK(AA2 &amp; "/bottle/sn_ed55f39e04668bf9837048966ef3fcb9/rendering/17.obj", "2.83760375977")</f>
        <v>2.83760375977</v>
      </c>
      <c r="U417" s="74" t="str">
        <f>HYPERLINK(AA2 &amp; "/bottle/sn_ed55f39e04668bf9837048966ef3fcb9/rendering/18.obj", "2.94408569336")</f>
        <v>2.94408569336</v>
      </c>
      <c r="V417" s="76" t="str">
        <f>HYPERLINK(AA2 &amp; "/bottle/sn_ed55f39e04668bf9837048966ef3fcb9/rendering/19.obj", "2.43894561768")</f>
        <v>2.43894561768</v>
      </c>
      <c r="W417" s="12" t="s">
        <v>29</v>
      </c>
      <c r="X417" s="13">
        <v>2.987648162841797</v>
      </c>
      <c r="Y417" s="13">
        <v>0.71414312571330707</v>
      </c>
      <c r="Z417" s="59">
        <v>0.23903186948024929</v>
      </c>
    </row>
    <row r="418" spans="1:26" x14ac:dyDescent="0.2">
      <c r="A418" s="1">
        <v>416</v>
      </c>
      <c r="B418" s="2" t="s">
        <v>116</v>
      </c>
      <c r="C418" s="20" t="str">
        <f>HYPERLINK(AA2 &amp; "/bottle/sn_ed55f39e04668bf9837048966ef3fcb9/rendering/00.obj", "7.80009412766")</f>
        <v>7.80009412766</v>
      </c>
      <c r="D418" s="10" t="str">
        <f>HYPERLINK(AA2 &amp; "/bottle/sn_ed55f39e04668bf9837048966ef3fcb9/rendering/01.obj", "3.77254033089")</f>
        <v>3.77254033089</v>
      </c>
      <c r="E418" s="36" t="str">
        <f>HYPERLINK(AA2 &amp; "/bottle/sn_ed55f39e04668bf9837048966ef3fcb9/rendering/02.obj", "3.12471461296")</f>
        <v>3.12471461296</v>
      </c>
      <c r="F418" s="120" t="str">
        <f>HYPERLINK(AA2 &amp; "/bottle/sn_ed55f39e04668bf9837048966ef3fcb9/rendering/03.obj", "3.13822937012")</f>
        <v>3.13822937012</v>
      </c>
      <c r="G418" s="23" t="str">
        <f>HYPERLINK(AA2 &amp; "/bottle/sn_ed55f39e04668bf9837048966ef3fcb9/rendering/04.obj", "4.14670133591")</f>
        <v>4.14670133591</v>
      </c>
      <c r="H418" s="28" t="str">
        <f>HYPERLINK(AA2 &amp; "/bottle/sn_ed55f39e04668bf9837048966ef3fcb9/rendering/05.obj", "3.53541016579")</f>
        <v>3.53541016579</v>
      </c>
      <c r="I418" s="43" t="str">
        <f>HYPERLINK(AA2 &amp; "/bottle/sn_ed55f39e04668bf9837048966ef3fcb9/rendering/06.obj", "5.48197984695")</f>
        <v>5.48197984695</v>
      </c>
      <c r="J418" s="19" t="str">
        <f>HYPERLINK(AA2 &amp; "/bottle/sn_ed55f39e04668bf9837048966ef3fcb9/rendering/07.obj", "5.02846050262")</f>
        <v>5.02846050262</v>
      </c>
      <c r="K418" s="4" t="str">
        <f>HYPERLINK(AA2 &amp; "/bottle/sn_ed55f39e04668bf9837048966ef3fcb9/rendering/08.obj", "2.84753966331")</f>
        <v>2.84753966331</v>
      </c>
      <c r="L418" s="80" t="str">
        <f>HYPERLINK(AA2 &amp; "/bottle/sn_ed55f39e04668bf9837048966ef3fcb9/rendering/09.obj", "3.39354014397")</f>
        <v>3.39354014397</v>
      </c>
      <c r="M418" s="49" t="str">
        <f>HYPERLINK(AA2 &amp; "/bottle/sn_ed55f39e04668bf9837048966ef3fcb9/rendering/10.obj", "3.15598917007")</f>
        <v>3.15598917007</v>
      </c>
      <c r="N418" s="33" t="str">
        <f>HYPERLINK(AA2 &amp; "/bottle/sn_ed55f39e04668bf9837048966ef3fcb9/rendering/11.obj", "3.5544154644")</f>
        <v>3.5544154644</v>
      </c>
      <c r="O418" s="81" t="str">
        <f>HYPERLINK(AA2 &amp; "/bottle/sn_ed55f39e04668bf9837048966ef3fcb9/rendering/12.obj", "3.11391806602")</f>
        <v>3.11391806602</v>
      </c>
      <c r="P418" s="35" t="str">
        <f>HYPERLINK(AA2 &amp; "/bottle/sn_ed55f39e04668bf9837048966ef3fcb9/rendering/13.obj", "3.7503964901")</f>
        <v>3.7503964901</v>
      </c>
      <c r="Q418" s="75" t="str">
        <f>HYPERLINK(AA2 &amp; "/bottle/sn_ed55f39e04668bf9837048966ef3fcb9/rendering/14.obj", "3.09936690331")</f>
        <v>3.09936690331</v>
      </c>
      <c r="R418" s="11" t="str">
        <f>HYPERLINK(AA2 &amp; "/bottle/sn_ed55f39e04668bf9837048966ef3fcb9/rendering/15.obj", "3.09628510475")</f>
        <v>3.09628510475</v>
      </c>
      <c r="S418" s="239" t="str">
        <f>HYPERLINK(AA2 &amp; "/bottle/sn_ed55f39e04668bf9837048966ef3fcb9/rendering/16.obj", "6.40184545517")</f>
        <v>6.40184545517</v>
      </c>
      <c r="T418" s="80" t="str">
        <f>HYPERLINK(AA2 &amp; "/bottle/sn_ed55f39e04668bf9837048966ef3fcb9/rendering/17.obj", "3.38867068291")</f>
        <v>3.38867068291</v>
      </c>
      <c r="U418" s="75" t="str">
        <f>HYPERLINK(AA2 &amp; "/bottle/sn_ed55f39e04668bf9837048966ef3fcb9/rendering/18.obj", "4.8715839386")</f>
        <v>4.8715839386</v>
      </c>
      <c r="V418" s="108" t="str">
        <f>HYPERLINK(AA2 &amp; "/bottle/sn_ed55f39e04668bf9837048966ef3fcb9/rendering/19.obj", "3.00185012817")</f>
        <v>3.00185012817</v>
      </c>
      <c r="W418" s="12" t="s">
        <v>30</v>
      </c>
      <c r="X418" s="13">
        <v>3.985176575183869</v>
      </c>
      <c r="Y418" s="13">
        <v>1.274144434256409</v>
      </c>
      <c r="Z418" s="176">
        <v>0.31972094842438009</v>
      </c>
    </row>
    <row r="419" spans="1:26" x14ac:dyDescent="0.2">
      <c r="A419" s="1">
        <v>417</v>
      </c>
      <c r="B419" s="2" t="s">
        <v>116</v>
      </c>
      <c r="C419" s="13" t="str">
        <f>HYPERLINK(AB2 &amp; "/bottle/sn_ed55f39e04668bf9837048966ef3fcb9/rendering/00.obj", "3.19439941406")</f>
        <v>3.19439941406</v>
      </c>
      <c r="D419" s="35" t="str">
        <f>HYPERLINK(AB2 &amp; "/bottle/sn_ed55f39e04668bf9837048966ef3fcb9/rendering/01.obj", "3.37026794434")</f>
        <v>3.37026794434</v>
      </c>
      <c r="E419" s="35" t="str">
        <f>HYPERLINK(AB2 &amp; "/bottle/sn_ed55f39e04668bf9837048966ef3fcb9/rendering/02.obj", "3.37572753906")</f>
        <v>3.37572753906</v>
      </c>
      <c r="F419" s="107" t="str">
        <f>HYPERLINK(AB2 &amp; "/bottle/sn_ed55f39e04668bf9837048966ef3fcb9/rendering/03.obj", "3.45429321289")</f>
        <v>3.45429321289</v>
      </c>
      <c r="G419" s="34" t="str">
        <f>HYPERLINK(AB2 &amp; "/bottle/sn_ed55f39e04668bf9837048966ef3fcb9/rendering/04.obj", "3.34534179688")</f>
        <v>3.34534179688</v>
      </c>
      <c r="H419" s="35" t="str">
        <f>HYPERLINK(AB2 &amp; "/bottle/sn_ed55f39e04668bf9837048966ef3fcb9/rendering/05.obj", "3.36908691406")</f>
        <v>3.36908691406</v>
      </c>
      <c r="I419" s="47" t="str">
        <f>HYPERLINK(AB2 &amp; "/bottle/sn_ed55f39e04668bf9837048966ef3fcb9/rendering/06.obj", "3.20655426025")</f>
        <v>3.20655426025</v>
      </c>
      <c r="J419" s="47" t="str">
        <f>HYPERLINK(AB2 &amp; "/bottle/sn_ed55f39e04668bf9837048966ef3fcb9/rendering/07.obj", "3.15898773193")</f>
        <v>3.15898773193</v>
      </c>
      <c r="K419" s="60" t="str">
        <f>HYPERLINK(AB2 &amp; "/bottle/sn_ed55f39e04668bf9837048966ef3fcb9/rendering/08.obj", "3.35606689453")</f>
        <v>3.35606689453</v>
      </c>
      <c r="L419" s="10" t="str">
        <f>HYPERLINK(AB2 &amp; "/bottle/sn_ed55f39e04668bf9837048966ef3fcb9/rendering/09.obj", "3.00720153809")</f>
        <v>3.00720153809</v>
      </c>
      <c r="M419" s="31" t="str">
        <f>HYPERLINK(AB2 &amp; "/bottle/sn_ed55f39e04668bf9837048966ef3fcb9/rendering/10.obj", "3.6798248291")</f>
        <v>3.6798248291</v>
      </c>
      <c r="N419" s="25" t="str">
        <f>HYPERLINK(AB2 &amp; "/bottle/sn_ed55f39e04668bf9837048966ef3fcb9/rendering/11.obj", "3.14906402588")</f>
        <v>3.14906402588</v>
      </c>
      <c r="O419" s="93" t="str">
        <f>HYPERLINK(AB2 &amp; "/bottle/sn_ed55f39e04668bf9837048966ef3fcb9/rendering/12.obj", "2.73891601563")</f>
        <v>2.73891601563</v>
      </c>
      <c r="P419" s="91" t="str">
        <f>HYPERLINK(AB2 &amp; "/bottle/sn_ed55f39e04668bf9837048966ef3fcb9/rendering/13.obj", "3.27230926514")</f>
        <v>3.27230926514</v>
      </c>
      <c r="Q419" s="79" t="str">
        <f>HYPERLINK(AB2 &amp; "/bottle/sn_ed55f39e04668bf9837048966ef3fcb9/rendering/14.obj", "2.67733032227")</f>
        <v>2.67733032227</v>
      </c>
      <c r="R419" s="25" t="str">
        <f>HYPERLINK(AB2 &amp; "/bottle/sn_ed55f39e04668bf9837048966ef3fcb9/rendering/15.obj", "3.15605285645")</f>
        <v>3.15605285645</v>
      </c>
      <c r="S419" s="30" t="str">
        <f>HYPERLINK(AB2 &amp; "/bottle/sn_ed55f39e04668bf9837048966ef3fcb9/rendering/16.obj", "3.17396881104")</f>
        <v>3.17396881104</v>
      </c>
      <c r="T419" s="32" t="str">
        <f>HYPERLINK(AB2 &amp; "/bottle/sn_ed55f39e04668bf9837048966ef3fcb9/rendering/17.obj", "2.85124206543")</f>
        <v>2.85124206543</v>
      </c>
      <c r="U419" s="46" t="str">
        <f>HYPERLINK(AB2 &amp; "/bottle/sn_ed55f39e04668bf9837048966ef3fcb9/rendering/18.obj", "3.13043334961")</f>
        <v>3.13043334961</v>
      </c>
      <c r="V419" s="23" t="str">
        <f>HYPERLINK(AB2 &amp; "/bottle/sn_ed55f39e04668bf9837048966ef3fcb9/rendering/19.obj", "3.06375457764")</f>
        <v>3.06375457764</v>
      </c>
      <c r="W419" s="12" t="s">
        <v>31</v>
      </c>
      <c r="X419" s="13">
        <v>3.1865411682128908</v>
      </c>
      <c r="Y419" s="13">
        <v>0.23509498713679361</v>
      </c>
      <c r="Z419" s="94">
        <v>7.3777483084783727E-2</v>
      </c>
    </row>
    <row r="420" spans="1:26" x14ac:dyDescent="0.2">
      <c r="A420" s="1">
        <v>418</v>
      </c>
      <c r="B420" s="2" t="s">
        <v>116</v>
      </c>
      <c r="C420" s="66" t="str">
        <f>HYPERLINK(AB2 &amp; "/bottle/sn_ed55f39e04668bf9837048966ef3fcb9/rendering/00.obj", "2.79191160202")</f>
        <v>2.79191160202</v>
      </c>
      <c r="D420" s="92" t="str">
        <f>HYPERLINK(AB2 &amp; "/bottle/sn_ed55f39e04668bf9837048966ef3fcb9/rendering/01.obj", "2.92263579369")</f>
        <v>2.92263579369</v>
      </c>
      <c r="E420" s="46" t="str">
        <f>HYPERLINK(AB2 &amp; "/bottle/sn_ed55f39e04668bf9837048966ef3fcb9/rendering/02.obj", "3.3910677433")</f>
        <v>3.3910677433</v>
      </c>
      <c r="F420" s="90" t="str">
        <f>HYPERLINK(AB2 &amp; "/bottle/sn_ed55f39e04668bf9837048966ef3fcb9/rendering/03.obj", "3.0169005394")</f>
        <v>3.0169005394</v>
      </c>
      <c r="G420" s="42" t="str">
        <f>HYPERLINK(AB2 &amp; "/bottle/sn_ed55f39e04668bf9837048966ef3fcb9/rendering/04.obj", "2.88068962097")</f>
        <v>2.88068962097</v>
      </c>
      <c r="H420" s="40" t="str">
        <f>HYPERLINK(AB2 &amp; "/bottle/sn_ed55f39e04668bf9837048966ef3fcb9/rendering/05.obj", "3.90116500854")</f>
        <v>3.90116500854</v>
      </c>
      <c r="I420" s="48" t="str">
        <f>HYPERLINK(AB2 &amp; "/bottle/sn_ed55f39e04668bf9837048966ef3fcb9/rendering/06.obj", "3.25679135323")</f>
        <v>3.25679135323</v>
      </c>
      <c r="J420" s="25" t="str">
        <f>HYPERLINK(AB2 &amp; "/bottle/sn_ed55f39e04668bf9837048966ef3fcb9/rendering/07.obj", "3.37254738808")</f>
        <v>3.37254738808</v>
      </c>
      <c r="K420" s="67" t="str">
        <f>HYPERLINK(AB2 &amp; "/bottle/sn_ed55f39e04668bf9837048966ef3fcb9/rendering/08.obj", "3.64091849327")</f>
        <v>3.64091849327</v>
      </c>
      <c r="L420" s="25" t="str">
        <f>HYPERLINK(AB2 &amp; "/bottle/sn_ed55f39e04668bf9837048966ef3fcb9/rendering/09.obj", "3.36609911919")</f>
        <v>3.36609911919</v>
      </c>
      <c r="M420" s="47" t="str">
        <f>HYPERLINK(AB2 &amp; "/bottle/sn_ed55f39e04668bf9837048966ef3fcb9/rendering/10.obj", "3.35710692406")</f>
        <v>3.35710692406</v>
      </c>
      <c r="N420" s="10" t="str">
        <f>HYPERLINK(AB2 &amp; "/bottle/sn_ed55f39e04668bf9837048966ef3fcb9/rendering/11.obj", "3.14518332481")</f>
        <v>3.14518332481</v>
      </c>
      <c r="O420" s="13" t="str">
        <f>HYPERLINK(AB2 &amp; "/bottle/sn_ed55f39e04668bf9837048966ef3fcb9/rendering/12.obj", "3.32255363464")</f>
        <v>3.32255363464</v>
      </c>
      <c r="P420" s="32" t="str">
        <f>HYPERLINK(AB2 &amp; "/bottle/sn_ed55f39e04668bf9837048966ef3fcb9/rendering/13.obj", "3.68423199654")</f>
        <v>3.68423199654</v>
      </c>
      <c r="Q420" s="47" t="str">
        <f>HYPERLINK(AB2 &amp; "/bottle/sn_ed55f39e04668bf9837048966ef3fcb9/rendering/14.obj", "3.30787777901")</f>
        <v>3.30787777901</v>
      </c>
      <c r="R420" s="170" t="str">
        <f>HYPERLINK(AB2 &amp; "/bottle/sn_ed55f39e04668bf9837048966ef3fcb9/rendering/15.obj", "4.17324018478")</f>
        <v>4.17324018478</v>
      </c>
      <c r="S420" s="25" t="str">
        <f>HYPERLINK(AB2 &amp; "/bottle/sn_ed55f39e04668bf9837048966ef3fcb9/rendering/16.obj", "3.29824829102")</f>
        <v>3.29824829102</v>
      </c>
      <c r="T420" s="60" t="str">
        <f>HYPERLINK(AB2 &amp; "/bottle/sn_ed55f39e04668bf9837048966ef3fcb9/rendering/17.obj", "3.15978717804")</f>
        <v>3.15978717804</v>
      </c>
      <c r="U420" s="48" t="str">
        <f>HYPERLINK(AB2 &amp; "/bottle/sn_ed55f39e04668bf9837048966ef3fcb9/rendering/18.obj", "3.40617585182")</f>
        <v>3.40617585182</v>
      </c>
      <c r="V420" s="91" t="str">
        <f>HYPERLINK(AB2 &amp; "/bottle/sn_ed55f39e04668bf9837048966ef3fcb9/rendering/19.obj", "3.2457587719")</f>
        <v>3.2457587719</v>
      </c>
      <c r="W420" s="12" t="s">
        <v>32</v>
      </c>
      <c r="X420" s="13">
        <v>3.3320445299148558</v>
      </c>
      <c r="Y420" s="13">
        <v>0.32444300369259121</v>
      </c>
      <c r="Z420" s="110">
        <v>9.7370548556528977E-2</v>
      </c>
    </row>
    <row r="421" spans="1:26" x14ac:dyDescent="0.2">
      <c r="A421" s="1">
        <v>419</v>
      </c>
      <c r="B421" s="2" t="s">
        <v>116</v>
      </c>
      <c r="C421" s="13" t="str">
        <f>HYPERLINK(AC2 &amp; "/bottle/sn_ed55f39e04668bf9837048966ef3fcb9/rendering/00.xyz", "0.0")</f>
        <v>0.0</v>
      </c>
      <c r="D421" s="13" t="str">
        <f>HYPERLINK(AC2 &amp; "/bottle/sn_ed55f39e04668bf9837048966ef3fcb9/rendering/01.xyz", "0.0")</f>
        <v>0.0</v>
      </c>
      <c r="E421" s="13" t="str">
        <f>HYPERLINK(AC2 &amp; "/bottle/sn_ed55f39e04668bf9837048966ef3fcb9/rendering/02.xyz", "0.0")</f>
        <v>0.0</v>
      </c>
      <c r="F421" s="13" t="str">
        <f>HYPERLINK(AC2 &amp; "/bottle/sn_ed55f39e04668bf9837048966ef3fcb9/rendering/03.xyz", "0.0")</f>
        <v>0.0</v>
      </c>
      <c r="G421" s="13" t="str">
        <f>HYPERLINK(AC2 &amp; "/bottle/sn_ed55f39e04668bf9837048966ef3fcb9/rendering/04.xyz", "0.0")</f>
        <v>0.0</v>
      </c>
      <c r="H421" s="13" t="str">
        <f>HYPERLINK(AC2 &amp; "/bottle/sn_ed55f39e04668bf9837048966ef3fcb9/rendering/05.xyz", "0.0")</f>
        <v>0.0</v>
      </c>
      <c r="I421" s="13" t="str">
        <f>HYPERLINK(AC2 &amp; "/bottle/sn_ed55f39e04668bf9837048966ef3fcb9/rendering/06.xyz", "0.0")</f>
        <v>0.0</v>
      </c>
      <c r="J421" s="13" t="str">
        <f>HYPERLINK(AC2 &amp; "/bottle/sn_ed55f39e04668bf9837048966ef3fcb9/rendering/07.xyz", "0.0")</f>
        <v>0.0</v>
      </c>
      <c r="K421" s="13" t="str">
        <f>HYPERLINK(AC2 &amp; "/bottle/sn_ed55f39e04668bf9837048966ef3fcb9/rendering/08.xyz", "0.0")</f>
        <v>0.0</v>
      </c>
      <c r="L421" s="13" t="str">
        <f>HYPERLINK(AC2 &amp; "/bottle/sn_ed55f39e04668bf9837048966ef3fcb9/rendering/09.xyz", "0.0")</f>
        <v>0.0</v>
      </c>
      <c r="M421" s="13" t="str">
        <f>HYPERLINK(AC2 &amp; "/bottle/sn_ed55f39e04668bf9837048966ef3fcb9/rendering/10.xyz", "0.0")</f>
        <v>0.0</v>
      </c>
      <c r="N421" s="13" t="str">
        <f>HYPERLINK(AC2 &amp; "/bottle/sn_ed55f39e04668bf9837048966ef3fcb9/rendering/11.xyz", "0.0")</f>
        <v>0.0</v>
      </c>
      <c r="O421" s="13" t="str">
        <f>HYPERLINK(AC2 &amp; "/bottle/sn_ed55f39e04668bf9837048966ef3fcb9/rendering/12.xyz", "0.0")</f>
        <v>0.0</v>
      </c>
      <c r="P421" s="13" t="str">
        <f>HYPERLINK(AC2 &amp; "/bottle/sn_ed55f39e04668bf9837048966ef3fcb9/rendering/13.xyz", "0.0")</f>
        <v>0.0</v>
      </c>
      <c r="Q421" s="13" t="str">
        <f>HYPERLINK(AC2 &amp; "/bottle/sn_ed55f39e04668bf9837048966ef3fcb9/rendering/14.xyz", "0.0")</f>
        <v>0.0</v>
      </c>
      <c r="R421" s="13" t="str">
        <f>HYPERLINK(AC2 &amp; "/bottle/sn_ed55f39e04668bf9837048966ef3fcb9/rendering/15.xyz", "0.0")</f>
        <v>0.0</v>
      </c>
      <c r="S421" s="13" t="str">
        <f>HYPERLINK(AC2 &amp; "/bottle/sn_ed55f39e04668bf9837048966ef3fcb9/rendering/16.xyz", "0.0")</f>
        <v>0.0</v>
      </c>
      <c r="T421" s="13" t="str">
        <f>HYPERLINK(AC2 &amp; "/bottle/sn_ed55f39e04668bf9837048966ef3fcb9/rendering/17.xyz", "0.0")</f>
        <v>0.0</v>
      </c>
      <c r="U421" s="13" t="str">
        <f>HYPERLINK(AC2 &amp; "/bottle/sn_ed55f39e04668bf9837048966ef3fcb9/rendering/18.xyz", "0.0")</f>
        <v>0.0</v>
      </c>
      <c r="V421" s="13" t="str">
        <f>HYPERLINK(AC2 &amp; "/bottle/sn_ed55f39e04668bf9837048966ef3fcb9/rendering/19.xyz", "0.0")</f>
        <v>0.0</v>
      </c>
      <c r="W421" s="12" t="s">
        <v>33</v>
      </c>
      <c r="X421" s="13">
        <v>0</v>
      </c>
      <c r="Y421" s="13">
        <v>0</v>
      </c>
      <c r="Z421" s="13">
        <v>0</v>
      </c>
    </row>
    <row r="422" spans="1:26" x14ac:dyDescent="0.2">
      <c r="A422" s="1">
        <v>420</v>
      </c>
      <c r="B422" s="2" t="s">
        <v>117</v>
      </c>
      <c r="C422" s="106" t="str">
        <f>HYPERLINK(AA2 &amp; "/bottle/sn_ee007f1aac12fbe549a44197486ae284/rendering/00.obj", "3.1338583374")</f>
        <v>3.1338583374</v>
      </c>
      <c r="D422" s="27" t="str">
        <f>HYPERLINK(AA2 &amp; "/bottle/sn_ee007f1aac12fbe549a44197486ae284/rendering/01.obj", "3.29108276367")</f>
        <v>3.29108276367</v>
      </c>
      <c r="E422" s="66" t="str">
        <f>HYPERLINK(AA2 &amp; "/bottle/sn_ee007f1aac12fbe549a44197486ae284/rendering/02.obj", "2.96866210937")</f>
        <v>2.96866210937</v>
      </c>
      <c r="F422" s="25" t="str">
        <f>HYPERLINK(AA2 &amp; "/bottle/sn_ee007f1aac12fbe549a44197486ae284/rendering/03.obj", "3.57312591553")</f>
        <v>3.57312591553</v>
      </c>
      <c r="G422" s="44" t="str">
        <f>HYPERLINK(AA2 &amp; "/bottle/sn_ee007f1aac12fbe549a44197486ae284/rendering/04.obj", "2.84371582031")</f>
        <v>2.84371582031</v>
      </c>
      <c r="H422" s="49" t="str">
        <f>HYPERLINK(AA2 &amp; "/bottle/sn_ee007f1aac12fbe549a44197486ae284/rendering/05.obj", "2.80283325195")</f>
        <v>2.80283325195</v>
      </c>
      <c r="I422" s="73" t="str">
        <f>HYPERLINK(AA2 &amp; "/bottle/sn_ee007f1aac12fbe549a44197486ae284/rendering/06.obj", "3.4064453125")</f>
        <v>3.4064453125</v>
      </c>
      <c r="J422" s="60" t="str">
        <f>HYPERLINK(AA2 &amp; "/bottle/sn_ee007f1aac12fbe549a44197486ae284/rendering/07.obj", "3.71771362305")</f>
        <v>3.71771362305</v>
      </c>
      <c r="K422" s="34" t="str">
        <f>HYPERLINK(AA2 &amp; "/bottle/sn_ee007f1aac12fbe549a44197486ae284/rendering/08.obj", "3.70707214355")</f>
        <v>3.70707214355</v>
      </c>
      <c r="L422" s="28" t="str">
        <f>HYPERLINK(AA2 &amp; "/bottle/sn_ee007f1aac12fbe549a44197486ae284/rendering/09.obj", "3.14329925537")</f>
        <v>3.14329925537</v>
      </c>
      <c r="M422" s="70" t="str">
        <f>HYPERLINK(AA2 &amp; "/bottle/sn_ee007f1aac12fbe549a44197486ae284/rendering/10.obj", "3.08796295166")</f>
        <v>3.08796295166</v>
      </c>
      <c r="N422" s="59" t="str">
        <f>HYPERLINK(AA2 &amp; "/bottle/sn_ee007f1aac12fbe549a44197486ae284/rendering/11.obj", "4.39066131592")</f>
        <v>4.39066131592</v>
      </c>
      <c r="O422" s="74" t="str">
        <f>HYPERLINK(AA2 &amp; "/bottle/sn_ee007f1aac12fbe549a44197486ae284/rendering/12.obj", "3.59103118896")</f>
        <v>3.59103118896</v>
      </c>
      <c r="P422" s="78" t="str">
        <f>HYPERLINK(AA2 &amp; "/bottle/sn_ee007f1aac12fbe549a44197486ae284/rendering/13.obj", "3.74987792969")</f>
        <v>3.74987792969</v>
      </c>
      <c r="Q422" s="32" t="str">
        <f>HYPERLINK(AA2 &amp; "/bottle/sn_ee007f1aac12fbe549a44197486ae284/rendering/14.obj", "3.16215454102")</f>
        <v>3.16215454102</v>
      </c>
      <c r="R422" s="17" t="str">
        <f>HYPERLINK(AA2 &amp; "/bottle/sn_ee007f1aac12fbe549a44197486ae284/rendering/15.obj", "3.46741241455")</f>
        <v>3.46741241455</v>
      </c>
      <c r="S422" s="10" t="str">
        <f>HYPERLINK(AA2 &amp; "/bottle/sn_ee007f1aac12fbe549a44197486ae284/rendering/16.obj", "3.3458682251")</f>
        <v>3.3458682251</v>
      </c>
      <c r="T422" s="106" t="str">
        <f>HYPERLINK(AA2 &amp; "/bottle/sn_ee007f1aac12fbe549a44197486ae284/rendering/17.obj", "3.13004638672")</f>
        <v>3.13004638672</v>
      </c>
      <c r="U422" s="155" t="str">
        <f>HYPERLINK(AA2 &amp; "/bottle/sn_ee007f1aac12fbe549a44197486ae284/rendering/18.obj", "5.92669067383")</f>
        <v>5.92669067383</v>
      </c>
      <c r="V422" s="11" t="str">
        <f>HYPERLINK(AA2 &amp; "/bottle/sn_ee007f1aac12fbe549a44197486ae284/rendering/19.obj", "4.327918396")</f>
        <v>4.327918396</v>
      </c>
      <c r="W422" s="12" t="s">
        <v>29</v>
      </c>
      <c r="X422" s="13">
        <v>3.5383716278076172</v>
      </c>
      <c r="Y422" s="13">
        <v>0.68785246556812629</v>
      </c>
      <c r="Z422" s="55">
        <v>0.194398027658367</v>
      </c>
    </row>
    <row r="423" spans="1:26" x14ac:dyDescent="0.2">
      <c r="A423" s="1">
        <v>421</v>
      </c>
      <c r="B423" s="2" t="s">
        <v>117</v>
      </c>
      <c r="C423" s="78" t="str">
        <f>HYPERLINK(AA2 &amp; "/bottle/sn_ee007f1aac12fbe549a44197486ae284/rendering/00.obj", "6.03740262985")</f>
        <v>6.03740262985</v>
      </c>
      <c r="D423" s="30" t="str">
        <f>HYPERLINK(AA2 &amp; "/bottle/sn_ee007f1aac12fbe549a44197486ae284/rendering/01.obj", "6.47244119644")</f>
        <v>6.47244119644</v>
      </c>
      <c r="E423" s="26" t="str">
        <f>HYPERLINK(AA2 &amp; "/bottle/sn_ee007f1aac12fbe549a44197486ae284/rendering/02.obj", "6.0254650116")</f>
        <v>6.0254650116</v>
      </c>
      <c r="F423" s="60" t="str">
        <f>HYPERLINK(AA2 &amp; "/bottle/sn_ee007f1aac12fbe549a44197486ae284/rendering/03.obj", "6.0980963707")</f>
        <v>6.0980963707</v>
      </c>
      <c r="G423" s="41" t="str">
        <f>HYPERLINK(AA2 &amp; "/bottle/sn_ee007f1aac12fbe549a44197486ae284/rendering/04.obj", "6.01044988632")</f>
        <v>6.01044988632</v>
      </c>
      <c r="H423" s="27" t="str">
        <f>HYPERLINK(AA2 &amp; "/bottle/sn_ee007f1aac12fbe549a44197486ae284/rendering/05.obj", "5.97617387772")</f>
        <v>5.97617387772</v>
      </c>
      <c r="I423" s="94" t="str">
        <f>HYPERLINK(AA2 &amp; "/bottle/sn_ee007f1aac12fbe549a44197486ae284/rendering/06.obj", "5.95471811295")</f>
        <v>5.95471811295</v>
      </c>
      <c r="J423" s="47" t="str">
        <f>HYPERLINK(AA2 &amp; "/bottle/sn_ee007f1aac12fbe549a44197486ae284/rendering/07.obj", "6.48838567734")</f>
        <v>6.48838567734</v>
      </c>
      <c r="K423" s="78" t="str">
        <f>HYPERLINK(AA2 &amp; "/bottle/sn_ee007f1aac12fbe549a44197486ae284/rendering/08.obj", "6.05285787582")</f>
        <v>6.05285787582</v>
      </c>
      <c r="L423" s="38" t="str">
        <f>HYPERLINK(AA2 &amp; "/bottle/sn_ee007f1aac12fbe549a44197486ae284/rendering/09.obj", "5.86014223099")</f>
        <v>5.86014223099</v>
      </c>
      <c r="M423" s="94" t="str">
        <f>HYPERLINK(AA2 &amp; "/bottle/sn_ee007f1aac12fbe549a44197486ae284/rendering/10.obj", "5.96164941788")</f>
        <v>5.96164941788</v>
      </c>
      <c r="N423" s="94" t="str">
        <f>HYPERLINK(AA2 &amp; "/bottle/sn_ee007f1aac12fbe549a44197486ae284/rendering/11.obj", "6.90771961212")</f>
        <v>6.90771961212</v>
      </c>
      <c r="O423" s="17" t="str">
        <f>HYPERLINK(AA2 &amp; "/bottle/sn_ee007f1aac12fbe549a44197486ae284/rendering/12.obj", "6.3023276329")</f>
        <v>6.3023276329</v>
      </c>
      <c r="P423" s="68" t="str">
        <f>HYPERLINK(AA2 &amp; "/bottle/sn_ee007f1aac12fbe549a44197486ae284/rendering/13.obj", "6.15963459015")</f>
        <v>6.15963459015</v>
      </c>
      <c r="Q423" s="73" t="str">
        <f>HYPERLINK(AA2 &amp; "/bottle/sn_ee007f1aac12fbe549a44197486ae284/rendering/14.obj", "6.205555439")</f>
        <v>6.205555439</v>
      </c>
      <c r="R423" s="27" t="str">
        <f>HYPERLINK(AA2 &amp; "/bottle/sn_ee007f1aac12fbe549a44197486ae284/rendering/15.obj", "5.98787736893")</f>
        <v>5.98787736893</v>
      </c>
      <c r="S423" s="110" t="str">
        <f>HYPERLINK(AA2 &amp; "/bottle/sn_ee007f1aac12fbe549a44197486ae284/rendering/16.obj", "5.80779838562")</f>
        <v>5.80779838562</v>
      </c>
      <c r="T423" s="26" t="str">
        <f>HYPERLINK(AA2 &amp; "/bottle/sn_ee007f1aac12fbe549a44197486ae284/rendering/17.obj", "6.02656984329")</f>
        <v>6.02656984329</v>
      </c>
      <c r="U423" s="217" t="str">
        <f>HYPERLINK(AA2 &amp; "/bottle/sn_ee007f1aac12fbe549a44197486ae284/rendering/18.obj", "10.5015974045")</f>
        <v>10.5015974045</v>
      </c>
      <c r="V423" s="175" t="str">
        <f>HYPERLINK(AA2 &amp; "/bottle/sn_ee007f1aac12fbe549a44197486ae284/rendering/19.obj", "7.93423318863")</f>
        <v>7.93423318863</v>
      </c>
      <c r="W423" s="12" t="s">
        <v>30</v>
      </c>
      <c r="X423" s="13">
        <v>6.4385547876358036</v>
      </c>
      <c r="Y423" s="13">
        <v>1.0411499056226561</v>
      </c>
      <c r="Z423" s="66">
        <v>0.16170552864161611</v>
      </c>
    </row>
    <row r="424" spans="1:26" x14ac:dyDescent="0.2">
      <c r="A424" s="1">
        <v>422</v>
      </c>
      <c r="B424" s="2" t="s">
        <v>117</v>
      </c>
      <c r="C424" s="38" t="str">
        <f>HYPERLINK(AB2 &amp; "/bottle/sn_ee007f1aac12fbe549a44197486ae284/rendering/00.obj", "3.96477661133")</f>
        <v>3.96477661133</v>
      </c>
      <c r="D424" s="60" t="str">
        <f>HYPERLINK(AB2 &amp; "/bottle/sn_ee007f1aac12fbe549a44197486ae284/rendering/01.obj", "4.56977722168")</f>
        <v>4.56977722168</v>
      </c>
      <c r="E424" s="90" t="str">
        <f>HYPERLINK(AB2 &amp; "/bottle/sn_ee007f1aac12fbe549a44197486ae284/rendering/02.obj", "3.92805480957")</f>
        <v>3.92805480957</v>
      </c>
      <c r="F424" s="41" t="str">
        <f>HYPERLINK(AB2 &amp; "/bottle/sn_ee007f1aac12fbe549a44197486ae284/rendering/03.obj", "4.05590362549")</f>
        <v>4.05590362549</v>
      </c>
      <c r="G424" s="32" t="str">
        <f>HYPERLINK(AB2 &amp; "/bottle/sn_ee007f1aac12fbe549a44197486ae284/rendering/04.obj", "3.88841247559")</f>
        <v>3.88841247559</v>
      </c>
      <c r="H424" s="17" t="str">
        <f>HYPERLINK(AB2 &amp; "/bottle/sn_ee007f1aac12fbe549a44197486ae284/rendering/05.obj", "4.2586126709")</f>
        <v>4.2586126709</v>
      </c>
      <c r="I424" s="74" t="str">
        <f>HYPERLINK(AB2 &amp; "/bottle/sn_ee007f1aac12fbe549a44197486ae284/rendering/06.obj", "4.41559204102")</f>
        <v>4.41559204102</v>
      </c>
      <c r="J424" s="13" t="str">
        <f>HYPERLINK(AB2 &amp; "/bottle/sn_ee007f1aac12fbe549a44197486ae284/rendering/07.obj", "4.36198394775")</f>
        <v>4.36198394775</v>
      </c>
      <c r="K424" s="17" t="str">
        <f>HYPERLINK(AB2 &amp; "/bottle/sn_ee007f1aac12fbe549a44197486ae284/rendering/08.obj", "4.26600158691")</f>
        <v>4.26600158691</v>
      </c>
      <c r="L424" s="90" t="str">
        <f>HYPERLINK(AB2 &amp; "/bottle/sn_ee007f1aac12fbe549a44197486ae284/rendering/09.obj", "3.9383895874")</f>
        <v>3.9383895874</v>
      </c>
      <c r="M424" s="6" t="str">
        <f>HYPERLINK(AB2 &amp; "/bottle/sn_ee007f1aac12fbe549a44197486ae284/rendering/10.obj", "4.55208221436")</f>
        <v>4.55208221436</v>
      </c>
      <c r="N424" s="25" t="str">
        <f>HYPERLINK(AB2 &amp; "/bottle/sn_ee007f1aac12fbe549a44197486ae284/rendering/11.obj", "4.40071594238")</f>
        <v>4.40071594238</v>
      </c>
      <c r="O424" s="69" t="str">
        <f>HYPERLINK(AB2 &amp; "/bottle/sn_ee007f1aac12fbe549a44197486ae284/rendering/12.obj", "4.21900238037")</f>
        <v>4.21900238037</v>
      </c>
      <c r="P424" s="48" t="str">
        <f>HYPERLINK(AB2 &amp; "/bottle/sn_ee007f1aac12fbe549a44197486ae284/rendering/13.obj", "4.24160400391")</f>
        <v>4.24160400391</v>
      </c>
      <c r="Q424" s="74" t="str">
        <f>HYPERLINK(AB2 &amp; "/bottle/sn_ee007f1aac12fbe549a44197486ae284/rendering/14.obj", "4.40679382324")</f>
        <v>4.40679382324</v>
      </c>
      <c r="R424" s="73" t="str">
        <f>HYPERLINK(AB2 &amp; "/bottle/sn_ee007f1aac12fbe549a44197486ae284/rendering/15.obj", "4.18790527344")</f>
        <v>4.18790527344</v>
      </c>
      <c r="S424" s="10" t="str">
        <f>HYPERLINK(AB2 &amp; "/bottle/sn_ee007f1aac12fbe549a44197486ae284/rendering/16.obj", "4.59434204102")</f>
        <v>4.59434204102</v>
      </c>
      <c r="T424" s="5" t="str">
        <f>HYPERLINK(AB2 &amp; "/bottle/sn_ee007f1aac12fbe549a44197486ae284/rendering/17.obj", "4.02054748535")</f>
        <v>4.02054748535</v>
      </c>
      <c r="U424" s="109" t="str">
        <f>HYPERLINK(AB2 &amp; "/bottle/sn_ee007f1aac12fbe549a44197486ae284/rendering/18.obj", "5.17793823242")</f>
        <v>5.17793823242</v>
      </c>
      <c r="V424" s="113" t="str">
        <f>HYPERLINK(AB2 &amp; "/bottle/sn_ee007f1aac12fbe549a44197486ae284/rendering/19.obj", "5.54332763672")</f>
        <v>5.54332763672</v>
      </c>
      <c r="W424" s="12" t="s">
        <v>31</v>
      </c>
      <c r="X424" s="13">
        <v>4.3495881805419927</v>
      </c>
      <c r="Y424" s="13">
        <v>0.40268721057410639</v>
      </c>
      <c r="Z424" s="67">
        <v>9.2580537250753811E-2</v>
      </c>
    </row>
    <row r="425" spans="1:26" x14ac:dyDescent="0.2">
      <c r="A425" s="1">
        <v>423</v>
      </c>
      <c r="B425" s="2" t="s">
        <v>117</v>
      </c>
      <c r="C425" s="91" t="str">
        <f>HYPERLINK(AB2 &amp; "/bottle/sn_ee007f1aac12fbe549a44197486ae284/rendering/00.obj", "6.2394785881")</f>
        <v>6.2394785881</v>
      </c>
      <c r="D425" s="47" t="str">
        <f>HYPERLINK(AB2 &amp; "/bottle/sn_ee007f1aac12fbe549a44197486ae284/rendering/01.obj", "6.35812234879")</f>
        <v>6.35812234879</v>
      </c>
      <c r="E425" s="107" t="str">
        <f>HYPERLINK(AB2 &amp; "/bottle/sn_ee007f1aac12fbe549a44197486ae284/rendering/02.obj", "5.86921596527")</f>
        <v>5.86921596527</v>
      </c>
      <c r="F425" s="35" t="str">
        <f>HYPERLINK(AB2 &amp; "/bottle/sn_ee007f1aac12fbe549a44197486ae284/rendering/03.obj", "6.03504610062")</f>
        <v>6.03504610062</v>
      </c>
      <c r="G425" s="32" t="str">
        <f>HYPERLINK(AB2 &amp; "/bottle/sn_ee007f1aac12fbe549a44197486ae284/rendering/04.obj", "5.74320316315")</f>
        <v>5.74320316315</v>
      </c>
      <c r="H425" s="48" t="str">
        <f>HYPERLINK(AB2 &amp; "/bottle/sn_ee007f1aac12fbe549a44197486ae284/rendering/05.obj", "6.25850391388")</f>
        <v>6.25850391388</v>
      </c>
      <c r="I425" s="17" t="str">
        <f>HYPERLINK(AB2 &amp; "/bottle/sn_ee007f1aac12fbe549a44197486ae284/rendering/06.obj", "6.27282714844")</f>
        <v>6.27282714844</v>
      </c>
      <c r="J425" s="17" t="str">
        <f>HYPERLINK(AB2 &amp; "/bottle/sn_ee007f1aac12fbe549a44197486ae284/rendering/07.obj", "6.28735876083")</f>
        <v>6.28735876083</v>
      </c>
      <c r="K425" s="69" t="str">
        <f>HYPERLINK(AB2 &amp; "/bottle/sn_ee007f1aac12fbe549a44197486ae284/rendering/08.obj", "6.59972190857")</f>
        <v>6.59972190857</v>
      </c>
      <c r="L425" s="71" t="str">
        <f>HYPERLINK(AB2 &amp; "/bottle/sn_ee007f1aac12fbe549a44197486ae284/rendering/09.obj", "5.64995193481")</f>
        <v>5.64995193481</v>
      </c>
      <c r="M425" s="30" t="str">
        <f>HYPERLINK(AB2 &amp; "/bottle/sn_ee007f1aac12fbe549a44197486ae284/rendering/10.obj", "6.38121891022")</f>
        <v>6.38121891022</v>
      </c>
      <c r="N425" s="41" t="str">
        <f>HYPERLINK(AB2 &amp; "/bottle/sn_ee007f1aac12fbe549a44197486ae284/rendering/11.obj", "6.84807872772")</f>
        <v>6.84807872772</v>
      </c>
      <c r="O425" s="72" t="str">
        <f>HYPERLINK(AB2 &amp; "/bottle/sn_ee007f1aac12fbe549a44197486ae284/rendering/12.obj", "6.2012834549")</f>
        <v>6.2012834549</v>
      </c>
      <c r="P425" s="13" t="str">
        <f>HYPERLINK(AB2 &amp; "/bottle/sn_ee007f1aac12fbe549a44197486ae284/rendering/13.obj", "6.42254734039")</f>
        <v>6.42254734039</v>
      </c>
      <c r="Q425" s="23" t="str">
        <f>HYPERLINK(AB2 &amp; "/bottle/sn_ee007f1aac12fbe549a44197486ae284/rendering/14.obj", "6.66910505295")</f>
        <v>6.66910505295</v>
      </c>
      <c r="R425" s="69" t="str">
        <f>HYPERLINK(AB2 &amp; "/bottle/sn_ee007f1aac12fbe549a44197486ae284/rendering/15.obj", "6.59862709045")</f>
        <v>6.59862709045</v>
      </c>
      <c r="S425" s="5" t="str">
        <f>HYPERLINK(AB2 &amp; "/bottle/sn_ee007f1aac12fbe549a44197486ae284/rendering/16.obj", "6.90361356735")</f>
        <v>6.90361356735</v>
      </c>
      <c r="T425" s="60" t="str">
        <f>HYPERLINK(AB2 &amp; "/bottle/sn_ee007f1aac12fbe549a44197486ae284/rendering/17.obj", "6.08098745346")</f>
        <v>6.08098745346</v>
      </c>
      <c r="U425" s="32" t="str">
        <f>HYPERLINK(AB2 &amp; "/bottle/sn_ee007f1aac12fbe549a44197486ae284/rendering/18.obj", "7.09150600433")</f>
        <v>7.09150600433</v>
      </c>
      <c r="V425" s="50" t="str">
        <f>HYPERLINK(AB2 &amp; "/bottle/sn_ee007f1aac12fbe549a44197486ae284/rendering/19.obj", "7.6834230423")</f>
        <v>7.6834230423</v>
      </c>
      <c r="W425" s="12" t="s">
        <v>32</v>
      </c>
      <c r="X425" s="13">
        <v>6.4096910238265989</v>
      </c>
      <c r="Y425" s="13">
        <v>0.46674595859936818</v>
      </c>
      <c r="Z425" s="94">
        <v>7.2818792179583078E-2</v>
      </c>
    </row>
    <row r="426" spans="1:26" x14ac:dyDescent="0.2">
      <c r="A426" s="1">
        <v>424</v>
      </c>
      <c r="B426" s="2" t="s">
        <v>117</v>
      </c>
      <c r="C426" s="13" t="str">
        <f>HYPERLINK(AC2 &amp; "/bottle/sn_ee007f1aac12fbe549a44197486ae284/rendering/00.xyz", "0.0")</f>
        <v>0.0</v>
      </c>
      <c r="D426" s="13" t="str">
        <f>HYPERLINK(AC2 &amp; "/bottle/sn_ee007f1aac12fbe549a44197486ae284/rendering/01.xyz", "0.0")</f>
        <v>0.0</v>
      </c>
      <c r="E426" s="13" t="str">
        <f>HYPERLINK(AC2 &amp; "/bottle/sn_ee007f1aac12fbe549a44197486ae284/rendering/02.xyz", "0.0")</f>
        <v>0.0</v>
      </c>
      <c r="F426" s="13" t="str">
        <f>HYPERLINK(AC2 &amp; "/bottle/sn_ee007f1aac12fbe549a44197486ae284/rendering/03.xyz", "0.0")</f>
        <v>0.0</v>
      </c>
      <c r="G426" s="13" t="str">
        <f>HYPERLINK(AC2 &amp; "/bottle/sn_ee007f1aac12fbe549a44197486ae284/rendering/04.xyz", "0.0")</f>
        <v>0.0</v>
      </c>
      <c r="H426" s="13" t="str">
        <f>HYPERLINK(AC2 &amp; "/bottle/sn_ee007f1aac12fbe549a44197486ae284/rendering/05.xyz", "0.0")</f>
        <v>0.0</v>
      </c>
      <c r="I426" s="13" t="str">
        <f>HYPERLINK(AC2 &amp; "/bottle/sn_ee007f1aac12fbe549a44197486ae284/rendering/06.xyz", "0.0")</f>
        <v>0.0</v>
      </c>
      <c r="J426" s="13" t="str">
        <f>HYPERLINK(AC2 &amp; "/bottle/sn_ee007f1aac12fbe549a44197486ae284/rendering/07.xyz", "0.0")</f>
        <v>0.0</v>
      </c>
      <c r="K426" s="13" t="str">
        <f>HYPERLINK(AC2 &amp; "/bottle/sn_ee007f1aac12fbe549a44197486ae284/rendering/08.xyz", "0.0")</f>
        <v>0.0</v>
      </c>
      <c r="L426" s="13" t="str">
        <f>HYPERLINK(AC2 &amp; "/bottle/sn_ee007f1aac12fbe549a44197486ae284/rendering/09.xyz", "0.0")</f>
        <v>0.0</v>
      </c>
      <c r="M426" s="13" t="str">
        <f>HYPERLINK(AC2 &amp; "/bottle/sn_ee007f1aac12fbe549a44197486ae284/rendering/10.xyz", "0.0")</f>
        <v>0.0</v>
      </c>
      <c r="N426" s="13" t="str">
        <f>HYPERLINK(AC2 &amp; "/bottle/sn_ee007f1aac12fbe549a44197486ae284/rendering/11.xyz", "0.0")</f>
        <v>0.0</v>
      </c>
      <c r="O426" s="13" t="str">
        <f>HYPERLINK(AC2 &amp; "/bottle/sn_ee007f1aac12fbe549a44197486ae284/rendering/12.xyz", "0.0")</f>
        <v>0.0</v>
      </c>
      <c r="P426" s="13" t="str">
        <f>HYPERLINK(AC2 &amp; "/bottle/sn_ee007f1aac12fbe549a44197486ae284/rendering/13.xyz", "0.0")</f>
        <v>0.0</v>
      </c>
      <c r="Q426" s="13" t="str">
        <f>HYPERLINK(AC2 &amp; "/bottle/sn_ee007f1aac12fbe549a44197486ae284/rendering/14.xyz", "0.0")</f>
        <v>0.0</v>
      </c>
      <c r="R426" s="13" t="str">
        <f>HYPERLINK(AC2 &amp; "/bottle/sn_ee007f1aac12fbe549a44197486ae284/rendering/15.xyz", "0.0")</f>
        <v>0.0</v>
      </c>
      <c r="S426" s="13" t="str">
        <f>HYPERLINK(AC2 &amp; "/bottle/sn_ee007f1aac12fbe549a44197486ae284/rendering/16.xyz", "0.0")</f>
        <v>0.0</v>
      </c>
      <c r="T426" s="13" t="str">
        <f>HYPERLINK(AC2 &amp; "/bottle/sn_ee007f1aac12fbe549a44197486ae284/rendering/17.xyz", "0.0")</f>
        <v>0.0</v>
      </c>
      <c r="U426" s="13" t="str">
        <f>HYPERLINK(AC2 &amp; "/bottle/sn_ee007f1aac12fbe549a44197486ae284/rendering/18.xyz", "0.0")</f>
        <v>0.0</v>
      </c>
      <c r="V426" s="13" t="str">
        <f>HYPERLINK(AC2 &amp; "/bottle/sn_ee007f1aac12fbe549a44197486ae284/rendering/19.xyz", "0.0")</f>
        <v>0.0</v>
      </c>
      <c r="W426" s="12" t="s">
        <v>33</v>
      </c>
      <c r="X426" s="13">
        <v>0</v>
      </c>
      <c r="Y426" s="13">
        <v>0</v>
      </c>
      <c r="Z426" s="13">
        <v>0</v>
      </c>
    </row>
    <row r="427" spans="1:26" x14ac:dyDescent="0.2">
      <c r="A427" s="1">
        <v>425</v>
      </c>
      <c r="B427" s="2" t="s">
        <v>118</v>
      </c>
      <c r="C427" s="78" t="str">
        <f>HYPERLINK(AA2 &amp; "/bottle/sn_ee3ca78e36c6a7b2a367d39c852840d5/rendering/00.obj", "2.86114685059")</f>
        <v>2.86114685059</v>
      </c>
      <c r="D427" s="29" t="str">
        <f>HYPERLINK(AA2 &amp; "/bottle/sn_ee3ca78e36c6a7b2a367d39c852840d5/rendering/01.obj", "3.4472076416")</f>
        <v>3.4472076416</v>
      </c>
      <c r="E427" s="41" t="str">
        <f>HYPERLINK(AA2 &amp; "/bottle/sn_ee3ca78e36c6a7b2a367d39c852840d5/rendering/02.obj", "2.84460723877")</f>
        <v>2.84460723877</v>
      </c>
      <c r="F427" s="34" t="str">
        <f>HYPERLINK(AA2 &amp; "/bottle/sn_ee3ca78e36c6a7b2a367d39c852840d5/rendering/03.obj", "3.19813598633")</f>
        <v>3.19813598633</v>
      </c>
      <c r="G427" s="34" t="str">
        <f>HYPERLINK(AA2 &amp; "/bottle/sn_ee3ca78e36c6a7b2a367d39c852840d5/rendering/04.obj", "2.90234161377")</f>
        <v>2.90234161377</v>
      </c>
      <c r="H427" s="68" t="str">
        <f>HYPERLINK(AA2 &amp; "/bottle/sn_ee3ca78e36c6a7b2a367d39c852840d5/rendering/05.obj", "3.18018005371")</f>
        <v>3.18018005371</v>
      </c>
      <c r="I427" s="55" t="str">
        <f>HYPERLINK(AA2 &amp; "/bottle/sn_ee3ca78e36c6a7b2a367d39c852840d5/rendering/06.obj", "3.63962036133")</f>
        <v>3.63962036133</v>
      </c>
      <c r="J427" s="13" t="str">
        <f>HYPERLINK(AA2 &amp; "/bottle/sn_ee3ca78e36c6a7b2a367d39c852840d5/rendering/07.obj", "3.04673522949")</f>
        <v>3.04673522949</v>
      </c>
      <c r="K427" s="110" t="str">
        <f>HYPERLINK(AA2 &amp; "/bottle/sn_ee3ca78e36c6a7b2a367d39c852840d5/rendering/08.obj", "2.74535522461")</f>
        <v>2.74535522461</v>
      </c>
      <c r="L427" s="48" t="str">
        <f>HYPERLINK(AA2 &amp; "/bottle/sn_ee3ca78e36c6a7b2a367d39c852840d5/rendering/09.obj", "2.97877197266")</f>
        <v>2.97877197266</v>
      </c>
      <c r="M427" s="46" t="str">
        <f>HYPERLINK(AA2 &amp; "/bottle/sn_ee3ca78e36c6a7b2a367d39c852840d5/rendering/10.obj", "3.10378112793")</f>
        <v>3.10378112793</v>
      </c>
      <c r="N427" s="68" t="str">
        <f>HYPERLINK(AA2 &amp; "/bottle/sn_ee3ca78e36c6a7b2a367d39c852840d5/rendering/11.obj", "2.91986450195")</f>
        <v>2.91986450195</v>
      </c>
      <c r="O427" s="84" t="str">
        <f>HYPERLINK(AA2 &amp; "/bottle/sn_ee3ca78e36c6a7b2a367d39c852840d5/rendering/12.obj", "3.4940335083")</f>
        <v>3.4940335083</v>
      </c>
      <c r="P427" s="5" t="str">
        <f>HYPERLINK(AA2 &amp; "/bottle/sn_ee3ca78e36c6a7b2a367d39c852840d5/rendering/13.obj", "3.2826776123")</f>
        <v>3.2826776123</v>
      </c>
      <c r="Q427" s="38" t="str">
        <f>HYPERLINK(AA2 &amp; "/bottle/sn_ee3ca78e36c6a7b2a367d39c852840d5/rendering/14.obj", "2.77623718262")</f>
        <v>2.77623718262</v>
      </c>
      <c r="R427" s="65" t="str">
        <f>HYPERLINK(AA2 &amp; "/bottle/sn_ee3ca78e36c6a7b2a367d39c852840d5/rendering/15.obj", "2.64832092285")</f>
        <v>2.64832092285</v>
      </c>
      <c r="S427" s="110" t="str">
        <f>HYPERLINK(AA2 &amp; "/bottle/sn_ee3ca78e36c6a7b2a367d39c852840d5/rendering/16.obj", "2.75318725586")</f>
        <v>2.75318725586</v>
      </c>
      <c r="T427" s="6" t="str">
        <f>HYPERLINK(AA2 &amp; "/bottle/sn_ee3ca78e36c6a7b2a367d39c852840d5/rendering/17.obj", "3.19249359131")</f>
        <v>3.19249359131</v>
      </c>
      <c r="U427" s="90" t="str">
        <f>HYPERLINK(AA2 &amp; "/bottle/sn_ee3ca78e36c6a7b2a367d39c852840d5/rendering/18.obj", "3.34649414062")</f>
        <v>3.34649414062</v>
      </c>
      <c r="V427" s="92" t="str">
        <f>HYPERLINK(AA2 &amp; "/bottle/sn_ee3ca78e36c6a7b2a367d39c852840d5/rendering/19.obj", "2.67020019531")</f>
        <v>2.67020019531</v>
      </c>
      <c r="W427" s="12" t="s">
        <v>29</v>
      </c>
      <c r="X427" s="13">
        <v>3.051569610595704</v>
      </c>
      <c r="Y427" s="13">
        <v>0.28193957630863842</v>
      </c>
      <c r="Z427" s="67">
        <v>9.2391658158373247E-2</v>
      </c>
    </row>
    <row r="428" spans="1:26" x14ac:dyDescent="0.2">
      <c r="A428" s="1">
        <v>426</v>
      </c>
      <c r="B428" s="2" t="s">
        <v>118</v>
      </c>
      <c r="C428" s="60" t="str">
        <f>HYPERLINK(AA2 &amp; "/bottle/sn_ee3ca78e36c6a7b2a367d39c852840d5/rendering/00.obj", "1.83300542831")</f>
        <v>1.83300542831</v>
      </c>
      <c r="D428" s="193" t="str">
        <f>HYPERLINK(AA2 &amp; "/bottle/sn_ee3ca78e36c6a7b2a367d39c852840d5/rendering/01.obj", "2.57712602615")</f>
        <v>2.57712602615</v>
      </c>
      <c r="E428" s="39" t="str">
        <f>HYPERLINK(AA2 &amp; "/bottle/sn_ee3ca78e36c6a7b2a367d39c852840d5/rendering/02.obj", "1.7652554512")</f>
        <v>1.7652554512</v>
      </c>
      <c r="F428" s="23" t="str">
        <f>HYPERLINK(AA2 &amp; "/bottle/sn_ee3ca78e36c6a7b2a367d39c852840d5/rendering/03.obj", "2.0101120472")</f>
        <v>2.0101120472</v>
      </c>
      <c r="G428" s="78" t="str">
        <f>HYPERLINK(AA2 &amp; "/bottle/sn_ee3ca78e36c6a7b2a367d39c852840d5/rendering/04.obj", "1.81385302544")</f>
        <v>1.81385302544</v>
      </c>
      <c r="H428" s="73" t="str">
        <f>HYPERLINK(AA2 &amp; "/bottle/sn_ee3ca78e36c6a7b2a367d39c852840d5/rendering/05.obj", "1.86767804623")</f>
        <v>1.86767804623</v>
      </c>
      <c r="I428" s="85" t="str">
        <f>HYPERLINK(AA2 &amp; "/bottle/sn_ee3ca78e36c6a7b2a367d39c852840d5/rendering/06.obj", "2.51036691666")</f>
        <v>2.51036691666</v>
      </c>
      <c r="J428" s="72" t="str">
        <f>HYPERLINK(AA2 &amp; "/bottle/sn_ee3ca78e36c6a7b2a367d39c852840d5/rendering/07.obj", "1.86807239056")</f>
        <v>1.86807239056</v>
      </c>
      <c r="K428" s="92" t="str">
        <f>HYPERLINK(AA2 &amp; "/bottle/sn_ee3ca78e36c6a7b2a367d39c852840d5/rendering/08.obj", "1.69456601143")</f>
        <v>1.69456601143</v>
      </c>
      <c r="L428" s="26" t="str">
        <f>HYPERLINK(AA2 &amp; "/bottle/sn_ee3ca78e36c6a7b2a367d39c852840d5/rendering/09.obj", "1.80838418007")</f>
        <v>1.80838418007</v>
      </c>
      <c r="M428" s="72" t="str">
        <f>HYPERLINK(AA2 &amp; "/bottle/sn_ee3ca78e36c6a7b2a367d39c852840d5/rendering/10.obj", "1.8716520071")</f>
        <v>1.8716520071</v>
      </c>
      <c r="N428" s="38" t="str">
        <f>HYPERLINK(AA2 &amp; "/bottle/sn_ee3ca78e36c6a7b2a367d39c852840d5/rendering/11.obj", "1.76336026192")</f>
        <v>1.76336026192</v>
      </c>
      <c r="O428" s="92" t="str">
        <f>HYPERLINK(AA2 &amp; "/bottle/sn_ee3ca78e36c6a7b2a367d39c852840d5/rendering/12.obj", "2.17496728897")</f>
        <v>2.17496728897</v>
      </c>
      <c r="P428" s="46" t="str">
        <f>HYPERLINK(AA2 &amp; "/bottle/sn_ee3ca78e36c6a7b2a367d39c852840d5/rendering/13.obj", "1.90252900124")</f>
        <v>1.90252900124</v>
      </c>
      <c r="Q428" s="23" t="str">
        <f>HYPERLINK(AA2 &amp; "/bottle/sn_ee3ca78e36c6a7b2a367d39c852840d5/rendering/14.obj", "1.86086952686")</f>
        <v>1.86086952686</v>
      </c>
      <c r="R428" s="33" t="str">
        <f>HYPERLINK(AA2 &amp; "/bottle/sn_ee3ca78e36c6a7b2a367d39c852840d5/rendering/15.obj", "1.72529685497")</f>
        <v>1.72529685497</v>
      </c>
      <c r="S428" s="63" t="str">
        <f>HYPERLINK(AA2 &amp; "/bottle/sn_ee3ca78e36c6a7b2a367d39c852840d5/rendering/16.obj", "1.70064496994")</f>
        <v>1.70064496994</v>
      </c>
      <c r="T428" s="74" t="str">
        <f>HYPERLINK(AA2 &amp; "/bottle/sn_ee3ca78e36c6a7b2a367d39c852840d5/rendering/17.obj", "1.90923154354")</f>
        <v>1.90923154354</v>
      </c>
      <c r="U428" s="83" t="str">
        <f>HYPERLINK(AA2 &amp; "/bottle/sn_ee3ca78e36c6a7b2a367d39c852840d5/rendering/18.obj", "2.23047780991")</f>
        <v>2.23047780991</v>
      </c>
      <c r="V428" s="41" t="str">
        <f>HYPERLINK(AA2 &amp; "/bottle/sn_ee3ca78e36c6a7b2a367d39c852840d5/rendering/19.obj", "1.80176746845")</f>
        <v>1.80176746845</v>
      </c>
      <c r="W428" s="12" t="s">
        <v>30</v>
      </c>
      <c r="X428" s="13">
        <v>1.934460812807083</v>
      </c>
      <c r="Y428" s="13">
        <v>0.24371911568815219</v>
      </c>
      <c r="Z428" s="70">
        <v>0.12598813792174629</v>
      </c>
    </row>
    <row r="429" spans="1:26" x14ac:dyDescent="0.2">
      <c r="A429" s="1">
        <v>427</v>
      </c>
      <c r="B429" s="2" t="s">
        <v>118</v>
      </c>
      <c r="C429" s="72" t="str">
        <f>HYPERLINK(AB2 &amp; "/bottle/sn_ee3ca78e36c6a7b2a367d39c852840d5/rendering/00.obj", "4.45950531006")</f>
        <v>4.45950531006</v>
      </c>
      <c r="D429" s="25" t="str">
        <f>HYPERLINK(AB2 &amp; "/bottle/sn_ee3ca78e36c6a7b2a367d39c852840d5/rendering/01.obj", "4.36407958984")</f>
        <v>4.36407958984</v>
      </c>
      <c r="E429" s="47" t="str">
        <f>HYPERLINK(AB2 &amp; "/bottle/sn_ee3ca78e36c6a7b2a367d39c852840d5/rendering/02.obj", "4.35124328613")</f>
        <v>4.35124328613</v>
      </c>
      <c r="F429" s="69" t="str">
        <f>HYPERLINK(AB2 &amp; "/bottle/sn_ee3ca78e36c6a7b2a367d39c852840d5/rendering/03.obj", "4.1844342041")</f>
        <v>4.1844342041</v>
      </c>
      <c r="G429" s="48" t="str">
        <f>HYPERLINK(AB2 &amp; "/bottle/sn_ee3ca78e36c6a7b2a367d39c852840d5/rendering/04.obj", "4.427003479")</f>
        <v>4.427003479</v>
      </c>
      <c r="H429" s="13" t="str">
        <f>HYPERLINK(AB2 &amp; "/bottle/sn_ee3ca78e36c6a7b2a367d39c852840d5/rendering/05.obj", "4.31138916016")</f>
        <v>4.31138916016</v>
      </c>
      <c r="I429" s="13" t="str">
        <f>HYPERLINK(AB2 &amp; "/bottle/sn_ee3ca78e36c6a7b2a367d39c852840d5/rendering/06.obj", "4.30858062744")</f>
        <v>4.30858062744</v>
      </c>
      <c r="J429" s="48" t="str">
        <f>HYPERLINK(AB2 &amp; "/bottle/sn_ee3ca78e36c6a7b2a367d39c852840d5/rendering/07.obj", "4.42691131592")</f>
        <v>4.42691131592</v>
      </c>
      <c r="K429" s="74" t="str">
        <f>HYPERLINK(AB2 &amp; "/bottle/sn_ee3ca78e36c6a7b2a367d39c852840d5/rendering/08.obj", "4.37580627441")</f>
        <v>4.37580627441</v>
      </c>
      <c r="L429" s="74" t="str">
        <f>HYPERLINK(AB2 &amp; "/bottle/sn_ee3ca78e36c6a7b2a367d39c852840d5/rendering/09.obj", "4.26288208008")</f>
        <v>4.26288208008</v>
      </c>
      <c r="M429" s="25" t="str">
        <f>HYPERLINK(AB2 &amp; "/bottle/sn_ee3ca78e36c6a7b2a367d39c852840d5/rendering/10.obj", "4.36019775391")</f>
        <v>4.36019775391</v>
      </c>
      <c r="N429" s="30" t="str">
        <f>HYPERLINK(AB2 &amp; "/bottle/sn_ee3ca78e36c6a7b2a367d39c852840d5/rendering/11.obj", "4.33569580078")</f>
        <v>4.33569580078</v>
      </c>
      <c r="O429" s="74" t="str">
        <f>HYPERLINK(AB2 &amp; "/bottle/sn_ee3ca78e36c6a7b2a367d39c852840d5/rendering/12.obj", "4.37945800781")</f>
        <v>4.37945800781</v>
      </c>
      <c r="P429" s="25" t="str">
        <f>HYPERLINK(AB2 &amp; "/bottle/sn_ee3ca78e36c6a7b2a367d39c852840d5/rendering/13.obj", "4.37146606445")</f>
        <v>4.37146606445</v>
      </c>
      <c r="Q429" s="91" t="str">
        <f>HYPERLINK(AB2 &amp; "/bottle/sn_ee3ca78e36c6a7b2a367d39c852840d5/rendering/14.obj", "4.21078796387")</f>
        <v>4.21078796387</v>
      </c>
      <c r="R429" s="17" t="str">
        <f>HYPERLINK(AB2 &amp; "/bottle/sn_ee3ca78e36c6a7b2a367d39c852840d5/rendering/15.obj", "4.22524871826")</f>
        <v>4.22524871826</v>
      </c>
      <c r="S429" s="60" t="str">
        <f>HYPERLINK(AB2 &amp; "/bottle/sn_ee3ca78e36c6a7b2a367d39c852840d5/rendering/16.obj", "4.09614013672")</f>
        <v>4.09614013672</v>
      </c>
      <c r="T429" s="17" t="str">
        <f>HYPERLINK(AB2 &amp; "/bottle/sn_ee3ca78e36c6a7b2a367d39c852840d5/rendering/17.obj", "4.2338470459")</f>
        <v>4.2338470459</v>
      </c>
      <c r="U429" s="23" t="str">
        <f>HYPERLINK(AB2 &amp; "/bottle/sn_ee3ca78e36c6a7b2a367d39c852840d5/rendering/18.obj", "4.48309539795")</f>
        <v>4.48309539795</v>
      </c>
      <c r="V429" s="48" t="str">
        <f>HYPERLINK(AB2 &amp; "/bottle/sn_ee3ca78e36c6a7b2a367d39c852840d5/rendering/19.obj", "4.22244018555")</f>
        <v>4.22244018555</v>
      </c>
      <c r="W429" s="12" t="s">
        <v>31</v>
      </c>
      <c r="X429" s="13">
        <v>4.3195106201171871</v>
      </c>
      <c r="Y429" s="13">
        <v>9.8188644440118683E-2</v>
      </c>
      <c r="Z429" s="48">
        <v>2.2731427949922452E-2</v>
      </c>
    </row>
    <row r="430" spans="1:26" x14ac:dyDescent="0.2">
      <c r="A430" s="1">
        <v>428</v>
      </c>
      <c r="B430" s="2" t="s">
        <v>118</v>
      </c>
      <c r="C430" s="27" t="str">
        <f>HYPERLINK(AB2 &amp; "/bottle/sn_ee3ca78e36c6a7b2a367d39c852840d5/rendering/00.obj", "2.10936999321")</f>
        <v>2.10936999321</v>
      </c>
      <c r="D430" s="48" t="str">
        <f>HYPERLINK(AB2 &amp; "/bottle/sn_ee3ca78e36c6a7b2a367d39c852840d5/rendering/01.obj", "2.01506900787")</f>
        <v>2.01506900787</v>
      </c>
      <c r="E430" s="30" t="str">
        <f>HYPERLINK(AB2 &amp; "/bottle/sn_ee3ca78e36c6a7b2a367d39c852840d5/rendering/02.obj", "1.96178638935")</f>
        <v>1.96178638935</v>
      </c>
      <c r="F430" s="34" t="str">
        <f>HYPERLINK(AB2 &amp; "/bottle/sn_ee3ca78e36c6a7b2a367d39c852840d5/rendering/03.obj", "1.87376272678")</f>
        <v>1.87376272678</v>
      </c>
      <c r="G430" s="48" t="str">
        <f>HYPERLINK(AB2 &amp; "/bottle/sn_ee3ca78e36c6a7b2a367d39c852840d5/rendering/04.obj", "2.01522946358")</f>
        <v>2.01522946358</v>
      </c>
      <c r="H430" s="34" t="str">
        <f>HYPERLINK(AB2 &amp; "/bottle/sn_ee3ca78e36c6a7b2a367d39c852840d5/rendering/05.obj", "1.8736461401")</f>
        <v>1.8736461401</v>
      </c>
      <c r="I430" s="30" t="str">
        <f>HYPERLINK(AB2 &amp; "/bottle/sn_ee3ca78e36c6a7b2a367d39c852840d5/rendering/06.obj", "1.97921621799")</f>
        <v>1.97921621799</v>
      </c>
      <c r="J430" s="17" t="str">
        <f>HYPERLINK(AB2 &amp; "/bottle/sn_ee3ca78e36c6a7b2a367d39c852840d5/rendering/07.obj", "2.00925588608")</f>
        <v>2.00925588608</v>
      </c>
      <c r="K430" s="13" t="str">
        <f>HYPERLINK(AB2 &amp; "/bottle/sn_ee3ca78e36c6a7b2a367d39c852840d5/rendering/08.obj", "1.97402119637")</f>
        <v>1.97402119637</v>
      </c>
      <c r="L430" s="48" t="str">
        <f>HYPERLINK(AB2 &amp; "/bottle/sn_ee3ca78e36c6a7b2a367d39c852840d5/rendering/09.obj", "1.92086112499")</f>
        <v>1.92086112499</v>
      </c>
      <c r="M430" s="46" t="str">
        <f>HYPERLINK(AB2 &amp; "/bottle/sn_ee3ca78e36c6a7b2a367d39c852840d5/rendering/10.obj", "1.99979805946")</f>
        <v>1.99979805946</v>
      </c>
      <c r="N430" s="17" t="str">
        <f>HYPERLINK(AB2 &amp; "/bottle/sn_ee3ca78e36c6a7b2a367d39c852840d5/rendering/11.obj", "2.01082277298")</f>
        <v>2.01082277298</v>
      </c>
      <c r="O430" s="17" t="str">
        <f>HYPERLINK(AB2 &amp; "/bottle/sn_ee3ca78e36c6a7b2a367d39c852840d5/rendering/12.obj", "1.92970514297")</f>
        <v>1.92970514297</v>
      </c>
      <c r="P430" s="60" t="str">
        <f>HYPERLINK(AB2 &amp; "/bottle/sn_ee3ca78e36c6a7b2a367d39c852840d5/rendering/13.obj", "1.86703240871")</f>
        <v>1.86703240871</v>
      </c>
      <c r="Q430" s="69" t="str">
        <f>HYPERLINK(AB2 &amp; "/bottle/sn_ee3ca78e36c6a7b2a367d39c852840d5/rendering/14.obj", "2.02739596367")</f>
        <v>2.02739596367</v>
      </c>
      <c r="R430" s="34" t="str">
        <f>HYPERLINK(AB2 &amp; "/bottle/sn_ee3ca78e36c6a7b2a367d39c852840d5/rendering/15.obj", "1.87144505978")</f>
        <v>1.87144505978</v>
      </c>
      <c r="S430" s="26" t="str">
        <f>HYPERLINK(AB2 &amp; "/bottle/sn_ee3ca78e36c6a7b2a367d39c852840d5/rendering/16.obj", "1.84003996849")</f>
        <v>1.84003996849</v>
      </c>
      <c r="T430" s="73" t="str">
        <f>HYPERLINK(AB2 &amp; "/bottle/sn_ee3ca78e36c6a7b2a367d39c852840d5/rendering/17.obj", "1.89938747883")</f>
        <v>1.89938747883</v>
      </c>
      <c r="U430" s="39" t="str">
        <f>HYPERLINK(AB2 &amp; "/bottle/sn_ee3ca78e36c6a7b2a367d39c852840d5/rendering/18.obj", "2.13898992538")</f>
        <v>2.13898992538</v>
      </c>
      <c r="V430" s="6" t="str">
        <f>HYPERLINK(AB2 &amp; "/bottle/sn_ee3ca78e36c6a7b2a367d39c852840d5/rendering/19.obj", "2.05662202835")</f>
        <v>2.05662202835</v>
      </c>
      <c r="W430" s="12" t="s">
        <v>32</v>
      </c>
      <c r="X430" s="13">
        <v>1.968672847747803</v>
      </c>
      <c r="Y430" s="13">
        <v>8.1197320765244135E-2</v>
      </c>
      <c r="Z430" s="68">
        <v>4.1244699878974472E-2</v>
      </c>
    </row>
    <row r="431" spans="1:26" x14ac:dyDescent="0.2">
      <c r="A431" s="1">
        <v>429</v>
      </c>
      <c r="B431" s="2" t="s">
        <v>118</v>
      </c>
      <c r="C431" s="13" t="str">
        <f>HYPERLINK(AC2 &amp; "/bottle/sn_ee3ca78e36c6a7b2a367d39c852840d5/rendering/00.xyz", "0.0")</f>
        <v>0.0</v>
      </c>
      <c r="D431" s="13" t="str">
        <f>HYPERLINK(AC2 &amp; "/bottle/sn_ee3ca78e36c6a7b2a367d39c852840d5/rendering/01.xyz", "0.0")</f>
        <v>0.0</v>
      </c>
      <c r="E431" s="13" t="str">
        <f>HYPERLINK(AC2 &amp; "/bottle/sn_ee3ca78e36c6a7b2a367d39c852840d5/rendering/02.xyz", "0.0")</f>
        <v>0.0</v>
      </c>
      <c r="F431" s="13" t="str">
        <f>HYPERLINK(AC2 &amp; "/bottle/sn_ee3ca78e36c6a7b2a367d39c852840d5/rendering/03.xyz", "0.0")</f>
        <v>0.0</v>
      </c>
      <c r="G431" s="13" t="str">
        <f>HYPERLINK(AC2 &amp; "/bottle/sn_ee3ca78e36c6a7b2a367d39c852840d5/rendering/04.xyz", "0.0")</f>
        <v>0.0</v>
      </c>
      <c r="H431" s="13" t="str">
        <f>HYPERLINK(AC2 &amp; "/bottle/sn_ee3ca78e36c6a7b2a367d39c852840d5/rendering/05.xyz", "0.0")</f>
        <v>0.0</v>
      </c>
      <c r="I431" s="13" t="str">
        <f>HYPERLINK(AC2 &amp; "/bottle/sn_ee3ca78e36c6a7b2a367d39c852840d5/rendering/06.xyz", "0.0")</f>
        <v>0.0</v>
      </c>
      <c r="J431" s="13" t="str">
        <f>HYPERLINK(AC2 &amp; "/bottle/sn_ee3ca78e36c6a7b2a367d39c852840d5/rendering/07.xyz", "0.0")</f>
        <v>0.0</v>
      </c>
      <c r="K431" s="13" t="str">
        <f>HYPERLINK(AC2 &amp; "/bottle/sn_ee3ca78e36c6a7b2a367d39c852840d5/rendering/08.xyz", "0.0")</f>
        <v>0.0</v>
      </c>
      <c r="L431" s="13" t="str">
        <f>HYPERLINK(AC2 &amp; "/bottle/sn_ee3ca78e36c6a7b2a367d39c852840d5/rendering/09.xyz", "0.0")</f>
        <v>0.0</v>
      </c>
      <c r="M431" s="13" t="str">
        <f>HYPERLINK(AC2 &amp; "/bottle/sn_ee3ca78e36c6a7b2a367d39c852840d5/rendering/10.xyz", "0.0")</f>
        <v>0.0</v>
      </c>
      <c r="N431" s="13" t="str">
        <f>HYPERLINK(AC2 &amp; "/bottle/sn_ee3ca78e36c6a7b2a367d39c852840d5/rendering/11.xyz", "0.0")</f>
        <v>0.0</v>
      </c>
      <c r="O431" s="13" t="str">
        <f>HYPERLINK(AC2 &amp; "/bottle/sn_ee3ca78e36c6a7b2a367d39c852840d5/rendering/12.xyz", "0.0")</f>
        <v>0.0</v>
      </c>
      <c r="P431" s="13" t="str">
        <f>HYPERLINK(AC2 &amp; "/bottle/sn_ee3ca78e36c6a7b2a367d39c852840d5/rendering/13.xyz", "0.0")</f>
        <v>0.0</v>
      </c>
      <c r="Q431" s="13" t="str">
        <f>HYPERLINK(AC2 &amp; "/bottle/sn_ee3ca78e36c6a7b2a367d39c852840d5/rendering/14.xyz", "0.0")</f>
        <v>0.0</v>
      </c>
      <c r="R431" s="13" t="str">
        <f>HYPERLINK(AC2 &amp; "/bottle/sn_ee3ca78e36c6a7b2a367d39c852840d5/rendering/15.xyz", "0.0")</f>
        <v>0.0</v>
      </c>
      <c r="S431" s="13" t="str">
        <f>HYPERLINK(AC2 &amp; "/bottle/sn_ee3ca78e36c6a7b2a367d39c852840d5/rendering/16.xyz", "0.0")</f>
        <v>0.0</v>
      </c>
      <c r="T431" s="13" t="str">
        <f>HYPERLINK(AC2 &amp; "/bottle/sn_ee3ca78e36c6a7b2a367d39c852840d5/rendering/17.xyz", "0.0")</f>
        <v>0.0</v>
      </c>
      <c r="U431" s="13" t="str">
        <f>HYPERLINK(AC2 &amp; "/bottle/sn_ee3ca78e36c6a7b2a367d39c852840d5/rendering/18.xyz", "0.0")</f>
        <v>0.0</v>
      </c>
      <c r="V431" s="13" t="str">
        <f>HYPERLINK(AC2 &amp; "/bottle/sn_ee3ca78e36c6a7b2a367d39c852840d5/rendering/19.xyz", "0.0")</f>
        <v>0.0</v>
      </c>
      <c r="W431" s="12" t="s">
        <v>33</v>
      </c>
      <c r="X431" s="13">
        <v>0</v>
      </c>
      <c r="Y431" s="13">
        <v>0</v>
      </c>
      <c r="Z431" s="13">
        <v>0</v>
      </c>
    </row>
    <row r="432" spans="1:26" x14ac:dyDescent="0.2">
      <c r="A432" s="1">
        <v>430</v>
      </c>
      <c r="B432" s="2" t="s">
        <v>119</v>
      </c>
      <c r="C432" s="94" t="str">
        <f>HYPERLINK(AA2 &amp; "/bottle/sn_ee74f5bfb0d7c8a5bd288303be3d57e7/rendering/00.obj", "1.84447952271")</f>
        <v>1.84447952271</v>
      </c>
      <c r="D432" s="38" t="str">
        <f>HYPERLINK(AA2 &amp; "/bottle/sn_ee74f5bfb0d7c8a5bd288303be3d57e7/rendering/01.obj", "2.16396789551")</f>
        <v>2.16396789551</v>
      </c>
      <c r="E432" s="26" t="str">
        <f>HYPERLINK(AA2 &amp; "/bottle/sn_ee74f5bfb0d7c8a5bd288303be3d57e7/rendering/02.obj", "1.86406112671")</f>
        <v>1.86406112671</v>
      </c>
      <c r="F432" s="65" t="str">
        <f>HYPERLINK(AA2 &amp; "/bottle/sn_ee74f5bfb0d7c8a5bd288303be3d57e7/rendering/03.obj", "1.72601348877")</f>
        <v>1.72601348877</v>
      </c>
      <c r="G432" s="26" t="str">
        <f>HYPERLINK(AA2 &amp; "/bottle/sn_ee74f5bfb0d7c8a5bd288303be3d57e7/rendering/04.obj", "2.11763916016")</f>
        <v>2.11763916016</v>
      </c>
      <c r="H432" s="25" t="str">
        <f>HYPERLINK(AA2 &amp; "/bottle/sn_ee74f5bfb0d7c8a5bd288303be3d57e7/rendering/05.obj", "2.01159576416")</f>
        <v>2.01159576416</v>
      </c>
      <c r="I432" s="63" t="str">
        <f>HYPERLINK(AA2 &amp; "/bottle/sn_ee74f5bfb0d7c8a5bd288303be3d57e7/rendering/06.obj", "1.74990661621")</f>
        <v>1.74990661621</v>
      </c>
      <c r="J432" s="27" t="str">
        <f>HYPERLINK(AA2 &amp; "/bottle/sn_ee74f5bfb0d7c8a5bd288303be3d57e7/rendering/07.obj", "2.12681365967")</f>
        <v>2.12681365967</v>
      </c>
      <c r="K432" s="107" t="str">
        <f>HYPERLINK(AA2 &amp; "/bottle/sn_ee74f5bfb0d7c8a5bd288303be3d57e7/rendering/08.obj", "2.15213195801")</f>
        <v>2.15213195801</v>
      </c>
      <c r="L432" s="60" t="str">
        <f>HYPERLINK(AA2 &amp; "/bottle/sn_ee74f5bfb0d7c8a5bd288303be3d57e7/rendering/09.obj", "2.09154190063")</f>
        <v>2.09154190063</v>
      </c>
      <c r="M432" s="179" t="str">
        <f>HYPERLINK(AA2 &amp; "/bottle/sn_ee74f5bfb0d7c8a5bd288303be3d57e7/rendering/10.obj", "2.84146453857")</f>
        <v>2.84146453857</v>
      </c>
      <c r="N432" s="41" t="str">
        <f>HYPERLINK(AA2 &amp; "/bottle/sn_ee74f5bfb0d7c8a5bd288303be3d57e7/rendering/11.obj", "1.85575958252")</f>
        <v>1.85575958252</v>
      </c>
      <c r="O432" s="25" t="str">
        <f>HYPERLINK(AA2 &amp; "/bottle/sn_ee74f5bfb0d7c8a5bd288303be3d57e7/rendering/12.obj", "2.00918106079")</f>
        <v>2.00918106079</v>
      </c>
      <c r="P432" s="55" t="str">
        <f>HYPERLINK(AA2 &amp; "/bottle/sn_ee74f5bfb0d7c8a5bd288303be3d57e7/rendering/13.obj", "1.6055557251")</f>
        <v>1.6055557251</v>
      </c>
      <c r="Q432" s="50" t="str">
        <f>HYPERLINK(AA2 &amp; "/bottle/sn_ee74f5bfb0d7c8a5bd288303be3d57e7/rendering/14.obj", "1.5939553833")</f>
        <v>1.5939553833</v>
      </c>
      <c r="R432" s="76" t="str">
        <f>HYPERLINK(AA2 &amp; "/bottle/sn_ee74f5bfb0d7c8a5bd288303be3d57e7/rendering/15.obj", "1.6237487793")</f>
        <v>1.6237487793</v>
      </c>
      <c r="S432" s="72" t="str">
        <f>HYPERLINK(AA2 &amp; "/bottle/sn_ee74f5bfb0d7c8a5bd288303be3d57e7/rendering/16.obj", "1.92306274414")</f>
        <v>1.92306274414</v>
      </c>
      <c r="T432" s="33" t="str">
        <f>HYPERLINK(AA2 &amp; "/bottle/sn_ee74f5bfb0d7c8a5bd288303be3d57e7/rendering/17.obj", "2.20415786743")</f>
        <v>2.20415786743</v>
      </c>
      <c r="U432" s="58" t="str">
        <f>HYPERLINK(AA2 &amp; "/bottle/sn_ee74f5bfb0d7c8a5bd288303be3d57e7/rendering/18.obj", "2.47446136475")</f>
        <v>2.47446136475</v>
      </c>
      <c r="V432" s="90" t="str">
        <f>HYPERLINK(AA2 &amp; "/bottle/sn_ee74f5bfb0d7c8a5bd288303be3d57e7/rendering/19.obj", "1.80075866699")</f>
        <v>1.80075866699</v>
      </c>
      <c r="W432" s="12" t="s">
        <v>29</v>
      </c>
      <c r="X432" s="13">
        <v>1.9890128402709959</v>
      </c>
      <c r="Y432" s="13">
        <v>0.29746577462957552</v>
      </c>
      <c r="Z432" s="80">
        <v>0.1495544767770563</v>
      </c>
    </row>
    <row r="433" spans="1:26" x14ac:dyDescent="0.2">
      <c r="A433" s="1">
        <v>431</v>
      </c>
      <c r="B433" s="2" t="s">
        <v>119</v>
      </c>
      <c r="C433" s="63" t="str">
        <f>HYPERLINK(AA2 &amp; "/bottle/sn_ee74f5bfb0d7c8a5bd288303be3d57e7/rendering/00.obj", "1.41976857185")</f>
        <v>1.41976857185</v>
      </c>
      <c r="D433" s="78" t="str">
        <f>HYPERLINK(AA2 &amp; "/bottle/sn_ee74f5bfb0d7c8a5bd288303be3d57e7/rendering/01.obj", "1.71389639378")</f>
        <v>1.71389639378</v>
      </c>
      <c r="E433" s="91" t="str">
        <f>HYPERLINK(AA2 &amp; "/bottle/sn_ee74f5bfb0d7c8a5bd288303be3d57e7/rendering/02.obj", "1.5706744194")</f>
        <v>1.5706744194</v>
      </c>
      <c r="F433" s="79" t="str">
        <f>HYPERLINK(AA2 &amp; "/bottle/sn_ee74f5bfb0d7c8a5bd288303be3d57e7/rendering/03.obj", "1.35812270641")</f>
        <v>1.35812270641</v>
      </c>
      <c r="G433" s="46" t="str">
        <f>HYPERLINK(AA2 &amp; "/bottle/sn_ee74f5bfb0d7c8a5bd288303be3d57e7/rendering/04.obj", "1.58790719509")</f>
        <v>1.58790719509</v>
      </c>
      <c r="H433" s="5" t="str">
        <f>HYPERLINK(AA2 &amp; "/bottle/sn_ee74f5bfb0d7c8a5bd288303be3d57e7/rendering/05.obj", "1.49103677273")</f>
        <v>1.49103677273</v>
      </c>
      <c r="I433" s="33" t="str">
        <f>HYPERLINK(AA2 &amp; "/bottle/sn_ee74f5bfb0d7c8a5bd288303be3d57e7/rendering/06.obj", "1.43945503235")</f>
        <v>1.43945503235</v>
      </c>
      <c r="J433" s="64" t="str">
        <f>HYPERLINK(AA2 &amp; "/bottle/sn_ee74f5bfb0d7c8a5bd288303be3d57e7/rendering/07.obj", "1.88055849075")</f>
        <v>1.88055849075</v>
      </c>
      <c r="K433" s="73" t="str">
        <f>HYPERLINK(AA2 &amp; "/bottle/sn_ee74f5bfb0d7c8a5bd288303be3d57e7/rendering/08.obj", "1.67453503609")</f>
        <v>1.67453503609</v>
      </c>
      <c r="L433" s="48" t="str">
        <f>HYPERLINK(AA2 &amp; "/bottle/sn_ee74f5bfb0d7c8a5bd288303be3d57e7/rendering/09.obj", "1.65509366989")</f>
        <v>1.65509366989</v>
      </c>
      <c r="M433" s="22" t="str">
        <f>HYPERLINK(AA2 &amp; "/bottle/sn_ee74f5bfb0d7c8a5bd288303be3d57e7/rendering/10.obj", "2.45995306969")</f>
        <v>2.45995306969</v>
      </c>
      <c r="N433" s="26" t="str">
        <f>HYPERLINK(AA2 &amp; "/bottle/sn_ee74f5bfb0d7c8a5bd288303be3d57e7/rendering/11.obj", "1.51054739952")</f>
        <v>1.51054739952</v>
      </c>
      <c r="O433" s="70" t="str">
        <f>HYPERLINK(AA2 &amp; "/bottle/sn_ee74f5bfb0d7c8a5bd288303be3d57e7/rendering/12.obj", "1.82333886623")</f>
        <v>1.82333886623</v>
      </c>
      <c r="P433" s="40" t="str">
        <f>HYPERLINK(AA2 &amp; "/bottle/sn_ee74f5bfb0d7c8a5bd288303be3d57e7/rendering/13.obj", "1.33729839325")</f>
        <v>1.33729839325</v>
      </c>
      <c r="Q433" s="80" t="str">
        <f>HYPERLINK(AA2 &amp; "/bottle/sn_ee74f5bfb0d7c8a5bd288303be3d57e7/rendering/14.obj", "1.37669157982")</f>
        <v>1.37669157982</v>
      </c>
      <c r="R433" s="117" t="str">
        <f>HYPERLINK(AA2 &amp; "/bottle/sn_ee74f5bfb0d7c8a5bd288303be3d57e7/rendering/15.obj", "1.32807981968")</f>
        <v>1.32807981968</v>
      </c>
      <c r="S433" s="34" t="str">
        <f>HYPERLINK(AA2 &amp; "/bottle/sn_ee74f5bfb0d7c8a5bd288303be3d57e7/rendering/16.obj", "1.53835999966")</f>
        <v>1.53835999966</v>
      </c>
      <c r="T433" s="78" t="str">
        <f>HYPERLINK(AA2 &amp; "/bottle/sn_ee74f5bfb0d7c8a5bd288303be3d57e7/rendering/17.obj", "1.51646530628")</f>
        <v>1.51646530628</v>
      </c>
      <c r="U433" s="151" t="str">
        <f>HYPERLINK(AA2 &amp; "/bottle/sn_ee74f5bfb0d7c8a5bd288303be3d57e7/rendering/18.obj", "2.19811153412")</f>
        <v>2.19811153412</v>
      </c>
      <c r="V433" s="33" t="str">
        <f>HYPERLINK(AA2 &amp; "/bottle/sn_ee74f5bfb0d7c8a5bd288303be3d57e7/rendering/19.obj", "1.44007265568")</f>
        <v>1.44007265568</v>
      </c>
      <c r="W433" s="12" t="s">
        <v>30</v>
      </c>
      <c r="X433" s="13">
        <v>1.6159983456134801</v>
      </c>
      <c r="Y433" s="13">
        <v>0.28364692432729038</v>
      </c>
      <c r="Z433" s="37">
        <v>0.1755242665298706</v>
      </c>
    </row>
    <row r="434" spans="1:26" x14ac:dyDescent="0.2">
      <c r="A434" s="1">
        <v>432</v>
      </c>
      <c r="B434" s="2" t="s">
        <v>119</v>
      </c>
      <c r="C434" s="73" t="str">
        <f>HYPERLINK(AB2 &amp; "/bottle/sn_ee74f5bfb0d7c8a5bd288303be3d57e7/rendering/00.obj", "2.98161071777")</f>
        <v>2.98161071777</v>
      </c>
      <c r="D434" s="47" t="str">
        <f>HYPERLINK(AB2 &amp; "/bottle/sn_ee74f5bfb0d7c8a5bd288303be3d57e7/rendering/01.obj", "2.89254486084")</f>
        <v>2.89254486084</v>
      </c>
      <c r="E434" s="72" t="str">
        <f>HYPERLINK(AB2 &amp; "/bottle/sn_ee74f5bfb0d7c8a5bd288303be3d57e7/rendering/02.obj", "2.77961181641")</f>
        <v>2.77961181641</v>
      </c>
      <c r="F434" s="17" t="str">
        <f>HYPERLINK(AB2 &amp; "/bottle/sn_ee74f5bfb0d7c8a5bd288303be3d57e7/rendering/03.obj", "2.81270599365")</f>
        <v>2.81270599365</v>
      </c>
      <c r="G434" s="94" t="str">
        <f>HYPERLINK(AB2 &amp; "/bottle/sn_ee74f5bfb0d7c8a5bd288303be3d57e7/rendering/04.obj", "3.08455078125")</f>
        <v>3.08455078125</v>
      </c>
      <c r="H434" s="74" t="str">
        <f>HYPERLINK(AB2 &amp; "/bottle/sn_ee74f5bfb0d7c8a5bd288303be3d57e7/rendering/05.obj", "2.9175894165")</f>
        <v>2.9175894165</v>
      </c>
      <c r="I434" s="73" t="str">
        <f>HYPERLINK(AB2 &amp; "/bottle/sn_ee74f5bfb0d7c8a5bd288303be3d57e7/rendering/06.obj", "2.77046447754")</f>
        <v>2.77046447754</v>
      </c>
      <c r="J434" s="17" t="str">
        <f>HYPERLINK(AB2 &amp; "/bottle/sn_ee74f5bfb0d7c8a5bd288303be3d57e7/rendering/07.obj", "2.93417175293")</f>
        <v>2.93417175293</v>
      </c>
      <c r="K434" s="72" t="str">
        <f>HYPERLINK(AB2 &amp; "/bottle/sn_ee74f5bfb0d7c8a5bd288303be3d57e7/rendering/08.obj", "2.96780944824")</f>
        <v>2.96780944824</v>
      </c>
      <c r="L434" s="27" t="str">
        <f>HYPERLINK(AB2 &amp; "/bottle/sn_ee74f5bfb0d7c8a5bd288303be3d57e7/rendering/09.obj", "3.07436950684")</f>
        <v>3.07436950684</v>
      </c>
      <c r="M434" s="68" t="str">
        <f>HYPERLINK(AB2 &amp; "/bottle/sn_ee74f5bfb0d7c8a5bd288303be3d57e7/rendering/10.obj", "2.99667297363")</f>
        <v>2.99667297363</v>
      </c>
      <c r="N434" s="60" t="str">
        <f>HYPERLINK(AB2 &amp; "/bottle/sn_ee74f5bfb0d7c8a5bd288303be3d57e7/rendering/11.obj", "2.72716064453")</f>
        <v>2.72716064453</v>
      </c>
      <c r="O434" s="74" t="str">
        <f>HYPERLINK(AB2 &amp; "/bottle/sn_ee74f5bfb0d7c8a5bd288303be3d57e7/rendering/12.obj", "2.83573272705")</f>
        <v>2.83573272705</v>
      </c>
      <c r="P434" s="27" t="str">
        <f>HYPERLINK(AB2 &amp; "/bottle/sn_ee74f5bfb0d7c8a5bd288303be3d57e7/rendering/13.obj", "2.66967010498")</f>
        <v>2.66967010498</v>
      </c>
      <c r="Q434" s="69" t="str">
        <f>HYPERLINK(AB2 &amp; "/bottle/sn_ee74f5bfb0d7c8a5bd288303be3d57e7/rendering/14.obj", "2.78983642578")</f>
        <v>2.78983642578</v>
      </c>
      <c r="R434" s="6" t="str">
        <f>HYPERLINK(AB2 &amp; "/bottle/sn_ee74f5bfb0d7c8a5bd288303be3d57e7/rendering/15.obj", "2.74595092773")</f>
        <v>2.74595092773</v>
      </c>
      <c r="S434" s="30" t="str">
        <f>HYPERLINK(AB2 &amp; "/bottle/sn_ee74f5bfb0d7c8a5bd288303be3d57e7/rendering/16.obj", "2.88653808594")</f>
        <v>2.88653808594</v>
      </c>
      <c r="T434" s="48" t="str">
        <f>HYPERLINK(AB2 &amp; "/bottle/sn_ee74f5bfb0d7c8a5bd288303be3d57e7/rendering/17.obj", "2.81011474609")</f>
        <v>2.81011474609</v>
      </c>
      <c r="U434" s="91" t="str">
        <f>HYPERLINK(AB2 &amp; "/bottle/sn_ee74f5bfb0d7c8a5bd288303be3d57e7/rendering/18.obj", "2.94772705078")</f>
        <v>2.94772705078</v>
      </c>
      <c r="V434" s="25" t="str">
        <f>HYPERLINK(AB2 &amp; "/bottle/sn_ee74f5bfb0d7c8a5bd288303be3d57e7/rendering/19.obj", "2.84399383545")</f>
        <v>2.84399383545</v>
      </c>
      <c r="W434" s="12" t="s">
        <v>31</v>
      </c>
      <c r="X434" s="13">
        <v>2.8734413146972662</v>
      </c>
      <c r="Y434" s="13">
        <v>0.1113517129146262</v>
      </c>
      <c r="Z434" s="23">
        <v>3.8752040052141348E-2</v>
      </c>
    </row>
    <row r="435" spans="1:26" x14ac:dyDescent="0.2">
      <c r="A435" s="1">
        <v>433</v>
      </c>
      <c r="B435" s="2" t="s">
        <v>119</v>
      </c>
      <c r="C435" s="51" t="str">
        <f>HYPERLINK(AB2 &amp; "/bottle/sn_ee74f5bfb0d7c8a5bd288303be3d57e7/rendering/00.obj", "1.862439394")</f>
        <v>1.862439394</v>
      </c>
      <c r="D435" s="74" t="str">
        <f>HYPERLINK(AB2 &amp; "/bottle/sn_ee74f5bfb0d7c8a5bd288303be3d57e7/rendering/01.obj", "1.75120460987")</f>
        <v>1.75120460987</v>
      </c>
      <c r="E435" s="17" t="str">
        <f>HYPERLINK(AB2 &amp; "/bottle/sn_ee74f5bfb0d7c8a5bd288303be3d57e7/rendering/02.obj", "1.6898406744")</f>
        <v>1.6898406744</v>
      </c>
      <c r="F435" s="78" t="str">
        <f>HYPERLINK(AB2 &amp; "/bottle/sn_ee74f5bfb0d7c8a5bd288303be3d57e7/rendering/03.obj", "1.62100183964")</f>
        <v>1.62100183964</v>
      </c>
      <c r="G435" s="42" t="str">
        <f>HYPERLINK(AB2 &amp; "/bottle/sn_ee74f5bfb0d7c8a5bd288303be3d57e7/rendering/04.obj", "1.96086168289")</f>
        <v>1.96086168289</v>
      </c>
      <c r="H435" s="34" t="str">
        <f>HYPERLINK(AB2 &amp; "/bottle/sn_ee74f5bfb0d7c8a5bd288303be3d57e7/rendering/05.obj", "1.80747485161")</f>
        <v>1.80747485161</v>
      </c>
      <c r="I435" s="51" t="str">
        <f>HYPERLINK(AB2 &amp; "/bottle/sn_ee74f5bfb0d7c8a5bd288303be3d57e7/rendering/06.obj", "1.58722770214")</f>
        <v>1.58722770214</v>
      </c>
      <c r="J435" s="74" t="str">
        <f>HYPERLINK(AB2 &amp; "/bottle/sn_ee74f5bfb0d7c8a5bd288303be3d57e7/rendering/07.obj", "1.74764025211")</f>
        <v>1.74764025211</v>
      </c>
      <c r="K435" s="69" t="str">
        <f>HYPERLINK(AB2 &amp; "/bottle/sn_ee74f5bfb0d7c8a5bd288303be3d57e7/rendering/08.obj", "1.77734160423")</f>
        <v>1.77734160423</v>
      </c>
      <c r="L435" s="71" t="str">
        <f>HYPERLINK(AB2 &amp; "/bottle/sn_ee74f5bfb0d7c8a5bd288303be3d57e7/rendering/09.obj", "1.92851173878")</f>
        <v>1.92851173878</v>
      </c>
      <c r="M435" s="78" t="str">
        <f>HYPERLINK(AB2 &amp; "/bottle/sn_ee74f5bfb0d7c8a5bd288303be3d57e7/rendering/10.obj", "1.83253467083")</f>
        <v>1.83253467083</v>
      </c>
      <c r="N435" s="39" t="str">
        <f>HYPERLINK(AB2 &amp; "/bottle/sn_ee74f5bfb0d7c8a5bd288303be3d57e7/rendering/11.obj", "1.57874500751")</f>
        <v>1.57874500751</v>
      </c>
      <c r="O435" s="30" t="str">
        <f>HYPERLINK(AB2 &amp; "/bottle/sn_ee74f5bfb0d7c8a5bd288303be3d57e7/rendering/12.obj", "1.7189283371")</f>
        <v>1.7189283371</v>
      </c>
      <c r="P435" s="133" t="str">
        <f>HYPERLINK(AB2 &amp; "/bottle/sn_ee74f5bfb0d7c8a5bd288303be3d57e7/rendering/13.obj", "1.54781007767")</f>
        <v>1.54781007767</v>
      </c>
      <c r="Q435" s="72" t="str">
        <f>HYPERLINK(AB2 &amp; "/bottle/sn_ee74f5bfb0d7c8a5bd288303be3d57e7/rendering/14.obj", "1.66745793819")</f>
        <v>1.66745793819</v>
      </c>
      <c r="R435" s="110" t="str">
        <f>HYPERLINK(AB2 &amp; "/bottle/sn_ee74f5bfb0d7c8a5bd288303be3d57e7/rendering/15.obj", "1.55673670769")</f>
        <v>1.55673670769</v>
      </c>
      <c r="S435" s="46" t="str">
        <f>HYPERLINK(AB2 &amp; "/bottle/sn_ee74f5bfb0d7c8a5bd288303be3d57e7/rendering/16.obj", "1.75631165504")</f>
        <v>1.75631165504</v>
      </c>
      <c r="T435" s="39" t="str">
        <f>HYPERLINK(AB2 &amp; "/bottle/sn_ee74f5bfb0d7c8a5bd288303be3d57e7/rendering/17.obj", "1.57865703106")</f>
        <v>1.57865703106</v>
      </c>
      <c r="U435" s="10" t="str">
        <f>HYPERLINK(AB2 &amp; "/bottle/sn_ee74f5bfb0d7c8a5bd288303be3d57e7/rendering/18.obj", "1.81848144531")</f>
        <v>1.81848144531</v>
      </c>
      <c r="V435" s="30" t="str">
        <f>HYPERLINK(AB2 &amp; "/bottle/sn_ee74f5bfb0d7c8a5bd288303be3d57e7/rendering/19.obj", "1.71810436249")</f>
        <v>1.71810436249</v>
      </c>
      <c r="W435" s="12" t="s">
        <v>32</v>
      </c>
      <c r="X435" s="13">
        <v>1.7253655791282649</v>
      </c>
      <c r="Y435" s="13">
        <v>0.1193529817978197</v>
      </c>
      <c r="Z435" s="27">
        <v>6.9175474022219866E-2</v>
      </c>
    </row>
    <row r="436" spans="1:26" x14ac:dyDescent="0.2">
      <c r="A436" s="1">
        <v>434</v>
      </c>
      <c r="B436" s="2" t="s">
        <v>119</v>
      </c>
      <c r="C436" s="13" t="str">
        <f>HYPERLINK(AC2 &amp; "/bottle/sn_ee74f5bfb0d7c8a5bd288303be3d57e7/rendering/00.xyz", "0.0")</f>
        <v>0.0</v>
      </c>
      <c r="D436" s="13" t="str">
        <f>HYPERLINK(AC2 &amp; "/bottle/sn_ee74f5bfb0d7c8a5bd288303be3d57e7/rendering/01.xyz", "0.0")</f>
        <v>0.0</v>
      </c>
      <c r="E436" s="13" t="str">
        <f>HYPERLINK(AC2 &amp; "/bottle/sn_ee74f5bfb0d7c8a5bd288303be3d57e7/rendering/02.xyz", "0.0")</f>
        <v>0.0</v>
      </c>
      <c r="F436" s="13" t="str">
        <f>HYPERLINK(AC2 &amp; "/bottle/sn_ee74f5bfb0d7c8a5bd288303be3d57e7/rendering/03.xyz", "0.0")</f>
        <v>0.0</v>
      </c>
      <c r="G436" s="13" t="str">
        <f>HYPERLINK(AC2 &amp; "/bottle/sn_ee74f5bfb0d7c8a5bd288303be3d57e7/rendering/04.xyz", "0.0")</f>
        <v>0.0</v>
      </c>
      <c r="H436" s="13" t="str">
        <f>HYPERLINK(AC2 &amp; "/bottle/sn_ee74f5bfb0d7c8a5bd288303be3d57e7/rendering/05.xyz", "0.0")</f>
        <v>0.0</v>
      </c>
      <c r="I436" s="13" t="str">
        <f>HYPERLINK(AC2 &amp; "/bottle/sn_ee74f5bfb0d7c8a5bd288303be3d57e7/rendering/06.xyz", "0.0")</f>
        <v>0.0</v>
      </c>
      <c r="J436" s="13" t="str">
        <f>HYPERLINK(AC2 &amp; "/bottle/sn_ee74f5bfb0d7c8a5bd288303be3d57e7/rendering/07.xyz", "0.0")</f>
        <v>0.0</v>
      </c>
      <c r="K436" s="13" t="str">
        <f>HYPERLINK(AC2 &amp; "/bottle/sn_ee74f5bfb0d7c8a5bd288303be3d57e7/rendering/08.xyz", "0.0")</f>
        <v>0.0</v>
      </c>
      <c r="L436" s="13" t="str">
        <f>HYPERLINK(AC2 &amp; "/bottle/sn_ee74f5bfb0d7c8a5bd288303be3d57e7/rendering/09.xyz", "0.0")</f>
        <v>0.0</v>
      </c>
      <c r="M436" s="13" t="str">
        <f>HYPERLINK(AC2 &amp; "/bottle/sn_ee74f5bfb0d7c8a5bd288303be3d57e7/rendering/10.xyz", "0.0")</f>
        <v>0.0</v>
      </c>
      <c r="N436" s="13" t="str">
        <f>HYPERLINK(AC2 &amp; "/bottle/sn_ee74f5bfb0d7c8a5bd288303be3d57e7/rendering/11.xyz", "0.0")</f>
        <v>0.0</v>
      </c>
      <c r="O436" s="13" t="str">
        <f>HYPERLINK(AC2 &amp; "/bottle/sn_ee74f5bfb0d7c8a5bd288303be3d57e7/rendering/12.xyz", "0.0")</f>
        <v>0.0</v>
      </c>
      <c r="P436" s="13" t="str">
        <f>HYPERLINK(AC2 &amp; "/bottle/sn_ee74f5bfb0d7c8a5bd288303be3d57e7/rendering/13.xyz", "0.0")</f>
        <v>0.0</v>
      </c>
      <c r="Q436" s="13" t="str">
        <f>HYPERLINK(AC2 &amp; "/bottle/sn_ee74f5bfb0d7c8a5bd288303be3d57e7/rendering/14.xyz", "0.0")</f>
        <v>0.0</v>
      </c>
      <c r="R436" s="13" t="str">
        <f>HYPERLINK(AC2 &amp; "/bottle/sn_ee74f5bfb0d7c8a5bd288303be3d57e7/rendering/15.xyz", "0.0")</f>
        <v>0.0</v>
      </c>
      <c r="S436" s="13" t="str">
        <f>HYPERLINK(AC2 &amp; "/bottle/sn_ee74f5bfb0d7c8a5bd288303be3d57e7/rendering/16.xyz", "0.0")</f>
        <v>0.0</v>
      </c>
      <c r="T436" s="13" t="str">
        <f>HYPERLINK(AC2 &amp; "/bottle/sn_ee74f5bfb0d7c8a5bd288303be3d57e7/rendering/17.xyz", "0.0")</f>
        <v>0.0</v>
      </c>
      <c r="U436" s="13" t="str">
        <f>HYPERLINK(AC2 &amp; "/bottle/sn_ee74f5bfb0d7c8a5bd288303be3d57e7/rendering/18.xyz", "0.0")</f>
        <v>0.0</v>
      </c>
      <c r="V436" s="13" t="str">
        <f>HYPERLINK(AC2 &amp; "/bottle/sn_ee74f5bfb0d7c8a5bd288303be3d57e7/rendering/19.xyz", "0.0")</f>
        <v>0.0</v>
      </c>
      <c r="W436" s="12" t="s">
        <v>33</v>
      </c>
      <c r="X436" s="13">
        <v>0</v>
      </c>
      <c r="Y436" s="13">
        <v>0</v>
      </c>
      <c r="Z436" s="13">
        <v>0</v>
      </c>
    </row>
    <row r="437" spans="1:26" x14ac:dyDescent="0.2">
      <c r="A437" s="1">
        <v>435</v>
      </c>
      <c r="B437" s="2" t="s">
        <v>120</v>
      </c>
      <c r="C437" s="36" t="str">
        <f>HYPERLINK(AA2 &amp; "/bottle/sn_ee77714471b911baeeff0dee910fd183/rendering/00.obj", "1.84365875244")</f>
        <v>1.84365875244</v>
      </c>
      <c r="D437" s="13" t="str">
        <f>HYPERLINK(AA2 &amp; "/bottle/sn_ee77714471b911baeeff0dee910fd183/rendering/01.obj", "2.34909088135")</f>
        <v>2.34909088135</v>
      </c>
      <c r="E437" s="100" t="str">
        <f>HYPERLINK(AA2 &amp; "/bottle/sn_ee77714471b911baeeff0dee910fd183/rendering/02.obj", "1.64514007568")</f>
        <v>1.64514007568</v>
      </c>
      <c r="F437" s="37" t="str">
        <f>HYPERLINK(AA2 &amp; "/bottle/sn_ee77714471b911baeeff0dee910fd183/rendering/03.obj", "2.75105529785")</f>
        <v>2.75105529785</v>
      </c>
      <c r="G437" s="49" t="str">
        <f>HYPERLINK(AA2 &amp; "/bottle/sn_ee77714471b911baeeff0dee910fd183/rendering/04.obj", "1.8589465332")</f>
        <v>1.8589465332</v>
      </c>
      <c r="H437" s="23" t="str">
        <f>HYPERLINK(AA2 &amp; "/bottle/sn_ee77714471b911baeeff0dee910fd183/rendering/05.obj", "2.25482833862")</f>
        <v>2.25482833862</v>
      </c>
      <c r="I437" s="37" t="str">
        <f>HYPERLINK(AA2 &amp; "/bottle/sn_ee77714471b911baeeff0dee910fd183/rendering/06.obj", "1.93926574707")</f>
        <v>1.93926574707</v>
      </c>
      <c r="J437" s="176" t="str">
        <f>HYPERLINK(AA2 &amp; "/bottle/sn_ee77714471b911baeeff0dee910fd183/rendering/07.obj", "1.59581817627")</f>
        <v>1.59581817627</v>
      </c>
      <c r="K437" s="25" t="str">
        <f>HYPERLINK(AA2 &amp; "/bottle/sn_ee77714471b911baeeff0dee910fd183/rendering/08.obj", "2.31700119019")</f>
        <v>2.31700119019</v>
      </c>
      <c r="L437" s="20" t="str">
        <f>HYPERLINK(AA2 &amp; "/bottle/sn_ee77714471b911baeeff0dee910fd183/rendering/09.obj", "7.81503356934")</f>
        <v>7.81503356934</v>
      </c>
      <c r="M437" s="120" t="str">
        <f>HYPERLINK(AA2 &amp; "/bottle/sn_ee77714471b911baeeff0dee910fd183/rendering/10.obj", "1.84536956787")</f>
        <v>1.84536956787</v>
      </c>
      <c r="N437" s="28" t="str">
        <f>HYPERLINK(AA2 &amp; "/bottle/sn_ee77714471b911baeeff0dee910fd183/rendering/11.obj", "2.60764434814")</f>
        <v>2.60764434814</v>
      </c>
      <c r="O437" s="95" t="str">
        <f>HYPERLINK(AA2 &amp; "/bottle/sn_ee77714471b911baeeff0dee910fd183/rendering/12.obj", "1.68989776611")</f>
        <v>1.68989776611</v>
      </c>
      <c r="P437" s="119" t="str">
        <f>HYPERLINK(AA2 &amp; "/bottle/sn_ee77714471b911baeeff0dee910fd183/rendering/13.obj", "1.72220794678")</f>
        <v>1.72220794678</v>
      </c>
      <c r="Q437" s="185" t="str">
        <f>HYPERLINK(AA2 &amp; "/bottle/sn_ee77714471b911baeeff0dee910fd183/rendering/14.obj", "1.54443161011")</f>
        <v>1.54443161011</v>
      </c>
      <c r="R437" s="134" t="str">
        <f>HYPERLINK(AA2 &amp; "/bottle/sn_ee77714471b911baeeff0dee910fd183/rendering/15.obj", "1.91830032349")</f>
        <v>1.91830032349</v>
      </c>
      <c r="S437" s="107" t="str">
        <f>HYPERLINK(AA2 &amp; "/bottle/sn_ee77714471b911baeeff0dee910fd183/rendering/16.obj", "2.53863372803")</f>
        <v>2.53863372803</v>
      </c>
      <c r="T437" s="59" t="str">
        <f>HYPERLINK(AA2 &amp; "/bottle/sn_ee77714471b911baeeff0dee910fd183/rendering/17.obj", "2.9047088623")</f>
        <v>2.9047088623</v>
      </c>
      <c r="U437" s="14" t="str">
        <f>HYPERLINK(AA2 &amp; "/bottle/sn_ee77714471b911baeeff0dee910fd183/rendering/18.obj", "1.66768432617")</f>
        <v>1.66768432617</v>
      </c>
      <c r="V437" s="33" t="str">
        <f>HYPERLINK(AA2 &amp; "/bottle/sn_ee77714471b911baeeff0dee910fd183/rendering/19.obj", "2.08860580444")</f>
        <v>2.08860580444</v>
      </c>
      <c r="W437" s="12" t="s">
        <v>29</v>
      </c>
      <c r="X437" s="13">
        <v>2.34486614227295</v>
      </c>
      <c r="Y437" s="13">
        <v>1.31590756539756</v>
      </c>
      <c r="Z437" s="223">
        <v>0.56118664587054479</v>
      </c>
    </row>
    <row r="438" spans="1:26" x14ac:dyDescent="0.2">
      <c r="A438" s="1">
        <v>436</v>
      </c>
      <c r="B438" s="2" t="s">
        <v>120</v>
      </c>
      <c r="C438" s="117" t="str">
        <f>HYPERLINK(AA2 &amp; "/bottle/sn_ee77714471b911baeeff0dee910fd183/rendering/00.obj", "3.29179048538")</f>
        <v>3.29179048538</v>
      </c>
      <c r="D438" s="38" t="str">
        <f>HYPERLINK(AA2 &amp; "/bottle/sn_ee77714471b911baeeff0dee910fd183/rendering/01.obj", "4.36490678787")</f>
        <v>4.36490678787</v>
      </c>
      <c r="E438" s="171" t="str">
        <f>HYPERLINK(AA2 &amp; "/bottle/sn_ee77714471b911baeeff0dee910fd183/rendering/02.obj", "2.78063559532")</f>
        <v>2.78063559532</v>
      </c>
      <c r="F438" s="56" t="str">
        <f>HYPERLINK(AA2 &amp; "/bottle/sn_ee77714471b911baeeff0dee910fd183/rendering/03.obj", "5.24193763733")</f>
        <v>5.24193763733</v>
      </c>
      <c r="G438" s="134" t="str">
        <f>HYPERLINK(AA2 &amp; "/bottle/sn_ee77714471b911baeeff0dee910fd183/rendering/04.obj", "3.2801618576")</f>
        <v>3.2801618576</v>
      </c>
      <c r="H438" s="28" t="str">
        <f>HYPERLINK(AA2 &amp; "/bottle/sn_ee77714471b911baeeff0dee910fd183/rendering/05.obj", "3.56547427177")</f>
        <v>3.56547427177</v>
      </c>
      <c r="I438" s="76" t="str">
        <f>HYPERLINK(AA2 &amp; "/bottle/sn_ee77714471b911baeeff0dee910fd183/rendering/06.obj", "3.26878762245")</f>
        <v>3.26878762245</v>
      </c>
      <c r="J438" s="168" t="str">
        <f>HYPERLINK(AA2 &amp; "/bottle/sn_ee77714471b911baeeff0dee910fd183/rendering/07.obj", "2.71495079994")</f>
        <v>2.71495079994</v>
      </c>
      <c r="K438" s="41" t="str">
        <f>HYPERLINK(AA2 &amp; "/bottle/sn_ee77714471b911baeeff0dee910fd183/rendering/08.obj", "4.28111696243")</f>
        <v>4.28111696243</v>
      </c>
      <c r="L438" s="20" t="str">
        <f>HYPERLINK(AA2 &amp; "/bottle/sn_ee77714471b911baeeff0dee910fd183/rendering/09.obj", "13.3785886765")</f>
        <v>13.3785886765</v>
      </c>
      <c r="M438" s="169" t="str">
        <f>HYPERLINK(AA2 &amp; "/bottle/sn_ee77714471b911baeeff0dee910fd183/rendering/10.obj", "2.75017595291")</f>
        <v>2.75017595291</v>
      </c>
      <c r="N438" s="48" t="str">
        <f>HYPERLINK(AA2 &amp; "/bottle/sn_ee77714471b911baeeff0dee910fd183/rendering/11.obj", "3.91710734367")</f>
        <v>3.91710734367</v>
      </c>
      <c r="O438" s="57" t="str">
        <f>HYPERLINK(AA2 &amp; "/bottle/sn_ee77714471b911baeeff0dee910fd183/rendering/12.obj", "2.7405295372")</f>
        <v>2.7405295372</v>
      </c>
      <c r="P438" s="11" t="str">
        <f>HYPERLINK(AA2 &amp; "/bottle/sn_ee77714471b911baeeff0dee910fd183/rendering/13.obj", "3.10516381264")</f>
        <v>3.10516381264</v>
      </c>
      <c r="Q438" s="57" t="str">
        <f>HYPERLINK(AA2 &amp; "/bottle/sn_ee77714471b911baeeff0dee910fd183/rendering/14.obj", "2.73950886726")</f>
        <v>2.73950886726</v>
      </c>
      <c r="R438" s="93" t="str">
        <f>HYPERLINK(AA2 &amp; "/bottle/sn_ee77714471b911baeeff0dee910fd183/rendering/15.obj", "3.44747853279")</f>
        <v>3.44747853279</v>
      </c>
      <c r="S438" s="51" t="str">
        <f>HYPERLINK(AA2 &amp; "/bottle/sn_ee77714471b911baeeff0dee910fd183/rendering/16.obj", "3.68366289139")</f>
        <v>3.68366289139</v>
      </c>
      <c r="T438" s="129" t="str">
        <f>HYPERLINK(AA2 &amp; "/bottle/sn_ee77714471b911baeeff0dee910fd183/rendering/17.obj", "5.01071882248")</f>
        <v>5.01071882248</v>
      </c>
      <c r="U438" s="58" t="str">
        <f>HYPERLINK(AA2 &amp; "/bottle/sn_ee77714471b911baeeff0dee910fd183/rendering/18.obj", "3.03505539894")</f>
        <v>3.03505539894</v>
      </c>
      <c r="V438" s="92" t="str">
        <f>HYPERLINK(AA2 &amp; "/bottle/sn_ee77714471b911baeeff0dee910fd183/rendering/19.obj", "3.51145505905")</f>
        <v>3.51145505905</v>
      </c>
      <c r="W438" s="12" t="s">
        <v>30</v>
      </c>
      <c r="X438" s="13">
        <v>4.005460345745087</v>
      </c>
      <c r="Y438" s="13">
        <v>2.266437707942468</v>
      </c>
      <c r="Z438" s="197">
        <v>0.56583701055736457</v>
      </c>
    </row>
    <row r="439" spans="1:26" x14ac:dyDescent="0.2">
      <c r="A439" s="1">
        <v>437</v>
      </c>
      <c r="B439" s="2" t="s">
        <v>120</v>
      </c>
      <c r="C439" s="60" t="str">
        <f>HYPERLINK(AB2 &amp; "/bottle/sn_ee77714471b911baeeff0dee910fd183/rendering/00.obj", "1.75405578613")</f>
        <v>1.75405578613</v>
      </c>
      <c r="D439" s="80" t="str">
        <f>HYPERLINK(AB2 &amp; "/bottle/sn_ee77714471b911baeeff0dee910fd183/rendering/01.obj", "2.12241943359")</f>
        <v>2.12241943359</v>
      </c>
      <c r="E439" s="26" t="str">
        <f>HYPERLINK(AB2 &amp; "/bottle/sn_ee77714471b911baeeff0dee910fd183/rendering/02.obj", "1.72749282837")</f>
        <v>1.72749282837</v>
      </c>
      <c r="F439" s="69" t="str">
        <f>HYPERLINK(AB2 &amp; "/bottle/sn_ee77714471b911baeeff0dee910fd183/rendering/03.obj", "1.90201797485")</f>
        <v>1.90201797485</v>
      </c>
      <c r="G439" s="33" t="str">
        <f>HYPERLINK(AB2 &amp; "/bottle/sn_ee77714471b911baeeff0dee910fd183/rendering/04.obj", "1.64894805908")</f>
        <v>1.64894805908</v>
      </c>
      <c r="H439" s="60" t="str">
        <f>HYPERLINK(AB2 &amp; "/bottle/sn_ee77714471b911baeeff0dee910fd183/rendering/05.obj", "1.7518460083")</f>
        <v>1.7518460083</v>
      </c>
      <c r="I439" s="70" t="str">
        <f>HYPERLINK(AB2 &amp; "/bottle/sn_ee77714471b911baeeff0dee910fd183/rendering/06.obj", "1.61534896851")</f>
        <v>1.61534896851</v>
      </c>
      <c r="J439" s="47" t="str">
        <f>HYPERLINK(AB2 &amp; "/bottle/sn_ee77714471b911baeeff0dee910fd183/rendering/07.obj", "1.86440979004")</f>
        <v>1.86440979004</v>
      </c>
      <c r="K439" s="30" t="str">
        <f>HYPERLINK(AB2 &amp; "/bottle/sn_ee77714471b911baeeff0dee910fd183/rendering/08.obj", "1.85788391113")</f>
        <v>1.85788391113</v>
      </c>
      <c r="L439" s="93" t="str">
        <f>HYPERLINK(AB2 &amp; "/bottle/sn_ee77714471b911baeeff0dee910fd183/rendering/09.obj", "2.1065562439")</f>
        <v>2.1065562439</v>
      </c>
      <c r="M439" s="67" t="str">
        <f>HYPERLINK(AB2 &amp; "/bottle/sn_ee77714471b911baeeff0dee910fd183/rendering/10.obj", "2.0166027832")</f>
        <v>2.0166027832</v>
      </c>
      <c r="N439" s="24" t="str">
        <f>HYPERLINK(AB2 &amp; "/bottle/sn_ee77714471b911baeeff0dee910fd183/rendering/11.obj", "2.15862884521")</f>
        <v>2.15862884521</v>
      </c>
      <c r="O439" s="35" t="str">
        <f>HYPERLINK(AB2 &amp; "/bottle/sn_ee77714471b911baeeff0dee910fd183/rendering/12.obj", "1.74110671997")</f>
        <v>1.74110671997</v>
      </c>
      <c r="P439" s="90" t="str">
        <f>HYPERLINK(AB2 &amp; "/bottle/sn_ee77714471b911baeeff0dee910fd183/rendering/13.obj", "2.02606231689")</f>
        <v>2.02606231689</v>
      </c>
      <c r="Q439" s="41" t="str">
        <f>HYPERLINK(AB2 &amp; "/bottle/sn_ee77714471b911baeeff0dee910fd183/rendering/14.obj", "1.7225378418")</f>
        <v>1.7225378418</v>
      </c>
      <c r="R439" s="68" t="str">
        <f>HYPERLINK(AB2 &amp; "/bottle/sn_ee77714471b911baeeff0dee910fd183/rendering/15.obj", "1.7697857666")</f>
        <v>1.7697857666</v>
      </c>
      <c r="S439" s="29" t="str">
        <f>HYPERLINK(AB2 &amp; "/bottle/sn_ee77714471b911baeeff0dee910fd183/rendering/16.obj", "1.60852218628")</f>
        <v>1.60852218628</v>
      </c>
      <c r="T439" s="25" t="str">
        <f>HYPERLINK(AB2 &amp; "/bottle/sn_ee77714471b911baeeff0dee910fd183/rendering/17.obj", "1.86734176636")</f>
        <v>1.86734176636</v>
      </c>
      <c r="U439" s="90" t="str">
        <f>HYPERLINK(AB2 &amp; "/bottle/sn_ee77714471b911baeeff0dee910fd183/rendering/18.obj", "1.67378356934")</f>
        <v>1.67378356934</v>
      </c>
      <c r="V439" s="110" t="str">
        <f>HYPERLINK(AB2 &amp; "/bottle/sn_ee77714471b911baeeff0dee910fd183/rendering/19.obj", "2.03121276855")</f>
        <v>2.03121276855</v>
      </c>
      <c r="W439" s="12" t="s">
        <v>31</v>
      </c>
      <c r="X439" s="13">
        <v>1.8483281784057619</v>
      </c>
      <c r="Y439" s="13">
        <v>0.1707821929661727</v>
      </c>
      <c r="Z439" s="67">
        <v>9.2398197983151131E-2</v>
      </c>
    </row>
    <row r="440" spans="1:26" x14ac:dyDescent="0.2">
      <c r="A440" s="1">
        <v>438</v>
      </c>
      <c r="B440" s="2" t="s">
        <v>120</v>
      </c>
      <c r="C440" s="60" t="str">
        <f>HYPERLINK(AB2 &amp; "/bottle/sn_ee77714471b911baeeff0dee910fd183/rendering/00.obj", "2.79586815834")</f>
        <v>2.79586815834</v>
      </c>
      <c r="D440" s="55" t="str">
        <f>HYPERLINK(AB2 &amp; "/bottle/sn_ee77714471b911baeeff0dee910fd183/rendering/01.obj", "3.52410244942")</f>
        <v>3.52410244942</v>
      </c>
      <c r="E440" s="39" t="str">
        <f>HYPERLINK(AB2 &amp; "/bottle/sn_ee77714471b911baeeff0dee910fd183/rendering/02.obj", "2.69568753242")</f>
        <v>2.69568753242</v>
      </c>
      <c r="F440" s="60" t="str">
        <f>HYPERLINK(AB2 &amp; "/bottle/sn_ee77714471b911baeeff0dee910fd183/rendering/03.obj", "3.1047205925")</f>
        <v>3.1047205925</v>
      </c>
      <c r="G440" s="67" t="str">
        <f>HYPERLINK(AB2 &amp; "/bottle/sn_ee77714471b911baeeff0dee910fd183/rendering/04.obj", "2.67338228226")</f>
        <v>2.67338228226</v>
      </c>
      <c r="H440" s="90" t="str">
        <f>HYPERLINK(AB2 &amp; "/bottle/sn_ee77714471b911baeeff0dee910fd183/rendering/05.obj", "2.66533398628")</f>
        <v>2.66533398628</v>
      </c>
      <c r="I440" s="107" t="str">
        <f>HYPERLINK(AB2 &amp; "/bottle/sn_ee77714471b911baeeff0dee910fd183/rendering/06.obj", "2.7029645443")</f>
        <v>2.7029645443</v>
      </c>
      <c r="J440" s="91" t="str">
        <f>HYPERLINK(AB2 &amp; "/bottle/sn_ee77714471b911baeeff0dee910fd183/rendering/07.obj", "2.86815810204")</f>
        <v>2.86815810204</v>
      </c>
      <c r="K440" s="34" t="str">
        <f>HYPERLINK(AB2 &amp; "/bottle/sn_ee77714471b911baeeff0dee910fd183/rendering/08.obj", "2.805352211")</f>
        <v>2.805352211</v>
      </c>
      <c r="L440" s="117" t="str">
        <f>HYPERLINK(AB2 &amp; "/bottle/sn_ee77714471b911baeeff0dee910fd183/rendering/09.obj", "3.46992444992")</f>
        <v>3.46992444992</v>
      </c>
      <c r="M440" s="33" t="str">
        <f>HYPERLINK(AB2 &amp; "/bottle/sn_ee77714471b911baeeff0dee910fd183/rendering/10.obj", "3.2733194828")</f>
        <v>3.2733194828</v>
      </c>
      <c r="N440" s="39" t="str">
        <f>HYPERLINK(AB2 &amp; "/bottle/sn_ee77714471b911baeeff0dee910fd183/rendering/11.obj", "3.20373988152")</f>
        <v>3.20373988152</v>
      </c>
      <c r="O440" s="30" t="str">
        <f>HYPERLINK(AB2 &amp; "/bottle/sn_ee77714471b911baeeff0dee910fd183/rendering/12.obj", "2.96008324623")</f>
        <v>2.96008324623</v>
      </c>
      <c r="P440" s="29" t="str">
        <f>HYPERLINK(AB2 &amp; "/bottle/sn_ee77714471b911baeeff0dee910fd183/rendering/13.obj", "3.33938074112")</f>
        <v>3.33938074112</v>
      </c>
      <c r="Q440" s="110" t="str">
        <f>HYPERLINK(AB2 &amp; "/bottle/sn_ee77714471b911baeeff0dee910fd183/rendering/14.obj", "2.65714526176")</f>
        <v>2.65714526176</v>
      </c>
      <c r="R440" s="107" t="str">
        <f>HYPERLINK(AB2 &amp; "/bottle/sn_ee77714471b911baeeff0dee910fd183/rendering/15.obj", "2.70890235901")</f>
        <v>2.70890235901</v>
      </c>
      <c r="S440" s="94" t="str">
        <f>HYPERLINK(AB2 &amp; "/bottle/sn_ee77714471b911baeeff0dee910fd183/rendering/16.obj", "2.7299785614")</f>
        <v>2.7299785614</v>
      </c>
      <c r="T440" s="13" t="str">
        <f>HYPERLINK(AB2 &amp; "/bottle/sn_ee77714471b911baeeff0dee910fd183/rendering/17.obj", "2.95039606094")</f>
        <v>2.95039606094</v>
      </c>
      <c r="U440" s="133" t="str">
        <f>HYPERLINK(AB2 &amp; "/bottle/sn_ee77714471b911baeeff0dee910fd183/rendering/18.obj", "2.64925265312")</f>
        <v>2.64925265312</v>
      </c>
      <c r="V440" s="110" t="str">
        <f>HYPERLINK(AB2 &amp; "/bottle/sn_ee77714471b911baeeff0dee910fd183/rendering/19.obj", "3.23818898201")</f>
        <v>3.23818898201</v>
      </c>
      <c r="W440" s="12" t="s">
        <v>32</v>
      </c>
      <c r="X440" s="13">
        <v>2.9507940769195562</v>
      </c>
      <c r="Y440" s="13">
        <v>0.28678510459905471</v>
      </c>
      <c r="Z440" s="90">
        <v>9.7189128459428245E-2</v>
      </c>
    </row>
    <row r="441" spans="1:26" x14ac:dyDescent="0.2">
      <c r="A441" s="1">
        <v>439</v>
      </c>
      <c r="B441" s="2" t="s">
        <v>120</v>
      </c>
      <c r="C441" s="13" t="str">
        <f>HYPERLINK(AC2 &amp; "/bottle/sn_ee77714471b911baeeff0dee910fd183/rendering/00.xyz", "0.0")</f>
        <v>0.0</v>
      </c>
      <c r="D441" s="13" t="str">
        <f>HYPERLINK(AC2 &amp; "/bottle/sn_ee77714471b911baeeff0dee910fd183/rendering/01.xyz", "0.0")</f>
        <v>0.0</v>
      </c>
      <c r="E441" s="13" t="str">
        <f>HYPERLINK(AC2 &amp; "/bottle/sn_ee77714471b911baeeff0dee910fd183/rendering/02.xyz", "0.0")</f>
        <v>0.0</v>
      </c>
      <c r="F441" s="13" t="str">
        <f>HYPERLINK(AC2 &amp; "/bottle/sn_ee77714471b911baeeff0dee910fd183/rendering/03.xyz", "0.0")</f>
        <v>0.0</v>
      </c>
      <c r="G441" s="13" t="str">
        <f>HYPERLINK(AC2 &amp; "/bottle/sn_ee77714471b911baeeff0dee910fd183/rendering/04.xyz", "0.0")</f>
        <v>0.0</v>
      </c>
      <c r="H441" s="13" t="str">
        <f>HYPERLINK(AC2 &amp; "/bottle/sn_ee77714471b911baeeff0dee910fd183/rendering/05.xyz", "0.0")</f>
        <v>0.0</v>
      </c>
      <c r="I441" s="13" t="str">
        <f>HYPERLINK(AC2 &amp; "/bottle/sn_ee77714471b911baeeff0dee910fd183/rendering/06.xyz", "0.0")</f>
        <v>0.0</v>
      </c>
      <c r="J441" s="13" t="str">
        <f>HYPERLINK(AC2 &amp; "/bottle/sn_ee77714471b911baeeff0dee910fd183/rendering/07.xyz", "0.0")</f>
        <v>0.0</v>
      </c>
      <c r="K441" s="13" t="str">
        <f>HYPERLINK(AC2 &amp; "/bottle/sn_ee77714471b911baeeff0dee910fd183/rendering/08.xyz", "0.0")</f>
        <v>0.0</v>
      </c>
      <c r="L441" s="13" t="str">
        <f>HYPERLINK(AC2 &amp; "/bottle/sn_ee77714471b911baeeff0dee910fd183/rendering/09.xyz", "0.0")</f>
        <v>0.0</v>
      </c>
      <c r="M441" s="13" t="str">
        <f>HYPERLINK(AC2 &amp; "/bottle/sn_ee77714471b911baeeff0dee910fd183/rendering/10.xyz", "0.0")</f>
        <v>0.0</v>
      </c>
      <c r="N441" s="13" t="str">
        <f>HYPERLINK(AC2 &amp; "/bottle/sn_ee77714471b911baeeff0dee910fd183/rendering/11.xyz", "0.0")</f>
        <v>0.0</v>
      </c>
      <c r="O441" s="13" t="str">
        <f>HYPERLINK(AC2 &amp; "/bottle/sn_ee77714471b911baeeff0dee910fd183/rendering/12.xyz", "0.0")</f>
        <v>0.0</v>
      </c>
      <c r="P441" s="13" t="str">
        <f>HYPERLINK(AC2 &amp; "/bottle/sn_ee77714471b911baeeff0dee910fd183/rendering/13.xyz", "0.0")</f>
        <v>0.0</v>
      </c>
      <c r="Q441" s="13" t="str">
        <f>HYPERLINK(AC2 &amp; "/bottle/sn_ee77714471b911baeeff0dee910fd183/rendering/14.xyz", "0.0")</f>
        <v>0.0</v>
      </c>
      <c r="R441" s="13" t="str">
        <f>HYPERLINK(AC2 &amp; "/bottle/sn_ee77714471b911baeeff0dee910fd183/rendering/15.xyz", "0.0")</f>
        <v>0.0</v>
      </c>
      <c r="S441" s="13" t="str">
        <f>HYPERLINK(AC2 &amp; "/bottle/sn_ee77714471b911baeeff0dee910fd183/rendering/16.xyz", "0.0")</f>
        <v>0.0</v>
      </c>
      <c r="T441" s="13" t="str">
        <f>HYPERLINK(AC2 &amp; "/bottle/sn_ee77714471b911baeeff0dee910fd183/rendering/17.xyz", "0.0")</f>
        <v>0.0</v>
      </c>
      <c r="U441" s="13" t="str">
        <f>HYPERLINK(AC2 &amp; "/bottle/sn_ee77714471b911baeeff0dee910fd183/rendering/18.xyz", "0.0")</f>
        <v>0.0</v>
      </c>
      <c r="V441" s="13" t="str">
        <f>HYPERLINK(AC2 &amp; "/bottle/sn_ee77714471b911baeeff0dee910fd183/rendering/19.xyz", "0.0")</f>
        <v>0.0</v>
      </c>
      <c r="W441" s="12" t="s">
        <v>33</v>
      </c>
      <c r="X441" s="13">
        <v>0</v>
      </c>
      <c r="Y441" s="13">
        <v>0</v>
      </c>
      <c r="Z441" s="13">
        <v>0</v>
      </c>
    </row>
    <row r="442" spans="1:26" x14ac:dyDescent="0.2">
      <c r="A442" s="1">
        <v>440</v>
      </c>
      <c r="B442" s="2" t="s">
        <v>121</v>
      </c>
      <c r="C442" s="67" t="str">
        <f>HYPERLINK(AA2 &amp; "/bottle/sn_ef5893626d5048fd9d749aedd9392d68/rendering/00.obj", "3.60521240234")</f>
        <v>3.60521240234</v>
      </c>
      <c r="D442" s="93" t="str">
        <f>HYPERLINK(AA2 &amp; "/bottle/sn_ef5893626d5048fd9d749aedd9392d68/rendering/01.obj", "2.83343688965")</f>
        <v>2.83343688965</v>
      </c>
      <c r="E442" s="94" t="str">
        <f>HYPERLINK(AA2 &amp; "/bottle/sn_ef5893626d5048fd9d749aedd9392d68/rendering/02.obj", "3.5444921875")</f>
        <v>3.5444921875</v>
      </c>
      <c r="F442" s="107" t="str">
        <f>HYPERLINK(AA2 &amp; "/bottle/sn_ef5893626d5048fd9d749aedd9392d68/rendering/03.obj", "3.02644927979")</f>
        <v>3.02644927979</v>
      </c>
      <c r="G442" s="60" t="str">
        <f>HYPERLINK(AA2 &amp; "/bottle/sn_ef5893626d5048fd9d749aedd9392d68/rendering/04.obj", "3.12781005859")</f>
        <v>3.12781005859</v>
      </c>
      <c r="H442" s="63" t="str">
        <f>HYPERLINK(AA2 &amp; "/bottle/sn_ef5893626d5048fd9d749aedd9392d68/rendering/05.obj", "3.69750366211")</f>
        <v>3.69750366211</v>
      </c>
      <c r="I442" s="35" t="str">
        <f>HYPERLINK(AA2 &amp; "/bottle/sn_ef5893626d5048fd9d749aedd9392d68/rendering/06.obj", "3.11089294434")</f>
        <v>3.11089294434</v>
      </c>
      <c r="J442" s="37" t="str">
        <f>HYPERLINK(AA2 &amp; "/bottle/sn_ef5893626d5048fd9d749aedd9392d68/rendering/07.obj", "2.71908081055")</f>
        <v>2.71908081055</v>
      </c>
      <c r="K442" s="83" t="str">
        <f>HYPERLINK(AA2 &amp; "/bottle/sn_ef5893626d5048fd9d749aedd9392d68/rendering/08.obj", "2.79155395508")</f>
        <v>2.79155395508</v>
      </c>
      <c r="L442" s="34" t="str">
        <f>HYPERLINK(AA2 &amp; "/bottle/sn_ef5893626d5048fd9d749aedd9392d68/rendering/09.obj", "3.14019317627")</f>
        <v>3.14019317627</v>
      </c>
      <c r="M442" s="13" t="str">
        <f>HYPERLINK(AA2 &amp; "/bottle/sn_ef5893626d5048fd9d749aedd9392d68/rendering/10.obj", "3.30270568848")</f>
        <v>3.30270568848</v>
      </c>
      <c r="N442" s="83" t="str">
        <f>HYPERLINK(AA2 &amp; "/bottle/sn_ef5893626d5048fd9d749aedd9392d68/rendering/11.obj", "3.8033013916")</f>
        <v>3.8033013916</v>
      </c>
      <c r="O442" s="31" t="str">
        <f>HYPERLINK(AA2 &amp; "/bottle/sn_ef5893626d5048fd9d749aedd9392d68/rendering/12.obj", "3.81093963623")</f>
        <v>3.81093963623</v>
      </c>
      <c r="P442" s="49" t="str">
        <f>HYPERLINK(AA2 &amp; "/bottle/sn_ef5893626d5048fd9d749aedd9392d68/rendering/13.obj", "2.61361206055")</f>
        <v>2.61361206055</v>
      </c>
      <c r="Q442" s="68" t="str">
        <f>HYPERLINK(AA2 &amp; "/bottle/sn_ef5893626d5048fd9d749aedd9392d68/rendering/14.obj", "3.43242370605")</f>
        <v>3.43242370605</v>
      </c>
      <c r="R442" s="87" t="str">
        <f>HYPERLINK(AA2 &amp; "/bottle/sn_ef5893626d5048fd9d749aedd9392d68/rendering/15.obj", "4.04406066895")</f>
        <v>4.04406066895</v>
      </c>
      <c r="S442" s="38" t="str">
        <f>HYPERLINK(AA2 &amp; "/bottle/sn_ef5893626d5048fd9d749aedd9392d68/rendering/16.obj", "3.00242706299")</f>
        <v>3.00242706299</v>
      </c>
      <c r="T442" s="120" t="str">
        <f>HYPERLINK(AA2 &amp; "/bottle/sn_ef5893626d5048fd9d749aedd9392d68/rendering/17.obj", "3.99919128418")</f>
        <v>3.99919128418</v>
      </c>
      <c r="U442" s="46" t="str">
        <f>HYPERLINK(AA2 &amp; "/bottle/sn_ef5893626d5048fd9d749aedd9392d68/rendering/18.obj", "3.35827575684")</f>
        <v>3.35827575684</v>
      </c>
      <c r="V442" s="90" t="str">
        <f>HYPERLINK(AA2 &amp; "/bottle/sn_ef5893626d5048fd9d749aedd9392d68/rendering/19.obj", "2.98295898438")</f>
        <v>2.98295898438</v>
      </c>
      <c r="W442" s="12" t="s">
        <v>29</v>
      </c>
      <c r="X442" s="13">
        <v>3.2973260803222662</v>
      </c>
      <c r="Y442" s="13">
        <v>0.42001432807715439</v>
      </c>
      <c r="Z442" s="70">
        <v>0.12738028264286921</v>
      </c>
    </row>
    <row r="443" spans="1:26" x14ac:dyDescent="0.2">
      <c r="A443" s="1">
        <v>441</v>
      </c>
      <c r="B443" s="2" t="s">
        <v>121</v>
      </c>
      <c r="C443" s="10" t="str">
        <f>HYPERLINK(AA2 &amp; "/bottle/sn_ef5893626d5048fd9d749aedd9392d68/rendering/00.obj", "4.42786693573")</f>
        <v>4.42786693573</v>
      </c>
      <c r="D443" s="106" t="str">
        <f>HYPERLINK(AA2 &amp; "/bottle/sn_ef5893626d5048fd9d749aedd9392d68/rendering/01.obj", "3.723528862")</f>
        <v>3.723528862</v>
      </c>
      <c r="E443" s="24" t="str">
        <f>HYPERLINK(AA2 &amp; "/bottle/sn_ef5893626d5048fd9d749aedd9392d68/rendering/02.obj", "4.91074943542")</f>
        <v>4.91074943542</v>
      </c>
      <c r="F443" s="25" t="str">
        <f>HYPERLINK(AA2 &amp; "/bottle/sn_ef5893626d5048fd9d749aedd9392d68/rendering/03.obj", "4.25303316116")</f>
        <v>4.25303316116</v>
      </c>
      <c r="G443" s="69" t="str">
        <f>HYPERLINK(AA2 &amp; "/bottle/sn_ef5893626d5048fd9d749aedd9392d68/rendering/04.obj", "4.07359933853")</f>
        <v>4.07359933853</v>
      </c>
      <c r="H443" s="23" t="str">
        <f>HYPERLINK(AA2 &amp; "/bottle/sn_ef5893626d5048fd9d749aedd9392d68/rendering/05.obj", "4.03685903549")</f>
        <v>4.03685903549</v>
      </c>
      <c r="I443" s="67" t="str">
        <f>HYPERLINK(AA2 &amp; "/bottle/sn_ef5893626d5048fd9d749aedd9392d68/rendering/06.obj", "4.58582019806")</f>
        <v>4.58582019806</v>
      </c>
      <c r="J443" s="31" t="str">
        <f>HYPERLINK(AA2 &amp; "/bottle/sn_ef5893626d5048fd9d749aedd9392d68/rendering/07.obj", "3.54847598076")</f>
        <v>3.54847598076</v>
      </c>
      <c r="K443" s="47" t="str">
        <f>HYPERLINK(AA2 &amp; "/bottle/sn_ef5893626d5048fd9d749aedd9392d68/rendering/08.obj", "4.1688337326")</f>
        <v>4.1688337326</v>
      </c>
      <c r="L443" s="90" t="str">
        <f>HYPERLINK(AA2 &amp; "/bottle/sn_ef5893626d5048fd9d749aedd9392d68/rendering/09.obj", "3.80202627182")</f>
        <v>3.80202627182</v>
      </c>
      <c r="M443" s="71" t="str">
        <f>HYPERLINK(AA2 &amp; "/bottle/sn_ef5893626d5048fd9d749aedd9392d68/rendering/10.obj", "3.70306658745")</f>
        <v>3.70306658745</v>
      </c>
      <c r="N443" s="89" t="str">
        <f>HYPERLINK(AA2 &amp; "/bottle/sn_ef5893626d5048fd9d749aedd9392d68/rendering/11.obj", "5.29337930679")</f>
        <v>5.29337930679</v>
      </c>
      <c r="O443" s="30" t="str">
        <f>HYPERLINK(AA2 &amp; "/bottle/sn_ef5893626d5048fd9d749aedd9392d68/rendering/12.obj", "4.18095254898")</f>
        <v>4.18095254898</v>
      </c>
      <c r="P443" s="117" t="str">
        <f>HYPERLINK(AA2 &amp; "/bottle/sn_ef5893626d5048fd9d749aedd9392d68/rendering/13.obj", "3.45414018631")</f>
        <v>3.45414018631</v>
      </c>
      <c r="Q443" s="107" t="str">
        <f>HYPERLINK(AA2 &amp; "/bottle/sn_ef5893626d5048fd9d749aedd9392d68/rendering/14.obj", "4.54550218582")</f>
        <v>4.54550218582</v>
      </c>
      <c r="R443" s="82" t="str">
        <f>HYPERLINK(AA2 &amp; "/bottle/sn_ef5893626d5048fd9d749aedd9392d68/rendering/15.obj", "5.07039642334")</f>
        <v>5.07039642334</v>
      </c>
      <c r="S443" s="72" t="str">
        <f>HYPERLINK(AA2 &amp; "/bottle/sn_ef5893626d5048fd9d749aedd9392d68/rendering/16.obj", "4.06316757202")</f>
        <v>4.06316757202</v>
      </c>
      <c r="T443" s="110" t="str">
        <f>HYPERLINK(AA2 &amp; "/bottle/sn_ef5893626d5048fd9d749aedd9392d68/rendering/17.obj", "4.62094163895")</f>
        <v>4.62094163895</v>
      </c>
      <c r="U443" s="93" t="str">
        <f>HYPERLINK(AA2 &amp; "/bottle/sn_ef5893626d5048fd9d749aedd9392d68/rendering/18.obj", "3.61120557785")</f>
        <v>3.61120557785</v>
      </c>
      <c r="V443" s="78" t="str">
        <f>HYPERLINK(AA2 &amp; "/bottle/sn_ef5893626d5048fd9d749aedd9392d68/rendering/19.obj", "3.94127845764")</f>
        <v>3.94127845764</v>
      </c>
      <c r="W443" s="12" t="s">
        <v>30</v>
      </c>
      <c r="X443" s="13">
        <v>4.200741171836853</v>
      </c>
      <c r="Y443" s="13">
        <v>0.50238356089590641</v>
      </c>
      <c r="Z443" s="63">
        <v>0.1195940288499683</v>
      </c>
    </row>
    <row r="444" spans="1:26" x14ac:dyDescent="0.2">
      <c r="A444" s="1">
        <v>442</v>
      </c>
      <c r="B444" s="2" t="s">
        <v>121</v>
      </c>
      <c r="C444" s="72" t="str">
        <f>HYPERLINK(AB2 &amp; "/bottle/sn_ef5893626d5048fd9d749aedd9392d68/rendering/00.obj", "3.20829162598")</f>
        <v>3.20829162598</v>
      </c>
      <c r="D444" s="91" t="str">
        <f>HYPERLINK(AB2 &amp; "/bottle/sn_ef5893626d5048fd9d749aedd9392d68/rendering/01.obj", "3.18664001465")</f>
        <v>3.18664001465</v>
      </c>
      <c r="E444" s="46" t="str">
        <f>HYPERLINK(AB2 &amp; "/bottle/sn_ef5893626d5048fd9d749aedd9392d68/rendering/02.obj", "3.04983825684")</f>
        <v>3.04983825684</v>
      </c>
      <c r="F444" s="73" t="str">
        <f>HYPERLINK(AB2 &amp; "/bottle/sn_ef5893626d5048fd9d749aedd9392d68/rendering/03.obj", "3.21993408203")</f>
        <v>3.21993408203</v>
      </c>
      <c r="G444" s="23" t="str">
        <f>HYPERLINK(AB2 &amp; "/bottle/sn_ef5893626d5048fd9d749aedd9392d68/rendering/04.obj", "2.98535583496")</f>
        <v>2.98535583496</v>
      </c>
      <c r="H444" s="74" t="str">
        <f>HYPERLINK(AB2 &amp; "/bottle/sn_ef5893626d5048fd9d749aedd9392d68/rendering/05.obj", "3.1472253418")</f>
        <v>3.1472253418</v>
      </c>
      <c r="I444" s="69" t="str">
        <f>HYPERLINK(AB2 &amp; "/bottle/sn_ef5893626d5048fd9d749aedd9392d68/rendering/06.obj", "3.01652526855")</f>
        <v>3.01652526855</v>
      </c>
      <c r="J444" s="13" t="str">
        <f>HYPERLINK(AB2 &amp; "/bottle/sn_ef5893626d5048fd9d749aedd9392d68/rendering/07.obj", "3.11358886719")</f>
        <v>3.11358886719</v>
      </c>
      <c r="K444" s="73" t="str">
        <f>HYPERLINK(AB2 &amp; "/bottle/sn_ef5893626d5048fd9d749aedd9392d68/rendering/08.obj", "3.21786804199")</f>
        <v>3.21786804199</v>
      </c>
      <c r="L444" s="30" t="str">
        <f>HYPERLINK(AB2 &amp; "/bottle/sn_ef5893626d5048fd9d749aedd9392d68/rendering/09.obj", "3.12168457031")</f>
        <v>3.12168457031</v>
      </c>
      <c r="M444" s="34" t="str">
        <f>HYPERLINK(AB2 &amp; "/bottle/sn_ef5893626d5048fd9d749aedd9392d68/rendering/10.obj", "2.95280334473")</f>
        <v>2.95280334473</v>
      </c>
      <c r="N444" s="68" t="str">
        <f>HYPERLINK(AB2 &amp; "/bottle/sn_ef5893626d5048fd9d749aedd9392d68/rendering/11.obj", "2.97881439209")</f>
        <v>2.97881439209</v>
      </c>
      <c r="O444" s="47" t="str">
        <f>HYPERLINK(AB2 &amp; "/bottle/sn_ef5893626d5048fd9d749aedd9392d68/rendering/12.obj", "3.08596679688")</f>
        <v>3.08596679688</v>
      </c>
      <c r="P444" s="69" t="str">
        <f>HYPERLINK(AB2 &amp; "/bottle/sn_ef5893626d5048fd9d749aedd9392d68/rendering/13.obj", "3.19805847168")</f>
        <v>3.19805847168</v>
      </c>
      <c r="Q444" s="47" t="str">
        <f>HYPERLINK(AB2 &amp; "/bottle/sn_ef5893626d5048fd9d749aedd9392d68/rendering/14.obj", "3.13537231445")</f>
        <v>3.13537231445</v>
      </c>
      <c r="R444" s="6" t="str">
        <f>HYPERLINK(AB2 &amp; "/bottle/sn_ef5893626d5048fd9d749aedd9392d68/rendering/15.obj", "3.24516296387")</f>
        <v>3.24516296387</v>
      </c>
      <c r="S444" s="25" t="str">
        <f>HYPERLINK(AB2 &amp; "/bottle/sn_ef5893626d5048fd9d749aedd9392d68/rendering/16.obj", "3.13958190918")</f>
        <v>3.13958190918</v>
      </c>
      <c r="T444" s="23" t="str">
        <f>HYPERLINK(AB2 &amp; "/bottle/sn_ef5893626d5048fd9d749aedd9392d68/rendering/17.obj", "2.98640167236")</f>
        <v>2.98640167236</v>
      </c>
      <c r="U444" s="48" t="str">
        <f>HYPERLINK(AB2 &amp; "/bottle/sn_ef5893626d5048fd9d749aedd9392d68/rendering/18.obj", "3.03004394531")</f>
        <v>3.03004394531</v>
      </c>
      <c r="V444" s="13" t="str">
        <f>HYPERLINK(AB2 &amp; "/bottle/sn_ef5893626d5048fd9d749aedd9392d68/rendering/19.obj", "3.11602722168")</f>
        <v>3.11602722168</v>
      </c>
      <c r="W444" s="12" t="s">
        <v>31</v>
      </c>
      <c r="X444" s="13">
        <v>3.1067592468261722</v>
      </c>
      <c r="Y444" s="13">
        <v>8.9504252218616798E-2</v>
      </c>
      <c r="Z444" s="69">
        <v>2.8809523077803111E-2</v>
      </c>
    </row>
    <row r="445" spans="1:26" x14ac:dyDescent="0.2">
      <c r="A445" s="1">
        <v>443</v>
      </c>
      <c r="B445" s="2" t="s">
        <v>121</v>
      </c>
      <c r="C445" s="35" t="str">
        <f>HYPERLINK(AB2 &amp; "/bottle/sn_ef5893626d5048fd9d749aedd9392d68/rendering/00.obj", "2.91401219368")</f>
        <v>2.91401219368</v>
      </c>
      <c r="D445" s="68" t="str">
        <f>HYPERLINK(AB2 &amp; "/bottle/sn_ef5893626d5048fd9d749aedd9392d68/rendering/01.obj", "2.869099617")</f>
        <v>2.869099617</v>
      </c>
      <c r="E445" s="13" t="str">
        <f>HYPERLINK(AB2 &amp; "/bottle/sn_ef5893626d5048fd9d749aedd9392d68/rendering/02.obj", "2.75631570816")</f>
        <v>2.75631570816</v>
      </c>
      <c r="F445" s="46" t="str">
        <f>HYPERLINK(AB2 &amp; "/bottle/sn_ef5893626d5048fd9d749aedd9392d68/rendering/03.obj", "2.70446944237")</f>
        <v>2.70446944237</v>
      </c>
      <c r="G445" s="69" t="str">
        <f>HYPERLINK(AB2 &amp; "/bottle/sn_ef5893626d5048fd9d749aedd9392d68/rendering/04.obj", "2.67207455635")</f>
        <v>2.67207455635</v>
      </c>
      <c r="H445" s="73" t="str">
        <f>HYPERLINK(AB2 &amp; "/bottle/sn_ef5893626d5048fd9d749aedd9392d68/rendering/05.obj", "2.65206456184")</f>
        <v>2.65206456184</v>
      </c>
      <c r="I445" s="13" t="str">
        <f>HYPERLINK(AB2 &amp; "/bottle/sn_ef5893626d5048fd9d749aedd9392d68/rendering/06.obj", "2.75333762169")</f>
        <v>2.75333762169</v>
      </c>
      <c r="J445" s="23" t="str">
        <f>HYPERLINK(AB2 &amp; "/bottle/sn_ef5893626d5048fd9d749aedd9392d68/rendering/07.obj", "2.86286878586")</f>
        <v>2.86286878586</v>
      </c>
      <c r="K445" s="30" t="str">
        <f>HYPERLINK(AB2 &amp; "/bottle/sn_ef5893626d5048fd9d749aedd9392d68/rendering/08.obj", "2.74306678772")</f>
        <v>2.74306678772</v>
      </c>
      <c r="L445" s="10" t="str">
        <f>HYPERLINK(AB2 &amp; "/bottle/sn_ef5893626d5048fd9d749aedd9392d68/rendering/09.obj", "2.904327631")</f>
        <v>2.904327631</v>
      </c>
      <c r="M445" s="41" t="str">
        <f>HYPERLINK(AB2 &amp; "/bottle/sn_ef5893626d5048fd9d749aedd9392d68/rendering/10.obj", "2.56674599648")</f>
        <v>2.56674599648</v>
      </c>
      <c r="N445" s="46" t="str">
        <f>HYPERLINK(AB2 &amp; "/bottle/sn_ef5893626d5048fd9d749aedd9392d68/rendering/11.obj", "2.7028503418")</f>
        <v>2.7028503418</v>
      </c>
      <c r="O445" s="6" t="str">
        <f>HYPERLINK(AB2 &amp; "/bottle/sn_ef5893626d5048fd9d749aedd9392d68/rendering/12.obj", "2.62943577766")</f>
        <v>2.62943577766</v>
      </c>
      <c r="P445" s="51" t="str">
        <f>HYPERLINK(AB2 &amp; "/bottle/sn_ef5893626d5048fd9d749aedd9392d68/rendering/13.obj", "2.97698569298")</f>
        <v>2.97698569298</v>
      </c>
      <c r="Q445" s="60" t="str">
        <f>HYPERLINK(AB2 &amp; "/bottle/sn_ef5893626d5048fd9d749aedd9392d68/rendering/14.obj", "2.89372181892")</f>
        <v>2.89372181892</v>
      </c>
      <c r="R445" s="68" t="str">
        <f>HYPERLINK(AB2 &amp; "/bottle/sn_ef5893626d5048fd9d749aedd9392d68/rendering/15.obj", "2.87340044975")</f>
        <v>2.87340044975</v>
      </c>
      <c r="S445" s="72" t="str">
        <f>HYPERLINK(AB2 &amp; "/bottle/sn_ef5893626d5048fd9d749aedd9392d68/rendering/16.obj", "2.66353988647")</f>
        <v>2.66353988647</v>
      </c>
      <c r="T445" s="34" t="str">
        <f>HYPERLINK(AB2 &amp; "/bottle/sn_ef5893626d5048fd9d749aedd9392d68/rendering/17.obj", "2.61574554443")</f>
        <v>2.61574554443</v>
      </c>
      <c r="U445" s="35" t="str">
        <f>HYPERLINK(AB2 &amp; "/bottle/sn_ef5893626d5048fd9d749aedd9392d68/rendering/18.obj", "2.59105992317")</f>
        <v>2.59105992317</v>
      </c>
      <c r="V445" s="25" t="str">
        <f>HYPERLINK(AB2 &amp; "/bottle/sn_ef5893626d5048fd9d749aedd9392d68/rendering/19.obj", "2.72338867188")</f>
        <v>2.72338867188</v>
      </c>
      <c r="W445" s="12" t="s">
        <v>32</v>
      </c>
      <c r="X445" s="13">
        <v>2.7534255504608161</v>
      </c>
      <c r="Y445" s="13">
        <v>0.11926000472968599</v>
      </c>
      <c r="Z445" s="68">
        <v>4.3313321004712302E-2</v>
      </c>
    </row>
    <row r="446" spans="1:26" x14ac:dyDescent="0.2">
      <c r="A446" s="1">
        <v>444</v>
      </c>
      <c r="B446" s="2" t="s">
        <v>121</v>
      </c>
      <c r="C446" s="13" t="str">
        <f>HYPERLINK(AC2 &amp; "/bottle/sn_ef5893626d5048fd9d749aedd9392d68/rendering/00.xyz", "0.0")</f>
        <v>0.0</v>
      </c>
      <c r="D446" s="13" t="str">
        <f>HYPERLINK(AC2 &amp; "/bottle/sn_ef5893626d5048fd9d749aedd9392d68/rendering/01.xyz", "0.0")</f>
        <v>0.0</v>
      </c>
      <c r="E446" s="13" t="str">
        <f>HYPERLINK(AC2 &amp; "/bottle/sn_ef5893626d5048fd9d749aedd9392d68/rendering/02.xyz", "0.0")</f>
        <v>0.0</v>
      </c>
      <c r="F446" s="13" t="str">
        <f>HYPERLINK(AC2 &amp; "/bottle/sn_ef5893626d5048fd9d749aedd9392d68/rendering/03.xyz", "0.0")</f>
        <v>0.0</v>
      </c>
      <c r="G446" s="13" t="str">
        <f>HYPERLINK(AC2 &amp; "/bottle/sn_ef5893626d5048fd9d749aedd9392d68/rendering/04.xyz", "0.0")</f>
        <v>0.0</v>
      </c>
      <c r="H446" s="13" t="str">
        <f>HYPERLINK(AC2 &amp; "/bottle/sn_ef5893626d5048fd9d749aedd9392d68/rendering/05.xyz", "0.0")</f>
        <v>0.0</v>
      </c>
      <c r="I446" s="13" t="str">
        <f>HYPERLINK(AC2 &amp; "/bottle/sn_ef5893626d5048fd9d749aedd9392d68/rendering/06.xyz", "0.0")</f>
        <v>0.0</v>
      </c>
      <c r="J446" s="13" t="str">
        <f>HYPERLINK(AC2 &amp; "/bottle/sn_ef5893626d5048fd9d749aedd9392d68/rendering/07.xyz", "0.0")</f>
        <v>0.0</v>
      </c>
      <c r="K446" s="13" t="str">
        <f>HYPERLINK(AC2 &amp; "/bottle/sn_ef5893626d5048fd9d749aedd9392d68/rendering/08.xyz", "0.0")</f>
        <v>0.0</v>
      </c>
      <c r="L446" s="13" t="str">
        <f>HYPERLINK(AC2 &amp; "/bottle/sn_ef5893626d5048fd9d749aedd9392d68/rendering/09.xyz", "0.0")</f>
        <v>0.0</v>
      </c>
      <c r="M446" s="13" t="str">
        <f>HYPERLINK(AC2 &amp; "/bottle/sn_ef5893626d5048fd9d749aedd9392d68/rendering/10.xyz", "0.0")</f>
        <v>0.0</v>
      </c>
      <c r="N446" s="13" t="str">
        <f>HYPERLINK(AC2 &amp; "/bottle/sn_ef5893626d5048fd9d749aedd9392d68/rendering/11.xyz", "0.0")</f>
        <v>0.0</v>
      </c>
      <c r="O446" s="13" t="str">
        <f>HYPERLINK(AC2 &amp; "/bottle/sn_ef5893626d5048fd9d749aedd9392d68/rendering/12.xyz", "0.0")</f>
        <v>0.0</v>
      </c>
      <c r="P446" s="13" t="str">
        <f>HYPERLINK(AC2 &amp; "/bottle/sn_ef5893626d5048fd9d749aedd9392d68/rendering/13.xyz", "0.0")</f>
        <v>0.0</v>
      </c>
      <c r="Q446" s="13" t="str">
        <f>HYPERLINK(AC2 &amp; "/bottle/sn_ef5893626d5048fd9d749aedd9392d68/rendering/14.xyz", "0.0")</f>
        <v>0.0</v>
      </c>
      <c r="R446" s="13" t="str">
        <f>HYPERLINK(AC2 &amp; "/bottle/sn_ef5893626d5048fd9d749aedd9392d68/rendering/15.xyz", "0.0")</f>
        <v>0.0</v>
      </c>
      <c r="S446" s="13" t="str">
        <f>HYPERLINK(AC2 &amp; "/bottle/sn_ef5893626d5048fd9d749aedd9392d68/rendering/16.xyz", "0.0")</f>
        <v>0.0</v>
      </c>
      <c r="T446" s="13" t="str">
        <f>HYPERLINK(AC2 &amp; "/bottle/sn_ef5893626d5048fd9d749aedd9392d68/rendering/17.xyz", "0.0")</f>
        <v>0.0</v>
      </c>
      <c r="U446" s="13" t="str">
        <f>HYPERLINK(AC2 &amp; "/bottle/sn_ef5893626d5048fd9d749aedd9392d68/rendering/18.xyz", "0.0")</f>
        <v>0.0</v>
      </c>
      <c r="V446" s="13" t="str">
        <f>HYPERLINK(AC2 &amp; "/bottle/sn_ef5893626d5048fd9d749aedd9392d68/rendering/19.xyz", "0.0")</f>
        <v>0.0</v>
      </c>
      <c r="W446" s="12" t="s">
        <v>33</v>
      </c>
      <c r="X446" s="13">
        <v>0</v>
      </c>
      <c r="Y446" s="13">
        <v>0</v>
      </c>
      <c r="Z446" s="13">
        <v>0</v>
      </c>
    </row>
    <row r="447" spans="1:26" x14ac:dyDescent="0.2">
      <c r="A447" s="1">
        <v>445</v>
      </c>
      <c r="B447" s="2" t="s">
        <v>122</v>
      </c>
      <c r="C447" s="108" t="str">
        <f>HYPERLINK(AA2 &amp; "/bottle/sn_f0611ec9ff89209bf10c4513652c1c5e/rendering/00.obj", "2.38664489746")</f>
        <v>2.38664489746</v>
      </c>
      <c r="D447" s="37" t="str">
        <f>HYPERLINK(AA2 &amp; "/bottle/sn_f0611ec9ff89209bf10c4513652c1c5e/rendering/01.obj", "2.61248016357")</f>
        <v>2.61248016357</v>
      </c>
      <c r="E447" s="124" t="str">
        <f>HYPERLINK(AA2 &amp; "/bottle/sn_f0611ec9ff89209bf10c4513652c1c5e/rendering/02.obj", "1.95844436646")</f>
        <v>1.95844436646</v>
      </c>
      <c r="F447" s="75" t="str">
        <f>HYPERLINK(AA2 &amp; "/bottle/sn_f0611ec9ff89209bf10c4513652c1c5e/rendering/03.obj", "2.46339859009")</f>
        <v>2.46339859009</v>
      </c>
      <c r="G447" s="20" t="str">
        <f>HYPERLINK(AA2 &amp; "/bottle/sn_f0611ec9ff89209bf10c4513652c1c5e/rendering/04.obj", "6.14856323242")</f>
        <v>6.14856323242</v>
      </c>
      <c r="H447" s="107" t="str">
        <f>HYPERLINK(AA2 &amp; "/bottle/sn_f0611ec9ff89209bf10c4513652c1c5e/rendering/05.obj", "2.90489501953")</f>
        <v>2.90489501953</v>
      </c>
      <c r="I447" s="99" t="str">
        <f>HYPERLINK(AA2 &amp; "/bottle/sn_f0611ec9ff89209bf10c4513652c1c5e/rendering/06.obj", "2.3106842041")</f>
        <v>2.3106842041</v>
      </c>
      <c r="J447" s="196" t="str">
        <f>HYPERLINK(AA2 &amp; "/bottle/sn_f0611ec9ff89209bf10c4513652c1c5e/rendering/07.obj", "4.42487304687")</f>
        <v>4.42487304687</v>
      </c>
      <c r="K447" s="39" t="str">
        <f>HYPERLINK(AA2 &amp; "/bottle/sn_f0611ec9ff89209bf10c4513652c1c5e/rendering/08.obj", "2.89121795654")</f>
        <v>2.89121795654</v>
      </c>
      <c r="L447" s="88" t="str">
        <f>HYPERLINK(AA2 &amp; "/bottle/sn_f0611ec9ff89209bf10c4513652c1c5e/rendering/09.obj", "2.52207992554")</f>
        <v>2.52207992554</v>
      </c>
      <c r="M447" s="41" t="str">
        <f>HYPERLINK(AA2 &amp; "/bottle/sn_f0611ec9ff89209bf10c4513652c1c5e/rendering/10.obj", "2.95490478516")</f>
        <v>2.95490478516</v>
      </c>
      <c r="N447" s="193" t="str">
        <f>HYPERLINK(AA2 &amp; "/bottle/sn_f0611ec9ff89209bf10c4513652c1c5e/rendering/11.obj", "2.12207000732")</f>
        <v>2.12207000732</v>
      </c>
      <c r="O447" s="110" t="str">
        <f>HYPERLINK(AA2 &amp; "/bottle/sn_f0611ec9ff89209bf10c4513652c1c5e/rendering/12.obj", "2.85859619141")</f>
        <v>2.85859619141</v>
      </c>
      <c r="P447" s="84" t="str">
        <f>HYPERLINK(AA2 &amp; "/bottle/sn_f0611ec9ff89209bf10c4513652c1c5e/rendering/13.obj", "2.70907653809")</f>
        <v>2.70907653809</v>
      </c>
      <c r="Q447" s="67" t="str">
        <f>HYPERLINK(AA2 &amp; "/bottle/sn_f0611ec9ff89209bf10c4513652c1c5e/rendering/14.obj", "2.87741333008")</f>
        <v>2.87741333008</v>
      </c>
      <c r="R447" s="20" t="str">
        <f>HYPERLINK(AA2 &amp; "/bottle/sn_f0611ec9ff89209bf10c4513652c1c5e/rendering/15.obj", "7.28883178711")</f>
        <v>7.28883178711</v>
      </c>
      <c r="S447" s="119" t="str">
        <f>HYPERLINK(AA2 &amp; "/bottle/sn_f0611ec9ff89209bf10c4513652c1c5e/rendering/16.obj", "2.32915969849")</f>
        <v>2.32915969849</v>
      </c>
      <c r="T447" s="80" t="str">
        <f>HYPERLINK(AA2 &amp; "/bottle/sn_f0611ec9ff89209bf10c4513652c1c5e/rendering/17.obj", "2.69380737305")</f>
        <v>2.69380737305</v>
      </c>
      <c r="U447" s="90" t="str">
        <f>HYPERLINK(AA2 &amp; "/bottle/sn_f0611ec9ff89209bf10c4513652c1c5e/rendering/18.obj", "2.86524230957")</f>
        <v>2.86524230957</v>
      </c>
      <c r="V447" s="86" t="str">
        <f>HYPERLINK(AA2 &amp; "/bottle/sn_f0611ec9ff89209bf10c4513652c1c5e/rendering/19.obj", "4.01314453125")</f>
        <v>4.01314453125</v>
      </c>
      <c r="W447" s="12" t="s">
        <v>29</v>
      </c>
      <c r="X447" s="13">
        <v>3.1667763977050778</v>
      </c>
      <c r="Y447" s="13">
        <v>1.320718702289577</v>
      </c>
      <c r="Z447" s="157">
        <v>0.41705461214334061</v>
      </c>
    </row>
    <row r="448" spans="1:26" x14ac:dyDescent="0.2">
      <c r="A448" s="1">
        <v>446</v>
      </c>
      <c r="B448" s="2" t="s">
        <v>122</v>
      </c>
      <c r="C448" s="103" t="str">
        <f>HYPERLINK(AA2 &amp; "/bottle/sn_f0611ec9ff89209bf10c4513652c1c5e/rendering/00.obj", "1.96192669868")</f>
        <v>1.96192669868</v>
      </c>
      <c r="D448" s="111" t="str">
        <f>HYPERLINK(AA2 &amp; "/bottle/sn_f0611ec9ff89209bf10c4513652c1c5e/rendering/01.obj", "1.67395532131")</f>
        <v>1.67395532131</v>
      </c>
      <c r="E448" s="192" t="str">
        <f>HYPERLINK(AA2 &amp; "/bottle/sn_f0611ec9ff89209bf10c4513652c1c5e/rendering/02.obj", "1.82012891769")</f>
        <v>1.82012891769</v>
      </c>
      <c r="F448" s="142" t="str">
        <f>HYPERLINK(AA2 &amp; "/bottle/sn_f0611ec9ff89209bf10c4513652c1c5e/rendering/03.obj", "1.75463223457")</f>
        <v>1.75463223457</v>
      </c>
      <c r="G448" s="20" t="str">
        <f>HYPERLINK(AA2 &amp; "/bottle/sn_f0611ec9ff89209bf10c4513652c1c5e/rendering/04.obj", "7.89435768127")</f>
        <v>7.89435768127</v>
      </c>
      <c r="H448" s="109" t="str">
        <f>HYPERLINK(AA2 &amp; "/bottle/sn_f0611ec9ff89209bf10c4513652c1c5e/rendering/05.obj", "2.34733366966")</f>
        <v>2.34733366966</v>
      </c>
      <c r="I448" s="14" t="str">
        <f>HYPERLINK(AA2 &amp; "/bottle/sn_f0611ec9ff89209bf10c4513652c1c5e/rendering/06.obj", "2.05720758438")</f>
        <v>2.05720758438</v>
      </c>
      <c r="J448" s="240" t="str">
        <f>HYPERLINK(AA2 &amp; "/bottle/sn_f0611ec9ff89209bf10c4513652c1c5e/rendering/07.obj", "4.80092430115")</f>
        <v>4.80092430115</v>
      </c>
      <c r="K448" s="89" t="str">
        <f>HYPERLINK(AA2 &amp; "/bottle/sn_f0611ec9ff89209bf10c4513652c1c5e/rendering/08.obj", "2.14484596252")</f>
        <v>2.14484596252</v>
      </c>
      <c r="L448" s="137" t="str">
        <f>HYPERLINK(AA2 &amp; "/bottle/sn_f0611ec9ff89209bf10c4513652c1c5e/rendering/09.obj", "1.84202516079")</f>
        <v>1.84202516079</v>
      </c>
      <c r="M448" s="86" t="str">
        <f>HYPERLINK(AA2 &amp; "/bottle/sn_f0611ec9ff89209bf10c4513652c1c5e/rendering/10.obj", "2.12474155426")</f>
        <v>2.12474155426</v>
      </c>
      <c r="N448" s="176" t="str">
        <f>HYPERLINK(AA2 &amp; "/bottle/sn_f0611ec9ff89209bf10c4513652c1c5e/rendering/11.obj", "1.97758686543")</f>
        <v>1.97758686543</v>
      </c>
      <c r="O448" s="118" t="str">
        <f>HYPERLINK(AA2 &amp; "/bottle/sn_f0611ec9ff89209bf10c4513652c1c5e/rendering/12.obj", "2.04517865181")</f>
        <v>2.04517865181</v>
      </c>
      <c r="P448" s="85" t="str">
        <f>HYPERLINK(AA2 &amp; "/bottle/sn_f0611ec9ff89209bf10c4513652c1c5e/rendering/13.obj", "2.03992652893")</f>
        <v>2.03992652893</v>
      </c>
      <c r="Q448" s="109" t="str">
        <f>HYPERLINK(AA2 &amp; "/bottle/sn_f0611ec9ff89209bf10c4513652c1c5e/rendering/14.obj", "2.34990406036")</f>
        <v>2.34990406036</v>
      </c>
      <c r="R448" s="20" t="str">
        <f>HYPERLINK(AA2 &amp; "/bottle/sn_f0611ec9ff89209bf10c4513652c1c5e/rendering/15.obj", "9.13728904724")</f>
        <v>9.13728904724</v>
      </c>
      <c r="S448" s="43" t="str">
        <f>HYPERLINK(AA2 &amp; "/bottle/sn_f0611ec9ff89209bf10c4513652c1c5e/rendering/16.obj", "1.81061387062")</f>
        <v>1.81061387062</v>
      </c>
      <c r="T448" s="166" t="str">
        <f>HYPERLINK(AA2 &amp; "/bottle/sn_f0611ec9ff89209bf10c4513652c1c5e/rendering/17.obj", "2.068805933")</f>
        <v>2.068805933</v>
      </c>
      <c r="U448" s="89" t="str">
        <f>HYPERLINK(AA2 &amp; "/bottle/sn_f0611ec9ff89209bf10c4513652c1c5e/rendering/18.obj", "2.1494512558")</f>
        <v>2.1494512558</v>
      </c>
      <c r="V448" s="101" t="str">
        <f>HYPERLINK(AA2 &amp; "/bottle/sn_f0611ec9ff89209bf10c4513652c1c5e/rendering/19.obj", "3.99363398552")</f>
        <v>3.99363398552</v>
      </c>
      <c r="W448" s="12" t="s">
        <v>30</v>
      </c>
      <c r="X448" s="13">
        <v>2.899723464250564</v>
      </c>
      <c r="Y448" s="13">
        <v>2.0234782672786649</v>
      </c>
      <c r="Z448" s="219">
        <v>0.69781766855538208</v>
      </c>
    </row>
    <row r="449" spans="1:26" x14ac:dyDescent="0.2">
      <c r="A449" s="1">
        <v>447</v>
      </c>
      <c r="B449" s="2" t="s">
        <v>122</v>
      </c>
      <c r="C449" s="39" t="str">
        <f>HYPERLINK(AB2 &amp; "/bottle/sn_f0611ec9ff89209bf10c4513652c1c5e/rendering/00.obj", "2.14481842041")</f>
        <v>2.14481842041</v>
      </c>
      <c r="D449" s="30" t="str">
        <f>HYPERLINK(AB2 &amp; "/bottle/sn_f0611ec9ff89209bf10c4513652c1c5e/rendering/01.obj", "2.33604217529")</f>
        <v>2.33604217529</v>
      </c>
      <c r="E449" s="28" t="str">
        <f>HYPERLINK(AB2 &amp; "/bottle/sn_f0611ec9ff89209bf10c4513652c1c5e/rendering/02.obj", "2.08662216187")</f>
        <v>2.08662216187</v>
      </c>
      <c r="F449" s="60" t="str">
        <f>HYPERLINK(AB2 &amp; "/bottle/sn_f0611ec9ff89209bf10c4513652c1c5e/rendering/03.obj", "2.22653656006")</f>
        <v>2.22653656006</v>
      </c>
      <c r="G449" s="129" t="str">
        <f>HYPERLINK(AB2 &amp; "/bottle/sn_f0611ec9ff89209bf10c4513652c1c5e/rendering/04.obj", "2.9349609375")</f>
        <v>2.9349609375</v>
      </c>
      <c r="H449" s="5" t="str">
        <f>HYPERLINK(AB2 &amp; "/bottle/sn_f0611ec9ff89209bf10c4513652c1c5e/rendering/05.obj", "2.16903442383")</f>
        <v>2.16903442383</v>
      </c>
      <c r="I449" s="47" t="str">
        <f>HYPERLINK(AB2 &amp; "/bottle/sn_f0611ec9ff89209bf10c4513652c1c5e/rendering/06.obj", "2.36965866089")</f>
        <v>2.36965866089</v>
      </c>
      <c r="J449" s="63" t="str">
        <f>HYPERLINK(AB2 &amp; "/bottle/sn_f0611ec9ff89209bf10c4513652c1c5e/rendering/07.obj", "2.63378082275")</f>
        <v>2.63378082275</v>
      </c>
      <c r="K449" s="72" t="str">
        <f>HYPERLINK(AB2 &amp; "/bottle/sn_f0611ec9ff89209bf10c4513652c1c5e/rendering/08.obj", "2.27471221924")</f>
        <v>2.27471221924</v>
      </c>
      <c r="L449" s="70" t="str">
        <f>HYPERLINK(AB2 &amp; "/bottle/sn_f0611ec9ff89209bf10c4513652c1c5e/rendering/09.obj", "2.04925750732")</f>
        <v>2.04925750732</v>
      </c>
      <c r="M449" s="91" t="str">
        <f>HYPERLINK(AB2 &amp; "/bottle/sn_f0611ec9ff89209bf10c4513652c1c5e/rendering/10.obj", "2.40938949585")</f>
        <v>2.40938949585</v>
      </c>
      <c r="N449" s="86" t="str">
        <f>HYPERLINK(AB2 &amp; "/bottle/sn_f0611ec9ff89209bf10c4513652c1c5e/rendering/11.obj", "2.97957977295")</f>
        <v>2.97957977295</v>
      </c>
      <c r="O449" s="51" t="str">
        <f>HYPERLINK(AB2 &amp; "/bottle/sn_f0611ec9ff89209bf10c4513652c1c5e/rendering/12.obj", "2.15805969238")</f>
        <v>2.15805969238</v>
      </c>
      <c r="P449" s="25" t="str">
        <f>HYPERLINK(AB2 &amp; "/bottle/sn_f0611ec9ff89209bf10c4513652c1c5e/rendering/13.obj", "2.37269973755")</f>
        <v>2.37269973755</v>
      </c>
      <c r="Q449" s="10" t="str">
        <f>HYPERLINK(AB2 &amp; "/bottle/sn_f0611ec9ff89209bf10c4513652c1c5e/rendering/14.obj", "2.22304260254")</f>
        <v>2.22304260254</v>
      </c>
      <c r="R449" s="13" t="str">
        <f>HYPERLINK(AB2 &amp; "/bottle/sn_f0611ec9ff89209bf10c4513652c1c5e/rendering/15.obj", "2.35443481445")</f>
        <v>2.35443481445</v>
      </c>
      <c r="S449" s="23" t="str">
        <f>HYPERLINK(AB2 &amp; "/bottle/sn_f0611ec9ff89209bf10c4513652c1c5e/rendering/16.obj", "2.25306900024")</f>
        <v>2.25306900024</v>
      </c>
      <c r="T449" s="25" t="str">
        <f>HYPERLINK(AB2 &amp; "/bottle/sn_f0611ec9ff89209bf10c4513652c1c5e/rendering/17.obj", "2.32051422119")</f>
        <v>2.32051422119</v>
      </c>
      <c r="U449" s="25" t="str">
        <f>HYPERLINK(AB2 &amp; "/bottle/sn_f0611ec9ff89209bf10c4513652c1c5e/rendering/18.obj", "2.37575469971")</f>
        <v>2.37575469971</v>
      </c>
      <c r="V449" s="17" t="str">
        <f>HYPERLINK(AB2 &amp; "/bottle/sn_f0611ec9ff89209bf10c4513652c1c5e/rendering/19.obj", "2.30237884521")</f>
        <v>2.30237884521</v>
      </c>
      <c r="W449" s="12" t="s">
        <v>31</v>
      </c>
      <c r="X449" s="13">
        <v>2.3487173385620119</v>
      </c>
      <c r="Y449" s="13">
        <v>0.2393136829189613</v>
      </c>
      <c r="Z449" s="133">
        <v>0.1018912233455387</v>
      </c>
    </row>
    <row r="450" spans="1:26" x14ac:dyDescent="0.2">
      <c r="A450" s="1">
        <v>448</v>
      </c>
      <c r="B450" s="2" t="s">
        <v>122</v>
      </c>
      <c r="C450" s="41" t="str">
        <f>HYPERLINK(AB2 &amp; "/bottle/sn_f0611ec9ff89209bf10c4513652c1c5e/rendering/00.obj", "1.90083551407")</f>
        <v>1.90083551407</v>
      </c>
      <c r="D450" s="35" t="str">
        <f>HYPERLINK(AB2 &amp; "/bottle/sn_f0611ec9ff89209bf10c4513652c1c5e/rendering/01.obj", "1.91603422165")</f>
        <v>1.91603422165</v>
      </c>
      <c r="E450" s="72" t="str">
        <f>HYPERLINK(AB2 &amp; "/bottle/sn_f0611ec9ff89209bf10c4513652c1c5e/rendering/02.obj", "1.9668200016")</f>
        <v>1.9668200016</v>
      </c>
      <c r="F450" s="33" t="str">
        <f>HYPERLINK(AB2 &amp; "/bottle/sn_f0611ec9ff89209bf10c4513652c1c5e/rendering/03.obj", "1.81403207779")</f>
        <v>1.81403207779</v>
      </c>
      <c r="G450" s="157" t="str">
        <f>HYPERLINK(AB2 &amp; "/bottle/sn_f0611ec9ff89209bf10c4513652c1c5e/rendering/04.obj", "2.87866711617")</f>
        <v>2.87866711617</v>
      </c>
      <c r="H450" s="133" t="str">
        <f>HYPERLINK(AB2 &amp; "/bottle/sn_f0611ec9ff89209bf10c4513652c1c5e/rendering/05.obj", "1.82779657841")</f>
        <v>1.82779657841</v>
      </c>
      <c r="I450" s="8" t="str">
        <f>HYPERLINK(AB2 &amp; "/bottle/sn_f0611ec9ff89209bf10c4513652c1c5e/rendering/06.obj", "1.74413132668")</f>
        <v>1.74413132668</v>
      </c>
      <c r="J450" s="134" t="str">
        <f>HYPERLINK(AB2 &amp; "/bottle/sn_f0611ec9ff89209bf10c4513652c1c5e/rendering/07.obj", "2.39981985092")</f>
        <v>2.39981985092</v>
      </c>
      <c r="K450" s="17" t="str">
        <f>HYPERLINK(AB2 &amp; "/bottle/sn_f0611ec9ff89209bf10c4513652c1c5e/rendering/08.obj", "1.9915895462")</f>
        <v>1.9915895462</v>
      </c>
      <c r="L450" s="35" t="str">
        <f>HYPERLINK(AB2 &amp; "/bottle/sn_f0611ec9ff89209bf10c4513652c1c5e/rendering/09.obj", "1.91720604897")</f>
        <v>1.91720604897</v>
      </c>
      <c r="M450" s="6" t="str">
        <f>HYPERLINK(AB2 &amp; "/bottle/sn_f0611ec9ff89209bf10c4513652c1c5e/rendering/10.obj", "2.12947511673")</f>
        <v>2.12947511673</v>
      </c>
      <c r="N450" s="42" t="str">
        <f>HYPERLINK(AB2 &amp; "/bottle/sn_f0611ec9ff89209bf10c4513652c1c5e/rendering/11.obj", "2.31266736984")</f>
        <v>2.31266736984</v>
      </c>
      <c r="O450" s="68" t="str">
        <f>HYPERLINK(AB2 &amp; "/bottle/sn_f0611ec9ff89209bf10c4513652c1c5e/rendering/12.obj", "1.95047593117")</f>
        <v>1.95047593117</v>
      </c>
      <c r="P450" s="41" t="str">
        <f>HYPERLINK(AB2 &amp; "/bottle/sn_f0611ec9ff89209bf10c4513652c1c5e/rendering/13.obj", "1.89829468727")</f>
        <v>1.89829468727</v>
      </c>
      <c r="Q450" s="30" t="str">
        <f>HYPERLINK(AB2 &amp; "/bottle/sn_f0611ec9ff89209bf10c4513652c1c5e/rendering/14.obj", "2.0466735363")</f>
        <v>2.0466735363</v>
      </c>
      <c r="R450" s="24" t="str">
        <f>HYPERLINK(AB2 &amp; "/bottle/sn_f0611ec9ff89209bf10c4513652c1c5e/rendering/15.obj", "2.37890505791")</f>
        <v>2.37890505791</v>
      </c>
      <c r="S450" s="24" t="str">
        <f>HYPERLINK(AB2 &amp; "/bottle/sn_f0611ec9ff89209bf10c4513652c1c5e/rendering/16.obj", "1.6946644783")</f>
        <v>1.6946644783</v>
      </c>
      <c r="T450" s="91" t="str">
        <f>HYPERLINK(AB2 &amp; "/bottle/sn_f0611ec9ff89209bf10c4513652c1c5e/rendering/17.obj", "2.09034061432")</f>
        <v>2.09034061432</v>
      </c>
      <c r="U450" s="78" t="str">
        <f>HYPERLINK(AB2 &amp; "/bottle/sn_f0611ec9ff89209bf10c4513652c1c5e/rendering/18.obj", "2.15819478035")</f>
        <v>2.15819478035</v>
      </c>
      <c r="V450" s="40" t="str">
        <f>HYPERLINK(AB2 &amp; "/bottle/sn_f0611ec9ff89209bf10c4513652c1c5e/rendering/19.obj", "1.68394804001")</f>
        <v>1.68394804001</v>
      </c>
      <c r="W450" s="12" t="s">
        <v>32</v>
      </c>
      <c r="X450" s="13">
        <v>2.0350285947322839</v>
      </c>
      <c r="Y450" s="13">
        <v>0.27940681421415858</v>
      </c>
      <c r="Z450" s="42">
        <v>0.137298716557305</v>
      </c>
    </row>
    <row r="451" spans="1:26" x14ac:dyDescent="0.2">
      <c r="A451" s="1">
        <v>449</v>
      </c>
      <c r="B451" s="2" t="s">
        <v>122</v>
      </c>
      <c r="C451" s="13" t="str">
        <f>HYPERLINK(AC2 &amp; "/bottle/sn_f0611ec9ff89209bf10c4513652c1c5e/rendering/00.xyz", "0.0")</f>
        <v>0.0</v>
      </c>
      <c r="D451" s="13" t="str">
        <f>HYPERLINK(AC2 &amp; "/bottle/sn_f0611ec9ff89209bf10c4513652c1c5e/rendering/01.xyz", "0.0")</f>
        <v>0.0</v>
      </c>
      <c r="E451" s="13" t="str">
        <f>HYPERLINK(AC2 &amp; "/bottle/sn_f0611ec9ff89209bf10c4513652c1c5e/rendering/02.xyz", "0.0")</f>
        <v>0.0</v>
      </c>
      <c r="F451" s="13" t="str">
        <f>HYPERLINK(AC2 &amp; "/bottle/sn_f0611ec9ff89209bf10c4513652c1c5e/rendering/03.xyz", "0.0")</f>
        <v>0.0</v>
      </c>
      <c r="G451" s="13" t="str">
        <f>HYPERLINK(AC2 &amp; "/bottle/sn_f0611ec9ff89209bf10c4513652c1c5e/rendering/04.xyz", "0.0")</f>
        <v>0.0</v>
      </c>
      <c r="H451" s="13" t="str">
        <f>HYPERLINK(AC2 &amp; "/bottle/sn_f0611ec9ff89209bf10c4513652c1c5e/rendering/05.xyz", "0.0")</f>
        <v>0.0</v>
      </c>
      <c r="I451" s="13" t="str">
        <f>HYPERLINK(AC2 &amp; "/bottle/sn_f0611ec9ff89209bf10c4513652c1c5e/rendering/06.xyz", "0.0")</f>
        <v>0.0</v>
      </c>
      <c r="J451" s="13" t="str">
        <f>HYPERLINK(AC2 &amp; "/bottle/sn_f0611ec9ff89209bf10c4513652c1c5e/rendering/07.xyz", "0.0")</f>
        <v>0.0</v>
      </c>
      <c r="K451" s="13" t="str">
        <f>HYPERLINK(AC2 &amp; "/bottle/sn_f0611ec9ff89209bf10c4513652c1c5e/rendering/08.xyz", "0.0")</f>
        <v>0.0</v>
      </c>
      <c r="L451" s="13" t="str">
        <f>HYPERLINK(AC2 &amp; "/bottle/sn_f0611ec9ff89209bf10c4513652c1c5e/rendering/09.xyz", "0.0")</f>
        <v>0.0</v>
      </c>
      <c r="M451" s="13" t="str">
        <f>HYPERLINK(AC2 &amp; "/bottle/sn_f0611ec9ff89209bf10c4513652c1c5e/rendering/10.xyz", "0.0")</f>
        <v>0.0</v>
      </c>
      <c r="N451" s="13" t="str">
        <f>HYPERLINK(AC2 &amp; "/bottle/sn_f0611ec9ff89209bf10c4513652c1c5e/rendering/11.xyz", "0.0")</f>
        <v>0.0</v>
      </c>
      <c r="O451" s="13" t="str">
        <f>HYPERLINK(AC2 &amp; "/bottle/sn_f0611ec9ff89209bf10c4513652c1c5e/rendering/12.xyz", "0.0")</f>
        <v>0.0</v>
      </c>
      <c r="P451" s="13" t="str">
        <f>HYPERLINK(AC2 &amp; "/bottle/sn_f0611ec9ff89209bf10c4513652c1c5e/rendering/13.xyz", "0.0")</f>
        <v>0.0</v>
      </c>
      <c r="Q451" s="13" t="str">
        <f>HYPERLINK(AC2 &amp; "/bottle/sn_f0611ec9ff89209bf10c4513652c1c5e/rendering/14.xyz", "0.0")</f>
        <v>0.0</v>
      </c>
      <c r="R451" s="13" t="str">
        <f>HYPERLINK(AC2 &amp; "/bottle/sn_f0611ec9ff89209bf10c4513652c1c5e/rendering/15.xyz", "0.0")</f>
        <v>0.0</v>
      </c>
      <c r="S451" s="13" t="str">
        <f>HYPERLINK(AC2 &amp; "/bottle/sn_f0611ec9ff89209bf10c4513652c1c5e/rendering/16.xyz", "0.0")</f>
        <v>0.0</v>
      </c>
      <c r="T451" s="13" t="str">
        <f>HYPERLINK(AC2 &amp; "/bottle/sn_f0611ec9ff89209bf10c4513652c1c5e/rendering/17.xyz", "0.0")</f>
        <v>0.0</v>
      </c>
      <c r="U451" s="13" t="str">
        <f>HYPERLINK(AC2 &amp; "/bottle/sn_f0611ec9ff89209bf10c4513652c1c5e/rendering/18.xyz", "0.0")</f>
        <v>0.0</v>
      </c>
      <c r="V451" s="13" t="str">
        <f>HYPERLINK(AC2 &amp; "/bottle/sn_f0611ec9ff89209bf10c4513652c1c5e/rendering/19.xyz", "0.0")</f>
        <v>0.0</v>
      </c>
      <c r="W451" s="12" t="s">
        <v>33</v>
      </c>
      <c r="X451" s="13">
        <v>0</v>
      </c>
      <c r="Y451" s="13">
        <v>0</v>
      </c>
      <c r="Z451" s="13">
        <v>0</v>
      </c>
    </row>
    <row r="452" spans="1:26" x14ac:dyDescent="0.2">
      <c r="A452" s="1">
        <v>450</v>
      </c>
      <c r="B452" s="2" t="s">
        <v>123</v>
      </c>
      <c r="C452" s="133" t="str">
        <f>HYPERLINK(AA2 &amp; "/bottle/sn_f079d5f4f4a8cd9318431871c8e05789/rendering/00.obj", "2.15599456787")</f>
        <v>2.15599456787</v>
      </c>
      <c r="D452" s="30" t="str">
        <f>HYPERLINK(AA2 &amp; "/bottle/sn_f079d5f4f4a8cd9318431871c8e05789/rendering/01.obj", "2.40886383057")</f>
        <v>2.40886383057</v>
      </c>
      <c r="E452" s="13" t="str">
        <f>HYPERLINK(AA2 &amp; "/bottle/sn_f079d5f4f4a8cd9318431871c8e05789/rendering/02.obj", "2.39187927246")</f>
        <v>2.39187927246</v>
      </c>
      <c r="F452" s="51" t="str">
        <f>HYPERLINK(AA2 &amp; "/bottle/sn_f079d5f4f4a8cd9318431871c8e05789/rendering/03.obj", "2.59215698242")</f>
        <v>2.59215698242</v>
      </c>
      <c r="G452" s="48" t="str">
        <f>HYPERLINK(AA2 &amp; "/bottle/sn_f079d5f4f4a8cd9318431871c8e05789/rendering/04.obj", "2.45835449219")</f>
        <v>2.45835449219</v>
      </c>
      <c r="H452" s="90" t="str">
        <f>HYPERLINK(AA2 &amp; "/bottle/sn_f079d5f4f4a8cd9318431871c8e05789/rendering/05.obj", "2.62489685059")</f>
        <v>2.62489685059</v>
      </c>
      <c r="I452" s="73" t="str">
        <f>HYPERLINK(AA2 &amp; "/bottle/sn_f079d5f4f4a8cd9318431871c8e05789/rendering/06.obj", "2.31458648682")</f>
        <v>2.31458648682</v>
      </c>
      <c r="J452" s="41" t="str">
        <f>HYPERLINK(AA2 &amp; "/bottle/sn_f079d5f4f4a8cd9318431871c8e05789/rendering/07.obj", "2.55891387939")</f>
        <v>2.55891387939</v>
      </c>
      <c r="K452" s="107" t="str">
        <f>HYPERLINK(AA2 &amp; "/bottle/sn_f079d5f4f4a8cd9318431871c8e05789/rendering/08.obj", "2.59800140381")</f>
        <v>2.59800140381</v>
      </c>
      <c r="L452" s="30" t="str">
        <f>HYPERLINK(AA2 &amp; "/bottle/sn_f079d5f4f4a8cd9318431871c8e05789/rendering/09.obj", "2.40821746826")</f>
        <v>2.40821746826</v>
      </c>
      <c r="M452" s="34" t="str">
        <f>HYPERLINK(AA2 &amp; "/bottle/sn_f079d5f4f4a8cd9318431871c8e05789/rendering/10.obj", "2.51295181274")</f>
        <v>2.51295181274</v>
      </c>
      <c r="N452" s="31" t="str">
        <f>HYPERLINK(AA2 &amp; "/bottle/sn_f079d5f4f4a8cd9318431871c8e05789/rendering/11.obj", "2.0252571106")</f>
        <v>2.0252571106</v>
      </c>
      <c r="O452" s="25" t="str">
        <f>HYPERLINK(AA2 &amp; "/bottle/sn_f079d5f4f4a8cd9318431871c8e05789/rendering/12.obj", "2.42186523438")</f>
        <v>2.42186523438</v>
      </c>
      <c r="P452" s="107" t="str">
        <f>HYPERLINK(AA2 &amp; "/bottle/sn_f079d5f4f4a8cd9318431871c8e05789/rendering/13.obj", "2.2012789917")</f>
        <v>2.2012789917</v>
      </c>
      <c r="Q452" s="28" t="str">
        <f>HYPERLINK(AA2 &amp; "/bottle/sn_f079d5f4f4a8cd9318431871c8e05789/rendering/14.obj", "2.6668447876")</f>
        <v>2.6668447876</v>
      </c>
      <c r="R452" s="72" t="str">
        <f>HYPERLINK(AA2 &amp; "/bottle/sn_f079d5f4f4a8cd9318431871c8e05789/rendering/15.obj", "2.48059020996")</f>
        <v>2.48059020996</v>
      </c>
      <c r="S452" s="38" t="str">
        <f>HYPERLINK(AA2 &amp; "/bottle/sn_f079d5f4f4a8cd9318431871c8e05789/rendering/16.obj", "2.61043762207")</f>
        <v>2.61043762207</v>
      </c>
      <c r="T452" s="110" t="str">
        <f>HYPERLINK(AA2 &amp; "/bottle/sn_f079d5f4f4a8cd9318431871c8e05789/rendering/17.obj", "2.16121032715")</f>
        <v>2.16121032715</v>
      </c>
      <c r="U452" s="63" t="str">
        <f>HYPERLINK(AA2 &amp; "/bottle/sn_f079d5f4f4a8cd9318431871c8e05789/rendering/18.obj", "2.10976211548")</f>
        <v>2.10976211548</v>
      </c>
      <c r="V452" s="60" t="str">
        <f>HYPERLINK(AA2 &amp; "/bottle/sn_f079d5f4f4a8cd9318431871c8e05789/rendering/19.obj", "2.27631866455")</f>
        <v>2.27631866455</v>
      </c>
      <c r="W452" s="12" t="s">
        <v>29</v>
      </c>
      <c r="X452" s="13">
        <v>2.3989191055297852</v>
      </c>
      <c r="Y452" s="13">
        <v>0.18629118529691069</v>
      </c>
      <c r="Z452" s="5">
        <v>7.7656301484901269E-2</v>
      </c>
    </row>
    <row r="453" spans="1:26" x14ac:dyDescent="0.2">
      <c r="A453" s="1">
        <v>451</v>
      </c>
      <c r="B453" s="2" t="s">
        <v>123</v>
      </c>
      <c r="C453" s="46" t="str">
        <f>HYPERLINK(AA2 &amp; "/bottle/sn_f079d5f4f4a8cd9318431871c8e05789/rendering/00.obj", "4.48908853531")</f>
        <v>4.48908853531</v>
      </c>
      <c r="D453" s="13" t="str">
        <f>HYPERLINK(AA2 &amp; "/bottle/sn_f079d5f4f4a8cd9318431871c8e05789/rendering/01.obj", "4.40802383423")</f>
        <v>4.40802383423</v>
      </c>
      <c r="E453" s="17" t="str">
        <f>HYPERLINK(AA2 &amp; "/bottle/sn_f079d5f4f4a8cd9318431871c8e05789/rendering/02.obj", "4.31372261047")</f>
        <v>4.31372261047</v>
      </c>
      <c r="F453" s="74" t="str">
        <f>HYPERLINK(AA2 &amp; "/bottle/sn_f079d5f4f4a8cd9318431871c8e05789/rendering/03.obj", "4.47532463074")</f>
        <v>4.47532463074</v>
      </c>
      <c r="G453" s="47" t="str">
        <f>HYPERLINK(AA2 &amp; "/bottle/sn_f079d5f4f4a8cd9318431871c8e05789/rendering/04.obj", "4.37562990189")</f>
        <v>4.37562990189</v>
      </c>
      <c r="H453" s="25" t="str">
        <f>HYPERLINK(AA2 &amp; "/bottle/sn_f079d5f4f4a8cd9318431871c8e05789/rendering/05.obj", "4.45572090149")</f>
        <v>4.45572090149</v>
      </c>
      <c r="I453" s="91" t="str">
        <f>HYPERLINK(AA2 &amp; "/bottle/sn_f079d5f4f4a8cd9318431871c8e05789/rendering/06.obj", "4.53172302246")</f>
        <v>4.53172302246</v>
      </c>
      <c r="J453" s="74" t="str">
        <f>HYPERLINK(AA2 &amp; "/bottle/sn_f079d5f4f4a8cd9318431871c8e05789/rendering/07.obj", "4.34722042084")</f>
        <v>4.34722042084</v>
      </c>
      <c r="K453" s="25" t="str">
        <f>HYPERLINK(AA2 &amp; "/bottle/sn_f079d5f4f4a8cd9318431871c8e05789/rendering/08.obj", "4.35634708405")</f>
        <v>4.35634708405</v>
      </c>
      <c r="L453" s="48" t="str">
        <f>HYPERLINK(AA2 &amp; "/bottle/sn_f079d5f4f4a8cd9318431871c8e05789/rendering/09.obj", "4.31093502045")</f>
        <v>4.31093502045</v>
      </c>
      <c r="M453" s="47" t="str">
        <f>HYPERLINK(AA2 &amp; "/bottle/sn_f079d5f4f4a8cd9318431871c8e05789/rendering/10.obj", "4.37512874603")</f>
        <v>4.37512874603</v>
      </c>
      <c r="N453" s="74" t="str">
        <f>HYPERLINK(AA2 &amp; "/bottle/sn_f079d5f4f4a8cd9318431871c8e05789/rendering/11.obj", "4.46990060806")</f>
        <v>4.46990060806</v>
      </c>
      <c r="O453" s="46" t="str">
        <f>HYPERLINK(AA2 &amp; "/bottle/sn_f079d5f4f4a8cd9318431871c8e05789/rendering/12.obj", "4.33763790131")</f>
        <v>4.33763790131</v>
      </c>
      <c r="P453" s="30" t="str">
        <f>HYPERLINK(AA2 &amp; "/bottle/sn_f079d5f4f4a8cd9318431871c8e05789/rendering/13.obj", "4.39146327972")</f>
        <v>4.39146327972</v>
      </c>
      <c r="Q453" s="13" t="str">
        <f>HYPERLINK(AA2 &amp; "/bottle/sn_f079d5f4f4a8cd9318431871c8e05789/rendering/14.obj", "4.41598463058")</f>
        <v>4.41598463058</v>
      </c>
      <c r="R453" s="47" t="str">
        <f>HYPERLINK(AA2 &amp; "/bottle/sn_f079d5f4f4a8cd9318431871c8e05789/rendering/15.obj", "4.45159912109")</f>
        <v>4.45159912109</v>
      </c>
      <c r="S453" s="30" t="str">
        <f>HYPERLINK(AA2 &amp; "/bottle/sn_f079d5f4f4a8cd9318431871c8e05789/rendering/16.obj", "4.4321641922")</f>
        <v>4.4321641922</v>
      </c>
      <c r="T453" s="47" t="str">
        <f>HYPERLINK(AA2 &amp; "/bottle/sn_f079d5f4f4a8cd9318431871c8e05789/rendering/17.obj", "4.37653303146")</f>
        <v>4.37653303146</v>
      </c>
      <c r="U453" s="30" t="str">
        <f>HYPERLINK(AA2 &amp; "/bottle/sn_f079d5f4f4a8cd9318431871c8e05789/rendering/18.obj", "4.43621587753")</f>
        <v>4.43621587753</v>
      </c>
      <c r="V453" s="25" t="str">
        <f>HYPERLINK(AA2 &amp; "/bottle/sn_f079d5f4f4a8cd9318431871c8e05789/rendering/19.obj", "4.45244216919")</f>
        <v>4.45244216919</v>
      </c>
      <c r="W453" s="12" t="s">
        <v>30</v>
      </c>
      <c r="X453" s="13">
        <v>4.4101402759552002</v>
      </c>
      <c r="Y453" s="13">
        <v>5.9484159058864061E-2</v>
      </c>
      <c r="Z453" s="74">
        <v>1.34880424060843E-2</v>
      </c>
    </row>
    <row r="454" spans="1:26" x14ac:dyDescent="0.2">
      <c r="A454" s="1">
        <v>452</v>
      </c>
      <c r="B454" s="2" t="s">
        <v>123</v>
      </c>
      <c r="C454" s="46" t="str">
        <f>HYPERLINK(AB2 &amp; "/bottle/sn_f079d5f4f4a8cd9318431871c8e05789/rendering/00.obj", "3.42751403809")</f>
        <v>3.42751403809</v>
      </c>
      <c r="D454" s="74" t="str">
        <f>HYPERLINK(AB2 &amp; "/bottle/sn_f079d5f4f4a8cd9318431871c8e05789/rendering/01.obj", "3.43917480469")</f>
        <v>3.43917480469</v>
      </c>
      <c r="E454" s="17" t="str">
        <f>HYPERLINK(AB2 &amp; "/bottle/sn_f079d5f4f4a8cd9318431871c8e05789/rendering/02.obj", "3.55379516602")</f>
        <v>3.55379516602</v>
      </c>
      <c r="F454" s="72" t="str">
        <f>HYPERLINK(AB2 &amp; "/bottle/sn_f079d5f4f4a8cd9318431871c8e05789/rendering/03.obj", "3.60137878418")</f>
        <v>3.60137878418</v>
      </c>
      <c r="G454" s="25" t="str">
        <f>HYPERLINK(AB2 &amp; "/bottle/sn_f079d5f4f4a8cd9318431871c8e05789/rendering/04.obj", "3.52283630371")</f>
        <v>3.52283630371</v>
      </c>
      <c r="H454" s="30" t="str">
        <f>HYPERLINK(AB2 &amp; "/bottle/sn_f079d5f4f4a8cd9318431871c8e05789/rendering/05.obj", "3.47532653809")</f>
        <v>3.47532653809</v>
      </c>
      <c r="I454" s="30" t="str">
        <f>HYPERLINK(AB2 &amp; "/bottle/sn_f079d5f4f4a8cd9318431871c8e05789/rendering/06.obj", "3.50528198242")</f>
        <v>3.50528198242</v>
      </c>
      <c r="J454" s="25" t="str">
        <f>HYPERLINK(AB2 &amp; "/bottle/sn_f079d5f4f4a8cd9318431871c8e05789/rendering/07.obj", "3.44929718018")</f>
        <v>3.44929718018</v>
      </c>
      <c r="K454" s="74" t="str">
        <f>HYPERLINK(AB2 &amp; "/bottle/sn_f079d5f4f4a8cd9318431871c8e05789/rendering/08.obj", "3.43946594238")</f>
        <v>3.43946594238</v>
      </c>
      <c r="L454" s="46" t="str">
        <f>HYPERLINK(AB2 &amp; "/bottle/sn_f079d5f4f4a8cd9318431871c8e05789/rendering/09.obj", "3.54479919434")</f>
        <v>3.54479919434</v>
      </c>
      <c r="M454" s="13" t="str">
        <f>HYPERLINK(AB2 &amp; "/bottle/sn_f079d5f4f4a8cd9318431871c8e05789/rendering/10.obj", "3.49678955078")</f>
        <v>3.49678955078</v>
      </c>
      <c r="N454" s="91" t="str">
        <f>HYPERLINK(AB2 &amp; "/bottle/sn_f079d5f4f4a8cd9318431871c8e05789/rendering/11.obj", "3.39461181641")</f>
        <v>3.39461181641</v>
      </c>
      <c r="O454" s="48" t="str">
        <f>HYPERLINK(AB2 &amp; "/bottle/sn_f079d5f4f4a8cd9318431871c8e05789/rendering/12.obj", "3.40757873535")</f>
        <v>3.40757873535</v>
      </c>
      <c r="P454" s="30" t="str">
        <f>HYPERLINK(AB2 &amp; "/bottle/sn_f079d5f4f4a8cd9318431871c8e05789/rendering/13.obj", "3.4710760498")</f>
        <v>3.4710760498</v>
      </c>
      <c r="Q454" s="47" t="str">
        <f>HYPERLINK(AB2 &amp; "/bottle/sn_f079d5f4f4a8cd9318431871c8e05789/rendering/14.obj", "3.46150634766")</f>
        <v>3.46150634766</v>
      </c>
      <c r="R454" s="73" t="str">
        <f>HYPERLINK(AB2 &amp; "/bottle/sn_f079d5f4f4a8cd9318431871c8e05789/rendering/15.obj", "3.61308776855")</f>
        <v>3.61308776855</v>
      </c>
      <c r="S454" s="74" t="str">
        <f>HYPERLINK(AB2 &amp; "/bottle/sn_f079d5f4f4a8cd9318431871c8e05789/rendering/16.obj", "3.53812042236")</f>
        <v>3.53812042236</v>
      </c>
      <c r="T454" s="13" t="str">
        <f>HYPERLINK(AB2 &amp; "/bottle/sn_f079d5f4f4a8cd9318431871c8e05789/rendering/17.obj", "3.48541625977")</f>
        <v>3.48541625977</v>
      </c>
      <c r="U454" s="30" t="str">
        <f>HYPERLINK(AB2 &amp; "/bottle/sn_f079d5f4f4a8cd9318431871c8e05789/rendering/18.obj", "3.46869995117")</f>
        <v>3.46869995117</v>
      </c>
      <c r="V454" s="47" t="str">
        <f>HYPERLINK(AB2 &amp; "/bottle/sn_f079d5f4f4a8cd9318431871c8e05789/rendering/19.obj", "3.46598754883")</f>
        <v>3.46598754883</v>
      </c>
      <c r="W454" s="12" t="s">
        <v>31</v>
      </c>
      <c r="X454" s="13">
        <v>3.488087219238281</v>
      </c>
      <c r="Y454" s="13">
        <v>5.7989550588073667E-2</v>
      </c>
      <c r="Z454" s="46">
        <v>1.662502883191587E-2</v>
      </c>
    </row>
    <row r="455" spans="1:26" x14ac:dyDescent="0.2">
      <c r="A455" s="1">
        <v>453</v>
      </c>
      <c r="B455" s="2" t="s">
        <v>123</v>
      </c>
      <c r="C455" s="30" t="str">
        <f>HYPERLINK(AB2 &amp; "/bottle/sn_f079d5f4f4a8cd9318431871c8e05789/rendering/00.obj", "4.54857254028")</f>
        <v>4.54857254028</v>
      </c>
      <c r="D455" s="30" t="str">
        <f>HYPERLINK(AB2 &amp; "/bottle/sn_f079d5f4f4a8cd9318431871c8e05789/rendering/01.obj", "4.59405660629")</f>
        <v>4.59405660629</v>
      </c>
      <c r="E455" s="13" t="str">
        <f>HYPERLINK(AB2 &amp; "/bottle/sn_f079d5f4f4a8cd9318431871c8e05789/rendering/02.obj", "4.58107662201")</f>
        <v>4.58107662201</v>
      </c>
      <c r="F455" s="30" t="str">
        <f>HYPERLINK(AB2 &amp; "/bottle/sn_f079d5f4f4a8cd9318431871c8e05789/rendering/03.obj", "4.55035018921")</f>
        <v>4.55035018921</v>
      </c>
      <c r="G455" s="13" t="str">
        <f>HYPERLINK(AB2 &amp; "/bottle/sn_f079d5f4f4a8cd9318431871c8e05789/rendering/04.obj", "4.55641651154")</f>
        <v>4.55641651154</v>
      </c>
      <c r="H455" s="13" t="str">
        <f>HYPERLINK(AB2 &amp; "/bottle/sn_f079d5f4f4a8cd9318431871c8e05789/rendering/05.obj", "4.56812620163")</f>
        <v>4.56812620163</v>
      </c>
      <c r="I455" s="13" t="str">
        <f>HYPERLINK(AB2 &amp; "/bottle/sn_f079d5f4f4a8cd9318431871c8e05789/rendering/06.obj", "4.56131744385")</f>
        <v>4.56131744385</v>
      </c>
      <c r="J455" s="25" t="str">
        <f>HYPERLINK(AB2 &amp; "/bottle/sn_f079d5f4f4a8cd9318431871c8e05789/rendering/07.obj", "4.61909914017")</f>
        <v>4.61909914017</v>
      </c>
      <c r="K455" s="25" t="str">
        <f>HYPERLINK(AB2 &amp; "/bottle/sn_f079d5f4f4a8cd9318431871c8e05789/rendering/08.obj", "4.61985588074")</f>
        <v>4.61985588074</v>
      </c>
      <c r="L455" s="47" t="str">
        <f>HYPERLINK(AB2 &amp; "/bottle/sn_f079d5f4f4a8cd9318431871c8e05789/rendering/09.obj", "4.53359079361")</f>
        <v>4.53359079361</v>
      </c>
      <c r="M455" s="47" t="str">
        <f>HYPERLINK(AB2 &amp; "/bottle/sn_f079d5f4f4a8cd9318431871c8e05789/rendering/10.obj", "4.53680706024")</f>
        <v>4.53680706024</v>
      </c>
      <c r="N455" s="30" t="str">
        <f>HYPERLINK(AB2 &amp; "/bottle/sn_f079d5f4f4a8cd9318431871c8e05789/rendering/11.obj", "4.5459485054")</f>
        <v>4.5459485054</v>
      </c>
      <c r="O455" s="13" t="str">
        <f>HYPERLINK(AB2 &amp; "/bottle/sn_f079d5f4f4a8cd9318431871c8e05789/rendering/12.obj", "4.56474590302")</f>
        <v>4.56474590302</v>
      </c>
      <c r="P455" s="25" t="str">
        <f>HYPERLINK(AB2 &amp; "/bottle/sn_f079d5f4f4a8cd9318431871c8e05789/rendering/13.obj", "4.52147769928")</f>
        <v>4.52147769928</v>
      </c>
      <c r="Q455" s="30" t="str">
        <f>HYPERLINK(AB2 &amp; "/bottle/sn_f079d5f4f4a8cd9318431871c8e05789/rendering/14.obj", "4.54858875275")</f>
        <v>4.54858875275</v>
      </c>
      <c r="R455" s="72" t="str">
        <f>HYPERLINK(AB2 &amp; "/bottle/sn_f079d5f4f4a8cd9318431871c8e05789/rendering/15.obj", "4.71926593781")</f>
        <v>4.71926593781</v>
      </c>
      <c r="S455" s="46" t="str">
        <f>HYPERLINK(AB2 &amp; "/bottle/sn_f079d5f4f4a8cd9318431871c8e05789/rendering/16.obj", "4.64442443848")</f>
        <v>4.64442443848</v>
      </c>
      <c r="T455" s="74" t="str">
        <f>HYPERLINK(AB2 &amp; "/bottle/sn_f079d5f4f4a8cd9318431871c8e05789/rendering/17.obj", "4.50549268723")</f>
        <v>4.50549268723</v>
      </c>
      <c r="U455" s="30" t="str">
        <f>HYPERLINK(AB2 &amp; "/bottle/sn_f079d5f4f4a8cd9318431871c8e05789/rendering/18.obj", "4.54674196243")</f>
        <v>4.54674196243</v>
      </c>
      <c r="V455" s="30" t="str">
        <f>HYPERLINK(AB2 &amp; "/bottle/sn_f079d5f4f4a8cd9318431871c8e05789/rendering/19.obj", "4.54749011993")</f>
        <v>4.54749011993</v>
      </c>
      <c r="W455" s="12" t="s">
        <v>32</v>
      </c>
      <c r="X455" s="13">
        <v>4.570672249794006</v>
      </c>
      <c r="Y455" s="13">
        <v>4.773460293010498E-2</v>
      </c>
      <c r="Z455" s="25">
        <v>1.0443672248049801E-2</v>
      </c>
    </row>
    <row r="456" spans="1:26" x14ac:dyDescent="0.2">
      <c r="A456" s="1">
        <v>454</v>
      </c>
      <c r="B456" s="2" t="s">
        <v>123</v>
      </c>
      <c r="C456" s="13" t="str">
        <f>HYPERLINK(AC2 &amp; "/bottle/sn_f079d5f4f4a8cd9318431871c8e05789/rendering/00.xyz", "0.0")</f>
        <v>0.0</v>
      </c>
      <c r="D456" s="13" t="str">
        <f>HYPERLINK(AC2 &amp; "/bottle/sn_f079d5f4f4a8cd9318431871c8e05789/rendering/01.xyz", "0.0")</f>
        <v>0.0</v>
      </c>
      <c r="E456" s="13" t="str">
        <f>HYPERLINK(AC2 &amp; "/bottle/sn_f079d5f4f4a8cd9318431871c8e05789/rendering/02.xyz", "0.0")</f>
        <v>0.0</v>
      </c>
      <c r="F456" s="13" t="str">
        <f>HYPERLINK(AC2 &amp; "/bottle/sn_f079d5f4f4a8cd9318431871c8e05789/rendering/03.xyz", "0.0")</f>
        <v>0.0</v>
      </c>
      <c r="G456" s="13" t="str">
        <f>HYPERLINK(AC2 &amp; "/bottle/sn_f079d5f4f4a8cd9318431871c8e05789/rendering/04.xyz", "0.0")</f>
        <v>0.0</v>
      </c>
      <c r="H456" s="13" t="str">
        <f>HYPERLINK(AC2 &amp; "/bottle/sn_f079d5f4f4a8cd9318431871c8e05789/rendering/05.xyz", "0.0")</f>
        <v>0.0</v>
      </c>
      <c r="I456" s="13" t="str">
        <f>HYPERLINK(AC2 &amp; "/bottle/sn_f079d5f4f4a8cd9318431871c8e05789/rendering/06.xyz", "0.0")</f>
        <v>0.0</v>
      </c>
      <c r="J456" s="13" t="str">
        <f>HYPERLINK(AC2 &amp; "/bottle/sn_f079d5f4f4a8cd9318431871c8e05789/rendering/07.xyz", "0.0")</f>
        <v>0.0</v>
      </c>
      <c r="K456" s="13" t="str">
        <f>HYPERLINK(AC2 &amp; "/bottle/sn_f079d5f4f4a8cd9318431871c8e05789/rendering/08.xyz", "0.0")</f>
        <v>0.0</v>
      </c>
      <c r="L456" s="13" t="str">
        <f>HYPERLINK(AC2 &amp; "/bottle/sn_f079d5f4f4a8cd9318431871c8e05789/rendering/09.xyz", "0.0")</f>
        <v>0.0</v>
      </c>
      <c r="M456" s="13" t="str">
        <f>HYPERLINK(AC2 &amp; "/bottle/sn_f079d5f4f4a8cd9318431871c8e05789/rendering/10.xyz", "0.0")</f>
        <v>0.0</v>
      </c>
      <c r="N456" s="13" t="str">
        <f>HYPERLINK(AC2 &amp; "/bottle/sn_f079d5f4f4a8cd9318431871c8e05789/rendering/11.xyz", "0.0")</f>
        <v>0.0</v>
      </c>
      <c r="O456" s="13" t="str">
        <f>HYPERLINK(AC2 &amp; "/bottle/sn_f079d5f4f4a8cd9318431871c8e05789/rendering/12.xyz", "0.0")</f>
        <v>0.0</v>
      </c>
      <c r="P456" s="13" t="str">
        <f>HYPERLINK(AC2 &amp; "/bottle/sn_f079d5f4f4a8cd9318431871c8e05789/rendering/13.xyz", "0.0")</f>
        <v>0.0</v>
      </c>
      <c r="Q456" s="13" t="str">
        <f>HYPERLINK(AC2 &amp; "/bottle/sn_f079d5f4f4a8cd9318431871c8e05789/rendering/14.xyz", "0.0")</f>
        <v>0.0</v>
      </c>
      <c r="R456" s="13" t="str">
        <f>HYPERLINK(AC2 &amp; "/bottle/sn_f079d5f4f4a8cd9318431871c8e05789/rendering/15.xyz", "0.0")</f>
        <v>0.0</v>
      </c>
      <c r="S456" s="13" t="str">
        <f>HYPERLINK(AC2 &amp; "/bottle/sn_f079d5f4f4a8cd9318431871c8e05789/rendering/16.xyz", "0.0")</f>
        <v>0.0</v>
      </c>
      <c r="T456" s="13" t="str">
        <f>HYPERLINK(AC2 &amp; "/bottle/sn_f079d5f4f4a8cd9318431871c8e05789/rendering/17.xyz", "0.0")</f>
        <v>0.0</v>
      </c>
      <c r="U456" s="13" t="str">
        <f>HYPERLINK(AC2 &amp; "/bottle/sn_f079d5f4f4a8cd9318431871c8e05789/rendering/18.xyz", "0.0")</f>
        <v>0.0</v>
      </c>
      <c r="V456" s="13" t="str">
        <f>HYPERLINK(AC2 &amp; "/bottle/sn_f079d5f4f4a8cd9318431871c8e05789/rendering/19.xyz", "0.0")</f>
        <v>0.0</v>
      </c>
      <c r="W456" s="12" t="s">
        <v>33</v>
      </c>
      <c r="X456" s="13">
        <v>0</v>
      </c>
      <c r="Y456" s="13">
        <v>0</v>
      </c>
      <c r="Z456" s="13">
        <v>0</v>
      </c>
    </row>
    <row r="457" spans="1:26" x14ac:dyDescent="0.2">
      <c r="A457" s="1">
        <v>455</v>
      </c>
      <c r="B457" s="2" t="s">
        <v>124</v>
      </c>
      <c r="C457" s="51" t="str">
        <f>HYPERLINK(AA2 &amp; "/bottle/sn_f0a5f6d2cf8fcb72c12d8e00a78db6e2/rendering/00.obj", "3.18622344971")</f>
        <v>3.18622344971</v>
      </c>
      <c r="D457" s="70" t="str">
        <f>HYPERLINK(AA2 &amp; "/bottle/sn_f0a5f6d2cf8fcb72c12d8e00a78db6e2/rendering/01.obj", "3.90573425293")</f>
        <v>3.90573425293</v>
      </c>
      <c r="E457" s="4" t="str">
        <f>HYPERLINK(AA2 &amp; "/bottle/sn_f0a5f6d2cf8fcb72c12d8e00a78db6e2/rendering/02.obj", "2.48066833496")</f>
        <v>2.48066833496</v>
      </c>
      <c r="F457" s="68" t="str">
        <f>HYPERLINK(AA2 &amp; "/bottle/sn_f0a5f6d2cf8fcb72c12d8e00a78db6e2/rendering/03.obj", "3.60947845459")</f>
        <v>3.60947845459</v>
      </c>
      <c r="G457" s="126" t="str">
        <f>HYPERLINK(AA2 &amp; "/bottle/sn_f0a5f6d2cf8fcb72c12d8e00a78db6e2/rendering/04.obj", "5.19896484375")</f>
        <v>5.19896484375</v>
      </c>
      <c r="H457" s="196" t="str">
        <f>HYPERLINK(AA2 &amp; "/bottle/sn_f0a5f6d2cf8fcb72c12d8e00a78db6e2/rendering/05.obj", "2.08780700684")</f>
        <v>2.08780700684</v>
      </c>
      <c r="I457" s="25" t="str">
        <f>HYPERLINK(AA2 &amp; "/bottle/sn_f0a5f6d2cf8fcb72c12d8e00a78db6e2/rendering/06.obj", "3.50083190918")</f>
        <v>3.50083190918</v>
      </c>
      <c r="J457" s="13" t="str">
        <f>HYPERLINK(AA2 &amp; "/bottle/sn_f0a5f6d2cf8fcb72c12d8e00a78db6e2/rendering/07.obj", "3.46868530273")</f>
        <v>3.46868530273</v>
      </c>
      <c r="K457" s="100" t="str">
        <f>HYPERLINK(AA2 &amp; "/bottle/sn_f0a5f6d2cf8fcb72c12d8e00a78db6e2/rendering/08.obj", "2.42981658936")</f>
        <v>2.42981658936</v>
      </c>
      <c r="L457" s="193" t="str">
        <f>HYPERLINK(AA2 &amp; "/bottle/sn_f0a5f6d2cf8fcb72c12d8e00a78db6e2/rendering/09.obj", "4.61119506836")</f>
        <v>4.61119506836</v>
      </c>
      <c r="M457" s="20" t="str">
        <f>HYPERLINK(AA2 &amp; "/bottle/sn_f0a5f6d2cf8fcb72c12d8e00a78db6e2/rendering/10.obj", "6.81799377441")</f>
        <v>6.81799377441</v>
      </c>
      <c r="N457" s="149" t="str">
        <f>HYPERLINK(AA2 &amp; "/bottle/sn_f0a5f6d2cf8fcb72c12d8e00a78db6e2/rendering/11.obj", "2.27050323486")</f>
        <v>2.27050323486</v>
      </c>
      <c r="O457" s="48" t="str">
        <f>HYPERLINK(AA2 &amp; "/bottle/sn_f0a5f6d2cf8fcb72c12d8e00a78db6e2/rendering/12.obj", "3.53988525391")</f>
        <v>3.53988525391</v>
      </c>
      <c r="P457" s="73" t="str">
        <f>HYPERLINK(AA2 &amp; "/bottle/sn_f0a5f6d2cf8fcb72c12d8e00a78db6e2/rendering/13.obj", "3.34406066895")</f>
        <v>3.34406066895</v>
      </c>
      <c r="Q457" s="85" t="str">
        <f>HYPERLINK(AA2 &amp; "/bottle/sn_f0a5f6d2cf8fcb72c12d8e00a78db6e2/rendering/14.obj", "2.4376449585")</f>
        <v>2.4376449585</v>
      </c>
      <c r="R457" s="44" t="str">
        <f>HYPERLINK(AA2 &amp; "/bottle/sn_f0a5f6d2cf8fcb72c12d8e00a78db6e2/rendering/15.obj", "2.78386047363")</f>
        <v>2.78386047363</v>
      </c>
      <c r="S457" s="119" t="str">
        <f>HYPERLINK(AA2 &amp; "/bottle/sn_f0a5f6d2cf8fcb72c12d8e00a78db6e2/rendering/16.obj", "2.54208770752")</f>
        <v>2.54208770752</v>
      </c>
      <c r="T457" s="117" t="str">
        <f>HYPERLINK(AA2 &amp; "/bottle/sn_f0a5f6d2cf8fcb72c12d8e00a78db6e2/rendering/17.obj", "4.07821228027")</f>
        <v>4.07821228027</v>
      </c>
      <c r="U457" s="26" t="str">
        <f>HYPERLINK(AA2 &amp; "/bottle/sn_f0a5f6d2cf8fcb72c12d8e00a78db6e2/rendering/18.obj", "3.23762145996")</f>
        <v>3.23762145996</v>
      </c>
      <c r="V457" s="51" t="str">
        <f>HYPERLINK(AA2 &amp; "/bottle/sn_f0a5f6d2cf8fcb72c12d8e00a78db6e2/rendering/19.obj", "3.74187652588")</f>
        <v>3.74187652588</v>
      </c>
      <c r="W457" s="12" t="s">
        <v>29</v>
      </c>
      <c r="X457" s="13">
        <v>3.463657577514649</v>
      </c>
      <c r="Y457" s="13">
        <v>1.0981088551229641</v>
      </c>
      <c r="Z457" s="176">
        <v>0.31703736023204498</v>
      </c>
    </row>
    <row r="458" spans="1:26" x14ac:dyDescent="0.2">
      <c r="A458" s="1">
        <v>456</v>
      </c>
      <c r="B458" s="2" t="s">
        <v>124</v>
      </c>
      <c r="C458" s="7" t="str">
        <f>HYPERLINK(AA2 &amp; "/bottle/sn_f0a5f6d2cf8fcb72c12d8e00a78db6e2/rendering/00.obj", "2.21721482277")</f>
        <v>2.21721482277</v>
      </c>
      <c r="D458" s="117" t="str">
        <f>HYPERLINK(AA2 &amp; "/bottle/sn_f0a5f6d2cf8fcb72c12d8e00a78db6e2/rendering/01.obj", "3.61484837532")</f>
        <v>3.61484837532</v>
      </c>
      <c r="E458" s="124" t="str">
        <f>HYPERLINK(AA2 &amp; "/bottle/sn_f0a5f6d2cf8fcb72c12d8e00a78db6e2/rendering/02.obj", "1.90041232109")</f>
        <v>1.90041232109</v>
      </c>
      <c r="F458" s="25" t="str">
        <f>HYPERLINK(AA2 &amp; "/bottle/sn_f0a5f6d2cf8fcb72c12d8e00a78db6e2/rendering/03.obj", "3.09645581245")</f>
        <v>3.09645581245</v>
      </c>
      <c r="G458" s="232" t="str">
        <f>HYPERLINK(AA2 &amp; "/bottle/sn_f0a5f6d2cf8fcb72c12d8e00a78db6e2/rendering/04.obj", "5.4672036171")</f>
        <v>5.4672036171</v>
      </c>
      <c r="H458" s="121" t="str">
        <f>HYPERLINK(AA2 &amp; "/bottle/sn_f0a5f6d2cf8fcb72c12d8e00a78db6e2/rendering/05.obj", "1.98047506809")</f>
        <v>1.98047506809</v>
      </c>
      <c r="I458" s="60" t="str">
        <f>HYPERLINK(AA2 &amp; "/bottle/sn_f0a5f6d2cf8fcb72c12d8e00a78db6e2/rendering/06.obj", "2.90786790848")</f>
        <v>2.90786790848</v>
      </c>
      <c r="J458" s="6" t="str">
        <f>HYPERLINK(AA2 &amp; "/bottle/sn_f0a5f6d2cf8fcb72c12d8e00a78db6e2/rendering/07.obj", "2.9285800457")</f>
        <v>2.9285800457</v>
      </c>
      <c r="K458" s="57" t="str">
        <f>HYPERLINK(AA2 &amp; "/bottle/sn_f0a5f6d2cf8fcb72c12d8e00a78db6e2/rendering/08.obj", "2.10091638565")</f>
        <v>2.10091638565</v>
      </c>
      <c r="L458" s="169" t="str">
        <f>HYPERLINK(AA2 &amp; "/bottle/sn_f0a5f6d2cf8fcb72c12d8e00a78db6e2/rendering/09.obj", "4.02502346039")</f>
        <v>4.02502346039</v>
      </c>
      <c r="M458" s="20" t="str">
        <f>HYPERLINK(AA2 &amp; "/bottle/sn_f0a5f6d2cf8fcb72c12d8e00a78db6e2/rendering/10.obj", "8.40816020966")</f>
        <v>8.40816020966</v>
      </c>
      <c r="N458" s="123" t="str">
        <f>HYPERLINK(AA2 &amp; "/bottle/sn_f0a5f6d2cf8fcb72c12d8e00a78db6e2/rendering/11.obj", "1.93202209473")</f>
        <v>1.93202209473</v>
      </c>
      <c r="O458" s="41" t="str">
        <f>HYPERLINK(AA2 &amp; "/bottle/sn_f0a5f6d2cf8fcb72c12d8e00a78db6e2/rendering/12.obj", "3.27067637444")</f>
        <v>3.27067637444</v>
      </c>
      <c r="P458" s="41" t="str">
        <f>HYPERLINK(AA2 &amp; "/bottle/sn_f0a5f6d2cf8fcb72c12d8e00a78db6e2/rendering/13.obj", "3.27752041817")</f>
        <v>3.27752041817</v>
      </c>
      <c r="Q458" s="96" t="str">
        <f>HYPERLINK(AA2 &amp; "/bottle/sn_f0a5f6d2cf8fcb72c12d8e00a78db6e2/rendering/14.obj", "1.95695304871")</f>
        <v>1.95695304871</v>
      </c>
      <c r="R458" s="123" t="str">
        <f>HYPERLINK(AA2 &amp; "/bottle/sn_f0a5f6d2cf8fcb72c12d8e00a78db6e2/rendering/15.obj", "1.93244159222")</f>
        <v>1.93244159222</v>
      </c>
      <c r="S458" s="113" t="str">
        <f>HYPERLINK(AA2 &amp; "/bottle/sn_f0a5f6d2cf8fcb72c12d8e00a78db6e2/rendering/16.obj", "2.22520804405")</f>
        <v>2.22520804405</v>
      </c>
      <c r="T458" s="38" t="str">
        <f>HYPERLINK(AA2 &amp; "/bottle/sn_f0a5f6d2cf8fcb72c12d8e00a78db6e2/rendering/17.obj", "3.3374915123")</f>
        <v>3.3374915123</v>
      </c>
      <c r="U458" s="182" t="str">
        <f>HYPERLINK(AA2 &amp; "/bottle/sn_f0a5f6d2cf8fcb72c12d8e00a78db6e2/rendering/18.obj", "2.04615521431")</f>
        <v>2.04615521431</v>
      </c>
      <c r="V458" s="106" t="str">
        <f>HYPERLINK(AA2 &amp; "/bottle/sn_f0a5f6d2cf8fcb72c12d8e00a78db6e2/rendering/19.obj", "2.71800327301")</f>
        <v>2.71800327301</v>
      </c>
      <c r="W458" s="12" t="s">
        <v>30</v>
      </c>
      <c r="X458" s="13">
        <v>3.0671814799308779</v>
      </c>
      <c r="Y458" s="13">
        <v>1.5097729834520039</v>
      </c>
      <c r="Z458" s="145">
        <v>0.49223464386790322</v>
      </c>
    </row>
    <row r="459" spans="1:26" x14ac:dyDescent="0.2">
      <c r="A459" s="1">
        <v>457</v>
      </c>
      <c r="B459" s="2" t="s">
        <v>124</v>
      </c>
      <c r="C459" s="34" t="str">
        <f>HYPERLINK(AB2 &amp; "/bottle/sn_f0a5f6d2cf8fcb72c12d8e00a78db6e2/rendering/00.obj", "2.14456512451")</f>
        <v>2.14456512451</v>
      </c>
      <c r="D459" s="34" t="str">
        <f>HYPERLINK(AB2 &amp; "/bottle/sn_f0a5f6d2cf8fcb72c12d8e00a78db6e2/rendering/01.obj", "2.14444061279")</f>
        <v>2.14444061279</v>
      </c>
      <c r="E459" s="46" t="str">
        <f>HYPERLINK(AB2 &amp; "/bottle/sn_f0a5f6d2cf8fcb72c12d8e00a78db6e2/rendering/02.obj", "2.21740905762")</f>
        <v>2.21740905762</v>
      </c>
      <c r="F459" s="30" t="str">
        <f>HYPERLINK(AB2 &amp; "/bottle/sn_f0a5f6d2cf8fcb72c12d8e00a78db6e2/rendering/03.obj", "2.26672363281")</f>
        <v>2.26672363281</v>
      </c>
      <c r="G459" s="68" t="str">
        <f>HYPERLINK(AB2 &amp; "/bottle/sn_f0a5f6d2cf8fcb72c12d8e00a78db6e2/rendering/04.obj", "2.15617614746")</f>
        <v>2.15617614746</v>
      </c>
      <c r="H459" s="60" t="str">
        <f>HYPERLINK(AB2 &amp; "/bottle/sn_f0a5f6d2cf8fcb72c12d8e00a78db6e2/rendering/05.obj", "2.37148590088")</f>
        <v>2.37148590088</v>
      </c>
      <c r="I459" s="93" t="str">
        <f>HYPERLINK(AB2 &amp; "/bottle/sn_f0a5f6d2cf8fcb72c12d8e00a78db6e2/rendering/06.obj", "2.57165893555")</f>
        <v>2.57165893555</v>
      </c>
      <c r="J459" s="91" t="str">
        <f>HYPERLINK(AB2 &amp; "/bottle/sn_f0a5f6d2cf8fcb72c12d8e00a78db6e2/rendering/07.obj", "2.19676467896")</f>
        <v>2.19676467896</v>
      </c>
      <c r="K459" s="35" t="str">
        <f>HYPERLINK(AB2 &amp; "/bottle/sn_f0a5f6d2cf8fcb72c12d8e00a78db6e2/rendering/08.obj", "2.12172821045")</f>
        <v>2.12172821045</v>
      </c>
      <c r="L459" s="17" t="str">
        <f>HYPERLINK(AB2 &amp; "/bottle/sn_f0a5f6d2cf8fcb72c12d8e00a78db6e2/rendering/09.obj", "2.21099334717")</f>
        <v>2.21099334717</v>
      </c>
      <c r="M459" s="63" t="str">
        <f>HYPERLINK(AB2 &amp; "/bottle/sn_f0a5f6d2cf8fcb72c12d8e00a78db6e2/rendering/10.obj", "2.52749908447")</f>
        <v>2.52749908447</v>
      </c>
      <c r="N459" s="17" t="str">
        <f>HYPERLINK(AB2 &amp; "/bottle/sn_f0a5f6d2cf8fcb72c12d8e00a78db6e2/rendering/11.obj", "2.30348251343")</f>
        <v>2.30348251343</v>
      </c>
      <c r="O459" s="30" t="str">
        <f>HYPERLINK(AB2 &amp; "/bottle/sn_f0a5f6d2cf8fcb72c12d8e00a78db6e2/rendering/12.obj", "2.26838928223")</f>
        <v>2.26838928223</v>
      </c>
      <c r="P459" s="78" t="str">
        <f>HYPERLINK(AB2 &amp; "/bottle/sn_f0a5f6d2cf8fcb72c12d8e00a78db6e2/rendering/13.obj", "2.11867980957")</f>
        <v>2.11867980957</v>
      </c>
      <c r="Q459" s="10" t="str">
        <f>HYPERLINK(AB2 &amp; "/bottle/sn_f0a5f6d2cf8fcb72c12d8e00a78db6e2/rendering/14.obj", "2.12905838013")</f>
        <v>2.12905838013</v>
      </c>
      <c r="R459" s="23" t="str">
        <f>HYPERLINK(AB2 &amp; "/bottle/sn_f0a5f6d2cf8fcb72c12d8e00a78db6e2/rendering/15.obj", "2.16440368652")</f>
        <v>2.16440368652</v>
      </c>
      <c r="S459" s="17" t="str">
        <f>HYPERLINK(AB2 &amp; "/bottle/sn_f0a5f6d2cf8fcb72c12d8e00a78db6e2/rendering/16.obj", "2.29973571777")</f>
        <v>2.29973571777</v>
      </c>
      <c r="T459" s="5" t="str">
        <f>HYPERLINK(AB2 &amp; "/bottle/sn_f0a5f6d2cf8fcb72c12d8e00a78db6e2/rendering/17.obj", "2.08294494629")</f>
        <v>2.08294494629</v>
      </c>
      <c r="U459" s="28" t="str">
        <f>HYPERLINK(AB2 &amp; "/bottle/sn_f0a5f6d2cf8fcb72c12d8e00a78db6e2/rendering/18.obj", "2.50548919678")</f>
        <v>2.50548919678</v>
      </c>
      <c r="V459" s="46" t="str">
        <f>HYPERLINK(AB2 &amp; "/bottle/sn_f0a5f6d2cf8fcb72c12d8e00a78db6e2/rendering/19.obj", "2.2950894165")</f>
        <v>2.2950894165</v>
      </c>
      <c r="W459" s="12" t="s">
        <v>31</v>
      </c>
      <c r="X459" s="13">
        <v>2.2548358840942382</v>
      </c>
      <c r="Y459" s="13">
        <v>0.1392947437990926</v>
      </c>
      <c r="Z459" s="78">
        <v>6.1776000986008321E-2</v>
      </c>
    </row>
    <row r="460" spans="1:26" x14ac:dyDescent="0.2">
      <c r="A460" s="1">
        <v>458</v>
      </c>
      <c r="B460" s="2" t="s">
        <v>124</v>
      </c>
      <c r="C460" s="13" t="str">
        <f>HYPERLINK(AB2 &amp; "/bottle/sn_f0a5f6d2cf8fcb72c12d8e00a78db6e2/rendering/00.obj", "1.84997749329")</f>
        <v>1.84997749329</v>
      </c>
      <c r="D460" s="5" t="str">
        <f>HYPERLINK(AB2 &amp; "/bottle/sn_f0a5f6d2cf8fcb72c12d8e00a78db6e2/rendering/01.obj", "1.9864487648")</f>
        <v>1.9864487648</v>
      </c>
      <c r="E460" s="13" t="str">
        <f>HYPERLINK(AB2 &amp; "/bottle/sn_f0a5f6d2cf8fcb72c12d8e00a78db6e2/rendering/02.obj", "1.84585428238")</f>
        <v>1.84585428238</v>
      </c>
      <c r="F460" s="48" t="str">
        <f>HYPERLINK(AB2 &amp; "/bottle/sn_f0a5f6d2cf8fcb72c12d8e00a78db6e2/rendering/03.obj", "1.88698267937")</f>
        <v>1.88698267937</v>
      </c>
      <c r="G460" s="69" t="str">
        <f>HYPERLINK(AB2 &amp; "/bottle/sn_f0a5f6d2cf8fcb72c12d8e00a78db6e2/rendering/04.obj", "1.7937117815")</f>
        <v>1.7937117815</v>
      </c>
      <c r="H460" s="10" t="str">
        <f>HYPERLINK(AB2 &amp; "/bottle/sn_f0a5f6d2cf8fcb72c12d8e00a78db6e2/rendering/05.obj", "1.74263334274")</f>
        <v>1.74263334274</v>
      </c>
      <c r="I460" s="5" t="str">
        <f>HYPERLINK(AB2 &amp; "/bottle/sn_f0a5f6d2cf8fcb72c12d8e00a78db6e2/rendering/06.obj", "1.98946142197")</f>
        <v>1.98946142197</v>
      </c>
      <c r="J460" s="6" t="str">
        <f>HYPERLINK(AB2 &amp; "/bottle/sn_f0a5f6d2cf8fcb72c12d8e00a78db6e2/rendering/07.obj", "1.93009769917")</f>
        <v>1.93009769917</v>
      </c>
      <c r="K460" s="74" t="str">
        <f>HYPERLINK(AB2 &amp; "/bottle/sn_f0a5f6d2cf8fcb72c12d8e00a78db6e2/rendering/08.obj", "1.82187533379")</f>
        <v>1.82187533379</v>
      </c>
      <c r="L460" s="32" t="str">
        <f>HYPERLINK(AB2 &amp; "/bottle/sn_f0a5f6d2cf8fcb72c12d8e00a78db6e2/rendering/09.obj", "1.65385115147")</f>
        <v>1.65385115147</v>
      </c>
      <c r="M460" s="72" t="str">
        <f>HYPERLINK(AB2 &amp; "/bottle/sn_f0a5f6d2cf8fcb72c12d8e00a78db6e2/rendering/10.obj", "1.90836453438")</f>
        <v>1.90836453438</v>
      </c>
      <c r="N460" s="5" t="str">
        <f>HYPERLINK(AB2 &amp; "/bottle/sn_f0a5f6d2cf8fcb72c12d8e00a78db6e2/rendering/11.obj", "1.70459699631")</f>
        <v>1.70459699631</v>
      </c>
      <c r="O460" s="48" t="str">
        <f>HYPERLINK(AB2 &amp; "/bottle/sn_f0a5f6d2cf8fcb72c12d8e00a78db6e2/rendering/12.obj", "1.89138615131")</f>
        <v>1.89138615131</v>
      </c>
      <c r="P460" s="10" t="str">
        <f>HYPERLINK(AB2 &amp; "/bottle/sn_f0a5f6d2cf8fcb72c12d8e00a78db6e2/rendering/13.obj", "1.74618458748")</f>
        <v>1.74618458748</v>
      </c>
      <c r="Q460" s="5" t="str">
        <f>HYPERLINK(AB2 &amp; "/bottle/sn_f0a5f6d2cf8fcb72c12d8e00a78db6e2/rendering/14.obj", "1.70429360867")</f>
        <v>1.70429360867</v>
      </c>
      <c r="R460" s="69" t="str">
        <f>HYPERLINK(AB2 &amp; "/bottle/sn_f0a5f6d2cf8fcb72c12d8e00a78db6e2/rendering/15.obj", "1.79207313061")</f>
        <v>1.79207313061</v>
      </c>
      <c r="S460" s="107" t="str">
        <f>HYPERLINK(AB2 &amp; "/bottle/sn_f0a5f6d2cf8fcb72c12d8e00a78db6e2/rendering/16.obj", "1.6922981739")</f>
        <v>1.6922981739</v>
      </c>
      <c r="T460" s="78" t="str">
        <f>HYPERLINK(AB2 &amp; "/bottle/sn_f0a5f6d2cf8fcb72c12d8e00a78db6e2/rendering/17.obj", "1.73539364338")</f>
        <v>1.73539364338</v>
      </c>
      <c r="U460" s="44" t="str">
        <f>HYPERLINK(AB2 &amp; "/bottle/sn_f0a5f6d2cf8fcb72c12d8e00a78db6e2/rendering/18.obj", "2.20867109299")</f>
        <v>2.20867109299</v>
      </c>
      <c r="V460" s="133" t="str">
        <f>HYPERLINK(AB2 &amp; "/bottle/sn_f0a5f6d2cf8fcb72c12d8e00a78db6e2/rendering/19.obj", "2.0355861187")</f>
        <v>2.0355861187</v>
      </c>
      <c r="W460" s="12" t="s">
        <v>32</v>
      </c>
      <c r="X460" s="13">
        <v>1.845987099409103</v>
      </c>
      <c r="Y460" s="13">
        <v>0.13457785621994259</v>
      </c>
      <c r="Z460" s="94">
        <v>7.2902923461935706E-2</v>
      </c>
    </row>
    <row r="461" spans="1:26" x14ac:dyDescent="0.2">
      <c r="A461" s="1">
        <v>459</v>
      </c>
      <c r="B461" s="2" t="s">
        <v>124</v>
      </c>
      <c r="C461" s="13" t="str">
        <f>HYPERLINK(AC2 &amp; "/bottle/sn_f0a5f6d2cf8fcb72c12d8e00a78db6e2/rendering/00.xyz", "0.0")</f>
        <v>0.0</v>
      </c>
      <c r="D461" s="13" t="str">
        <f>HYPERLINK(AC2 &amp; "/bottle/sn_f0a5f6d2cf8fcb72c12d8e00a78db6e2/rendering/01.xyz", "0.0")</f>
        <v>0.0</v>
      </c>
      <c r="E461" s="13" t="str">
        <f>HYPERLINK(AC2 &amp; "/bottle/sn_f0a5f6d2cf8fcb72c12d8e00a78db6e2/rendering/02.xyz", "0.0")</f>
        <v>0.0</v>
      </c>
      <c r="F461" s="13" t="str">
        <f>HYPERLINK(AC2 &amp; "/bottle/sn_f0a5f6d2cf8fcb72c12d8e00a78db6e2/rendering/03.xyz", "0.0")</f>
        <v>0.0</v>
      </c>
      <c r="G461" s="13" t="str">
        <f>HYPERLINK(AC2 &amp; "/bottle/sn_f0a5f6d2cf8fcb72c12d8e00a78db6e2/rendering/04.xyz", "0.0")</f>
        <v>0.0</v>
      </c>
      <c r="H461" s="13" t="str">
        <f>HYPERLINK(AC2 &amp; "/bottle/sn_f0a5f6d2cf8fcb72c12d8e00a78db6e2/rendering/05.xyz", "0.0")</f>
        <v>0.0</v>
      </c>
      <c r="I461" s="13" t="str">
        <f>HYPERLINK(AC2 &amp; "/bottle/sn_f0a5f6d2cf8fcb72c12d8e00a78db6e2/rendering/06.xyz", "0.0")</f>
        <v>0.0</v>
      </c>
      <c r="J461" s="13" t="str">
        <f>HYPERLINK(AC2 &amp; "/bottle/sn_f0a5f6d2cf8fcb72c12d8e00a78db6e2/rendering/07.xyz", "0.0")</f>
        <v>0.0</v>
      </c>
      <c r="K461" s="13" t="str">
        <f>HYPERLINK(AC2 &amp; "/bottle/sn_f0a5f6d2cf8fcb72c12d8e00a78db6e2/rendering/08.xyz", "0.0")</f>
        <v>0.0</v>
      </c>
      <c r="L461" s="13" t="str">
        <f>HYPERLINK(AC2 &amp; "/bottle/sn_f0a5f6d2cf8fcb72c12d8e00a78db6e2/rendering/09.xyz", "0.0")</f>
        <v>0.0</v>
      </c>
      <c r="M461" s="13" t="str">
        <f>HYPERLINK(AC2 &amp; "/bottle/sn_f0a5f6d2cf8fcb72c12d8e00a78db6e2/rendering/10.xyz", "0.0")</f>
        <v>0.0</v>
      </c>
      <c r="N461" s="13" t="str">
        <f>HYPERLINK(AC2 &amp; "/bottle/sn_f0a5f6d2cf8fcb72c12d8e00a78db6e2/rendering/11.xyz", "0.0")</f>
        <v>0.0</v>
      </c>
      <c r="O461" s="13" t="str">
        <f>HYPERLINK(AC2 &amp; "/bottle/sn_f0a5f6d2cf8fcb72c12d8e00a78db6e2/rendering/12.xyz", "0.0")</f>
        <v>0.0</v>
      </c>
      <c r="P461" s="13" t="str">
        <f>HYPERLINK(AC2 &amp; "/bottle/sn_f0a5f6d2cf8fcb72c12d8e00a78db6e2/rendering/13.xyz", "0.0")</f>
        <v>0.0</v>
      </c>
      <c r="Q461" s="13" t="str">
        <f>HYPERLINK(AC2 &amp; "/bottle/sn_f0a5f6d2cf8fcb72c12d8e00a78db6e2/rendering/14.xyz", "0.0")</f>
        <v>0.0</v>
      </c>
      <c r="R461" s="13" t="str">
        <f>HYPERLINK(AC2 &amp; "/bottle/sn_f0a5f6d2cf8fcb72c12d8e00a78db6e2/rendering/15.xyz", "0.0")</f>
        <v>0.0</v>
      </c>
      <c r="S461" s="13" t="str">
        <f>HYPERLINK(AC2 &amp; "/bottle/sn_f0a5f6d2cf8fcb72c12d8e00a78db6e2/rendering/16.xyz", "0.0")</f>
        <v>0.0</v>
      </c>
      <c r="T461" s="13" t="str">
        <f>HYPERLINK(AC2 &amp; "/bottle/sn_f0a5f6d2cf8fcb72c12d8e00a78db6e2/rendering/17.xyz", "0.0")</f>
        <v>0.0</v>
      </c>
      <c r="U461" s="13" t="str">
        <f>HYPERLINK(AC2 &amp; "/bottle/sn_f0a5f6d2cf8fcb72c12d8e00a78db6e2/rendering/18.xyz", "0.0")</f>
        <v>0.0</v>
      </c>
      <c r="V461" s="13" t="str">
        <f>HYPERLINK(AC2 &amp; "/bottle/sn_f0a5f6d2cf8fcb72c12d8e00a78db6e2/rendering/19.xyz", "0.0")</f>
        <v>0.0</v>
      </c>
      <c r="W461" s="12" t="s">
        <v>33</v>
      </c>
      <c r="X461" s="13">
        <v>0</v>
      </c>
      <c r="Y461" s="13">
        <v>0</v>
      </c>
      <c r="Z461" s="13">
        <v>0</v>
      </c>
    </row>
    <row r="462" spans="1:26" x14ac:dyDescent="0.2">
      <c r="A462" s="1">
        <v>460</v>
      </c>
      <c r="B462" s="2" t="s">
        <v>125</v>
      </c>
      <c r="C462" s="73" t="str">
        <f>HYPERLINK(AA2 &amp; "/bottle/sn_f1749b854dd0e788618a83203feeb40/rendering/00.obj", "0.803814086914")</f>
        <v>0.803814086914</v>
      </c>
      <c r="D462" s="25" t="str">
        <f>HYPERLINK(AA2 &amp; "/bottle/sn_f1749b854dd0e788618a83203feeb40/rendering/01.obj", "0.82486114502")</f>
        <v>0.82486114502</v>
      </c>
      <c r="E462" s="10" t="str">
        <f>HYPERLINK(AA2 &amp; "/bottle/sn_f1749b854dd0e788618a83203feeb40/rendering/02.obj", "0.790262069702")</f>
        <v>0.790262069702</v>
      </c>
      <c r="F462" s="42" t="str">
        <f>HYPERLINK(AA2 &amp; "/bottle/sn_f1749b854dd0e788618a83203feeb40/rendering/03.obj", "0.720107879639")</f>
        <v>0.720107879639</v>
      </c>
      <c r="G462" s="26" t="str">
        <f>HYPERLINK(AA2 &amp; "/bottle/sn_f1749b854dd0e788618a83203feeb40/rendering/04.obj", "0.889551315308")</f>
        <v>0.889551315308</v>
      </c>
      <c r="H462" s="6" t="str">
        <f>HYPERLINK(AA2 &amp; "/bottle/sn_f1749b854dd0e788618a83203feeb40/rendering/05.obj", "0.797800979614")</f>
        <v>0.797800979614</v>
      </c>
      <c r="I462" s="39" t="str">
        <f>HYPERLINK(AA2 &amp; "/bottle/sn_f1749b854dd0e788618a83203feeb40/rendering/06.obj", "0.905726013184")</f>
        <v>0.905726013184</v>
      </c>
      <c r="J462" s="13" t="str">
        <f>HYPERLINK(AA2 &amp; "/bottle/sn_f1749b854dd0e788618a83203feeb40/rendering/07.obj", "0.832768478394")</f>
        <v>0.832768478394</v>
      </c>
      <c r="K462" s="10" t="str">
        <f>HYPERLINK(AA2 &amp; "/bottle/sn_f1749b854dd0e788618a83203feeb40/rendering/08.obj", "0.789589080811")</f>
        <v>0.789589080811</v>
      </c>
      <c r="L462" s="106" t="str">
        <f>HYPERLINK(AA2 &amp; "/bottle/sn_f1749b854dd0e788618a83203feeb40/rendering/09.obj", "0.929164428711")</f>
        <v>0.929164428711</v>
      </c>
      <c r="M462" s="83" t="str">
        <f>HYPERLINK(AA2 &amp; "/bottle/sn_f1749b854dd0e788618a83203feeb40/rendering/10.obj", "0.962518081665")</f>
        <v>0.962518081665</v>
      </c>
      <c r="N462" s="34" t="str">
        <f>HYPERLINK(AA2 &amp; "/bottle/sn_f1749b854dd0e788618a83203feeb40/rendering/11.obj", "0.874650192261")</f>
        <v>0.874650192261</v>
      </c>
      <c r="O462" s="71" t="str">
        <f>HYPERLINK(AA2 &amp; "/bottle/sn_f1749b854dd0e788618a83203feeb40/rendering/12.obj", "0.735955810547")</f>
        <v>0.735955810547</v>
      </c>
      <c r="P462" s="60" t="str">
        <f>HYPERLINK(AA2 &amp; "/bottle/sn_f1749b854dd0e788618a83203feeb40/rendering/13.obj", "0.792167282104")</f>
        <v>0.792167282104</v>
      </c>
      <c r="Q462" s="10" t="str">
        <f>HYPERLINK(AA2 &amp; "/bottle/sn_f1749b854dd0e788618a83203feeb40/rendering/14.obj", "0.788325500488")</f>
        <v>0.788325500488</v>
      </c>
      <c r="R462" s="26" t="str">
        <f>HYPERLINK(AA2 &amp; "/bottle/sn_f1749b854dd0e788618a83203feeb40/rendering/15.obj", "0.888869400024")</f>
        <v>0.888869400024</v>
      </c>
      <c r="S462" s="106" t="str">
        <f>HYPERLINK(AA2 &amp; "/bottle/sn_f1749b854dd0e788618a83203feeb40/rendering/16.obj", "0.73829750061")</f>
        <v>0.73829750061</v>
      </c>
      <c r="T462" s="76" t="str">
        <f>HYPERLINK(AA2 &amp; "/bottle/sn_f1749b854dd0e788618a83203feeb40/rendering/17.obj", "0.988515472412")</f>
        <v>0.988515472412</v>
      </c>
      <c r="U462" s="23" t="str">
        <f>HYPERLINK(AA2 &amp; "/bottle/sn_f1749b854dd0e788618a83203feeb40/rendering/18.obj", "0.8009400177")</f>
        <v>0.8009400177</v>
      </c>
      <c r="V462" s="47" t="str">
        <f>HYPERLINK(AA2 &amp; "/bottle/sn_f1749b854dd0e788618a83203feeb40/rendering/19.obj", "0.841804656982")</f>
        <v>0.841804656982</v>
      </c>
      <c r="W462" s="12" t="s">
        <v>29</v>
      </c>
      <c r="X462" s="13">
        <v>0.83478446960449215</v>
      </c>
      <c r="Y462" s="13">
        <v>7.2544653779272272E-2</v>
      </c>
      <c r="Z462" s="39">
        <v>8.6902256116052082E-2</v>
      </c>
    </row>
    <row r="463" spans="1:26" x14ac:dyDescent="0.2">
      <c r="A463" s="1">
        <v>461</v>
      </c>
      <c r="B463" s="2" t="s">
        <v>125</v>
      </c>
      <c r="C463" s="38" t="str">
        <f>HYPERLINK(AA2 &amp; "/bottle/sn_f1749b854dd0e788618a83203feeb40/rendering/00.obj", "1.90845632553")</f>
        <v>1.90845632553</v>
      </c>
      <c r="D463" s="74" t="str">
        <f>HYPERLINK(AA2 &amp; "/bottle/sn_f1749b854dd0e788618a83203feeb40/rendering/01.obj", "2.06077265739")</f>
        <v>2.06077265739</v>
      </c>
      <c r="E463" s="90" t="str">
        <f>HYPERLINK(AA2 &amp; "/bottle/sn_f1749b854dd0e788618a83203feeb40/rendering/02.obj", "1.89527201653")</f>
        <v>1.89527201653</v>
      </c>
      <c r="F463" s="83" t="str">
        <f>HYPERLINK(AA2 &amp; "/bottle/sn_f1749b854dd0e788618a83203feeb40/rendering/03.obj", "1.77539026737")</f>
        <v>1.77539026737</v>
      </c>
      <c r="G463" s="80" t="str">
        <f>HYPERLINK(AA2 &amp; "/bottle/sn_f1749b854dd0e788618a83203feeb40/rendering/04.obj", "2.40698122978")</f>
        <v>2.40698122978</v>
      </c>
      <c r="H463" s="10" t="str">
        <f>HYPERLINK(AA2 &amp; "/bottle/sn_f1749b854dd0e788618a83203feeb40/rendering/05.obj", "1.98142981529")</f>
        <v>1.98142981529</v>
      </c>
      <c r="I463" s="50" t="str">
        <f>HYPERLINK(AA2 &amp; "/bottle/sn_f1749b854dd0e788618a83203feeb40/rendering/06.obj", "2.50843930244")</f>
        <v>2.50843930244</v>
      </c>
      <c r="J463" s="13" t="str">
        <f>HYPERLINK(AA2 &amp; "/bottle/sn_f1749b854dd0e788618a83203feeb40/rendering/07.obj", "2.09571838379")</f>
        <v>2.09571838379</v>
      </c>
      <c r="K463" s="69" t="str">
        <f>HYPERLINK(AA2 &amp; "/bottle/sn_f1749b854dd0e788618a83203feeb40/rendering/08.obj", "2.03142261505")</f>
        <v>2.03142261505</v>
      </c>
      <c r="L463" s="38" t="str">
        <f>HYPERLINK(AA2 &amp; "/bottle/sn_f1749b854dd0e788618a83203feeb40/rendering/09.obj", "2.28044295311")</f>
        <v>2.28044295311</v>
      </c>
      <c r="M463" s="66" t="str">
        <f>HYPERLINK(AA2 &amp; "/bottle/sn_f1749b854dd0e788618a83203feeb40/rendering/10.obj", "2.42928671837")</f>
        <v>2.42928671837</v>
      </c>
      <c r="N463" s="91" t="str">
        <f>HYPERLINK(AA2 &amp; "/bottle/sn_f1749b854dd0e788618a83203feeb40/rendering/11.obj", "2.14835381508")</f>
        <v>2.14835381508</v>
      </c>
      <c r="O463" s="29" t="str">
        <f>HYPERLINK(AA2 &amp; "/bottle/sn_f1749b854dd0e788618a83203feeb40/rendering/12.obj", "1.82376301289")</f>
        <v>1.82376301289</v>
      </c>
      <c r="P463" s="33" t="str">
        <f>HYPERLINK(AA2 &amp; "/bottle/sn_f1749b854dd0e788618a83203feeb40/rendering/13.obj", "1.86797201633")</f>
        <v>1.86797201633</v>
      </c>
      <c r="Q463" s="92" t="str">
        <f>HYPERLINK(AA2 &amp; "/bottle/sn_f1749b854dd0e788618a83203feeb40/rendering/14.obj", "1.83544802666")</f>
        <v>1.83544802666</v>
      </c>
      <c r="R463" s="67" t="str">
        <f>HYPERLINK(AA2 &amp; "/bottle/sn_f1749b854dd0e788618a83203feeb40/rendering/15.obj", "2.2865319252")</f>
        <v>2.2865319252</v>
      </c>
      <c r="S463" s="51" t="str">
        <f>HYPERLINK(AA2 &amp; "/bottle/sn_f1749b854dd0e788618a83203feeb40/rendering/16.obj", "1.92858552933")</f>
        <v>1.92858552933</v>
      </c>
      <c r="T463" s="170" t="str">
        <f>HYPERLINK(AA2 &amp; "/bottle/sn_f1749b854dd0e788618a83203feeb40/rendering/17.obj", "2.62253475189")</f>
        <v>2.62253475189</v>
      </c>
      <c r="U463" s="90" t="str">
        <f>HYPERLINK(AA2 &amp; "/bottle/sn_f1749b854dd0e788618a83203feeb40/rendering/18.obj", "1.89069104195")</f>
        <v>1.89069104195</v>
      </c>
      <c r="V463" s="13" t="str">
        <f>HYPERLINK(AA2 &amp; "/bottle/sn_f1749b854dd0e788618a83203feeb40/rendering/19.obj", "2.0927259922")</f>
        <v>2.0927259922</v>
      </c>
      <c r="W463" s="12" t="s">
        <v>30</v>
      </c>
      <c r="X463" s="13">
        <v>2.0935109198093409</v>
      </c>
      <c r="Y463" s="13">
        <v>0.24382911438650531</v>
      </c>
      <c r="Z463" s="71">
        <v>0.1164689957331157</v>
      </c>
    </row>
    <row r="464" spans="1:26" x14ac:dyDescent="0.2">
      <c r="A464" s="1">
        <v>462</v>
      </c>
      <c r="B464" s="2" t="s">
        <v>125</v>
      </c>
      <c r="C464" s="29" t="str">
        <f>HYPERLINK(AB2 &amp; "/bottle/sn_f1749b854dd0e788618a83203feeb40/rendering/00.obj", "1.01259155273")</f>
        <v>1.01259155273</v>
      </c>
      <c r="D464" s="28" t="str">
        <f>HYPERLINK(AB2 &amp; "/bottle/sn_f1749b854dd0e788618a83203feeb40/rendering/01.obj", "1.29288543701")</f>
        <v>1.29288543701</v>
      </c>
      <c r="E464" s="6" t="str">
        <f>HYPERLINK(AB2 &amp; "/bottle/sn_f1749b854dd0e788618a83203feeb40/rendering/02.obj", "1.11026473999")</f>
        <v>1.11026473999</v>
      </c>
      <c r="F464" s="17" t="str">
        <f>HYPERLINK(AB2 &amp; "/bottle/sn_f1749b854dd0e788618a83203feeb40/rendering/03.obj", "1.14040939331")</f>
        <v>1.14040939331</v>
      </c>
      <c r="G464" s="90" t="str">
        <f>HYPERLINK(AB2 &amp; "/bottle/sn_f1749b854dd0e788618a83203feeb40/rendering/04.obj", "1.27560646057")</f>
        <v>1.27560646057</v>
      </c>
      <c r="H464" s="30" t="str">
        <f>HYPERLINK(AB2 &amp; "/bottle/sn_f1749b854dd0e788618a83203feeb40/rendering/05.obj", "1.17092498779")</f>
        <v>1.17092498779</v>
      </c>
      <c r="I464" s="90" t="str">
        <f>HYPERLINK(AB2 &amp; "/bottle/sn_f1749b854dd0e788618a83203feeb40/rendering/06.obj", "1.05472320557")</f>
        <v>1.05472320557</v>
      </c>
      <c r="J464" s="35" t="str">
        <f>HYPERLINK(AB2 &amp; "/bottle/sn_f1749b854dd0e788618a83203feeb40/rendering/07.obj", "1.0960786438")</f>
        <v>1.0960786438</v>
      </c>
      <c r="K464" s="68" t="str">
        <f>HYPERLINK(AB2 &amp; "/bottle/sn_f1749b854dd0e788618a83203feeb40/rendering/08.obj", "1.21512191772")</f>
        <v>1.21512191772</v>
      </c>
      <c r="L464" s="134" t="str">
        <f>HYPERLINK(AB2 &amp; "/bottle/sn_f1749b854dd0e788618a83203feeb40/rendering/09.obj", "1.37370178223")</f>
        <v>1.37370178223</v>
      </c>
      <c r="M464" s="129" t="str">
        <f>HYPERLINK(AB2 &amp; "/bottle/sn_f1749b854dd0e788618a83203feeb40/rendering/10.obj", "1.45421829224")</f>
        <v>1.45421829224</v>
      </c>
      <c r="N464" s="47" t="str">
        <f>HYPERLINK(AB2 &amp; "/bottle/sn_f1749b854dd0e788618a83203feeb40/rendering/11.obj", "1.17427078247")</f>
        <v>1.17427078247</v>
      </c>
      <c r="O464" s="37" t="str">
        <f>HYPERLINK(AB2 &amp; "/bottle/sn_f1749b854dd0e788618a83203feeb40/rendering/12.obj", "1.36845001221")</f>
        <v>1.36845001221</v>
      </c>
      <c r="P464" s="38" t="str">
        <f>HYPERLINK(AB2 &amp; "/bottle/sn_f1749b854dd0e788618a83203feeb40/rendering/13.obj", "1.05879806519")</f>
        <v>1.05879806519</v>
      </c>
      <c r="Q464" s="28" t="str">
        <f>HYPERLINK(AB2 &amp; "/bottle/sn_f1749b854dd0e788618a83203feeb40/rendering/14.obj", "1.03496704102")</f>
        <v>1.03496704102</v>
      </c>
      <c r="R464" s="50" t="str">
        <f>HYPERLINK(AB2 &amp; "/bottle/sn_f1749b854dd0e788618a83203feeb40/rendering/15.obj", "0.932072525024")</f>
        <v>0.932072525024</v>
      </c>
      <c r="S464" s="31" t="str">
        <f>HYPERLINK(AB2 &amp; "/bottle/sn_f1749b854dd0e788618a83203feeb40/rendering/16.obj", "0.982380218506")</f>
        <v>0.982380218506</v>
      </c>
      <c r="T464" s="59" t="str">
        <f>HYPERLINK(AB2 &amp; "/bottle/sn_f1749b854dd0e788618a83203feeb40/rendering/17.obj", "1.44283279419")</f>
        <v>1.44283279419</v>
      </c>
      <c r="U464" s="91" t="str">
        <f>HYPERLINK(AB2 &amp; "/bottle/sn_f1749b854dd0e788618a83203feeb40/rendering/18.obj", "1.13503692627")</f>
        <v>1.13503692627</v>
      </c>
      <c r="V464" s="37" t="str">
        <f>HYPERLINK(AB2 &amp; "/bottle/sn_f1749b854dd0e788618a83203feeb40/rendering/19.obj", "0.962043762207")</f>
        <v>0.962043762207</v>
      </c>
      <c r="W464" s="12" t="s">
        <v>31</v>
      </c>
      <c r="X464" s="13">
        <v>1.164368927001953</v>
      </c>
      <c r="Y464" s="13">
        <v>0.15469682172197771</v>
      </c>
      <c r="Z464" s="65">
        <v>0.13285894026757911</v>
      </c>
    </row>
    <row r="465" spans="1:26" x14ac:dyDescent="0.2">
      <c r="A465" s="1">
        <v>463</v>
      </c>
      <c r="B465" s="2" t="s">
        <v>125</v>
      </c>
      <c r="C465" s="31" t="str">
        <f>HYPERLINK(AB2 &amp; "/bottle/sn_f1749b854dd0e788618a83203feeb40/rendering/00.obj", "1.83431506157")</f>
        <v>1.83431506157</v>
      </c>
      <c r="D465" s="25" t="str">
        <f>HYPERLINK(AB2 &amp; "/bottle/sn_f1749b854dd0e788618a83203feeb40/rendering/01.obj", "2.19727182388")</f>
        <v>2.19727182388</v>
      </c>
      <c r="E465" s="110" t="str">
        <f>HYPERLINK(AB2 &amp; "/bottle/sn_f1749b854dd0e788618a83203feeb40/rendering/02.obj", "1.9594899416")</f>
        <v>1.9594899416</v>
      </c>
      <c r="F465" s="26" t="str">
        <f>HYPERLINK(AB2 &amp; "/bottle/sn_f1749b854dd0e788618a83203feeb40/rendering/03.obj", "2.31267213821")</f>
        <v>2.31267213821</v>
      </c>
      <c r="G465" s="134" t="str">
        <f>HYPERLINK(AB2 &amp; "/bottle/sn_f1749b854dd0e788618a83203feeb40/rendering/04.obj", "2.5679872036")</f>
        <v>2.5679872036</v>
      </c>
      <c r="H465" s="55" t="str">
        <f>HYPERLINK(AB2 &amp; "/bottle/sn_f1749b854dd0e788618a83203feeb40/rendering/05.obj", "2.59434151649")</f>
        <v>2.59434151649</v>
      </c>
      <c r="I465" s="39" t="str">
        <f>HYPERLINK(AB2 &amp; "/bottle/sn_f1749b854dd0e788618a83203feeb40/rendering/06.obj", "2.36180233955")</f>
        <v>2.36180233955</v>
      </c>
      <c r="J465" s="70" t="str">
        <f>HYPERLINK(AB2 &amp; "/bottle/sn_f1749b854dd0e788618a83203feeb40/rendering/07.obj", "1.898863554")</f>
        <v>1.898863554</v>
      </c>
      <c r="K465" s="30" t="str">
        <f>HYPERLINK(AB2 &amp; "/bottle/sn_f1749b854dd0e788618a83203feeb40/rendering/08.obj", "2.16022610664")</f>
        <v>2.16022610664</v>
      </c>
      <c r="L465" s="94" t="str">
        <f>HYPERLINK(AB2 &amp; "/bottle/sn_f1749b854dd0e788618a83203feeb40/rendering/09.obj", "2.33448314667")</f>
        <v>2.33448314667</v>
      </c>
      <c r="M465" s="33" t="str">
        <f>HYPERLINK(AB2 &amp; "/bottle/sn_f1749b854dd0e788618a83203feeb40/rendering/10.obj", "2.40620851517")</f>
        <v>2.40620851517</v>
      </c>
      <c r="N465" s="30" t="str">
        <f>HYPERLINK(AB2 &amp; "/bottle/sn_f1749b854dd0e788618a83203feeb40/rendering/11.obj", "2.16364645958")</f>
        <v>2.16364645958</v>
      </c>
      <c r="O465" s="92" t="str">
        <f>HYPERLINK(AB2 &amp; "/bottle/sn_f1749b854dd0e788618a83203feeb40/rendering/12.obj", "2.44188046455")</f>
        <v>2.44188046455</v>
      </c>
      <c r="P465" s="107" t="str">
        <f>HYPERLINK(AB2 &amp; "/bottle/sn_f1749b854dd0e788618a83203feeb40/rendering/13.obj", "1.99481761456")</f>
        <v>1.99481761456</v>
      </c>
      <c r="Q465" s="79" t="str">
        <f>HYPERLINK(AB2 &amp; "/bottle/sn_f1749b854dd0e788618a83203feeb40/rendering/14.obj", "1.82867443562")</f>
        <v>1.82867443562</v>
      </c>
      <c r="R465" s="79" t="str">
        <f>HYPERLINK(AB2 &amp; "/bottle/sn_f1749b854dd0e788618a83203feeb40/rendering/15.obj", "1.83106994629")</f>
        <v>1.83106994629</v>
      </c>
      <c r="S465" s="51" t="str">
        <f>HYPERLINK(AB2 &amp; "/bottle/sn_f1749b854dd0e788618a83203feeb40/rendering/16.obj", "2.00107216835")</f>
        <v>2.00107216835</v>
      </c>
      <c r="T465" s="38" t="str">
        <f>HYPERLINK(AB2 &amp; "/bottle/sn_f1749b854dd0e788618a83203feeb40/rendering/17.obj", "2.37031054497")</f>
        <v>2.37031054497</v>
      </c>
      <c r="U465" s="32" t="str">
        <f>HYPERLINK(AB2 &amp; "/bottle/sn_f1749b854dd0e788618a83203feeb40/rendering/18.obj", "2.40087103844")</f>
        <v>2.40087103844</v>
      </c>
      <c r="V465" s="64" t="str">
        <f>HYPERLINK(AB2 &amp; "/bottle/sn_f1749b854dd0e788618a83203feeb40/rendering/19.obj", "1.81439208984")</f>
        <v>1.81439208984</v>
      </c>
      <c r="W465" s="12" t="s">
        <v>32</v>
      </c>
      <c r="X465" s="13">
        <v>2.1737198054790499</v>
      </c>
      <c r="Y465" s="13">
        <v>0.2543592786290545</v>
      </c>
      <c r="Z465" s="71">
        <v>0.117015669631348</v>
      </c>
    </row>
    <row r="466" spans="1:26" x14ac:dyDescent="0.2">
      <c r="A466" s="1">
        <v>464</v>
      </c>
      <c r="B466" s="2" t="s">
        <v>125</v>
      </c>
      <c r="C466" s="13" t="str">
        <f>HYPERLINK(AC2 &amp; "/bottle/sn_f1749b854dd0e788618a83203feeb40/rendering/00.xyz", "0.0")</f>
        <v>0.0</v>
      </c>
      <c r="D466" s="13" t="str">
        <f>HYPERLINK(AC2 &amp; "/bottle/sn_f1749b854dd0e788618a83203feeb40/rendering/01.xyz", "0.0")</f>
        <v>0.0</v>
      </c>
      <c r="E466" s="13" t="str">
        <f>HYPERLINK(AC2 &amp; "/bottle/sn_f1749b854dd0e788618a83203feeb40/rendering/02.xyz", "0.0")</f>
        <v>0.0</v>
      </c>
      <c r="F466" s="13" t="str">
        <f>HYPERLINK(AC2 &amp; "/bottle/sn_f1749b854dd0e788618a83203feeb40/rendering/03.xyz", "0.0")</f>
        <v>0.0</v>
      </c>
      <c r="G466" s="13" t="str">
        <f>HYPERLINK(AC2 &amp; "/bottle/sn_f1749b854dd0e788618a83203feeb40/rendering/04.xyz", "0.0")</f>
        <v>0.0</v>
      </c>
      <c r="H466" s="13" t="str">
        <f>HYPERLINK(AC2 &amp; "/bottle/sn_f1749b854dd0e788618a83203feeb40/rendering/05.xyz", "0.0")</f>
        <v>0.0</v>
      </c>
      <c r="I466" s="13" t="str">
        <f>HYPERLINK(AC2 &amp; "/bottle/sn_f1749b854dd0e788618a83203feeb40/rendering/06.xyz", "0.0")</f>
        <v>0.0</v>
      </c>
      <c r="J466" s="13" t="str">
        <f>HYPERLINK(AC2 &amp; "/bottle/sn_f1749b854dd0e788618a83203feeb40/rendering/07.xyz", "0.0")</f>
        <v>0.0</v>
      </c>
      <c r="K466" s="13" t="str">
        <f>HYPERLINK(AC2 &amp; "/bottle/sn_f1749b854dd0e788618a83203feeb40/rendering/08.xyz", "0.0")</f>
        <v>0.0</v>
      </c>
      <c r="L466" s="13" t="str">
        <f>HYPERLINK(AC2 &amp; "/bottle/sn_f1749b854dd0e788618a83203feeb40/rendering/09.xyz", "0.0")</f>
        <v>0.0</v>
      </c>
      <c r="M466" s="13" t="str">
        <f>HYPERLINK(AC2 &amp; "/bottle/sn_f1749b854dd0e788618a83203feeb40/rendering/10.xyz", "0.0")</f>
        <v>0.0</v>
      </c>
      <c r="N466" s="13" t="str">
        <f>HYPERLINK(AC2 &amp; "/bottle/sn_f1749b854dd0e788618a83203feeb40/rendering/11.xyz", "0.0")</f>
        <v>0.0</v>
      </c>
      <c r="O466" s="13" t="str">
        <f>HYPERLINK(AC2 &amp; "/bottle/sn_f1749b854dd0e788618a83203feeb40/rendering/12.xyz", "0.0")</f>
        <v>0.0</v>
      </c>
      <c r="P466" s="13" t="str">
        <f>HYPERLINK(AC2 &amp; "/bottle/sn_f1749b854dd0e788618a83203feeb40/rendering/13.xyz", "0.0")</f>
        <v>0.0</v>
      </c>
      <c r="Q466" s="13" t="str">
        <f>HYPERLINK(AC2 &amp; "/bottle/sn_f1749b854dd0e788618a83203feeb40/rendering/14.xyz", "0.0")</f>
        <v>0.0</v>
      </c>
      <c r="R466" s="13" t="str">
        <f>HYPERLINK(AC2 &amp; "/bottle/sn_f1749b854dd0e788618a83203feeb40/rendering/15.xyz", "0.0")</f>
        <v>0.0</v>
      </c>
      <c r="S466" s="13" t="str">
        <f>HYPERLINK(AC2 &amp; "/bottle/sn_f1749b854dd0e788618a83203feeb40/rendering/16.xyz", "0.0")</f>
        <v>0.0</v>
      </c>
      <c r="T466" s="13" t="str">
        <f>HYPERLINK(AC2 &amp; "/bottle/sn_f1749b854dd0e788618a83203feeb40/rendering/17.xyz", "0.0")</f>
        <v>0.0</v>
      </c>
      <c r="U466" s="13" t="str">
        <f>HYPERLINK(AC2 &amp; "/bottle/sn_f1749b854dd0e788618a83203feeb40/rendering/18.xyz", "0.0")</f>
        <v>0.0</v>
      </c>
      <c r="V466" s="13" t="str">
        <f>HYPERLINK(AC2 &amp; "/bottle/sn_f1749b854dd0e788618a83203feeb40/rendering/19.xyz", "0.0")</f>
        <v>0.0</v>
      </c>
      <c r="W466" s="12" t="s">
        <v>33</v>
      </c>
      <c r="X466" s="13">
        <v>0</v>
      </c>
      <c r="Y466" s="13">
        <v>0</v>
      </c>
      <c r="Z466" s="13">
        <v>0</v>
      </c>
    </row>
    <row r="467" spans="1:26" x14ac:dyDescent="0.2">
      <c r="A467" s="1">
        <v>465</v>
      </c>
      <c r="B467" s="2" t="s">
        <v>126</v>
      </c>
      <c r="C467" s="145" t="str">
        <f>HYPERLINK(AA2 &amp; "/bottle/sn_f1c0e107dc158727a8360f05ea0a1d2d/rendering/00.obj", "5.75380981445")</f>
        <v>5.75380981445</v>
      </c>
      <c r="D467" s="201" t="str">
        <f>HYPERLINK(AA2 &amp; "/bottle/sn_f1c0e107dc158727a8360f05ea0a1d2d/rendering/01.obj", "6.11096374512")</f>
        <v>6.11096374512</v>
      </c>
      <c r="E467" s="152" t="str">
        <f>HYPERLINK(AA2 &amp; "/bottle/sn_f1c0e107dc158727a8360f05ea0a1d2d/rendering/02.obj", "5.42523010254")</f>
        <v>5.42523010254</v>
      </c>
      <c r="F467" s="103" t="str">
        <f>HYPERLINK(AA2 &amp; "/bottle/sn_f1c0e107dc158727a8360f05ea0a1d2d/rendering/03.obj", "2.60643188477")</f>
        <v>2.60643188477</v>
      </c>
      <c r="G467" s="158" t="str">
        <f>HYPERLINK(AA2 &amp; "/bottle/sn_f1c0e107dc158727a8360f05ea0a1d2d/rendering/04.obj", "2.28508880615")</f>
        <v>2.28508880615</v>
      </c>
      <c r="H467" s="20" t="str">
        <f>HYPERLINK(AA2 &amp; "/bottle/sn_f1c0e107dc158727a8360f05ea0a1d2d/rendering/05.obj", "9.59071716309")</f>
        <v>9.59071716309</v>
      </c>
      <c r="I467" s="77" t="str">
        <f>HYPERLINK(AA2 &amp; "/bottle/sn_f1c0e107dc158727a8360f05ea0a1d2d/rendering/06.obj", "3.13653381348")</f>
        <v>3.13653381348</v>
      </c>
      <c r="J467" s="95" t="str">
        <f>HYPERLINK(AA2 &amp; "/bottle/sn_f1c0e107dc158727a8360f05ea0a1d2d/rendering/07.obj", "2.78066467285")</f>
        <v>2.78066467285</v>
      </c>
      <c r="K467" s="106" t="str">
        <f>HYPERLINK(AA2 &amp; "/bottle/sn_f1c0e107dc158727a8360f05ea0a1d2d/rendering/08.obj", "3.42477661133")</f>
        <v>3.42477661133</v>
      </c>
      <c r="L467" s="85" t="str">
        <f>HYPERLINK(AA2 &amp; "/bottle/sn_f1c0e107dc158727a8360f05ea0a1d2d/rendering/09.obj", "2.71945068359")</f>
        <v>2.71945068359</v>
      </c>
      <c r="M467" s="59" t="str">
        <f>HYPERLINK(AA2 &amp; "/bottle/sn_f1c0e107dc158727a8360f05ea0a1d2d/rendering/10.obj", "2.93982543945")</f>
        <v>2.93982543945</v>
      </c>
      <c r="N467" s="108" t="str">
        <f>HYPERLINK(AA2 &amp; "/bottle/sn_f1c0e107dc158727a8360f05ea0a1d2d/rendering/11.obj", "2.9065447998")</f>
        <v>2.9065447998</v>
      </c>
      <c r="O467" s="33" t="str">
        <f>HYPERLINK(AA2 &amp; "/bottle/sn_f1c0e107dc158727a8360f05ea0a1d2d/rendering/12.obj", "4.28434265137")</f>
        <v>4.28434265137</v>
      </c>
      <c r="P467" s="19" t="str">
        <f>HYPERLINK(AA2 &amp; "/bottle/sn_f1c0e107dc158727a8360f05ea0a1d2d/rendering/13.obj", "2.85514038086")</f>
        <v>2.85514038086</v>
      </c>
      <c r="Q467" s="60" t="str">
        <f>HYPERLINK(AA2 &amp; "/bottle/sn_f1c0e107dc158727a8360f05ea0a1d2d/rendering/14.obj", "4.063543396")</f>
        <v>4.063543396</v>
      </c>
      <c r="R467" s="64" t="str">
        <f>HYPERLINK(AA2 &amp; "/bottle/sn_f1c0e107dc158727a8360f05ea0a1d2d/rendering/15.obj", "3.22578460693")</f>
        <v>3.22578460693</v>
      </c>
      <c r="S467" s="120" t="str">
        <f>HYPERLINK(AA2 &amp; "/bottle/sn_f1c0e107dc158727a8360f05ea0a1d2d/rendering/16.obj", "3.04553192139")</f>
        <v>3.04553192139</v>
      </c>
      <c r="T467" s="8" t="str">
        <f>HYPERLINK(AA2 &amp; "/bottle/sn_f1c0e107dc158727a8360f05ea0a1d2d/rendering/17.obj", "3.31679595947")</f>
        <v>3.31679595947</v>
      </c>
      <c r="U467" s="55" t="str">
        <f>HYPERLINK(AA2 &amp; "/bottle/sn_f1c0e107dc158727a8360f05ea0a1d2d/rendering/18.obj", "4.60985931396")</f>
        <v>4.60985931396</v>
      </c>
      <c r="V467" s="163" t="str">
        <f>HYPERLINK(AA2 &amp; "/bottle/sn_f1c0e107dc158727a8360f05ea0a1d2d/rendering/19.obj", "2.16183059692")</f>
        <v>2.16183059692</v>
      </c>
      <c r="W467" s="12" t="s">
        <v>29</v>
      </c>
      <c r="X467" s="13">
        <v>3.8621433181762699</v>
      </c>
      <c r="Y467" s="13">
        <v>1.7170979638515409</v>
      </c>
      <c r="Z467" s="181">
        <v>0.44459716338604599</v>
      </c>
    </row>
    <row r="468" spans="1:26" x14ac:dyDescent="0.2">
      <c r="A468" s="1">
        <v>466</v>
      </c>
      <c r="B468" s="2" t="s">
        <v>126</v>
      </c>
      <c r="C468" s="122" t="str">
        <f>HYPERLINK(AA2 &amp; "/bottle/sn_f1c0e107dc158727a8360f05ea0a1d2d/rendering/00.obj", "8.04993343353")</f>
        <v>8.04993343353</v>
      </c>
      <c r="D468" s="241" t="str">
        <f>HYPERLINK(AA2 &amp; "/bottle/sn_f1c0e107dc158727a8360f05ea0a1d2d/rendering/01.obj", "9.41088008881")</f>
        <v>9.41088008881</v>
      </c>
      <c r="E468" s="142" t="str">
        <f>HYPERLINK(AA2 &amp; "/bottle/sn_f1c0e107dc158727a8360f05ea0a1d2d/rendering/02.obj", "7.99255037308")</f>
        <v>7.99255037308</v>
      </c>
      <c r="F468" s="140" t="str">
        <f>HYPERLINK(AA2 &amp; "/bottle/sn_f1c0e107dc158727a8360f05ea0a1d2d/rendering/03.obj", "3.75630545616")</f>
        <v>3.75630545616</v>
      </c>
      <c r="G468" s="124" t="str">
        <f>HYPERLINK(AA2 &amp; "/bottle/sn_f1c0e107dc158727a8360f05ea0a1d2d/rendering/04.obj", "3.54591107368")</f>
        <v>3.54591107368</v>
      </c>
      <c r="H468" s="20" t="str">
        <f>HYPERLINK(AA2 &amp; "/bottle/sn_f1c0e107dc158727a8360f05ea0a1d2d/rendering/05.obj", "16.5992298126")</f>
        <v>16.5992298126</v>
      </c>
      <c r="I468" s="76" t="str">
        <f>HYPERLINK(AA2 &amp; "/bottle/sn_f1c0e107dc158727a8360f05ea0a1d2d/rendering/06.obj", "4.67994689941")</f>
        <v>4.67994689941</v>
      </c>
      <c r="J468" s="168" t="str">
        <f>HYPERLINK(AA2 &amp; "/bottle/sn_f1c0e107dc158727a8360f05ea0a1d2d/rendering/07.obj", "3.88570332527")</f>
        <v>3.88570332527</v>
      </c>
      <c r="K468" s="38" t="str">
        <f>HYPERLINK(AA2 &amp; "/bottle/sn_f1c0e107dc158727a8360f05ea0a1d2d/rendering/08.obj", "5.21640968323")</f>
        <v>5.21640968323</v>
      </c>
      <c r="L468" s="187" t="str">
        <f>HYPERLINK(AA2 &amp; "/bottle/sn_f1c0e107dc158727a8360f05ea0a1d2d/rendering/09.obj", "3.72886109352")</f>
        <v>3.72886109352</v>
      </c>
      <c r="M468" s="170" t="str">
        <f>HYPERLINK(AA2 &amp; "/bottle/sn_f1c0e107dc158727a8360f05ea0a1d2d/rendering/10.obj", "4.28859949112")</f>
        <v>4.28859949112</v>
      </c>
      <c r="N468" s="99" t="str">
        <f>HYPERLINK(AA2 &amp; "/bottle/sn_f1c0e107dc158727a8360f05ea0a1d2d/rendering/11.obj", "4.17960262299")</f>
        <v>4.17960262299</v>
      </c>
      <c r="O468" s="47" t="str">
        <f>HYPERLINK(AA2 &amp; "/bottle/sn_f1c0e107dc158727a8360f05ea0a1d2d/rendering/12.obj", "5.7799038887")</f>
        <v>5.7799038887</v>
      </c>
      <c r="P468" s="185" t="str">
        <f>HYPERLINK(AA2 &amp; "/bottle/sn_f1c0e107dc158727a8360f05ea0a1d2d/rendering/13.obj", "3.78779983521")</f>
        <v>3.78779983521</v>
      </c>
      <c r="Q468" s="90" t="str">
        <f>HYPERLINK(AA2 &amp; "/bottle/sn_f1c0e107dc158727a8360f05ea0a1d2d/rendering/14.obj", "6.28643083572")</f>
        <v>6.28643083572</v>
      </c>
      <c r="R468" s="120" t="str">
        <f>HYPERLINK(AA2 &amp; "/bottle/sn_f1c0e107dc158727a8360f05ea0a1d2d/rendering/15.obj", "4.51694726944")</f>
        <v>4.51694726944</v>
      </c>
      <c r="S468" s="58" t="str">
        <f>HYPERLINK(AA2 &amp; "/bottle/sn_f1c0e107dc158727a8360f05ea0a1d2d/rendering/16.obj", "4.3417429924")</f>
        <v>4.3417429924</v>
      </c>
      <c r="T468" s="113" t="str">
        <f>HYPERLINK(AA2 &amp; "/bottle/sn_f1c0e107dc158727a8360f05ea0a1d2d/rendering/17.obj", "4.16514444351")</f>
        <v>4.16514444351</v>
      </c>
      <c r="U468" s="58" t="str">
        <f>HYPERLINK(AA2 &amp; "/bottle/sn_f1c0e107dc158727a8360f05ea0a1d2d/rendering/18.obj", "7.13438129425")</f>
        <v>7.13438129425</v>
      </c>
      <c r="V468" s="53" t="str">
        <f>HYPERLINK(AA2 &amp; "/bottle/sn_f1c0e107dc158727a8360f05ea0a1d2d/rendering/19.obj", "3.3768658638")</f>
        <v>3.3768658638</v>
      </c>
      <c r="W468" s="12" t="s">
        <v>30</v>
      </c>
      <c r="X468" s="13">
        <v>5.7361574888229372</v>
      </c>
      <c r="Y468" s="13">
        <v>3.0128911305828052</v>
      </c>
      <c r="Z468" s="174">
        <v>0.52524553875194457</v>
      </c>
    </row>
    <row r="469" spans="1:26" x14ac:dyDescent="0.2">
      <c r="A469" s="1">
        <v>467</v>
      </c>
      <c r="B469" s="2" t="s">
        <v>126</v>
      </c>
      <c r="C469" s="92" t="str">
        <f>HYPERLINK(AB2 &amp; "/bottle/sn_f1c0e107dc158727a8360f05ea0a1d2d/rendering/00.obj", "2.53047332764")</f>
        <v>2.53047332764</v>
      </c>
      <c r="D469" s="38" t="str">
        <f>HYPERLINK(AB2 &amp; "/bottle/sn_f1c0e107dc158727a8360f05ea0a1d2d/rendering/01.obj", "2.05169067383")</f>
        <v>2.05169067383</v>
      </c>
      <c r="E469" s="76" t="str">
        <f>HYPERLINK(AB2 &amp; "/bottle/sn_f1c0e107dc158727a8360f05ea0a1d2d/rendering/02.obj", "2.66582275391")</f>
        <v>2.66582275391</v>
      </c>
      <c r="F469" s="48" t="str">
        <f>HYPERLINK(AB2 &amp; "/bottle/sn_f1c0e107dc158727a8360f05ea0a1d2d/rendering/03.obj", "2.20083847046")</f>
        <v>2.20083847046</v>
      </c>
      <c r="G469" s="26" t="str">
        <f>HYPERLINK(AB2 &amp; "/bottle/sn_f1c0e107dc158727a8360f05ea0a1d2d/rendering/04.obj", "2.10455444336")</f>
        <v>2.10455444336</v>
      </c>
      <c r="H469" s="106" t="str">
        <f>HYPERLINK(AB2 &amp; "/bottle/sn_f1c0e107dc158727a8360f05ea0a1d2d/rendering/05.obj", "1.9973614502")</f>
        <v>1.9973614502</v>
      </c>
      <c r="I469" s="30" t="str">
        <f>HYPERLINK(AB2 &amp; "/bottle/sn_f1c0e107dc158727a8360f05ea0a1d2d/rendering/06.obj", "2.26373352051")</f>
        <v>2.26373352051</v>
      </c>
      <c r="J469" s="30" t="str">
        <f>HYPERLINK(AB2 &amp; "/bottle/sn_f1c0e107dc158727a8360f05ea0a1d2d/rendering/07.obj", "2.26456604004")</f>
        <v>2.26456604004</v>
      </c>
      <c r="K469" s="68" t="str">
        <f>HYPERLINK(AB2 &amp; "/bottle/sn_f1c0e107dc158727a8360f05ea0a1d2d/rendering/08.obj", "2.15874572754")</f>
        <v>2.15874572754</v>
      </c>
      <c r="L469" s="94" t="str">
        <f>HYPERLINK(AB2 &amp; "/bottle/sn_f1c0e107dc158727a8360f05ea0a1d2d/rendering/09.obj", "2.08601531982")</f>
        <v>2.08601531982</v>
      </c>
      <c r="M469" s="65" t="str">
        <f>HYPERLINK(AB2 &amp; "/bottle/sn_f1c0e107dc158727a8360f05ea0a1d2d/rendering/10.obj", "2.55545471191")</f>
        <v>2.55545471191</v>
      </c>
      <c r="N469" s="136" t="str">
        <f>HYPERLINK(AB2 &amp; "/bottle/sn_f1c0e107dc158727a8360f05ea0a1d2d/rendering/11.obj", "2.78642272949")</f>
        <v>2.78642272949</v>
      </c>
      <c r="O469" s="27" t="str">
        <f>HYPERLINK(AB2 &amp; "/bottle/sn_f1c0e107dc158727a8360f05ea0a1d2d/rendering/12.obj", "2.09694854736")</f>
        <v>2.09694854736</v>
      </c>
      <c r="P469" s="74" t="str">
        <f>HYPERLINK(AB2 &amp; "/bottle/sn_f1c0e107dc158727a8360f05ea0a1d2d/rendering/13.obj", "2.21836791992")</f>
        <v>2.21836791992</v>
      </c>
      <c r="Q469" s="106" t="str">
        <f>HYPERLINK(AB2 &amp; "/bottle/sn_f1c0e107dc158727a8360f05ea0a1d2d/rendering/14.obj", "1.9959588623")</f>
        <v>1.9959588623</v>
      </c>
      <c r="R469" s="94" t="str">
        <f>HYPERLINK(AB2 &amp; "/bottle/sn_f1c0e107dc158727a8360f05ea0a1d2d/rendering/15.obj", "2.08895553589")</f>
        <v>2.08895553589</v>
      </c>
      <c r="S469" s="70" t="str">
        <f>HYPERLINK(AB2 &amp; "/bottle/sn_f1c0e107dc158727a8360f05ea0a1d2d/rendering/16.obj", "2.53636474609")</f>
        <v>2.53636474609</v>
      </c>
      <c r="T469" s="32" t="str">
        <f>HYPERLINK(AB2 &amp; "/bottle/sn_f1c0e107dc158727a8360f05ea0a1d2d/rendering/17.obj", "2.01914855957")</f>
        <v>2.01914855957</v>
      </c>
      <c r="U469" s="23" t="str">
        <f>HYPERLINK(AB2 &amp; "/bottle/sn_f1c0e107dc158727a8360f05ea0a1d2d/rendering/18.obj", "2.16525680542")</f>
        <v>2.16525680542</v>
      </c>
      <c r="V469" s="30" t="str">
        <f>HYPERLINK(AB2 &amp; "/bottle/sn_f1c0e107dc158727a8360f05ea0a1d2d/rendering/19.obj", "2.26202301025")</f>
        <v>2.26202301025</v>
      </c>
      <c r="W469" s="12" t="s">
        <v>31</v>
      </c>
      <c r="X469" s="13">
        <v>2.2524351577758792</v>
      </c>
      <c r="Y469" s="13">
        <v>0.22938734012954459</v>
      </c>
      <c r="Z469" s="133">
        <v>0.101839708609436</v>
      </c>
    </row>
    <row r="470" spans="1:26" x14ac:dyDescent="0.2">
      <c r="A470" s="1">
        <v>468</v>
      </c>
      <c r="B470" s="2" t="s">
        <v>126</v>
      </c>
      <c r="C470" s="64" t="str">
        <f>HYPERLINK(AB2 &amp; "/bottle/sn_f1c0e107dc158727a8360f05ea0a1d2d/rendering/00.obj", "3.72428321838")</f>
        <v>3.72428321838</v>
      </c>
      <c r="D470" s="42" t="str">
        <f>HYPERLINK(AB2 &amp; "/bottle/sn_f1c0e107dc158727a8360f05ea0a1d2d/rendering/01.obj", "2.76063847542")</f>
        <v>2.76063847542</v>
      </c>
      <c r="E470" s="26" t="str">
        <f>HYPERLINK(AB2 &amp; "/bottle/sn_f1c0e107dc158727a8360f05ea0a1d2d/rendering/02.obj", "3.40132474899")</f>
        <v>3.40132474899</v>
      </c>
      <c r="F470" s="13" t="str">
        <f>HYPERLINK(AB2 &amp; "/bottle/sn_f1c0e107dc158727a8360f05ea0a1d2d/rendering/03.obj", "3.20142269135")</f>
        <v>3.20142269135</v>
      </c>
      <c r="G470" s="32" t="str">
        <f>HYPERLINK(AB2 &amp; "/bottle/sn_f1c0e107dc158727a8360f05ea0a1d2d/rendering/04.obj", "2.8640024662")</f>
        <v>2.8640024662</v>
      </c>
      <c r="H470" s="8" t="str">
        <f>HYPERLINK(AB2 &amp; "/bottle/sn_f1c0e107dc158727a8360f05ea0a1d2d/rendering/05.obj", "2.74474000931")</f>
        <v>2.74474000931</v>
      </c>
      <c r="I470" s="60" t="str">
        <f>HYPERLINK(AB2 &amp; "/bottle/sn_f1c0e107dc158727a8360f05ea0a1d2d/rendering/06.obj", "3.02883172035")</f>
        <v>3.02883172035</v>
      </c>
      <c r="J470" s="78" t="str">
        <f>HYPERLINK(AB2 &amp; "/bottle/sn_f1c0e107dc158727a8360f05ea0a1d2d/rendering/07.obj", "3.39908003807")</f>
        <v>3.39908003807</v>
      </c>
      <c r="K470" s="13" t="str">
        <f>HYPERLINK(AB2 &amp; "/bottle/sn_f1c0e107dc158727a8360f05ea0a1d2d/rendering/08.obj", "3.2034368515")</f>
        <v>3.2034368515</v>
      </c>
      <c r="L470" s="51" t="str">
        <f>HYPERLINK(AB2 &amp; "/bottle/sn_f1c0e107dc158727a8360f05ea0a1d2d/rendering/09.obj", "2.94804263115")</f>
        <v>2.94804263115</v>
      </c>
      <c r="M470" s="80" t="str">
        <f>HYPERLINK(AB2 &amp; "/bottle/sn_f1c0e107dc158727a8360f05ea0a1d2d/rendering/10.obj", "3.67846083641")</f>
        <v>3.67846083641</v>
      </c>
      <c r="N470" s="66" t="str">
        <f>HYPERLINK(AB2 &amp; "/bottle/sn_f1c0e107dc158727a8360f05ea0a1d2d/rendering/11.obj", "3.71300649643")</f>
        <v>3.71300649643</v>
      </c>
      <c r="O470" s="30" t="str">
        <f>HYPERLINK(AB2 &amp; "/bottle/sn_f1c0e107dc158727a8360f05ea0a1d2d/rendering/12.obj", "3.18808221817")</f>
        <v>3.18808221817</v>
      </c>
      <c r="P470" s="34" t="str">
        <f>HYPERLINK(AB2 &amp; "/bottle/sn_f1c0e107dc158727a8360f05ea0a1d2d/rendering/13.obj", "3.35160303116")</f>
        <v>3.35160303116</v>
      </c>
      <c r="Q470" s="65" t="str">
        <f>HYPERLINK(AB2 &amp; "/bottle/sn_f1c0e107dc158727a8360f05ea0a1d2d/rendering/14.obj", "2.77225041389")</f>
        <v>2.77225041389</v>
      </c>
      <c r="R470" s="33" t="str">
        <f>HYPERLINK(AB2 &amp; "/bottle/sn_f1c0e107dc158727a8360f05ea0a1d2d/rendering/15.obj", "2.85306620598")</f>
        <v>2.85306620598</v>
      </c>
      <c r="S470" s="93" t="str">
        <f>HYPERLINK(AB2 &amp; "/bottle/sn_f1c0e107dc158727a8360f05ea0a1d2d/rendering/16.obj", "3.64725661278")</f>
        <v>3.64725661278</v>
      </c>
      <c r="T470" s="67" t="str">
        <f>HYPERLINK(AB2 &amp; "/bottle/sn_f1c0e107dc158727a8360f05ea0a1d2d/rendering/17.obj", "2.90236139297")</f>
        <v>2.90236139297</v>
      </c>
      <c r="U470" s="60" t="str">
        <f>HYPERLINK(AB2 &amp; "/bottle/sn_f1c0e107dc158727a8360f05ea0a1d2d/rendering/18.obj", "3.36032891273")</f>
        <v>3.36032891273</v>
      </c>
      <c r="V470" s="74" t="str">
        <f>HYPERLINK(AB2 &amp; "/bottle/sn_f1c0e107dc158727a8360f05ea0a1d2d/rendering/19.obj", "3.24450778961")</f>
        <v>3.24450778961</v>
      </c>
      <c r="W470" s="12" t="s">
        <v>32</v>
      </c>
      <c r="X470" s="13">
        <v>3.1993363380432132</v>
      </c>
      <c r="Y470" s="13">
        <v>0.32371981098603869</v>
      </c>
      <c r="Z470" s="133">
        <v>0.1011834258051259</v>
      </c>
    </row>
    <row r="471" spans="1:26" x14ac:dyDescent="0.2">
      <c r="A471" s="1">
        <v>469</v>
      </c>
      <c r="B471" s="2" t="s">
        <v>126</v>
      </c>
      <c r="C471" s="13" t="str">
        <f>HYPERLINK(AC2 &amp; "/bottle/sn_f1c0e107dc158727a8360f05ea0a1d2d/rendering/00.xyz", "0.0")</f>
        <v>0.0</v>
      </c>
      <c r="D471" s="13" t="str">
        <f>HYPERLINK(AC2 &amp; "/bottle/sn_f1c0e107dc158727a8360f05ea0a1d2d/rendering/01.xyz", "0.0")</f>
        <v>0.0</v>
      </c>
      <c r="E471" s="13" t="str">
        <f>HYPERLINK(AC2 &amp; "/bottle/sn_f1c0e107dc158727a8360f05ea0a1d2d/rendering/02.xyz", "0.0")</f>
        <v>0.0</v>
      </c>
      <c r="F471" s="13" t="str">
        <f>HYPERLINK(AC2 &amp; "/bottle/sn_f1c0e107dc158727a8360f05ea0a1d2d/rendering/03.xyz", "0.0")</f>
        <v>0.0</v>
      </c>
      <c r="G471" s="13" t="str">
        <f>HYPERLINK(AC2 &amp; "/bottle/sn_f1c0e107dc158727a8360f05ea0a1d2d/rendering/04.xyz", "0.0")</f>
        <v>0.0</v>
      </c>
      <c r="H471" s="13" t="str">
        <f>HYPERLINK(AC2 &amp; "/bottle/sn_f1c0e107dc158727a8360f05ea0a1d2d/rendering/05.xyz", "0.0")</f>
        <v>0.0</v>
      </c>
      <c r="I471" s="13" t="str">
        <f>HYPERLINK(AC2 &amp; "/bottle/sn_f1c0e107dc158727a8360f05ea0a1d2d/rendering/06.xyz", "0.0")</f>
        <v>0.0</v>
      </c>
      <c r="J471" s="13" t="str">
        <f>HYPERLINK(AC2 &amp; "/bottle/sn_f1c0e107dc158727a8360f05ea0a1d2d/rendering/07.xyz", "0.0")</f>
        <v>0.0</v>
      </c>
      <c r="K471" s="13" t="str">
        <f>HYPERLINK(AC2 &amp; "/bottle/sn_f1c0e107dc158727a8360f05ea0a1d2d/rendering/08.xyz", "0.0")</f>
        <v>0.0</v>
      </c>
      <c r="L471" s="13" t="str">
        <f>HYPERLINK(AC2 &amp; "/bottle/sn_f1c0e107dc158727a8360f05ea0a1d2d/rendering/09.xyz", "0.0")</f>
        <v>0.0</v>
      </c>
      <c r="M471" s="13" t="str">
        <f>HYPERLINK(AC2 &amp; "/bottle/sn_f1c0e107dc158727a8360f05ea0a1d2d/rendering/10.xyz", "0.0")</f>
        <v>0.0</v>
      </c>
      <c r="N471" s="13" t="str">
        <f>HYPERLINK(AC2 &amp; "/bottle/sn_f1c0e107dc158727a8360f05ea0a1d2d/rendering/11.xyz", "0.0")</f>
        <v>0.0</v>
      </c>
      <c r="O471" s="13" t="str">
        <f>HYPERLINK(AC2 &amp; "/bottle/sn_f1c0e107dc158727a8360f05ea0a1d2d/rendering/12.xyz", "0.0")</f>
        <v>0.0</v>
      </c>
      <c r="P471" s="13" t="str">
        <f>HYPERLINK(AC2 &amp; "/bottle/sn_f1c0e107dc158727a8360f05ea0a1d2d/rendering/13.xyz", "0.0")</f>
        <v>0.0</v>
      </c>
      <c r="Q471" s="13" t="str">
        <f>HYPERLINK(AC2 &amp; "/bottle/sn_f1c0e107dc158727a8360f05ea0a1d2d/rendering/14.xyz", "0.0")</f>
        <v>0.0</v>
      </c>
      <c r="R471" s="13" t="str">
        <f>HYPERLINK(AC2 &amp; "/bottle/sn_f1c0e107dc158727a8360f05ea0a1d2d/rendering/15.xyz", "0.0")</f>
        <v>0.0</v>
      </c>
      <c r="S471" s="13" t="str">
        <f>HYPERLINK(AC2 &amp; "/bottle/sn_f1c0e107dc158727a8360f05ea0a1d2d/rendering/16.xyz", "0.0")</f>
        <v>0.0</v>
      </c>
      <c r="T471" s="13" t="str">
        <f>HYPERLINK(AC2 &amp; "/bottle/sn_f1c0e107dc158727a8360f05ea0a1d2d/rendering/17.xyz", "0.0")</f>
        <v>0.0</v>
      </c>
      <c r="U471" s="13" t="str">
        <f>HYPERLINK(AC2 &amp; "/bottle/sn_f1c0e107dc158727a8360f05ea0a1d2d/rendering/18.xyz", "0.0")</f>
        <v>0.0</v>
      </c>
      <c r="V471" s="13" t="str">
        <f>HYPERLINK(AC2 &amp; "/bottle/sn_f1c0e107dc158727a8360f05ea0a1d2d/rendering/19.xyz", "0.0")</f>
        <v>0.0</v>
      </c>
      <c r="W471" s="12" t="s">
        <v>33</v>
      </c>
      <c r="X471" s="13">
        <v>0</v>
      </c>
      <c r="Y471" s="13">
        <v>0</v>
      </c>
      <c r="Z471" s="13">
        <v>0</v>
      </c>
    </row>
    <row r="472" spans="1:26" x14ac:dyDescent="0.2">
      <c r="A472" s="1">
        <v>470</v>
      </c>
      <c r="B472" s="2" t="s">
        <v>127</v>
      </c>
      <c r="C472" s="40" t="str">
        <f>HYPERLINK(AA2 &amp; "/bottle/sn_f35f3a1ce31850e8b9ca8a85614dd727/rendering/00.obj", "2.37915328979")</f>
        <v>2.37915328979</v>
      </c>
      <c r="D472" s="74" t="str">
        <f>HYPERLINK(AA2 &amp; "/bottle/sn_f35f3a1ce31850e8b9ca8a85614dd727/rendering/01.obj", "2.00186676025")</f>
        <v>2.00186676025</v>
      </c>
      <c r="E472" s="34" t="str">
        <f>HYPERLINK(AA2 &amp; "/bottle/sn_f35f3a1ce31850e8b9ca8a85614dd727/rendering/02.obj", "1.9362298584")</f>
        <v>1.9362298584</v>
      </c>
      <c r="F472" s="51" t="str">
        <f>HYPERLINK(AA2 &amp; "/bottle/sn_f35f3a1ce31850e8b9ca8a85614dd727/rendering/03.obj", "1.87249404907")</f>
        <v>1.87249404907</v>
      </c>
      <c r="G472" s="35" t="str">
        <f>HYPERLINK(AA2 &amp; "/bottle/sn_f35f3a1ce31850e8b9ca8a85614dd727/rendering/04.obj", "1.91413208008")</f>
        <v>1.91413208008</v>
      </c>
      <c r="H472" s="10" t="str">
        <f>HYPERLINK(AA2 &amp; "/bottle/sn_f35f3a1ce31850e8b9ca8a85614dd727/rendering/05.obj", "1.92256347656")</f>
        <v>1.92256347656</v>
      </c>
      <c r="I472" s="26" t="str">
        <f>HYPERLINK(AA2 &amp; "/bottle/sn_f35f3a1ce31850e8b9ca8a85614dd727/rendering/06.obj", "1.90057556152")</f>
        <v>1.90057556152</v>
      </c>
      <c r="J472" s="34" t="str">
        <f>HYPERLINK(AA2 &amp; "/bottle/sn_f35f3a1ce31850e8b9ca8a85614dd727/rendering/07.obj", "2.13449188232")</f>
        <v>2.13449188232</v>
      </c>
      <c r="K472" s="10" t="str">
        <f>HYPERLINK(AA2 &amp; "/bottle/sn_f35f3a1ce31850e8b9ca8a85614dd727/rendering/08.obj", "1.91929260254")</f>
        <v>1.91929260254</v>
      </c>
      <c r="L472" s="41" t="str">
        <f>HYPERLINK(AA2 &amp; "/bottle/sn_f35f3a1ce31850e8b9ca8a85614dd727/rendering/09.obj", "2.1688269043")</f>
        <v>2.1688269043</v>
      </c>
      <c r="M472" s="67" t="str">
        <f>HYPERLINK(AA2 &amp; "/bottle/sn_f35f3a1ce31850e8b9ca8a85614dd727/rendering/10.obj", "1.84268676758")</f>
        <v>1.84268676758</v>
      </c>
      <c r="N472" s="47" t="str">
        <f>HYPERLINK(AA2 &amp; "/bottle/sn_f35f3a1ce31850e8b9ca8a85614dd727/rendering/11.obj", "2.01705734253")</f>
        <v>2.01705734253</v>
      </c>
      <c r="O472" s="59" t="str">
        <f>HYPERLINK(AA2 &amp; "/bottle/sn_f35f3a1ce31850e8b9ca8a85614dd727/rendering/12.obj", "2.52433410645")</f>
        <v>2.52433410645</v>
      </c>
      <c r="P472" s="13" t="str">
        <f>HYPERLINK(AA2 &amp; "/bottle/sn_f35f3a1ce31850e8b9ca8a85614dd727/rendering/13.obj", "2.03723480225")</f>
        <v>2.03723480225</v>
      </c>
      <c r="Q472" s="73" t="str">
        <f>HYPERLINK(AA2 &amp; "/bottle/sn_f35f3a1ce31850e8b9ca8a85614dd727/rendering/14.obj", "2.10580871582")</f>
        <v>2.10580871582</v>
      </c>
      <c r="R472" s="73" t="str">
        <f>HYPERLINK(AA2 &amp; "/bottle/sn_f35f3a1ce31850e8b9ca8a85614dd727/rendering/15.obj", "1.96266403198")</f>
        <v>1.96266403198</v>
      </c>
      <c r="S472" s="47" t="str">
        <f>HYPERLINK(AA2 &amp; "/bottle/sn_f35f3a1ce31850e8b9ca8a85614dd727/rendering/16.obj", "2.05103622437")</f>
        <v>2.05103622437</v>
      </c>
      <c r="T472" s="26" t="str">
        <f>HYPERLINK(AA2 &amp; "/bottle/sn_f35f3a1ce31850e8b9ca8a85614dd727/rendering/17.obj", "1.90343978882")</f>
        <v>1.90343978882</v>
      </c>
      <c r="U472" s="17" t="str">
        <f>HYPERLINK(AA2 &amp; "/bottle/sn_f35f3a1ce31850e8b9ca8a85614dd727/rendering/18.obj", "2.07333099365")</f>
        <v>2.07333099365</v>
      </c>
      <c r="V472" s="46" t="str">
        <f>HYPERLINK(AA2 &amp; "/bottle/sn_f35f3a1ce31850e8b9ca8a85614dd727/rendering/19.obj", "2.00065673828")</f>
        <v>2.00065673828</v>
      </c>
      <c r="W472" s="12" t="s">
        <v>29</v>
      </c>
      <c r="X472" s="13">
        <v>2.0333937988281252</v>
      </c>
      <c r="Y472" s="13">
        <v>0.16573900858608809</v>
      </c>
      <c r="Z472" s="51">
        <v>8.1508563998575201E-2</v>
      </c>
    </row>
    <row r="473" spans="1:26" x14ac:dyDescent="0.2">
      <c r="A473" s="1">
        <v>471</v>
      </c>
      <c r="B473" s="2" t="s">
        <v>127</v>
      </c>
      <c r="C473" s="87" t="str">
        <f>HYPERLINK(AA2 &amp; "/bottle/sn_f35f3a1ce31850e8b9ca8a85614dd727/rendering/00.obj", "2.20902228355")</f>
        <v>2.20902228355</v>
      </c>
      <c r="D473" s="60" t="str">
        <f>HYPERLINK(AA2 &amp; "/bottle/sn_f35f3a1ce31850e8b9ca8a85614dd727/rendering/01.obj", "1.70455420017")</f>
        <v>1.70455420017</v>
      </c>
      <c r="E473" s="30" t="str">
        <f>HYPERLINK(AA2 &amp; "/bottle/sn_f35f3a1ce31850e8b9ca8a85614dd727/rendering/02.obj", "1.78979575634")</f>
        <v>1.78979575634</v>
      </c>
      <c r="F473" s="67" t="str">
        <f>HYPERLINK(AA2 &amp; "/bottle/sn_f35f3a1ce31850e8b9ca8a85614dd727/rendering/03.obj", "1.63366234303")</f>
        <v>1.63366234303</v>
      </c>
      <c r="G473" s="26" t="str">
        <f>HYPERLINK(AA2 &amp; "/bottle/sn_f35f3a1ce31850e8b9ca8a85614dd727/rendering/04.obj", "1.68234801292")</f>
        <v>1.68234801292</v>
      </c>
      <c r="H473" s="23" t="str">
        <f>HYPERLINK(AA2 &amp; "/bottle/sn_f35f3a1ce31850e8b9ca8a85614dd727/rendering/05.obj", "1.73026132584")</f>
        <v>1.73026132584</v>
      </c>
      <c r="I473" s="78" t="str">
        <f>HYPERLINK(AA2 &amp; "/bottle/sn_f35f3a1ce31850e8b9ca8a85614dd727/rendering/06.obj", "1.68939495087")</f>
        <v>1.68939495087</v>
      </c>
      <c r="J473" s="78" t="str">
        <f>HYPERLINK(AA2 &amp; "/bottle/sn_f35f3a1ce31850e8b9ca8a85614dd727/rendering/07.obj", "1.90548360348")</f>
        <v>1.90548360348</v>
      </c>
      <c r="K473" s="67" t="str">
        <f>HYPERLINK(AA2 &amp; "/bottle/sn_f35f3a1ce31850e8b9ca8a85614dd727/rendering/08.obj", "1.63309121132")</f>
        <v>1.63309121132</v>
      </c>
      <c r="L473" s="64" t="str">
        <f>HYPERLINK(AA2 &amp; "/bottle/sn_f35f3a1ce31850e8b9ca8a85614dd727/rendering/09.obj", "2.09381604195")</f>
        <v>2.09381604195</v>
      </c>
      <c r="M473" s="5" t="str">
        <f>HYPERLINK(AA2 &amp; "/bottle/sn_f35f3a1ce31850e8b9ca8a85614dd727/rendering/10.obj", "1.65876603127")</f>
        <v>1.65876603127</v>
      </c>
      <c r="N473" s="17" t="str">
        <f>HYPERLINK(AA2 &amp; "/bottle/sn_f35f3a1ce31850e8b9ca8a85614dd727/rendering/11.obj", "1.83740115166")</f>
        <v>1.83740115166</v>
      </c>
      <c r="O473" s="108" t="str">
        <f>HYPERLINK(AA2 &amp; "/bottle/sn_f35f3a1ce31850e8b9ca8a85614dd727/rendering/12.obj", "2.24068164825")</f>
        <v>2.24068164825</v>
      </c>
      <c r="P473" s="35" t="str">
        <f>HYPERLINK(AA2 &amp; "/bottle/sn_f35f3a1ce31850e8b9ca8a85614dd727/rendering/13.obj", "1.6956332922")</f>
        <v>1.6956332922</v>
      </c>
      <c r="Q473" s="17" t="str">
        <f>HYPERLINK(AA2 &amp; "/bottle/sn_f35f3a1ce31850e8b9ca8a85614dd727/rendering/14.obj", "1.83481824398")</f>
        <v>1.83481824398</v>
      </c>
      <c r="R473" s="48" t="str">
        <f>HYPERLINK(AA2 &amp; "/bottle/sn_f35f3a1ce31850e8b9ca8a85614dd727/rendering/15.obj", "1.75791835785")</f>
        <v>1.75791835785</v>
      </c>
      <c r="S473" s="73" t="str">
        <f>HYPERLINK(AA2 &amp; "/bottle/sn_f35f3a1ce31850e8b9ca8a85614dd727/rendering/16.obj", "1.864833951")</f>
        <v>1.864833951</v>
      </c>
      <c r="T473" s="110" t="str">
        <f>HYPERLINK(AA2 &amp; "/bottle/sn_f35f3a1ce31850e8b9ca8a85614dd727/rendering/17.obj", "1.62339043617")</f>
        <v>1.62339043617</v>
      </c>
      <c r="U473" s="68" t="str">
        <f>HYPERLINK(AA2 &amp; "/bottle/sn_f35f3a1ce31850e8b9ca8a85614dd727/rendering/18.obj", "1.72310483456")</f>
        <v>1.72310483456</v>
      </c>
      <c r="V473" s="5" t="str">
        <f>HYPERLINK(AA2 &amp; "/bottle/sn_f35f3a1ce31850e8b9ca8a85614dd727/rendering/19.obj", "1.65779292583")</f>
        <v>1.65779292583</v>
      </c>
      <c r="W473" s="12" t="s">
        <v>30</v>
      </c>
      <c r="X473" s="13">
        <v>1.798288530111313</v>
      </c>
      <c r="Y473" s="13">
        <v>0.1804614802392315</v>
      </c>
      <c r="Z473" s="110">
        <v>0.1003517940628032</v>
      </c>
    </row>
    <row r="474" spans="1:26" x14ac:dyDescent="0.2">
      <c r="A474" s="1">
        <v>472</v>
      </c>
      <c r="B474" s="2" t="s">
        <v>127</v>
      </c>
      <c r="C474" s="48" t="str">
        <f>HYPERLINK(AB2 &amp; "/bottle/sn_f35f3a1ce31850e8b9ca8a85614dd727/rendering/00.obj", "2.68077789307")</f>
        <v>2.68077789307</v>
      </c>
      <c r="D474" s="13" t="str">
        <f>HYPERLINK(AB2 &amp; "/bottle/sn_f35f3a1ce31850e8b9ca8a85614dd727/rendering/01.obj", "2.7367590332")</f>
        <v>2.7367590332</v>
      </c>
      <c r="E474" s="46" t="str">
        <f>HYPERLINK(AB2 &amp; "/bottle/sn_f35f3a1ce31850e8b9ca8a85614dd727/rendering/02.obj", "2.69658691406")</f>
        <v>2.69658691406</v>
      </c>
      <c r="F474" s="17" t="str">
        <f>HYPERLINK(AB2 &amp; "/bottle/sn_f35f3a1ce31850e8b9ca8a85614dd727/rendering/03.obj", "2.68910400391")</f>
        <v>2.68910400391</v>
      </c>
      <c r="G474" s="17" t="str">
        <f>HYPERLINK(AB2 &amp; "/bottle/sn_f35f3a1ce31850e8b9ca8a85614dd727/rendering/04.obj", "2.68866821289")</f>
        <v>2.68866821289</v>
      </c>
      <c r="H474" s="47" t="str">
        <f>HYPERLINK(AB2 &amp; "/bottle/sn_f35f3a1ce31850e8b9ca8a85614dd727/rendering/05.obj", "2.72186767578")</f>
        <v>2.72186767578</v>
      </c>
      <c r="I474" s="30" t="str">
        <f>HYPERLINK(AB2 &amp; "/bottle/sn_f35f3a1ce31850e8b9ca8a85614dd727/rendering/06.obj", "2.73018676758")</f>
        <v>2.73018676758</v>
      </c>
      <c r="J474" s="47" t="str">
        <f>HYPERLINK(AB2 &amp; "/bottle/sn_f35f3a1ce31850e8b9ca8a85614dd727/rendering/07.obj", "2.71968231201")</f>
        <v>2.71968231201</v>
      </c>
      <c r="K474" s="73" t="str">
        <f>HYPERLINK(AB2 &amp; "/bottle/sn_f35f3a1ce31850e8b9ca8a85614dd727/rendering/08.obj", "2.84033996582")</f>
        <v>2.84033996582</v>
      </c>
      <c r="L474" s="74" t="str">
        <f>HYPERLINK(AB2 &amp; "/bottle/sn_f35f3a1ce31850e8b9ca8a85614dd727/rendering/09.obj", "2.77871643066")</f>
        <v>2.77871643066</v>
      </c>
      <c r="M474" s="48" t="str">
        <f>HYPERLINK(AB2 &amp; "/bottle/sn_f35f3a1ce31850e8b9ca8a85614dd727/rendering/10.obj", "2.80909301758")</f>
        <v>2.80909301758</v>
      </c>
      <c r="N474" s="25" t="str">
        <f>HYPERLINK(AB2 &amp; "/bottle/sn_f35f3a1ce31850e8b9ca8a85614dd727/rendering/11.obj", "2.77582000732")</f>
        <v>2.77582000732</v>
      </c>
      <c r="O474" s="91" t="str">
        <f>HYPERLINK(AB2 &amp; "/bottle/sn_f35f3a1ce31850e8b9ca8a85614dd727/rendering/12.obj", "2.67057067871")</f>
        <v>2.67057067871</v>
      </c>
      <c r="P474" s="72" t="str">
        <f>HYPERLINK(AB2 &amp; "/bottle/sn_f35f3a1ce31850e8b9ca8a85614dd727/rendering/13.obj", "2.8340625")</f>
        <v>2.8340625</v>
      </c>
      <c r="Q474" s="23" t="str">
        <f>HYPERLINK(AB2 &amp; "/bottle/sn_f35f3a1ce31850e8b9ca8a85614dd727/rendering/14.obj", "2.63689575195")</f>
        <v>2.63689575195</v>
      </c>
      <c r="R474" s="73" t="str">
        <f>HYPERLINK(AB2 &amp; "/bottle/sn_f35f3a1ce31850e8b9ca8a85614dd727/rendering/15.obj", "2.64005249023")</f>
        <v>2.64005249023</v>
      </c>
      <c r="S474" s="5" t="str">
        <f>HYPERLINK(AB2 &amp; "/bottle/sn_f35f3a1ce31850e8b9ca8a85614dd727/rendering/16.obj", "2.95722320557")</f>
        <v>2.95722320557</v>
      </c>
      <c r="T474" s="69" t="str">
        <f>HYPERLINK(AB2 &amp; "/bottle/sn_f35f3a1ce31850e8b9ca8a85614dd727/rendering/17.obj", "2.65949523926")</f>
        <v>2.65949523926</v>
      </c>
      <c r="U474" s="30" t="str">
        <f>HYPERLINK(AB2 &amp; "/bottle/sn_f35f3a1ce31850e8b9ca8a85614dd727/rendering/18.obj", "2.75500427246")</f>
        <v>2.75500427246</v>
      </c>
      <c r="V474" s="69" t="str">
        <f>HYPERLINK(AB2 &amp; "/bottle/sn_f35f3a1ce31850e8b9ca8a85614dd727/rendering/19.obj", "2.82306243896")</f>
        <v>2.82306243896</v>
      </c>
      <c r="W474" s="12" t="s">
        <v>31</v>
      </c>
      <c r="X474" s="13">
        <v>2.7421984405517579</v>
      </c>
      <c r="Y474" s="13">
        <v>7.8763137777608697E-2</v>
      </c>
      <c r="Z474" s="69">
        <v>2.8722625107233581E-2</v>
      </c>
    </row>
    <row r="475" spans="1:26" x14ac:dyDescent="0.2">
      <c r="A475" s="1">
        <v>473</v>
      </c>
      <c r="B475" s="2" t="s">
        <v>127</v>
      </c>
      <c r="C475" s="90" t="str">
        <f>HYPERLINK(AB2 &amp; "/bottle/sn_f35f3a1ce31850e8b9ca8a85614dd727/rendering/00.obj", "1.81531298161")</f>
        <v>1.81531298161</v>
      </c>
      <c r="D475" s="74" t="str">
        <f>HYPERLINK(AB2 &amp; "/bottle/sn_f35f3a1ce31850e8b9ca8a85614dd727/rendering/01.obj", "1.97475576401")</f>
        <v>1.97475576401</v>
      </c>
      <c r="E475" s="78" t="str">
        <f>HYPERLINK(AB2 &amp; "/bottle/sn_f35f3a1ce31850e8b9ca8a85614dd727/rendering/02.obj", "1.87837731838")</f>
        <v>1.87837731838</v>
      </c>
      <c r="F475" s="72" t="str">
        <f>HYPERLINK(AB2 &amp; "/bottle/sn_f35f3a1ce31850e8b9ca8a85614dd727/rendering/03.obj", "1.93745017052")</f>
        <v>1.93745017052</v>
      </c>
      <c r="G475" s="47" t="str">
        <f>HYPERLINK(AB2 &amp; "/bottle/sn_f35f3a1ce31850e8b9ca8a85614dd727/rendering/04.obj", "2.01727843285")</f>
        <v>2.01727843285</v>
      </c>
      <c r="H475" s="91" t="str">
        <f>HYPERLINK(AB2 &amp; "/bottle/sn_f35f3a1ce31850e8b9ca8a85614dd727/rendering/05.obj", "1.95207929611")</f>
        <v>1.95207929611</v>
      </c>
      <c r="I475" s="46" t="str">
        <f>HYPERLINK(AB2 &amp; "/bottle/sn_f35f3a1ce31850e8b9ca8a85614dd727/rendering/06.obj", "1.96899282932")</f>
        <v>1.96899282932</v>
      </c>
      <c r="J475" s="30" t="str">
        <f>HYPERLINK(AB2 &amp; "/bottle/sn_f35f3a1ce31850e8b9ca8a85614dd727/rendering/07.obj", "1.99479484558")</f>
        <v>1.99479484558</v>
      </c>
      <c r="K475" s="34" t="str">
        <f>HYPERLINK(AB2 &amp; "/bottle/sn_f35f3a1ce31850e8b9ca8a85614dd727/rendering/08.obj", "2.10095453262")</f>
        <v>2.10095453262</v>
      </c>
      <c r="L475" s="60" t="str">
        <f>HYPERLINK(AB2 &amp; "/bottle/sn_f35f3a1ce31850e8b9ca8a85614dd727/rendering/09.obj", "2.10659313202")</f>
        <v>2.10659313202</v>
      </c>
      <c r="M475" s="41" t="str">
        <f>HYPERLINK(AB2 &amp; "/bottle/sn_f35f3a1ce31850e8b9ca8a85614dd727/rendering/10.obj", "2.13611221313")</f>
        <v>2.13611221313</v>
      </c>
      <c r="N475" s="13" t="str">
        <f>HYPERLINK(AB2 &amp; "/bottle/sn_f35f3a1ce31850e8b9ca8a85614dd727/rendering/11.obj", "1.99946498871")</f>
        <v>1.99946498871</v>
      </c>
      <c r="O475" s="91" t="str">
        <f>HYPERLINK(AB2 &amp; "/bottle/sn_f35f3a1ce31850e8b9ca8a85614dd727/rendering/12.obj", "1.95166051388")</f>
        <v>1.95166051388</v>
      </c>
      <c r="P475" s="51" t="str">
        <f>HYPERLINK(AB2 &amp; "/bottle/sn_f35f3a1ce31850e8b9ca8a85614dd727/rendering/13.obj", "2.16292572021")</f>
        <v>2.16292572021</v>
      </c>
      <c r="Q475" s="33" t="str">
        <f>HYPERLINK(AB2 &amp; "/bottle/sn_f35f3a1ce31850e8b9ca8a85614dd727/rendering/14.obj", "1.78946089745")</f>
        <v>1.78946089745</v>
      </c>
      <c r="R475" s="39" t="str">
        <f>HYPERLINK(AB2 &amp; "/bottle/sn_f35f3a1ce31850e8b9ca8a85614dd727/rendering/15.obj", "1.83353900909")</f>
        <v>1.83353900909</v>
      </c>
      <c r="S475" s="42" t="str">
        <f>HYPERLINK(AB2 &amp; "/bottle/sn_f35f3a1ce31850e8b9ca8a85614dd727/rendering/16.obj", "2.27848219872")</f>
        <v>2.27848219872</v>
      </c>
      <c r="T475" s="74" t="str">
        <f>HYPERLINK(AB2 &amp; "/bottle/sn_f35f3a1ce31850e8b9ca8a85614dd727/rendering/17.obj", "1.97807562351")</f>
        <v>1.97807562351</v>
      </c>
      <c r="U475" s="34" t="str">
        <f>HYPERLINK(AB2 &amp; "/bottle/sn_f35f3a1ce31850e8b9ca8a85614dd727/rendering/18.obj", "2.10409712791")</f>
        <v>2.10409712791</v>
      </c>
      <c r="V475" s="34" t="str">
        <f>HYPERLINK(AB2 &amp; "/bottle/sn_f35f3a1ce31850e8b9ca8a85614dd727/rendering/19.obj", "2.09945440292")</f>
        <v>2.09945440292</v>
      </c>
      <c r="W475" s="12" t="s">
        <v>32</v>
      </c>
      <c r="X475" s="13">
        <v>2.0039930999279019</v>
      </c>
      <c r="Y475" s="13">
        <v>0.1217526822614563</v>
      </c>
      <c r="Z475" s="78">
        <v>6.0755040656495597E-2</v>
      </c>
    </row>
    <row r="476" spans="1:26" x14ac:dyDescent="0.2">
      <c r="A476" s="1">
        <v>474</v>
      </c>
      <c r="B476" s="2" t="s">
        <v>127</v>
      </c>
      <c r="C476" s="13" t="str">
        <f>HYPERLINK(AC2 &amp; "/bottle/sn_f35f3a1ce31850e8b9ca8a85614dd727/rendering/00.xyz", "0.0")</f>
        <v>0.0</v>
      </c>
      <c r="D476" s="13" t="str">
        <f>HYPERLINK(AC2 &amp; "/bottle/sn_f35f3a1ce31850e8b9ca8a85614dd727/rendering/01.xyz", "0.0")</f>
        <v>0.0</v>
      </c>
      <c r="E476" s="13" t="str">
        <f>HYPERLINK(AC2 &amp; "/bottle/sn_f35f3a1ce31850e8b9ca8a85614dd727/rendering/02.xyz", "0.0")</f>
        <v>0.0</v>
      </c>
      <c r="F476" s="13" t="str">
        <f>HYPERLINK(AC2 &amp; "/bottle/sn_f35f3a1ce31850e8b9ca8a85614dd727/rendering/03.xyz", "0.0")</f>
        <v>0.0</v>
      </c>
      <c r="G476" s="13" t="str">
        <f>HYPERLINK(AC2 &amp; "/bottle/sn_f35f3a1ce31850e8b9ca8a85614dd727/rendering/04.xyz", "0.0")</f>
        <v>0.0</v>
      </c>
      <c r="H476" s="13" t="str">
        <f>HYPERLINK(AC2 &amp; "/bottle/sn_f35f3a1ce31850e8b9ca8a85614dd727/rendering/05.xyz", "0.0")</f>
        <v>0.0</v>
      </c>
      <c r="I476" s="13" t="str">
        <f>HYPERLINK(AC2 &amp; "/bottle/sn_f35f3a1ce31850e8b9ca8a85614dd727/rendering/06.xyz", "0.0")</f>
        <v>0.0</v>
      </c>
      <c r="J476" s="13" t="str">
        <f>HYPERLINK(AC2 &amp; "/bottle/sn_f35f3a1ce31850e8b9ca8a85614dd727/rendering/07.xyz", "0.0")</f>
        <v>0.0</v>
      </c>
      <c r="K476" s="13" t="str">
        <f>HYPERLINK(AC2 &amp; "/bottle/sn_f35f3a1ce31850e8b9ca8a85614dd727/rendering/08.xyz", "0.0")</f>
        <v>0.0</v>
      </c>
      <c r="L476" s="13" t="str">
        <f>HYPERLINK(AC2 &amp; "/bottle/sn_f35f3a1ce31850e8b9ca8a85614dd727/rendering/09.xyz", "0.0")</f>
        <v>0.0</v>
      </c>
      <c r="M476" s="13" t="str">
        <f>HYPERLINK(AC2 &amp; "/bottle/sn_f35f3a1ce31850e8b9ca8a85614dd727/rendering/10.xyz", "0.0")</f>
        <v>0.0</v>
      </c>
      <c r="N476" s="13" t="str">
        <f>HYPERLINK(AC2 &amp; "/bottle/sn_f35f3a1ce31850e8b9ca8a85614dd727/rendering/11.xyz", "0.0")</f>
        <v>0.0</v>
      </c>
      <c r="O476" s="13" t="str">
        <f>HYPERLINK(AC2 &amp; "/bottle/sn_f35f3a1ce31850e8b9ca8a85614dd727/rendering/12.xyz", "0.0")</f>
        <v>0.0</v>
      </c>
      <c r="P476" s="13" t="str">
        <f>HYPERLINK(AC2 &amp; "/bottle/sn_f35f3a1ce31850e8b9ca8a85614dd727/rendering/13.xyz", "0.0")</f>
        <v>0.0</v>
      </c>
      <c r="Q476" s="13" t="str">
        <f>HYPERLINK(AC2 &amp; "/bottle/sn_f35f3a1ce31850e8b9ca8a85614dd727/rendering/14.xyz", "0.0")</f>
        <v>0.0</v>
      </c>
      <c r="R476" s="13" t="str">
        <f>HYPERLINK(AC2 &amp; "/bottle/sn_f35f3a1ce31850e8b9ca8a85614dd727/rendering/15.xyz", "0.0")</f>
        <v>0.0</v>
      </c>
      <c r="S476" s="13" t="str">
        <f>HYPERLINK(AC2 &amp; "/bottle/sn_f35f3a1ce31850e8b9ca8a85614dd727/rendering/16.xyz", "0.0")</f>
        <v>0.0</v>
      </c>
      <c r="T476" s="13" t="str">
        <f>HYPERLINK(AC2 &amp; "/bottle/sn_f35f3a1ce31850e8b9ca8a85614dd727/rendering/17.xyz", "0.0")</f>
        <v>0.0</v>
      </c>
      <c r="U476" s="13" t="str">
        <f>HYPERLINK(AC2 &amp; "/bottle/sn_f35f3a1ce31850e8b9ca8a85614dd727/rendering/18.xyz", "0.0")</f>
        <v>0.0</v>
      </c>
      <c r="V476" s="13" t="str">
        <f>HYPERLINK(AC2 &amp; "/bottle/sn_f35f3a1ce31850e8b9ca8a85614dd727/rendering/19.xyz", "0.0")</f>
        <v>0.0</v>
      </c>
      <c r="W476" s="12" t="s">
        <v>33</v>
      </c>
      <c r="X476" s="13">
        <v>0</v>
      </c>
      <c r="Y476" s="13">
        <v>0</v>
      </c>
      <c r="Z476" s="13">
        <v>0</v>
      </c>
    </row>
    <row r="477" spans="1:26" x14ac:dyDescent="0.2">
      <c r="A477" s="1">
        <v>475</v>
      </c>
      <c r="B477" s="2" t="s">
        <v>128</v>
      </c>
      <c r="C477" s="72" t="str">
        <f>HYPERLINK(AA2 &amp; "/bottle/sn_f452c1053f88cd2fc21f7907838a35d1/rendering/00.obj", "1.94198913574")</f>
        <v>1.94198913574</v>
      </c>
      <c r="D477" s="23" t="str">
        <f>HYPERLINK(AA2 &amp; "/bottle/sn_f452c1053f88cd2fc21f7907838a35d1/rendering/01.obj", "1.80752838135")</f>
        <v>1.80752838135</v>
      </c>
      <c r="E477" s="41" t="str">
        <f>HYPERLINK(AA2 &amp; "/bottle/sn_f452c1053f88cd2fc21f7907838a35d1/rendering/02.obj", "1.75487640381")</f>
        <v>1.75487640381</v>
      </c>
      <c r="F477" s="25" t="str">
        <f>HYPERLINK(AA2 &amp; "/bottle/sn_f452c1053f88cd2fc21f7907838a35d1/rendering/03.obj", "1.86152755737")</f>
        <v>1.86152755737</v>
      </c>
      <c r="G477" s="65" t="str">
        <f>HYPERLINK(AA2 &amp; "/bottle/sn_f452c1053f88cd2fc21f7907838a35d1/rendering/04.obj", "2.12889068604")</f>
        <v>2.12889068604</v>
      </c>
      <c r="H477" s="69" t="str">
        <f>HYPERLINK(AA2 &amp; "/bottle/sn_f452c1053f88cd2fc21f7907838a35d1/rendering/05.obj", "1.82611038208")</f>
        <v>1.82611038208</v>
      </c>
      <c r="I477" s="23" t="str">
        <f>HYPERLINK(AA2 &amp; "/bottle/sn_f452c1053f88cd2fc21f7907838a35d1/rendering/06.obj", "1.80862365723")</f>
        <v>1.80862365723</v>
      </c>
      <c r="J477" s="13" t="str">
        <f>HYPERLINK(AA2 &amp; "/bottle/sn_f452c1053f88cd2fc21f7907838a35d1/rendering/07.obj", "1.87501373291")</f>
        <v>1.87501373291</v>
      </c>
      <c r="K477" s="38" t="str">
        <f>HYPERLINK(AA2 &amp; "/bottle/sn_f452c1053f88cd2fc21f7907838a35d1/rendering/08.obj", "1.70945953369")</f>
        <v>1.70945953369</v>
      </c>
      <c r="L477" s="72" t="str">
        <f>HYPERLINK(AA2 &amp; "/bottle/sn_f452c1053f88cd2fc21f7907838a35d1/rendering/09.obj", "1.81642990112")</f>
        <v>1.81642990112</v>
      </c>
      <c r="M477" s="30" t="str">
        <f>HYPERLINK(AA2 &amp; "/bottle/sn_f452c1053f88cd2fc21f7907838a35d1/rendering/10.obj", "1.89110809326")</f>
        <v>1.89110809326</v>
      </c>
      <c r="N477" s="23" t="str">
        <f>HYPERLINK(AA2 &amp; "/bottle/sn_f452c1053f88cd2fc21f7907838a35d1/rendering/11.obj", "1.80875167847")</f>
        <v>1.80875167847</v>
      </c>
      <c r="O477" s="23" t="str">
        <f>HYPERLINK(AA2 &amp; "/bottle/sn_f452c1053f88cd2fc21f7907838a35d1/rendering/12.obj", "1.80586425781")</f>
        <v>1.80586425781</v>
      </c>
      <c r="P477" s="41" t="str">
        <f>HYPERLINK(AA2 &amp; "/bottle/sn_f452c1053f88cd2fc21f7907838a35d1/rendering/13.obj", "2.00949172974")</f>
        <v>2.00949172974</v>
      </c>
      <c r="Q477" s="169" t="str">
        <f>HYPERLINK(AA2 &amp; "/bottle/sn_f452c1053f88cd2fc21f7907838a35d1/rendering/14.obj", "2.46750274658")</f>
        <v>2.46750274658</v>
      </c>
      <c r="R477" s="38" t="str">
        <f>HYPERLINK(AA2 &amp; "/bottle/sn_f452c1053f88cd2fc21f7907838a35d1/rendering/15.obj", "1.71494354248")</f>
        <v>1.71494354248</v>
      </c>
      <c r="S477" s="39" t="str">
        <f>HYPERLINK(AA2 &amp; "/bottle/sn_f452c1053f88cd2fc21f7907838a35d1/rendering/16.obj", "2.04335083008")</f>
        <v>2.04335083008</v>
      </c>
      <c r="T477" s="25" t="str">
        <f>HYPERLINK(AA2 &amp; "/bottle/sn_f452c1053f88cd2fc21f7907838a35d1/rendering/17.obj", "1.8623765564")</f>
        <v>1.8623765564</v>
      </c>
      <c r="U477" s="27" t="str">
        <f>HYPERLINK(AA2 &amp; "/bottle/sn_f452c1053f88cd2fc21f7907838a35d1/rendering/18.obj", "1.74972183228")</f>
        <v>1.74972183228</v>
      </c>
      <c r="V477" s="107" t="str">
        <f>HYPERLINK(AA2 &amp; "/bottle/sn_f452c1053f88cd2fc21f7907838a35d1/rendering/19.obj", "1.72650909424")</f>
        <v>1.72650909424</v>
      </c>
      <c r="W477" s="12" t="s">
        <v>29</v>
      </c>
      <c r="X477" s="13">
        <v>1.880503486633301</v>
      </c>
      <c r="Y477" s="13">
        <v>0.17256522841274349</v>
      </c>
      <c r="Z477" s="67">
        <v>9.1765439223774115E-2</v>
      </c>
    </row>
    <row r="478" spans="1:26" x14ac:dyDescent="0.2">
      <c r="A478" s="1">
        <v>476</v>
      </c>
      <c r="B478" s="2" t="s">
        <v>128</v>
      </c>
      <c r="C478" s="91" t="str">
        <f>HYPERLINK(AA2 &amp; "/bottle/sn_f452c1053f88cd2fc21f7907838a35d1/rendering/00.obj", "1.66495895386")</f>
        <v>1.66495895386</v>
      </c>
      <c r="D478" s="72" t="str">
        <f>HYPERLINK(AA2 &amp; "/bottle/sn_f452c1053f88cd2fc21f7907838a35d1/rendering/01.obj", "1.65611433983")</f>
        <v>1.65611433983</v>
      </c>
      <c r="E478" s="10" t="str">
        <f>HYPERLINK(AA2 &amp; "/bottle/sn_f452c1053f88cd2fc21f7907838a35d1/rendering/02.obj", "1.61724114418")</f>
        <v>1.61724114418</v>
      </c>
      <c r="F478" s="10" t="str">
        <f>HYPERLINK(AA2 &amp; "/bottle/sn_f452c1053f88cd2fc21f7907838a35d1/rendering/03.obj", "1.6196180582")</f>
        <v>1.6196180582</v>
      </c>
      <c r="G478" s="80" t="str">
        <f>HYPERLINK(AA2 &amp; "/bottle/sn_f452c1053f88cd2fc21f7907838a35d1/rendering/04.obj", "1.9666479826")</f>
        <v>1.9666479826</v>
      </c>
      <c r="H478" s="17" t="str">
        <f>HYPERLINK(AA2 &amp; "/bottle/sn_f452c1053f88cd2fc21f7907838a35d1/rendering/05.obj", "1.67394900322")</f>
        <v>1.67394900322</v>
      </c>
      <c r="I478" s="91" t="str">
        <f>HYPERLINK(AA2 &amp; "/bottle/sn_f452c1053f88cd2fc21f7907838a35d1/rendering/06.obj", "1.66415476799")</f>
        <v>1.66415476799</v>
      </c>
      <c r="J478" s="48" t="str">
        <f>HYPERLINK(AA2 &amp; "/bottle/sn_f452c1053f88cd2fc21f7907838a35d1/rendering/07.obj", "1.67131865025")</f>
        <v>1.67131865025</v>
      </c>
      <c r="K478" s="90" t="str">
        <f>HYPERLINK(AA2 &amp; "/bottle/sn_f452c1053f88cd2fc21f7907838a35d1/rendering/08.obj", "1.54651963711")</f>
        <v>1.54651963711</v>
      </c>
      <c r="L478" s="30" t="str">
        <f>HYPERLINK(AA2 &amp; "/bottle/sn_f452c1053f88cd2fc21f7907838a35d1/rendering/09.obj", "1.71997272968")</f>
        <v>1.71997272968</v>
      </c>
      <c r="M478" s="25" t="str">
        <f>HYPERLINK(AA2 &amp; "/bottle/sn_f452c1053f88cd2fc21f7907838a35d1/rendering/10.obj", "1.72767090797")</f>
        <v>1.72767090797</v>
      </c>
      <c r="N478" s="13" t="str">
        <f>HYPERLINK(AA2 &amp; "/bottle/sn_f452c1053f88cd2fc21f7907838a35d1/rendering/11.obj", "1.71537256241")</f>
        <v>1.71537256241</v>
      </c>
      <c r="O478" s="48" t="str">
        <f>HYPERLINK(AA2 &amp; "/bottle/sn_f452c1053f88cd2fc21f7907838a35d1/rendering/12.obj", "1.66962599754")</f>
        <v>1.66962599754</v>
      </c>
      <c r="P478" s="25" t="str">
        <f>HYPERLINK(AA2 &amp; "/bottle/sn_f452c1053f88cd2fc21f7907838a35d1/rendering/13.obj", "1.73025596142")</f>
        <v>1.73025596142</v>
      </c>
      <c r="Q478" s="134" t="str">
        <f>HYPERLINK(AA2 &amp; "/bottle/sn_f452c1053f88cd2fc21f7907838a35d1/rendering/14.obj", "2.01867294312")</f>
        <v>2.01867294312</v>
      </c>
      <c r="R478" s="72" t="str">
        <f>HYPERLINK(AA2 &amp; "/bottle/sn_f452c1053f88cd2fc21f7907838a35d1/rendering/15.obj", "1.65300226212")</f>
        <v>1.65300226212</v>
      </c>
      <c r="S478" s="93" t="str">
        <f>HYPERLINK(AA2 &amp; "/bottle/sn_f452c1053f88cd2fc21f7907838a35d1/rendering/16.obj", "1.95031511784")</f>
        <v>1.95031511784</v>
      </c>
      <c r="T478" s="46" t="str">
        <f>HYPERLINK(AA2 &amp; "/bottle/sn_f452c1053f88cd2fc21f7907838a35d1/rendering/17.obj", "1.68183672428")</f>
        <v>1.68183672428</v>
      </c>
      <c r="U478" s="17" t="str">
        <f>HYPERLINK(AA2 &amp; "/bottle/sn_f452c1053f88cd2fc21f7907838a35d1/rendering/18.obj", "1.67541599274")</f>
        <v>1.67541599274</v>
      </c>
      <c r="V478" s="26" t="str">
        <f>HYPERLINK(AA2 &amp; "/bottle/sn_f452c1053f88cd2fc21f7907838a35d1/rendering/19.obj", "1.60384654999")</f>
        <v>1.60384654999</v>
      </c>
      <c r="W478" s="12" t="s">
        <v>30</v>
      </c>
      <c r="X478" s="13">
        <v>1.7113255143165591</v>
      </c>
      <c r="Y478" s="13">
        <v>0.12066065035727851</v>
      </c>
      <c r="Z478" s="27">
        <v>7.0507129910621372E-2</v>
      </c>
    </row>
    <row r="479" spans="1:26" x14ac:dyDescent="0.2">
      <c r="A479" s="1">
        <v>477</v>
      </c>
      <c r="B479" s="2" t="s">
        <v>128</v>
      </c>
      <c r="C479" s="17" t="str">
        <f>HYPERLINK(AB2 &amp; "/bottle/sn_f452c1053f88cd2fc21f7907838a35d1/rendering/00.obj", "3.01338195801")</f>
        <v>3.01338195801</v>
      </c>
      <c r="D479" s="13" t="str">
        <f>HYPERLINK(AB2 &amp; "/bottle/sn_f452c1053f88cd2fc21f7907838a35d1/rendering/01.obj", "2.94775970459")</f>
        <v>2.94775970459</v>
      </c>
      <c r="E479" s="25" t="str">
        <f>HYPERLINK(AB2 &amp; "/bottle/sn_f452c1053f88cd2fc21f7907838a35d1/rendering/02.obj", "2.98639526367")</f>
        <v>2.98639526367</v>
      </c>
      <c r="F479" s="25" t="str">
        <f>HYPERLINK(AB2 &amp; "/bottle/sn_f452c1053f88cd2fc21f7907838a35d1/rendering/03.obj", "2.92078857422")</f>
        <v>2.92078857422</v>
      </c>
      <c r="G479" s="90" t="str">
        <f>HYPERLINK(AB2 &amp; "/bottle/sn_f452c1053f88cd2fc21f7907838a35d1/rendering/04.obj", "3.23690795898")</f>
        <v>3.23690795898</v>
      </c>
      <c r="H479" s="35" t="str">
        <f>HYPERLINK(AB2 &amp; "/bottle/sn_f452c1053f88cd2fc21f7907838a35d1/rendering/05.obj", "2.78469573975")</f>
        <v>2.78469573975</v>
      </c>
      <c r="I479" s="68" t="str">
        <f>HYPERLINK(AB2 &amp; "/bottle/sn_f452c1053f88cd2fc21f7907838a35d1/rendering/06.obj", "2.8314755249")</f>
        <v>2.8314755249</v>
      </c>
      <c r="J479" s="34" t="str">
        <f>HYPERLINK(AB2 &amp; "/bottle/sn_f452c1053f88cd2fc21f7907838a35d1/rendering/07.obj", "2.81105895996")</f>
        <v>2.81105895996</v>
      </c>
      <c r="K479" s="73" t="str">
        <f>HYPERLINK(AB2 &amp; "/bottle/sn_f452c1053f88cd2fc21f7907838a35d1/rendering/08.obj", "2.84981109619")</f>
        <v>2.84981109619</v>
      </c>
      <c r="L479" s="6" t="str">
        <f>HYPERLINK(AB2 &amp; "/bottle/sn_f452c1053f88cd2fc21f7907838a35d1/rendering/09.obj", "3.0912890625")</f>
        <v>3.0912890625</v>
      </c>
      <c r="M479" s="25" t="str">
        <f>HYPERLINK(AB2 &amp; "/bottle/sn_f452c1053f88cd2fc21f7907838a35d1/rendering/10.obj", "2.92712738037")</f>
        <v>2.92712738037</v>
      </c>
      <c r="N479" s="74" t="str">
        <f>HYPERLINK(AB2 &amp; "/bottle/sn_f452c1053f88cd2fc21f7907838a35d1/rendering/11.obj", "2.91748779297")</f>
        <v>2.91748779297</v>
      </c>
      <c r="O479" s="72" t="str">
        <f>HYPERLINK(AB2 &amp; "/bottle/sn_f452c1053f88cd2fc21f7907838a35d1/rendering/12.obj", "3.05431488037")</f>
        <v>3.05431488037</v>
      </c>
      <c r="P479" s="69" t="str">
        <f>HYPERLINK(AB2 &amp; "/bottle/sn_f452c1053f88cd2fc21f7907838a35d1/rendering/13.obj", "2.87222351074")</f>
        <v>2.87222351074</v>
      </c>
      <c r="Q479" s="48" t="str">
        <f>HYPERLINK(AB2 &amp; "/bottle/sn_f452c1053f88cd2fc21f7907838a35d1/rendering/14.obj", "3.02272064209")</f>
        <v>3.02272064209</v>
      </c>
      <c r="R479" s="30" t="str">
        <f>HYPERLINK(AB2 &amp; "/bottle/sn_f452c1053f88cd2fc21f7907838a35d1/rendering/15.obj", "2.9680581665")</f>
        <v>2.9680581665</v>
      </c>
      <c r="S479" s="72" t="str">
        <f>HYPERLINK(AB2 &amp; "/bottle/sn_f452c1053f88cd2fc21f7907838a35d1/rendering/16.obj", "3.05102661133")</f>
        <v>3.05102661133</v>
      </c>
      <c r="T479" s="34" t="str">
        <f>HYPERLINK(AB2 &amp; "/bottle/sn_f452c1053f88cd2fc21f7907838a35d1/rendering/17.obj", "2.81231231689")</f>
        <v>2.81231231689</v>
      </c>
      <c r="U479" s="34" t="str">
        <f>HYPERLINK(AB2 &amp; "/bottle/sn_f452c1053f88cd2fc21f7907838a35d1/rendering/18.obj", "3.096015625")</f>
        <v>3.096015625</v>
      </c>
      <c r="V479" s="30" t="str">
        <f>HYPERLINK(AB2 &amp; "/bottle/sn_f452c1053f88cd2fc21f7907838a35d1/rendering/19.obj", "2.93947998047")</f>
        <v>2.93947998047</v>
      </c>
      <c r="W479" s="12" t="s">
        <v>31</v>
      </c>
      <c r="X479" s="13">
        <v>2.9567165374755859</v>
      </c>
      <c r="Y479" s="13">
        <v>0.1124752429029077</v>
      </c>
      <c r="Z479" s="23">
        <v>3.8040590458136327E-2</v>
      </c>
    </row>
    <row r="480" spans="1:26" x14ac:dyDescent="0.2">
      <c r="A480" s="1">
        <v>478</v>
      </c>
      <c r="B480" s="2" t="s">
        <v>128</v>
      </c>
      <c r="C480" s="23" t="str">
        <f>HYPERLINK(AB2 &amp; "/bottle/sn_f452c1053f88cd2fc21f7907838a35d1/rendering/00.obj", "1.85134088993")</f>
        <v>1.85134088993</v>
      </c>
      <c r="D480" s="13" t="str">
        <f>HYPERLINK(AB2 &amp; "/bottle/sn_f452c1053f88cd2fc21f7907838a35d1/rendering/01.obj", "1.92736577988")</f>
        <v>1.92736577988</v>
      </c>
      <c r="E480" s="26" t="str">
        <f>HYPERLINK(AB2 &amp; "/bottle/sn_f452c1053f88cd2fc21f7907838a35d1/rendering/02.obj", "2.05216932297")</f>
        <v>2.05216932297</v>
      </c>
      <c r="F480" s="74" t="str">
        <f>HYPERLINK(AB2 &amp; "/bottle/sn_f452c1053f88cd2fc21f7907838a35d1/rendering/03.obj", "1.95554220676")</f>
        <v>1.95554220676</v>
      </c>
      <c r="G480" s="83" t="str">
        <f>HYPERLINK(AB2 &amp; "/bottle/sn_f452c1053f88cd2fc21f7907838a35d1/rendering/04.obj", "2.21904754639")</f>
        <v>2.21904754639</v>
      </c>
      <c r="H480" s="10" t="str">
        <f>HYPERLINK(AB2 &amp; "/bottle/sn_f452c1053f88cd2fc21f7907838a35d1/rendering/05.obj", "1.82385790348")</f>
        <v>1.82385790348</v>
      </c>
      <c r="I480" s="10" t="str">
        <f>HYPERLINK(AB2 &amp; "/bottle/sn_f452c1053f88cd2fc21f7907838a35d1/rendering/06.obj", "1.82293462753")</f>
        <v>1.82293462753</v>
      </c>
      <c r="J480" s="106" t="str">
        <f>HYPERLINK(AB2 &amp; "/bottle/sn_f452c1053f88cd2fc21f7907838a35d1/rendering/07.obj", "1.70521426201")</f>
        <v>1.70521426201</v>
      </c>
      <c r="K480" s="73" t="str">
        <f>HYPERLINK(AB2 &amp; "/bottle/sn_f452c1053f88cd2fc21f7907838a35d1/rendering/08.obj", "1.85664534569")</f>
        <v>1.85664534569</v>
      </c>
      <c r="L480" s="27" t="str">
        <f>HYPERLINK(AB2 &amp; "/bottle/sn_f452c1053f88cd2fc21f7907838a35d1/rendering/09.obj", "2.06320595741")</f>
        <v>2.06320595741</v>
      </c>
      <c r="M480" s="26" t="str">
        <f>HYPERLINK(AB2 &amp; "/bottle/sn_f452c1053f88cd2fc21f7907838a35d1/rendering/10.obj", "1.80057239532")</f>
        <v>1.80057239532</v>
      </c>
      <c r="N480" s="48" t="str">
        <f>HYPERLINK(AB2 &amp; "/bottle/sn_f452c1053f88cd2fc21f7907838a35d1/rendering/11.obj", "1.87920928001")</f>
        <v>1.87920928001</v>
      </c>
      <c r="O480" s="38" t="str">
        <f>HYPERLINK(AB2 &amp; "/bottle/sn_f452c1053f88cd2fc21f7907838a35d1/rendering/12.obj", "2.09969115257")</f>
        <v>2.09969115257</v>
      </c>
      <c r="P480" s="46" t="str">
        <f>HYPERLINK(AB2 &amp; "/bottle/sn_f452c1053f88cd2fc21f7907838a35d1/rendering/13.obj", "1.89055597782")</f>
        <v>1.89055597782</v>
      </c>
      <c r="Q480" s="73" t="str">
        <f>HYPERLINK(AB2 &amp; "/bottle/sn_f452c1053f88cd2fc21f7907838a35d1/rendering/14.obj", "1.85999929905")</f>
        <v>1.85999929905</v>
      </c>
      <c r="R480" s="17" t="str">
        <f>HYPERLINK(AB2 &amp; "/bottle/sn_f452c1053f88cd2fc21f7907838a35d1/rendering/15.obj", "1.96329832077")</f>
        <v>1.96329832077</v>
      </c>
      <c r="S480" s="69" t="str">
        <f>HYPERLINK(AB2 &amp; "/bottle/sn_f452c1053f88cd2fc21f7907838a35d1/rendering/16.obj", "1.98272776604")</f>
        <v>1.98272776604</v>
      </c>
      <c r="T480" s="28" t="str">
        <f>HYPERLINK(AB2 &amp; "/bottle/sn_f452c1053f88cd2fc21f7907838a35d1/rendering/17.obj", "1.71464169025")</f>
        <v>1.71464169025</v>
      </c>
      <c r="U480" s="67" t="str">
        <f>HYPERLINK(AB2 &amp; "/bottle/sn_f452c1053f88cd2fc21f7907838a35d1/rendering/18.obj", "2.106995821")</f>
        <v>2.106995821</v>
      </c>
      <c r="V480" s="46" t="str">
        <f>HYPERLINK(AB2 &amp; "/bottle/sn_f452c1053f88cd2fc21f7907838a35d1/rendering/19.obj", "1.95742595196")</f>
        <v>1.95742595196</v>
      </c>
      <c r="W480" s="12" t="s">
        <v>32</v>
      </c>
      <c r="X480" s="13">
        <v>1.926622074842453</v>
      </c>
      <c r="Y480" s="13">
        <v>0.1300778299657768</v>
      </c>
      <c r="Z480" s="41">
        <v>6.7516007246212886E-2</v>
      </c>
    </row>
    <row r="481" spans="1:26" x14ac:dyDescent="0.2">
      <c r="A481" s="1">
        <v>479</v>
      </c>
      <c r="B481" s="2" t="s">
        <v>128</v>
      </c>
      <c r="C481" s="13" t="str">
        <f>HYPERLINK(AC2 &amp; "/bottle/sn_f452c1053f88cd2fc21f7907838a35d1/rendering/00.xyz", "0.0")</f>
        <v>0.0</v>
      </c>
      <c r="D481" s="13" t="str">
        <f>HYPERLINK(AC2 &amp; "/bottle/sn_f452c1053f88cd2fc21f7907838a35d1/rendering/01.xyz", "0.0")</f>
        <v>0.0</v>
      </c>
      <c r="E481" s="13" t="str">
        <f>HYPERLINK(AC2 &amp; "/bottle/sn_f452c1053f88cd2fc21f7907838a35d1/rendering/02.xyz", "0.0")</f>
        <v>0.0</v>
      </c>
      <c r="F481" s="13" t="str">
        <f>HYPERLINK(AC2 &amp; "/bottle/sn_f452c1053f88cd2fc21f7907838a35d1/rendering/03.xyz", "0.0")</f>
        <v>0.0</v>
      </c>
      <c r="G481" s="13" t="str">
        <f>HYPERLINK(AC2 &amp; "/bottle/sn_f452c1053f88cd2fc21f7907838a35d1/rendering/04.xyz", "0.0")</f>
        <v>0.0</v>
      </c>
      <c r="H481" s="13" t="str">
        <f>HYPERLINK(AC2 &amp; "/bottle/sn_f452c1053f88cd2fc21f7907838a35d1/rendering/05.xyz", "0.0")</f>
        <v>0.0</v>
      </c>
      <c r="I481" s="13" t="str">
        <f>HYPERLINK(AC2 &amp; "/bottle/sn_f452c1053f88cd2fc21f7907838a35d1/rendering/06.xyz", "0.0")</f>
        <v>0.0</v>
      </c>
      <c r="J481" s="13" t="str">
        <f>HYPERLINK(AC2 &amp; "/bottle/sn_f452c1053f88cd2fc21f7907838a35d1/rendering/07.xyz", "0.0")</f>
        <v>0.0</v>
      </c>
      <c r="K481" s="13" t="str">
        <f>HYPERLINK(AC2 &amp; "/bottle/sn_f452c1053f88cd2fc21f7907838a35d1/rendering/08.xyz", "0.0")</f>
        <v>0.0</v>
      </c>
      <c r="L481" s="13" t="str">
        <f>HYPERLINK(AC2 &amp; "/bottle/sn_f452c1053f88cd2fc21f7907838a35d1/rendering/09.xyz", "0.0")</f>
        <v>0.0</v>
      </c>
      <c r="M481" s="13" t="str">
        <f>HYPERLINK(AC2 &amp; "/bottle/sn_f452c1053f88cd2fc21f7907838a35d1/rendering/10.xyz", "0.0")</f>
        <v>0.0</v>
      </c>
      <c r="N481" s="13" t="str">
        <f>HYPERLINK(AC2 &amp; "/bottle/sn_f452c1053f88cd2fc21f7907838a35d1/rendering/11.xyz", "0.0")</f>
        <v>0.0</v>
      </c>
      <c r="O481" s="13" t="str">
        <f>HYPERLINK(AC2 &amp; "/bottle/sn_f452c1053f88cd2fc21f7907838a35d1/rendering/12.xyz", "0.0")</f>
        <v>0.0</v>
      </c>
      <c r="P481" s="13" t="str">
        <f>HYPERLINK(AC2 &amp; "/bottle/sn_f452c1053f88cd2fc21f7907838a35d1/rendering/13.xyz", "0.0")</f>
        <v>0.0</v>
      </c>
      <c r="Q481" s="13" t="str">
        <f>HYPERLINK(AC2 &amp; "/bottle/sn_f452c1053f88cd2fc21f7907838a35d1/rendering/14.xyz", "0.0")</f>
        <v>0.0</v>
      </c>
      <c r="R481" s="13" t="str">
        <f>HYPERLINK(AC2 &amp; "/bottle/sn_f452c1053f88cd2fc21f7907838a35d1/rendering/15.xyz", "0.0")</f>
        <v>0.0</v>
      </c>
      <c r="S481" s="13" t="str">
        <f>HYPERLINK(AC2 &amp; "/bottle/sn_f452c1053f88cd2fc21f7907838a35d1/rendering/16.xyz", "0.0")</f>
        <v>0.0</v>
      </c>
      <c r="T481" s="13" t="str">
        <f>HYPERLINK(AC2 &amp; "/bottle/sn_f452c1053f88cd2fc21f7907838a35d1/rendering/17.xyz", "0.0")</f>
        <v>0.0</v>
      </c>
      <c r="U481" s="13" t="str">
        <f>HYPERLINK(AC2 &amp; "/bottle/sn_f452c1053f88cd2fc21f7907838a35d1/rendering/18.xyz", "0.0")</f>
        <v>0.0</v>
      </c>
      <c r="V481" s="13" t="str">
        <f>HYPERLINK(AC2 &amp; "/bottle/sn_f452c1053f88cd2fc21f7907838a35d1/rendering/19.xyz", "0.0")</f>
        <v>0.0</v>
      </c>
      <c r="W481" s="12" t="s">
        <v>33</v>
      </c>
      <c r="X481" s="13">
        <v>0</v>
      </c>
      <c r="Y481" s="13">
        <v>0</v>
      </c>
      <c r="Z481" s="13">
        <v>0</v>
      </c>
    </row>
    <row r="482" spans="1:26" x14ac:dyDescent="0.2">
      <c r="A482" s="1">
        <v>480</v>
      </c>
      <c r="B482" s="2" t="s">
        <v>129</v>
      </c>
      <c r="C482" s="60" t="str">
        <f>HYPERLINK(AA2 &amp; "/bottle/sn_f47cbefc9aa5b6a918431871c8e05789/rendering/00.obj", "3.9336315918")</f>
        <v>3.9336315918</v>
      </c>
      <c r="D482" s="85" t="str">
        <f>HYPERLINK(AA2 &amp; "/bottle/sn_f47cbefc9aa5b6a918431871c8e05789/rendering/01.obj", "2.91833068848")</f>
        <v>2.91833068848</v>
      </c>
      <c r="E482" s="116" t="str">
        <f>HYPERLINK(AA2 &amp; "/bottle/sn_f47cbefc9aa5b6a918431871c8e05789/rendering/02.obj", "5.95796264648")</f>
        <v>5.95796264648</v>
      </c>
      <c r="F482" s="168" t="str">
        <f>HYPERLINK(AA2 &amp; "/bottle/sn_f47cbefc9aa5b6a918431871c8e05789/rendering/03.obj", "2.8089465332")</f>
        <v>2.8089465332</v>
      </c>
      <c r="G482" s="68" t="str">
        <f>HYPERLINK(AA2 &amp; "/bottle/sn_f47cbefc9aa5b6a918431871c8e05789/rendering/04.obj", "4.31889831543")</f>
        <v>4.31889831543</v>
      </c>
      <c r="H482" s="20" t="str">
        <f>HYPERLINK(AA2 &amp; "/bottle/sn_f47cbefc9aa5b6a918431871c8e05789/rendering/05.obj", "13.5051879883")</f>
        <v>13.5051879883</v>
      </c>
      <c r="I482" s="185" t="str">
        <f>HYPERLINK(AA2 &amp; "/bottle/sn_f47cbefc9aa5b6a918431871c8e05789/rendering/06.obj", "2.73717712402")</f>
        <v>2.73717712402</v>
      </c>
      <c r="J482" s="99" t="str">
        <f>HYPERLINK(AA2 &amp; "/bottle/sn_f47cbefc9aa5b6a918431871c8e05789/rendering/07.obj", "3.02045654297")</f>
        <v>3.02045654297</v>
      </c>
      <c r="K482" s="137" t="str">
        <f>HYPERLINK(AA2 &amp; "/bottle/sn_f47cbefc9aa5b6a918431871c8e05789/rendering/08.obj", "2.63375488281")</f>
        <v>2.63375488281</v>
      </c>
      <c r="L482" s="196" t="str">
        <f>HYPERLINK(AA2 &amp; "/bottle/sn_f47cbefc9aa5b6a918431871c8e05789/rendering/09.obj", "5.78667541504")</f>
        <v>5.78667541504</v>
      </c>
      <c r="M482" s="110" t="str">
        <f>HYPERLINK(AA2 &amp; "/bottle/sn_f47cbefc9aa5b6a918431871c8e05789/rendering/10.obj", "3.73424713135")</f>
        <v>3.73424713135</v>
      </c>
      <c r="N482" s="107" t="str">
        <f>HYPERLINK(AA2 &amp; "/bottle/sn_f47cbefc9aa5b6a918431871c8e05789/rendering/11.obj", "4.48626586914")</f>
        <v>4.48626586914</v>
      </c>
      <c r="O482" s="98" t="str">
        <f>HYPERLINK(AA2 &amp; "/bottle/sn_f47cbefc9aa5b6a918431871c8e05789/rendering/12.obj", "3.19046264648")</f>
        <v>3.19046264648</v>
      </c>
      <c r="P482" s="19" t="str">
        <f>HYPERLINK(AA2 &amp; "/bottle/sn_f47cbefc9aa5b6a918431871c8e05789/rendering/13.obj", "3.05710693359")</f>
        <v>3.05710693359</v>
      </c>
      <c r="Q482" s="32" t="str">
        <f>HYPERLINK(AA2 &amp; "/bottle/sn_f47cbefc9aa5b6a918431871c8e05789/rendering/14.obj", "3.71412475586")</f>
        <v>3.71412475586</v>
      </c>
      <c r="R482" s="138" t="str">
        <f>HYPERLINK(AA2 &amp; "/bottle/sn_f47cbefc9aa5b6a918431871c8e05789/rendering/15.obj", "2.74717346191")</f>
        <v>2.74717346191</v>
      </c>
      <c r="S482" s="120" t="str">
        <f>HYPERLINK(AA2 &amp; "/bottle/sn_f47cbefc9aa5b6a918431871c8e05789/rendering/16.obj", "3.27213623047")</f>
        <v>3.27213623047</v>
      </c>
      <c r="T482" s="70" t="str">
        <f>HYPERLINK(AA2 &amp; "/bottle/sn_f47cbefc9aa5b6a918431871c8e05789/rendering/17.obj", "3.62049438477")</f>
        <v>3.62049438477</v>
      </c>
      <c r="U482" s="73" t="str">
        <f>HYPERLINK(AA2 &amp; "/bottle/sn_f47cbefc9aa5b6a918431871c8e05789/rendering/18.obj", "3.99937561035")</f>
        <v>3.99937561035</v>
      </c>
      <c r="V482" s="66" t="str">
        <f>HYPERLINK(AA2 &amp; "/bottle/sn_f47cbefc9aa5b6a918431871c8e05789/rendering/19.obj", "3.47766052246")</f>
        <v>3.47766052246</v>
      </c>
      <c r="W482" s="12" t="s">
        <v>29</v>
      </c>
      <c r="X482" s="13">
        <v>4.1460034637451164</v>
      </c>
      <c r="Y482" s="13">
        <v>2.329303339437315</v>
      </c>
      <c r="Z482" s="226">
        <v>0.56181895644950508</v>
      </c>
    </row>
    <row r="483" spans="1:26" x14ac:dyDescent="0.2">
      <c r="A483" s="1">
        <v>481</v>
      </c>
      <c r="B483" s="2" t="s">
        <v>129</v>
      </c>
      <c r="C483" s="76" t="str">
        <f>HYPERLINK(AA2 &amp; "/bottle/sn_f47cbefc9aa5b6a918431871c8e05789/rendering/00.obj", "4.1608080864")</f>
        <v>4.1608080864</v>
      </c>
      <c r="D483" s="149" t="str">
        <f>HYPERLINK(AA2 &amp; "/bottle/sn_f47cbefc9aa5b6a918431871c8e05789/rendering/01.obj", "3.34909534454")</f>
        <v>3.34909534454</v>
      </c>
      <c r="E483" s="95" t="str">
        <f>HYPERLINK(AA2 &amp; "/bottle/sn_f47cbefc9aa5b6a918431871c8e05789/rendering/02.obj", "6.51750135422")</f>
        <v>6.51750135422</v>
      </c>
      <c r="F483" s="187" t="str">
        <f>HYPERLINK(AA2 &amp; "/bottle/sn_f47cbefc9aa5b6a918431871c8e05789/rendering/03.obj", "3.30218458176")</f>
        <v>3.30218458176</v>
      </c>
      <c r="G483" s="44" t="str">
        <f>HYPERLINK(AA2 &amp; "/bottle/sn_f47cbefc9aa5b6a918431871c8e05789/rendering/04.obj", "4.08790969849")</f>
        <v>4.08790969849</v>
      </c>
      <c r="H483" s="20" t="str">
        <f>HYPERLINK(AA2 &amp; "/bottle/sn_f47cbefc9aa5b6a918431871c8e05789/rendering/05.obj", "24.8516921997")</f>
        <v>24.8516921997</v>
      </c>
      <c r="I483" s="121" t="str">
        <f>HYPERLINK(AA2 &amp; "/bottle/sn_f47cbefc9aa5b6a918431871c8e05789/rendering/06.obj", "3.29943299294")</f>
        <v>3.29943299294</v>
      </c>
      <c r="J483" s="54" t="str">
        <f>HYPERLINK(AA2 &amp; "/bottle/sn_f47cbefc9aa5b6a918431871c8e05789/rendering/07.obj", "3.41460418701")</f>
        <v>3.41460418701</v>
      </c>
      <c r="K483" s="172" t="str">
        <f>HYPERLINK(AA2 &amp; "/bottle/sn_f47cbefc9aa5b6a918431871c8e05789/rendering/08.obj", "3.13031172752")</f>
        <v>3.13031172752</v>
      </c>
      <c r="L483" s="91" t="str">
        <f>HYPERLINK(AA2 &amp; "/bottle/sn_f47cbefc9aa5b6a918431871c8e05789/rendering/09.obj", "4.95087957382")</f>
        <v>4.95087957382</v>
      </c>
      <c r="M483" s="5" t="str">
        <f>HYPERLINK(AA2 &amp; "/bottle/sn_f47cbefc9aa5b6a918431871c8e05789/rendering/10.obj", "4.69950485229")</f>
        <v>4.69950485229</v>
      </c>
      <c r="N483" s="92" t="str">
        <f>HYPERLINK(AA2 &amp; "/bottle/sn_f47cbefc9aa5b6a918431871c8e05789/rendering/11.obj", "4.45495462418")</f>
        <v>4.45495462418</v>
      </c>
      <c r="O483" s="66" t="str">
        <f>HYPERLINK(AA2 &amp; "/bottle/sn_f47cbefc9aa5b6a918431871c8e05789/rendering/12.obj", "4.27236747742")</f>
        <v>4.27236747742</v>
      </c>
      <c r="P483" s="176" t="str">
        <f>HYPERLINK(AA2 &amp; "/bottle/sn_f47cbefc9aa5b6a918431871c8e05789/rendering/13.obj", "3.47769927979")</f>
        <v>3.47769927979</v>
      </c>
      <c r="Q483" s="77" t="str">
        <f>HYPERLINK(AA2 &amp; "/bottle/sn_f47cbefc9aa5b6a918431871c8e05789/rendering/14.obj", "4.14504671097")</f>
        <v>4.14504671097</v>
      </c>
      <c r="R483" s="171" t="str">
        <f>HYPERLINK(AA2 &amp; "/bottle/sn_f47cbefc9aa5b6a918431871c8e05789/rendering/15.obj", "3.54011559486")</f>
        <v>3.54011559486</v>
      </c>
      <c r="S483" s="7" t="str">
        <f>HYPERLINK(AA2 &amp; "/bottle/sn_f47cbefc9aa5b6a918431871c8e05789/rendering/16.obj", "3.67822813988")</f>
        <v>3.67822813988</v>
      </c>
      <c r="T483" s="120" t="str">
        <f>HYPERLINK(AA2 &amp; "/bottle/sn_f47cbefc9aa5b6a918431871c8e05789/rendering/17.obj", "4.01849985123")</f>
        <v>4.01849985123</v>
      </c>
      <c r="U483" s="35" t="str">
        <f>HYPERLINK(AA2 &amp; "/bottle/sn_f47cbefc9aa5b6a918431871c8e05789/rendering/18.obj", "4.7897772789")</f>
        <v>4.7897772789</v>
      </c>
      <c r="V483" s="7" t="str">
        <f>HYPERLINK(AA2 &amp; "/bottle/sn_f47cbefc9aa5b6a918431871c8e05789/rendering/19.obj", "3.67939901352")</f>
        <v>3.67939901352</v>
      </c>
      <c r="W483" s="12" t="s">
        <v>30</v>
      </c>
      <c r="X483" s="13">
        <v>5.0910006284713747</v>
      </c>
      <c r="Y483" s="13">
        <v>4.5982043964311528</v>
      </c>
      <c r="Z483" s="20">
        <v>0.90320248061171637</v>
      </c>
    </row>
    <row r="484" spans="1:26" x14ac:dyDescent="0.2">
      <c r="A484" s="1">
        <v>482</v>
      </c>
      <c r="B484" s="2" t="s">
        <v>129</v>
      </c>
      <c r="C484" s="82" t="str">
        <f>HYPERLINK(AB2 &amp; "/bottle/sn_f47cbefc9aa5b6a918431871c8e05789/rendering/00.obj", "3.70179748535")</f>
        <v>3.70179748535</v>
      </c>
      <c r="D484" s="110" t="str">
        <f>HYPERLINK(AB2 &amp; "/bottle/sn_f47cbefc9aa5b6a918431871c8e05789/rendering/01.obj", "2.77021820068")</f>
        <v>2.77021820068</v>
      </c>
      <c r="E484" s="74" t="str">
        <f>HYPERLINK(AB2 &amp; "/bottle/sn_f47cbefc9aa5b6a918431871c8e05789/rendering/02.obj", "3.03341583252")</f>
        <v>3.03341583252</v>
      </c>
      <c r="F484" s="78" t="str">
        <f>HYPERLINK(AB2 &amp; "/bottle/sn_f47cbefc9aa5b6a918431871c8e05789/rendering/03.obj", "3.2574319458")</f>
        <v>3.2574319458</v>
      </c>
      <c r="G484" s="58" t="str">
        <f>HYPERLINK(AB2 &amp; "/bottle/sn_f47cbefc9aa5b6a918431871c8e05789/rendering/04.obj", "2.32497543335")</f>
        <v>2.32497543335</v>
      </c>
      <c r="H484" s="108" t="str">
        <f>HYPERLINK(AB2 &amp; "/bottle/sn_f47cbefc9aa5b6a918431871c8e05789/rendering/05.obj", "2.31332565308")</f>
        <v>2.31332565308</v>
      </c>
      <c r="I484" s="75" t="str">
        <f>HYPERLINK(AB2 &amp; "/bottle/sn_f47cbefc9aa5b6a918431871c8e05789/rendering/06.obj", "3.75694213867")</f>
        <v>3.75694213867</v>
      </c>
      <c r="J484" s="5" t="str">
        <f>HYPERLINK(AB2 &amp; "/bottle/sn_f47cbefc9aa5b6a918431871c8e05789/rendering/07.obj", "3.31191223145")</f>
        <v>3.31191223145</v>
      </c>
      <c r="K484" s="110" t="str">
        <f>HYPERLINK(AB2 &amp; "/bottle/sn_f47cbefc9aa5b6a918431871c8e05789/rendering/08.obj", "2.76846984863")</f>
        <v>2.76846984863</v>
      </c>
      <c r="L484" s="67" t="str">
        <f>HYPERLINK(AB2 &amp; "/bottle/sn_f47cbefc9aa5b6a918431871c8e05789/rendering/09.obj", "2.78561340332")</f>
        <v>2.78561340332</v>
      </c>
      <c r="M484" s="66" t="str">
        <f>HYPERLINK(AB2 &amp; "/bottle/sn_f47cbefc9aa5b6a918431871c8e05789/rendering/10.obj", "2.57392120361")</f>
        <v>2.57392120361</v>
      </c>
      <c r="N484" s="13" t="str">
        <f>HYPERLINK(AB2 &amp; "/bottle/sn_f47cbefc9aa5b6a918431871c8e05789/rendering/11.obj", "3.07967498779")</f>
        <v>3.07967498779</v>
      </c>
      <c r="O484" s="69" t="str">
        <f>HYPERLINK(AB2 &amp; "/bottle/sn_f47cbefc9aa5b6a918431871c8e05789/rendering/12.obj", "2.98235900879")</f>
        <v>2.98235900879</v>
      </c>
      <c r="P484" s="26" t="str">
        <f>HYPERLINK(AB2 &amp; "/bottle/sn_f47cbefc9aa5b6a918431871c8e05789/rendering/13.obj", "3.27027191162")</f>
        <v>3.27027191162</v>
      </c>
      <c r="Q484" s="109" t="str">
        <f>HYPERLINK(AB2 &amp; "/bottle/sn_f47cbefc9aa5b6a918431871c8e05789/rendering/14.obj", "3.65275146484")</f>
        <v>3.65275146484</v>
      </c>
      <c r="R484" s="26" t="str">
        <f>HYPERLINK(AB2 &amp; "/bottle/sn_f47cbefc9aa5b6a918431871c8e05789/rendering/15.obj", "3.26984527588")</f>
        <v>3.26984527588</v>
      </c>
      <c r="S484" s="4" t="str">
        <f>HYPERLINK(AB2 &amp; "/bottle/sn_f47cbefc9aa5b6a918431871c8e05789/rendering/16.obj", "3.94965454102")</f>
        <v>3.94965454102</v>
      </c>
      <c r="T484" s="109" t="str">
        <f>HYPERLINK(AB2 &amp; "/bottle/sn_f47cbefc9aa5b6a918431871c8e05789/rendering/17.obj", "3.66065795898")</f>
        <v>3.66065795898</v>
      </c>
      <c r="U484" s="79" t="str">
        <f>HYPERLINK(AB2 &amp; "/bottle/sn_f47cbefc9aa5b6a918431871c8e05789/rendering/18.obj", "2.58202728271")</f>
        <v>2.58202728271</v>
      </c>
      <c r="V484" s="49" t="str">
        <f>HYPERLINK(AB2 &amp; "/bottle/sn_f47cbefc9aa5b6a918431871c8e05789/rendering/19.obj", "2.42766403198")</f>
        <v>2.42766403198</v>
      </c>
      <c r="W484" s="12" t="s">
        <v>31</v>
      </c>
      <c r="X484" s="13">
        <v>3.0736464920043951</v>
      </c>
      <c r="Y484" s="13">
        <v>0.48999806254072492</v>
      </c>
      <c r="Z484" s="79">
        <v>0.15941913418325021</v>
      </c>
    </row>
    <row r="485" spans="1:26" x14ac:dyDescent="0.2">
      <c r="A485" s="1">
        <v>483</v>
      </c>
      <c r="B485" s="2" t="s">
        <v>129</v>
      </c>
      <c r="C485" s="72" t="str">
        <f>HYPERLINK(AB2 &amp; "/bottle/sn_f47cbefc9aa5b6a918431871c8e05789/rendering/00.obj", "3.16524171829")</f>
        <v>3.16524171829</v>
      </c>
      <c r="D485" s="30" t="str">
        <f>HYPERLINK(AB2 &amp; "/bottle/sn_f47cbefc9aa5b6a918431871c8e05789/rendering/01.obj", "3.07860517502")</f>
        <v>3.07860517502</v>
      </c>
      <c r="E485" s="69" t="str">
        <f>HYPERLINK(AB2 &amp; "/bottle/sn_f47cbefc9aa5b6a918431871c8e05789/rendering/02.obj", "2.96977996826")</f>
        <v>2.96977996826</v>
      </c>
      <c r="F485" s="34" t="str">
        <f>HYPERLINK(AB2 &amp; "/bottle/sn_f47cbefc9aa5b6a918431871c8e05789/rendering/03.obj", "2.91370654106")</f>
        <v>2.91370654106</v>
      </c>
      <c r="G485" s="30" t="str">
        <f>HYPERLINK(AB2 &amp; "/bottle/sn_f47cbefc9aa5b6a918431871c8e05789/rendering/04.obj", "3.07929801941")</f>
        <v>3.07929801941</v>
      </c>
      <c r="H485" s="17" t="str">
        <f>HYPERLINK(AB2 &amp; "/bottle/sn_f47cbefc9aa5b6a918431871c8e05789/rendering/05.obj", "3.12725257874")</f>
        <v>3.12725257874</v>
      </c>
      <c r="I485" s="29" t="str">
        <f>HYPERLINK(AB2 &amp; "/bottle/sn_f47cbefc9aa5b6a918431871c8e05789/rendering/06.obj", "3.46940922737")</f>
        <v>3.46940922737</v>
      </c>
      <c r="J485" s="74" t="str">
        <f>HYPERLINK(AB2 &amp; "/bottle/sn_f47cbefc9aa5b6a918431871c8e05789/rendering/07.obj", "3.10670113564")</f>
        <v>3.10670113564</v>
      </c>
      <c r="K485" s="10" t="str">
        <f>HYPERLINK(AB2 &amp; "/bottle/sn_f47cbefc9aa5b6a918431871c8e05789/rendering/08.obj", "2.89804291725")</f>
        <v>2.89804291725</v>
      </c>
      <c r="L485" s="69" t="str">
        <f>HYPERLINK(AB2 &amp; "/bottle/sn_f47cbefc9aa5b6a918431871c8e05789/rendering/09.obj", "3.16142582893")</f>
        <v>3.16142582893</v>
      </c>
      <c r="M485" s="73" t="str">
        <f>HYPERLINK(AB2 &amp; "/bottle/sn_f47cbefc9aa5b6a918431871c8e05789/rendering/10.obj", "3.17698144913")</f>
        <v>3.17698144913</v>
      </c>
      <c r="N485" s="72" t="str">
        <f>HYPERLINK(AB2 &amp; "/bottle/sn_f47cbefc9aa5b6a918431871c8e05789/rendering/11.obj", "2.96234679222")</f>
        <v>2.96234679222</v>
      </c>
      <c r="O485" s="23" t="str">
        <f>HYPERLINK(AB2 &amp; "/bottle/sn_f47cbefc9aa5b6a918431871c8e05789/rendering/12.obj", "2.94979166985")</f>
        <v>2.94979166985</v>
      </c>
      <c r="P485" s="46" t="str">
        <f>HYPERLINK(AB2 &amp; "/bottle/sn_f47cbefc9aa5b6a918431871c8e05789/rendering/13.obj", "3.00913739204")</f>
        <v>3.00913739204</v>
      </c>
      <c r="Q485" s="91" t="str">
        <f>HYPERLINK(AB2 &amp; "/bottle/sn_f47cbefc9aa5b6a918431871c8e05789/rendering/14.obj", "3.14337539673")</f>
        <v>3.14337539673</v>
      </c>
      <c r="R485" s="78" t="str">
        <f>HYPERLINK(AB2 &amp; "/bottle/sn_f47cbefc9aa5b6a918431871c8e05789/rendering/15.obj", "2.88123703003")</f>
        <v>2.88123703003</v>
      </c>
      <c r="S485" s="51" t="str">
        <f>HYPERLINK(AB2 &amp; "/bottle/sn_f47cbefc9aa5b6a918431871c8e05789/rendering/16.obj", "2.82015967369")</f>
        <v>2.82015967369</v>
      </c>
      <c r="T485" s="17" t="str">
        <f>HYPERLINK(AB2 &amp; "/bottle/sn_f47cbefc9aa5b6a918431871c8e05789/rendering/17.obj", "3.1235973835")</f>
        <v>3.1235973835</v>
      </c>
      <c r="U485" s="107" t="str">
        <f>HYPERLINK(AB2 &amp; "/bottle/sn_f47cbefc9aa5b6a918431871c8e05789/rendering/18.obj", "3.32430505753")</f>
        <v>3.32430505753</v>
      </c>
      <c r="V485" s="73" t="str">
        <f>HYPERLINK(AB2 &amp; "/bottle/sn_f47cbefc9aa5b6a918431871c8e05789/rendering/19.obj", "2.95131134987")</f>
        <v>2.95131134987</v>
      </c>
      <c r="W485" s="12" t="s">
        <v>32</v>
      </c>
      <c r="X485" s="13">
        <v>3.065585315227509</v>
      </c>
      <c r="Y485" s="13">
        <v>0.15356574454763969</v>
      </c>
      <c r="Z485" s="34">
        <v>5.0093449947336749E-2</v>
      </c>
    </row>
    <row r="486" spans="1:26" x14ac:dyDescent="0.2">
      <c r="A486" s="1">
        <v>484</v>
      </c>
      <c r="B486" s="2" t="s">
        <v>129</v>
      </c>
      <c r="C486" s="13" t="str">
        <f>HYPERLINK(AC2 &amp; "/bottle/sn_f47cbefc9aa5b6a918431871c8e05789/rendering/00.xyz", "0.0")</f>
        <v>0.0</v>
      </c>
      <c r="D486" s="13" t="str">
        <f>HYPERLINK(AC2 &amp; "/bottle/sn_f47cbefc9aa5b6a918431871c8e05789/rendering/01.xyz", "0.0")</f>
        <v>0.0</v>
      </c>
      <c r="E486" s="13" t="str">
        <f>HYPERLINK(AC2 &amp; "/bottle/sn_f47cbefc9aa5b6a918431871c8e05789/rendering/02.xyz", "0.0")</f>
        <v>0.0</v>
      </c>
      <c r="F486" s="13" t="str">
        <f>HYPERLINK(AC2 &amp; "/bottle/sn_f47cbefc9aa5b6a918431871c8e05789/rendering/03.xyz", "0.0")</f>
        <v>0.0</v>
      </c>
      <c r="G486" s="13" t="str">
        <f>HYPERLINK(AC2 &amp; "/bottle/sn_f47cbefc9aa5b6a918431871c8e05789/rendering/04.xyz", "0.0")</f>
        <v>0.0</v>
      </c>
      <c r="H486" s="13" t="str">
        <f>HYPERLINK(AC2 &amp; "/bottle/sn_f47cbefc9aa5b6a918431871c8e05789/rendering/05.xyz", "0.0")</f>
        <v>0.0</v>
      </c>
      <c r="I486" s="13" t="str">
        <f>HYPERLINK(AC2 &amp; "/bottle/sn_f47cbefc9aa5b6a918431871c8e05789/rendering/06.xyz", "0.0")</f>
        <v>0.0</v>
      </c>
      <c r="J486" s="13" t="str">
        <f>HYPERLINK(AC2 &amp; "/bottle/sn_f47cbefc9aa5b6a918431871c8e05789/rendering/07.xyz", "0.0")</f>
        <v>0.0</v>
      </c>
      <c r="K486" s="13" t="str">
        <f>HYPERLINK(AC2 &amp; "/bottle/sn_f47cbefc9aa5b6a918431871c8e05789/rendering/08.xyz", "0.0")</f>
        <v>0.0</v>
      </c>
      <c r="L486" s="13" t="str">
        <f>HYPERLINK(AC2 &amp; "/bottle/sn_f47cbefc9aa5b6a918431871c8e05789/rendering/09.xyz", "0.0")</f>
        <v>0.0</v>
      </c>
      <c r="M486" s="13" t="str">
        <f>HYPERLINK(AC2 &amp; "/bottle/sn_f47cbefc9aa5b6a918431871c8e05789/rendering/10.xyz", "0.0")</f>
        <v>0.0</v>
      </c>
      <c r="N486" s="13" t="str">
        <f>HYPERLINK(AC2 &amp; "/bottle/sn_f47cbefc9aa5b6a918431871c8e05789/rendering/11.xyz", "0.0")</f>
        <v>0.0</v>
      </c>
      <c r="O486" s="13" t="str">
        <f>HYPERLINK(AC2 &amp; "/bottle/sn_f47cbefc9aa5b6a918431871c8e05789/rendering/12.xyz", "0.0")</f>
        <v>0.0</v>
      </c>
      <c r="P486" s="13" t="str">
        <f>HYPERLINK(AC2 &amp; "/bottle/sn_f47cbefc9aa5b6a918431871c8e05789/rendering/13.xyz", "0.0")</f>
        <v>0.0</v>
      </c>
      <c r="Q486" s="13" t="str">
        <f>HYPERLINK(AC2 &amp; "/bottle/sn_f47cbefc9aa5b6a918431871c8e05789/rendering/14.xyz", "0.0")</f>
        <v>0.0</v>
      </c>
      <c r="R486" s="13" t="str">
        <f>HYPERLINK(AC2 &amp; "/bottle/sn_f47cbefc9aa5b6a918431871c8e05789/rendering/15.xyz", "0.0")</f>
        <v>0.0</v>
      </c>
      <c r="S486" s="13" t="str">
        <f>HYPERLINK(AC2 &amp; "/bottle/sn_f47cbefc9aa5b6a918431871c8e05789/rendering/16.xyz", "0.0")</f>
        <v>0.0</v>
      </c>
      <c r="T486" s="13" t="str">
        <f>HYPERLINK(AC2 &amp; "/bottle/sn_f47cbefc9aa5b6a918431871c8e05789/rendering/17.xyz", "0.0")</f>
        <v>0.0</v>
      </c>
      <c r="U486" s="13" t="str">
        <f>HYPERLINK(AC2 &amp; "/bottle/sn_f47cbefc9aa5b6a918431871c8e05789/rendering/18.xyz", "0.0")</f>
        <v>0.0</v>
      </c>
      <c r="V486" s="13" t="str">
        <f>HYPERLINK(AC2 &amp; "/bottle/sn_f47cbefc9aa5b6a918431871c8e05789/rendering/19.xyz", "0.0")</f>
        <v>0.0</v>
      </c>
      <c r="W486" s="12" t="s">
        <v>33</v>
      </c>
      <c r="X486" s="13">
        <v>0</v>
      </c>
      <c r="Y486" s="13">
        <v>0</v>
      </c>
      <c r="Z486" s="13">
        <v>0</v>
      </c>
    </row>
    <row r="487" spans="1:26" x14ac:dyDescent="0.2">
      <c r="A487" s="1">
        <v>485</v>
      </c>
      <c r="B487" s="2" t="s">
        <v>130</v>
      </c>
      <c r="C487" s="109" t="str">
        <f>HYPERLINK(AA2 &amp; "/bottle/sn_f4851a2835228377e101b7546e3ee8a7/rendering/00.obj", "3.04454467773")</f>
        <v>3.04454467773</v>
      </c>
      <c r="D487" s="91" t="str">
        <f>HYPERLINK(AA2 &amp; "/bottle/sn_f4851a2835228377e101b7546e3ee8a7/rendering/01.obj", "3.85572021484")</f>
        <v>3.85572021484</v>
      </c>
      <c r="E487" s="5" t="str">
        <f>HYPERLINK(AA2 &amp; "/bottle/sn_f4851a2835228377e101b7546e3ee8a7/rendering/02.obj", "3.45951293945")</f>
        <v>3.45951293945</v>
      </c>
      <c r="F487" s="140" t="str">
        <f>HYPERLINK(AA2 &amp; "/bottle/sn_f4851a2835228377e101b7546e3ee8a7/rendering/03.obj", "5.05231445312")</f>
        <v>5.05231445312</v>
      </c>
      <c r="G487" s="81" t="str">
        <f>HYPERLINK(AA2 &amp; "/bottle/sn_f4851a2835228377e101b7546e3ee8a7/rendering/04.obj", "2.93821899414")</f>
        <v>2.93821899414</v>
      </c>
      <c r="H487" s="38" t="str">
        <f>HYPERLINK(AA2 &amp; "/bottle/sn_f4851a2835228377e101b7546e3ee8a7/rendering/05.obj", "4.09282653809")</f>
        <v>4.09282653809</v>
      </c>
      <c r="I487" s="24" t="str">
        <f>HYPERLINK(AA2 &amp; "/bottle/sn_f4851a2835228377e101b7546e3ee8a7/rendering/06.obj", "3.12863342285")</f>
        <v>3.12863342285</v>
      </c>
      <c r="J487" s="130" t="str">
        <f>HYPERLINK(AA2 &amp; "/bottle/sn_f4851a2835228377e101b7546e3ee8a7/rendering/07.obj", "5.44346191406")</f>
        <v>5.44346191406</v>
      </c>
      <c r="K487" s="36" t="str">
        <f>HYPERLINK(AA2 &amp; "/bottle/sn_f4851a2835228377e101b7546e3ee8a7/rendering/08.obj", "2.95128173828")</f>
        <v>2.95128173828</v>
      </c>
      <c r="L487" s="39" t="str">
        <f>HYPERLINK(AA2 &amp; "/bottle/sn_f4851a2835228377e101b7546e3ee8a7/rendering/09.obj", "4.0728112793")</f>
        <v>4.0728112793</v>
      </c>
      <c r="M487" s="50" t="str">
        <f>HYPERLINK(AA2 &amp; "/bottle/sn_f4851a2835228377e101b7546e3ee8a7/rendering/10.obj", "3.00047729492")</f>
        <v>3.00047729492</v>
      </c>
      <c r="N487" s="4" t="str">
        <f>HYPERLINK(AA2 &amp; "/bottle/sn_f4851a2835228377e101b7546e3ee8a7/rendering/11.obj", "2.69197998047")</f>
        <v>2.69197998047</v>
      </c>
      <c r="O487" s="111" t="str">
        <f>HYPERLINK(AA2 &amp; "/bottle/sn_f4851a2835228377e101b7546e3ee8a7/rendering/12.obj", "5.3363861084")</f>
        <v>5.3363861084</v>
      </c>
      <c r="P487" s="185" t="str">
        <f>HYPERLINK(AA2 &amp; "/bottle/sn_f4851a2835228377e101b7546e3ee8a7/rendering/13.obj", "2.47341033936")</f>
        <v>2.47341033936</v>
      </c>
      <c r="Q487" s="107" t="str">
        <f>HYPERLINK(AA2 &amp; "/bottle/sn_f4851a2835228377e101b7546e3ee8a7/rendering/14.obj", "3.44395965576")</f>
        <v>3.44395965576</v>
      </c>
      <c r="R487" s="103" t="str">
        <f>HYPERLINK(AA2 &amp; "/bottle/sn_f4851a2835228377e101b7546e3ee8a7/rendering/15.obj", "2.54042114258")</f>
        <v>2.54042114258</v>
      </c>
      <c r="S487" s="175" t="str">
        <f>HYPERLINK(AA2 &amp; "/bottle/sn_f4851a2835228377e101b7546e3ee8a7/rendering/16.obj", "4.62947845459")</f>
        <v>4.62947845459</v>
      </c>
      <c r="T487" s="76" t="str">
        <f>HYPERLINK(AA2 &amp; "/bottle/sn_f4851a2835228377e101b7546e3ee8a7/rendering/17.obj", "4.44299499512")</f>
        <v>4.44299499512</v>
      </c>
      <c r="U487" s="86" t="str">
        <f>HYPERLINK(AA2 &amp; "/bottle/sn_f4851a2835228377e101b7546e3ee8a7/rendering/18.obj", "4.7657824707")</f>
        <v>4.7657824707</v>
      </c>
      <c r="V487" s="74" t="str">
        <f>HYPERLINK(AA2 &amp; "/bottle/sn_f4851a2835228377e101b7546e3ee8a7/rendering/19.obj", "3.70254150391")</f>
        <v>3.70254150391</v>
      </c>
      <c r="W487" s="12" t="s">
        <v>29</v>
      </c>
      <c r="X487" s="13">
        <v>3.753337905883789</v>
      </c>
      <c r="Y487" s="13">
        <v>0.91470317750211805</v>
      </c>
      <c r="Z487" s="58">
        <v>0.2437039244636662</v>
      </c>
    </row>
    <row r="488" spans="1:26" x14ac:dyDescent="0.2">
      <c r="A488" s="1">
        <v>486</v>
      </c>
      <c r="B488" s="2" t="s">
        <v>130</v>
      </c>
      <c r="C488" s="192" t="str">
        <f>HYPERLINK(AA2 &amp; "/bottle/sn_f4851a2835228377e101b7546e3ee8a7/rendering/00.obj", "2.52606272697")</f>
        <v>2.52606272697</v>
      </c>
      <c r="D488" s="35" t="str">
        <f>HYPERLINK(AA2 &amp; "/bottle/sn_f4851a2835228377e101b7546e3ee8a7/rendering/01.obj", "3.78521943092")</f>
        <v>3.78521943092</v>
      </c>
      <c r="E488" s="69" t="str">
        <f>HYPERLINK(AA2 &amp; "/bottle/sn_f4851a2835228377e101b7546e3ee8a7/rendering/02.obj", "4.13934326172")</f>
        <v>4.13934326172</v>
      </c>
      <c r="F488" s="242" t="str">
        <f>HYPERLINK(AA2 &amp; "/bottle/sn_f4851a2835228377e101b7546e3ee8a7/rendering/03.obj", "6.95138406754")</f>
        <v>6.95138406754</v>
      </c>
      <c r="G488" s="7" t="str">
        <f>HYPERLINK(AA2 &amp; "/bottle/sn_f4851a2835228377e101b7546e3ee8a7/rendering/04.obj", "2.89466452599")</f>
        <v>2.89466452599</v>
      </c>
      <c r="H488" s="110" t="str">
        <f>HYPERLINK(AA2 &amp; "/bottle/sn_f4851a2835228377e101b7546e3ee8a7/rendering/05.obj", "3.62289857864")</f>
        <v>3.62289857864</v>
      </c>
      <c r="I488" s="166" t="str">
        <f>HYPERLINK(AA2 &amp; "/bottle/sn_f4851a2835228377e101b7546e3ee8a7/rendering/06.obj", "2.85675382614")</f>
        <v>2.85675382614</v>
      </c>
      <c r="J488" s="240" t="str">
        <f>HYPERLINK(AA2 &amp; "/bottle/sn_f4851a2835228377e101b7546e3ee8a7/rendering/07.obj", "6.63803720474")</f>
        <v>6.63803720474</v>
      </c>
      <c r="K488" s="55" t="str">
        <f>HYPERLINK(AA2 &amp; "/bottle/sn_f4851a2835228377e101b7546e3ee8a7/rendering/08.obj", "3.237388134")</f>
        <v>3.237388134</v>
      </c>
      <c r="L488" s="47" t="str">
        <f>HYPERLINK(AA2 &amp; "/bottle/sn_f4851a2835228377e101b7546e3ee8a7/rendering/09.obj", "3.98224687576")</f>
        <v>3.98224687576</v>
      </c>
      <c r="M488" s="187" t="str">
        <f>HYPERLINK(AA2 &amp; "/bottle/sn_f4851a2835228377e101b7546e3ee8a7/rendering/10.obj", "2.61182188988")</f>
        <v>2.61182188988</v>
      </c>
      <c r="N488" s="89" t="str">
        <f>HYPERLINK(AA2 &amp; "/bottle/sn_f4851a2835228377e101b7546e3ee8a7/rendering/11.obj", "2.97715735435")</f>
        <v>2.97715735435</v>
      </c>
      <c r="O488" s="104" t="str">
        <f>HYPERLINK(AA2 &amp; "/bottle/sn_f4851a2835228377e101b7546e3ee8a7/rendering/12.obj", "5.91856241226")</f>
        <v>5.91856241226</v>
      </c>
      <c r="P488" s="85" t="str">
        <f>HYPERLINK(AA2 &amp; "/bottle/sn_f4851a2835228377e101b7546e3ee8a7/rendering/13.obj", "2.82434630394")</f>
        <v>2.82434630394</v>
      </c>
      <c r="Q488" s="80" t="str">
        <f>HYPERLINK(AA2 &amp; "/bottle/sn_f4851a2835228377e101b7546e3ee8a7/rendering/14.obj", "3.41694879532")</f>
        <v>3.41694879532</v>
      </c>
      <c r="R488" s="149" t="str">
        <f>HYPERLINK(AA2 &amp; "/bottle/sn_f4851a2835228377e101b7546e3ee8a7/rendering/15.obj", "2.63097763062")</f>
        <v>2.63097763062</v>
      </c>
      <c r="S488" s="149" t="str">
        <f>HYPERLINK(AA2 &amp; "/bottle/sn_f4851a2835228377e101b7546e3ee8a7/rendering/16.obj", "5.39038419724")</f>
        <v>5.39038419724</v>
      </c>
      <c r="T488" s="65" t="str">
        <f>HYPERLINK(AA2 &amp; "/bottle/sn_f4851a2835228377e101b7546e3ee8a7/rendering/17.obj", "4.54875707626")</f>
        <v>4.54875707626</v>
      </c>
      <c r="U488" s="113" t="str">
        <f>HYPERLINK(AA2 &amp; "/bottle/sn_f4851a2835228377e101b7546e3ee8a7/rendering/18.obj", "5.11845588684")</f>
        <v>5.11845588684</v>
      </c>
      <c r="V488" s="34" t="str">
        <f>HYPERLINK(AA2 &amp; "/bottle/sn_f4851a2835228377e101b7546e3ee8a7/rendering/19.obj", "4.20580101013")</f>
        <v>4.20580101013</v>
      </c>
      <c r="W488" s="12" t="s">
        <v>30</v>
      </c>
      <c r="X488" s="13">
        <v>4.0138605594635006</v>
      </c>
      <c r="Y488" s="13">
        <v>1.321647458248576</v>
      </c>
      <c r="Z488" s="54">
        <v>0.32927089485770028</v>
      </c>
    </row>
    <row r="489" spans="1:26" x14ac:dyDescent="0.2">
      <c r="A489" s="1">
        <v>487</v>
      </c>
      <c r="B489" s="2" t="s">
        <v>130</v>
      </c>
      <c r="C489" s="73" t="str">
        <f>HYPERLINK(AB2 &amp; "/bottle/sn_f4851a2835228377e101b7546e3ee8a7/rendering/00.obj", "2.83764556885")</f>
        <v>2.83764556885</v>
      </c>
      <c r="D489" s="10" t="str">
        <f>HYPERLINK(AB2 &amp; "/bottle/sn_f4851a2835228377e101b7546e3ee8a7/rendering/01.obj", "2.78083312988")</f>
        <v>2.78083312988</v>
      </c>
      <c r="E489" s="38" t="str">
        <f>HYPERLINK(AB2 &amp; "/bottle/sn_f4851a2835228377e101b7546e3ee8a7/rendering/02.obj", "3.20388336182")</f>
        <v>3.20388336182</v>
      </c>
      <c r="F489" s="69" t="str">
        <f>HYPERLINK(AB2 &amp; "/bottle/sn_f4851a2835228377e101b7546e3ee8a7/rendering/03.obj", "3.03626159668")</f>
        <v>3.03626159668</v>
      </c>
      <c r="G489" s="5" t="str">
        <f>HYPERLINK(AB2 &amp; "/bottle/sn_f4851a2835228377e101b7546e3ee8a7/rendering/04.obj", "3.17495300293")</f>
        <v>3.17495300293</v>
      </c>
      <c r="H489" s="72" t="str">
        <f>HYPERLINK(AB2 &amp; "/bottle/sn_f4851a2835228377e101b7546e3ee8a7/rendering/05.obj", "3.04103363037")</f>
        <v>3.04103363037</v>
      </c>
      <c r="I489" s="74" t="str">
        <f>HYPERLINK(AB2 &amp; "/bottle/sn_f4851a2835228377e101b7546e3ee8a7/rendering/06.obj", "2.98249511719")</f>
        <v>2.98249511719</v>
      </c>
      <c r="J489" s="60" t="str">
        <f>HYPERLINK(AB2 &amp; "/bottle/sn_f4851a2835228377e101b7546e3ee8a7/rendering/07.obj", "3.09963897705")</f>
        <v>3.09963897705</v>
      </c>
      <c r="K489" s="48" t="str">
        <f>HYPERLINK(AB2 &amp; "/bottle/sn_f4851a2835228377e101b7546e3ee8a7/rendering/08.obj", "2.87782714844")</f>
        <v>2.87782714844</v>
      </c>
      <c r="L489" s="41" t="str">
        <f>HYPERLINK(AB2 &amp; "/bottle/sn_f4851a2835228377e101b7546e3ee8a7/rendering/09.obj", "2.74419677734")</f>
        <v>2.74419677734</v>
      </c>
      <c r="M489" s="42" t="str">
        <f>HYPERLINK(AB2 &amp; "/bottle/sn_f4851a2835228377e101b7546e3ee8a7/rendering/10.obj", "2.53875610352")</f>
        <v>2.53875610352</v>
      </c>
      <c r="N489" s="82" t="str">
        <f>HYPERLINK(AB2 &amp; "/bottle/sn_f4851a2835228377e101b7546e3ee8a7/rendering/11.obj", "2.3380619812")</f>
        <v>2.3380619812</v>
      </c>
      <c r="O489" s="30" t="str">
        <f>HYPERLINK(AB2 &amp; "/bottle/sn_f4851a2835228377e101b7546e3ee8a7/rendering/12.obj", "2.96170593262")</f>
        <v>2.96170593262</v>
      </c>
      <c r="P489" s="39" t="str">
        <f>HYPERLINK(AB2 &amp; "/bottle/sn_f4851a2835228377e101b7546e3ee8a7/rendering/13.obj", "3.19903869629")</f>
        <v>3.19903869629</v>
      </c>
      <c r="Q489" s="51" t="str">
        <f>HYPERLINK(AB2 &amp; "/bottle/sn_f4851a2835228377e101b7546e3ee8a7/rendering/14.obj", "2.70661682129")</f>
        <v>2.70661682129</v>
      </c>
      <c r="R489" s="63" t="str">
        <f>HYPERLINK(AB2 &amp; "/bottle/sn_f4851a2835228377e101b7546e3ee8a7/rendering/15.obj", "3.30057006836")</f>
        <v>3.30057006836</v>
      </c>
      <c r="S489" s="73" t="str">
        <f>HYPERLINK(AB2 &amp; "/bottle/sn_f4851a2835228377e101b7546e3ee8a7/rendering/16.obj", "2.83830932617")</f>
        <v>2.83830932617</v>
      </c>
      <c r="T489" s="68" t="str">
        <f>HYPERLINK(AB2 &amp; "/bottle/sn_f4851a2835228377e101b7546e3ee8a7/rendering/17.obj", "3.07104492188")</f>
        <v>3.07104492188</v>
      </c>
      <c r="U489" s="23" t="str">
        <f>HYPERLINK(AB2 &amp; "/bottle/sn_f4851a2835228377e101b7546e3ee8a7/rendering/18.obj", "3.06087524414")</f>
        <v>3.06087524414</v>
      </c>
      <c r="V489" s="60" t="str">
        <f>HYPERLINK(AB2 &amp; "/bottle/sn_f4851a2835228377e101b7546e3ee8a7/rendering/19.obj", "3.09802978516")</f>
        <v>3.09802978516</v>
      </c>
      <c r="W489" s="12" t="s">
        <v>31</v>
      </c>
      <c r="X489" s="13">
        <v>2.944588859558106</v>
      </c>
      <c r="Y489" s="13">
        <v>0.23363115437439999</v>
      </c>
      <c r="Z489" s="51">
        <v>7.9342538302430779E-2</v>
      </c>
    </row>
    <row r="490" spans="1:26" x14ac:dyDescent="0.2">
      <c r="A490" s="1">
        <v>488</v>
      </c>
      <c r="B490" s="2" t="s">
        <v>130</v>
      </c>
      <c r="C490" s="78" t="str">
        <f>HYPERLINK(AB2 &amp; "/bottle/sn_f4851a2835228377e101b7546e3ee8a7/rendering/00.obj", "2.79021143913")</f>
        <v>2.79021143913</v>
      </c>
      <c r="D490" s="48" t="str">
        <f>HYPERLINK(AB2 &amp; "/bottle/sn_f4851a2835228377e101b7546e3ee8a7/rendering/01.obj", "2.68770503998")</f>
        <v>2.68770503998</v>
      </c>
      <c r="E490" s="23" t="str">
        <f>HYPERLINK(AB2 &amp; "/bottle/sn_f4851a2835228377e101b7546e3ee8a7/rendering/02.obj", "2.72736859322")</f>
        <v>2.72736859322</v>
      </c>
      <c r="F490" s="133" t="str">
        <f>HYPERLINK(AB2 &amp; "/bottle/sn_f4851a2835228377e101b7546e3ee8a7/rendering/03.obj", "2.35816502571")</f>
        <v>2.35816502571</v>
      </c>
      <c r="G490" s="65" t="str">
        <f>HYPERLINK(AB2 &amp; "/bottle/sn_f4851a2835228377e101b7546e3ee8a7/rendering/04.obj", "2.97886610031")</f>
        <v>2.97886610031</v>
      </c>
      <c r="H490" s="26" t="str">
        <f>HYPERLINK(AB2 &amp; "/bottle/sn_f4851a2835228377e101b7546e3ee8a7/rendering/05.obj", "2.45993590355")</f>
        <v>2.45993590355</v>
      </c>
      <c r="I490" s="10" t="str">
        <f>HYPERLINK(AB2 &amp; "/bottle/sn_f4851a2835228377e101b7546e3ee8a7/rendering/06.obj", "2.76995706558")</f>
        <v>2.76995706558</v>
      </c>
      <c r="J490" s="73" t="str">
        <f>HYPERLINK(AB2 &amp; "/bottle/sn_f4851a2835228377e101b7546e3ee8a7/rendering/07.obj", "2.53577470779")</f>
        <v>2.53577470779</v>
      </c>
      <c r="K490" s="31" t="str">
        <f>HYPERLINK(AB2 &amp; "/bottle/sn_f4851a2835228377e101b7546e3ee8a7/rendering/08.obj", "2.22172474861")</f>
        <v>2.22172474861</v>
      </c>
      <c r="L490" s="23" t="str">
        <f>HYPERLINK(AB2 &amp; "/bottle/sn_f4851a2835228377e101b7546e3ee8a7/rendering/09.obj", "2.72858738899")</f>
        <v>2.72858738899</v>
      </c>
      <c r="M490" s="67" t="str">
        <f>HYPERLINK(AB2 &amp; "/bottle/sn_f4851a2835228377e101b7546e3ee8a7/rendering/10.obj", "2.86576271057")</f>
        <v>2.86576271057</v>
      </c>
      <c r="N490" s="13" t="str">
        <f>HYPERLINK(AB2 &amp; "/bottle/sn_f4851a2835228377e101b7546e3ee8a7/rendering/11.obj", "2.6217880249")</f>
        <v>2.6217880249</v>
      </c>
      <c r="O490" s="90" t="str">
        <f>HYPERLINK(AB2 &amp; "/bottle/sn_f4851a2835228377e101b7546e3ee8a7/rendering/12.obj", "2.3758764267")</f>
        <v>2.3758764267</v>
      </c>
      <c r="P490" s="66" t="str">
        <f>HYPERLINK(AB2 &amp; "/bottle/sn_f4851a2835228377e101b7546e3ee8a7/rendering/13.obj", "2.20595550537")</f>
        <v>2.20595550537</v>
      </c>
      <c r="Q490" s="78" t="str">
        <f>HYPERLINK(AB2 &amp; "/bottle/sn_f4851a2835228377e101b7546e3ee8a7/rendering/14.obj", "2.78737783432")</f>
        <v>2.78737783432</v>
      </c>
      <c r="R490" s="76" t="str">
        <f>HYPERLINK(AB2 &amp; "/bottle/sn_f4851a2835228377e101b7546e3ee8a7/rendering/15.obj", "3.10502910614")</f>
        <v>3.10502910614</v>
      </c>
      <c r="S490" s="65" t="str">
        <f>HYPERLINK(AB2 &amp; "/bottle/sn_f4851a2835228377e101b7546e3ee8a7/rendering/16.obj", "2.27704620361")</f>
        <v>2.27704620361</v>
      </c>
      <c r="T490" s="10" t="str">
        <f>HYPERLINK(AB2 &amp; "/bottle/sn_f4851a2835228377e101b7546e3ee8a7/rendering/17.obj", "2.4835498333")</f>
        <v>2.4835498333</v>
      </c>
      <c r="U490" s="46" t="str">
        <f>HYPERLINK(AB2 &amp; "/bottle/sn_f4851a2835228377e101b7546e3ee8a7/rendering/18.obj", "2.58384585381")</f>
        <v>2.58384585381</v>
      </c>
      <c r="V490" s="29" t="str">
        <f>HYPERLINK(AB2 &amp; "/bottle/sn_f4851a2835228377e101b7546e3ee8a7/rendering/19.obj", "2.97101020813")</f>
        <v>2.97101020813</v>
      </c>
      <c r="W490" s="12" t="s">
        <v>32</v>
      </c>
      <c r="X490" s="13">
        <v>2.6267768859863279</v>
      </c>
      <c r="Y490" s="13">
        <v>0.25323657400161242</v>
      </c>
      <c r="Z490" s="90">
        <v>9.6405817849476258E-2</v>
      </c>
    </row>
    <row r="491" spans="1:26" x14ac:dyDescent="0.2">
      <c r="A491" s="1">
        <v>489</v>
      </c>
      <c r="B491" s="2" t="s">
        <v>130</v>
      </c>
      <c r="C491" s="13" t="str">
        <f>HYPERLINK(AC2 &amp; "/bottle/sn_f4851a2835228377e101b7546e3ee8a7/rendering/00.xyz", "0.0")</f>
        <v>0.0</v>
      </c>
      <c r="D491" s="13" t="str">
        <f>HYPERLINK(AC2 &amp; "/bottle/sn_f4851a2835228377e101b7546e3ee8a7/rendering/01.xyz", "0.0")</f>
        <v>0.0</v>
      </c>
      <c r="E491" s="13" t="str">
        <f>HYPERLINK(AC2 &amp; "/bottle/sn_f4851a2835228377e101b7546e3ee8a7/rendering/02.xyz", "0.0")</f>
        <v>0.0</v>
      </c>
      <c r="F491" s="13" t="str">
        <f>HYPERLINK(AC2 &amp; "/bottle/sn_f4851a2835228377e101b7546e3ee8a7/rendering/03.xyz", "0.0")</f>
        <v>0.0</v>
      </c>
      <c r="G491" s="13" t="str">
        <f>HYPERLINK(AC2 &amp; "/bottle/sn_f4851a2835228377e101b7546e3ee8a7/rendering/04.xyz", "0.0")</f>
        <v>0.0</v>
      </c>
      <c r="H491" s="13" t="str">
        <f>HYPERLINK(AC2 &amp; "/bottle/sn_f4851a2835228377e101b7546e3ee8a7/rendering/05.xyz", "0.0")</f>
        <v>0.0</v>
      </c>
      <c r="I491" s="13" t="str">
        <f>HYPERLINK(AC2 &amp; "/bottle/sn_f4851a2835228377e101b7546e3ee8a7/rendering/06.xyz", "0.0")</f>
        <v>0.0</v>
      </c>
      <c r="J491" s="13" t="str">
        <f>HYPERLINK(AC2 &amp; "/bottle/sn_f4851a2835228377e101b7546e3ee8a7/rendering/07.xyz", "0.0")</f>
        <v>0.0</v>
      </c>
      <c r="K491" s="13" t="str">
        <f>HYPERLINK(AC2 &amp; "/bottle/sn_f4851a2835228377e101b7546e3ee8a7/rendering/08.xyz", "0.0")</f>
        <v>0.0</v>
      </c>
      <c r="L491" s="13" t="str">
        <f>HYPERLINK(AC2 &amp; "/bottle/sn_f4851a2835228377e101b7546e3ee8a7/rendering/09.xyz", "0.0")</f>
        <v>0.0</v>
      </c>
      <c r="M491" s="13" t="str">
        <f>HYPERLINK(AC2 &amp; "/bottle/sn_f4851a2835228377e101b7546e3ee8a7/rendering/10.xyz", "0.0")</f>
        <v>0.0</v>
      </c>
      <c r="N491" s="13" t="str">
        <f>HYPERLINK(AC2 &amp; "/bottle/sn_f4851a2835228377e101b7546e3ee8a7/rendering/11.xyz", "0.0")</f>
        <v>0.0</v>
      </c>
      <c r="O491" s="13" t="str">
        <f>HYPERLINK(AC2 &amp; "/bottle/sn_f4851a2835228377e101b7546e3ee8a7/rendering/12.xyz", "0.0")</f>
        <v>0.0</v>
      </c>
      <c r="P491" s="13" t="str">
        <f>HYPERLINK(AC2 &amp; "/bottle/sn_f4851a2835228377e101b7546e3ee8a7/rendering/13.xyz", "0.0")</f>
        <v>0.0</v>
      </c>
      <c r="Q491" s="13" t="str">
        <f>HYPERLINK(AC2 &amp; "/bottle/sn_f4851a2835228377e101b7546e3ee8a7/rendering/14.xyz", "0.0")</f>
        <v>0.0</v>
      </c>
      <c r="R491" s="13" t="str">
        <f>HYPERLINK(AC2 &amp; "/bottle/sn_f4851a2835228377e101b7546e3ee8a7/rendering/15.xyz", "0.0")</f>
        <v>0.0</v>
      </c>
      <c r="S491" s="13" t="str">
        <f>HYPERLINK(AC2 &amp; "/bottle/sn_f4851a2835228377e101b7546e3ee8a7/rendering/16.xyz", "0.0")</f>
        <v>0.0</v>
      </c>
      <c r="T491" s="13" t="str">
        <f>HYPERLINK(AC2 &amp; "/bottle/sn_f4851a2835228377e101b7546e3ee8a7/rendering/17.xyz", "0.0")</f>
        <v>0.0</v>
      </c>
      <c r="U491" s="13" t="str">
        <f>HYPERLINK(AC2 &amp; "/bottle/sn_f4851a2835228377e101b7546e3ee8a7/rendering/18.xyz", "0.0")</f>
        <v>0.0</v>
      </c>
      <c r="V491" s="13" t="str">
        <f>HYPERLINK(AC2 &amp; "/bottle/sn_f4851a2835228377e101b7546e3ee8a7/rendering/19.xyz", "0.0")</f>
        <v>0.0</v>
      </c>
      <c r="W491" s="12" t="s">
        <v>33</v>
      </c>
      <c r="X491" s="13">
        <v>0</v>
      </c>
      <c r="Y491" s="13">
        <v>0</v>
      </c>
      <c r="Z491" s="13">
        <v>0</v>
      </c>
    </row>
    <row r="492" spans="1:26" x14ac:dyDescent="0.2">
      <c r="A492" s="1">
        <v>490</v>
      </c>
      <c r="B492" s="2" t="s">
        <v>131</v>
      </c>
      <c r="C492" s="83" t="str">
        <f>HYPERLINK(AA2 &amp; "/bottle/sn_f4a3d7e8b3fc3514480d47219c914042/rendering/00.obj", "5.19168823242")</f>
        <v>5.19168823242</v>
      </c>
      <c r="D492" s="192" t="str">
        <f>HYPERLINK(AA2 &amp; "/bottle/sn_f4a3d7e8b3fc3514480d47219c914042/rendering/01.obj", "2.82791503906")</f>
        <v>2.82791503906</v>
      </c>
      <c r="E492" s="36" t="str">
        <f>HYPERLINK(AA2 &amp; "/bottle/sn_f4a3d7e8b3fc3514480d47219c914042/rendering/02.obj", "3.54049285889")</f>
        <v>3.54049285889</v>
      </c>
      <c r="F492" s="70" t="str">
        <f>HYPERLINK(AA2 &amp; "/bottle/sn_f4a3d7e8b3fc3514480d47219c914042/rendering/03.obj", "3.93366210938")</f>
        <v>3.93366210938</v>
      </c>
      <c r="G492" s="51" t="str">
        <f>HYPERLINK(AA2 &amp; "/bottle/sn_f4a3d7e8b3fc3514480d47219c914042/rendering/04.obj", "4.85954772949")</f>
        <v>4.85954772949</v>
      </c>
      <c r="H492" s="78" t="str">
        <f>HYPERLINK(AA2 &amp; "/bottle/sn_f4a3d7e8b3fc3514480d47219c914042/rendering/05.obj", "4.22668426514")</f>
        <v>4.22668426514</v>
      </c>
      <c r="I492" s="5" t="str">
        <f>HYPERLINK(AA2 &amp; "/bottle/sn_f4a3d7e8b3fc3514480d47219c914042/rendering/06.obj", "4.15179534912")</f>
        <v>4.15179534912</v>
      </c>
      <c r="J492" s="174" t="str">
        <f>HYPERLINK(AA2 &amp; "/bottle/sn_f4a3d7e8b3fc3514480d47219c914042/rendering/07.obj", "6.8660559082")</f>
        <v>6.8660559082</v>
      </c>
      <c r="K492" s="176" t="str">
        <f>HYPERLINK(AA2 &amp; "/bottle/sn_f4a3d7e8b3fc3514480d47219c914042/rendering/08.obj", "5.93448852539")</f>
        <v>5.93448852539</v>
      </c>
      <c r="L492" s="98" t="str">
        <f>HYPERLINK(AA2 &amp; "/bottle/sn_f4a3d7e8b3fc3514480d47219c914042/rendering/09.obj", "5.54525695801")</f>
        <v>5.54525695801</v>
      </c>
      <c r="M492" s="182" t="str">
        <f>HYPERLINK(AA2 &amp; "/bottle/sn_f4a3d7e8b3fc3514480d47219c914042/rendering/10.obj", "2.99578857422")</f>
        <v>2.99578857422</v>
      </c>
      <c r="N492" s="170" t="str">
        <f>HYPERLINK(AA2 &amp; "/bottle/sn_f4a3d7e8b3fc3514480d47219c914042/rendering/11.obj", "3.36596435547")</f>
        <v>3.36596435547</v>
      </c>
      <c r="O492" s="67" t="str">
        <f>HYPERLINK(AA2 &amp; "/bottle/sn_f4a3d7e8b3fc3514480d47219c914042/rendering/12.obj", "4.91749328613")</f>
        <v>4.91749328613</v>
      </c>
      <c r="P492" s="29" t="str">
        <f>HYPERLINK(AA2 &amp; "/bottle/sn_f4a3d7e8b3fc3514480d47219c914042/rendering/13.obj", "3.91233123779")</f>
        <v>3.91233123779</v>
      </c>
      <c r="Q492" s="142" t="str">
        <f>HYPERLINK(AA2 &amp; "/bottle/sn_f4a3d7e8b3fc3514480d47219c914042/rendering/14.obj", "6.28377746582")</f>
        <v>6.28377746582</v>
      </c>
      <c r="R492" s="24" t="str">
        <f>HYPERLINK(AA2 &amp; "/bottle/sn_f4a3d7e8b3fc3514480d47219c914042/rendering/15.obj", "3.75163574219")</f>
        <v>3.75163574219</v>
      </c>
      <c r="S492" s="168" t="str">
        <f>HYPERLINK(AA2 &amp; "/bottle/sn_f4a3d7e8b3fc3514480d47219c914042/rendering/16.obj", "3.04891113281")</f>
        <v>3.04891113281</v>
      </c>
      <c r="T492" s="169" t="str">
        <f>HYPERLINK(AA2 &amp; "/bottle/sn_f4a3d7e8b3fc3514480d47219c914042/rendering/17.obj", "5.90306396484")</f>
        <v>5.90306396484</v>
      </c>
      <c r="U492" s="6" t="str">
        <f>HYPERLINK(AA2 &amp; "/bottle/sn_f4a3d7e8b3fc3514480d47219c914042/rendering/18.obj", "4.70347473145")</f>
        <v>4.70347473145</v>
      </c>
      <c r="V492" s="39" t="str">
        <f>HYPERLINK(AA2 &amp; "/bottle/sn_f4a3d7e8b3fc3514480d47219c914042/rendering/19.obj", "4.11479064941")</f>
        <v>4.11479064941</v>
      </c>
      <c r="W492" s="12" t="s">
        <v>29</v>
      </c>
      <c r="X492" s="13">
        <v>4.5037409057617186</v>
      </c>
      <c r="Y492" s="13">
        <v>1.1327724114482871</v>
      </c>
      <c r="Z492" s="170">
        <v>0.25151811242052369</v>
      </c>
    </row>
    <row r="493" spans="1:26" x14ac:dyDescent="0.2">
      <c r="A493" s="1">
        <v>491</v>
      </c>
      <c r="B493" s="2" t="s">
        <v>131</v>
      </c>
      <c r="C493" s="47" t="str">
        <f>HYPERLINK(AA2 &amp; "/bottle/sn_f4a3d7e8b3fc3514480d47219c914042/rendering/00.obj", "6.34722805023")</f>
        <v>6.34722805023</v>
      </c>
      <c r="D493" s="122" t="str">
        <f>HYPERLINK(AA2 &amp; "/bottle/sn_f4a3d7e8b3fc3514480d47219c914042/rendering/01.obj", "3.82512521744")</f>
        <v>3.82512521744</v>
      </c>
      <c r="E493" s="81" t="str">
        <f>HYPERLINK(AA2 &amp; "/bottle/sn_f4a3d7e8b3fc3514480d47219c914042/rendering/02.obj", "5.00985717773")</f>
        <v>5.00985717773</v>
      </c>
      <c r="F493" s="77" t="str">
        <f>HYPERLINK(AA2 &amp; "/bottle/sn_f4a3d7e8b3fc3514480d47219c914042/rendering/03.obj", "5.20678758621")</f>
        <v>5.20678758621</v>
      </c>
      <c r="G493" s="77" t="str">
        <f>HYPERLINK(AA2 &amp; "/bottle/sn_f4a3d7e8b3fc3514480d47219c914042/rendering/04.obj", "7.60061693192")</f>
        <v>7.60061693192</v>
      </c>
      <c r="H493" s="116" t="str">
        <f>HYPERLINK(AA2 &amp; "/bottle/sn_f4a3d7e8b3fc3514480d47219c914042/rendering/05.obj", "9.20478439331")</f>
        <v>9.20478439331</v>
      </c>
      <c r="I493" s="80" t="str">
        <f>HYPERLINK(AA2 &amp; "/bottle/sn_f4a3d7e8b3fc3514480d47219c914042/rendering/06.obj", "5.45215320587")</f>
        <v>5.45215320587</v>
      </c>
      <c r="J493" s="243" t="str">
        <f>HYPERLINK(AA2 &amp; "/bottle/sn_f4a3d7e8b3fc3514480d47219c914042/rendering/07.obj", "11.4046430588")</f>
        <v>11.4046430588</v>
      </c>
      <c r="K493" s="7" t="str">
        <f>HYPERLINK(AA2 &amp; "/bottle/sn_f4a3d7e8b3fc3514480d47219c914042/rendering/08.obj", "8.19018745422")</f>
        <v>8.19018745422</v>
      </c>
      <c r="L493" s="17" t="str">
        <f>HYPERLINK(AA2 &amp; "/bottle/sn_f4a3d7e8b3fc3514480d47219c914042/rendering/09.obj", "6.28147029877")</f>
        <v>6.28147029877</v>
      </c>
      <c r="M493" s="52" t="str">
        <f>HYPERLINK(AA2 &amp; "/bottle/sn_f4a3d7e8b3fc3514480d47219c914042/rendering/10.obj", "3.85393214226")</f>
        <v>3.85393214226</v>
      </c>
      <c r="N493" s="185" t="str">
        <f>HYPERLINK(AA2 &amp; "/bottle/sn_f4a3d7e8b3fc3514480d47219c914042/rendering/11.obj", "4.21630764008")</f>
        <v>4.21630764008</v>
      </c>
      <c r="O493" s="6" t="str">
        <f>HYPERLINK(AA2 &amp; "/bottle/sn_f4a3d7e8b3fc3514480d47219c914042/rendering/12.obj", "6.11658906937")</f>
        <v>6.11658906937</v>
      </c>
      <c r="P493" s="89" t="str">
        <f>HYPERLINK(AA2 &amp; "/bottle/sn_f4a3d7e8b3fc3514480d47219c914042/rendering/13.obj", "4.75623655319")</f>
        <v>4.75623655319</v>
      </c>
      <c r="Q493" s="177" t="str">
        <f>HYPERLINK(AA2 &amp; "/bottle/sn_f4a3d7e8b3fc3514480d47219c914042/rendering/14.obj", "9.83490371704")</f>
        <v>9.83490371704</v>
      </c>
      <c r="R493" s="76" t="str">
        <f>HYPERLINK(AA2 &amp; "/bottle/sn_f4a3d7e8b3fc3514480d47219c914042/rendering/15.obj", "5.22630929947")</f>
        <v>5.22630929947</v>
      </c>
      <c r="S493" s="137" t="str">
        <f>HYPERLINK(AA2 &amp; "/bottle/sn_f4a3d7e8b3fc3514480d47219c914042/rendering/16.obj", "4.06122255325")</f>
        <v>4.06122255325</v>
      </c>
      <c r="T493" s="218" t="str">
        <f>HYPERLINK(AA2 &amp; "/bottle/sn_f4a3d7e8b3fc3514480d47219c914042/rendering/17.obj", "9.72121334076")</f>
        <v>9.72121334076</v>
      </c>
      <c r="U493" s="51" t="str">
        <f>HYPERLINK(AA2 &amp; "/bottle/sn_f4a3d7e8b3fc3514480d47219c914042/rendering/18.obj", "5.89588212967")</f>
        <v>5.89588212967</v>
      </c>
      <c r="V493" s="94" t="str">
        <f>HYPERLINK(AA2 &amp; "/bottle/sn_f4a3d7e8b3fc3514480d47219c914042/rendering/19.obj", "5.92470216751")</f>
        <v>5.92470216751</v>
      </c>
      <c r="W493" s="12" t="s">
        <v>30</v>
      </c>
      <c r="X493" s="13">
        <v>6.4065075993537901</v>
      </c>
      <c r="Y493" s="13">
        <v>2.1523231836462871</v>
      </c>
      <c r="Z493" s="138">
        <v>0.33595889027953191</v>
      </c>
    </row>
    <row r="494" spans="1:26" x14ac:dyDescent="0.2">
      <c r="A494" s="1">
        <v>492</v>
      </c>
      <c r="B494" s="2" t="s">
        <v>131</v>
      </c>
      <c r="C494" s="74" t="str">
        <f>HYPERLINK(AB2 &amp; "/bottle/sn_f4a3d7e8b3fc3514480d47219c914042/rendering/00.obj", "3.87952880859")</f>
        <v>3.87952880859</v>
      </c>
      <c r="D494" s="121" t="str">
        <f>HYPERLINK(AB2 &amp; "/bottle/sn_f4a3d7e8b3fc3514480d47219c914042/rendering/01.obj", "5.31377746582")</f>
        <v>5.31377746582</v>
      </c>
      <c r="E494" s="6" t="str">
        <f>HYPERLINK(AB2 &amp; "/bottle/sn_f4a3d7e8b3fc3514480d47219c914042/rendering/02.obj", "4.11273590088")</f>
        <v>4.11273590088</v>
      </c>
      <c r="F494" s="23" t="str">
        <f>HYPERLINK(AB2 &amp; "/bottle/sn_f4a3d7e8b3fc3514480d47219c914042/rendering/03.obj", "3.77543640137")</f>
        <v>3.77543640137</v>
      </c>
      <c r="G494" s="66" t="str">
        <f>HYPERLINK(AB2 &amp; "/bottle/sn_f4a3d7e8b3fc3514480d47219c914042/rendering/04.obj", "4.55951782227")</f>
        <v>4.55951782227</v>
      </c>
      <c r="H494" s="69" t="str">
        <f>HYPERLINK(AB2 &amp; "/bottle/sn_f4a3d7e8b3fc3514480d47219c914042/rendering/05.obj", "4.04505554199")</f>
        <v>4.04505554199</v>
      </c>
      <c r="I494" s="133" t="str">
        <f>HYPERLINK(AB2 &amp; "/bottle/sn_f4a3d7e8b3fc3514480d47219c914042/rendering/06.obj", "3.5281918335")</f>
        <v>3.5281918335</v>
      </c>
      <c r="J494" s="90" t="str">
        <f>HYPERLINK(AB2 &amp; "/bottle/sn_f4a3d7e8b3fc3514480d47219c914042/rendering/07.obj", "4.30582397461")</f>
        <v>4.30582397461</v>
      </c>
      <c r="K494" s="25" t="str">
        <f>HYPERLINK(AB2 &amp; "/bottle/sn_f4a3d7e8b3fc3514480d47219c914042/rendering/08.obj", "3.97201171875")</f>
        <v>3.97201171875</v>
      </c>
      <c r="L494" s="107" t="str">
        <f>HYPERLINK(AB2 &amp; "/bottle/sn_f4a3d7e8b3fc3514480d47219c914042/rendering/09.obj", "3.60647399902")</f>
        <v>3.60647399902</v>
      </c>
      <c r="M494" s="51" t="str">
        <f>HYPERLINK(AB2 &amp; "/bottle/sn_f4a3d7e8b3fc3514480d47219c914042/rendering/10.obj", "3.61218200684")</f>
        <v>3.61218200684</v>
      </c>
      <c r="N494" s="42" t="str">
        <f>HYPERLINK(AB2 &amp; "/bottle/sn_f4a3d7e8b3fc3514480d47219c914042/rendering/11.obj", "3.39131958008")</f>
        <v>3.39131958008</v>
      </c>
      <c r="O494" s="32" t="str">
        <f>HYPERLINK(AB2 &amp; "/bottle/sn_f4a3d7e8b3fc3514480d47219c914042/rendering/12.obj", "3.51300109863")</f>
        <v>3.51300109863</v>
      </c>
      <c r="P494" s="84" t="str">
        <f>HYPERLINK(AB2 &amp; "/bottle/sn_f4a3d7e8b3fc3514480d47219c914042/rendering/13.obj", "3.35107543945")</f>
        <v>3.35107543945</v>
      </c>
      <c r="Q494" s="13" t="str">
        <f>HYPERLINK(AB2 &amp; "/bottle/sn_f4a3d7e8b3fc3514480d47219c914042/rendering/14.obj", "3.94102172852")</f>
        <v>3.94102172852</v>
      </c>
      <c r="R494" s="51" t="str">
        <f>HYPERLINK(AB2 &amp; "/bottle/sn_f4a3d7e8b3fc3514480d47219c914042/rendering/15.obj", "3.61581542969")</f>
        <v>3.61581542969</v>
      </c>
      <c r="S494" s="107" t="str">
        <f>HYPERLINK(AB2 &amp; "/bottle/sn_f4a3d7e8b3fc3514480d47219c914042/rendering/16.obj", "3.60221252441")</f>
        <v>3.60221252441</v>
      </c>
      <c r="T494" s="77" t="str">
        <f>HYPERLINK(AB2 &amp; "/bottle/sn_f4a3d7e8b3fc3514480d47219c914042/rendering/17.obj", "4.65992858887")</f>
        <v>4.65992858887</v>
      </c>
      <c r="U494" s="13" t="str">
        <f>HYPERLINK(AB2 &amp; "/bottle/sn_f4a3d7e8b3fc3514480d47219c914042/rendering/18.obj", "3.9207611084")</f>
        <v>3.9207611084</v>
      </c>
      <c r="V494" s="47" t="str">
        <f>HYPERLINK(AB2 &amp; "/bottle/sn_f4a3d7e8b3fc3514480d47219c914042/rendering/19.obj", "3.89661376953")</f>
        <v>3.89661376953</v>
      </c>
      <c r="W494" s="12" t="s">
        <v>31</v>
      </c>
      <c r="X494" s="13">
        <v>3.9301242370605469</v>
      </c>
      <c r="Y494" s="13">
        <v>0.47084115187059872</v>
      </c>
      <c r="Z494" s="63">
        <v>0.11980312159870909</v>
      </c>
    </row>
    <row r="495" spans="1:26" x14ac:dyDescent="0.2">
      <c r="A495" s="1">
        <v>493</v>
      </c>
      <c r="B495" s="2" t="s">
        <v>131</v>
      </c>
      <c r="C495" s="29" t="str">
        <f>HYPERLINK(AB2 &amp; "/bottle/sn_f4a3d7e8b3fc3514480d47219c914042/rendering/00.obj", "3.403840065")</f>
        <v>3.403840065</v>
      </c>
      <c r="D495" s="202" t="str">
        <f>HYPERLINK(AB2 &amp; "/bottle/sn_f4a3d7e8b3fc3514480d47219c914042/rendering/01.obj", "6.37810134888")</f>
        <v>6.37810134888</v>
      </c>
      <c r="E495" s="48" t="str">
        <f>HYPERLINK(AB2 &amp; "/bottle/sn_f4a3d7e8b3fc3514480d47219c914042/rendering/02.obj", "3.81454849243")</f>
        <v>3.81454849243</v>
      </c>
      <c r="F495" s="38" t="str">
        <f>HYPERLINK(AB2 &amp; "/bottle/sn_f4a3d7e8b3fc3514480d47219c914042/rendering/03.obj", "3.56578993797")</f>
        <v>3.56578993797</v>
      </c>
      <c r="G495" s="83" t="str">
        <f>HYPERLINK(AB2 &amp; "/bottle/sn_f4a3d7e8b3fc3514480d47219c914042/rendering/04.obj", "4.50518608093")</f>
        <v>4.50518608093</v>
      </c>
      <c r="H495" s="113" t="str">
        <f>HYPERLINK(AB2 &amp; "/bottle/sn_f4a3d7e8b3fc3514480d47219c914042/rendering/05.obj", "4.98613977432")</f>
        <v>4.98613977432</v>
      </c>
      <c r="I495" s="69" t="str">
        <f>HYPERLINK(AB2 &amp; "/bottle/sn_f4a3d7e8b3fc3514480d47219c914042/rendering/06.obj", "3.79533600807")</f>
        <v>3.79533600807</v>
      </c>
      <c r="J495" s="133" t="str">
        <f>HYPERLINK(AB2 &amp; "/bottle/sn_f4a3d7e8b3fc3514480d47219c914042/rendering/07.obj", "3.51121163368")</f>
        <v>3.51121163368</v>
      </c>
      <c r="K495" s="60" t="str">
        <f>HYPERLINK(AB2 &amp; "/bottle/sn_f4a3d7e8b3fc3514480d47219c914042/rendering/08.obj", "3.71227097511")</f>
        <v>3.71227097511</v>
      </c>
      <c r="L495" s="34" t="str">
        <f>HYPERLINK(AB2 &amp; "/bottle/sn_f4a3d7e8b3fc3514480d47219c914042/rendering/09.obj", "3.72509908676")</f>
        <v>3.72509908676</v>
      </c>
      <c r="M495" s="6" t="str">
        <f>HYPERLINK(AB2 &amp; "/bottle/sn_f4a3d7e8b3fc3514480d47219c914042/rendering/10.obj", "3.72883343697")</f>
        <v>3.72883343697</v>
      </c>
      <c r="N495" s="10" t="str">
        <f>HYPERLINK(AB2 &amp; "/bottle/sn_f4a3d7e8b3fc3514480d47219c914042/rendering/11.obj", "3.69753718376")</f>
        <v>3.69753718376</v>
      </c>
      <c r="O495" s="17" t="str">
        <f>HYPERLINK(AB2 &amp; "/bottle/sn_f4a3d7e8b3fc3514480d47219c914042/rendering/12.obj", "3.83463072777")</f>
        <v>3.83463072777</v>
      </c>
      <c r="P495" s="5" t="str">
        <f>HYPERLINK(AB2 &amp; "/bottle/sn_f4a3d7e8b3fc3514480d47219c914042/rendering/13.obj", "3.6072974205")</f>
        <v>3.6072974205</v>
      </c>
      <c r="Q495" s="71" t="str">
        <f>HYPERLINK(AB2 &amp; "/bottle/sn_f4a3d7e8b3fc3514480d47219c914042/rendering/14.obj", "3.45032119751")</f>
        <v>3.45032119751</v>
      </c>
      <c r="R495" s="110" t="str">
        <f>HYPERLINK(AB2 &amp; "/bottle/sn_f4a3d7e8b3fc3514480d47219c914042/rendering/15.obj", "3.52720189095")</f>
        <v>3.52720189095</v>
      </c>
      <c r="S495" s="90" t="str">
        <f>HYPERLINK(AB2 &amp; "/bottle/sn_f4a3d7e8b3fc3514480d47219c914042/rendering/16.obj", "3.54218149185")</f>
        <v>3.54218149185</v>
      </c>
      <c r="T495" s="13" t="str">
        <f>HYPERLINK(AB2 &amp; "/bottle/sn_f4a3d7e8b3fc3514480d47219c914042/rendering/17.obj", "3.91382336617")</f>
        <v>3.91382336617</v>
      </c>
      <c r="U495" s="10" t="str">
        <f>HYPERLINK(AB2 &amp; "/bottle/sn_f4a3d7e8b3fc3514480d47219c914042/rendering/18.obj", "4.12874937057")</f>
        <v>4.12874937057</v>
      </c>
      <c r="V495" s="92" t="str">
        <f>HYPERLINK(AB2 &amp; "/bottle/sn_f4a3d7e8b3fc3514480d47219c914042/rendering/19.obj", "3.42555904388")</f>
        <v>3.42555904388</v>
      </c>
      <c r="W495" s="12" t="s">
        <v>32</v>
      </c>
      <c r="X495" s="13">
        <v>3.9126829266548162</v>
      </c>
      <c r="Y495" s="13">
        <v>0.67763956790721636</v>
      </c>
      <c r="Z495" s="37">
        <v>0.17319051418423281</v>
      </c>
    </row>
    <row r="496" spans="1:26" x14ac:dyDescent="0.2">
      <c r="A496" s="1">
        <v>494</v>
      </c>
      <c r="B496" s="2" t="s">
        <v>131</v>
      </c>
      <c r="C496" s="13" t="str">
        <f>HYPERLINK(AC2 &amp; "/bottle/sn_f4a3d7e8b3fc3514480d47219c914042/rendering/00.xyz", "0.0")</f>
        <v>0.0</v>
      </c>
      <c r="D496" s="13" t="str">
        <f>HYPERLINK(AC2 &amp; "/bottle/sn_f4a3d7e8b3fc3514480d47219c914042/rendering/01.xyz", "0.0")</f>
        <v>0.0</v>
      </c>
      <c r="E496" s="13" t="str">
        <f>HYPERLINK(AC2 &amp; "/bottle/sn_f4a3d7e8b3fc3514480d47219c914042/rendering/02.xyz", "0.0")</f>
        <v>0.0</v>
      </c>
      <c r="F496" s="13" t="str">
        <f>HYPERLINK(AC2 &amp; "/bottle/sn_f4a3d7e8b3fc3514480d47219c914042/rendering/03.xyz", "0.0")</f>
        <v>0.0</v>
      </c>
      <c r="G496" s="13" t="str">
        <f>HYPERLINK(AC2 &amp; "/bottle/sn_f4a3d7e8b3fc3514480d47219c914042/rendering/04.xyz", "0.0")</f>
        <v>0.0</v>
      </c>
      <c r="H496" s="13" t="str">
        <f>HYPERLINK(AC2 &amp; "/bottle/sn_f4a3d7e8b3fc3514480d47219c914042/rendering/05.xyz", "0.0")</f>
        <v>0.0</v>
      </c>
      <c r="I496" s="13" t="str">
        <f>HYPERLINK(AC2 &amp; "/bottle/sn_f4a3d7e8b3fc3514480d47219c914042/rendering/06.xyz", "0.0")</f>
        <v>0.0</v>
      </c>
      <c r="J496" s="13" t="str">
        <f>HYPERLINK(AC2 &amp; "/bottle/sn_f4a3d7e8b3fc3514480d47219c914042/rendering/07.xyz", "0.0")</f>
        <v>0.0</v>
      </c>
      <c r="K496" s="13" t="str">
        <f>HYPERLINK(AC2 &amp; "/bottle/sn_f4a3d7e8b3fc3514480d47219c914042/rendering/08.xyz", "0.0")</f>
        <v>0.0</v>
      </c>
      <c r="L496" s="13" t="str">
        <f>HYPERLINK(AC2 &amp; "/bottle/sn_f4a3d7e8b3fc3514480d47219c914042/rendering/09.xyz", "0.0")</f>
        <v>0.0</v>
      </c>
      <c r="M496" s="13" t="str">
        <f>HYPERLINK(AC2 &amp; "/bottle/sn_f4a3d7e8b3fc3514480d47219c914042/rendering/10.xyz", "0.0")</f>
        <v>0.0</v>
      </c>
      <c r="N496" s="13" t="str">
        <f>HYPERLINK(AC2 &amp; "/bottle/sn_f4a3d7e8b3fc3514480d47219c914042/rendering/11.xyz", "0.0")</f>
        <v>0.0</v>
      </c>
      <c r="O496" s="13" t="str">
        <f>HYPERLINK(AC2 &amp; "/bottle/sn_f4a3d7e8b3fc3514480d47219c914042/rendering/12.xyz", "0.0")</f>
        <v>0.0</v>
      </c>
      <c r="P496" s="13" t="str">
        <f>HYPERLINK(AC2 &amp; "/bottle/sn_f4a3d7e8b3fc3514480d47219c914042/rendering/13.xyz", "0.0")</f>
        <v>0.0</v>
      </c>
      <c r="Q496" s="13" t="str">
        <f>HYPERLINK(AC2 &amp; "/bottle/sn_f4a3d7e8b3fc3514480d47219c914042/rendering/14.xyz", "0.0")</f>
        <v>0.0</v>
      </c>
      <c r="R496" s="13" t="str">
        <f>HYPERLINK(AC2 &amp; "/bottle/sn_f4a3d7e8b3fc3514480d47219c914042/rendering/15.xyz", "0.0")</f>
        <v>0.0</v>
      </c>
      <c r="S496" s="13" t="str">
        <f>HYPERLINK(AC2 &amp; "/bottle/sn_f4a3d7e8b3fc3514480d47219c914042/rendering/16.xyz", "0.0")</f>
        <v>0.0</v>
      </c>
      <c r="T496" s="13" t="str">
        <f>HYPERLINK(AC2 &amp; "/bottle/sn_f4a3d7e8b3fc3514480d47219c914042/rendering/17.xyz", "0.0")</f>
        <v>0.0</v>
      </c>
      <c r="U496" s="13" t="str">
        <f>HYPERLINK(AC2 &amp; "/bottle/sn_f4a3d7e8b3fc3514480d47219c914042/rendering/18.xyz", "0.0")</f>
        <v>0.0</v>
      </c>
      <c r="V496" s="13" t="str">
        <f>HYPERLINK(AC2 &amp; "/bottle/sn_f4a3d7e8b3fc3514480d47219c914042/rendering/19.xyz", "0.0")</f>
        <v>0.0</v>
      </c>
      <c r="W496" s="12" t="s">
        <v>33</v>
      </c>
      <c r="X496" s="13">
        <v>0</v>
      </c>
      <c r="Y496" s="13">
        <v>0</v>
      </c>
      <c r="Z496" s="13">
        <v>0</v>
      </c>
    </row>
    <row r="497" spans="1:26" x14ac:dyDescent="0.2">
      <c r="A497" s="1">
        <v>495</v>
      </c>
      <c r="B497" s="2" t="s">
        <v>132</v>
      </c>
      <c r="C497" s="134" t="str">
        <f>HYPERLINK(AA2 &amp; "/bottle/sn_f62bfe9756ae99be9921431405933fd2/rendering/00.obj", "4.95204162598")</f>
        <v>4.95204162598</v>
      </c>
      <c r="D497" s="46" t="str">
        <f>HYPERLINK(AA2 &amp; "/bottle/sn_f62bfe9756ae99be9921431405933fd2/rendering/01.obj", "5.93576538086")</f>
        <v>5.93576538086</v>
      </c>
      <c r="E497" s="175" t="str">
        <f>HYPERLINK(AA2 &amp; "/bottle/sn_f62bfe9756ae99be9921431405933fd2/rendering/02.obj", "4.62620697021")</f>
        <v>4.62620697021</v>
      </c>
      <c r="F497" s="111" t="str">
        <f>HYPERLINK(AA2 &amp; "/bottle/sn_f62bfe9756ae99be9921431405933fd2/rendering/03.obj", "8.57977294922")</f>
        <v>8.57977294922</v>
      </c>
      <c r="G497" s="69" t="str">
        <f>HYPERLINK(AA2 &amp; "/bottle/sn_f62bfe9756ae99be9921431405933fd2/rendering/04.obj", "5.85820983887")</f>
        <v>5.85820983887</v>
      </c>
      <c r="H497" s="20" t="str">
        <f>HYPERLINK(AA2 &amp; "/bottle/sn_f62bfe9756ae99be9921431405933fd2/rendering/05.obj", "12.0293591309")</f>
        <v>12.0293591309</v>
      </c>
      <c r="I497" s="187" t="str">
        <f>HYPERLINK(AA2 &amp; "/bottle/sn_f62bfe9756ae99be9921431405933fd2/rendering/06.obj", "8.14994873047")</f>
        <v>8.14994873047</v>
      </c>
      <c r="J497" s="92" t="str">
        <f>HYPERLINK(AA2 &amp; "/bottle/sn_f62bfe9756ae99be9921431405933fd2/rendering/07.obj", "5.29482055664")</f>
        <v>5.29482055664</v>
      </c>
      <c r="K497" s="98" t="str">
        <f>HYPERLINK(AA2 &amp; "/bottle/sn_f62bfe9756ae99be9921431405933fd2/rendering/08.obj", "4.63891723633")</f>
        <v>4.63891723633</v>
      </c>
      <c r="L497" s="94" t="str">
        <f>HYPERLINK(AA2 &amp; "/bottle/sn_f62bfe9756ae99be9921431405933fd2/rendering/09.obj", "5.58719482422")</f>
        <v>5.58719482422</v>
      </c>
      <c r="M497" s="92" t="str">
        <f>HYPERLINK(AA2 &amp; "/bottle/sn_f62bfe9756ae99be9921431405933fd2/rendering/10.obj", "5.28395874023")</f>
        <v>5.28395874023</v>
      </c>
      <c r="N497" s="110" t="str">
        <f>HYPERLINK(AA2 &amp; "/bottle/sn_f62bfe9756ae99be9921431405933fd2/rendering/11.obj", "5.45033813477")</f>
        <v>5.45033813477</v>
      </c>
      <c r="O497" s="73" t="str">
        <f>HYPERLINK(AA2 &amp; "/bottle/sn_f62bfe9756ae99be9921431405933fd2/rendering/12.obj", "5.82158813477")</f>
        <v>5.82158813477</v>
      </c>
      <c r="P497" s="41" t="str">
        <f>HYPERLINK(AA2 &amp; "/bottle/sn_f62bfe9756ae99be9921431405933fd2/rendering/13.obj", "6.44995300293")</f>
        <v>6.44995300293</v>
      </c>
      <c r="Q497" s="8" t="str">
        <f>HYPERLINK(AA2 &amp; "/bottle/sn_f62bfe9756ae99be9921431405933fd2/rendering/14.obj", "5.18223754883")</f>
        <v>5.18223754883</v>
      </c>
      <c r="R497" s="76" t="str">
        <f>HYPERLINK(AA2 &amp; "/bottle/sn_f62bfe9756ae99be9921431405933fd2/rendering/15.obj", "4.922940979")</f>
        <v>4.922940979</v>
      </c>
      <c r="S497" s="38" t="str">
        <f>HYPERLINK(AA2 &amp; "/bottle/sn_f62bfe9756ae99be9921431405933fd2/rendering/16.obj", "5.49043579102")</f>
        <v>5.49043579102</v>
      </c>
      <c r="T497" s="13" t="str">
        <f>HYPERLINK(AA2 &amp; "/bottle/sn_f62bfe9756ae99be9921431405933fd2/rendering/17.obj", "6.03387573242")</f>
        <v>6.03387573242</v>
      </c>
      <c r="U497" s="28" t="str">
        <f>HYPERLINK(AA2 &amp; "/bottle/sn_f62bfe9756ae99be9921431405933fd2/rendering/18.obj", "5.36454223633")</f>
        <v>5.36454223633</v>
      </c>
      <c r="V497" s="80" t="str">
        <f>HYPERLINK(AA2 &amp; "/bottle/sn_f62bfe9756ae99be9921431405933fd2/rendering/19.obj", "5.13714477539")</f>
        <v>5.13714477539</v>
      </c>
      <c r="W497" s="12" t="s">
        <v>29</v>
      </c>
      <c r="X497" s="13">
        <v>6.039462615966797</v>
      </c>
      <c r="Y497" s="13">
        <v>1.694351983462818</v>
      </c>
      <c r="Z497" s="95">
        <v>0.28054681205963322</v>
      </c>
    </row>
    <row r="498" spans="1:26" x14ac:dyDescent="0.2">
      <c r="A498" s="1">
        <v>496</v>
      </c>
      <c r="B498" s="2" t="s">
        <v>132</v>
      </c>
      <c r="C498" s="75" t="str">
        <f>HYPERLINK(AA2 &amp; "/bottle/sn_f62bfe9756ae99be9921431405933fd2/rendering/00.obj", "5.54941272736")</f>
        <v>5.54941272736</v>
      </c>
      <c r="D498" s="17" t="str">
        <f>HYPERLINK(AA2 &amp; "/bottle/sn_f62bfe9756ae99be9921431405933fd2/rendering/01.obj", "6.9716091156")</f>
        <v>6.9716091156</v>
      </c>
      <c r="E498" s="124" t="str">
        <f>HYPERLINK(AA2 &amp; "/bottle/sn_f62bfe9756ae99be9921431405933fd2/rendering/02.obj", "4.4135594368")</f>
        <v>4.4135594368</v>
      </c>
      <c r="F498" s="20" t="str">
        <f>HYPERLINK(AA2 &amp; "/bottle/sn_f62bfe9756ae99be9921431405933fd2/rendering/03.obj", "20.3008518219")</f>
        <v>20.3008518219</v>
      </c>
      <c r="G498" s="17" t="str">
        <f>HYPERLINK(AA2 &amp; "/bottle/sn_f62bfe9756ae99be9921431405933fd2/rendering/04.obj", "6.99138832092")</f>
        <v>6.99138832092</v>
      </c>
      <c r="H498" s="20" t="str">
        <f>HYPERLINK(AA2 &amp; "/bottle/sn_f62bfe9756ae99be9921431405933fd2/rendering/05.obj", "15.1151885986")</f>
        <v>15.1151885986</v>
      </c>
      <c r="I498" s="93" t="str">
        <f>HYPERLINK(AA2 &amp; "/bottle/sn_f62bfe9756ae99be9921431405933fd2/rendering/06.obj", "8.12280464172")</f>
        <v>8.12280464172</v>
      </c>
      <c r="J498" s="151" t="str">
        <f>HYPERLINK(AA2 &amp; "/bottle/sn_f62bfe9756ae99be9921431405933fd2/rendering/07.obj", "4.55878973007")</f>
        <v>4.55878973007</v>
      </c>
      <c r="K498" s="145" t="str">
        <f>HYPERLINK(AA2 &amp; "/bottle/sn_f62bfe9756ae99be9921431405933fd2/rendering/08.obj", "3.62667274475")</f>
        <v>3.62667274475</v>
      </c>
      <c r="L498" s="30" t="str">
        <f>HYPERLINK(AA2 &amp; "/bottle/sn_f62bfe9756ae99be9921431405933fd2/rendering/09.obj", "7.08716487885")</f>
        <v>7.08716487885</v>
      </c>
      <c r="M498" s="118" t="str">
        <f>HYPERLINK(AA2 &amp; "/bottle/sn_f62bfe9756ae99be9921431405933fd2/rendering/10.obj", "5.02872800827")</f>
        <v>5.02872800827</v>
      </c>
      <c r="N498" s="175" t="str">
        <f>HYPERLINK(AA2 &amp; "/bottle/sn_f62bfe9756ae99be9921431405933fd2/rendering/11.obj", "5.45547294617")</f>
        <v>5.45547294617</v>
      </c>
      <c r="O498" s="185" t="str">
        <f>HYPERLINK(AA2 &amp; "/bottle/sn_f62bfe9756ae99be9921431405933fd2/rendering/12.obj", "4.70935297012")</f>
        <v>4.70935297012</v>
      </c>
      <c r="P498" s="63" t="str">
        <f>HYPERLINK(AA2 &amp; "/bottle/sn_f62bfe9756ae99be9921431405933fd2/rendering/13.obj", "7.99214363098")</f>
        <v>7.99214363098</v>
      </c>
      <c r="Q498" s="168" t="str">
        <f>HYPERLINK(AA2 &amp; "/bottle/sn_f62bfe9756ae99be9921431405933fd2/rendering/14.obj", "4.83332014084")</f>
        <v>4.83332014084</v>
      </c>
      <c r="R498" s="51" t="str">
        <f>HYPERLINK(AA2 &amp; "/bottle/sn_f62bfe9756ae99be9921431405933fd2/rendering/15.obj", "6.55079269409")</f>
        <v>6.55079269409</v>
      </c>
      <c r="S498" s="8" t="str">
        <f>HYPERLINK(AA2 &amp; "/bottle/sn_f62bfe9756ae99be9921431405933fd2/rendering/16.obj", "6.10346126556")</f>
        <v>6.10346126556</v>
      </c>
      <c r="T498" s="64" t="str">
        <f>HYPERLINK(AA2 &amp; "/bottle/sn_f62bfe9756ae99be9921431405933fd2/rendering/17.obj", "8.29341697693")</f>
        <v>8.29341697693</v>
      </c>
      <c r="U498" s="64" t="str">
        <f>HYPERLINK(AA2 &amp; "/bottle/sn_f62bfe9756ae99be9921431405933fd2/rendering/18.obj", "5.94325828552")</f>
        <v>5.94325828552</v>
      </c>
      <c r="V498" s="169" t="str">
        <f>HYPERLINK(AA2 &amp; "/bottle/sn_f62bfe9756ae99be9921431405933fd2/rendering/19.obj", "4.91053628922")</f>
        <v>4.91053628922</v>
      </c>
      <c r="W498" s="12" t="s">
        <v>30</v>
      </c>
      <c r="X498" s="13">
        <v>7.1278962612152101</v>
      </c>
      <c r="Y498" s="13">
        <v>3.8418884444685242</v>
      </c>
      <c r="Z498" s="150">
        <v>0.53899331635524306</v>
      </c>
    </row>
    <row r="499" spans="1:26" x14ac:dyDescent="0.2">
      <c r="A499" s="1">
        <v>497</v>
      </c>
      <c r="B499" s="2" t="s">
        <v>132</v>
      </c>
      <c r="C499" s="13" t="str">
        <f>HYPERLINK(AB2 &amp; "/bottle/sn_f62bfe9756ae99be9921431405933fd2/rendering/00.obj", "4.7333416748")</f>
        <v>4.7333416748</v>
      </c>
      <c r="D499" s="30" t="str">
        <f>HYPERLINK(AB2 &amp; "/bottle/sn_f62bfe9756ae99be9921431405933fd2/rendering/01.obj", "4.71456420898")</f>
        <v>4.71456420898</v>
      </c>
      <c r="E499" s="133" t="str">
        <f>HYPERLINK(AB2 &amp; "/bottle/sn_f62bfe9756ae99be9921431405933fd2/rendering/02.obj", "5.22528076172")</f>
        <v>5.22528076172</v>
      </c>
      <c r="F499" s="63" t="str">
        <f>HYPERLINK(AB2 &amp; "/bottle/sn_f62bfe9756ae99be9921431405933fd2/rendering/03.obj", "5.31751525879")</f>
        <v>5.31751525879</v>
      </c>
      <c r="G499" s="72" t="str">
        <f>HYPERLINK(AB2 &amp; "/bottle/sn_f62bfe9756ae99be9921431405933fd2/rendering/04.obj", "4.90081054688")</f>
        <v>4.90081054688</v>
      </c>
      <c r="H499" s="34" t="str">
        <f>HYPERLINK(AB2 &amp; "/bottle/sn_f62bfe9756ae99be9921431405933fd2/rendering/05.obj", "4.97497772217")</f>
        <v>4.97497772217</v>
      </c>
      <c r="I499" s="6" t="str">
        <f>HYPERLINK(AB2 &amp; "/bottle/sn_f62bfe9756ae99be9921431405933fd2/rendering/06.obj", "4.52698547363")</f>
        <v>4.52698547363</v>
      </c>
      <c r="J499" s="107" t="str">
        <f>HYPERLINK(AB2 &amp; "/bottle/sn_f62bfe9756ae99be9921431405933fd2/rendering/07.obj", "4.34407775879")</f>
        <v>4.34407775879</v>
      </c>
      <c r="K499" s="41" t="str">
        <f>HYPERLINK(AB2 &amp; "/bottle/sn_f62bfe9756ae99be9921431405933fd2/rendering/08.obj", "4.42511505127")</f>
        <v>4.42511505127</v>
      </c>
      <c r="L499" s="25" t="str">
        <f>HYPERLINK(AB2 &amp; "/bottle/sn_f62bfe9756ae99be9921431405933fd2/rendering/09.obj", "4.79832702637")</f>
        <v>4.79832702637</v>
      </c>
      <c r="M499" s="79" t="str">
        <f>HYPERLINK(AB2 &amp; "/bottle/sn_f62bfe9756ae99be9921431405933fd2/rendering/10.obj", "3.99256286621")</f>
        <v>3.99256286621</v>
      </c>
      <c r="N499" s="55" t="str">
        <f>HYPERLINK(AB2 &amp; "/bottle/sn_f62bfe9756ae99be9921431405933fd2/rendering/11.obj", "5.65253173828")</f>
        <v>5.65253173828</v>
      </c>
      <c r="O499" s="63" t="str">
        <f>HYPERLINK(AB2 &amp; "/bottle/sn_f62bfe9756ae99be9921431405933fd2/rendering/12.obj", "4.17506195068")</f>
        <v>4.17506195068</v>
      </c>
      <c r="P499" s="13" t="str">
        <f>HYPERLINK(AB2 &amp; "/bottle/sn_f62bfe9756ae99be9921431405933fd2/rendering/13.obj", "4.75019775391")</f>
        <v>4.75019775391</v>
      </c>
      <c r="Q499" s="70" t="str">
        <f>HYPERLINK(AB2 &amp; "/bottle/sn_f62bfe9756ae99be9921431405933fd2/rendering/14.obj", "4.13913665771")</f>
        <v>4.13913665771</v>
      </c>
      <c r="R499" s="107" t="str">
        <f>HYPERLINK(AB2 &amp; "/bottle/sn_f62bfe9756ae99be9921431405933fd2/rendering/15.obj", "5.14492858887")</f>
        <v>5.14492858887</v>
      </c>
      <c r="S499" s="44" t="str">
        <f>HYPERLINK(AB2 &amp; "/bottle/sn_f62bfe9756ae99be9921431405933fd2/rendering/16.obj", "5.6735559082")</f>
        <v>5.6735559082</v>
      </c>
      <c r="T499" s="69" t="str">
        <f>HYPERLINK(AB2 &amp; "/bottle/sn_f62bfe9756ae99be9921431405933fd2/rendering/17.obj", "4.88321502686")</f>
        <v>4.88321502686</v>
      </c>
      <c r="U499" s="70" t="str">
        <f>HYPERLINK(AB2 &amp; "/bottle/sn_f62bfe9756ae99be9921431405933fd2/rendering/18.obj", "4.1416998291")</f>
        <v>4.1416998291</v>
      </c>
      <c r="V499" s="107" t="str">
        <f>HYPERLINK(AB2 &amp; "/bottle/sn_f62bfe9756ae99be9921431405933fd2/rendering/19.obj", "4.35177246094")</f>
        <v>4.35177246094</v>
      </c>
      <c r="W499" s="12" t="s">
        <v>31</v>
      </c>
      <c r="X499" s="13">
        <v>4.7432829132080094</v>
      </c>
      <c r="Y499" s="13">
        <v>0.47914590925367229</v>
      </c>
      <c r="Z499" s="133">
        <v>0.1010156716394581</v>
      </c>
    </row>
    <row r="500" spans="1:26" x14ac:dyDescent="0.2">
      <c r="A500" s="1">
        <v>498</v>
      </c>
      <c r="B500" s="2" t="s">
        <v>132</v>
      </c>
      <c r="C500" s="50" t="str">
        <f>HYPERLINK(AB2 &amp; "/bottle/sn_f62bfe9756ae99be9921431405933fd2/rendering/00.obj", "3.92228889465")</f>
        <v>3.92228889465</v>
      </c>
      <c r="D500" s="71" t="str">
        <f>HYPERLINK(AB2 &amp; "/bottle/sn_f62bfe9756ae99be9921431405933fd2/rendering/01.obj", "5.47814702988")</f>
        <v>5.47814702988</v>
      </c>
      <c r="E500" s="60" t="str">
        <f>HYPERLINK(AB2 &amp; "/bottle/sn_f62bfe9756ae99be9921431405933fd2/rendering/02.obj", "4.65878248215")</f>
        <v>4.65878248215</v>
      </c>
      <c r="F500" s="36" t="str">
        <f>HYPERLINK(AB2 &amp; "/bottle/sn_f62bfe9756ae99be9921431405933fd2/rendering/03.obj", "5.96551561356")</f>
        <v>5.96551561356</v>
      </c>
      <c r="G500" s="6" t="str">
        <f>HYPERLINK(AB2 &amp; "/bottle/sn_f62bfe9756ae99be9921431405933fd2/rendering/04.obj", "5.13291549683")</f>
        <v>5.13291549683</v>
      </c>
      <c r="H500" s="5" t="str">
        <f>HYPERLINK(AB2 &amp; "/bottle/sn_f62bfe9756ae99be9921431405933fd2/rendering/05.obj", "5.2800526619")</f>
        <v>5.2800526619</v>
      </c>
      <c r="I500" s="91" t="str">
        <f>HYPERLINK(AB2 &amp; "/bottle/sn_f62bfe9756ae99be9921431405933fd2/rendering/06.obj", "5.03549385071")</f>
        <v>5.03549385071</v>
      </c>
      <c r="J500" s="55" t="str">
        <f>HYPERLINK(AB2 &amp; "/bottle/sn_f62bfe9756ae99be9921431405933fd2/rendering/07.obj", "3.95878219604")</f>
        <v>3.95878219604</v>
      </c>
      <c r="K500" s="35" t="str">
        <f>HYPERLINK(AB2 &amp; "/bottle/sn_f62bfe9756ae99be9921431405933fd2/rendering/08.obj", "4.6215004921")</f>
        <v>4.6215004921</v>
      </c>
      <c r="L500" s="30" t="str">
        <f>HYPERLINK(AB2 &amp; "/bottle/sn_f62bfe9756ae99be9921431405933fd2/rendering/09.obj", "4.89013147354")</f>
        <v>4.89013147354</v>
      </c>
      <c r="M500" s="42" t="str">
        <f>HYPERLINK(AB2 &amp; "/bottle/sn_f62bfe9756ae99be9921431405933fd2/rendering/10.obj", "4.24379301071")</f>
        <v>4.24379301071</v>
      </c>
      <c r="N500" s="99" t="str">
        <f>HYPERLINK(AB2 &amp; "/bottle/sn_f62bfe9756ae99be9921431405933fd2/rendering/11.obj", "6.23243188858")</f>
        <v>6.23243188858</v>
      </c>
      <c r="O500" s="67" t="str">
        <f>HYPERLINK(AB2 &amp; "/bottle/sn_f62bfe9756ae99be9921431405933fd2/rendering/12.obj", "4.44681501389")</f>
        <v>4.44681501389</v>
      </c>
      <c r="P500" s="83" t="str">
        <f>HYPERLINK(AB2 &amp; "/bottle/sn_f62bfe9756ae99be9921431405933fd2/rendering/13.obj", "5.65153312683")</f>
        <v>5.65153312683</v>
      </c>
      <c r="Q500" s="40" t="str">
        <f>HYPERLINK(AB2 &amp; "/bottle/sn_f62bfe9756ae99be9921431405933fd2/rendering/14.obj", "4.06859588623")</f>
        <v>4.06859588623</v>
      </c>
      <c r="R500" s="106" t="str">
        <f>HYPERLINK(AB2 &amp; "/bottle/sn_f62bfe9756ae99be9921431405933fd2/rendering/15.obj", "5.4629368782")</f>
        <v>5.4629368782</v>
      </c>
      <c r="S500" s="85" t="str">
        <f>HYPERLINK(AB2 &amp; "/bottle/sn_f62bfe9756ae99be9921431405933fd2/rendering/16.obj", "6.36205434799")</f>
        <v>6.36205434799</v>
      </c>
      <c r="T500" s="47" t="str">
        <f>HYPERLINK(AB2 &amp; "/bottle/sn_f62bfe9756ae99be9921431405933fd2/rendering/17.obj", "4.94619941711")</f>
        <v>4.94619941711</v>
      </c>
      <c r="U500" s="119" t="str">
        <f>HYPERLINK(AB2 &amp; "/bottle/sn_f62bfe9756ae99be9921431405933fd2/rendering/18.obj", "3.60556459427")</f>
        <v>3.60556459427</v>
      </c>
      <c r="V500" s="80" t="str">
        <f>HYPERLINK(AB2 &amp; "/bottle/sn_f62bfe9756ae99be9921431405933fd2/rendering/19.obj", "4.18068933487")</f>
        <v>4.18068933487</v>
      </c>
      <c r="W500" s="12" t="s">
        <v>32</v>
      </c>
      <c r="X500" s="13">
        <v>4.9072111845016479</v>
      </c>
      <c r="Y500" s="13">
        <v>0.77395868259363232</v>
      </c>
      <c r="Z500" s="79">
        <v>0.15771864170794431</v>
      </c>
    </row>
    <row r="501" spans="1:26" x14ac:dyDescent="0.2">
      <c r="A501" s="1">
        <v>499</v>
      </c>
      <c r="B501" s="2" t="s">
        <v>132</v>
      </c>
      <c r="C501" s="13" t="str">
        <f>HYPERLINK(AC2 &amp; "/bottle/sn_f62bfe9756ae99be9921431405933fd2/rendering/00.xyz", "0.0")</f>
        <v>0.0</v>
      </c>
      <c r="D501" s="13" t="str">
        <f>HYPERLINK(AC2 &amp; "/bottle/sn_f62bfe9756ae99be9921431405933fd2/rendering/01.xyz", "0.0")</f>
        <v>0.0</v>
      </c>
      <c r="E501" s="13" t="str">
        <f>HYPERLINK(AC2 &amp; "/bottle/sn_f62bfe9756ae99be9921431405933fd2/rendering/02.xyz", "0.0")</f>
        <v>0.0</v>
      </c>
      <c r="F501" s="13" t="str">
        <f>HYPERLINK(AC2 &amp; "/bottle/sn_f62bfe9756ae99be9921431405933fd2/rendering/03.xyz", "0.0")</f>
        <v>0.0</v>
      </c>
      <c r="G501" s="13" t="str">
        <f>HYPERLINK(AC2 &amp; "/bottle/sn_f62bfe9756ae99be9921431405933fd2/rendering/04.xyz", "0.0")</f>
        <v>0.0</v>
      </c>
      <c r="H501" s="13" t="str">
        <f>HYPERLINK(AC2 &amp; "/bottle/sn_f62bfe9756ae99be9921431405933fd2/rendering/05.xyz", "0.0")</f>
        <v>0.0</v>
      </c>
      <c r="I501" s="13" t="str">
        <f>HYPERLINK(AC2 &amp; "/bottle/sn_f62bfe9756ae99be9921431405933fd2/rendering/06.xyz", "0.0")</f>
        <v>0.0</v>
      </c>
      <c r="J501" s="13" t="str">
        <f>HYPERLINK(AC2 &amp; "/bottle/sn_f62bfe9756ae99be9921431405933fd2/rendering/07.xyz", "0.0")</f>
        <v>0.0</v>
      </c>
      <c r="K501" s="13" t="str">
        <f>HYPERLINK(AC2 &amp; "/bottle/sn_f62bfe9756ae99be9921431405933fd2/rendering/08.xyz", "0.0")</f>
        <v>0.0</v>
      </c>
      <c r="L501" s="13" t="str">
        <f>HYPERLINK(AC2 &amp; "/bottle/sn_f62bfe9756ae99be9921431405933fd2/rendering/09.xyz", "0.0")</f>
        <v>0.0</v>
      </c>
      <c r="M501" s="13" t="str">
        <f>HYPERLINK(AC2 &amp; "/bottle/sn_f62bfe9756ae99be9921431405933fd2/rendering/10.xyz", "0.0")</f>
        <v>0.0</v>
      </c>
      <c r="N501" s="13" t="str">
        <f>HYPERLINK(AC2 &amp; "/bottle/sn_f62bfe9756ae99be9921431405933fd2/rendering/11.xyz", "0.0")</f>
        <v>0.0</v>
      </c>
      <c r="O501" s="13" t="str">
        <f>HYPERLINK(AC2 &amp; "/bottle/sn_f62bfe9756ae99be9921431405933fd2/rendering/12.xyz", "0.0")</f>
        <v>0.0</v>
      </c>
      <c r="P501" s="13" t="str">
        <f>HYPERLINK(AC2 &amp; "/bottle/sn_f62bfe9756ae99be9921431405933fd2/rendering/13.xyz", "0.0")</f>
        <v>0.0</v>
      </c>
      <c r="Q501" s="13" t="str">
        <f>HYPERLINK(AC2 &amp; "/bottle/sn_f62bfe9756ae99be9921431405933fd2/rendering/14.xyz", "0.0")</f>
        <v>0.0</v>
      </c>
      <c r="R501" s="13" t="str">
        <f>HYPERLINK(AC2 &amp; "/bottle/sn_f62bfe9756ae99be9921431405933fd2/rendering/15.xyz", "0.0")</f>
        <v>0.0</v>
      </c>
      <c r="S501" s="13" t="str">
        <f>HYPERLINK(AC2 &amp; "/bottle/sn_f62bfe9756ae99be9921431405933fd2/rendering/16.xyz", "0.0")</f>
        <v>0.0</v>
      </c>
      <c r="T501" s="13" t="str">
        <f>HYPERLINK(AC2 &amp; "/bottle/sn_f62bfe9756ae99be9921431405933fd2/rendering/17.xyz", "0.0")</f>
        <v>0.0</v>
      </c>
      <c r="U501" s="13" t="str">
        <f>HYPERLINK(AC2 &amp; "/bottle/sn_f62bfe9756ae99be9921431405933fd2/rendering/18.xyz", "0.0")</f>
        <v>0.0</v>
      </c>
      <c r="V501" s="13" t="str">
        <f>HYPERLINK(AC2 &amp; "/bottle/sn_f62bfe9756ae99be9921431405933fd2/rendering/19.xyz", "0.0")</f>
        <v>0.0</v>
      </c>
      <c r="W501" s="12" t="s">
        <v>33</v>
      </c>
      <c r="X501" s="13">
        <v>0</v>
      </c>
      <c r="Y501" s="13">
        <v>0</v>
      </c>
      <c r="Z501" s="13">
        <v>0</v>
      </c>
    </row>
    <row r="502" spans="1:26" x14ac:dyDescent="0.2">
      <c r="A502" s="1">
        <v>500</v>
      </c>
      <c r="B502" s="2" t="s">
        <v>133</v>
      </c>
      <c r="C502" s="69" t="str">
        <f>HYPERLINK(AA2 &amp; "/bottle/sn_f639ecd111dc052fce33f1a52ee07f2/rendering/00.obj", "2.34540557861")</f>
        <v>2.34540557861</v>
      </c>
      <c r="D502" s="25" t="str">
        <f>HYPERLINK(AA2 &amp; "/bottle/sn_f639ecd111dc052fce33f1a52ee07f2/rendering/01.obj", "2.29836486816")</f>
        <v>2.29836486816</v>
      </c>
      <c r="E502" s="13" t="str">
        <f>HYPERLINK(AA2 &amp; "/bottle/sn_f639ecd111dc052fce33f1a52ee07f2/rendering/02.obj", "2.27494720459")</f>
        <v>2.27494720459</v>
      </c>
      <c r="F502" s="30" t="str">
        <f>HYPERLINK(AA2 &amp; "/bottle/sn_f639ecd111dc052fce33f1a52ee07f2/rendering/03.obj", "2.28583374023")</f>
        <v>2.28583374023</v>
      </c>
      <c r="G502" s="31" t="str">
        <f>HYPERLINK(AA2 &amp; "/bottle/sn_f639ecd111dc052fce33f1a52ee07f2/rendering/04.obj", "2.62989898682")</f>
        <v>2.62989898682</v>
      </c>
      <c r="H502" s="69" t="str">
        <f>HYPERLINK(AA2 &amp; "/bottle/sn_f639ecd111dc052fce33f1a52ee07f2/rendering/05.obj", "2.21080886841")</f>
        <v>2.21080886841</v>
      </c>
      <c r="I502" s="78" t="str">
        <f>HYPERLINK(AA2 &amp; "/bottle/sn_f639ecd111dc052fce33f1a52ee07f2/rendering/06.obj", "2.13333786011")</f>
        <v>2.13333786011</v>
      </c>
      <c r="J502" s="46" t="str">
        <f>HYPERLINK(AA2 &amp; "/bottle/sn_f639ecd111dc052fce33f1a52ee07f2/rendering/07.obj", "2.31361328125")</f>
        <v>2.31361328125</v>
      </c>
      <c r="K502" s="108" t="str">
        <f>HYPERLINK(AA2 &amp; "/bottle/sn_f639ecd111dc052fce33f1a52ee07f2/rendering/08.obj", "2.83366638184")</f>
        <v>2.83366638184</v>
      </c>
      <c r="L502" s="72" t="str">
        <f>HYPERLINK(AA2 &amp; "/bottle/sn_f639ecd111dc052fce33f1a52ee07f2/rendering/09.obj", "2.20257843018")</f>
        <v>2.20257843018</v>
      </c>
      <c r="M502" s="69" t="str">
        <f>HYPERLINK(AA2 &amp; "/bottle/sn_f639ecd111dc052fce33f1a52ee07f2/rendering/10.obj", "2.21101379395")</f>
        <v>2.21101379395</v>
      </c>
      <c r="N502" s="46" t="str">
        <f>HYPERLINK(AA2 &amp; "/bottle/sn_f639ecd111dc052fce33f1a52ee07f2/rendering/11.obj", "2.31612213135")</f>
        <v>2.31612213135</v>
      </c>
      <c r="O502" s="47" t="str">
        <f>HYPERLINK(AA2 &amp; "/bottle/sn_f639ecd111dc052fce33f1a52ee07f2/rendering/12.obj", "2.29600219727")</f>
        <v>2.29600219727</v>
      </c>
      <c r="P502" s="35" t="str">
        <f>HYPERLINK(AA2 &amp; "/bottle/sn_f639ecd111dc052fce33f1a52ee07f2/rendering/13.obj", "2.14683258057")</f>
        <v>2.14683258057</v>
      </c>
      <c r="Q502" s="48" t="str">
        <f>HYPERLINK(AA2 &amp; "/bottle/sn_f639ecd111dc052fce33f1a52ee07f2/rendering/14.obj", "2.22004577637")</f>
        <v>2.22004577637</v>
      </c>
      <c r="R502" s="47" t="str">
        <f>HYPERLINK(AA2 &amp; "/bottle/sn_f639ecd111dc052fce33f1a52ee07f2/rendering/15.obj", "2.25726379395")</f>
        <v>2.25726379395</v>
      </c>
      <c r="S502" s="5" t="str">
        <f>HYPERLINK(AA2 &amp; "/bottle/sn_f639ecd111dc052fce33f1a52ee07f2/rendering/16.obj", "2.09808135986")</f>
        <v>2.09808135986</v>
      </c>
      <c r="T502" s="41" t="str">
        <f>HYPERLINK(AA2 &amp; "/bottle/sn_f639ecd111dc052fce33f1a52ee07f2/rendering/17.obj", "2.12004516602")</f>
        <v>2.12004516602</v>
      </c>
      <c r="U502" s="10" t="str">
        <f>HYPERLINK(AA2 &amp; "/bottle/sn_f639ecd111dc052fce33f1a52ee07f2/rendering/18.obj", "2.15409454346")</f>
        <v>2.15409454346</v>
      </c>
      <c r="V502" s="6" t="str">
        <f>HYPERLINK(AA2 &amp; "/bottle/sn_f639ecd111dc052fce33f1a52ee07f2/rendering/19.obj", "2.17361175537")</f>
        <v>2.17361175537</v>
      </c>
      <c r="W502" s="12" t="s">
        <v>29</v>
      </c>
      <c r="X502" s="13">
        <v>2.2760784149169919</v>
      </c>
      <c r="Y502" s="13">
        <v>0.1704082774222162</v>
      </c>
      <c r="Z502" s="94">
        <v>7.4869247168899047E-2</v>
      </c>
    </row>
    <row r="503" spans="1:26" x14ac:dyDescent="0.2">
      <c r="A503" s="1">
        <v>501</v>
      </c>
      <c r="B503" s="2" t="s">
        <v>133</v>
      </c>
      <c r="C503" s="72" t="str">
        <f>HYPERLINK(AA2 &amp; "/bottle/sn_f639ecd111dc052fce33f1a52ee07f2/rendering/00.obj", "1.81706142426")</f>
        <v>1.81706142426</v>
      </c>
      <c r="D503" s="91" t="str">
        <f>HYPERLINK(AA2 &amp; "/bottle/sn_f639ecd111dc052fce33f1a52ee07f2/rendering/01.obj", "1.8039226532")</f>
        <v>1.8039226532</v>
      </c>
      <c r="E503" s="39" t="str">
        <f>HYPERLINK(AA2 &amp; "/bottle/sn_f639ecd111dc052fce33f1a52ee07f2/rendering/02.obj", "1.6026314497")</f>
        <v>1.6026314497</v>
      </c>
      <c r="F503" s="46" t="str">
        <f>HYPERLINK(AA2 &amp; "/bottle/sn_f639ecd111dc052fce33f1a52ee07f2/rendering/03.obj", "1.78864526749")</f>
        <v>1.78864526749</v>
      </c>
      <c r="G503" s="10" t="str">
        <f>HYPERLINK(AA2 &amp; "/bottle/sn_f639ecd111dc052fce33f1a52ee07f2/rendering/04.obj", "1.85131847858")</f>
        <v>1.85131847858</v>
      </c>
      <c r="H503" s="23" t="str">
        <f>HYPERLINK(AA2 &amp; "/bottle/sn_f639ecd111dc052fce33f1a52ee07f2/rendering/05.obj", "1.68792927265")</f>
        <v>1.68792927265</v>
      </c>
      <c r="I503" s="47" t="str">
        <f>HYPERLINK(AA2 &amp; "/bottle/sn_f639ecd111dc052fce33f1a52ee07f2/rendering/06.obj", "1.74503421783")</f>
        <v>1.74503421783</v>
      </c>
      <c r="J503" s="68" t="str">
        <f>HYPERLINK(AA2 &amp; "/bottle/sn_f639ecd111dc052fce33f1a52ee07f2/rendering/07.obj", "1.83098304272")</f>
        <v>1.83098304272</v>
      </c>
      <c r="K503" s="169" t="str">
        <f>HYPERLINK(AA2 &amp; "/bottle/sn_f639ecd111dc052fce33f1a52ee07f2/rendering/08.obj", "2.30560827255")</f>
        <v>2.30560827255</v>
      </c>
      <c r="L503" s="38" t="str">
        <f>HYPERLINK(AA2 &amp; "/bottle/sn_f639ecd111dc052fce33f1a52ee07f2/rendering/09.obj", "1.59809672832")</f>
        <v>1.59809672832</v>
      </c>
      <c r="M503" s="26" t="str">
        <f>HYPERLINK(AA2 &amp; "/bottle/sn_f639ecd111dc052fce33f1a52ee07f2/rendering/10.obj", "1.64612579346")</f>
        <v>1.64612579346</v>
      </c>
      <c r="N503" s="91" t="str">
        <f>HYPERLINK(AA2 &amp; "/bottle/sn_f639ecd111dc052fce33f1a52ee07f2/rendering/11.obj", "1.7105615139")</f>
        <v>1.7105615139</v>
      </c>
      <c r="O503" s="60" t="str">
        <f>HYPERLINK(AA2 &amp; "/bottle/sn_f639ecd111dc052fce33f1a52ee07f2/rendering/12.obj", "1.66487085819")</f>
        <v>1.66487085819</v>
      </c>
      <c r="P503" s="91" t="str">
        <f>HYPERLINK(AA2 &amp; "/bottle/sn_f639ecd111dc052fce33f1a52ee07f2/rendering/13.obj", "1.80226314068")</f>
        <v>1.80226314068</v>
      </c>
      <c r="Q503" s="68" t="str">
        <f>HYPERLINK(AA2 &amp; "/bottle/sn_f639ecd111dc052fce33f1a52ee07f2/rendering/14.obj", "1.83059585094")</f>
        <v>1.83059585094</v>
      </c>
      <c r="R503" s="91" t="str">
        <f>HYPERLINK(AA2 &amp; "/bottle/sn_f639ecd111dc052fce33f1a52ee07f2/rendering/15.obj", "1.8030205965")</f>
        <v>1.8030205965</v>
      </c>
      <c r="S503" s="107" t="str">
        <f>HYPERLINK(AA2 &amp; "/bottle/sn_f639ecd111dc052fce33f1a52ee07f2/rendering/16.obj", "1.61222147942")</f>
        <v>1.61222147942</v>
      </c>
      <c r="T503" s="73" t="str">
        <f>HYPERLINK(AA2 &amp; "/bottle/sn_f639ecd111dc052fce33f1a52ee07f2/rendering/17.obj", "1.69456827641")</f>
        <v>1.69456827641</v>
      </c>
      <c r="U503" s="92" t="str">
        <f>HYPERLINK(AA2 &amp; "/bottle/sn_f639ecd111dc052fce33f1a52ee07f2/rendering/18.obj", "1.53725790977")</f>
        <v>1.53725790977</v>
      </c>
      <c r="V503" s="48" t="str">
        <f>HYPERLINK(AA2 &amp; "/bottle/sn_f639ecd111dc052fce33f1a52ee07f2/rendering/19.obj", "1.80022346973")</f>
        <v>1.80022346973</v>
      </c>
      <c r="W503" s="12" t="s">
        <v>30</v>
      </c>
      <c r="X503" s="13">
        <v>1.756646984815597</v>
      </c>
      <c r="Y503" s="13">
        <v>0.1555114433649144</v>
      </c>
      <c r="Z503" s="38">
        <v>8.8527430217425915E-2</v>
      </c>
    </row>
    <row r="504" spans="1:26" x14ac:dyDescent="0.2">
      <c r="A504" s="1">
        <v>502</v>
      </c>
      <c r="B504" s="2" t="s">
        <v>133</v>
      </c>
      <c r="C504" s="17" t="str">
        <f>HYPERLINK(AB2 &amp; "/bottle/sn_f639ecd111dc052fce33f1a52ee07f2/rendering/00.obj", "3.76776672363")</f>
        <v>3.76776672363</v>
      </c>
      <c r="D504" s="48" t="str">
        <f>HYPERLINK(AB2 &amp; "/bottle/sn_f639ecd111dc052fce33f1a52ee07f2/rendering/01.obj", "3.78094451904")</f>
        <v>3.78094451904</v>
      </c>
      <c r="E504" s="13" t="str">
        <f>HYPERLINK(AB2 &amp; "/bottle/sn_f639ecd111dc052fce33f1a52ee07f2/rendering/02.obj", "3.69721252441")</f>
        <v>3.69721252441</v>
      </c>
      <c r="F504" s="46" t="str">
        <f>HYPERLINK(AB2 &amp; "/bottle/sn_f639ecd111dc052fce33f1a52ee07f2/rendering/03.obj", "3.75983703613")</f>
        <v>3.75983703613</v>
      </c>
      <c r="G504" s="30" t="str">
        <f>HYPERLINK(AB2 &amp; "/bottle/sn_f639ecd111dc052fce33f1a52ee07f2/rendering/04.obj", "3.6772088623")</f>
        <v>3.6772088623</v>
      </c>
      <c r="H504" s="74" t="str">
        <f>HYPERLINK(AB2 &amp; "/bottle/sn_f639ecd111dc052fce33f1a52ee07f2/rendering/05.obj", "3.64729248047")</f>
        <v>3.64729248047</v>
      </c>
      <c r="I504" s="23" t="str">
        <f>HYPERLINK(AB2 &amp; "/bottle/sn_f639ecd111dc052fce33f1a52ee07f2/rendering/06.obj", "3.54785461426")</f>
        <v>3.54785461426</v>
      </c>
      <c r="J504" s="91" t="str">
        <f>HYPERLINK(AB2 &amp; "/bottle/sn_f639ecd111dc052fce33f1a52ee07f2/rendering/07.obj", "3.79760925293")</f>
        <v>3.79760925293</v>
      </c>
      <c r="K504" s="17" t="str">
        <f>HYPERLINK(AB2 &amp; "/bottle/sn_f639ecd111dc052fce33f1a52ee07f2/rendering/08.obj", "3.62704833984")</f>
        <v>3.62704833984</v>
      </c>
      <c r="L504" s="34" t="str">
        <f>HYPERLINK(AB2 &amp; "/bottle/sn_f639ecd111dc052fce33f1a52ee07f2/rendering/09.obj", "3.5193258667")</f>
        <v>3.5193258667</v>
      </c>
      <c r="M504" s="13" t="str">
        <f>HYPERLINK(AB2 &amp; "/bottle/sn_f639ecd111dc052fce33f1a52ee07f2/rendering/10.obj", "3.69632080078")</f>
        <v>3.69632080078</v>
      </c>
      <c r="N504" s="25" t="str">
        <f>HYPERLINK(AB2 &amp; "/bottle/sn_f639ecd111dc052fce33f1a52ee07f2/rendering/11.obj", "3.73879699707")</f>
        <v>3.73879699707</v>
      </c>
      <c r="O504" s="13" t="str">
        <f>HYPERLINK(AB2 &amp; "/bottle/sn_f639ecd111dc052fce33f1a52ee07f2/rendering/12.obj", "3.69749267578")</f>
        <v>3.69749267578</v>
      </c>
      <c r="P504" s="30" t="str">
        <f>HYPERLINK(AB2 &amp; "/bottle/sn_f639ecd111dc052fce33f1a52ee07f2/rendering/13.obj", "3.71141784668")</f>
        <v>3.71141784668</v>
      </c>
      <c r="Q504" s="30" t="str">
        <f>HYPERLINK(AB2 &amp; "/bottle/sn_f639ecd111dc052fce33f1a52ee07f2/rendering/14.obj", "3.71904052734")</f>
        <v>3.71904052734</v>
      </c>
      <c r="R504" s="10" t="str">
        <f>HYPERLINK(AB2 &amp; "/bottle/sn_f639ecd111dc052fce33f1a52ee07f2/rendering/15.obj", "3.90378997803")</f>
        <v>3.90378997803</v>
      </c>
      <c r="S504" s="26" t="str">
        <f>HYPERLINK(AB2 &amp; "/bottle/sn_f639ecd111dc052fce33f1a52ee07f2/rendering/16.obj", "3.4586630249")</f>
        <v>3.4586630249</v>
      </c>
      <c r="T504" s="10" t="str">
        <f>HYPERLINK(AB2 &amp; "/bottle/sn_f639ecd111dc052fce33f1a52ee07f2/rendering/17.obj", "3.90328338623")</f>
        <v>3.90328338623</v>
      </c>
      <c r="U504" s="13" t="str">
        <f>HYPERLINK(AB2 &amp; "/bottle/sn_f639ecd111dc052fce33f1a52ee07f2/rendering/18.obj", "3.69608917236")</f>
        <v>3.69608917236</v>
      </c>
      <c r="V504" s="91" t="str">
        <f>HYPERLINK(AB2 &amp; "/bottle/sn_f639ecd111dc052fce33f1a52ee07f2/rendering/19.obj", "3.59962585449")</f>
        <v>3.59962585449</v>
      </c>
      <c r="W504" s="12" t="s">
        <v>31</v>
      </c>
      <c r="X504" s="13">
        <v>3.6973310241699222</v>
      </c>
      <c r="Y504" s="13">
        <v>0.109939696016227</v>
      </c>
      <c r="Z504" s="69">
        <v>2.9734880457696979E-2</v>
      </c>
    </row>
    <row r="505" spans="1:26" x14ac:dyDescent="0.2">
      <c r="A505" s="1">
        <v>503</v>
      </c>
      <c r="B505" s="2" t="s">
        <v>133</v>
      </c>
      <c r="C505" s="34" t="str">
        <f>HYPERLINK(AB2 &amp; "/bottle/sn_f639ecd111dc052fce33f1a52ee07f2/rendering/00.obj", "2.32140374184")</f>
        <v>2.32140374184</v>
      </c>
      <c r="D505" s="74" t="str">
        <f>HYPERLINK(AB2 &amp; "/bottle/sn_f639ecd111dc052fce33f1a52ee07f2/rendering/01.obj", "2.18430948257")</f>
        <v>2.18430948257</v>
      </c>
      <c r="E505" s="68" t="str">
        <f>HYPERLINK(AB2 &amp; "/bottle/sn_f639ecd111dc052fce33f1a52ee07f2/rendering/02.obj", "2.30965232849")</f>
        <v>2.30965232849</v>
      </c>
      <c r="F505" s="26" t="str">
        <f>HYPERLINK(AB2 &amp; "/bottle/sn_f639ecd111dc052fce33f1a52ee07f2/rendering/03.obj", "2.36152052879")</f>
        <v>2.36152052879</v>
      </c>
      <c r="G505" s="33" t="str">
        <f>HYPERLINK(AB2 &amp; "/bottle/sn_f639ecd111dc052fce33f1a52ee07f2/rendering/04.obj", "1.9751303196")</f>
        <v>1.9751303196</v>
      </c>
      <c r="H505" s="5" t="str">
        <f>HYPERLINK(AB2 &amp; "/bottle/sn_f639ecd111dc052fce33f1a52ee07f2/rendering/05.obj", "2.04847550392")</f>
        <v>2.04847550392</v>
      </c>
      <c r="I505" s="107" t="str">
        <f>HYPERLINK(AB2 &amp; "/bottle/sn_f639ecd111dc052fce33f1a52ee07f2/rendering/06.obj", "2.03078389168")</f>
        <v>2.03078389168</v>
      </c>
      <c r="J505" s="13" t="str">
        <f>HYPERLINK(AB2 &amp; "/bottle/sn_f639ecd111dc052fce33f1a52ee07f2/rendering/07.obj", "2.21337199211")</f>
        <v>2.21337199211</v>
      </c>
      <c r="K505" s="48" t="str">
        <f>HYPERLINK(AB2 &amp; "/bottle/sn_f639ecd111dc052fce33f1a52ee07f2/rendering/08.obj", "2.26913309097")</f>
        <v>2.26913309097</v>
      </c>
      <c r="L505" s="23" t="str">
        <f>HYPERLINK(AB2 &amp; "/bottle/sn_f639ecd111dc052fce33f1a52ee07f2/rendering/09.obj", "2.13104963303")</f>
        <v>2.13104963303</v>
      </c>
      <c r="M505" s="47" t="str">
        <f>HYPERLINK(AB2 &amp; "/bottle/sn_f639ecd111dc052fce33f1a52ee07f2/rendering/10.obj", "2.20097708702")</f>
        <v>2.20097708702</v>
      </c>
      <c r="N505" s="35" t="str">
        <f>HYPERLINK(AB2 &amp; "/bottle/sn_f639ecd111dc052fce33f1a52ee07f2/rendering/11.obj", "2.3419573307")</f>
        <v>2.3419573307</v>
      </c>
      <c r="O505" s="25" t="str">
        <f>HYPERLINK(AB2 &amp; "/bottle/sn_f639ecd111dc052fce33f1a52ee07f2/rendering/12.obj", "2.23988485336")</f>
        <v>2.23988485336</v>
      </c>
      <c r="P505" s="10" t="str">
        <f>HYPERLINK(AB2 &amp; "/bottle/sn_f639ecd111dc052fce33f1a52ee07f2/rendering/13.obj", "2.09703421593")</f>
        <v>2.09703421593</v>
      </c>
      <c r="Q505" s="5" t="str">
        <f>HYPERLINK(AB2 &amp; "/bottle/sn_f639ecd111dc052fce33f1a52ee07f2/rendering/14.obj", "2.38696813583")</f>
        <v>2.38696813583</v>
      </c>
      <c r="R505" s="72" t="str">
        <f>HYPERLINK(AB2 &amp; "/bottle/sn_f639ecd111dc052fce33f1a52ee07f2/rendering/15.obj", "2.28933596611")</f>
        <v>2.28933596611</v>
      </c>
      <c r="S505" s="33" t="str">
        <f>HYPERLINK(AB2 &amp; "/bottle/sn_f639ecd111dc052fce33f1a52ee07f2/rendering/16.obj", "1.97487008572")</f>
        <v>1.97487008572</v>
      </c>
      <c r="T505" s="67" t="str">
        <f>HYPERLINK(AB2 &amp; "/bottle/sn_f639ecd111dc052fce33f1a52ee07f2/rendering/17.obj", "2.42399311066")</f>
        <v>2.42399311066</v>
      </c>
      <c r="U505" s="72" t="str">
        <f>HYPERLINK(AB2 &amp; "/bottle/sn_f639ecd111dc052fce33f1a52ee07f2/rendering/18.obj", "2.29196929932")</f>
        <v>2.29196929932</v>
      </c>
      <c r="V505" s="25" t="str">
        <f>HYPERLINK(AB2 &amp; "/bottle/sn_f639ecd111dc052fce33f1a52ee07f2/rendering/19.obj", "2.23860621452")</f>
        <v>2.23860621452</v>
      </c>
      <c r="W505" s="12" t="s">
        <v>32</v>
      </c>
      <c r="X505" s="13">
        <v>2.2165213406085971</v>
      </c>
      <c r="Y505" s="13">
        <v>0.13145336460548029</v>
      </c>
      <c r="Z505" s="35">
        <v>5.9306157895771372E-2</v>
      </c>
    </row>
    <row r="506" spans="1:26" x14ac:dyDescent="0.2">
      <c r="A506" s="1">
        <v>504</v>
      </c>
      <c r="B506" s="2" t="s">
        <v>133</v>
      </c>
      <c r="C506" s="13" t="str">
        <f>HYPERLINK(AC2 &amp; "/bottle/sn_f639ecd111dc052fce33f1a52ee07f2/rendering/00.xyz", "0.0")</f>
        <v>0.0</v>
      </c>
      <c r="D506" s="13" t="str">
        <f>HYPERLINK(AC2 &amp; "/bottle/sn_f639ecd111dc052fce33f1a52ee07f2/rendering/01.xyz", "0.0")</f>
        <v>0.0</v>
      </c>
      <c r="E506" s="13" t="str">
        <f>HYPERLINK(AC2 &amp; "/bottle/sn_f639ecd111dc052fce33f1a52ee07f2/rendering/02.xyz", "0.0")</f>
        <v>0.0</v>
      </c>
      <c r="F506" s="13" t="str">
        <f>HYPERLINK(AC2 &amp; "/bottle/sn_f639ecd111dc052fce33f1a52ee07f2/rendering/03.xyz", "0.0")</f>
        <v>0.0</v>
      </c>
      <c r="G506" s="13" t="str">
        <f>HYPERLINK(AC2 &amp; "/bottle/sn_f639ecd111dc052fce33f1a52ee07f2/rendering/04.xyz", "0.0")</f>
        <v>0.0</v>
      </c>
      <c r="H506" s="13" t="str">
        <f>HYPERLINK(AC2 &amp; "/bottle/sn_f639ecd111dc052fce33f1a52ee07f2/rendering/05.xyz", "0.0")</f>
        <v>0.0</v>
      </c>
      <c r="I506" s="13" t="str">
        <f>HYPERLINK(AC2 &amp; "/bottle/sn_f639ecd111dc052fce33f1a52ee07f2/rendering/06.xyz", "0.0")</f>
        <v>0.0</v>
      </c>
      <c r="J506" s="13" t="str">
        <f>HYPERLINK(AC2 &amp; "/bottle/sn_f639ecd111dc052fce33f1a52ee07f2/rendering/07.xyz", "0.0")</f>
        <v>0.0</v>
      </c>
      <c r="K506" s="13" t="str">
        <f>HYPERLINK(AC2 &amp; "/bottle/sn_f639ecd111dc052fce33f1a52ee07f2/rendering/08.xyz", "0.0")</f>
        <v>0.0</v>
      </c>
      <c r="L506" s="13" t="str">
        <f>HYPERLINK(AC2 &amp; "/bottle/sn_f639ecd111dc052fce33f1a52ee07f2/rendering/09.xyz", "0.0")</f>
        <v>0.0</v>
      </c>
      <c r="M506" s="13" t="str">
        <f>HYPERLINK(AC2 &amp; "/bottle/sn_f639ecd111dc052fce33f1a52ee07f2/rendering/10.xyz", "0.0")</f>
        <v>0.0</v>
      </c>
      <c r="N506" s="13" t="str">
        <f>HYPERLINK(AC2 &amp; "/bottle/sn_f639ecd111dc052fce33f1a52ee07f2/rendering/11.xyz", "0.0")</f>
        <v>0.0</v>
      </c>
      <c r="O506" s="13" t="str">
        <f>HYPERLINK(AC2 &amp; "/bottle/sn_f639ecd111dc052fce33f1a52ee07f2/rendering/12.xyz", "0.0")</f>
        <v>0.0</v>
      </c>
      <c r="P506" s="13" t="str">
        <f>HYPERLINK(AC2 &amp; "/bottle/sn_f639ecd111dc052fce33f1a52ee07f2/rendering/13.xyz", "0.0")</f>
        <v>0.0</v>
      </c>
      <c r="Q506" s="13" t="str">
        <f>HYPERLINK(AC2 &amp; "/bottle/sn_f639ecd111dc052fce33f1a52ee07f2/rendering/14.xyz", "0.0")</f>
        <v>0.0</v>
      </c>
      <c r="R506" s="13" t="str">
        <f>HYPERLINK(AC2 &amp; "/bottle/sn_f639ecd111dc052fce33f1a52ee07f2/rendering/15.xyz", "0.0")</f>
        <v>0.0</v>
      </c>
      <c r="S506" s="13" t="str">
        <f>HYPERLINK(AC2 &amp; "/bottle/sn_f639ecd111dc052fce33f1a52ee07f2/rendering/16.xyz", "0.0")</f>
        <v>0.0</v>
      </c>
      <c r="T506" s="13" t="str">
        <f>HYPERLINK(AC2 &amp; "/bottle/sn_f639ecd111dc052fce33f1a52ee07f2/rendering/17.xyz", "0.0")</f>
        <v>0.0</v>
      </c>
      <c r="U506" s="13" t="str">
        <f>HYPERLINK(AC2 &amp; "/bottle/sn_f639ecd111dc052fce33f1a52ee07f2/rendering/18.xyz", "0.0")</f>
        <v>0.0</v>
      </c>
      <c r="V506" s="13" t="str">
        <f>HYPERLINK(AC2 &amp; "/bottle/sn_f639ecd111dc052fce33f1a52ee07f2/rendering/19.xyz", "0.0")</f>
        <v>0.0</v>
      </c>
      <c r="W506" s="12" t="s">
        <v>33</v>
      </c>
      <c r="X506" s="13">
        <v>0</v>
      </c>
      <c r="Y506" s="13">
        <v>0</v>
      </c>
      <c r="Z506" s="13">
        <v>0</v>
      </c>
    </row>
    <row r="507" spans="1:26" x14ac:dyDescent="0.2">
      <c r="A507" s="1">
        <v>505</v>
      </c>
      <c r="B507" s="2" t="s">
        <v>134</v>
      </c>
      <c r="C507" s="11" t="str">
        <f>HYPERLINK(AA2 &amp; "/bottle/sn_f68e99b57596b33d197a35146ee825cd/rendering/00.obj", "2.66985290527")</f>
        <v>2.66985290527</v>
      </c>
      <c r="D507" s="187" t="str">
        <f>HYPERLINK(AA2 &amp; "/bottle/sn_f68e99b57596b33d197a35146ee825cd/rendering/01.obj", "2.23044281006")</f>
        <v>2.23044281006</v>
      </c>
      <c r="E507" s="172" t="str">
        <f>HYPERLINK(AA2 &amp; "/bottle/sn_f68e99b57596b33d197a35146ee825cd/rendering/02.obj", "2.12021240234")</f>
        <v>2.12021240234</v>
      </c>
      <c r="F507" s="21" t="str">
        <f>HYPERLINK(AA2 &amp; "/bottle/sn_f68e99b57596b33d197a35146ee825cd/rendering/03.obj", "5.3398260498")</f>
        <v>5.3398260498</v>
      </c>
      <c r="G507" s="31" t="str">
        <f>HYPERLINK(AA2 &amp; "/bottle/sn_f68e99b57596b33d197a35146ee825cd/rendering/04.obj", "2.89985229492")</f>
        <v>2.89985229492</v>
      </c>
      <c r="H507" s="244" t="str">
        <f>HYPERLINK(AA2 &amp; "/bottle/sn_f68e99b57596b33d197a35146ee825cd/rendering/05.obj", "5.5466015625")</f>
        <v>5.5466015625</v>
      </c>
      <c r="I507" s="108" t="str">
        <f>HYPERLINK(AA2 &amp; "/bottle/sn_f68e99b57596b33d197a35146ee825cd/rendering/06.obj", "2.58960784912")</f>
        <v>2.58960784912</v>
      </c>
      <c r="J507" s="31" t="str">
        <f>HYPERLINK(AA2 &amp; "/bottle/sn_f68e99b57596b33d197a35146ee825cd/rendering/07.obj", "2.90916625977")</f>
        <v>2.90916625977</v>
      </c>
      <c r="K507" s="119" t="str">
        <f>HYPERLINK(AA2 &amp; "/bottle/sn_f68e99b57596b33d197a35146ee825cd/rendering/08.obj", "2.5284463501")</f>
        <v>2.5284463501</v>
      </c>
      <c r="L507" s="39" t="str">
        <f>HYPERLINK(AA2 &amp; "/bottle/sn_f68e99b57596b33d197a35146ee825cd/rendering/09.obj", "3.73365020752")</f>
        <v>3.73365020752</v>
      </c>
      <c r="M507" s="88" t="str">
        <f>HYPERLINK(AA2 &amp; "/bottle/sn_f68e99b57596b33d197a35146ee825cd/rendering/10.obj", "2.73783355713")</f>
        <v>2.73783355713</v>
      </c>
      <c r="N507" s="175" t="str">
        <f>HYPERLINK(AA2 &amp; "/bottle/sn_f68e99b57596b33d197a35146ee825cd/rendering/11.obj", "2.63545562744")</f>
        <v>2.63545562744</v>
      </c>
      <c r="O507" s="79" t="str">
        <f>HYPERLINK(AA2 &amp; "/bottle/sn_f68e99b57596b33d197a35146ee825cd/rendering/12.obj", "2.89128082275")</f>
        <v>2.89128082275</v>
      </c>
      <c r="P507" s="43" t="str">
        <f>HYPERLINK(AA2 &amp; "/bottle/sn_f68e99b57596b33d197a35146ee825cd/rendering/13.obj", "2.15361907959")</f>
        <v>2.15361907959</v>
      </c>
      <c r="Q507" s="170" t="str">
        <f>HYPERLINK(AA2 &amp; "/bottle/sn_f68e99b57596b33d197a35146ee825cd/rendering/14.obj", "2.5745098877")</f>
        <v>2.5745098877</v>
      </c>
      <c r="R507" s="137" t="str">
        <f>HYPERLINK(AA2 &amp; "/bottle/sn_f68e99b57596b33d197a35146ee825cd/rendering/15.obj", "2.17807098389")</f>
        <v>2.17807098389</v>
      </c>
      <c r="S507" s="20" t="str">
        <f>HYPERLINK(AA2 &amp; "/bottle/sn_f68e99b57596b33d197a35146ee825cd/rendering/16.obj", "7.5056628418")</f>
        <v>7.5056628418</v>
      </c>
      <c r="T507" s="68" t="str">
        <f>HYPERLINK(AA2 &amp; "/bottle/sn_f68e99b57596b33d197a35146ee825cd/rendering/17.obj", "3.29178894043")</f>
        <v>3.29178894043</v>
      </c>
      <c r="U507" s="20" t="str">
        <f>HYPERLINK(AA2 &amp; "/bottle/sn_f68e99b57596b33d197a35146ee825cd/rendering/18.obj", "6.37154602051")</f>
        <v>6.37154602051</v>
      </c>
      <c r="V507" s="92" t="str">
        <f>HYPERLINK(AA2 &amp; "/bottle/sn_f68e99b57596b33d197a35146ee825cd/rendering/19.obj", "3.85969024658")</f>
        <v>3.85969024658</v>
      </c>
      <c r="W507" s="12" t="s">
        <v>29</v>
      </c>
      <c r="X507" s="13">
        <v>3.4383558349609382</v>
      </c>
      <c r="Y507" s="13">
        <v>1.4969692655060509</v>
      </c>
      <c r="Z507" s="97">
        <v>0.43537357311450497</v>
      </c>
    </row>
    <row r="508" spans="1:26" x14ac:dyDescent="0.2">
      <c r="A508" s="1">
        <v>506</v>
      </c>
      <c r="B508" s="2" t="s">
        <v>134</v>
      </c>
      <c r="C508" s="127" t="str">
        <f>HYPERLINK(AA2 &amp; "/bottle/sn_f68e99b57596b33d197a35146ee825cd/rendering/00.obj", "1.8583741188")</f>
        <v>1.8583741188</v>
      </c>
      <c r="D508" s="87" t="str">
        <f>HYPERLINK(AA2 &amp; "/bottle/sn_f68e99b57596b33d197a35146ee825cd/rendering/01.obj", "2.98342823982")</f>
        <v>2.98342823982</v>
      </c>
      <c r="E508" s="16" t="str">
        <f>HYPERLINK(AA2 &amp; "/bottle/sn_f68e99b57596b33d197a35146ee825cd/rendering/02.obj", "1.75478363037")</f>
        <v>1.75478363037</v>
      </c>
      <c r="F508" s="20" t="str">
        <f>HYPERLINK(AA2 &amp; "/bottle/sn_f68e99b57596b33d197a35146ee825cd/rendering/03.obj", "7.07529783249")</f>
        <v>7.07529783249</v>
      </c>
      <c r="G508" s="31" t="str">
        <f>HYPERLINK(AA2 &amp; "/bottle/sn_f68e99b57596b33d197a35146ee825cd/rendering/04.obj", "3.25474214554")</f>
        <v>3.25474214554</v>
      </c>
      <c r="H508" s="186" t="str">
        <f>HYPERLINK(AA2 &amp; "/bottle/sn_f68e99b57596b33d197a35146ee825cd/rendering/05.obj", "6.17476558685")</f>
        <v>6.17476558685</v>
      </c>
      <c r="I508" s="43" t="str">
        <f>HYPERLINK(AA2 &amp; "/bottle/sn_f68e99b57596b33d197a35146ee825cd/rendering/06.obj", "2.4130089283")</f>
        <v>2.4130089283</v>
      </c>
      <c r="J508" s="59" t="str">
        <f>HYPERLINK(AA2 &amp; "/bottle/sn_f68e99b57596b33d197a35146ee825cd/rendering/07.obj", "2.93176174164")</f>
        <v>2.93176174164</v>
      </c>
      <c r="K508" s="168" t="str">
        <f>HYPERLINK(AA2 &amp; "/bottle/sn_f68e99b57596b33d197a35146ee825cd/rendering/08.obj", "2.61031866074")</f>
        <v>2.61031866074</v>
      </c>
      <c r="L508" s="80" t="str">
        <f>HYPERLINK(AA2 &amp; "/bottle/sn_f68e99b57596b33d197a35146ee825cd/rendering/09.obj", "3.2751224041")</f>
        <v>3.2751224041</v>
      </c>
      <c r="M508" s="172" t="str">
        <f>HYPERLINK(AA2 &amp; "/bottle/sn_f68e99b57596b33d197a35146ee825cd/rendering/10.obj", "2.36833548546")</f>
        <v>2.36833548546</v>
      </c>
      <c r="N508" s="157" t="str">
        <f>HYPERLINK(AA2 &amp; "/bottle/sn_f68e99b57596b33d197a35146ee825cd/rendering/11.obj", "2.25172615051")</f>
        <v>2.25172615051</v>
      </c>
      <c r="O508" s="54" t="str">
        <f>HYPERLINK(AA2 &amp; "/bottle/sn_f68e99b57596b33d197a35146ee825cd/rendering/12.obj", "2.58480477333")</f>
        <v>2.58480477333</v>
      </c>
      <c r="P508" s="223" t="str">
        <f>HYPERLINK(AA2 &amp; "/bottle/sn_f68e99b57596b33d197a35146ee825cd/rendering/13.obj", "1.69859027863")</f>
        <v>1.69859027863</v>
      </c>
      <c r="Q508" s="121" t="str">
        <f>HYPERLINK(AA2 &amp; "/bottle/sn_f68e99b57596b33d197a35146ee825cd/rendering/14.obj", "2.49538683891")</f>
        <v>2.49538683891</v>
      </c>
      <c r="R508" s="157" t="str">
        <f>HYPERLINK(AA2 &amp; "/bottle/sn_f68e99b57596b33d197a35146ee825cd/rendering/15.obj", "2.2518465519")</f>
        <v>2.2518465519</v>
      </c>
      <c r="S508" s="20" t="str">
        <f>HYPERLINK(AA2 &amp; "/bottle/sn_f68e99b57596b33d197a35146ee825cd/rendering/16.obj", "13.0371713638")</f>
        <v>13.0371713638</v>
      </c>
      <c r="T508" s="57" t="str">
        <f>HYPERLINK(AA2 &amp; "/bottle/sn_f68e99b57596b33d197a35146ee825cd/rendering/17.obj", "2.63741898537")</f>
        <v>2.63741898537</v>
      </c>
      <c r="U508" s="20" t="str">
        <f>HYPERLINK(AA2 &amp; "/bottle/sn_f68e99b57596b33d197a35146ee825cd/rendering/18.obj", "8.56811618805")</f>
        <v>8.56811618805</v>
      </c>
      <c r="V508" s="89" t="str">
        <f>HYPERLINK(AA2 &amp; "/bottle/sn_f68e99b57596b33d197a35146ee825cd/rendering/19.obj", "4.8566493988")</f>
        <v>4.8566493988</v>
      </c>
      <c r="W508" s="12" t="s">
        <v>30</v>
      </c>
      <c r="X508" s="13">
        <v>3.854082465171814</v>
      </c>
      <c r="Y508" s="13">
        <v>2.7799327990341429</v>
      </c>
      <c r="Z508" s="245">
        <v>0.72129561942578058</v>
      </c>
    </row>
    <row r="509" spans="1:26" x14ac:dyDescent="0.2">
      <c r="A509" s="1">
        <v>507</v>
      </c>
      <c r="B509" s="2" t="s">
        <v>134</v>
      </c>
      <c r="C509" s="71" t="str">
        <f>HYPERLINK(AB2 &amp; "/bottle/sn_f68e99b57596b33d197a35146ee825cd/rendering/00.obj", "2.29726394653")</f>
        <v>2.29726394653</v>
      </c>
      <c r="D509" s="72" t="str">
        <f>HYPERLINK(AB2 &amp; "/bottle/sn_f68e99b57596b33d197a35146ee825cd/rendering/01.obj", "2.51367843628")</f>
        <v>2.51367843628</v>
      </c>
      <c r="E509" s="73" t="str">
        <f>HYPERLINK(AB2 &amp; "/bottle/sn_f68e99b57596b33d197a35146ee825cd/rendering/02.obj", "2.50790374756")</f>
        <v>2.50790374756</v>
      </c>
      <c r="F509" s="25" t="str">
        <f>HYPERLINK(AB2 &amp; "/bottle/sn_f68e99b57596b33d197a35146ee825cd/rendering/03.obj", "2.56908203125")</f>
        <v>2.56908203125</v>
      </c>
      <c r="G509" s="35" t="str">
        <f>HYPERLINK(AB2 &amp; "/bottle/sn_f68e99b57596b33d197a35146ee825cd/rendering/04.obj", "2.45218795776")</f>
        <v>2.45218795776</v>
      </c>
      <c r="H509" s="29" t="str">
        <f>HYPERLINK(AB2 &amp; "/bottle/sn_f68e99b57596b33d197a35146ee825cd/rendering/05.obj", "2.93405822754")</f>
        <v>2.93405822754</v>
      </c>
      <c r="I509" s="91" t="str">
        <f>HYPERLINK(AB2 &amp; "/bottle/sn_f68e99b57596b33d197a35146ee825cd/rendering/06.obj", "2.66552368164")</f>
        <v>2.66552368164</v>
      </c>
      <c r="J509" s="77" t="str">
        <f>HYPERLINK(AB2 &amp; "/bottle/sn_f68e99b57596b33d197a35146ee825cd/rendering/07.obj", "3.08555664063")</f>
        <v>3.08555664063</v>
      </c>
      <c r="K509" s="38" t="str">
        <f>HYPERLINK(AB2 &amp; "/bottle/sn_f68e99b57596b33d197a35146ee825cd/rendering/08.obj", "2.36384185791")</f>
        <v>2.36384185791</v>
      </c>
      <c r="L509" s="27" t="str">
        <f>HYPERLINK(AB2 &amp; "/bottle/sn_f68e99b57596b33d197a35146ee825cd/rendering/09.obj", "2.4167489624")</f>
        <v>2.4167489624</v>
      </c>
      <c r="M509" s="26" t="str">
        <f>HYPERLINK(AB2 &amp; "/bottle/sn_f68e99b57596b33d197a35146ee825cd/rendering/10.obj", "2.76606872559")</f>
        <v>2.76606872559</v>
      </c>
      <c r="N509" s="79" t="str">
        <f>HYPERLINK(AB2 &amp; "/bottle/sn_f68e99b57596b33d197a35146ee825cd/rendering/11.obj", "2.1870753479")</f>
        <v>2.1870753479</v>
      </c>
      <c r="O509" s="74" t="str">
        <f>HYPERLINK(AB2 &amp; "/bottle/sn_f68e99b57596b33d197a35146ee825cd/rendering/12.obj", "2.56462860107")</f>
        <v>2.56462860107</v>
      </c>
      <c r="P509" s="29" t="str">
        <f>HYPERLINK(AB2 &amp; "/bottle/sn_f68e99b57596b33d197a35146ee825cd/rendering/13.obj", "2.93778594971")</f>
        <v>2.93778594971</v>
      </c>
      <c r="Q509" s="66" t="str">
        <f>HYPERLINK(AB2 &amp; "/bottle/sn_f68e99b57596b33d197a35146ee825cd/rendering/14.obj", "3.01564819336")</f>
        <v>3.01564819336</v>
      </c>
      <c r="R509" s="25" t="str">
        <f>HYPERLINK(AB2 &amp; "/bottle/sn_f68e99b57596b33d197a35146ee825cd/rendering/15.obj", "2.57133758545")</f>
        <v>2.57133758545</v>
      </c>
      <c r="S509" s="51" t="str">
        <f>HYPERLINK(AB2 &amp; "/bottle/sn_f68e99b57596b33d197a35146ee825cd/rendering/16.obj", "2.39130874634")</f>
        <v>2.39130874634</v>
      </c>
      <c r="T509" s="48" t="str">
        <f>HYPERLINK(AB2 &amp; "/bottle/sn_f68e99b57596b33d197a35146ee825cd/rendering/17.obj", "2.53601531982")</f>
        <v>2.53601531982</v>
      </c>
      <c r="U509" s="74" t="str">
        <f>HYPERLINK(AB2 &amp; "/bottle/sn_f68e99b57596b33d197a35146ee825cd/rendering/18.obj", "2.55862808228")</f>
        <v>2.55862808228</v>
      </c>
      <c r="V509" s="17" t="str">
        <f>HYPERLINK(AB2 &amp; "/bottle/sn_f68e99b57596b33d197a35146ee825cd/rendering/19.obj", "2.64832672119")</f>
        <v>2.64832672119</v>
      </c>
      <c r="W509" s="12" t="s">
        <v>31</v>
      </c>
      <c r="X509" s="13">
        <v>2.5991334381103508</v>
      </c>
      <c r="Y509" s="13">
        <v>0.23559402379957839</v>
      </c>
      <c r="Z509" s="38">
        <v>9.0643296856225422E-2</v>
      </c>
    </row>
    <row r="510" spans="1:26" x14ac:dyDescent="0.2">
      <c r="A510" s="1">
        <v>508</v>
      </c>
      <c r="B510" s="2" t="s">
        <v>134</v>
      </c>
      <c r="C510" s="65" t="str">
        <f>HYPERLINK(AB2 &amp; "/bottle/sn_f68e99b57596b33d197a35146ee825cd/rendering/00.obj", "1.77857577801")</f>
        <v>1.77857577801</v>
      </c>
      <c r="D510" s="71" t="str">
        <f>HYPERLINK(AB2 &amp; "/bottle/sn_f68e99b57596b33d197a35146ee825cd/rendering/01.obj", "1.80743515491")</f>
        <v>1.80743515491</v>
      </c>
      <c r="E510" s="79" t="str">
        <f>HYPERLINK(AB2 &amp; "/bottle/sn_f68e99b57596b33d197a35146ee825cd/rendering/02.obj", "1.7271156311")</f>
        <v>1.7271156311</v>
      </c>
      <c r="F510" s="67" t="str">
        <f>HYPERLINK(AB2 &amp; "/bottle/sn_f68e99b57596b33d197a35146ee825cd/rendering/03.obj", "1.85700523853")</f>
        <v>1.85700523853</v>
      </c>
      <c r="G510" s="107" t="str">
        <f>HYPERLINK(AB2 &amp; "/bottle/sn_f68e99b57596b33d197a35146ee825cd/rendering/04.obj", "1.88042855263")</f>
        <v>1.88042855263</v>
      </c>
      <c r="H510" s="81" t="str">
        <f>HYPERLINK(AB2 &amp; "/bottle/sn_f68e99b57596b33d197a35146ee825cd/rendering/05.obj", "2.49754166603")</f>
        <v>2.49754166603</v>
      </c>
      <c r="I510" s="50" t="str">
        <f>HYPERLINK(AB2 &amp; "/bottle/sn_f68e99b57596b33d197a35146ee825cd/rendering/06.obj", "2.45741558075")</f>
        <v>2.45741558075</v>
      </c>
      <c r="J510" s="5" t="str">
        <f>HYPERLINK(AB2 &amp; "/bottle/sn_f68e99b57596b33d197a35146ee825cd/rendering/07.obj", "2.20586657524")</f>
        <v>2.20586657524</v>
      </c>
      <c r="K510" s="42" t="str">
        <f>HYPERLINK(AB2 &amp; "/bottle/sn_f68e99b57596b33d197a35146ee825cd/rendering/08.obj", "1.77035558224")</f>
        <v>1.77035558224</v>
      </c>
      <c r="L510" s="80" t="str">
        <f>HYPERLINK(AB2 &amp; "/bottle/sn_f68e99b57596b33d197a35146ee825cd/rendering/09.obj", "1.74617254734")</f>
        <v>1.74617254734</v>
      </c>
      <c r="M510" s="94" t="str">
        <f>HYPERLINK(AB2 &amp; "/bottle/sn_f68e99b57596b33d197a35146ee825cd/rendering/10.obj", "1.89920651913")</f>
        <v>1.89920651913</v>
      </c>
      <c r="N510" s="106" t="str">
        <f>HYPERLINK(AB2 &amp; "/bottle/sn_f68e99b57596b33d197a35146ee825cd/rendering/11.obj", "1.81596064568")</f>
        <v>1.81596064568</v>
      </c>
      <c r="O510" s="68" t="str">
        <f>HYPERLINK(AB2 &amp; "/bottle/sn_f68e99b57596b33d197a35146ee825cd/rendering/12.obj", "1.9609234333")</f>
        <v>1.9609234333</v>
      </c>
      <c r="P510" s="168" t="str">
        <f>HYPERLINK(AB2 &amp; "/bottle/sn_f68e99b57596b33d197a35146ee825cd/rendering/13.obj", "2.71027851105")</f>
        <v>2.71027851105</v>
      </c>
      <c r="Q510" s="107" t="str">
        <f>HYPERLINK(AB2 &amp; "/bottle/sn_f68e99b57596b33d197a35146ee825cd/rendering/14.obj", "2.21762299538")</f>
        <v>2.21762299538</v>
      </c>
      <c r="R510" s="33" t="str">
        <f>HYPERLINK(AB2 &amp; "/bottle/sn_f68e99b57596b33d197a35146ee825cd/rendering/15.obj", "1.83050274849")</f>
        <v>1.83050274849</v>
      </c>
      <c r="S510" s="134" t="str">
        <f>HYPERLINK(AB2 &amp; "/bottle/sn_f68e99b57596b33d197a35146ee825cd/rendering/16.obj", "2.41598844528")</f>
        <v>2.41598844528</v>
      </c>
      <c r="T510" s="13" t="str">
        <f>HYPERLINK(AB2 &amp; "/bottle/sn_f68e99b57596b33d197a35146ee825cd/rendering/17.obj", "2.04830479622")</f>
        <v>2.04830479622</v>
      </c>
      <c r="U510" s="32" t="str">
        <f>HYPERLINK(AB2 &amp; "/bottle/sn_f68e99b57596b33d197a35146ee825cd/rendering/18.obj", "1.83629417419")</f>
        <v>1.83629417419</v>
      </c>
      <c r="V510" s="98" t="str">
        <f>HYPERLINK(AB2 &amp; "/bottle/sn_f68e99b57596b33d197a35146ee825cd/rendering/19.obj", "2.51949071884")</f>
        <v>2.51949071884</v>
      </c>
      <c r="W510" s="12" t="s">
        <v>32</v>
      </c>
      <c r="X510" s="13">
        <v>2.049124264717102</v>
      </c>
      <c r="Y510" s="13">
        <v>0.30508776076876137</v>
      </c>
      <c r="Z510" s="80">
        <v>0.14888690062478041</v>
      </c>
    </row>
    <row r="511" spans="1:26" x14ac:dyDescent="0.2">
      <c r="A511" s="1">
        <v>509</v>
      </c>
      <c r="B511" s="2" t="s">
        <v>134</v>
      </c>
      <c r="C511" s="13" t="str">
        <f>HYPERLINK(AC2 &amp; "/bottle/sn_f68e99b57596b33d197a35146ee825cd/rendering/00.xyz", "0.0")</f>
        <v>0.0</v>
      </c>
      <c r="D511" s="13" t="str">
        <f>HYPERLINK(AC2 &amp; "/bottle/sn_f68e99b57596b33d197a35146ee825cd/rendering/01.xyz", "0.0")</f>
        <v>0.0</v>
      </c>
      <c r="E511" s="13" t="str">
        <f>HYPERLINK(AC2 &amp; "/bottle/sn_f68e99b57596b33d197a35146ee825cd/rendering/02.xyz", "0.0")</f>
        <v>0.0</v>
      </c>
      <c r="F511" s="13" t="str">
        <f>HYPERLINK(AC2 &amp; "/bottle/sn_f68e99b57596b33d197a35146ee825cd/rendering/03.xyz", "0.0")</f>
        <v>0.0</v>
      </c>
      <c r="G511" s="13" t="str">
        <f>HYPERLINK(AC2 &amp; "/bottle/sn_f68e99b57596b33d197a35146ee825cd/rendering/04.xyz", "0.0")</f>
        <v>0.0</v>
      </c>
      <c r="H511" s="13" t="str">
        <f>HYPERLINK(AC2 &amp; "/bottle/sn_f68e99b57596b33d197a35146ee825cd/rendering/05.xyz", "0.0")</f>
        <v>0.0</v>
      </c>
      <c r="I511" s="13" t="str">
        <f>HYPERLINK(AC2 &amp; "/bottle/sn_f68e99b57596b33d197a35146ee825cd/rendering/06.xyz", "0.0")</f>
        <v>0.0</v>
      </c>
      <c r="J511" s="13" t="str">
        <f>HYPERLINK(AC2 &amp; "/bottle/sn_f68e99b57596b33d197a35146ee825cd/rendering/07.xyz", "0.0")</f>
        <v>0.0</v>
      </c>
      <c r="K511" s="13" t="str">
        <f>HYPERLINK(AC2 &amp; "/bottle/sn_f68e99b57596b33d197a35146ee825cd/rendering/08.xyz", "0.0")</f>
        <v>0.0</v>
      </c>
      <c r="L511" s="13" t="str">
        <f>HYPERLINK(AC2 &amp; "/bottle/sn_f68e99b57596b33d197a35146ee825cd/rendering/09.xyz", "0.0")</f>
        <v>0.0</v>
      </c>
      <c r="M511" s="13" t="str">
        <f>HYPERLINK(AC2 &amp; "/bottle/sn_f68e99b57596b33d197a35146ee825cd/rendering/10.xyz", "0.0")</f>
        <v>0.0</v>
      </c>
      <c r="N511" s="13" t="str">
        <f>HYPERLINK(AC2 &amp; "/bottle/sn_f68e99b57596b33d197a35146ee825cd/rendering/11.xyz", "0.0")</f>
        <v>0.0</v>
      </c>
      <c r="O511" s="13" t="str">
        <f>HYPERLINK(AC2 &amp; "/bottle/sn_f68e99b57596b33d197a35146ee825cd/rendering/12.xyz", "0.0")</f>
        <v>0.0</v>
      </c>
      <c r="P511" s="13" t="str">
        <f>HYPERLINK(AC2 &amp; "/bottle/sn_f68e99b57596b33d197a35146ee825cd/rendering/13.xyz", "0.0")</f>
        <v>0.0</v>
      </c>
      <c r="Q511" s="13" t="str">
        <f>HYPERLINK(AC2 &amp; "/bottle/sn_f68e99b57596b33d197a35146ee825cd/rendering/14.xyz", "0.0")</f>
        <v>0.0</v>
      </c>
      <c r="R511" s="13" t="str">
        <f>HYPERLINK(AC2 &amp; "/bottle/sn_f68e99b57596b33d197a35146ee825cd/rendering/15.xyz", "0.0")</f>
        <v>0.0</v>
      </c>
      <c r="S511" s="13" t="str">
        <f>HYPERLINK(AC2 &amp; "/bottle/sn_f68e99b57596b33d197a35146ee825cd/rendering/16.xyz", "0.0")</f>
        <v>0.0</v>
      </c>
      <c r="T511" s="13" t="str">
        <f>HYPERLINK(AC2 &amp; "/bottle/sn_f68e99b57596b33d197a35146ee825cd/rendering/17.xyz", "0.0")</f>
        <v>0.0</v>
      </c>
      <c r="U511" s="13" t="str">
        <f>HYPERLINK(AC2 &amp; "/bottle/sn_f68e99b57596b33d197a35146ee825cd/rendering/18.xyz", "0.0")</f>
        <v>0.0</v>
      </c>
      <c r="V511" s="13" t="str">
        <f>HYPERLINK(AC2 &amp; "/bottle/sn_f68e99b57596b33d197a35146ee825cd/rendering/19.xyz", "0.0")</f>
        <v>0.0</v>
      </c>
      <c r="W511" s="12" t="s">
        <v>33</v>
      </c>
      <c r="X511" s="13">
        <v>0</v>
      </c>
      <c r="Y511" s="13">
        <v>0</v>
      </c>
      <c r="Z511" s="13">
        <v>0</v>
      </c>
    </row>
    <row r="512" spans="1:26" x14ac:dyDescent="0.2">
      <c r="A512" s="1">
        <v>510</v>
      </c>
      <c r="B512" s="2" t="s">
        <v>135</v>
      </c>
      <c r="C512" s="65" t="str">
        <f>HYPERLINK(AA2 &amp; "/bottle/sn_f83c3b75f637241aebe67d9b32c3ddf8/rendering/00.obj", "2.4181590271")</f>
        <v>2.4181590271</v>
      </c>
      <c r="D512" s="23" t="str">
        <f>HYPERLINK(AA2 &amp; "/bottle/sn_f83c3b75f637241aebe67d9b32c3ddf8/rendering/01.obj", "2.90589477539")</f>
        <v>2.90589477539</v>
      </c>
      <c r="E512" s="80" t="str">
        <f>HYPERLINK(AA2 &amp; "/bottle/sn_f83c3b75f637241aebe67d9b32c3ddf8/rendering/02.obj", "3.208309021")</f>
        <v>3.208309021</v>
      </c>
      <c r="F512" s="41" t="str">
        <f>HYPERLINK(AA2 &amp; "/bottle/sn_f83c3b75f637241aebe67d9b32c3ddf8/rendering/03.obj", "2.60556793213")</f>
        <v>2.60556793213</v>
      </c>
      <c r="G512" s="46" t="str">
        <f>HYPERLINK(AA2 &amp; "/bottle/sn_f83c3b75f637241aebe67d9b32c3ddf8/rendering/04.obj", "2.74332733154")</f>
        <v>2.74332733154</v>
      </c>
      <c r="H512" s="39" t="str">
        <f>HYPERLINK(AA2 &amp; "/bottle/sn_f83c3b75f637241aebe67d9b32c3ddf8/rendering/05.obj", "2.55433776855")</f>
        <v>2.55433776855</v>
      </c>
      <c r="I512" s="47" t="str">
        <f>HYPERLINK(AA2 &amp; "/bottle/sn_f83c3b75f637241aebe67d9b32c3ddf8/rendering/06.obj", "2.76979980469")</f>
        <v>2.76979980469</v>
      </c>
      <c r="J512" s="106" t="str">
        <f>HYPERLINK(AA2 &amp; "/bottle/sn_f83c3b75f637241aebe67d9b32c3ddf8/rendering/07.obj", "2.47125564575")</f>
        <v>2.47125564575</v>
      </c>
      <c r="K512" s="24" t="str">
        <f>HYPERLINK(AA2 &amp; "/bottle/sn_f83c3b75f637241aebe67d9b32c3ddf8/rendering/08.obj", "2.32252593994")</f>
        <v>2.32252593994</v>
      </c>
      <c r="L512" s="87" t="str">
        <f>HYPERLINK(AA2 &amp; "/bottle/sn_f83c3b75f637241aebe67d9b32c3ddf8/rendering/09.obj", "2.15602508545")</f>
        <v>2.15602508545</v>
      </c>
      <c r="M512" s="151" t="str">
        <f>HYPERLINK(AA2 &amp; "/bottle/sn_f83c3b75f637241aebe67d9b32c3ddf8/rendering/10.obj", "1.78958068848")</f>
        <v>1.78958068848</v>
      </c>
      <c r="N512" s="76" t="str">
        <f>HYPERLINK(AA2 &amp; "/bottle/sn_f83c3b75f637241aebe67d9b32c3ddf8/rendering/11.obj", "2.28617538452")</f>
        <v>2.28617538452</v>
      </c>
      <c r="O512" s="5" t="str">
        <f>HYPERLINK(AA2 &amp; "/bottle/sn_f83c3b75f637241aebe67d9b32c3ddf8/rendering/12.obj", "2.57684570313")</f>
        <v>2.57684570313</v>
      </c>
      <c r="P512" s="120" t="str">
        <f>HYPERLINK(AA2 &amp; "/bottle/sn_f83c3b75f637241aebe67d9b32c3ddf8/rendering/13.obj", "3.3846472168")</f>
        <v>3.3846472168</v>
      </c>
      <c r="Q512" s="67" t="str">
        <f>HYPERLINK(AA2 &amp; "/bottle/sn_f83c3b75f637241aebe67d9b32c3ddf8/rendering/14.obj", "3.05182250977")</f>
        <v>3.05182250977</v>
      </c>
      <c r="R512" s="10" t="str">
        <f>HYPERLINK(AA2 &amp; "/bottle/sn_f83c3b75f637241aebe67d9b32c3ddf8/rendering/15.obj", "2.64076263428")</f>
        <v>2.64076263428</v>
      </c>
      <c r="S512" s="104" t="str">
        <f>HYPERLINK(AA2 &amp; "/bottle/sn_f83c3b75f637241aebe67d9b32c3ddf8/rendering/16.obj", "4.12479187012")</f>
        <v>4.12479187012</v>
      </c>
      <c r="T512" s="23" t="str">
        <f>HYPERLINK(AA2 &amp; "/bottle/sn_f83c3b75f637241aebe67d9b32c3ddf8/rendering/17.obj", "2.68594665527")</f>
        <v>2.68594665527</v>
      </c>
      <c r="U512" s="20" t="str">
        <f>HYPERLINK(AA2 &amp; "/bottle/sn_f83c3b75f637241aebe67d9b32c3ddf8/rendering/18.obj", "5.21376159668")</f>
        <v>5.21376159668</v>
      </c>
      <c r="V512" s="166" t="str">
        <f>HYPERLINK(AA2 &amp; "/bottle/sn_f83c3b75f637241aebe67d9b32c3ddf8/rendering/19.obj", "1.99369567871")</f>
        <v>1.99369567871</v>
      </c>
      <c r="W512" s="12" t="s">
        <v>29</v>
      </c>
      <c r="X512" s="13">
        <v>2.795161613464356</v>
      </c>
      <c r="Y512" s="13">
        <v>0.74786688403822688</v>
      </c>
      <c r="Z512" s="86">
        <v>0.26755765406756288</v>
      </c>
    </row>
    <row r="513" spans="1:26" x14ac:dyDescent="0.2">
      <c r="A513" s="1">
        <v>511</v>
      </c>
      <c r="B513" s="2" t="s">
        <v>135</v>
      </c>
      <c r="C513" s="107" t="str">
        <f>HYPERLINK(AA2 &amp; "/bottle/sn_f83c3b75f637241aebe67d9b32c3ddf8/rendering/00.obj", "2.14283585548")</f>
        <v>2.14283585548</v>
      </c>
      <c r="D513" s="6" t="str">
        <f>HYPERLINK(AA2 &amp; "/bottle/sn_f83c3b75f637241aebe67d9b32c3ddf8/rendering/01.obj", "2.22733306885")</f>
        <v>2.22733306885</v>
      </c>
      <c r="E513" s="17" t="str">
        <f>HYPERLINK(AA2 &amp; "/bottle/sn_f83c3b75f637241aebe67d9b32c3ddf8/rendering/02.obj", "2.38111281395")</f>
        <v>2.38111281395</v>
      </c>
      <c r="F513" s="66" t="str">
        <f>HYPERLINK(AA2 &amp; "/bottle/sn_f83c3b75f637241aebe67d9b32c3ddf8/rendering/03.obj", "1.95691919327")</f>
        <v>1.95691919327</v>
      </c>
      <c r="G513" s="13" t="str">
        <f>HYPERLINK(AA2 &amp; "/bottle/sn_f83c3b75f637241aebe67d9b32c3ddf8/rendering/04.obj", "2.33793759346")</f>
        <v>2.33793759346</v>
      </c>
      <c r="H513" s="182" t="str">
        <f>HYPERLINK(AA2 &amp; "/bottle/sn_f83c3b75f637241aebe67d9b32c3ddf8/rendering/05.obj", "1.55726182461")</f>
        <v>1.55726182461</v>
      </c>
      <c r="I513" s="106" t="str">
        <f>HYPERLINK(AA2 &amp; "/bottle/sn_f83c3b75f637241aebe67d9b32c3ddf8/rendering/06.obj", "2.06481742859")</f>
        <v>2.06481742859</v>
      </c>
      <c r="J513" s="120" t="str">
        <f>HYPERLINK(AA2 &amp; "/bottle/sn_f83c3b75f637241aebe67d9b32c3ddf8/rendering/07.obj", "1.83649599552")</f>
        <v>1.83649599552</v>
      </c>
      <c r="K513" s="87" t="str">
        <f>HYPERLINK(AA2 &amp; "/bottle/sn_f83c3b75f637241aebe67d9b32c3ddf8/rendering/08.obj", "1.80066776276")</f>
        <v>1.80066776276</v>
      </c>
      <c r="L513" s="99" t="str">
        <f>HYPERLINK(AA2 &amp; "/bottle/sn_f83c3b75f637241aebe67d9b32c3ddf8/rendering/09.obj", "1.69789946079")</f>
        <v>1.69789946079</v>
      </c>
      <c r="M513" s="185" t="str">
        <f>HYPERLINK(AA2 &amp; "/bottle/sn_f83c3b75f637241aebe67d9b32c3ddf8/rendering/10.obj", "1.53798115253")</f>
        <v>1.53798115253</v>
      </c>
      <c r="N513" s="26" t="str">
        <f>HYPERLINK(AA2 &amp; "/bottle/sn_f83c3b75f637241aebe67d9b32c3ddf8/rendering/11.obj", "2.18212795258")</f>
        <v>2.18212795258</v>
      </c>
      <c r="O513" s="98" t="str">
        <f>HYPERLINK(AA2 &amp; "/bottle/sn_f83c3b75f637241aebe67d9b32c3ddf8/rendering/12.obj", "1.79277014732")</f>
        <v>1.79277014732</v>
      </c>
      <c r="P513" s="150" t="str">
        <f>HYPERLINK(AA2 &amp; "/bottle/sn_f83c3b75f637241aebe67d9b32c3ddf8/rendering/13.obj", "3.58708119392")</f>
        <v>3.58708119392</v>
      </c>
      <c r="Q513" s="61" t="str">
        <f>HYPERLINK(AA2 &amp; "/bottle/sn_f83c3b75f637241aebe67d9b32c3ddf8/rendering/14.obj", "3.0396091938")</f>
        <v>3.0396091938</v>
      </c>
      <c r="R513" s="118" t="str">
        <f>HYPERLINK(AA2 &amp; "/bottle/sn_f83c3b75f637241aebe67d9b32c3ddf8/rendering/15.obj", "1.65189647675")</f>
        <v>1.65189647675</v>
      </c>
      <c r="S513" s="246" t="str">
        <f>HYPERLINK(AA2 &amp; "/bottle/sn_f83c3b75f637241aebe67d9b32c3ddf8/rendering/16.obj", "3.75801849365")</f>
        <v>3.75801849365</v>
      </c>
      <c r="T513" s="5" t="str">
        <f>HYPERLINK(AA2 &amp; "/bottle/sn_f83c3b75f637241aebe67d9b32c3ddf8/rendering/17.obj", "2.15038323402")</f>
        <v>2.15038323402</v>
      </c>
      <c r="U513" s="20" t="str">
        <f>HYPERLINK(AA2 &amp; "/bottle/sn_f83c3b75f637241aebe67d9b32c3ddf8/rendering/18.obj", "4.97382259369")</f>
        <v>4.97382259369</v>
      </c>
      <c r="V513" s="80" t="str">
        <f>HYPERLINK(AA2 &amp; "/bottle/sn_f83c3b75f637241aebe67d9b32c3ddf8/rendering/19.obj", "1.98657226562")</f>
        <v>1.98657226562</v>
      </c>
      <c r="W513" s="12" t="s">
        <v>30</v>
      </c>
      <c r="X513" s="13">
        <v>2.3331771850585938</v>
      </c>
      <c r="Y513" s="13">
        <v>0.84966487473115537</v>
      </c>
      <c r="Z513" s="137">
        <v>0.36416645944093501</v>
      </c>
    </row>
    <row r="514" spans="1:26" x14ac:dyDescent="0.2">
      <c r="A514" s="1">
        <v>512</v>
      </c>
      <c r="B514" s="2" t="s">
        <v>135</v>
      </c>
      <c r="C514" s="47" t="str">
        <f>HYPERLINK(AB2 &amp; "/bottle/sn_f83c3b75f637241aebe67d9b32c3ddf8/rendering/00.obj", "2.30399642944")</f>
        <v>2.30399642944</v>
      </c>
      <c r="D514" s="63" t="str">
        <f>HYPERLINK(AB2 &amp; "/bottle/sn_f83c3b75f637241aebe67d9b32c3ddf8/rendering/01.obj", "2.59926361084")</f>
        <v>2.59926361084</v>
      </c>
      <c r="E514" s="71" t="str">
        <f>HYPERLINK(AB2 &amp; "/bottle/sn_f83c3b75f637241aebe67d9b32c3ddf8/rendering/02.obj", "2.5941809082")</f>
        <v>2.5941809082</v>
      </c>
      <c r="F514" s="10" t="str">
        <f>HYPERLINK(AB2 &amp; "/bottle/sn_f83c3b75f637241aebe67d9b32c3ddf8/rendering/03.obj", "2.18831298828")</f>
        <v>2.18831298828</v>
      </c>
      <c r="G514" s="47" t="str">
        <f>HYPERLINK(AB2 &amp; "/bottle/sn_f83c3b75f637241aebe67d9b32c3ddf8/rendering/04.obj", "2.29777038574")</f>
        <v>2.29777038574</v>
      </c>
      <c r="H514" s="66" t="str">
        <f>HYPERLINK(AB2 &amp; "/bottle/sn_f83c3b75f637241aebe67d9b32c3ddf8/rendering/05.obj", "1.94314468384")</f>
        <v>1.94314468384</v>
      </c>
      <c r="I514" s="27" t="str">
        <f>HYPERLINK(AB2 &amp; "/bottle/sn_f83c3b75f637241aebe67d9b32c3ddf8/rendering/06.obj", "2.1552935791")</f>
        <v>2.1552935791</v>
      </c>
      <c r="J514" s="25" t="str">
        <f>HYPERLINK(AB2 &amp; "/bottle/sn_f83c3b75f637241aebe67d9b32c3ddf8/rendering/07.obj", "2.34314407349")</f>
        <v>2.34314407349</v>
      </c>
      <c r="K514" s="48" t="str">
        <f>HYPERLINK(AB2 &amp; "/bottle/sn_f83c3b75f637241aebe67d9b32c3ddf8/rendering/08.obj", "2.26735443115")</f>
        <v>2.26735443115</v>
      </c>
      <c r="L514" s="38" t="str">
        <f>HYPERLINK(AB2 &amp; "/bottle/sn_f83c3b75f637241aebe67d9b32c3ddf8/rendering/09.obj", "2.10851226807")</f>
        <v>2.10851226807</v>
      </c>
      <c r="M514" s="38" t="str">
        <f>HYPERLINK(AB2 &amp; "/bottle/sn_f83c3b75f637241aebe67d9b32c3ddf8/rendering/10.obj", "2.11551681519")</f>
        <v>2.11551681519</v>
      </c>
      <c r="N514" s="34" t="str">
        <f>HYPERLINK(AB2 &amp; "/bottle/sn_f83c3b75f637241aebe67d9b32c3ddf8/rendering/11.obj", "2.20377349854")</f>
        <v>2.20377349854</v>
      </c>
      <c r="O514" s="107" t="str">
        <f>HYPERLINK(AB2 &amp; "/bottle/sn_f83c3b75f637241aebe67d9b32c3ddf8/rendering/12.obj", "2.12902999878")</f>
        <v>2.12902999878</v>
      </c>
      <c r="P514" s="120" t="str">
        <f>HYPERLINK(AB2 &amp; "/bottle/sn_f83c3b75f637241aebe67d9b32c3ddf8/rendering/13.obj", "2.8138961792")</f>
        <v>2.8138961792</v>
      </c>
      <c r="Q514" s="11" t="str">
        <f>HYPERLINK(AB2 &amp; "/bottle/sn_f83c3b75f637241aebe67d9b32c3ddf8/rendering/14.obj", "2.84054382324")</f>
        <v>2.84054382324</v>
      </c>
      <c r="R514" s="32" t="str">
        <f>HYPERLINK(AB2 &amp; "/bottle/sn_f83c3b75f637241aebe67d9b32c3ddf8/rendering/15.obj", "2.07848129272")</f>
        <v>2.07848129272</v>
      </c>
      <c r="S514" s="41" t="str">
        <f>HYPERLINK(AB2 &amp; "/bottle/sn_f83c3b75f637241aebe67d9b32c3ddf8/rendering/16.obj", "2.16421463013")</f>
        <v>2.16421463013</v>
      </c>
      <c r="T514" s="170" t="str">
        <f>HYPERLINK(AB2 &amp; "/bottle/sn_f83c3b75f637241aebe67d9b32c3ddf8/rendering/17.obj", "2.90794372559")</f>
        <v>2.90794372559</v>
      </c>
      <c r="U514" s="69" t="str">
        <f>HYPERLINK(AB2 &amp; "/bottle/sn_f83c3b75f637241aebe67d9b32c3ddf8/rendering/18.obj", "2.39054382324")</f>
        <v>2.39054382324</v>
      </c>
      <c r="V514" s="64" t="str">
        <f>HYPERLINK(AB2 &amp; "/bottle/sn_f83c3b75f637241aebe67d9b32c3ddf8/rendering/19.obj", "1.94060195923")</f>
        <v>1.94060195923</v>
      </c>
      <c r="W514" s="12" t="s">
        <v>31</v>
      </c>
      <c r="X514" s="13">
        <v>2.319275955200196</v>
      </c>
      <c r="Y514" s="13">
        <v>0.28038503045725172</v>
      </c>
      <c r="Z514" s="63">
        <v>0.1208933459722991</v>
      </c>
    </row>
    <row r="515" spans="1:26" x14ac:dyDescent="0.2">
      <c r="A515" s="1">
        <v>513</v>
      </c>
      <c r="B515" s="2" t="s">
        <v>135</v>
      </c>
      <c r="C515" s="108" t="str">
        <f>HYPERLINK(AB2 &amp; "/bottle/sn_f83c3b75f637241aebe67d9b32c3ddf8/rendering/00.obj", "2.31608223915")</f>
        <v>2.31608223915</v>
      </c>
      <c r="D515" s="91" t="str">
        <f>HYPERLINK(AB2 &amp; "/bottle/sn_f83c3b75f637241aebe67d9b32c3ddf8/rendering/01.obj", "1.9099843502")</f>
        <v>1.9099843502</v>
      </c>
      <c r="E515" s="27" t="str">
        <f>HYPERLINK(AB2 &amp; "/bottle/sn_f83c3b75f637241aebe67d9b32c3ddf8/rendering/02.obj", "1.73098695278")</f>
        <v>1.73098695278</v>
      </c>
      <c r="F515" s="17" t="str">
        <f>HYPERLINK(AB2 &amp; "/bottle/sn_f83c3b75f637241aebe67d9b32c3ddf8/rendering/03.obj", "1.82195186615")</f>
        <v>1.82195186615</v>
      </c>
      <c r="G515" s="107" t="str">
        <f>HYPERLINK(AB2 &amp; "/bottle/sn_f83c3b75f637241aebe67d9b32c3ddf8/rendering/04.obj", "1.7061150074")</f>
        <v>1.7061150074</v>
      </c>
      <c r="H515" s="51" t="str">
        <f>HYPERLINK(AB2 &amp; "/bottle/sn_f83c3b75f637241aebe67d9b32c3ddf8/rendering/05.obj", "1.71422421932")</f>
        <v>1.71422421932</v>
      </c>
      <c r="I515" s="6" t="str">
        <f>HYPERLINK(AB2 &amp; "/bottle/sn_f83c3b75f637241aebe67d9b32c3ddf8/rendering/06.obj", "1.94248008728")</f>
        <v>1.94248008728</v>
      </c>
      <c r="J515" s="94" t="str">
        <f>HYPERLINK(AB2 &amp; "/bottle/sn_f83c3b75f637241aebe67d9b32c3ddf8/rendering/07.obj", "1.99638783932")</f>
        <v>1.99638783932</v>
      </c>
      <c r="K515" s="32" t="str">
        <f>HYPERLINK(AB2 &amp; "/bottle/sn_f83c3b75f637241aebe67d9b32c3ddf8/rendering/08.obj", "1.66734051704")</f>
        <v>1.66734051704</v>
      </c>
      <c r="L515" s="110" t="str">
        <f>HYPERLINK(AB2 &amp; "/bottle/sn_f83c3b75f637241aebe67d9b32c3ddf8/rendering/09.obj", "1.6786532402")</f>
        <v>1.6786532402</v>
      </c>
      <c r="M515" s="64" t="str">
        <f>HYPERLINK(AB2 &amp; "/bottle/sn_f83c3b75f637241aebe67d9b32c3ddf8/rendering/10.obj", "1.55134367943")</f>
        <v>1.55134367943</v>
      </c>
      <c r="N515" s="33" t="str">
        <f>HYPERLINK(AB2 &amp; "/bottle/sn_f83c3b75f637241aebe67d9b32c3ddf8/rendering/11.obj", "1.66074359417")</f>
        <v>1.66074359417</v>
      </c>
      <c r="O515" s="133" t="str">
        <f>HYPERLINK(AB2 &amp; "/bottle/sn_f83c3b75f637241aebe67d9b32c3ddf8/rendering/12.obj", "1.66933095455")</f>
        <v>1.66933095455</v>
      </c>
      <c r="P515" s="49" t="str">
        <f>HYPERLINK(AB2 &amp; "/bottle/sn_f83c3b75f637241aebe67d9b32c3ddf8/rendering/13.obj", "2.24564051628")</f>
        <v>2.24564051628</v>
      </c>
      <c r="Q515" s="65" t="str">
        <f>HYPERLINK(AB2 &amp; "/bottle/sn_f83c3b75f637241aebe67d9b32c3ddf8/rendering/14.obj", "2.11110687256")</f>
        <v>2.11110687256</v>
      </c>
      <c r="R515" s="71" t="str">
        <f>HYPERLINK(AB2 &amp; "/bottle/sn_f83c3b75f637241aebe67d9b32c3ddf8/rendering/15.obj", "1.64257669449")</f>
        <v>1.64257669449</v>
      </c>
      <c r="S515" s="134" t="str">
        <f>HYPERLINK(AB2 &amp; "/bottle/sn_f83c3b75f637241aebe67d9b32c3ddf8/rendering/16.obj", "2.19846630096")</f>
        <v>2.19846630096</v>
      </c>
      <c r="T515" s="6" t="str">
        <f>HYPERLINK(AB2 &amp; "/bottle/sn_f83c3b75f637241aebe67d9b32c3ddf8/rendering/17.obj", "1.94772553444")</f>
        <v>1.94772553444</v>
      </c>
      <c r="U515" s="106" t="str">
        <f>HYPERLINK(AB2 &amp; "/bottle/sn_f83c3b75f637241aebe67d9b32c3ddf8/rendering/18.obj", "2.07497429848")</f>
        <v>2.07497429848</v>
      </c>
      <c r="V515" s="29" t="str">
        <f>HYPERLINK(AB2 &amp; "/bottle/sn_f83c3b75f637241aebe67d9b32c3ddf8/rendering/19.obj", "1.61775887012")</f>
        <v>1.61775887012</v>
      </c>
      <c r="W515" s="12" t="s">
        <v>32</v>
      </c>
      <c r="X515" s="13">
        <v>1.8601936817169189</v>
      </c>
      <c r="Y515" s="13">
        <v>0.226546179483958</v>
      </c>
      <c r="Z515" s="63">
        <v>0.1217863396218294</v>
      </c>
    </row>
    <row r="516" spans="1:26" x14ac:dyDescent="0.2">
      <c r="A516" s="1">
        <v>514</v>
      </c>
      <c r="B516" s="2" t="s">
        <v>135</v>
      </c>
      <c r="C516" s="13" t="str">
        <f>HYPERLINK(AC2 &amp; "/bottle/sn_f83c3b75f637241aebe67d9b32c3ddf8/rendering/00.xyz", "0.0")</f>
        <v>0.0</v>
      </c>
      <c r="D516" s="13" t="str">
        <f>HYPERLINK(AC2 &amp; "/bottle/sn_f83c3b75f637241aebe67d9b32c3ddf8/rendering/01.xyz", "0.0")</f>
        <v>0.0</v>
      </c>
      <c r="E516" s="13" t="str">
        <f>HYPERLINK(AC2 &amp; "/bottle/sn_f83c3b75f637241aebe67d9b32c3ddf8/rendering/02.xyz", "0.0")</f>
        <v>0.0</v>
      </c>
      <c r="F516" s="13" t="str">
        <f>HYPERLINK(AC2 &amp; "/bottle/sn_f83c3b75f637241aebe67d9b32c3ddf8/rendering/03.xyz", "0.0")</f>
        <v>0.0</v>
      </c>
      <c r="G516" s="13" t="str">
        <f>HYPERLINK(AC2 &amp; "/bottle/sn_f83c3b75f637241aebe67d9b32c3ddf8/rendering/04.xyz", "0.0")</f>
        <v>0.0</v>
      </c>
      <c r="H516" s="13" t="str">
        <f>HYPERLINK(AC2 &amp; "/bottle/sn_f83c3b75f637241aebe67d9b32c3ddf8/rendering/05.xyz", "0.0")</f>
        <v>0.0</v>
      </c>
      <c r="I516" s="13" t="str">
        <f>HYPERLINK(AC2 &amp; "/bottle/sn_f83c3b75f637241aebe67d9b32c3ddf8/rendering/06.xyz", "0.0")</f>
        <v>0.0</v>
      </c>
      <c r="J516" s="13" t="str">
        <f>HYPERLINK(AC2 &amp; "/bottle/sn_f83c3b75f637241aebe67d9b32c3ddf8/rendering/07.xyz", "0.0")</f>
        <v>0.0</v>
      </c>
      <c r="K516" s="13" t="str">
        <f>HYPERLINK(AC2 &amp; "/bottle/sn_f83c3b75f637241aebe67d9b32c3ddf8/rendering/08.xyz", "0.0")</f>
        <v>0.0</v>
      </c>
      <c r="L516" s="13" t="str">
        <f>HYPERLINK(AC2 &amp; "/bottle/sn_f83c3b75f637241aebe67d9b32c3ddf8/rendering/09.xyz", "0.0")</f>
        <v>0.0</v>
      </c>
      <c r="M516" s="13" t="str">
        <f>HYPERLINK(AC2 &amp; "/bottle/sn_f83c3b75f637241aebe67d9b32c3ddf8/rendering/10.xyz", "0.0")</f>
        <v>0.0</v>
      </c>
      <c r="N516" s="13" t="str">
        <f>HYPERLINK(AC2 &amp; "/bottle/sn_f83c3b75f637241aebe67d9b32c3ddf8/rendering/11.xyz", "0.0")</f>
        <v>0.0</v>
      </c>
      <c r="O516" s="13" t="str">
        <f>HYPERLINK(AC2 &amp; "/bottle/sn_f83c3b75f637241aebe67d9b32c3ddf8/rendering/12.xyz", "0.0")</f>
        <v>0.0</v>
      </c>
      <c r="P516" s="13" t="str">
        <f>HYPERLINK(AC2 &amp; "/bottle/sn_f83c3b75f637241aebe67d9b32c3ddf8/rendering/13.xyz", "0.0")</f>
        <v>0.0</v>
      </c>
      <c r="Q516" s="13" t="str">
        <f>HYPERLINK(AC2 &amp; "/bottle/sn_f83c3b75f637241aebe67d9b32c3ddf8/rendering/14.xyz", "0.0")</f>
        <v>0.0</v>
      </c>
      <c r="R516" s="13" t="str">
        <f>HYPERLINK(AC2 &amp; "/bottle/sn_f83c3b75f637241aebe67d9b32c3ddf8/rendering/15.xyz", "0.0")</f>
        <v>0.0</v>
      </c>
      <c r="S516" s="13" t="str">
        <f>HYPERLINK(AC2 &amp; "/bottle/sn_f83c3b75f637241aebe67d9b32c3ddf8/rendering/16.xyz", "0.0")</f>
        <v>0.0</v>
      </c>
      <c r="T516" s="13" t="str">
        <f>HYPERLINK(AC2 &amp; "/bottle/sn_f83c3b75f637241aebe67d9b32c3ddf8/rendering/17.xyz", "0.0")</f>
        <v>0.0</v>
      </c>
      <c r="U516" s="13" t="str">
        <f>HYPERLINK(AC2 &amp; "/bottle/sn_f83c3b75f637241aebe67d9b32c3ddf8/rendering/18.xyz", "0.0")</f>
        <v>0.0</v>
      </c>
      <c r="V516" s="13" t="str">
        <f>HYPERLINK(AC2 &amp; "/bottle/sn_f83c3b75f637241aebe67d9b32c3ddf8/rendering/19.xyz", "0.0")</f>
        <v>0.0</v>
      </c>
      <c r="W516" s="12" t="s">
        <v>33</v>
      </c>
      <c r="X516" s="13">
        <v>0</v>
      </c>
      <c r="Y516" s="13">
        <v>0</v>
      </c>
      <c r="Z516" s="13">
        <v>0</v>
      </c>
    </row>
    <row r="517" spans="1:26" x14ac:dyDescent="0.2">
      <c r="A517" s="1">
        <v>515</v>
      </c>
      <c r="B517" s="2" t="s">
        <v>136</v>
      </c>
      <c r="C517" s="26" t="str">
        <f>HYPERLINK(AA2 &amp; "/bottle/sn_f853ac62bc288e48e56a63d21fb60ae9/rendering/00.obj", "1.99866088867")</f>
        <v>1.99866088867</v>
      </c>
      <c r="D517" s="8" t="str">
        <f>HYPERLINK(AA2 &amp; "/bottle/sn_f853ac62bc288e48e56a63d21fb60ae9/rendering/01.obj", "2.1491015625")</f>
        <v>2.1491015625</v>
      </c>
      <c r="E517" s="48" t="str">
        <f>HYPERLINK(AA2 &amp; "/bottle/sn_f853ac62bc288e48e56a63d21fb60ae9/rendering/02.obj", "1.83586669922")</f>
        <v>1.83586669922</v>
      </c>
      <c r="F517" s="73" t="str">
        <f>HYPERLINK(AA2 &amp; "/bottle/sn_f853ac62bc288e48e56a63d21fb60ae9/rendering/03.obj", "1.94889526367")</f>
        <v>1.94889526367</v>
      </c>
      <c r="G517" s="74" t="str">
        <f>HYPERLINK(AA2 &amp; "/bottle/sn_f853ac62bc288e48e56a63d21fb60ae9/rendering/04.obj", "1.85004638672")</f>
        <v>1.85004638672</v>
      </c>
      <c r="H517" s="78" t="str">
        <f>HYPERLINK(AA2 &amp; "/bottle/sn_f853ac62bc288e48e56a63d21fb60ae9/rendering/05.obj", "1.76401092529")</f>
        <v>1.76401092529</v>
      </c>
      <c r="I517" s="71" t="str">
        <f>HYPERLINK(AA2 &amp; "/bottle/sn_f853ac62bc288e48e56a63d21fb60ae9/rendering/06.obj", "1.65714477539")</f>
        <v>1.65714477539</v>
      </c>
      <c r="J517" s="78" t="str">
        <f>HYPERLINK(AA2 &amp; "/bottle/sn_f853ac62bc288e48e56a63d21fb60ae9/rendering/07.obj", "1.99210861206")</f>
        <v>1.99210861206</v>
      </c>
      <c r="K517" s="10" t="str">
        <f>HYPERLINK(AA2 &amp; "/bottle/sn_f853ac62bc288e48e56a63d21fb60ae9/rendering/08.obj", "1.77311920166")</f>
        <v>1.77311920166</v>
      </c>
      <c r="L517" s="13" t="str">
        <f>HYPERLINK(AA2 &amp; "/bottle/sn_f853ac62bc288e48e56a63d21fb60ae9/rendering/09.obj", "1.88334197998")</f>
        <v>1.88334197998</v>
      </c>
      <c r="M517" s="34" t="str">
        <f>HYPERLINK(AA2 &amp; "/bottle/sn_f853ac62bc288e48e56a63d21fb60ae9/rendering/10.obj", "1.7881854248")</f>
        <v>1.7881854248</v>
      </c>
      <c r="N517" s="38" t="str">
        <f>HYPERLINK(AA2 &amp; "/bottle/sn_f853ac62bc288e48e56a63d21fb60ae9/rendering/11.obj", "2.04970062256")</f>
        <v>2.04970062256</v>
      </c>
      <c r="O517" s="69" t="str">
        <f>HYPERLINK(AA2 &amp; "/bottle/sn_f853ac62bc288e48e56a63d21fb60ae9/rendering/12.obj", "1.82184967041")</f>
        <v>1.82184967041</v>
      </c>
      <c r="P517" s="73" t="str">
        <f>HYPERLINK(AA2 &amp; "/bottle/sn_f853ac62bc288e48e56a63d21fb60ae9/rendering/13.obj", "1.8109072876")</f>
        <v>1.8109072876</v>
      </c>
      <c r="Q517" s="78" t="str">
        <f>HYPERLINK(AA2 &amp; "/bottle/sn_f853ac62bc288e48e56a63d21fb60ae9/rendering/14.obj", "1.99415481567")</f>
        <v>1.99415481567</v>
      </c>
      <c r="R517" s="38" t="str">
        <f>HYPERLINK(AA2 &amp; "/bottle/sn_f853ac62bc288e48e56a63d21fb60ae9/rendering/15.obj", "1.70992889404")</f>
        <v>1.70992889404</v>
      </c>
      <c r="S517" s="17" t="str">
        <f>HYPERLINK(AA2 &amp; "/bottle/sn_f853ac62bc288e48e56a63d21fb60ae9/rendering/16.obj", "1.84249313354")</f>
        <v>1.84249313354</v>
      </c>
      <c r="T517" s="13" t="str">
        <f>HYPERLINK(AA2 &amp; "/bottle/sn_f853ac62bc288e48e56a63d21fb60ae9/rendering/17.obj", "1.88252670288")</f>
        <v>1.88252670288</v>
      </c>
      <c r="U517" s="34" t="str">
        <f>HYPERLINK(AA2 &amp; "/bottle/sn_f853ac62bc288e48e56a63d21fb60ae9/rendering/18.obj", "1.97266693115")</f>
        <v>1.97266693115</v>
      </c>
      <c r="V517" s="74" t="str">
        <f>HYPERLINK(AA2 &amp; "/bottle/sn_f853ac62bc288e48e56a63d21fb60ae9/rendering/19.obj", "1.85376846313")</f>
        <v>1.85376846313</v>
      </c>
      <c r="W517" s="12" t="s">
        <v>29</v>
      </c>
      <c r="X517" s="13">
        <v>1.8789239120483401</v>
      </c>
      <c r="Y517" s="13">
        <v>0.11815513980305591</v>
      </c>
      <c r="Z517" s="26">
        <v>6.2884472886529555E-2</v>
      </c>
    </row>
    <row r="518" spans="1:26" x14ac:dyDescent="0.2">
      <c r="A518" s="1">
        <v>516</v>
      </c>
      <c r="B518" s="2" t="s">
        <v>136</v>
      </c>
      <c r="C518" s="94" t="str">
        <f>HYPERLINK(AA2 &amp; "/bottle/sn_f853ac62bc288e48e56a63d21fb60ae9/rendering/00.obj", "1.89876818657")</f>
        <v>1.89876818657</v>
      </c>
      <c r="D518" s="119" t="str">
        <f>HYPERLINK(AA2 &amp; "/bottle/sn_f853ac62bc288e48e56a63d21fb60ae9/rendering/01.obj", "2.59396982193")</f>
        <v>2.59396982193</v>
      </c>
      <c r="E518" s="26" t="str">
        <f>HYPERLINK(AA2 &amp; "/bottle/sn_f853ac62bc288e48e56a63d21fb60ae9/rendering/02.obj", "1.9185025692")</f>
        <v>1.9185025692</v>
      </c>
      <c r="F518" s="70" t="str">
        <f>HYPERLINK(AA2 &amp; "/bottle/sn_f853ac62bc288e48e56a63d21fb60ae9/rendering/03.obj", "2.3110499382")</f>
        <v>2.3110499382</v>
      </c>
      <c r="G518" s="23" t="str">
        <f>HYPERLINK(AA2 &amp; "/bottle/sn_f853ac62bc288e48e56a63d21fb60ae9/rendering/04.obj", "1.9713820219")</f>
        <v>1.9713820219</v>
      </c>
      <c r="H518" s="38" t="str">
        <f>HYPERLINK(AA2 &amp; "/bottle/sn_f853ac62bc288e48e56a63d21fb60ae9/rendering/05.obj", "1.86451387405")</f>
        <v>1.86451387405</v>
      </c>
      <c r="I518" s="83" t="str">
        <f>HYPERLINK(AA2 &amp; "/bottle/sn_f853ac62bc288e48e56a63d21fb60ae9/rendering/06.obj", "1.74134421349")</f>
        <v>1.74134421349</v>
      </c>
      <c r="J518" s="91" t="str">
        <f>HYPERLINK(AA2 &amp; "/bottle/sn_f853ac62bc288e48e56a63d21fb60ae9/rendering/07.obj", "2.10613536835")</f>
        <v>2.10613536835</v>
      </c>
      <c r="K518" s="51" t="str">
        <f>HYPERLINK(AA2 &amp; "/bottle/sn_f853ac62bc288e48e56a63d21fb60ae9/rendering/08.obj", "1.88885498047")</f>
        <v>1.88885498047</v>
      </c>
      <c r="L518" s="17" t="str">
        <f>HYPERLINK(AA2 &amp; "/bottle/sn_f853ac62bc288e48e56a63d21fb60ae9/rendering/09.obj", "2.09400105476")</f>
        <v>2.09400105476</v>
      </c>
      <c r="M518" s="10" t="str">
        <f>HYPERLINK(AA2 &amp; "/bottle/sn_f853ac62bc288e48e56a63d21fb60ae9/rendering/10.obj", "1.93990123272")</f>
        <v>1.93990123272</v>
      </c>
      <c r="N518" s="119" t="str">
        <f>HYPERLINK(AA2 &amp; "/bottle/sn_f853ac62bc288e48e56a63d21fb60ae9/rendering/11.obj", "2.59545135498")</f>
        <v>2.59545135498</v>
      </c>
      <c r="O518" s="26" t="str">
        <f>HYPERLINK(AA2 &amp; "/bottle/sn_f853ac62bc288e48e56a63d21fb60ae9/rendering/12.obj", "1.91647017002")</f>
        <v>1.91647017002</v>
      </c>
      <c r="P518" s="91" t="str">
        <f>HYPERLINK(AA2 &amp; "/bottle/sn_f853ac62bc288e48e56a63d21fb60ae9/rendering/13.obj", "1.99548506737")</f>
        <v>1.99548506737</v>
      </c>
      <c r="Q518" s="78" t="str">
        <f>HYPERLINK(AA2 &amp; "/bottle/sn_f853ac62bc288e48e56a63d21fb60ae9/rendering/14.obj", "1.92649555206")</f>
        <v>1.92649555206</v>
      </c>
      <c r="R518" s="38" t="str">
        <f>HYPERLINK(AA2 &amp; "/bottle/sn_f853ac62bc288e48e56a63d21fb60ae9/rendering/15.obj", "1.86850047112")</f>
        <v>1.86850047112</v>
      </c>
      <c r="S518" s="69" t="str">
        <f>HYPERLINK(AA2 &amp; "/bottle/sn_f853ac62bc288e48e56a63d21fb60ae9/rendering/16.obj", "1.9890743494")</f>
        <v>1.9890743494</v>
      </c>
      <c r="T518" s="34" t="str">
        <f>HYPERLINK(AA2 &amp; "/bottle/sn_f853ac62bc288e48e56a63d21fb60ae9/rendering/17.obj", "2.14892840385")</f>
        <v>2.14892840385</v>
      </c>
      <c r="U518" s="70" t="str">
        <f>HYPERLINK(AA2 &amp; "/bottle/sn_f853ac62bc288e48e56a63d21fb60ae9/rendering/18.obj", "2.30923986435")</f>
        <v>2.30923986435</v>
      </c>
      <c r="V518" s="35" t="str">
        <f>HYPERLINK(AA2 &amp; "/bottle/sn_f853ac62bc288e48e56a63d21fb60ae9/rendering/19.obj", "1.9304432869")</f>
        <v>1.9304432869</v>
      </c>
      <c r="W518" s="12" t="s">
        <v>30</v>
      </c>
      <c r="X518" s="13">
        <v>2.0504255890846248</v>
      </c>
      <c r="Y518" s="13">
        <v>0.22855555597976471</v>
      </c>
      <c r="Z518" s="28">
        <v>0.11146737399126939</v>
      </c>
    </row>
    <row r="519" spans="1:26" x14ac:dyDescent="0.2">
      <c r="A519" s="1">
        <v>517</v>
      </c>
      <c r="B519" s="2" t="s">
        <v>136</v>
      </c>
      <c r="C519" s="6" t="str">
        <f>HYPERLINK(AB2 &amp; "/bottle/sn_f853ac62bc288e48e56a63d21fb60ae9/rendering/00.obj", "2.79225250244")</f>
        <v>2.79225250244</v>
      </c>
      <c r="D519" s="67" t="str">
        <f>HYPERLINK(AB2 &amp; "/bottle/sn_f853ac62bc288e48e56a63d21fb60ae9/rendering/01.obj", "3.19660400391")</f>
        <v>3.19660400391</v>
      </c>
      <c r="E519" s="35" t="str">
        <f>HYPERLINK(AB2 &amp; "/bottle/sn_f853ac62bc288e48e56a63d21fb60ae9/rendering/02.obj", "2.75382141113")</f>
        <v>2.75382141113</v>
      </c>
      <c r="F519" s="47" t="str">
        <f>HYPERLINK(AB2 &amp; "/bottle/sn_f853ac62bc288e48e56a63d21fb60ae9/rendering/03.obj", "2.9473449707")</f>
        <v>2.9473449707</v>
      </c>
      <c r="G519" s="60" t="str">
        <f>HYPERLINK(AB2 &amp; "/bottle/sn_f853ac62bc288e48e56a63d21fb60ae9/rendering/04.obj", "3.07759338379")</f>
        <v>3.07759338379</v>
      </c>
      <c r="H519" s="13" t="str">
        <f>HYPERLINK(AB2 &amp; "/bottle/sn_f853ac62bc288e48e56a63d21fb60ae9/rendering/05.obj", "2.92529724121")</f>
        <v>2.92529724121</v>
      </c>
      <c r="I519" s="32" t="str">
        <f>HYPERLINK(AB2 &amp; "/bottle/sn_f853ac62bc288e48e56a63d21fb60ae9/rendering/06.obj", "2.62307189941")</f>
        <v>2.62307189941</v>
      </c>
      <c r="J519" s="6" t="str">
        <f>HYPERLINK(AB2 &amp; "/bottle/sn_f853ac62bc288e48e56a63d21fb60ae9/rendering/07.obj", "3.06317565918")</f>
        <v>3.06317565918</v>
      </c>
      <c r="K519" s="46" t="str">
        <f>HYPERLINK(AB2 &amp; "/bottle/sn_f853ac62bc288e48e56a63d21fb60ae9/rendering/08.obj", "2.98164123535")</f>
        <v>2.98164123535</v>
      </c>
      <c r="L519" s="17" t="str">
        <f>HYPERLINK(AB2 &amp; "/bottle/sn_f853ac62bc288e48e56a63d21fb60ae9/rendering/09.obj", "2.98384338379")</f>
        <v>2.98384338379</v>
      </c>
      <c r="M519" s="25" t="str">
        <f>HYPERLINK(AB2 &amp; "/bottle/sn_f853ac62bc288e48e56a63d21fb60ae9/rendering/10.obj", "2.95619812012")</f>
        <v>2.95619812012</v>
      </c>
      <c r="N519" s="30" t="str">
        <f>HYPERLINK(AB2 &amp; "/bottle/sn_f853ac62bc288e48e56a63d21fb60ae9/rendering/11.obj", "2.94198150635")</f>
        <v>2.94198150635</v>
      </c>
      <c r="O519" s="47" t="str">
        <f>HYPERLINK(AB2 &amp; "/bottle/sn_f853ac62bc288e48e56a63d21fb60ae9/rendering/12.obj", "2.94723724365")</f>
        <v>2.94723724365</v>
      </c>
      <c r="P519" s="74" t="str">
        <f>HYPERLINK(AB2 &amp; "/bottle/sn_f853ac62bc288e48e56a63d21fb60ae9/rendering/13.obj", "2.88198669434")</f>
        <v>2.88198669434</v>
      </c>
      <c r="Q519" s="78" t="str">
        <f>HYPERLINK(AB2 &amp; "/bottle/sn_f853ac62bc288e48e56a63d21fb60ae9/rendering/14.obj", "2.75179138184")</f>
        <v>2.75179138184</v>
      </c>
      <c r="R519" s="25" t="str">
        <f>HYPERLINK(AB2 &amp; "/bottle/sn_f853ac62bc288e48e56a63d21fb60ae9/rendering/15.obj", "2.95674957275")</f>
        <v>2.95674957275</v>
      </c>
      <c r="S519" s="91" t="str">
        <f>HYPERLINK(AB2 &amp; "/bottle/sn_f853ac62bc288e48e56a63d21fb60ae9/rendering/16.obj", "2.84691589355")</f>
        <v>2.84691589355</v>
      </c>
      <c r="T519" s="68" t="str">
        <f>HYPERLINK(AB2 &amp; "/bottle/sn_f853ac62bc288e48e56a63d21fb60ae9/rendering/17.obj", "3.04912322998")</f>
        <v>3.04912322998</v>
      </c>
      <c r="U519" s="72" t="str">
        <f>HYPERLINK(AB2 &amp; "/bottle/sn_f853ac62bc288e48e56a63d21fb60ae9/rendering/18.obj", "3.02551879883")</f>
        <v>3.02551879883</v>
      </c>
      <c r="V519" s="91" t="str">
        <f>HYPERLINK(AB2 &amp; "/bottle/sn_f853ac62bc288e48e56a63d21fb60ae9/rendering/19.obj", "2.85037414551")</f>
        <v>2.85037414551</v>
      </c>
      <c r="W519" s="12" t="s">
        <v>31</v>
      </c>
      <c r="X519" s="13">
        <v>2.927626113891602</v>
      </c>
      <c r="Y519" s="13">
        <v>0.12904556351218791</v>
      </c>
      <c r="Z519" s="6">
        <v>4.4078566897550887E-2</v>
      </c>
    </row>
    <row r="520" spans="1:26" x14ac:dyDescent="0.2">
      <c r="A520" s="1">
        <v>518</v>
      </c>
      <c r="B520" s="2" t="s">
        <v>136</v>
      </c>
      <c r="C520" s="93" t="str">
        <f>HYPERLINK(AB2 &amp; "/bottle/sn_f853ac62bc288e48e56a63d21fb60ae9/rendering/00.obj", "2.1677532196")</f>
        <v>2.1677532196</v>
      </c>
      <c r="D520" s="134" t="str">
        <f>HYPERLINK(AB2 &amp; "/bottle/sn_f853ac62bc288e48e56a63d21fb60ae9/rendering/01.obj", "2.97057151794")</f>
        <v>2.97057151794</v>
      </c>
      <c r="E520" s="35" t="str">
        <f>HYPERLINK(AB2 &amp; "/bottle/sn_f853ac62bc288e48e56a63d21fb60ae9/rendering/02.obj", "2.37105154991")</f>
        <v>2.37105154991</v>
      </c>
      <c r="F520" s="17" t="str">
        <f>HYPERLINK(AB2 &amp; "/bottle/sn_f853ac62bc288e48e56a63d21fb60ae9/rendering/03.obj", "2.5662791729")</f>
        <v>2.5662791729</v>
      </c>
      <c r="G520" s="10" t="str">
        <f>HYPERLINK(AB2 &amp; "/bottle/sn_f853ac62bc288e48e56a63d21fb60ae9/rendering/04.obj", "2.65200448036")</f>
        <v>2.65200448036</v>
      </c>
      <c r="H520" s="69" t="str">
        <f>HYPERLINK(AB2 &amp; "/bottle/sn_f853ac62bc288e48e56a63d21fb60ae9/rendering/05.obj", "2.43653273582")</f>
        <v>2.43653273582</v>
      </c>
      <c r="I520" s="93" t="str">
        <f>HYPERLINK(AB2 &amp; "/bottle/sn_f853ac62bc288e48e56a63d21fb60ae9/rendering/06.obj", "2.16442656517")</f>
        <v>2.16442656517</v>
      </c>
      <c r="J520" s="78" t="str">
        <f>HYPERLINK(AB2 &amp; "/bottle/sn_f853ac62bc288e48e56a63d21fb60ae9/rendering/07.obj", "2.66764760017")</f>
        <v>2.66764760017</v>
      </c>
      <c r="K520" s="69" t="str">
        <f>HYPERLINK(AB2 &amp; "/bottle/sn_f853ac62bc288e48e56a63d21fb60ae9/rendering/08.obj", "2.44071435928")</f>
        <v>2.44071435928</v>
      </c>
      <c r="L520" s="94" t="str">
        <f>HYPERLINK(AB2 &amp; "/bottle/sn_f853ac62bc288e48e56a63d21fb60ae9/rendering/09.obj", "2.70400452614")</f>
        <v>2.70400452614</v>
      </c>
      <c r="M520" s="34" t="str">
        <f>HYPERLINK(AB2 &amp; "/bottle/sn_f853ac62bc288e48e56a63d21fb60ae9/rendering/10.obj", "2.64129328728")</f>
        <v>2.64129328728</v>
      </c>
      <c r="N520" s="30" t="str">
        <f>HYPERLINK(AB2 &amp; "/bottle/sn_f853ac62bc288e48e56a63d21fb60ae9/rendering/11.obj", "2.50093722343")</f>
        <v>2.50093722343</v>
      </c>
      <c r="O520" s="48" t="str">
        <f>HYPERLINK(AB2 &amp; "/bottle/sn_f853ac62bc288e48e56a63d21fb60ae9/rendering/12.obj", "2.5784497261")</f>
        <v>2.5784497261</v>
      </c>
      <c r="P520" s="72" t="str">
        <f>HYPERLINK(AB2 &amp; "/bottle/sn_f853ac62bc288e48e56a63d21fb60ae9/rendering/13.obj", "2.43190813065")</f>
        <v>2.43190813065</v>
      </c>
      <c r="Q520" s="84" t="str">
        <f>HYPERLINK(AB2 &amp; "/bottle/sn_f853ac62bc288e48e56a63d21fb60ae9/rendering/14.obj", "2.15104961395")</f>
        <v>2.15104961395</v>
      </c>
      <c r="R520" s="6" t="str">
        <f>HYPERLINK(AB2 &amp; "/bottle/sn_f853ac62bc288e48e56a63d21fb60ae9/rendering/15.obj", "2.39833569527")</f>
        <v>2.39833569527</v>
      </c>
      <c r="S520" s="74" t="str">
        <f>HYPERLINK(AB2 &amp; "/bottle/sn_f853ac62bc288e48e56a63d21fb60ae9/rendering/16.obj", "2.4810769558")</f>
        <v>2.4810769558</v>
      </c>
      <c r="T520" s="5" t="str">
        <f>HYPERLINK(AB2 &amp; "/bottle/sn_f853ac62bc288e48e56a63d21fb60ae9/rendering/17.obj", "2.70606780052")</f>
        <v>2.70606780052</v>
      </c>
      <c r="U520" s="38" t="str">
        <f>HYPERLINK(AB2 &amp; "/bottle/sn_f853ac62bc288e48e56a63d21fb60ae9/rendering/18.obj", "2.74343132973")</f>
        <v>2.74343132973</v>
      </c>
      <c r="V520" s="47" t="str">
        <f>HYPERLINK(AB2 &amp; "/bottle/sn_f853ac62bc288e48e56a63d21fb60ae9/rendering/19.obj", "2.53531599045")</f>
        <v>2.53531599045</v>
      </c>
      <c r="W520" s="12" t="s">
        <v>32</v>
      </c>
      <c r="X520" s="13">
        <v>2.5154425740241999</v>
      </c>
      <c r="Y520" s="13">
        <v>0.20337693720238109</v>
      </c>
      <c r="Z520" s="51">
        <v>8.0851353675317303E-2</v>
      </c>
    </row>
    <row r="521" spans="1:26" x14ac:dyDescent="0.2">
      <c r="A521" s="1">
        <v>519</v>
      </c>
      <c r="B521" s="2" t="s">
        <v>136</v>
      </c>
      <c r="C521" s="13" t="str">
        <f>HYPERLINK(AC2 &amp; "/bottle/sn_f853ac62bc288e48e56a63d21fb60ae9/rendering/00.xyz", "0.0")</f>
        <v>0.0</v>
      </c>
      <c r="D521" s="13" t="str">
        <f>HYPERLINK(AC2 &amp; "/bottle/sn_f853ac62bc288e48e56a63d21fb60ae9/rendering/01.xyz", "0.0")</f>
        <v>0.0</v>
      </c>
      <c r="E521" s="13" t="str">
        <f>HYPERLINK(AC2 &amp; "/bottle/sn_f853ac62bc288e48e56a63d21fb60ae9/rendering/02.xyz", "0.0")</f>
        <v>0.0</v>
      </c>
      <c r="F521" s="13" t="str">
        <f>HYPERLINK(AC2 &amp; "/bottle/sn_f853ac62bc288e48e56a63d21fb60ae9/rendering/03.xyz", "0.0")</f>
        <v>0.0</v>
      </c>
      <c r="G521" s="13" t="str">
        <f>HYPERLINK(AC2 &amp; "/bottle/sn_f853ac62bc288e48e56a63d21fb60ae9/rendering/04.xyz", "0.0")</f>
        <v>0.0</v>
      </c>
      <c r="H521" s="13" t="str">
        <f>HYPERLINK(AC2 &amp; "/bottle/sn_f853ac62bc288e48e56a63d21fb60ae9/rendering/05.xyz", "0.0")</f>
        <v>0.0</v>
      </c>
      <c r="I521" s="13" t="str">
        <f>HYPERLINK(AC2 &amp; "/bottle/sn_f853ac62bc288e48e56a63d21fb60ae9/rendering/06.xyz", "0.0")</f>
        <v>0.0</v>
      </c>
      <c r="J521" s="13" t="str">
        <f>HYPERLINK(AC2 &amp; "/bottle/sn_f853ac62bc288e48e56a63d21fb60ae9/rendering/07.xyz", "0.0")</f>
        <v>0.0</v>
      </c>
      <c r="K521" s="13" t="str">
        <f>HYPERLINK(AC2 &amp; "/bottle/sn_f853ac62bc288e48e56a63d21fb60ae9/rendering/08.xyz", "0.0")</f>
        <v>0.0</v>
      </c>
      <c r="L521" s="13" t="str">
        <f>HYPERLINK(AC2 &amp; "/bottle/sn_f853ac62bc288e48e56a63d21fb60ae9/rendering/09.xyz", "0.0")</f>
        <v>0.0</v>
      </c>
      <c r="M521" s="13" t="str">
        <f>HYPERLINK(AC2 &amp; "/bottle/sn_f853ac62bc288e48e56a63d21fb60ae9/rendering/10.xyz", "0.0")</f>
        <v>0.0</v>
      </c>
      <c r="N521" s="13" t="str">
        <f>HYPERLINK(AC2 &amp; "/bottle/sn_f853ac62bc288e48e56a63d21fb60ae9/rendering/11.xyz", "0.0")</f>
        <v>0.0</v>
      </c>
      <c r="O521" s="13" t="str">
        <f>HYPERLINK(AC2 &amp; "/bottle/sn_f853ac62bc288e48e56a63d21fb60ae9/rendering/12.xyz", "0.0")</f>
        <v>0.0</v>
      </c>
      <c r="P521" s="13" t="str">
        <f>HYPERLINK(AC2 &amp; "/bottle/sn_f853ac62bc288e48e56a63d21fb60ae9/rendering/13.xyz", "0.0")</f>
        <v>0.0</v>
      </c>
      <c r="Q521" s="13" t="str">
        <f>HYPERLINK(AC2 &amp; "/bottle/sn_f853ac62bc288e48e56a63d21fb60ae9/rendering/14.xyz", "0.0")</f>
        <v>0.0</v>
      </c>
      <c r="R521" s="13" t="str">
        <f>HYPERLINK(AC2 &amp; "/bottle/sn_f853ac62bc288e48e56a63d21fb60ae9/rendering/15.xyz", "0.0")</f>
        <v>0.0</v>
      </c>
      <c r="S521" s="13" t="str">
        <f>HYPERLINK(AC2 &amp; "/bottle/sn_f853ac62bc288e48e56a63d21fb60ae9/rendering/16.xyz", "0.0")</f>
        <v>0.0</v>
      </c>
      <c r="T521" s="13" t="str">
        <f>HYPERLINK(AC2 &amp; "/bottle/sn_f853ac62bc288e48e56a63d21fb60ae9/rendering/17.xyz", "0.0")</f>
        <v>0.0</v>
      </c>
      <c r="U521" s="13" t="str">
        <f>HYPERLINK(AC2 &amp; "/bottle/sn_f853ac62bc288e48e56a63d21fb60ae9/rendering/18.xyz", "0.0")</f>
        <v>0.0</v>
      </c>
      <c r="V521" s="13" t="str">
        <f>HYPERLINK(AC2 &amp; "/bottle/sn_f853ac62bc288e48e56a63d21fb60ae9/rendering/19.xyz", "0.0")</f>
        <v>0.0</v>
      </c>
      <c r="W521" s="12" t="s">
        <v>33</v>
      </c>
      <c r="X521" s="13">
        <v>0</v>
      </c>
      <c r="Y521" s="13">
        <v>0</v>
      </c>
      <c r="Z521" s="13">
        <v>0</v>
      </c>
    </row>
    <row r="522" spans="1:26" x14ac:dyDescent="0.2">
      <c r="A522" s="1">
        <v>520</v>
      </c>
      <c r="B522" s="2" t="s">
        <v>137</v>
      </c>
      <c r="C522" s="38" t="str">
        <f>HYPERLINK(AA2 &amp; "/bottle/sn_f8de3a0921d3b0fb5240248232b90795/rendering/00.obj", "1.86541229248")</f>
        <v>1.86541229248</v>
      </c>
      <c r="D522" s="46" t="str">
        <f>HYPERLINK(AA2 &amp; "/bottle/sn_f8de3a0921d3b0fb5240248232b90795/rendering/01.obj", "2.08033370972")</f>
        <v>2.08033370972</v>
      </c>
      <c r="E522" s="107" t="str">
        <f>HYPERLINK(AA2 &amp; "/bottle/sn_f8de3a0921d3b0fb5240248232b90795/rendering/02.obj", "1.87826721191")</f>
        <v>1.87826721191</v>
      </c>
      <c r="F522" s="74" t="str">
        <f>HYPERLINK(AA2 &amp; "/bottle/sn_f8de3a0921d3b0fb5240248232b90795/rendering/03.obj", "2.01860687256")</f>
        <v>2.01860687256</v>
      </c>
      <c r="G522" s="68" t="str">
        <f>HYPERLINK(AA2 &amp; "/bottle/sn_f8de3a0921d3b0fb5240248232b90795/rendering/04.obj", "1.96222412109")</f>
        <v>1.96222412109</v>
      </c>
      <c r="H522" s="5" t="str">
        <f>HYPERLINK(AA2 &amp; "/bottle/sn_f8de3a0921d3b0fb5240248232b90795/rendering/05.obj", "1.88650146484")</f>
        <v>1.88650146484</v>
      </c>
      <c r="I522" s="110" t="str">
        <f>HYPERLINK(AA2 &amp; "/bottle/sn_f8de3a0921d3b0fb5240248232b90795/rendering/06.obj", "2.24752655029")</f>
        <v>2.24752655029</v>
      </c>
      <c r="J522" s="46" t="str">
        <f>HYPERLINK(AA2 &amp; "/bottle/sn_f8de3a0921d3b0fb5240248232b90795/rendering/07.obj", "2.00994064331")</f>
        <v>2.00994064331</v>
      </c>
      <c r="K522" s="35" t="str">
        <f>HYPERLINK(AA2 &amp; "/bottle/sn_f8de3a0921d3b0fb5240248232b90795/rendering/08.obj", "1.92497589111")</f>
        <v>1.92497589111</v>
      </c>
      <c r="L522" s="13" t="str">
        <f>HYPERLINK(AA2 &amp; "/bottle/sn_f8de3a0921d3b0fb5240248232b90795/rendering/09.obj", "2.04464538574")</f>
        <v>2.04464538574</v>
      </c>
      <c r="M522" s="107" t="str">
        <f>HYPERLINK(AA2 &amp; "/bottle/sn_f8de3a0921d3b0fb5240248232b90795/rendering/10.obj", "2.21500015259")</f>
        <v>2.21500015259</v>
      </c>
      <c r="N522" s="69" t="str">
        <f>HYPERLINK(AA2 &amp; "/bottle/sn_f8de3a0921d3b0fb5240248232b90795/rendering/11.obj", "2.10773193359")</f>
        <v>2.10773193359</v>
      </c>
      <c r="O522" s="72" t="str">
        <f>HYPERLINK(AA2 &amp; "/bottle/sn_f8de3a0921d3b0fb5240248232b90795/rendering/12.obj", "2.11488006592")</f>
        <v>2.11488006592</v>
      </c>
      <c r="P522" s="34" t="str">
        <f>HYPERLINK(AA2 &amp; "/bottle/sn_f8de3a0921d3b0fb5240248232b90795/rendering/13.obj", "2.14460159302")</f>
        <v>2.14460159302</v>
      </c>
      <c r="Q522" s="91" t="str">
        <f>HYPERLINK(AA2 &amp; "/bottle/sn_f8de3a0921d3b0fb5240248232b90795/rendering/14.obj", "1.99386199951")</f>
        <v>1.99386199951</v>
      </c>
      <c r="R522" s="46" t="str">
        <f>HYPERLINK(AA2 &amp; "/bottle/sn_f8de3a0921d3b0fb5240248232b90795/rendering/15.obj", "2.01397964478")</f>
        <v>2.01397964478</v>
      </c>
      <c r="S522" s="23" t="str">
        <f>HYPERLINK(AA2 &amp; "/bottle/sn_f8de3a0921d3b0fb5240248232b90795/rendering/16.obj", "2.12952636719")</f>
        <v>2.12952636719</v>
      </c>
      <c r="T522" s="47" t="str">
        <f>HYPERLINK(AA2 &amp; "/bottle/sn_f8de3a0921d3b0fb5240248232b90795/rendering/17.obj", "2.02786819458")</f>
        <v>2.02786819458</v>
      </c>
      <c r="U522" s="69" t="str">
        <f>HYPERLINK(AA2 &amp; "/bottle/sn_f8de3a0921d3b0fb5240248232b90795/rendering/18.obj", "1.98707580566")</f>
        <v>1.98707580566</v>
      </c>
      <c r="V522" s="28" t="str">
        <f>HYPERLINK(AA2 &amp; "/bottle/sn_f8de3a0921d3b0fb5240248232b90795/rendering/19.obj", "2.27721969604")</f>
        <v>2.27721969604</v>
      </c>
      <c r="W522" s="12" t="s">
        <v>29</v>
      </c>
      <c r="X522" s="13">
        <v>2.046508979797363</v>
      </c>
      <c r="Y522" s="13">
        <v>0.11543669527387621</v>
      </c>
      <c r="Z522" s="10">
        <v>5.6406639996911367E-2</v>
      </c>
    </row>
    <row r="523" spans="1:26" x14ac:dyDescent="0.2">
      <c r="A523" s="1">
        <v>521</v>
      </c>
      <c r="B523" s="2" t="s">
        <v>137</v>
      </c>
      <c r="C523" s="51" t="str">
        <f>HYPERLINK(AA2 &amp; "/bottle/sn_f8de3a0921d3b0fb5240248232b90795/rendering/00.obj", "2.06458520889")</f>
        <v>2.06458520889</v>
      </c>
      <c r="D523" s="26" t="str">
        <f>HYPERLINK(AA2 &amp; "/bottle/sn_f8de3a0921d3b0fb5240248232b90795/rendering/01.obj", "2.03028607368")</f>
        <v>2.03028607368</v>
      </c>
      <c r="E523" s="51" t="str">
        <f>HYPERLINK(AA2 &amp; "/bottle/sn_f8de3a0921d3b0fb5240248232b90795/rendering/02.obj", "1.75616466999")</f>
        <v>1.75616466999</v>
      </c>
      <c r="F523" s="63" t="str">
        <f>HYPERLINK(AA2 &amp; "/bottle/sn_f8de3a0921d3b0fb5240248232b90795/rendering/03.obj", "1.67873561382")</f>
        <v>1.67873561382</v>
      </c>
      <c r="G523" s="48" t="str">
        <f>HYPERLINK(AA2 &amp; "/bottle/sn_f8de3a0921d3b0fb5240248232b90795/rendering/04.obj", "1.95570528507")</f>
        <v>1.95570528507</v>
      </c>
      <c r="H523" s="5" t="str">
        <f>HYPERLINK(AA2 &amp; "/bottle/sn_f8de3a0921d3b0fb5240248232b90795/rendering/05.obj", "1.76501476765")</f>
        <v>1.76501476765</v>
      </c>
      <c r="I523" s="117" t="str">
        <f>HYPERLINK(AA2 &amp; "/bottle/sn_f8de3a0921d3b0fb5240248232b90795/rendering/06.obj", "2.24612545967")</f>
        <v>2.24612545967</v>
      </c>
      <c r="J523" s="23" t="str">
        <f>HYPERLINK(AA2 &amp; "/bottle/sn_f8de3a0921d3b0fb5240248232b90795/rendering/07.obj", "1.8368717432")</f>
        <v>1.8368717432</v>
      </c>
      <c r="K523" s="38" t="str">
        <f>HYPERLINK(AA2 &amp; "/bottle/sn_f8de3a0921d3b0fb5240248232b90795/rendering/08.obj", "1.7362344265")</f>
        <v>1.7362344265</v>
      </c>
      <c r="L523" s="73" t="str">
        <f>HYPERLINK(AA2 &amp; "/bottle/sn_f8de3a0921d3b0fb5240248232b90795/rendering/09.obj", "1.8386785984")</f>
        <v>1.8386785984</v>
      </c>
      <c r="M523" s="27" t="str">
        <f>HYPERLINK(AA2 &amp; "/bottle/sn_f8de3a0921d3b0fb5240248232b90795/rendering/10.obj", "2.0417072773")</f>
        <v>2.0417072773</v>
      </c>
      <c r="N523" s="41" t="str">
        <f>HYPERLINK(AA2 &amp; "/bottle/sn_f8de3a0921d3b0fb5240248232b90795/rendering/11.obj", "2.03950285912")</f>
        <v>2.03950285912</v>
      </c>
      <c r="O523" s="83" t="str">
        <f>HYPERLINK(AA2 &amp; "/bottle/sn_f8de3a0921d3b0fb5240248232b90795/rendering/12.obj", "2.20226335526")</f>
        <v>2.20226335526</v>
      </c>
      <c r="P523" s="78" t="str">
        <f>HYPERLINK(AA2 &amp; "/bottle/sn_f8de3a0921d3b0fb5240248232b90795/rendering/13.obj", "1.78924393654")</f>
        <v>1.78924393654</v>
      </c>
      <c r="Q523" s="65" t="str">
        <f>HYPERLINK(AA2 &amp; "/bottle/sn_f8de3a0921d3b0fb5240248232b90795/rendering/14.obj", "1.65429401398")</f>
        <v>1.65429401398</v>
      </c>
      <c r="R523" s="92" t="str">
        <f>HYPERLINK(AA2 &amp; "/bottle/sn_f8de3a0921d3b0fb5240248232b90795/rendering/15.obj", "2.14477181435")</f>
        <v>2.14477181435</v>
      </c>
      <c r="S523" s="94" t="str">
        <f>HYPERLINK(AA2 &amp; "/bottle/sn_f8de3a0921d3b0fb5240248232b90795/rendering/16.obj", "2.04974222183")</f>
        <v>2.04974222183</v>
      </c>
      <c r="T523" s="72" t="str">
        <f>HYPERLINK(AA2 &amp; "/bottle/sn_f8de3a0921d3b0fb5240248232b90795/rendering/17.obj", "1.84770321846")</f>
        <v>1.84770321846</v>
      </c>
      <c r="U523" s="24" t="str">
        <f>HYPERLINK(AA2 &amp; "/bottle/sn_f8de3a0921d3b0fb5240248232b90795/rendering/18.obj", "1.5897539854")</f>
        <v>1.5897539854</v>
      </c>
      <c r="V523" s="13" t="str">
        <f>HYPERLINK(AA2 &amp; "/bottle/sn_f8de3a0921d3b0fb5240248232b90795/rendering/19.obj", "1.91024434566")</f>
        <v>1.91024434566</v>
      </c>
      <c r="W523" s="12" t="s">
        <v>30</v>
      </c>
      <c r="X523" s="13">
        <v>1.908881443738937</v>
      </c>
      <c r="Y523" s="13">
        <v>0.18341144981818441</v>
      </c>
      <c r="Z523" s="90">
        <v>9.6083206434725121E-2</v>
      </c>
    </row>
    <row r="524" spans="1:26" x14ac:dyDescent="0.2">
      <c r="A524" s="1">
        <v>522</v>
      </c>
      <c r="B524" s="2" t="s">
        <v>137</v>
      </c>
      <c r="C524" s="46" t="str">
        <f>HYPERLINK(AB2 &amp; "/bottle/sn_f8de3a0921d3b0fb5240248232b90795/rendering/00.obj", "3.34389984131")</f>
        <v>3.34389984131</v>
      </c>
      <c r="D524" s="13" t="str">
        <f>HYPERLINK(AB2 &amp; "/bottle/sn_f8de3a0921d3b0fb5240248232b90795/rendering/01.obj", "3.29762237549")</f>
        <v>3.29762237549</v>
      </c>
      <c r="E524" s="46" t="str">
        <f>HYPERLINK(AB2 &amp; "/bottle/sn_f8de3a0921d3b0fb5240248232b90795/rendering/02.obj", "3.23855407715")</f>
        <v>3.23855407715</v>
      </c>
      <c r="F524" s="30" t="str">
        <f>HYPERLINK(AB2 &amp; "/bottle/sn_f8de3a0921d3b0fb5240248232b90795/rendering/03.obj", "3.27039337158")</f>
        <v>3.27039337158</v>
      </c>
      <c r="G524" s="74" t="str">
        <f>HYPERLINK(AB2 &amp; "/bottle/sn_f8de3a0921d3b0fb5240248232b90795/rendering/04.obj", "3.24559906006")</f>
        <v>3.24559906006</v>
      </c>
      <c r="H524" s="13" t="str">
        <f>HYPERLINK(AB2 &amp; "/bottle/sn_f8de3a0921d3b0fb5240248232b90795/rendering/05.obj", "3.29677307129")</f>
        <v>3.29677307129</v>
      </c>
      <c r="I524" s="30" t="str">
        <f>HYPERLINK(AB2 &amp; "/bottle/sn_f8de3a0921d3b0fb5240248232b90795/rendering/06.obj", "3.27625671387")</f>
        <v>3.27625671387</v>
      </c>
      <c r="J524" s="13" t="str">
        <f>HYPERLINK(AB2 &amp; "/bottle/sn_f8de3a0921d3b0fb5240248232b90795/rendering/07.obj", "3.28905548096")</f>
        <v>3.28905548096</v>
      </c>
      <c r="K524" s="13" t="str">
        <f>HYPERLINK(AB2 &amp; "/bottle/sn_f8de3a0921d3b0fb5240248232b90795/rendering/08.obj", "3.29679046631")</f>
        <v>3.29679046631</v>
      </c>
      <c r="L524" s="13" t="str">
        <f>HYPERLINK(AB2 &amp; "/bottle/sn_f8de3a0921d3b0fb5240248232b90795/rendering/09.obj", "3.2954486084")</f>
        <v>3.2954486084</v>
      </c>
      <c r="M524" s="30" t="str">
        <f>HYPERLINK(AB2 &amp; "/bottle/sn_f8de3a0921d3b0fb5240248232b90795/rendering/10.obj", "3.27546203613")</f>
        <v>3.27546203613</v>
      </c>
      <c r="N524" s="25" t="str">
        <f>HYPERLINK(AB2 &amp; "/bottle/sn_f8de3a0921d3b0fb5240248232b90795/rendering/11.obj", "3.32316070557")</f>
        <v>3.32316070557</v>
      </c>
      <c r="O524" s="69" t="str">
        <f>HYPERLINK(AB2 &amp; "/bottle/sn_f8de3a0921d3b0fb5240248232b90795/rendering/12.obj", "3.19083831787")</f>
        <v>3.19083831787</v>
      </c>
      <c r="P524" s="25" t="str">
        <f>HYPERLINK(AB2 &amp; "/bottle/sn_f8de3a0921d3b0fb5240248232b90795/rendering/13.obj", "3.24941772461")</f>
        <v>3.24941772461</v>
      </c>
      <c r="Q524" s="17" t="str">
        <f>HYPERLINK(AB2 &amp; "/bottle/sn_f8de3a0921d3b0fb5240248232b90795/rendering/14.obj", "3.36243804932")</f>
        <v>3.36243804932</v>
      </c>
      <c r="R524" s="25" t="str">
        <f>HYPERLINK(AB2 &amp; "/bottle/sn_f8de3a0921d3b0fb5240248232b90795/rendering/15.obj", "3.25337219238")</f>
        <v>3.25337219238</v>
      </c>
      <c r="S524" s="26" t="str">
        <f>HYPERLINK(AB2 &amp; "/bottle/sn_f8de3a0921d3b0fb5240248232b90795/rendering/16.obj", "3.49831970215")</f>
        <v>3.49831970215</v>
      </c>
      <c r="T524" s="74" t="str">
        <f>HYPERLINK(AB2 &amp; "/bottle/sn_f8de3a0921d3b0fb5240248232b90795/rendering/17.obj", "3.23869171143")</f>
        <v>3.23869171143</v>
      </c>
      <c r="U524" s="74" t="str">
        <f>HYPERLINK(AB2 &amp; "/bottle/sn_f8de3a0921d3b0fb5240248232b90795/rendering/18.obj", "3.33438781738")</f>
        <v>3.33438781738</v>
      </c>
      <c r="V524" s="46" t="str">
        <f>HYPERLINK(AB2 &amp; "/bottle/sn_f8de3a0921d3b0fb5240248232b90795/rendering/19.obj", "3.2284777832")</f>
        <v>3.2284777832</v>
      </c>
      <c r="W524" s="12" t="s">
        <v>31</v>
      </c>
      <c r="X524" s="13">
        <v>3.2902479553222661</v>
      </c>
      <c r="Y524" s="13">
        <v>6.302410852016184E-2</v>
      </c>
      <c r="Z524" s="17">
        <v>1.915482035881667E-2</v>
      </c>
    </row>
    <row r="525" spans="1:26" x14ac:dyDescent="0.2">
      <c r="A525" s="1">
        <v>523</v>
      </c>
      <c r="B525" s="2" t="s">
        <v>137</v>
      </c>
      <c r="C525" s="46" t="str">
        <f>HYPERLINK(AB2 &amp; "/bottle/sn_f8de3a0921d3b0fb5240248232b90795/rendering/00.obj", "2.24726128578")</f>
        <v>2.24726128578</v>
      </c>
      <c r="D525" s="34" t="str">
        <f>HYPERLINK(AB2 &amp; "/bottle/sn_f8de3a0921d3b0fb5240248232b90795/rendering/01.obj", "2.31676602364")</f>
        <v>2.31676602364</v>
      </c>
      <c r="E525" s="73" t="str">
        <f>HYPERLINK(AB2 &amp; "/bottle/sn_f8de3a0921d3b0fb5240248232b90795/rendering/02.obj", "2.12742233276")</f>
        <v>2.12742233276</v>
      </c>
      <c r="F525" s="91" t="str">
        <f>HYPERLINK(AB2 &amp; "/bottle/sn_f8de3a0921d3b0fb5240248232b90795/rendering/03.obj", "2.26255869865")</f>
        <v>2.26255869865</v>
      </c>
      <c r="G525" s="47" t="str">
        <f>HYPERLINK(AB2 &amp; "/bottle/sn_f8de3a0921d3b0fb5240248232b90795/rendering/04.obj", "2.22691988945")</f>
        <v>2.22691988945</v>
      </c>
      <c r="H525" s="91" t="str">
        <f>HYPERLINK(AB2 &amp; "/bottle/sn_f8de3a0921d3b0fb5240248232b90795/rendering/05.obj", "2.2669172287")</f>
        <v>2.2669172287</v>
      </c>
      <c r="I525" s="13" t="str">
        <f>HYPERLINK(AB2 &amp; "/bottle/sn_f8de3a0921d3b0fb5240248232b90795/rendering/06.obj", "2.20496153831")</f>
        <v>2.20496153831</v>
      </c>
      <c r="J525" s="74" t="str">
        <f>HYPERLINK(AB2 &amp; "/bottle/sn_f8de3a0921d3b0fb5240248232b90795/rendering/07.obj", "2.23907661438")</f>
        <v>2.23907661438</v>
      </c>
      <c r="K525" s="41" t="str">
        <f>HYPERLINK(AB2 &amp; "/bottle/sn_f8de3a0921d3b0fb5240248232b90795/rendering/08.obj", "2.3576900959")</f>
        <v>2.3576900959</v>
      </c>
      <c r="L525" s="48" t="str">
        <f>HYPERLINK(AB2 &amp; "/bottle/sn_f8de3a0921d3b0fb5240248232b90795/rendering/09.obj", "2.15328931808")</f>
        <v>2.15328931808</v>
      </c>
      <c r="M525" s="32" t="str">
        <f>HYPERLINK(AB2 &amp; "/bottle/sn_f8de3a0921d3b0fb5240248232b90795/rendering/10.obj", "1.9777213335")</f>
        <v>1.9777213335</v>
      </c>
      <c r="N525" s="91" t="str">
        <f>HYPERLINK(AB2 &amp; "/bottle/sn_f8de3a0921d3b0fb5240248232b90795/rendering/11.obj", "2.2667529583")</f>
        <v>2.2667529583</v>
      </c>
      <c r="O525" s="46" t="str">
        <f>HYPERLINK(AB2 &amp; "/bottle/sn_f8de3a0921d3b0fb5240248232b90795/rendering/12.obj", "2.24826574326")</f>
        <v>2.24826574326</v>
      </c>
      <c r="P525" s="17" t="str">
        <f>HYPERLINK(AB2 &amp; "/bottle/sn_f8de3a0921d3b0fb5240248232b90795/rendering/13.obj", "2.16113758087")</f>
        <v>2.16113758087</v>
      </c>
      <c r="Q525" s="26" t="str">
        <f>HYPERLINK(AB2 &amp; "/bottle/sn_f8de3a0921d3b0fb5240248232b90795/rendering/14.obj", "2.3486571312")</f>
        <v>2.3486571312</v>
      </c>
      <c r="R525" s="69" t="str">
        <f>HYPERLINK(AB2 &amp; "/bottle/sn_f8de3a0921d3b0fb5240248232b90795/rendering/15.obj", "2.14063405991")</f>
        <v>2.14063405991</v>
      </c>
      <c r="S525" s="73" t="str">
        <f>HYPERLINK(AB2 &amp; "/bottle/sn_f8de3a0921d3b0fb5240248232b90795/rendering/16.obj", "2.12954282761")</f>
        <v>2.12954282761</v>
      </c>
      <c r="T525" s="13" t="str">
        <f>HYPERLINK(AB2 &amp; "/bottle/sn_f8de3a0921d3b0fb5240248232b90795/rendering/17.obj", "2.21013689041")</f>
        <v>2.21013689041</v>
      </c>
      <c r="U525" s="47" t="str">
        <f>HYPERLINK(AB2 &amp; "/bottle/sn_f8de3a0921d3b0fb5240248232b90795/rendering/18.obj", "2.22631621361")</f>
        <v>2.22631621361</v>
      </c>
      <c r="V525" s="51" t="str">
        <f>HYPERLINK(AB2 &amp; "/bottle/sn_f8de3a0921d3b0fb5240248232b90795/rendering/19.obj", "2.0282227993")</f>
        <v>2.0282227993</v>
      </c>
      <c r="W525" s="12" t="s">
        <v>32</v>
      </c>
      <c r="X525" s="13">
        <v>2.207012528181076</v>
      </c>
      <c r="Y525" s="13">
        <v>9.3931248598838446E-2</v>
      </c>
      <c r="Z525" s="68">
        <v>4.2560360396437118E-2</v>
      </c>
    </row>
    <row r="526" spans="1:26" x14ac:dyDescent="0.2">
      <c r="A526" s="1">
        <v>524</v>
      </c>
      <c r="B526" s="2" t="s">
        <v>137</v>
      </c>
      <c r="C526" s="13" t="str">
        <f>HYPERLINK(AC2 &amp; "/bottle/sn_f8de3a0921d3b0fb5240248232b90795/rendering/00.xyz", "0.0")</f>
        <v>0.0</v>
      </c>
      <c r="D526" s="13" t="str">
        <f>HYPERLINK(AC2 &amp; "/bottle/sn_f8de3a0921d3b0fb5240248232b90795/rendering/01.xyz", "0.0")</f>
        <v>0.0</v>
      </c>
      <c r="E526" s="13" t="str">
        <f>HYPERLINK(AC2 &amp; "/bottle/sn_f8de3a0921d3b0fb5240248232b90795/rendering/02.xyz", "0.0")</f>
        <v>0.0</v>
      </c>
      <c r="F526" s="13" t="str">
        <f>HYPERLINK(AC2 &amp; "/bottle/sn_f8de3a0921d3b0fb5240248232b90795/rendering/03.xyz", "0.0")</f>
        <v>0.0</v>
      </c>
      <c r="G526" s="13" t="str">
        <f>HYPERLINK(AC2 &amp; "/bottle/sn_f8de3a0921d3b0fb5240248232b90795/rendering/04.xyz", "0.0")</f>
        <v>0.0</v>
      </c>
      <c r="H526" s="13" t="str">
        <f>HYPERLINK(AC2 &amp; "/bottle/sn_f8de3a0921d3b0fb5240248232b90795/rendering/05.xyz", "0.0")</f>
        <v>0.0</v>
      </c>
      <c r="I526" s="13" t="str">
        <f>HYPERLINK(AC2 &amp; "/bottle/sn_f8de3a0921d3b0fb5240248232b90795/rendering/06.xyz", "0.0")</f>
        <v>0.0</v>
      </c>
      <c r="J526" s="13" t="str">
        <f>HYPERLINK(AC2 &amp; "/bottle/sn_f8de3a0921d3b0fb5240248232b90795/rendering/07.xyz", "0.0")</f>
        <v>0.0</v>
      </c>
      <c r="K526" s="13" t="str">
        <f>HYPERLINK(AC2 &amp; "/bottle/sn_f8de3a0921d3b0fb5240248232b90795/rendering/08.xyz", "0.0")</f>
        <v>0.0</v>
      </c>
      <c r="L526" s="13" t="str">
        <f>HYPERLINK(AC2 &amp; "/bottle/sn_f8de3a0921d3b0fb5240248232b90795/rendering/09.xyz", "0.0")</f>
        <v>0.0</v>
      </c>
      <c r="M526" s="13" t="str">
        <f>HYPERLINK(AC2 &amp; "/bottle/sn_f8de3a0921d3b0fb5240248232b90795/rendering/10.xyz", "0.0")</f>
        <v>0.0</v>
      </c>
      <c r="N526" s="13" t="str">
        <f>HYPERLINK(AC2 &amp; "/bottle/sn_f8de3a0921d3b0fb5240248232b90795/rendering/11.xyz", "0.0")</f>
        <v>0.0</v>
      </c>
      <c r="O526" s="13" t="str">
        <f>HYPERLINK(AC2 &amp; "/bottle/sn_f8de3a0921d3b0fb5240248232b90795/rendering/12.xyz", "0.0")</f>
        <v>0.0</v>
      </c>
      <c r="P526" s="13" t="str">
        <f>HYPERLINK(AC2 &amp; "/bottle/sn_f8de3a0921d3b0fb5240248232b90795/rendering/13.xyz", "0.0")</f>
        <v>0.0</v>
      </c>
      <c r="Q526" s="13" t="str">
        <f>HYPERLINK(AC2 &amp; "/bottle/sn_f8de3a0921d3b0fb5240248232b90795/rendering/14.xyz", "0.0")</f>
        <v>0.0</v>
      </c>
      <c r="R526" s="13" t="str">
        <f>HYPERLINK(AC2 &amp; "/bottle/sn_f8de3a0921d3b0fb5240248232b90795/rendering/15.xyz", "0.0")</f>
        <v>0.0</v>
      </c>
      <c r="S526" s="13" t="str">
        <f>HYPERLINK(AC2 &amp; "/bottle/sn_f8de3a0921d3b0fb5240248232b90795/rendering/16.xyz", "0.0")</f>
        <v>0.0</v>
      </c>
      <c r="T526" s="13" t="str">
        <f>HYPERLINK(AC2 &amp; "/bottle/sn_f8de3a0921d3b0fb5240248232b90795/rendering/17.xyz", "0.0")</f>
        <v>0.0</v>
      </c>
      <c r="U526" s="13" t="str">
        <f>HYPERLINK(AC2 &amp; "/bottle/sn_f8de3a0921d3b0fb5240248232b90795/rendering/18.xyz", "0.0")</f>
        <v>0.0</v>
      </c>
      <c r="V526" s="13" t="str">
        <f>HYPERLINK(AC2 &amp; "/bottle/sn_f8de3a0921d3b0fb5240248232b90795/rendering/19.xyz", "0.0")</f>
        <v>0.0</v>
      </c>
      <c r="W526" s="12" t="s">
        <v>33</v>
      </c>
      <c r="X526" s="13">
        <v>0</v>
      </c>
      <c r="Y526" s="13">
        <v>0</v>
      </c>
      <c r="Z526" s="13">
        <v>0</v>
      </c>
    </row>
    <row r="527" spans="1:26" x14ac:dyDescent="0.2">
      <c r="A527" s="1">
        <v>525</v>
      </c>
      <c r="B527" s="2" t="s">
        <v>138</v>
      </c>
      <c r="C527" s="109" t="str">
        <f>HYPERLINK(AA2 &amp; "/bottle/sn_f98c340ae687a5059e375e5e721ce2d3/rendering/00.obj", "0.685684204102")</f>
        <v>0.685684204102</v>
      </c>
      <c r="D527" s="90" t="str">
        <f>HYPERLINK(AA2 &amp; "/bottle/sn_f98c340ae687a5059e375e5e721ce2d3/rendering/01.obj", "0.52064956665")</f>
        <v>0.52064956665</v>
      </c>
      <c r="E527" s="79" t="str">
        <f>HYPERLINK(AA2 &amp; "/bottle/sn_f98c340ae687a5059e375e5e721ce2d3/rendering/02.obj", "0.483923034668")</f>
        <v>0.483923034668</v>
      </c>
      <c r="F527" s="101" t="str">
        <f>HYPERLINK(AA2 &amp; "/bottle/sn_f98c340ae687a5059e375e5e721ce2d3/rendering/03.obj", "0.79356552124")</f>
        <v>0.79356552124</v>
      </c>
      <c r="G527" s="92" t="str">
        <f>HYPERLINK(AA2 &amp; "/bottle/sn_f98c340ae687a5059e375e5e721ce2d3/rendering/04.obj", "0.503838691711")</f>
        <v>0.503838691711</v>
      </c>
      <c r="H527" s="166" t="str">
        <f>HYPERLINK(AA2 &amp; "/bottle/sn_f98c340ae687a5059e375e5e721ce2d3/rendering/05.obj", "0.741201782227")</f>
        <v>0.741201782227</v>
      </c>
      <c r="I527" s="71" t="str">
        <f>HYPERLINK(AA2 &amp; "/bottle/sn_f98c340ae687a5059e375e5e721ce2d3/rendering/06.obj", "0.507066345215")</f>
        <v>0.507066345215</v>
      </c>
      <c r="J527" s="65" t="str">
        <f>HYPERLINK(AA2 &amp; "/bottle/sn_f98c340ae687a5059e375e5e721ce2d3/rendering/07.obj", "0.498421478271")</f>
        <v>0.498421478271</v>
      </c>
      <c r="K527" s="92" t="str">
        <f>HYPERLINK(AA2 &amp; "/bottle/sn_f98c340ae687a5059e375e5e721ce2d3/rendering/08.obj", "0.504225234985")</f>
        <v>0.504225234985</v>
      </c>
      <c r="L527" s="33" t="str">
        <f>HYPERLINK(AA2 &amp; "/bottle/sn_f98c340ae687a5059e375e5e721ce2d3/rendering/09.obj", "0.513762741089")</f>
        <v>0.513762741089</v>
      </c>
      <c r="M527" s="79" t="str">
        <f>HYPERLINK(AA2 &amp; "/bottle/sn_f98c340ae687a5059e375e5e721ce2d3/rendering/10.obj", "0.48513710022")</f>
        <v>0.48513710022</v>
      </c>
      <c r="N527" s="32" t="str">
        <f>HYPERLINK(AA2 &amp; "/bottle/sn_f98c340ae687a5059e375e5e721ce2d3/rendering/11.obj", "0.514347915649")</f>
        <v>0.514347915649</v>
      </c>
      <c r="O527" s="74" t="str">
        <f>HYPERLINK(AA2 &amp; "/bottle/sn_f98c340ae687a5059e375e5e721ce2d3/rendering/12.obj", "0.568029136658")</f>
        <v>0.568029136658</v>
      </c>
      <c r="P527" s="133" t="str">
        <f>HYPERLINK(AA2 &amp; "/bottle/sn_f98c340ae687a5059e375e5e721ce2d3/rendering/13.obj", "0.517231636047")</f>
        <v>0.517231636047</v>
      </c>
      <c r="Q527" s="44" t="str">
        <f>HYPERLINK(AA2 &amp; "/bottle/sn_f98c340ae687a5059e375e5e721ce2d3/rendering/14.obj", "0.688452529907")</f>
        <v>0.688452529907</v>
      </c>
      <c r="R527" s="84" t="str">
        <f>HYPERLINK(AA2 &amp; "/bottle/sn_f98c340ae687a5059e375e5e721ce2d3/rendering/15.obj", "0.490786819458")</f>
        <v>0.490786819458</v>
      </c>
      <c r="S527" s="166" t="str">
        <f>HYPERLINK(AA2 &amp; "/bottle/sn_f98c340ae687a5059e375e5e721ce2d3/rendering/16.obj", "0.740597229004")</f>
        <v>0.740597229004</v>
      </c>
      <c r="T527" s="107" t="str">
        <f>HYPERLINK(AA2 &amp; "/bottle/sn_f98c340ae687a5059e375e5e721ce2d3/rendering/17.obj", "0.528406143188")</f>
        <v>0.528406143188</v>
      </c>
      <c r="U527" s="13" t="str">
        <f>HYPERLINK(AA2 &amp; "/bottle/sn_f98c340ae687a5059e375e5e721ce2d3/rendering/18.obj", "0.576921691895")</f>
        <v>0.576921691895</v>
      </c>
      <c r="V527" s="29" t="str">
        <f>HYPERLINK(AA2 &amp; "/bottle/sn_f98c340ae687a5059e375e5e721ce2d3/rendering/19.obj", "0.650604553223")</f>
        <v>0.650604553223</v>
      </c>
      <c r="W527" s="12" t="s">
        <v>29</v>
      </c>
      <c r="X527" s="13">
        <v>0.57564266777038575</v>
      </c>
      <c r="Y527" s="13">
        <v>9.8388055201762206E-2</v>
      </c>
      <c r="Z527" s="40">
        <v>0.170918628361662</v>
      </c>
    </row>
    <row r="528" spans="1:26" x14ac:dyDescent="0.2">
      <c r="A528" s="1">
        <v>526</v>
      </c>
      <c r="B528" s="2" t="s">
        <v>138</v>
      </c>
      <c r="C528" s="124" t="str">
        <f>HYPERLINK(AA2 &amp; "/bottle/sn_f98c340ae687a5059e375e5e721ce2d3/rendering/00.obj", "3.81576228142")</f>
        <v>3.81576228142</v>
      </c>
      <c r="D528" s="28" t="str">
        <f>HYPERLINK(AA2 &amp; "/bottle/sn_f98c340ae687a5059e375e5e721ce2d3/rendering/01.obj", "2.4575817585")</f>
        <v>2.4575817585</v>
      </c>
      <c r="E528" s="117" t="str">
        <f>HYPERLINK(AA2 &amp; "/bottle/sn_f98c340ae687a5059e375e5e721ce2d3/rendering/02.obj", "2.27556991577")</f>
        <v>2.27556991577</v>
      </c>
      <c r="F528" s="212" t="str">
        <f>HYPERLINK(AA2 &amp; "/bottle/sn_f98c340ae687a5059e375e5e721ce2d3/rendering/03.obj", "3.95276999474")</f>
        <v>3.95276999474</v>
      </c>
      <c r="G528" s="83" t="str">
        <f>HYPERLINK(AA2 &amp; "/bottle/sn_f98c340ae687a5059e375e5e721ce2d3/rendering/04.obj", "2.3450114727")</f>
        <v>2.3450114727</v>
      </c>
      <c r="H528" s="203" t="str">
        <f>HYPERLINK(AA2 &amp; "/bottle/sn_f98c340ae687a5059e375e5e721ce2d3/rendering/05.obj", "4.04784679413")</f>
        <v>4.04784679413</v>
      </c>
      <c r="I528" s="80" t="str">
        <f>HYPERLINK(AA2 &amp; "/bottle/sn_f98c340ae687a5059e375e5e721ce2d3/rendering/06.obj", "2.34616661072")</f>
        <v>2.34616661072</v>
      </c>
      <c r="J528" s="44" t="str">
        <f>HYPERLINK(AA2 &amp; "/bottle/sn_f98c340ae687a5059e375e5e721ce2d3/rendering/07.obj", "2.21802449226")</f>
        <v>2.21802449226</v>
      </c>
      <c r="K528" s="24" t="str">
        <f>HYPERLINK(AA2 &amp; "/bottle/sn_f98c340ae687a5059e375e5e721ce2d3/rendering/08.obj", "2.29622745514")</f>
        <v>2.29622745514</v>
      </c>
      <c r="L528" s="83" t="str">
        <f>HYPERLINK(AA2 &amp; "/bottle/sn_f98c340ae687a5059e375e5e721ce2d3/rendering/09.obj", "2.33938550949")</f>
        <v>2.33938550949</v>
      </c>
      <c r="M528" s="55" t="str">
        <f>HYPERLINK(AA2 &amp; "/bottle/sn_f98c340ae687a5059e375e5e721ce2d3/rendering/10.obj", "2.23325204849")</f>
        <v>2.23325204849</v>
      </c>
      <c r="N528" s="29" t="str">
        <f>HYPERLINK(AA2 &amp; "/bottle/sn_f98c340ae687a5059e375e5e721ce2d3/rendering/11.obj", "2.40582156181")</f>
        <v>2.40582156181</v>
      </c>
      <c r="O528" s="30" t="str">
        <f>HYPERLINK(AA2 &amp; "/bottle/sn_f98c340ae687a5059e375e5e721ce2d3/rendering/12.obj", "2.74803352356")</f>
        <v>2.74803352356</v>
      </c>
      <c r="P528" s="66" t="str">
        <f>HYPERLINK(AA2 &amp; "/bottle/sn_f98c340ae687a5059e375e5e721ce2d3/rendering/13.obj", "2.31281161308")</f>
        <v>2.31281161308</v>
      </c>
      <c r="Q528" s="82" t="str">
        <f>HYPERLINK(AA2 &amp; "/bottle/sn_f98c340ae687a5059e375e5e721ce2d3/rendering/14.obj", "3.32817959785")</f>
        <v>3.32817959785</v>
      </c>
      <c r="R528" s="37" t="str">
        <f>HYPERLINK(AA2 &amp; "/bottle/sn_f98c340ae687a5059e375e5e721ce2d3/rendering/15.obj", "2.2774810791")</f>
        <v>2.2774810791</v>
      </c>
      <c r="S528" s="57" t="str">
        <f>HYPERLINK(AA2 &amp; "/bottle/sn_f98c340ae687a5059e375e5e721ce2d3/rendering/16.obj", "3.6334733963")</f>
        <v>3.6334733963</v>
      </c>
      <c r="T528" s="133" t="str">
        <f>HYPERLINK(AA2 &amp; "/bottle/sn_f98c340ae687a5059e375e5e721ce2d3/rendering/17.obj", "2.47815108299")</f>
        <v>2.47815108299</v>
      </c>
      <c r="U528" s="25" t="str">
        <f>HYPERLINK(AA2 &amp; "/bottle/sn_f98c340ae687a5059e375e5e721ce2d3/rendering/18.obj", "2.73478221893")</f>
        <v>2.73478221893</v>
      </c>
      <c r="V528" s="107" t="str">
        <f>HYPERLINK(AA2 &amp; "/bottle/sn_f98c340ae687a5059e375e5e721ce2d3/rendering/19.obj", "2.98936486244")</f>
        <v>2.98936486244</v>
      </c>
      <c r="W528" s="12" t="s">
        <v>30</v>
      </c>
      <c r="X528" s="13">
        <v>2.761784863471985</v>
      </c>
      <c r="Y528" s="13">
        <v>0.61666358244629338</v>
      </c>
      <c r="Z528" s="11">
        <v>0.22328443848122659</v>
      </c>
    </row>
    <row r="529" spans="1:26" x14ac:dyDescent="0.2">
      <c r="A529" s="1">
        <v>527</v>
      </c>
      <c r="B529" s="2" t="s">
        <v>138</v>
      </c>
      <c r="C529" s="133" t="str">
        <f>HYPERLINK(AB2 &amp; "/bottle/sn_f98c340ae687a5059e375e5e721ce2d3/rendering/00.obj", "0.617996368408")</f>
        <v>0.617996368408</v>
      </c>
      <c r="D529" s="48" t="str">
        <f>HYPERLINK(AB2 &amp; "/bottle/sn_f98c340ae687a5059e375e5e721ce2d3/rendering/01.obj", "0.54862449646")</f>
        <v>0.54862449646</v>
      </c>
      <c r="E529" s="74" t="str">
        <f>HYPERLINK(AB2 &amp; "/bottle/sn_f98c340ae687a5059e375e5e721ce2d3/rendering/02.obj", "0.552655029297")</f>
        <v>0.552655029297</v>
      </c>
      <c r="F529" s="72" t="str">
        <f>HYPERLINK(AB2 &amp; "/bottle/sn_f98c340ae687a5059e375e5e721ce2d3/rendering/03.obj", "0.578932189941")</f>
        <v>0.578932189941</v>
      </c>
      <c r="G529" s="13" t="str">
        <f>HYPERLINK(AB2 &amp; "/bottle/sn_f98c340ae687a5059e375e5e721ce2d3/rendering/04.obj", "0.560892524719")</f>
        <v>0.560892524719</v>
      </c>
      <c r="H529" s="94" t="str">
        <f>HYPERLINK(AB2 &amp; "/bottle/sn_f98c340ae687a5059e375e5e721ce2d3/rendering/05.obj", "0.602644119263")</f>
        <v>0.602644119263</v>
      </c>
      <c r="I529" s="6" t="str">
        <f>HYPERLINK(AB2 &amp; "/bottle/sn_f98c340ae687a5059e375e5e721ce2d3/rendering/06.obj", "0.535851249695")</f>
        <v>0.535851249695</v>
      </c>
      <c r="J529" s="91" t="str">
        <f>HYPERLINK(AB2 &amp; "/bottle/sn_f98c340ae687a5059e375e5e721ce2d3/rendering/07.obj", "0.545895309448")</f>
        <v>0.545895309448</v>
      </c>
      <c r="K529" s="73" t="str">
        <f>HYPERLINK(AB2 &amp; "/bottle/sn_f98c340ae687a5059e375e5e721ce2d3/rendering/08.obj", "0.540639953613")</f>
        <v>0.540639953613</v>
      </c>
      <c r="L529" s="91" t="str">
        <f>HYPERLINK(AB2 &amp; "/bottle/sn_f98c340ae687a5059e375e5e721ce2d3/rendering/09.obj", "0.545737380981")</f>
        <v>0.545737380981</v>
      </c>
      <c r="M529" s="91" t="str">
        <f>HYPERLINK(AB2 &amp; "/bottle/sn_f98c340ae687a5059e375e5e721ce2d3/rendering/10.obj", "0.545634384155")</f>
        <v>0.545634384155</v>
      </c>
      <c r="N529" s="48" t="str">
        <f>HYPERLINK(AB2 &amp; "/bottle/sn_f98c340ae687a5059e375e5e721ce2d3/rendering/11.obj", "0.547150154114")</f>
        <v>0.547150154114</v>
      </c>
      <c r="O529" s="91" t="str">
        <f>HYPERLINK(AB2 &amp; "/bottle/sn_f98c340ae687a5059e375e5e721ce2d3/rendering/12.obj", "0.545690002441")</f>
        <v>0.545690002441</v>
      </c>
      <c r="P529" s="48" t="str">
        <f>HYPERLINK(AB2 &amp; "/bottle/sn_f98c340ae687a5059e375e5e721ce2d3/rendering/13.obj", "0.574205627441")</f>
        <v>0.574205627441</v>
      </c>
      <c r="Q529" s="73" t="str">
        <f>HYPERLINK(AB2 &amp; "/bottle/sn_f98c340ae687a5059e375e5e721ce2d3/rendering/14.obj", "0.581735305786")</f>
        <v>0.581735305786</v>
      </c>
      <c r="R529" s="17" t="str">
        <f>HYPERLINK(AB2 &amp; "/bottle/sn_f98c340ae687a5059e375e5e721ce2d3/rendering/15.obj", "0.549943771362")</f>
        <v>0.549943771362</v>
      </c>
      <c r="S529" s="48" t="str">
        <f>HYPERLINK(AB2 &amp; "/bottle/sn_f98c340ae687a5059e375e5e721ce2d3/rendering/16.obj", "0.575210075378")</f>
        <v>0.575210075378</v>
      </c>
      <c r="T529" s="13" t="str">
        <f>HYPERLINK(AB2 &amp; "/bottle/sn_f98c340ae687a5059e375e5e721ce2d3/rendering/17.obj", "0.561048583984")</f>
        <v>0.561048583984</v>
      </c>
      <c r="U529" s="30" t="str">
        <f>HYPERLINK(AB2 &amp; "/bottle/sn_f98c340ae687a5059e375e5e721ce2d3/rendering/18.obj", "0.563500518799")</f>
        <v>0.563500518799</v>
      </c>
      <c r="V529" s="17" t="str">
        <f>HYPERLINK(AB2 &amp; "/bottle/sn_f98c340ae687a5059e375e5e721ce2d3/rendering/19.obj", "0.549148597717")</f>
        <v>0.549148597717</v>
      </c>
      <c r="W529" s="12" t="s">
        <v>31</v>
      </c>
      <c r="X529" s="13">
        <v>0.56115678215026854</v>
      </c>
      <c r="Y529" s="13">
        <v>2.0943160051883999E-2</v>
      </c>
      <c r="Z529" s="73">
        <v>3.7321405920878223E-2</v>
      </c>
    </row>
    <row r="530" spans="1:26" x14ac:dyDescent="0.2">
      <c r="A530" s="1">
        <v>528</v>
      </c>
      <c r="B530" s="2" t="s">
        <v>138</v>
      </c>
      <c r="C530" s="42" t="str">
        <f>HYPERLINK(AB2 &amp; "/bottle/sn_f98c340ae687a5059e375e5e721ce2d3/rendering/00.obj", "2.81564688683")</f>
        <v>2.81564688683</v>
      </c>
      <c r="D530" s="46" t="str">
        <f>HYPERLINK(AB2 &amp; "/bottle/sn_f98c340ae687a5059e375e5e721ce2d3/rendering/01.obj", "2.43447685242")</f>
        <v>2.43447685242</v>
      </c>
      <c r="E530" s="26" t="str">
        <f>HYPERLINK(AB2 &amp; "/bottle/sn_f98c340ae687a5059e375e5e721ce2d3/rendering/02.obj", "2.32170820236")</f>
        <v>2.32170820236</v>
      </c>
      <c r="F530" s="34" t="str">
        <f>HYPERLINK(AB2 &amp; "/bottle/sn_f98c340ae687a5059e375e5e721ce2d3/rendering/03.obj", "2.60322475433")</f>
        <v>2.60322475433</v>
      </c>
      <c r="G530" s="17" t="str">
        <f>HYPERLINK(AB2 &amp; "/bottle/sn_f98c340ae687a5059e375e5e721ce2d3/rendering/04.obj", "2.42480611801")</f>
        <v>2.42480611801</v>
      </c>
      <c r="H530" s="32" t="str">
        <f>HYPERLINK(AB2 &amp; "/bottle/sn_f98c340ae687a5059e375e5e721ce2d3/rendering/05.obj", "2.74166107178")</f>
        <v>2.74166107178</v>
      </c>
      <c r="I530" s="34" t="str">
        <f>HYPERLINK(AB2 &amp; "/bottle/sn_f98c340ae687a5059e375e5e721ce2d3/rendering/06.obj", "2.35875463486")</f>
        <v>2.35875463486</v>
      </c>
      <c r="J530" s="72" t="str">
        <f>HYPERLINK(AB2 &amp; "/bottle/sn_f98c340ae687a5059e375e5e721ce2d3/rendering/07.obj", "2.40031480789")</f>
        <v>2.40031480789</v>
      </c>
      <c r="K530" s="6" t="str">
        <f>HYPERLINK(AB2 &amp; "/bottle/sn_f98c340ae687a5059e375e5e721ce2d3/rendering/08.obj", "2.3630592823")</f>
        <v>2.3630592823</v>
      </c>
      <c r="L530" s="10" t="str">
        <f>HYPERLINK(AB2 &amp; "/bottle/sn_f98c340ae687a5059e375e5e721ce2d3/rendering/09.obj", "2.33978104591")</f>
        <v>2.33978104591</v>
      </c>
      <c r="M530" s="27" t="str">
        <f>HYPERLINK(AB2 &amp; "/bottle/sn_f98c340ae687a5059e375e5e721ce2d3/rendering/10.obj", "2.30526733398")</f>
        <v>2.30526733398</v>
      </c>
      <c r="N530" s="69" t="str">
        <f>HYPERLINK(AB2 &amp; "/bottle/sn_f98c340ae687a5059e375e5e721ce2d3/rendering/11.obj", "2.40569734573")</f>
        <v>2.40569734573</v>
      </c>
      <c r="O530" s="68" t="str">
        <f>HYPERLINK(AB2 &amp; "/bottle/sn_f98c340ae687a5059e375e5e721ce2d3/rendering/12.obj", "2.37208199501")</f>
        <v>2.37208199501</v>
      </c>
      <c r="P530" s="30" t="str">
        <f>HYPERLINK(AB2 &amp; "/bottle/sn_f98c340ae687a5059e375e5e721ce2d3/rendering/13.obj", "2.46388578415")</f>
        <v>2.46388578415</v>
      </c>
      <c r="Q530" s="26" t="str">
        <f>HYPERLINK(AB2 &amp; "/bottle/sn_f98c340ae687a5059e375e5e721ce2d3/rendering/14.obj", "2.6368253231")</f>
        <v>2.6368253231</v>
      </c>
      <c r="R530" s="23" t="str">
        <f>HYPERLINK(AB2 &amp; "/bottle/sn_f98c340ae687a5059e375e5e721ce2d3/rendering/15.obj", "2.37921953201")</f>
        <v>2.37921953201</v>
      </c>
      <c r="S530" s="26" t="str">
        <f>HYPERLINK(AB2 &amp; "/bottle/sn_f98c340ae687a5059e375e5e721ce2d3/rendering/16.obj", "2.64010953903")</f>
        <v>2.64010953903</v>
      </c>
      <c r="T530" s="74" t="str">
        <f>HYPERLINK(AB2 &amp; "/bottle/sn_f98c340ae687a5059e375e5e721ce2d3/rendering/17.obj", "2.5104470253")</f>
        <v>2.5104470253</v>
      </c>
      <c r="U530" s="17" t="str">
        <f>HYPERLINK(AB2 &amp; "/bottle/sn_f98c340ae687a5059e375e5e721ce2d3/rendering/18.obj", "2.53312730789")</f>
        <v>2.53312730789</v>
      </c>
      <c r="V530" s="17" t="str">
        <f>HYPERLINK(AB2 &amp; "/bottle/sn_f98c340ae687a5059e375e5e721ce2d3/rendering/19.obj", "2.52913808823")</f>
        <v>2.52913808823</v>
      </c>
      <c r="W530" s="12" t="s">
        <v>32</v>
      </c>
      <c r="X530" s="13">
        <v>2.4789616465568538</v>
      </c>
      <c r="Y530" s="13">
        <v>0.14059839636642801</v>
      </c>
      <c r="Z530" s="35">
        <v>5.6716648505519128E-2</v>
      </c>
    </row>
    <row r="531" spans="1:26" x14ac:dyDescent="0.2">
      <c r="A531" s="1">
        <v>529</v>
      </c>
      <c r="B531" s="2" t="s">
        <v>138</v>
      </c>
      <c r="C531" s="13" t="str">
        <f>HYPERLINK(AC2 &amp; "/bottle/sn_f98c340ae687a5059e375e5e721ce2d3/rendering/00.xyz", "0.0")</f>
        <v>0.0</v>
      </c>
      <c r="D531" s="13" t="str">
        <f>HYPERLINK(AC2 &amp; "/bottle/sn_f98c340ae687a5059e375e5e721ce2d3/rendering/01.xyz", "0.0")</f>
        <v>0.0</v>
      </c>
      <c r="E531" s="13" t="str">
        <f>HYPERLINK(AC2 &amp; "/bottle/sn_f98c340ae687a5059e375e5e721ce2d3/rendering/02.xyz", "0.0")</f>
        <v>0.0</v>
      </c>
      <c r="F531" s="13" t="str">
        <f>HYPERLINK(AC2 &amp; "/bottle/sn_f98c340ae687a5059e375e5e721ce2d3/rendering/03.xyz", "0.0")</f>
        <v>0.0</v>
      </c>
      <c r="G531" s="13" t="str">
        <f>HYPERLINK(AC2 &amp; "/bottle/sn_f98c340ae687a5059e375e5e721ce2d3/rendering/04.xyz", "0.0")</f>
        <v>0.0</v>
      </c>
      <c r="H531" s="13" t="str">
        <f>HYPERLINK(AC2 &amp; "/bottle/sn_f98c340ae687a5059e375e5e721ce2d3/rendering/05.xyz", "0.0")</f>
        <v>0.0</v>
      </c>
      <c r="I531" s="13" t="str">
        <f>HYPERLINK(AC2 &amp; "/bottle/sn_f98c340ae687a5059e375e5e721ce2d3/rendering/06.xyz", "0.0")</f>
        <v>0.0</v>
      </c>
      <c r="J531" s="13" t="str">
        <f>HYPERLINK(AC2 &amp; "/bottle/sn_f98c340ae687a5059e375e5e721ce2d3/rendering/07.xyz", "0.0")</f>
        <v>0.0</v>
      </c>
      <c r="K531" s="13" t="str">
        <f>HYPERLINK(AC2 &amp; "/bottle/sn_f98c340ae687a5059e375e5e721ce2d3/rendering/08.xyz", "0.0")</f>
        <v>0.0</v>
      </c>
      <c r="L531" s="13" t="str">
        <f>HYPERLINK(AC2 &amp; "/bottle/sn_f98c340ae687a5059e375e5e721ce2d3/rendering/09.xyz", "0.0")</f>
        <v>0.0</v>
      </c>
      <c r="M531" s="13" t="str">
        <f>HYPERLINK(AC2 &amp; "/bottle/sn_f98c340ae687a5059e375e5e721ce2d3/rendering/10.xyz", "0.0")</f>
        <v>0.0</v>
      </c>
      <c r="N531" s="13" t="str">
        <f>HYPERLINK(AC2 &amp; "/bottle/sn_f98c340ae687a5059e375e5e721ce2d3/rendering/11.xyz", "0.0")</f>
        <v>0.0</v>
      </c>
      <c r="O531" s="13" t="str">
        <f>HYPERLINK(AC2 &amp; "/bottle/sn_f98c340ae687a5059e375e5e721ce2d3/rendering/12.xyz", "0.0")</f>
        <v>0.0</v>
      </c>
      <c r="P531" s="13" t="str">
        <f>HYPERLINK(AC2 &amp; "/bottle/sn_f98c340ae687a5059e375e5e721ce2d3/rendering/13.xyz", "0.0")</f>
        <v>0.0</v>
      </c>
      <c r="Q531" s="13" t="str">
        <f>HYPERLINK(AC2 &amp; "/bottle/sn_f98c340ae687a5059e375e5e721ce2d3/rendering/14.xyz", "0.0")</f>
        <v>0.0</v>
      </c>
      <c r="R531" s="13" t="str">
        <f>HYPERLINK(AC2 &amp; "/bottle/sn_f98c340ae687a5059e375e5e721ce2d3/rendering/15.xyz", "0.0")</f>
        <v>0.0</v>
      </c>
      <c r="S531" s="13" t="str">
        <f>HYPERLINK(AC2 &amp; "/bottle/sn_f98c340ae687a5059e375e5e721ce2d3/rendering/16.xyz", "0.0")</f>
        <v>0.0</v>
      </c>
      <c r="T531" s="13" t="str">
        <f>HYPERLINK(AC2 &amp; "/bottle/sn_f98c340ae687a5059e375e5e721ce2d3/rendering/17.xyz", "0.0")</f>
        <v>0.0</v>
      </c>
      <c r="U531" s="13" t="str">
        <f>HYPERLINK(AC2 &amp; "/bottle/sn_f98c340ae687a5059e375e5e721ce2d3/rendering/18.xyz", "0.0")</f>
        <v>0.0</v>
      </c>
      <c r="V531" s="13" t="str">
        <f>HYPERLINK(AC2 &amp; "/bottle/sn_f98c340ae687a5059e375e5e721ce2d3/rendering/19.xyz", "0.0")</f>
        <v>0.0</v>
      </c>
      <c r="W531" s="12" t="s">
        <v>33</v>
      </c>
      <c r="X531" s="13">
        <v>0</v>
      </c>
      <c r="Y531" s="13">
        <v>0</v>
      </c>
      <c r="Z531" s="13">
        <v>0</v>
      </c>
    </row>
    <row r="532" spans="1:26" x14ac:dyDescent="0.2">
      <c r="A532" s="1">
        <v>530</v>
      </c>
      <c r="B532" s="2" t="s">
        <v>139</v>
      </c>
      <c r="C532" s="25" t="str">
        <f>HYPERLINK(AA2 &amp; "/bottle/sn_f9b5ec10c0bc71fefc33503fd88ecb34/rendering/00.obj", "5.09730743408")</f>
        <v>5.09730743408</v>
      </c>
      <c r="D532" s="98" t="str">
        <f>HYPERLINK(AA2 &amp; "/bottle/sn_f9b5ec10c0bc71fefc33503fd88ecb34/rendering/01.obj", "3.88186767578")</f>
        <v>3.88186767578</v>
      </c>
      <c r="E532" s="72" t="str">
        <f>HYPERLINK(AA2 &amp; "/bottle/sn_f9b5ec10c0bc71fefc33503fd88ecb34/rendering/02.obj", "5.21523071289")</f>
        <v>5.21523071289</v>
      </c>
      <c r="F532" s="117" t="str">
        <f>HYPERLINK(AA2 &amp; "/bottle/sn_f9b5ec10c0bc71fefc33503fd88ecb34/rendering/03.obj", "4.14598327637")</f>
        <v>4.14598327637</v>
      </c>
      <c r="G532" s="40" t="str">
        <f>HYPERLINK(AA2 &amp; "/bottle/sn_f9b5ec10c0bc71fefc33503fd88ecb34/rendering/04.obj", "4.18800018311")</f>
        <v>4.18800018311</v>
      </c>
      <c r="H532" s="95" t="str">
        <f>HYPERLINK(AA2 &amp; "/bottle/sn_f9b5ec10c0bc71fefc33503fd88ecb34/rendering/05.obj", "3.62478393555")</f>
        <v>3.62478393555</v>
      </c>
      <c r="I532" s="79" t="str">
        <f>HYPERLINK(AA2 &amp; "/bottle/sn_f9b5ec10c0bc71fefc33503fd88ecb34/rendering/06.obj", "5.85263183594")</f>
        <v>5.85263183594</v>
      </c>
      <c r="J532" s="20" t="str">
        <f>HYPERLINK(AA2 &amp; "/bottle/sn_f9b5ec10c0bc71fefc33503fd88ecb34/rendering/07.obj", "9.12822998047")</f>
        <v>9.12822998047</v>
      </c>
      <c r="K532" s="88" t="str">
        <f>HYPERLINK(AA2 &amp; "/bottle/sn_f9b5ec10c0bc71fefc33503fd88ecb34/rendering/08.obj", "4.02862792969")</f>
        <v>4.02862792969</v>
      </c>
      <c r="L532" s="192" t="str">
        <f>HYPERLINK(AA2 &amp; "/bottle/sn_f9b5ec10c0bc71fefc33503fd88ecb34/rendering/09.obj", "6.92633605957")</f>
        <v>6.92633605957</v>
      </c>
      <c r="M532" s="122" t="str">
        <f>HYPERLINK(AA2 &amp; "/bottle/sn_f9b5ec10c0bc71fefc33503fd88ecb34/rendering/10.obj", "7.08009765625")</f>
        <v>7.08009765625</v>
      </c>
      <c r="N532" s="27" t="str">
        <f>HYPERLINK(AA2 &amp; "/bottle/sn_f9b5ec10c0bc71fefc33503fd88ecb34/rendering/11.obj", "4.68781158447")</f>
        <v>4.68781158447</v>
      </c>
      <c r="O532" s="53" t="str">
        <f>HYPERLINK(AA2 &amp; "/bottle/sn_f9b5ec10c0bc71fefc33503fd88ecb34/rendering/12.obj", "2.96877288818")</f>
        <v>2.96877288818</v>
      </c>
      <c r="P532" s="106" t="str">
        <f>HYPERLINK(AA2 &amp; "/bottle/sn_f9b5ec10c0bc71fefc33503fd88ecb34/rendering/13.obj", "5.62153686523")</f>
        <v>5.62153686523</v>
      </c>
      <c r="Q532" s="19" t="str">
        <f>HYPERLINK(AA2 &amp; "/bottle/sn_f9b5ec10c0bc71fefc33503fd88ecb34/rendering/14.obj", "3.73078186035")</f>
        <v>3.73078186035</v>
      </c>
      <c r="R532" s="69" t="str">
        <f>HYPERLINK(AA2 &amp; "/bottle/sn_f9b5ec10c0bc71fefc33503fd88ecb34/rendering/15.obj", "4.89702301025")</f>
        <v>4.89702301025</v>
      </c>
      <c r="S532" s="36" t="str">
        <f>HYPERLINK(AA2 &amp; "/bottle/sn_f9b5ec10c0bc71fefc33503fd88ecb34/rendering/16.obj", "3.97024841309")</f>
        <v>3.97024841309</v>
      </c>
      <c r="T532" s="211" t="str">
        <f>HYPERLINK(AA2 &amp; "/bottle/sn_f9b5ec10c0bc71fefc33503fd88ecb34/rendering/17.obj", "8.92273620605")</f>
        <v>8.92273620605</v>
      </c>
      <c r="U532" s="182" t="str">
        <f>HYPERLINK(AA2 &amp; "/bottle/sn_f9b5ec10c0bc71fefc33503fd88ecb34/rendering/18.obj", "3.36462615967")</f>
        <v>3.36462615967</v>
      </c>
      <c r="V532" s="95" t="str">
        <f>HYPERLINK(AA2 &amp; "/bottle/sn_f9b5ec10c0bc71fefc33503fd88ecb34/rendering/19.obj", "3.63271728516")</f>
        <v>3.63271728516</v>
      </c>
      <c r="W532" s="12" t="s">
        <v>29</v>
      </c>
      <c r="X532" s="13">
        <v>5.0482675476074217</v>
      </c>
      <c r="Y532" s="13">
        <v>1.7104540208931109</v>
      </c>
      <c r="Z532" s="138">
        <v>0.33882000206264118</v>
      </c>
    </row>
    <row r="533" spans="1:26" x14ac:dyDescent="0.2">
      <c r="A533" s="1">
        <v>531</v>
      </c>
      <c r="B533" s="2" t="s">
        <v>139</v>
      </c>
      <c r="C533" s="42" t="str">
        <f>HYPERLINK(AA2 &amp; "/bottle/sn_f9b5ec10c0bc71fefc33503fd88ecb34/rendering/00.obj", "6.11983060837")</f>
        <v>6.11983060837</v>
      </c>
      <c r="D533" s="147" t="str">
        <f>HYPERLINK(AA2 &amp; "/bottle/sn_f9b5ec10c0bc71fefc33503fd88ecb34/rendering/01.obj", "3.63215947151")</f>
        <v>3.63215947151</v>
      </c>
      <c r="E533" s="97" t="str">
        <f>HYPERLINK(AA2 &amp; "/bottle/sn_f9b5ec10c0bc71fefc33503fd88ecb34/rendering/02.obj", "10.1598711014")</f>
        <v>10.1598711014</v>
      </c>
      <c r="F533" s="152" t="str">
        <f>HYPERLINK(AA2 &amp; "/bottle/sn_f9b5ec10c0bc71fefc33503fd88ecb34/rendering/03.obj", "4.21413707733")</f>
        <v>4.21413707733</v>
      </c>
      <c r="G533" s="96" t="str">
        <f>HYPERLINK(AA2 &amp; "/bottle/sn_f9b5ec10c0bc71fefc33503fd88ecb34/rendering/04.obj", "4.51332998276")</f>
        <v>4.51332998276</v>
      </c>
      <c r="H533" s="114" t="str">
        <f>HYPERLINK(AA2 &amp; "/bottle/sn_f9b5ec10c0bc71fefc33503fd88ecb34/rendering/05.obj", "3.83691716194")</f>
        <v>3.83691716194</v>
      </c>
      <c r="I533" s="47" t="str">
        <f>HYPERLINK(AA2 &amp; "/bottle/sn_f9b5ec10c0bc71fefc33503fd88ecb34/rendering/06.obj", "7.03911685944")</f>
        <v>7.03911685944</v>
      </c>
      <c r="J533" s="20" t="str">
        <f>HYPERLINK(AA2 &amp; "/bottle/sn_f9b5ec10c0bc71fefc33503fd88ecb34/rendering/07.obj", "14.2498731613")</f>
        <v>14.2498731613</v>
      </c>
      <c r="K533" s="101" t="str">
        <f>HYPERLINK(AA2 &amp; "/bottle/sn_f9b5ec10c0bc71fefc33503fd88ecb34/rendering/08.obj", "4.39966106415")</f>
        <v>4.39966106415</v>
      </c>
      <c r="L533" s="172" t="str">
        <f>HYPERLINK(AA2 &amp; "/bottle/sn_f9b5ec10c0bc71fefc33503fd88ecb34/rendering/09.obj", "9.80614280701")</f>
        <v>9.80614280701</v>
      </c>
      <c r="M533" s="247" t="str">
        <f>HYPERLINK(AA2 &amp; "/bottle/sn_f9b5ec10c0bc71fefc33503fd88ecb34/rendering/10.obj", "12.4431810379")</f>
        <v>12.4431810379</v>
      </c>
      <c r="N533" s="72" t="str">
        <f>HYPERLINK(AA2 &amp; "/bottle/sn_f9b5ec10c0bc71fefc33503fd88ecb34/rendering/11.obj", "6.8505692482")</f>
        <v>6.8505692482</v>
      </c>
      <c r="O533" s="226" t="str">
        <f>HYPERLINK(AA2 &amp; "/bottle/sn_f9b5ec10c0bc71fefc33503fd88ecb34/rendering/12.obj", "3.10450029373")</f>
        <v>3.10450029373</v>
      </c>
      <c r="P533" s="201" t="str">
        <f>HYPERLINK(AA2 &amp; "/bottle/sn_f9b5ec10c0bc71fefc33503fd88ecb34/rendering/13.obj", "11.2194347382")</f>
        <v>11.2194347382</v>
      </c>
      <c r="Q533" s="145" t="str">
        <f>HYPERLINK(AA2 &amp; "/bottle/sn_f9b5ec10c0bc71fefc33503fd88ecb34/rendering/14.obj", "3.61788225174")</f>
        <v>3.61788225174</v>
      </c>
      <c r="R533" s="118" t="str">
        <f>HYPERLINK(AA2 &amp; "/bottle/sn_f9b5ec10c0bc71fefc33503fd88ecb34/rendering/15.obj", "5.0061006546")</f>
        <v>5.0061006546</v>
      </c>
      <c r="S533" s="225" t="str">
        <f>HYPERLINK(AA2 &amp; "/bottle/sn_f9b5ec10c0bc71fefc33503fd88ecb34/rendering/16.obj", "3.04211330414")</f>
        <v>3.04211330414</v>
      </c>
      <c r="T533" s="20" t="str">
        <f>HYPERLINK(AA2 &amp; "/bottle/sn_f9b5ec10c0bc71fefc33503fd88ecb34/rendering/17.obj", "21.2822551727")</f>
        <v>21.2822551727</v>
      </c>
      <c r="U533" s="139" t="str">
        <f>HYPERLINK(AA2 &amp; "/bottle/sn_f9b5ec10c0bc71fefc33503fd88ecb34/rendering/18.obj", "3.67687082291")</f>
        <v>3.67687082291</v>
      </c>
      <c r="V533" s="102" t="str">
        <f>HYPERLINK(AA2 &amp; "/bottle/sn_f9b5ec10c0bc71fefc33503fd88ecb34/rendering/19.obj", "3.57497596741")</f>
        <v>3.57497596741</v>
      </c>
      <c r="W533" s="12" t="s">
        <v>30</v>
      </c>
      <c r="X533" s="13">
        <v>7.0894461393356334</v>
      </c>
      <c r="Y533" s="13">
        <v>4.6559369311865408</v>
      </c>
      <c r="Z533" s="9">
        <v>0.65674198515356219</v>
      </c>
    </row>
    <row r="534" spans="1:26" x14ac:dyDescent="0.2">
      <c r="A534" s="1">
        <v>532</v>
      </c>
      <c r="B534" s="2" t="s">
        <v>139</v>
      </c>
      <c r="C534" s="11" t="str">
        <f>HYPERLINK(AB2 &amp; "/bottle/sn_f9b5ec10c0bc71fefc33503fd88ecb34/rendering/00.obj", "3.32954284668")</f>
        <v>3.32954284668</v>
      </c>
      <c r="D534" s="77" t="str">
        <f>HYPERLINK(AB2 &amp; "/bottle/sn_f9b5ec10c0bc71fefc33503fd88ecb34/rendering/01.obj", "3.49095581055")</f>
        <v>3.49095581055</v>
      </c>
      <c r="E534" s="57" t="str">
        <f>HYPERLINK(AB2 &amp; "/bottle/sn_f9b5ec10c0bc71fefc33503fd88ecb34/rendering/02.obj", "5.65072509766")</f>
        <v>5.65072509766</v>
      </c>
      <c r="F534" s="98" t="str">
        <f>HYPERLINK(AB2 &amp; "/bottle/sn_f9b5ec10c0bc71fefc33503fd88ecb34/rendering/03.obj", "3.29674743652")</f>
        <v>3.29674743652</v>
      </c>
      <c r="G534" s="137" t="str">
        <f>HYPERLINK(AB2 &amp; "/bottle/sn_f9b5ec10c0bc71fefc33503fd88ecb34/rendering/04.obj", "2.72229797363")</f>
        <v>2.72229797363</v>
      </c>
      <c r="H534" s="135" t="str">
        <f>HYPERLINK(AB2 &amp; "/bottle/sn_f9b5ec10c0bc71fefc33503fd88ecb34/rendering/05.obj", "3.19462005615")</f>
        <v>3.19462005615</v>
      </c>
      <c r="I534" s="48" t="str">
        <f>HYPERLINK(AB2 &amp; "/bottle/sn_f9b5ec10c0bc71fefc33503fd88ecb34/rendering/06.obj", "4.19865081787")</f>
        <v>4.19865081787</v>
      </c>
      <c r="J534" s="25" t="str">
        <f>HYPERLINK(AB2 &amp; "/bottle/sn_f9b5ec10c0bc71fefc33503fd88ecb34/rendering/07.obj", "4.33481445313")</f>
        <v>4.33481445313</v>
      </c>
      <c r="K534" s="78" t="str">
        <f>HYPERLINK(AB2 &amp; "/bottle/sn_f9b5ec10c0bc71fefc33503fd88ecb34/rendering/08.obj", "4.02499633789")</f>
        <v>4.02499633789</v>
      </c>
      <c r="L534" s="30" t="str">
        <f>HYPERLINK(AB2 &amp; "/bottle/sn_f9b5ec10c0bc71fefc33503fd88ecb34/rendering/09.obj", "4.31344940186")</f>
        <v>4.31344940186</v>
      </c>
      <c r="M534" s="10" t="str">
        <f>HYPERLINK(AB2 &amp; "/bottle/sn_f9b5ec10c0bc71fefc33503fd88ecb34/rendering/10.obj", "4.05532958984")</f>
        <v>4.05532958984</v>
      </c>
      <c r="N534" s="58" t="str">
        <f>HYPERLINK(AB2 &amp; "/bottle/sn_f9b5ec10c0bc71fefc33503fd88ecb34/rendering/11.obj", "5.34129943848")</f>
        <v>5.34129943848</v>
      </c>
      <c r="O534" s="68" t="str">
        <f>HYPERLINK(AB2 &amp; "/bottle/sn_f9b5ec10c0bc71fefc33503fd88ecb34/rendering/12.obj", "4.46940368652")</f>
        <v>4.46940368652</v>
      </c>
      <c r="P534" s="31" t="str">
        <f>HYPERLINK(AB2 &amp; "/bottle/sn_f9b5ec10c0bc71fefc33503fd88ecb34/rendering/13.obj", "4.95459472656")</f>
        <v>4.95459472656</v>
      </c>
      <c r="Q534" s="34" t="str">
        <f>HYPERLINK(AB2 &amp; "/bottle/sn_f9b5ec10c0bc71fefc33503fd88ecb34/rendering/14.obj", "4.08186187744")</f>
        <v>4.08186187744</v>
      </c>
      <c r="R534" s="91" t="str">
        <f>HYPERLINK(AB2 &amp; "/bottle/sn_f9b5ec10c0bc71fefc33503fd88ecb34/rendering/15.obj", "4.40273864746")</f>
        <v>4.40273864746</v>
      </c>
      <c r="S534" s="107" t="str">
        <f>HYPERLINK(AB2 &amp; "/bottle/sn_f9b5ec10c0bc71fefc33503fd88ecb34/rendering/16.obj", "3.93827209473")</f>
        <v>3.93827209473</v>
      </c>
      <c r="T534" s="83" t="str">
        <f>HYPERLINK(AB2 &amp; "/bottle/sn_f9b5ec10c0bc71fefc33503fd88ecb34/rendering/17.obj", "4.94204223633")</f>
        <v>4.94204223633</v>
      </c>
      <c r="U534" s="248" t="str">
        <f>HYPERLINK(AB2 &amp; "/bottle/sn_f9b5ec10c0bc71fefc33503fd88ecb34/rendering/18.obj", "7.12669189453")</f>
        <v>7.12669189453</v>
      </c>
      <c r="V534" s="27" t="str">
        <f>HYPERLINK(AB2 &amp; "/bottle/sn_f9b5ec10c0bc71fefc33503fd88ecb34/rendering/19.obj", "3.99580322266")</f>
        <v>3.99580322266</v>
      </c>
      <c r="W534" s="12" t="s">
        <v>31</v>
      </c>
      <c r="X534" s="13">
        <v>4.2932418823242182</v>
      </c>
      <c r="Y534" s="13">
        <v>0.96202878774917722</v>
      </c>
      <c r="Z534" s="11">
        <v>0.22407980125926821</v>
      </c>
    </row>
    <row r="535" spans="1:26" x14ac:dyDescent="0.2">
      <c r="A535" s="1">
        <v>533</v>
      </c>
      <c r="B535" s="2" t="s">
        <v>139</v>
      </c>
      <c r="C535" s="160" t="str">
        <f>HYPERLINK(AB2 &amp; "/bottle/sn_f9b5ec10c0bc71fefc33503fd88ecb34/rendering/00.obj", "2.83912730217")</f>
        <v>2.83912730217</v>
      </c>
      <c r="D535" s="99" t="str">
        <f>HYPERLINK(AB2 &amp; "/bottle/sn_f9b5ec10c0bc71fefc33503fd88ecb34/rendering/01.obj", "4.399477005")</f>
        <v>4.399477005</v>
      </c>
      <c r="E535" s="20" t="str">
        <f>HYPERLINK(AB2 &amp; "/bottle/sn_f9b5ec10c0bc71fefc33503fd88ecb34/rendering/02.obj", "12.7321681976")</f>
        <v>12.7321681976</v>
      </c>
      <c r="F535" s="228" t="str">
        <f>HYPERLINK(AB2 &amp; "/bottle/sn_f9b5ec10c0bc71fefc33503fd88ecb34/rendering/03.obj", "2.83036422729")</f>
        <v>2.83036422729</v>
      </c>
      <c r="G535" s="227" t="str">
        <f>HYPERLINK(AB2 &amp; "/bottle/sn_f9b5ec10c0bc71fefc33503fd88ecb34/rendering/04.obj", "2.96173667908")</f>
        <v>2.96173667908</v>
      </c>
      <c r="H535" s="157" t="str">
        <f>HYPERLINK(AB2 &amp; "/bottle/sn_f9b5ec10c0bc71fefc33503fd88ecb34/rendering/05.obj", "3.53676390648")</f>
        <v>3.53676390648</v>
      </c>
      <c r="I535" s="47" t="str">
        <f>HYPERLINK(AB2 &amp; "/bottle/sn_f9b5ec10c0bc71fefc33503fd88ecb34/rendering/06.obj", "5.98798942566")</f>
        <v>5.98798942566</v>
      </c>
      <c r="J535" s="41" t="str">
        <f>HYPERLINK(AB2 &amp; "/bottle/sn_f9b5ec10c0bc71fefc33503fd88ecb34/rendering/07.obj", "6.43577528")</f>
        <v>6.43577528</v>
      </c>
      <c r="K535" s="107" t="str">
        <f>HYPERLINK(AB2 &amp; "/bottle/sn_f9b5ec10c0bc71fefc33503fd88ecb34/rendering/08.obj", "5.5391201973")</f>
        <v>5.5391201973</v>
      </c>
      <c r="L535" s="35" t="str">
        <f>HYPERLINK(AB2 &amp; "/bottle/sn_f9b5ec10c0bc71fefc33503fd88ecb34/rendering/09.obj", "5.6960067749")</f>
        <v>5.6960067749</v>
      </c>
      <c r="M535" s="30" t="str">
        <f>HYPERLINK(AB2 &amp; "/bottle/sn_f9b5ec10c0bc71fefc33503fd88ecb34/rendering/10.obj", "6.00147914886")</f>
        <v>6.00147914886</v>
      </c>
      <c r="N535" s="71" t="str">
        <f>HYPERLINK(AB2 &amp; "/bottle/sn_f9b5ec10c0bc71fefc33503fd88ecb34/rendering/11.obj", "5.33278608322")</f>
        <v>5.33278608322</v>
      </c>
      <c r="O535" s="133" t="str">
        <f>HYPERLINK(AB2 &amp; "/bottle/sn_f9b5ec10c0bc71fefc33503fd88ecb34/rendering/12.obj", "6.65737915039")</f>
        <v>6.65737915039</v>
      </c>
      <c r="P535" s="7" t="str">
        <f>HYPERLINK(AB2 &amp; "/bottle/sn_f9b5ec10c0bc71fefc33503fd88ecb34/rendering/13.obj", "7.72168922424")</f>
        <v>7.72168922424</v>
      </c>
      <c r="Q535" s="70" t="str">
        <f>HYPERLINK(AB2 &amp; "/bottle/sn_f9b5ec10c0bc71fefc33503fd88ecb34/rendering/14.obj", "5.2776966095")</f>
        <v>5.2776966095</v>
      </c>
      <c r="R535" s="10" t="str">
        <f>HYPERLINK(AB2 &amp; "/bottle/sn_f9b5ec10c0bc71fefc33503fd88ecb34/rendering/15.obj", "5.71277570724")</f>
        <v>5.71277570724</v>
      </c>
      <c r="S535" s="54" t="str">
        <f>HYPERLINK(AB2 &amp; "/bottle/sn_f9b5ec10c0bc71fefc33503fd88ecb34/rendering/16.obj", "4.0566534996")</f>
        <v>4.0566534996</v>
      </c>
      <c r="T535" s="175" t="str">
        <f>HYPERLINK(AB2 &amp; "/bottle/sn_f9b5ec10c0bc71fefc33503fd88ecb34/rendering/17.obj", "4.63170433044")</f>
        <v>4.63170433044</v>
      </c>
      <c r="U535" s="20" t="str">
        <f>HYPERLINK(AB2 &amp; "/bottle/sn_f9b5ec10c0bc71fefc33503fd88ecb34/rendering/18.obj", "17.2179870605")</f>
        <v>17.2179870605</v>
      </c>
      <c r="V535" s="93" t="str">
        <f>HYPERLINK(AB2 &amp; "/bottle/sn_f9b5ec10c0bc71fefc33503fd88ecb34/rendering/19.obj", "5.18834495544")</f>
        <v>5.18834495544</v>
      </c>
      <c r="W535" s="12" t="s">
        <v>32</v>
      </c>
      <c r="X535" s="13">
        <v>6.0378512382507328</v>
      </c>
      <c r="Y535" s="13">
        <v>3.318756256296842</v>
      </c>
      <c r="Z535" s="141">
        <v>0.54965850024127816</v>
      </c>
    </row>
    <row r="536" spans="1:26" x14ac:dyDescent="0.2">
      <c r="A536" s="1">
        <v>534</v>
      </c>
      <c r="B536" s="2" t="s">
        <v>139</v>
      </c>
      <c r="C536" s="13" t="str">
        <f>HYPERLINK(AC2 &amp; "/bottle/sn_f9b5ec10c0bc71fefc33503fd88ecb34/rendering/00.xyz", "0.0")</f>
        <v>0.0</v>
      </c>
      <c r="D536" s="13" t="str">
        <f>HYPERLINK(AC2 &amp; "/bottle/sn_f9b5ec10c0bc71fefc33503fd88ecb34/rendering/01.xyz", "0.0")</f>
        <v>0.0</v>
      </c>
      <c r="E536" s="13" t="str">
        <f>HYPERLINK(AC2 &amp; "/bottle/sn_f9b5ec10c0bc71fefc33503fd88ecb34/rendering/02.xyz", "0.0")</f>
        <v>0.0</v>
      </c>
      <c r="F536" s="13" t="str">
        <f>HYPERLINK(AC2 &amp; "/bottle/sn_f9b5ec10c0bc71fefc33503fd88ecb34/rendering/03.xyz", "0.0")</f>
        <v>0.0</v>
      </c>
      <c r="G536" s="13" t="str">
        <f>HYPERLINK(AC2 &amp; "/bottle/sn_f9b5ec10c0bc71fefc33503fd88ecb34/rendering/04.xyz", "0.0")</f>
        <v>0.0</v>
      </c>
      <c r="H536" s="13" t="str">
        <f>HYPERLINK(AC2 &amp; "/bottle/sn_f9b5ec10c0bc71fefc33503fd88ecb34/rendering/05.xyz", "0.0")</f>
        <v>0.0</v>
      </c>
      <c r="I536" s="13" t="str">
        <f>HYPERLINK(AC2 &amp; "/bottle/sn_f9b5ec10c0bc71fefc33503fd88ecb34/rendering/06.xyz", "0.0")</f>
        <v>0.0</v>
      </c>
      <c r="J536" s="13" t="str">
        <f>HYPERLINK(AC2 &amp; "/bottle/sn_f9b5ec10c0bc71fefc33503fd88ecb34/rendering/07.xyz", "0.0")</f>
        <v>0.0</v>
      </c>
      <c r="K536" s="13" t="str">
        <f>HYPERLINK(AC2 &amp; "/bottle/sn_f9b5ec10c0bc71fefc33503fd88ecb34/rendering/08.xyz", "0.0")</f>
        <v>0.0</v>
      </c>
      <c r="L536" s="13" t="str">
        <f>HYPERLINK(AC2 &amp; "/bottle/sn_f9b5ec10c0bc71fefc33503fd88ecb34/rendering/09.xyz", "0.0")</f>
        <v>0.0</v>
      </c>
      <c r="M536" s="13" t="str">
        <f>HYPERLINK(AC2 &amp; "/bottle/sn_f9b5ec10c0bc71fefc33503fd88ecb34/rendering/10.xyz", "0.0")</f>
        <v>0.0</v>
      </c>
      <c r="N536" s="13" t="str">
        <f>HYPERLINK(AC2 &amp; "/bottle/sn_f9b5ec10c0bc71fefc33503fd88ecb34/rendering/11.xyz", "0.0")</f>
        <v>0.0</v>
      </c>
      <c r="O536" s="13" t="str">
        <f>HYPERLINK(AC2 &amp; "/bottle/sn_f9b5ec10c0bc71fefc33503fd88ecb34/rendering/12.xyz", "0.0")</f>
        <v>0.0</v>
      </c>
      <c r="P536" s="13" t="str">
        <f>HYPERLINK(AC2 &amp; "/bottle/sn_f9b5ec10c0bc71fefc33503fd88ecb34/rendering/13.xyz", "0.0")</f>
        <v>0.0</v>
      </c>
      <c r="Q536" s="13" t="str">
        <f>HYPERLINK(AC2 &amp; "/bottle/sn_f9b5ec10c0bc71fefc33503fd88ecb34/rendering/14.xyz", "0.0")</f>
        <v>0.0</v>
      </c>
      <c r="R536" s="13" t="str">
        <f>HYPERLINK(AC2 &amp; "/bottle/sn_f9b5ec10c0bc71fefc33503fd88ecb34/rendering/15.xyz", "0.0")</f>
        <v>0.0</v>
      </c>
      <c r="S536" s="13" t="str">
        <f>HYPERLINK(AC2 &amp; "/bottle/sn_f9b5ec10c0bc71fefc33503fd88ecb34/rendering/16.xyz", "0.0")</f>
        <v>0.0</v>
      </c>
      <c r="T536" s="13" t="str">
        <f>HYPERLINK(AC2 &amp; "/bottle/sn_f9b5ec10c0bc71fefc33503fd88ecb34/rendering/17.xyz", "0.0")</f>
        <v>0.0</v>
      </c>
      <c r="U536" s="13" t="str">
        <f>HYPERLINK(AC2 &amp; "/bottle/sn_f9b5ec10c0bc71fefc33503fd88ecb34/rendering/18.xyz", "0.0")</f>
        <v>0.0</v>
      </c>
      <c r="V536" s="13" t="str">
        <f>HYPERLINK(AC2 &amp; "/bottle/sn_f9b5ec10c0bc71fefc33503fd88ecb34/rendering/19.xyz", "0.0")</f>
        <v>0.0</v>
      </c>
      <c r="W536" s="12" t="s">
        <v>33</v>
      </c>
      <c r="X536" s="13">
        <v>0</v>
      </c>
      <c r="Y536" s="13">
        <v>0</v>
      </c>
      <c r="Z536" s="13">
        <v>0</v>
      </c>
    </row>
    <row r="537" spans="1:26" x14ac:dyDescent="0.2">
      <c r="A537" s="1">
        <v>535</v>
      </c>
      <c r="B537" s="2" t="s">
        <v>140</v>
      </c>
      <c r="C537" s="8" t="str">
        <f>HYPERLINK(AA2 &amp; "/bottle/sn_f9f67fe61dcf46d7e19818797f240d91/rendering/00.obj", "1.80683959961")</f>
        <v>1.80683959961</v>
      </c>
      <c r="D537" s="33" t="str">
        <f>HYPERLINK(AA2 &amp; "/bottle/sn_f9f67fe61dcf46d7e19818797f240d91/rendering/01.obj", "1.87471954346")</f>
        <v>1.87471954346</v>
      </c>
      <c r="E537" s="129" t="str">
        <f>HYPERLINK(AA2 &amp; "/bottle/sn_f9f67fe61dcf46d7e19818797f240d91/rendering/02.obj", "2.62980163574")</f>
        <v>2.62980163574</v>
      </c>
      <c r="F537" s="203" t="str">
        <f>HYPERLINK(AA2 &amp; "/bottle/sn_f9f67fe61dcf46d7e19818797f240d91/rendering/03.obj", "3.08672729492")</f>
        <v>3.08672729492</v>
      </c>
      <c r="G537" s="32" t="str">
        <f>HYPERLINK(AA2 &amp; "/bottle/sn_f9f67fe61dcf46d7e19818797f240d91/rendering/04.obj", "1.88023834229")</f>
        <v>1.88023834229</v>
      </c>
      <c r="H537" s="92" t="str">
        <f>HYPERLINK(AA2 &amp; "/bottle/sn_f9f67fe61dcf46d7e19818797f240d91/rendering/05.obj", "1.84484069824")</f>
        <v>1.84484069824</v>
      </c>
      <c r="I537" s="71" t="str">
        <f>HYPERLINK(AA2 &amp; "/bottle/sn_f9f67fe61dcf46d7e19818797f240d91/rendering/06.obj", "1.85543029785")</f>
        <v>1.85543029785</v>
      </c>
      <c r="J537" s="74" t="str">
        <f>HYPERLINK(AA2 &amp; "/bottle/sn_f9f67fe61dcf46d7e19818797f240d91/rendering/07.obj", "2.07659851074")</f>
        <v>2.07659851074</v>
      </c>
      <c r="K537" s="31" t="str">
        <f>HYPERLINK(AA2 &amp; "/bottle/sn_f9f67fe61dcf46d7e19818797f240d91/rendering/08.obj", "1.77588638306")</f>
        <v>1.77588638306</v>
      </c>
      <c r="L537" s="94" t="str">
        <f>HYPERLINK(AA2 &amp; "/bottle/sn_f9f67fe61dcf46d7e19818797f240d91/rendering/09.obj", "1.94818481445")</f>
        <v>1.94818481445</v>
      </c>
      <c r="M537" s="133" t="str">
        <f>HYPERLINK(AA2 &amp; "/bottle/sn_f9f67fe61dcf46d7e19818797f240d91/rendering/10.obj", "1.8880947876")</f>
        <v>1.8880947876</v>
      </c>
      <c r="N537" s="80" t="str">
        <f>HYPERLINK(AA2 &amp; "/bottle/sn_f9f67fe61dcf46d7e19818797f240d91/rendering/11.obj", "1.78938461304")</f>
        <v>1.78938461304</v>
      </c>
      <c r="O537" s="48" t="str">
        <f>HYPERLINK(AA2 &amp; "/bottle/sn_f9f67fe61dcf46d7e19818797f240d91/rendering/12.obj", "2.15427947998")</f>
        <v>2.15427947998</v>
      </c>
      <c r="P537" s="11" t="str">
        <f>HYPERLINK(AA2 &amp; "/bottle/sn_f9f67fe61dcf46d7e19818797f240d91/rendering/13.obj", "1.63073562622")</f>
        <v>1.63073562622</v>
      </c>
      <c r="Q537" s="24" t="str">
        <f>HYPERLINK(AA2 &amp; "/bottle/sn_f9f67fe61dcf46d7e19818797f240d91/rendering/14.obj", "1.75368927002")</f>
        <v>1.75368927002</v>
      </c>
      <c r="R537" s="64" t="str">
        <f>HYPERLINK(AA2 &amp; "/bottle/sn_f9f67fe61dcf46d7e19818797f240d91/rendering/15.obj", "2.45299514771")</f>
        <v>2.45299514771</v>
      </c>
      <c r="S537" s="65" t="str">
        <f>HYPERLINK(AA2 &amp; "/bottle/sn_f9f67fe61dcf46d7e19818797f240d91/rendering/16.obj", "2.38380203247")</f>
        <v>2.38380203247</v>
      </c>
      <c r="T537" s="35" t="str">
        <f>HYPERLINK(AA2 &amp; "/bottle/sn_f9f67fe61dcf46d7e19818797f240d91/rendering/17.obj", "1.98240722656")</f>
        <v>1.98240722656</v>
      </c>
      <c r="U537" s="249" t="str">
        <f>HYPERLINK(AA2 &amp; "/bottle/sn_f9f67fe61dcf46d7e19818797f240d91/rendering/18.obj", "3.30923706055")</f>
        <v>3.30923706055</v>
      </c>
      <c r="V537" s="27" t="str">
        <f>HYPERLINK(AA2 &amp; "/bottle/sn_f9f67fe61dcf46d7e19818797f240d91/rendering/19.obj", "1.95778121948")</f>
        <v>1.95778121948</v>
      </c>
      <c r="W537" s="12" t="s">
        <v>29</v>
      </c>
      <c r="X537" s="13">
        <v>2.1040836791992188</v>
      </c>
      <c r="Y537" s="13">
        <v>0.44036757756421702</v>
      </c>
      <c r="Z537" s="49">
        <v>0.20929185560329711</v>
      </c>
    </row>
    <row r="538" spans="1:26" x14ac:dyDescent="0.2">
      <c r="A538" s="1">
        <v>536</v>
      </c>
      <c r="B538" s="2" t="s">
        <v>140</v>
      </c>
      <c r="C538" s="42" t="str">
        <f>HYPERLINK(AA2 &amp; "/bottle/sn_f9f67fe61dcf46d7e19818797f240d91/rendering/00.obj", "1.41820216179")</f>
        <v>1.41820216179</v>
      </c>
      <c r="D538" s="65" t="str">
        <f>HYPERLINK(AA2 &amp; "/bottle/sn_f9f67fe61dcf46d7e19818797f240d91/rendering/01.obj", "1.42238390446")</f>
        <v>1.42238390446</v>
      </c>
      <c r="E538" s="108" t="str">
        <f>HYPERLINK(AA2 &amp; "/bottle/sn_f9f67fe61dcf46d7e19818797f240d91/rendering/02.obj", "2.04491853714")</f>
        <v>2.04491853714</v>
      </c>
      <c r="F538" s="250" t="str">
        <f>HYPERLINK(AA2 &amp; "/bottle/sn_f9f67fe61dcf46d7e19818797f240d91/rendering/03.obj", "2.77025914192")</f>
        <v>2.77025914192</v>
      </c>
      <c r="G538" s="44" t="str">
        <f>HYPERLINK(AA2 &amp; "/bottle/sn_f9f67fe61dcf46d7e19818797f240d91/rendering/04.obj", "1.3221180439")</f>
        <v>1.3221180439</v>
      </c>
      <c r="H538" s="81" t="str">
        <f>HYPERLINK(AA2 &amp; "/bottle/sn_f9f67fe61dcf46d7e19818797f240d91/rendering/05.obj", "1.28669285774")</f>
        <v>1.28669285774</v>
      </c>
      <c r="I538" s="32" t="str">
        <f>HYPERLINK(AA2 &amp; "/bottle/sn_f9f67fe61dcf46d7e19818797f240d91/rendering/06.obj", "1.47179412842")</f>
        <v>1.47179412842</v>
      </c>
      <c r="J538" s="107" t="str">
        <f>HYPERLINK(AA2 &amp; "/bottle/sn_f9f67fe61dcf46d7e19818797f240d91/rendering/07.obj", "1.50392794609")</f>
        <v>1.50392794609</v>
      </c>
      <c r="K538" s="88" t="str">
        <f>HYPERLINK(AA2 &amp; "/bottle/sn_f9f67fe61dcf46d7e19818797f240d91/rendering/08.obj", "1.3101079464")</f>
        <v>1.3101079464</v>
      </c>
      <c r="L538" s="90" t="str">
        <f>HYPERLINK(AA2 &amp; "/bottle/sn_f9f67fe61dcf46d7e19818797f240d91/rendering/09.obj", "1.48518586159")</f>
        <v>1.48518586159</v>
      </c>
      <c r="M538" s="50" t="str">
        <f>HYPERLINK(AA2 &amp; "/bottle/sn_f9f67fe61dcf46d7e19818797f240d91/rendering/10.obj", "1.31455338001")</f>
        <v>1.31455338001</v>
      </c>
      <c r="N538" s="93" t="str">
        <f>HYPERLINK(AA2 &amp; "/bottle/sn_f9f67fe61dcf46d7e19818797f240d91/rendering/11.obj", "1.41571128368")</f>
        <v>1.41571128368</v>
      </c>
      <c r="O538" s="23" t="str">
        <f>HYPERLINK(AA2 &amp; "/bottle/sn_f9f67fe61dcf46d7e19818797f240d91/rendering/12.obj", "1.70754742622")</f>
        <v>1.70754742622</v>
      </c>
      <c r="P538" s="135" t="str">
        <f>HYPERLINK(AA2 &amp; "/bottle/sn_f9f67fe61dcf46d7e19818797f240d91/rendering/13.obj", "1.22179496288")</f>
        <v>1.22179496288</v>
      </c>
      <c r="Q538" s="49" t="str">
        <f>HYPERLINK(AA2 &amp; "/bottle/sn_f9f67fe61dcf46d7e19818797f240d91/rendering/14.obj", "1.29808688164")</f>
        <v>1.29808688164</v>
      </c>
      <c r="R538" s="65" t="str">
        <f>HYPERLINK(AA2 &amp; "/bottle/sn_f9f67fe61dcf46d7e19818797f240d91/rendering/15.obj", "1.8631477356")</f>
        <v>1.8631477356</v>
      </c>
      <c r="S538" s="8" t="str">
        <f>HYPERLINK(AA2 &amp; "/bottle/sn_f9f67fe61dcf46d7e19818797f240d91/rendering/16.obj", "1.87614011765")</f>
        <v>1.87614011765</v>
      </c>
      <c r="T538" s="35" t="str">
        <f>HYPERLINK(AA2 &amp; "/bottle/sn_f9f67fe61dcf46d7e19818797f240d91/rendering/17.obj", "1.54662680626")</f>
        <v>1.54662680626</v>
      </c>
      <c r="U538" s="20" t="str">
        <f>HYPERLINK(AA2 &amp; "/bottle/sn_f9f67fe61dcf46d7e19818797f240d91/rendering/18.obj", "3.21211981773")</f>
        <v>3.21211981773</v>
      </c>
      <c r="V538" s="40" t="str">
        <f>HYPERLINK(AA2 &amp; "/bottle/sn_f9f67fe61dcf46d7e19818797f240d91/rendering/19.obj", "1.36160326004")</f>
        <v>1.36160326004</v>
      </c>
      <c r="W538" s="12" t="s">
        <v>30</v>
      </c>
      <c r="X538" s="13">
        <v>1.6426461100578309</v>
      </c>
      <c r="Y538" s="13">
        <v>0.50295428925902319</v>
      </c>
      <c r="Z538" s="171">
        <v>0.30618542008498478</v>
      </c>
    </row>
    <row r="539" spans="1:26" x14ac:dyDescent="0.2">
      <c r="A539" s="1">
        <v>537</v>
      </c>
      <c r="B539" s="2" t="s">
        <v>140</v>
      </c>
      <c r="C539" s="34" t="str">
        <f>HYPERLINK(AB2 &amp; "/bottle/sn_f9f67fe61dcf46d7e19818797f240d91/rendering/00.obj", "3.0213192749")</f>
        <v>3.0213192749</v>
      </c>
      <c r="D539" s="70" t="str">
        <f>HYPERLINK(AB2 &amp; "/bottle/sn_f9f67fe61dcf46d7e19818797f240d91/rendering/01.obj", "2.77184112549")</f>
        <v>2.77184112549</v>
      </c>
      <c r="E539" s="48" t="str">
        <f>HYPERLINK(AB2 &amp; "/bottle/sn_f9f67fe61dcf46d7e19818797f240d91/rendering/02.obj", "3.24817626953")</f>
        <v>3.24817626953</v>
      </c>
      <c r="F539" s="10" t="str">
        <f>HYPERLINK(AB2 &amp; "/bottle/sn_f9f67fe61dcf46d7e19818797f240d91/rendering/03.obj", "3.35424224854")</f>
        <v>3.35424224854</v>
      </c>
      <c r="G539" s="47" t="str">
        <f>HYPERLINK(AB2 &amp; "/bottle/sn_f9f67fe61dcf46d7e19818797f240d91/rendering/04.obj", "3.20439483643")</f>
        <v>3.20439483643</v>
      </c>
      <c r="H539" s="25" t="str">
        <f>HYPERLINK(AB2 &amp; "/bottle/sn_f9f67fe61dcf46d7e19818797f240d91/rendering/05.obj", "3.14576599121")</f>
        <v>3.14576599121</v>
      </c>
      <c r="I539" s="48" t="str">
        <f>HYPERLINK(AB2 &amp; "/bottle/sn_f9f67fe61dcf46d7e19818797f240d91/rendering/06.obj", "3.09783691406")</f>
        <v>3.09783691406</v>
      </c>
      <c r="J539" s="30" t="str">
        <f>HYPERLINK(AB2 &amp; "/bottle/sn_f9f67fe61dcf46d7e19818797f240d91/rendering/07.obj", "3.15776184082")</f>
        <v>3.15776184082</v>
      </c>
      <c r="K539" s="41" t="str">
        <f>HYPERLINK(AB2 &amp; "/bottle/sn_f9f67fe61dcf46d7e19818797f240d91/rendering/08.obj", "2.95932067871")</f>
        <v>2.95932067871</v>
      </c>
      <c r="L539" s="72" t="str">
        <f>HYPERLINK(AB2 &amp; "/bottle/sn_f9f67fe61dcf46d7e19818797f240d91/rendering/09.obj", "3.2804876709")</f>
        <v>3.2804876709</v>
      </c>
      <c r="M539" s="34" t="str">
        <f>HYPERLINK(AB2 &amp; "/bottle/sn_f9f67fe61dcf46d7e19818797f240d91/rendering/10.obj", "3.0190020752")</f>
        <v>3.0190020752</v>
      </c>
      <c r="N539" s="72" t="str">
        <f>HYPERLINK(AB2 &amp; "/bottle/sn_f9f67fe61dcf46d7e19818797f240d91/rendering/11.obj", "3.28038299561")</f>
        <v>3.28038299561</v>
      </c>
      <c r="O539" s="30" t="str">
        <f>HYPERLINK(AB2 &amp; "/bottle/sn_f9f67fe61dcf46d7e19818797f240d91/rendering/12.obj", "3.16101196289")</f>
        <v>3.16101196289</v>
      </c>
      <c r="P539" s="73" t="str">
        <f>HYPERLINK(AB2 &amp; "/bottle/sn_f9f67fe61dcf46d7e19818797f240d91/rendering/13.obj", "3.2911932373")</f>
        <v>3.2911932373</v>
      </c>
      <c r="Q539" s="48" t="str">
        <f>HYPERLINK(AB2 &amp; "/bottle/sn_f9f67fe61dcf46d7e19818797f240d91/rendering/14.obj", "3.24984436035")</f>
        <v>3.24984436035</v>
      </c>
      <c r="R539" s="26" t="str">
        <f>HYPERLINK(AB2 &amp; "/bottle/sn_f9f67fe61dcf46d7e19818797f240d91/rendering/15.obj", "3.38039916992")</f>
        <v>3.38039916992</v>
      </c>
      <c r="S539" s="68" t="str">
        <f>HYPERLINK(AB2 &amp; "/bottle/sn_f9f67fe61dcf46d7e19818797f240d91/rendering/16.obj", "3.04401367188")</f>
        <v>3.04401367188</v>
      </c>
      <c r="T539" s="6" t="str">
        <f>HYPERLINK(AB2 &amp; "/bottle/sn_f9f67fe61dcf46d7e19818797f240d91/rendering/17.obj", "3.32303436279")</f>
        <v>3.32303436279</v>
      </c>
      <c r="U539" s="6" t="str">
        <f>HYPERLINK(AB2 &amp; "/bottle/sn_f9f67fe61dcf46d7e19818797f240d91/rendering/18.obj", "3.32329711914")</f>
        <v>3.32329711914</v>
      </c>
      <c r="V539" s="25" t="str">
        <f>HYPERLINK(AB2 &amp; "/bottle/sn_f9f67fe61dcf46d7e19818797f240d91/rendering/19.obj", "3.21299377441")</f>
        <v>3.21299377441</v>
      </c>
      <c r="W539" s="12" t="s">
        <v>31</v>
      </c>
      <c r="X539" s="13">
        <v>3.1763159790039062</v>
      </c>
      <c r="Y539" s="13">
        <v>0.14977534305490051</v>
      </c>
      <c r="Z539" s="34">
        <v>4.7153792017212988E-2</v>
      </c>
    </row>
    <row r="540" spans="1:26" x14ac:dyDescent="0.2">
      <c r="A540" s="1">
        <v>538</v>
      </c>
      <c r="B540" s="2" t="s">
        <v>140</v>
      </c>
      <c r="C540" s="33" t="str">
        <f>HYPERLINK(AB2 &amp; "/bottle/sn_f9f67fe61dcf46d7e19818797f240d91/rendering/00.obj", "1.42141699791")</f>
        <v>1.42141699791</v>
      </c>
      <c r="D540" s="37" t="str">
        <f>HYPERLINK(AB2 &amp; "/bottle/sn_f9f67fe61dcf46d7e19818797f240d91/rendering/01.obj", "1.31366443634")</f>
        <v>1.31366443634</v>
      </c>
      <c r="E540" s="6" t="str">
        <f>HYPERLINK(AB2 &amp; "/bottle/sn_f9f67fe61dcf46d7e19818797f240d91/rendering/02.obj", "1.66511237621")</f>
        <v>1.66511237621</v>
      </c>
      <c r="F540" s="117" t="str">
        <f>HYPERLINK(AB2 &amp; "/bottle/sn_f9f67fe61dcf46d7e19818797f240d91/rendering/03.obj", "1.87480139732")</f>
        <v>1.87480139732</v>
      </c>
      <c r="G540" s="26" t="str">
        <f>HYPERLINK(AB2 &amp; "/bottle/sn_f9f67fe61dcf46d7e19818797f240d91/rendering/04.obj", "1.48950195312")</f>
        <v>1.48950195312</v>
      </c>
      <c r="H540" s="39" t="str">
        <f>HYPERLINK(AB2 &amp; "/bottle/sn_f9f67fe61dcf46d7e19818797f240d91/rendering/05.obj", "1.45364952087")</f>
        <v>1.45364952087</v>
      </c>
      <c r="I540" s="6" t="str">
        <f>HYPERLINK(AB2 &amp; "/bottle/sn_f9f67fe61dcf46d7e19818797f240d91/rendering/06.obj", "1.51979696751")</f>
        <v>1.51979696751</v>
      </c>
      <c r="J540" s="47" t="str">
        <f>HYPERLINK(AB2 &amp; "/bottle/sn_f9f67fe61dcf46d7e19818797f240d91/rendering/07.obj", "1.60618138313")</f>
        <v>1.60618138313</v>
      </c>
      <c r="K540" s="65" t="str">
        <f>HYPERLINK(AB2 &amp; "/bottle/sn_f9f67fe61dcf46d7e19818797f240d91/rendering/08.obj", "1.38167524338")</f>
        <v>1.38167524338</v>
      </c>
      <c r="L540" s="41" t="str">
        <f>HYPERLINK(AB2 &amp; "/bottle/sn_f9f67fe61dcf46d7e19818797f240d91/rendering/09.obj", "1.69986248016")</f>
        <v>1.69986248016</v>
      </c>
      <c r="M540" s="133" t="str">
        <f>HYPERLINK(AB2 &amp; "/bottle/sn_f9f67fe61dcf46d7e19818797f240d91/rendering/10.obj", "1.4321757555")</f>
        <v>1.4321757555</v>
      </c>
      <c r="N540" s="69" t="str">
        <f>HYPERLINK(AB2 &amp; "/bottle/sn_f9f67fe61dcf46d7e19818797f240d91/rendering/11.obj", "1.64146494865")</f>
        <v>1.64146494865</v>
      </c>
      <c r="O540" s="17" t="str">
        <f>HYPERLINK(AB2 &amp; "/bottle/sn_f9f67fe61dcf46d7e19818797f240d91/rendering/12.obj", "1.55750691891")</f>
        <v>1.55750691891</v>
      </c>
      <c r="P540" s="63" t="str">
        <f>HYPERLINK(AB2 &amp; "/bottle/sn_f9f67fe61dcf46d7e19818797f240d91/rendering/13.obj", "1.78374743462")</f>
        <v>1.78374743462</v>
      </c>
      <c r="Q540" s="46" t="str">
        <f>HYPERLINK(AB2 &amp; "/bottle/sn_f9f67fe61dcf46d7e19818797f240d91/rendering/14.obj", "1.62034487724")</f>
        <v>1.62034487724</v>
      </c>
      <c r="R540" s="82" t="str">
        <f>HYPERLINK(AB2 &amp; "/bottle/sn_f9f67fe61dcf46d7e19818797f240d91/rendering/15.obj", "1.91916906834")</f>
        <v>1.91916906834</v>
      </c>
      <c r="S540" s="93" t="str">
        <f>HYPERLINK(AB2 &amp; "/bottle/sn_f9f67fe61dcf46d7e19818797f240d91/rendering/16.obj", "1.37225008011")</f>
        <v>1.37225008011</v>
      </c>
      <c r="T540" s="133" t="str">
        <f>HYPERLINK(AB2 &amp; "/bottle/sn_f9f67fe61dcf46d7e19818797f240d91/rendering/17.obj", "1.75277364254")</f>
        <v>1.75277364254</v>
      </c>
      <c r="U540" s="34" t="str">
        <f>HYPERLINK(AB2 &amp; "/bottle/sn_f9f67fe61dcf46d7e19818797f240d91/rendering/18.obj", "1.66776883602")</f>
        <v>1.66776883602</v>
      </c>
      <c r="V540" s="60" t="str">
        <f>HYPERLINK(AB2 &amp; "/bottle/sn_f9f67fe61dcf46d7e19818797f240d91/rendering/19.obj", "1.67503619194")</f>
        <v>1.67503619194</v>
      </c>
      <c r="W540" s="12" t="s">
        <v>32</v>
      </c>
      <c r="X540" s="13">
        <v>1.592395025491715</v>
      </c>
      <c r="Y540" s="13">
        <v>0.1648309221181942</v>
      </c>
      <c r="Z540" s="133">
        <v>0.1035113269506077</v>
      </c>
    </row>
    <row r="541" spans="1:26" x14ac:dyDescent="0.2">
      <c r="A541" s="1">
        <v>539</v>
      </c>
      <c r="B541" s="2" t="s">
        <v>140</v>
      </c>
      <c r="C541" s="13" t="str">
        <f>HYPERLINK(AC2 &amp; "/bottle/sn_f9f67fe61dcf46d7e19818797f240d91/rendering/00.xyz", "0.0")</f>
        <v>0.0</v>
      </c>
      <c r="D541" s="13" t="str">
        <f>HYPERLINK(AC2 &amp; "/bottle/sn_f9f67fe61dcf46d7e19818797f240d91/rendering/01.xyz", "0.0")</f>
        <v>0.0</v>
      </c>
      <c r="E541" s="13" t="str">
        <f>HYPERLINK(AC2 &amp; "/bottle/sn_f9f67fe61dcf46d7e19818797f240d91/rendering/02.xyz", "0.0")</f>
        <v>0.0</v>
      </c>
      <c r="F541" s="13" t="str">
        <f>HYPERLINK(AC2 &amp; "/bottle/sn_f9f67fe61dcf46d7e19818797f240d91/rendering/03.xyz", "0.0")</f>
        <v>0.0</v>
      </c>
      <c r="G541" s="13" t="str">
        <f>HYPERLINK(AC2 &amp; "/bottle/sn_f9f67fe61dcf46d7e19818797f240d91/rendering/04.xyz", "0.0")</f>
        <v>0.0</v>
      </c>
      <c r="H541" s="13" t="str">
        <f>HYPERLINK(AC2 &amp; "/bottle/sn_f9f67fe61dcf46d7e19818797f240d91/rendering/05.xyz", "0.0")</f>
        <v>0.0</v>
      </c>
      <c r="I541" s="13" t="str">
        <f>HYPERLINK(AC2 &amp; "/bottle/sn_f9f67fe61dcf46d7e19818797f240d91/rendering/06.xyz", "0.0")</f>
        <v>0.0</v>
      </c>
      <c r="J541" s="13" t="str">
        <f>HYPERLINK(AC2 &amp; "/bottle/sn_f9f67fe61dcf46d7e19818797f240d91/rendering/07.xyz", "0.0")</f>
        <v>0.0</v>
      </c>
      <c r="K541" s="13" t="str">
        <f>HYPERLINK(AC2 &amp; "/bottle/sn_f9f67fe61dcf46d7e19818797f240d91/rendering/08.xyz", "0.0")</f>
        <v>0.0</v>
      </c>
      <c r="L541" s="13" t="str">
        <f>HYPERLINK(AC2 &amp; "/bottle/sn_f9f67fe61dcf46d7e19818797f240d91/rendering/09.xyz", "0.0")</f>
        <v>0.0</v>
      </c>
      <c r="M541" s="13" t="str">
        <f>HYPERLINK(AC2 &amp; "/bottle/sn_f9f67fe61dcf46d7e19818797f240d91/rendering/10.xyz", "0.0")</f>
        <v>0.0</v>
      </c>
      <c r="N541" s="13" t="str">
        <f>HYPERLINK(AC2 &amp; "/bottle/sn_f9f67fe61dcf46d7e19818797f240d91/rendering/11.xyz", "0.0")</f>
        <v>0.0</v>
      </c>
      <c r="O541" s="13" t="str">
        <f>HYPERLINK(AC2 &amp; "/bottle/sn_f9f67fe61dcf46d7e19818797f240d91/rendering/12.xyz", "0.0")</f>
        <v>0.0</v>
      </c>
      <c r="P541" s="13" t="str">
        <f>HYPERLINK(AC2 &amp; "/bottle/sn_f9f67fe61dcf46d7e19818797f240d91/rendering/13.xyz", "0.0")</f>
        <v>0.0</v>
      </c>
      <c r="Q541" s="13" t="str">
        <f>HYPERLINK(AC2 &amp; "/bottle/sn_f9f67fe61dcf46d7e19818797f240d91/rendering/14.xyz", "0.0")</f>
        <v>0.0</v>
      </c>
      <c r="R541" s="13" t="str">
        <f>HYPERLINK(AC2 &amp; "/bottle/sn_f9f67fe61dcf46d7e19818797f240d91/rendering/15.xyz", "0.0")</f>
        <v>0.0</v>
      </c>
      <c r="S541" s="13" t="str">
        <f>HYPERLINK(AC2 &amp; "/bottle/sn_f9f67fe61dcf46d7e19818797f240d91/rendering/16.xyz", "0.0")</f>
        <v>0.0</v>
      </c>
      <c r="T541" s="13" t="str">
        <f>HYPERLINK(AC2 &amp; "/bottle/sn_f9f67fe61dcf46d7e19818797f240d91/rendering/17.xyz", "0.0")</f>
        <v>0.0</v>
      </c>
      <c r="U541" s="13" t="str">
        <f>HYPERLINK(AC2 &amp; "/bottle/sn_f9f67fe61dcf46d7e19818797f240d91/rendering/18.xyz", "0.0")</f>
        <v>0.0</v>
      </c>
      <c r="V541" s="13" t="str">
        <f>HYPERLINK(AC2 &amp; "/bottle/sn_f9f67fe61dcf46d7e19818797f240d91/rendering/19.xyz", "0.0")</f>
        <v>0.0</v>
      </c>
      <c r="W541" s="12" t="s">
        <v>33</v>
      </c>
      <c r="X541" s="13">
        <v>0</v>
      </c>
      <c r="Y541" s="13">
        <v>0</v>
      </c>
      <c r="Z541" s="13">
        <v>0</v>
      </c>
    </row>
    <row r="542" spans="1:26" x14ac:dyDescent="0.2">
      <c r="A542" s="1">
        <v>540</v>
      </c>
      <c r="B542" s="2" t="s">
        <v>141</v>
      </c>
      <c r="C542" s="213" t="str">
        <f>HYPERLINK(AA2 &amp; "/bottle/sn_fa44223c6f785c60e71da2487cb2ee5b/rendering/00.obj", "1.81175704956")</f>
        <v>1.81175704956</v>
      </c>
      <c r="D542" s="52" t="str">
        <f>HYPERLINK(AA2 &amp; "/bottle/sn_fa44223c6f785c60e71da2487cb2ee5b/rendering/01.obj", "2.14267227173")</f>
        <v>2.14267227173</v>
      </c>
      <c r="E542" s="119" t="str">
        <f>HYPERLINK(AA2 &amp; "/bottle/sn_fa44223c6f785c60e71da2487cb2ee5b/rendering/02.obj", "2.62650695801")</f>
        <v>2.62650695801</v>
      </c>
      <c r="F542" s="153" t="str">
        <f>HYPERLINK(AA2 &amp; "/bottle/sn_fa44223c6f785c60e71da2487cb2ee5b/rendering/03.obj", "2.29764389038")</f>
        <v>2.29764389038</v>
      </c>
      <c r="G542" s="8" t="str">
        <f>HYPERLINK(AA2 &amp; "/bottle/sn_fa44223c6f785c60e71da2487cb2ee5b/rendering/04.obj", "3.06763244629")</f>
        <v>3.06763244629</v>
      </c>
      <c r="H542" s="229" t="str">
        <f>HYPERLINK(AA2 &amp; "/bottle/sn_fa44223c6f785c60e71da2487cb2ee5b/rendering/05.obj", "6.0202557373")</f>
        <v>6.0202557373</v>
      </c>
      <c r="I542" s="20" t="str">
        <f>HYPERLINK(AA2 &amp; "/bottle/sn_fa44223c6f785c60e71da2487cb2ee5b/rendering/06.obj", "7.19160339355")</f>
        <v>7.19160339355</v>
      </c>
      <c r="J542" s="179" t="str">
        <f>HYPERLINK(AA2 &amp; "/bottle/sn_fa44223c6f785c60e71da2487cb2ee5b/rendering/07.obj", "2.04058807373")</f>
        <v>2.04058807373</v>
      </c>
      <c r="K542" s="138" t="str">
        <f>HYPERLINK(AA2 &amp; "/bottle/sn_fa44223c6f785c60e71da2487cb2ee5b/rendering/08.obj", "2.37412567139")</f>
        <v>2.37412567139</v>
      </c>
      <c r="L542" s="61" t="str">
        <f>HYPERLINK(AA2 &amp; "/bottle/sn_fa44223c6f785c60e71da2487cb2ee5b/rendering/09.obj", "2.49755218506")</f>
        <v>2.49755218506</v>
      </c>
      <c r="M542" s="20" t="str">
        <f>HYPERLINK(AA2 &amp; "/bottle/sn_fa44223c6f785c60e71da2487cb2ee5b/rendering/10.obj", "8.53357788086")</f>
        <v>8.53357788086</v>
      </c>
      <c r="N542" s="160" t="str">
        <f>HYPERLINK(AA2 &amp; "/bottle/sn_fa44223c6f785c60e71da2487cb2ee5b/rendering/11.obj", "5.46053710938")</f>
        <v>5.46053710938</v>
      </c>
      <c r="O542" s="36" t="str">
        <f>HYPERLINK(AA2 &amp; "/bottle/sn_fa44223c6f785c60e71da2487cb2ee5b/rendering/12.obj", "2.80187255859")</f>
        <v>2.80187255859</v>
      </c>
      <c r="P542" s="129" t="str">
        <f>HYPERLINK(AA2 &amp; "/bottle/sn_fa44223c6f785c60e71da2487cb2ee5b/rendering/13.obj", "2.68710418701")</f>
        <v>2.68710418701</v>
      </c>
      <c r="Q542" s="44" t="str">
        <f>HYPERLINK(AA2 &amp; "/bottle/sn_fa44223c6f785c60e71da2487cb2ee5b/rendering/14.obj", "2.87419372559")</f>
        <v>2.87419372559</v>
      </c>
      <c r="R542" s="56" t="str">
        <f>HYPERLINK(AA2 &amp; "/bottle/sn_fa44223c6f785c60e71da2487cb2ee5b/rendering/15.obj", "2.47147521973")</f>
        <v>2.47147521973</v>
      </c>
      <c r="S542" s="243" t="str">
        <f>HYPERLINK(AA2 &amp; "/bottle/sn_fa44223c6f785c60e71da2487cb2ee5b/rendering/16.obj", "6.36832397461")</f>
        <v>6.36832397461</v>
      </c>
      <c r="T542" s="191" t="str">
        <f>HYPERLINK(AA2 &amp; "/bottle/sn_fa44223c6f785c60e71da2487cb2ee5b/rendering/17.obj", "1.95207000732")</f>
        <v>1.95207000732</v>
      </c>
      <c r="U542" s="10" t="str">
        <f>HYPERLINK(AA2 &amp; "/bottle/sn_fa44223c6f785c60e71da2487cb2ee5b/rendering/18.obj", "3.77624084473")</f>
        <v>3.77624084473</v>
      </c>
      <c r="V542" s="85" t="str">
        <f>HYPERLINK(AA2 &amp; "/bottle/sn_fa44223c6f785c60e71da2487cb2ee5b/rendering/19.obj", "2.51436889648")</f>
        <v>2.51436889648</v>
      </c>
      <c r="W542" s="12" t="s">
        <v>29</v>
      </c>
      <c r="X542" s="13">
        <v>3.5755051040649408</v>
      </c>
      <c r="Y542" s="13">
        <v>1.933979245697673</v>
      </c>
      <c r="Z542" s="235">
        <v>0.54089679343457209</v>
      </c>
    </row>
    <row r="543" spans="1:26" x14ac:dyDescent="0.2">
      <c r="A543" s="1">
        <v>541</v>
      </c>
      <c r="B543" s="2" t="s">
        <v>141</v>
      </c>
      <c r="C543" s="221" t="str">
        <f>HYPERLINK(AA2 &amp; "/bottle/sn_fa44223c6f785c60e71da2487cb2ee5b/rendering/00.obj", "1.48494136333")</f>
        <v>1.48494136333</v>
      </c>
      <c r="D543" s="145" t="str">
        <f>HYPERLINK(AA2 &amp; "/bottle/sn_fa44223c6f785c60e71da2487cb2ee5b/rendering/01.obj", "1.71212232113")</f>
        <v>1.71212232113</v>
      </c>
      <c r="E543" s="145" t="str">
        <f>HYPERLINK(AA2 &amp; "/bottle/sn_fa44223c6f785c60e71da2487cb2ee5b/rendering/02.obj", "1.71541976929")</f>
        <v>1.71541976929</v>
      </c>
      <c r="F543" s="147" t="str">
        <f>HYPERLINK(AA2 &amp; "/bottle/sn_fa44223c6f785c60e71da2487cb2ee5b/rendering/03.obj", "1.71734237671")</f>
        <v>1.71734237671</v>
      </c>
      <c r="G543" s="170" t="str">
        <f>HYPERLINK(AA2 &amp; "/bottle/sn_fa44223c6f785c60e71da2487cb2ee5b/rendering/04.obj", "2.50932860374")</f>
        <v>2.50932860374</v>
      </c>
      <c r="H543" s="20" t="str">
        <f>HYPERLINK(AA2 &amp; "/bottle/sn_fa44223c6f785c60e71da2487cb2ee5b/rendering/05.obj", "6.3608584404")</f>
        <v>6.3608584404</v>
      </c>
      <c r="I543" s="20" t="str">
        <f>HYPERLINK(AA2 &amp; "/bottle/sn_fa44223c6f785c60e71da2487cb2ee5b/rendering/06.obj", "9.00854969025")</f>
        <v>9.00854969025</v>
      </c>
      <c r="J543" s="227" t="str">
        <f>HYPERLINK(AA2 &amp; "/bottle/sn_fa44223c6f785c60e71da2487cb2ee5b/rendering/07.obj", "1.64844667912")</f>
        <v>1.64844667912</v>
      </c>
      <c r="K543" s="235" t="str">
        <f>HYPERLINK(AA2 &amp; "/bottle/sn_fa44223c6f785c60e71da2487cb2ee5b/rendering/08.obj", "1.54451370239")</f>
        <v>1.54451370239</v>
      </c>
      <c r="L543" s="142" t="str">
        <f>HYPERLINK(AA2 &amp; "/bottle/sn_fa44223c6f785c60e71da2487cb2ee5b/rendering/09.obj", "2.03700470924")</f>
        <v>2.03700470924</v>
      </c>
      <c r="M543" s="20" t="str">
        <f>HYPERLINK(AA2 &amp; "/bottle/sn_fa44223c6f785c60e71da2487cb2ee5b/rendering/10.obj", "11.6975736618")</f>
        <v>11.6975736618</v>
      </c>
      <c r="N543" s="124" t="str">
        <f>HYPERLINK(AA2 &amp; "/bottle/sn_fa44223c6f785c60e71da2487cb2ee5b/rendering/11.obj", "4.64051151276")</f>
        <v>4.64051151276</v>
      </c>
      <c r="O543" s="4" t="str">
        <f>HYPERLINK(AA2 &amp; "/bottle/sn_fa44223c6f785c60e71da2487cb2ee5b/rendering/12.obj", "2.41262817383")</f>
        <v>2.41262817383</v>
      </c>
      <c r="P543" s="147" t="str">
        <f>HYPERLINK(AA2 &amp; "/bottle/sn_fa44223c6f785c60e71da2487cb2ee5b/rendering/13.obj", "1.72265398502")</f>
        <v>1.72265398502</v>
      </c>
      <c r="Q543" s="43" t="str">
        <f>HYPERLINK(AA2 &amp; "/bottle/sn_fa44223c6f785c60e71da2487cb2ee5b/rendering/14.obj", "2.09714484215")</f>
        <v>2.09714484215</v>
      </c>
      <c r="R543" s="116" t="str">
        <f>HYPERLINK(AA2 &amp; "/bottle/sn_fa44223c6f785c60e71da2487cb2ee5b/rendering/15.obj", "1.88801240921")</f>
        <v>1.88801240921</v>
      </c>
      <c r="S543" s="146" t="str">
        <f>HYPERLINK(AA2 &amp; "/bottle/sn_fa44223c6f785c60e71da2487cb2ee5b/rendering/16.obj", "5.97881031036")</f>
        <v>5.97881031036</v>
      </c>
      <c r="T543" s="127" t="str">
        <f>HYPERLINK(AA2 &amp; "/bottle/sn_fa44223c6f785c60e71da2487cb2ee5b/rendering/17.obj", "1.61609053612")</f>
        <v>1.61609053612</v>
      </c>
      <c r="U543" s="74" t="str">
        <f>HYPERLINK(AA2 &amp; "/bottle/sn_fa44223c6f785c60e71da2487cb2ee5b/rendering/18.obj", "3.31303310394")</f>
        <v>3.31303310394</v>
      </c>
      <c r="V543" s="151" t="str">
        <f>HYPERLINK(AA2 &amp; "/bottle/sn_fa44223c6f785c60e71da2487cb2ee5b/rendering/19.obj", "2.15065526962")</f>
        <v>2.15065526962</v>
      </c>
      <c r="W543" s="12" t="s">
        <v>30</v>
      </c>
      <c r="X543" s="13">
        <v>3.3627820730209348</v>
      </c>
      <c r="Y543" s="13">
        <v>2.748669735036485</v>
      </c>
      <c r="Z543" s="20">
        <v>0.81737968008353112</v>
      </c>
    </row>
    <row r="544" spans="1:26" x14ac:dyDescent="0.2">
      <c r="A544" s="1">
        <v>542</v>
      </c>
      <c r="B544" s="2" t="s">
        <v>141</v>
      </c>
      <c r="C544" s="33" t="str">
        <f>HYPERLINK(AB2 &amp; "/bottle/sn_fa44223c6f785c60e71da2487cb2ee5b/rendering/00.obj", "1.86619567871")</f>
        <v>1.86619567871</v>
      </c>
      <c r="D544" s="27" t="str">
        <f>HYPERLINK(AB2 &amp; "/bottle/sn_fa44223c6f785c60e71da2487cb2ee5b/rendering/01.obj", "1.94472595215")</f>
        <v>1.94472595215</v>
      </c>
      <c r="E544" s="67" t="str">
        <f>HYPERLINK(AB2 &amp; "/bottle/sn_fa44223c6f785c60e71da2487cb2ee5b/rendering/02.obj", "1.89462005615")</f>
        <v>1.89462005615</v>
      </c>
      <c r="F544" s="80" t="str">
        <f>HYPERLINK(AB2 &amp; "/bottle/sn_fa44223c6f785c60e71da2487cb2ee5b/rendering/03.obj", "1.77590179443")</f>
        <v>1.77590179443</v>
      </c>
      <c r="G544" s="27" t="str">
        <f>HYPERLINK(AB2 &amp; "/bottle/sn_fa44223c6f785c60e71da2487cb2ee5b/rendering/04.obj", "1.94520828247")</f>
        <v>1.94520828247</v>
      </c>
      <c r="H544" s="91" t="str">
        <f>HYPERLINK(AB2 &amp; "/bottle/sn_fa44223c6f785c60e71da2487cb2ee5b/rendering/05.obj", "2.0350289917")</f>
        <v>2.0350289917</v>
      </c>
      <c r="I544" s="91" t="str">
        <f>HYPERLINK(AB2 &amp; "/bottle/sn_fa44223c6f785c60e71da2487cb2ee5b/rendering/06.obj", "2.03451431274")</f>
        <v>2.03451431274</v>
      </c>
      <c r="J544" s="47" t="str">
        <f>HYPERLINK(AB2 &amp; "/bottle/sn_fa44223c6f785c60e71da2487cb2ee5b/rendering/07.obj", "2.10321548462")</f>
        <v>2.10321548462</v>
      </c>
      <c r="K544" s="47" t="str">
        <f>HYPERLINK(AB2 &amp; "/bottle/sn_fa44223c6f785c60e71da2487cb2ee5b/rendering/08.obj", "2.07427154541")</f>
        <v>2.07427154541</v>
      </c>
      <c r="L544" s="101" t="str">
        <f>HYPERLINK(AB2 &amp; "/bottle/sn_fa44223c6f785c60e71da2487cb2ee5b/rendering/09.obj", "2.88162536621")</f>
        <v>2.88162536621</v>
      </c>
      <c r="M544" s="35" t="str">
        <f>HYPERLINK(AB2 &amp; "/bottle/sn_fa44223c6f785c60e71da2487cb2ee5b/rendering/10.obj", "1.96719116211")</f>
        <v>1.96719116211</v>
      </c>
      <c r="N544" s="23" t="str">
        <f>HYPERLINK(AB2 &amp; "/bottle/sn_fa44223c6f785c60e71da2487cb2ee5b/rendering/11.obj", "2.16953369141")</f>
        <v>2.16953369141</v>
      </c>
      <c r="O544" s="69" t="str">
        <f>HYPERLINK(AB2 &amp; "/bottle/sn_fa44223c6f785c60e71da2487cb2ee5b/rendering/12.obj", "2.15106185913")</f>
        <v>2.15106185913</v>
      </c>
      <c r="P544" s="26" t="str">
        <f>HYPERLINK(AB2 &amp; "/bottle/sn_fa44223c6f785c60e71da2487cb2ee5b/rendering/13.obj", "1.95785064697")</f>
        <v>1.95785064697</v>
      </c>
      <c r="Q544" s="106" t="str">
        <f>HYPERLINK(AB2 &amp; "/bottle/sn_fa44223c6f785c60e71da2487cb2ee5b/rendering/14.obj", "1.84934387207")</f>
        <v>1.84934387207</v>
      </c>
      <c r="R544" s="50" t="str">
        <f>HYPERLINK(AB2 &amp; "/bottle/sn_fa44223c6f785c60e71da2487cb2ee5b/rendering/15.obj", "2.50328491211")</f>
        <v>2.50328491211</v>
      </c>
      <c r="S544" s="61" t="str">
        <f>HYPERLINK(AB2 &amp; "/bottle/sn_fa44223c6f785c60e71da2487cb2ee5b/rendering/16.obj", "2.72049621582")</f>
        <v>2.72049621582</v>
      </c>
      <c r="T544" s="91" t="str">
        <f>HYPERLINK(AB2 &amp; "/bottle/sn_fa44223c6f785c60e71da2487cb2ee5b/rendering/17.obj", "2.03105041504")</f>
        <v>2.03105041504</v>
      </c>
      <c r="U544" s="107" t="str">
        <f>HYPERLINK(AB2 &amp; "/bottle/sn_fa44223c6f785c60e71da2487cb2ee5b/rendering/18.obj", "1.91793304443")</f>
        <v>1.91793304443</v>
      </c>
      <c r="V544" s="10" t="str">
        <f>HYPERLINK(AB2 &amp; "/bottle/sn_fa44223c6f785c60e71da2487cb2ee5b/rendering/19.obj", "1.97563568115")</f>
        <v>1.97563568115</v>
      </c>
      <c r="W544" s="12" t="s">
        <v>31</v>
      </c>
      <c r="X544" s="13">
        <v>2.0899344482421869</v>
      </c>
      <c r="Y544" s="13">
        <v>0.28081914897666188</v>
      </c>
      <c r="Z544" s="65">
        <v>0.13436744354008551</v>
      </c>
    </row>
    <row r="545" spans="1:26" x14ac:dyDescent="0.2">
      <c r="A545" s="1">
        <v>543</v>
      </c>
      <c r="B545" s="2" t="s">
        <v>141</v>
      </c>
      <c r="C545" s="94" t="str">
        <f>HYPERLINK(AB2 &amp; "/bottle/sn_fa44223c6f785c60e71da2487cb2ee5b/rendering/00.obj", "1.39411270618")</f>
        <v>1.39411270618</v>
      </c>
      <c r="D545" s="32" t="str">
        <f>HYPERLINK(AB2 &amp; "/bottle/sn_fa44223c6f785c60e71da2487cb2ee5b/rendering/01.obj", "1.34392917156")</f>
        <v>1.34392917156</v>
      </c>
      <c r="E545" s="91" t="str">
        <f>HYPERLINK(AB2 &amp; "/bottle/sn_fa44223c6f785c60e71da2487cb2ee5b/rendering/02.obj", "1.46111488342")</f>
        <v>1.46111488342</v>
      </c>
      <c r="F545" s="60" t="str">
        <f>HYPERLINK(AB2 &amp; "/bottle/sn_fa44223c6f785c60e71da2487cb2ee5b/rendering/03.obj", "1.42697405815")</f>
        <v>1.42697405815</v>
      </c>
      <c r="G545" s="34" t="str">
        <f>HYPERLINK(AB2 &amp; "/bottle/sn_fa44223c6f785c60e71da2487cb2ee5b/rendering/04.obj", "1.42980754375")</f>
        <v>1.42980754375</v>
      </c>
      <c r="H545" s="84" t="str">
        <f>HYPERLINK(AB2 &amp; "/bottle/sn_fa44223c6f785c60e71da2487cb2ee5b/rendering/05.obj", "1.28208744526")</f>
        <v>1.28208744526</v>
      </c>
      <c r="I545" s="29" t="str">
        <f>HYPERLINK(AB2 &amp; "/bottle/sn_fa44223c6f785c60e71da2487cb2ee5b/rendering/06.obj", "1.30528020859")</f>
        <v>1.30528020859</v>
      </c>
      <c r="J545" s="30" t="str">
        <f>HYPERLINK(AB2 &amp; "/bottle/sn_fa44223c6f785c60e71da2487cb2ee5b/rendering/07.obj", "1.49591469765")</f>
        <v>1.49591469765</v>
      </c>
      <c r="K545" s="72" t="str">
        <f>HYPERLINK(AB2 &amp; "/bottle/sn_fa44223c6f785c60e71da2487cb2ee5b/rendering/08.obj", "1.45307219028")</f>
        <v>1.45307219028</v>
      </c>
      <c r="L545" s="181" t="str">
        <f>HYPERLINK(AB2 &amp; "/bottle/sn_fa44223c6f785c60e71da2487cb2ee5b/rendering/09.obj", "2.16845917702")</f>
        <v>2.16845917702</v>
      </c>
      <c r="M545" s="106" t="str">
        <f>HYPERLINK(AB2 &amp; "/bottle/sn_fa44223c6f785c60e71da2487cb2ee5b/rendering/10.obj", "1.3294788599")</f>
        <v>1.3294788599</v>
      </c>
      <c r="N545" s="133" t="str">
        <f>HYPERLINK(AB2 &amp; "/bottle/sn_fa44223c6f785c60e71da2487cb2ee5b/rendering/11.obj", "1.6566644907")</f>
        <v>1.6566644907</v>
      </c>
      <c r="O545" s="5" t="str">
        <f>HYPERLINK(AB2 &amp; "/bottle/sn_fa44223c6f785c60e71da2487cb2ee5b/rendering/12.obj", "1.61932420731")</f>
        <v>1.61932420731</v>
      </c>
      <c r="P545" s="65" t="str">
        <f>HYPERLINK(AB2 &amp; "/bottle/sn_fa44223c6f785c60e71da2487cb2ee5b/rendering/13.obj", "1.70339441299")</f>
        <v>1.70339441299</v>
      </c>
      <c r="Q545" s="30" t="str">
        <f>HYPERLINK(AB2 &amp; "/bottle/sn_fa44223c6f785c60e71da2487cb2ee5b/rendering/14.obj", "1.49416446686")</f>
        <v>1.49416446686</v>
      </c>
      <c r="R545" s="64" t="str">
        <f>HYPERLINK(AB2 &amp; "/bottle/sn_fa44223c6f785c60e71da2487cb2ee5b/rendering/15.obj", "1.74854028225")</f>
        <v>1.74854028225</v>
      </c>
      <c r="S545" s="134" t="str">
        <f>HYPERLINK(AB2 &amp; "/bottle/sn_fa44223c6f785c60e71da2487cb2ee5b/rendering/16.obj", "1.77285957336")</f>
        <v>1.77285957336</v>
      </c>
      <c r="T545" s="84" t="str">
        <f>HYPERLINK(AB2 &amp; "/bottle/sn_fa44223c6f785c60e71da2487cb2ee5b/rendering/17.obj", "1.28372240067")</f>
        <v>1.28372240067</v>
      </c>
      <c r="U545" s="23" t="str">
        <f>HYPERLINK(AB2 &amp; "/bottle/sn_fa44223c6f785c60e71da2487cb2ee5b/rendering/18.obj", "1.44225513935")</f>
        <v>1.44225513935</v>
      </c>
      <c r="V545" s="37" t="str">
        <f>HYPERLINK(AB2 &amp; "/bottle/sn_fa44223c6f785c60e71da2487cb2ee5b/rendering/19.obj", "1.24136459827")</f>
        <v>1.24136459827</v>
      </c>
      <c r="W545" s="12" t="s">
        <v>32</v>
      </c>
      <c r="X545" s="13">
        <v>1.502626025676727</v>
      </c>
      <c r="Y545" s="13">
        <v>0.21727316565791341</v>
      </c>
      <c r="Z545" s="84">
        <v>0.14459563587025029</v>
      </c>
    </row>
    <row r="546" spans="1:26" x14ac:dyDescent="0.2">
      <c r="A546" s="1">
        <v>544</v>
      </c>
      <c r="B546" s="2" t="s">
        <v>141</v>
      </c>
      <c r="C546" s="13" t="str">
        <f>HYPERLINK(AC2 &amp; "/bottle/sn_fa44223c6f785c60e71da2487cb2ee5b/rendering/00.xyz", "0.0")</f>
        <v>0.0</v>
      </c>
      <c r="D546" s="13" t="str">
        <f>HYPERLINK(AC2 &amp; "/bottle/sn_fa44223c6f785c60e71da2487cb2ee5b/rendering/01.xyz", "0.0")</f>
        <v>0.0</v>
      </c>
      <c r="E546" s="13" t="str">
        <f>HYPERLINK(AC2 &amp; "/bottle/sn_fa44223c6f785c60e71da2487cb2ee5b/rendering/02.xyz", "0.0")</f>
        <v>0.0</v>
      </c>
      <c r="F546" s="13" t="str">
        <f>HYPERLINK(AC2 &amp; "/bottle/sn_fa44223c6f785c60e71da2487cb2ee5b/rendering/03.xyz", "0.0")</f>
        <v>0.0</v>
      </c>
      <c r="G546" s="13" t="str">
        <f>HYPERLINK(AC2 &amp; "/bottle/sn_fa44223c6f785c60e71da2487cb2ee5b/rendering/04.xyz", "0.0")</f>
        <v>0.0</v>
      </c>
      <c r="H546" s="13" t="str">
        <f>HYPERLINK(AC2 &amp; "/bottle/sn_fa44223c6f785c60e71da2487cb2ee5b/rendering/05.xyz", "0.0")</f>
        <v>0.0</v>
      </c>
      <c r="I546" s="13" t="str">
        <f>HYPERLINK(AC2 &amp; "/bottle/sn_fa44223c6f785c60e71da2487cb2ee5b/rendering/06.xyz", "0.0")</f>
        <v>0.0</v>
      </c>
      <c r="J546" s="13" t="str">
        <f>HYPERLINK(AC2 &amp; "/bottle/sn_fa44223c6f785c60e71da2487cb2ee5b/rendering/07.xyz", "0.0")</f>
        <v>0.0</v>
      </c>
      <c r="K546" s="13" t="str">
        <f>HYPERLINK(AC2 &amp; "/bottle/sn_fa44223c6f785c60e71da2487cb2ee5b/rendering/08.xyz", "0.0")</f>
        <v>0.0</v>
      </c>
      <c r="L546" s="13" t="str">
        <f>HYPERLINK(AC2 &amp; "/bottle/sn_fa44223c6f785c60e71da2487cb2ee5b/rendering/09.xyz", "0.0")</f>
        <v>0.0</v>
      </c>
      <c r="M546" s="13" t="str">
        <f>HYPERLINK(AC2 &amp; "/bottle/sn_fa44223c6f785c60e71da2487cb2ee5b/rendering/10.xyz", "0.0")</f>
        <v>0.0</v>
      </c>
      <c r="N546" s="13" t="str">
        <f>HYPERLINK(AC2 &amp; "/bottle/sn_fa44223c6f785c60e71da2487cb2ee5b/rendering/11.xyz", "0.0")</f>
        <v>0.0</v>
      </c>
      <c r="O546" s="13" t="str">
        <f>HYPERLINK(AC2 &amp; "/bottle/sn_fa44223c6f785c60e71da2487cb2ee5b/rendering/12.xyz", "0.0")</f>
        <v>0.0</v>
      </c>
      <c r="P546" s="13" t="str">
        <f>HYPERLINK(AC2 &amp; "/bottle/sn_fa44223c6f785c60e71da2487cb2ee5b/rendering/13.xyz", "0.0")</f>
        <v>0.0</v>
      </c>
      <c r="Q546" s="13" t="str">
        <f>HYPERLINK(AC2 &amp; "/bottle/sn_fa44223c6f785c60e71da2487cb2ee5b/rendering/14.xyz", "0.0")</f>
        <v>0.0</v>
      </c>
      <c r="R546" s="13" t="str">
        <f>HYPERLINK(AC2 &amp; "/bottle/sn_fa44223c6f785c60e71da2487cb2ee5b/rendering/15.xyz", "0.0")</f>
        <v>0.0</v>
      </c>
      <c r="S546" s="13" t="str">
        <f>HYPERLINK(AC2 &amp; "/bottle/sn_fa44223c6f785c60e71da2487cb2ee5b/rendering/16.xyz", "0.0")</f>
        <v>0.0</v>
      </c>
      <c r="T546" s="13" t="str">
        <f>HYPERLINK(AC2 &amp; "/bottle/sn_fa44223c6f785c60e71da2487cb2ee5b/rendering/17.xyz", "0.0")</f>
        <v>0.0</v>
      </c>
      <c r="U546" s="13" t="str">
        <f>HYPERLINK(AC2 &amp; "/bottle/sn_fa44223c6f785c60e71da2487cb2ee5b/rendering/18.xyz", "0.0")</f>
        <v>0.0</v>
      </c>
      <c r="V546" s="13" t="str">
        <f>HYPERLINK(AC2 &amp; "/bottle/sn_fa44223c6f785c60e71da2487cb2ee5b/rendering/19.xyz", "0.0")</f>
        <v>0.0</v>
      </c>
      <c r="W546" s="12" t="s">
        <v>33</v>
      </c>
      <c r="X546" s="13">
        <v>0</v>
      </c>
      <c r="Y546" s="13">
        <v>0</v>
      </c>
      <c r="Z546" s="13">
        <v>0</v>
      </c>
    </row>
    <row r="547" spans="1:26" x14ac:dyDescent="0.2">
      <c r="A547" s="1">
        <v>545</v>
      </c>
      <c r="B547" s="2" t="s">
        <v>142</v>
      </c>
      <c r="C547" s="25" t="str">
        <f>HYPERLINK(AA2 &amp; "/bottle/sn_fca70766d88fc7b9e5054d95cb6a63e2/rendering/00.obj", "1.70670959473")</f>
        <v>1.70670959473</v>
      </c>
      <c r="D547" s="69" t="str">
        <f>HYPERLINK(AA2 &amp; "/bottle/sn_fca70766d88fc7b9e5054d95cb6a63e2/rendering/01.obj", "1.67613891602")</f>
        <v>1.67613891602</v>
      </c>
      <c r="E547" s="23" t="str">
        <f>HYPERLINK(AA2 &amp; "/bottle/sn_fca70766d88fc7b9e5054d95cb6a63e2/rendering/02.obj", "1.65588806152")</f>
        <v>1.65588806152</v>
      </c>
      <c r="F547" s="60" t="str">
        <f>HYPERLINK(AA2 &amp; "/bottle/sn_fca70766d88fc7b9e5054d95cb6a63e2/rendering/03.obj", "1.81595611572")</f>
        <v>1.81595611572</v>
      </c>
      <c r="G547" s="30" t="str">
        <f>HYPERLINK(AA2 &amp; "/bottle/sn_fca70766d88fc7b9e5054d95cb6a63e2/rendering/04.obj", "1.7362802124")</f>
        <v>1.7362802124</v>
      </c>
      <c r="H547" s="26" t="str">
        <f>HYPERLINK(AA2 &amp; "/bottle/sn_fca70766d88fc7b9e5054d95cb6a63e2/rendering/05.obj", "1.61267700195")</f>
        <v>1.61267700195</v>
      </c>
      <c r="I547" s="26" t="str">
        <f>HYPERLINK(AA2 &amp; "/bottle/sn_fca70766d88fc7b9e5054d95cb6a63e2/rendering/06.obj", "1.83791702271")</f>
        <v>1.83791702271</v>
      </c>
      <c r="J547" s="17" t="str">
        <f>HYPERLINK(AA2 &amp; "/bottle/sn_fca70766d88fc7b9e5054d95cb6a63e2/rendering/07.obj", "1.69177307129")</f>
        <v>1.69177307129</v>
      </c>
      <c r="K547" s="25" t="str">
        <f>HYPERLINK(AA2 &amp; "/bottle/sn_fca70766d88fc7b9e5054d95cb6a63e2/rendering/08.obj", "1.74509048462")</f>
        <v>1.74509048462</v>
      </c>
      <c r="L547" s="91" t="str">
        <f>HYPERLINK(AA2 &amp; "/bottle/sn_fca70766d88fc7b9e5054d95cb6a63e2/rendering/09.obj", "1.68076599121")</f>
        <v>1.68076599121</v>
      </c>
      <c r="M547" s="28" t="str">
        <f>HYPERLINK(AA2 &amp; "/bottle/sn_fca70766d88fc7b9e5054d95cb6a63e2/rendering/10.obj", "1.91576873779")</f>
        <v>1.91576873779</v>
      </c>
      <c r="N547" s="69" t="str">
        <f>HYPERLINK(AA2 &amp; "/bottle/sn_fca70766d88fc7b9e5054d95cb6a63e2/rendering/11.obj", "1.77700286865")</f>
        <v>1.77700286865</v>
      </c>
      <c r="O547" s="69" t="str">
        <f>HYPERLINK(AA2 &amp; "/bottle/sn_fca70766d88fc7b9e5054d95cb6a63e2/rendering/12.obj", "1.78021652222")</f>
        <v>1.78021652222</v>
      </c>
      <c r="P547" s="106" t="str">
        <f>HYPERLINK(AA2 &amp; "/bottle/sn_fca70766d88fc7b9e5054d95cb6a63e2/rendering/13.obj", "1.5279649353")</f>
        <v>1.5279649353</v>
      </c>
      <c r="Q547" s="6" t="str">
        <f>HYPERLINK(AA2 &amp; "/bottle/sn_fca70766d88fc7b9e5054d95cb6a63e2/rendering/14.obj", "1.64757415771")</f>
        <v>1.64757415771</v>
      </c>
      <c r="R547" s="39" t="str">
        <f>HYPERLINK(AA2 &amp; "/bottle/sn_fca70766d88fc7b9e5054d95cb6a63e2/rendering/15.obj", "1.577993927")</f>
        <v>1.577993927</v>
      </c>
      <c r="S547" s="33" t="str">
        <f>HYPERLINK(AA2 &amp; "/bottle/sn_fca70766d88fc7b9e5054d95cb6a63e2/rendering/16.obj", "1.91277648926")</f>
        <v>1.91277648926</v>
      </c>
      <c r="T547" s="92" t="str">
        <f>HYPERLINK(AA2 &amp; "/bottle/sn_fca70766d88fc7b9e5054d95cb6a63e2/rendering/17.obj", "1.51291412354")</f>
        <v>1.51291412354</v>
      </c>
      <c r="U547" s="135" t="str">
        <f>HYPERLINK(AA2 &amp; "/bottle/sn_fca70766d88fc7b9e5054d95cb6a63e2/rendering/18.obj", "2.16614440918")</f>
        <v>2.16614440918</v>
      </c>
      <c r="V547" s="32" t="str">
        <f>HYPERLINK(AA2 &amp; "/bottle/sn_fca70766d88fc7b9e5054d95cb6a63e2/rendering/19.obj", "1.54542907715")</f>
        <v>1.54542907715</v>
      </c>
      <c r="W547" s="12" t="s">
        <v>29</v>
      </c>
      <c r="X547" s="13">
        <v>1.7261490859985349</v>
      </c>
      <c r="Y547" s="13">
        <v>0.1517188255898142</v>
      </c>
      <c r="Z547" s="38">
        <v>8.7894392680484212E-2</v>
      </c>
    </row>
    <row r="548" spans="1:26" x14ac:dyDescent="0.2">
      <c r="A548" s="1">
        <v>546</v>
      </c>
      <c r="B548" s="2" t="s">
        <v>142</v>
      </c>
      <c r="C548" s="30" t="str">
        <f>HYPERLINK(AA2 &amp; "/bottle/sn_fca70766d88fc7b9e5054d95cb6a63e2/rendering/00.obj", "2.23124814034")</f>
        <v>2.23124814034</v>
      </c>
      <c r="D548" s="34" t="str">
        <f>HYPERLINK(AA2 &amp; "/bottle/sn_fca70766d88fc7b9e5054d95cb6a63e2/rendering/01.obj", "2.11274218559")</f>
        <v>2.11274218559</v>
      </c>
      <c r="E548" s="46" t="str">
        <f>HYPERLINK(AA2 &amp; "/bottle/sn_fca70766d88fc7b9e5054d95cb6a63e2/rendering/02.obj", "2.25853872299")</f>
        <v>2.25853872299</v>
      </c>
      <c r="F548" s="13" t="str">
        <f>HYPERLINK(AA2 &amp; "/bottle/sn_fca70766d88fc7b9e5054d95cb6a63e2/rendering/03.obj", "2.21925020218")</f>
        <v>2.21925020218</v>
      </c>
      <c r="G548" s="48" t="str">
        <f>HYPERLINK(AA2 &amp; "/bottle/sn_fca70766d88fc7b9e5054d95cb6a63e2/rendering/04.obj", "2.16302347183")</f>
        <v>2.16302347183</v>
      </c>
      <c r="H548" s="25" t="str">
        <f>HYPERLINK(AA2 &amp; "/bottle/sn_fca70766d88fc7b9e5054d95cb6a63e2/rendering/05.obj", "2.24019145966")</f>
        <v>2.24019145966</v>
      </c>
      <c r="I548" s="68" t="str">
        <f>HYPERLINK(AA2 &amp; "/bottle/sn_fca70766d88fc7b9e5054d95cb6a63e2/rendering/06.obj", "2.31259489059")</f>
        <v>2.31259489059</v>
      </c>
      <c r="J548" s="30" t="str">
        <f>HYPERLINK(AA2 &amp; "/bottle/sn_fca70766d88fc7b9e5054d95cb6a63e2/rendering/07.obj", "2.230073452")</f>
        <v>2.230073452</v>
      </c>
      <c r="K548" s="13" t="str">
        <f>HYPERLINK(AA2 &amp; "/bottle/sn_fca70766d88fc7b9e5054d95cb6a63e2/rendering/08.obj", "2.21509766579")</f>
        <v>2.21509766579</v>
      </c>
      <c r="L548" s="47" t="str">
        <f>HYPERLINK(AA2 &amp; "/bottle/sn_fca70766d88fc7b9e5054d95cb6a63e2/rendering/09.obj", "2.23551654816")</f>
        <v>2.23551654816</v>
      </c>
      <c r="M548" s="72" t="str">
        <f>HYPERLINK(AA2 &amp; "/bottle/sn_fca70766d88fc7b9e5054d95cb6a63e2/rendering/10.obj", "2.28710079193")</f>
        <v>2.28710079193</v>
      </c>
      <c r="N548" s="47" t="str">
        <f>HYPERLINK(AA2 &amp; "/bottle/sn_fca70766d88fc7b9e5054d95cb6a63e2/rendering/11.obj", "2.20134305954")</f>
        <v>2.20134305954</v>
      </c>
      <c r="O548" s="68" t="str">
        <f>HYPERLINK(AA2 &amp; "/bottle/sn_fca70766d88fc7b9e5054d95cb6a63e2/rendering/12.obj", "2.30804634094")</f>
        <v>2.30804634094</v>
      </c>
      <c r="P548" s="41" t="str">
        <f>HYPERLINK(AA2 &amp; "/bottle/sn_fca70766d88fc7b9e5054d95cb6a63e2/rendering/13.obj", "2.06625318527")</f>
        <v>2.06625318527</v>
      </c>
      <c r="Q548" s="13" t="str">
        <f>HYPERLINK(AA2 &amp; "/bottle/sn_fca70766d88fc7b9e5054d95cb6a63e2/rendering/14.obj", "2.21973729134")</f>
        <v>2.21973729134</v>
      </c>
      <c r="R548" s="35" t="str">
        <f>HYPERLINK(AA2 &amp; "/bottle/sn_fca70766d88fc7b9e5054d95cb6a63e2/rendering/15.obj", "2.08701872826")</f>
        <v>2.08701872826</v>
      </c>
      <c r="S548" s="6" t="str">
        <f>HYPERLINK(AA2 &amp; "/bottle/sn_fca70766d88fc7b9e5054d95cb6a63e2/rendering/16.obj", "2.31798219681")</f>
        <v>2.31798219681</v>
      </c>
      <c r="T548" s="6" t="str">
        <f>HYPERLINK(AA2 &amp; "/bottle/sn_fca70766d88fc7b9e5054d95cb6a63e2/rendering/17.obj", "2.11710238457")</f>
        <v>2.11710238457</v>
      </c>
      <c r="U548" s="28" t="str">
        <f>HYPERLINK(AA2 &amp; "/bottle/sn_fca70766d88fc7b9e5054d95cb6a63e2/rendering/18.obj", "2.46578812599")</f>
        <v>2.46578812599</v>
      </c>
      <c r="V548" s="27" t="str">
        <f>HYPERLINK(AA2 &amp; "/bottle/sn_fca70766d88fc7b9e5054d95cb6a63e2/rendering/19.obj", "2.05998682976")</f>
        <v>2.05998682976</v>
      </c>
      <c r="W548" s="12" t="s">
        <v>30</v>
      </c>
      <c r="X548" s="13">
        <v>2.217431783676147</v>
      </c>
      <c r="Y548" s="13">
        <v>9.6360811137000985E-2</v>
      </c>
      <c r="Z548" s="68">
        <v>4.3456043088392182E-2</v>
      </c>
    </row>
    <row r="549" spans="1:26" x14ac:dyDescent="0.2">
      <c r="A549" s="1">
        <v>547</v>
      </c>
      <c r="B549" s="2" t="s">
        <v>142</v>
      </c>
      <c r="C549" s="69" t="str">
        <f>HYPERLINK(AB2 &amp; "/bottle/sn_fca70766d88fc7b9e5054d95cb6a63e2/rendering/00.obj", "2.89798034668")</f>
        <v>2.89798034668</v>
      </c>
      <c r="D549" s="13" t="str">
        <f>HYPERLINK(AB2 &amp; "/bottle/sn_fca70766d88fc7b9e5054d95cb6a63e2/rendering/01.obj", "2.81836090088")</f>
        <v>2.81836090088</v>
      </c>
      <c r="E549" s="74" t="str">
        <f>HYPERLINK(AB2 &amp; "/bottle/sn_fca70766d88fc7b9e5054d95cb6a63e2/rendering/02.obj", "2.76709197998")</f>
        <v>2.76709197998</v>
      </c>
      <c r="F549" s="41" t="str">
        <f>HYPERLINK(AB2 &amp; "/bottle/sn_fca70766d88fc7b9e5054d95cb6a63e2/rendering/03.obj", "2.99881164551")</f>
        <v>2.99881164551</v>
      </c>
      <c r="G549" s="30" t="str">
        <f>HYPERLINK(AB2 &amp; "/bottle/sn_fca70766d88fc7b9e5054d95cb6a63e2/rendering/04.obj", "2.82290252686")</f>
        <v>2.82290252686</v>
      </c>
      <c r="H549" s="35" t="str">
        <f>HYPERLINK(AB2 &amp; "/bottle/sn_fca70766d88fc7b9e5054d95cb6a63e2/rendering/05.obj", "2.64426055908")</f>
        <v>2.64426055908</v>
      </c>
      <c r="I549" s="68" t="str">
        <f>HYPERLINK(AB2 &amp; "/bottle/sn_fca70766d88fc7b9e5054d95cb6a63e2/rendering/06.obj", "2.92849182129")</f>
        <v>2.92849182129</v>
      </c>
      <c r="J549" s="23" t="str">
        <f>HYPERLINK(AB2 &amp; "/bottle/sn_fca70766d88fc7b9e5054d95cb6a63e2/rendering/07.obj", "2.92012268066")</f>
        <v>2.92012268066</v>
      </c>
      <c r="K549" s="30" t="str">
        <f>HYPERLINK(AB2 &amp; "/bottle/sn_fca70766d88fc7b9e5054d95cb6a63e2/rendering/08.obj", "2.79843139648")</f>
        <v>2.79843139648</v>
      </c>
      <c r="L549" s="69" t="str">
        <f>HYPERLINK(AB2 &amp; "/bottle/sn_fca70766d88fc7b9e5054d95cb6a63e2/rendering/09.obj", "2.72599731445")</f>
        <v>2.72599731445</v>
      </c>
      <c r="M549" s="26" t="str">
        <f>HYPERLINK(AB2 &amp; "/bottle/sn_fca70766d88fc7b9e5054d95cb6a63e2/rendering/10.obj", "2.99328796387")</f>
        <v>2.99328796387</v>
      </c>
      <c r="N549" s="41" t="str">
        <f>HYPERLINK(AB2 &amp; "/bottle/sn_fca70766d88fc7b9e5054d95cb6a63e2/rendering/11.obj", "3.00040771484")</f>
        <v>3.00040771484</v>
      </c>
      <c r="O549" s="27" t="str">
        <f>HYPERLINK(AB2 &amp; "/bottle/sn_fca70766d88fc7b9e5054d95cb6a63e2/rendering/12.obj", "2.6150769043")</f>
        <v>2.6150769043</v>
      </c>
      <c r="P549" s="34" t="str">
        <f>HYPERLINK(AB2 &amp; "/bottle/sn_fca70766d88fc7b9e5054d95cb6a63e2/rendering/13.obj", "2.67784912109")</f>
        <v>2.67784912109</v>
      </c>
      <c r="Q549" s="38" t="str">
        <f>HYPERLINK(AB2 &amp; "/bottle/sn_fca70766d88fc7b9e5054d95cb6a63e2/rendering/14.obj", "2.55953094482")</f>
        <v>2.55953094482</v>
      </c>
      <c r="R549" s="47" t="str">
        <f>HYPERLINK(AB2 &amp; "/bottle/sn_fca70766d88fc7b9e5054d95cb6a63e2/rendering/15.obj", "2.78951385498")</f>
        <v>2.78951385498</v>
      </c>
      <c r="S549" s="23" t="str">
        <f>HYPERLINK(AB2 &amp; "/bottle/sn_fca70766d88fc7b9e5054d95cb6a63e2/rendering/16.obj", "2.91987976074")</f>
        <v>2.91987976074</v>
      </c>
      <c r="T549" s="60" t="str">
        <f>HYPERLINK(AB2 &amp; "/bottle/sn_fca70766d88fc7b9e5054d95cb6a63e2/rendering/17.obj", "2.6624395752")</f>
        <v>2.6624395752</v>
      </c>
      <c r="U549" s="39" t="str">
        <f>HYPERLINK(AB2 &amp; "/bottle/sn_fca70766d88fc7b9e5054d95cb6a63e2/rendering/18.obj", "3.05319702148")</f>
        <v>3.05319702148</v>
      </c>
      <c r="V549" s="41" t="str">
        <f>HYPERLINK(AB2 &amp; "/bottle/sn_fca70766d88fc7b9e5054d95cb6a63e2/rendering/19.obj", "2.61899230957")</f>
        <v>2.61899230957</v>
      </c>
      <c r="W549" s="12" t="s">
        <v>31</v>
      </c>
      <c r="X549" s="13">
        <v>2.8106313171386721</v>
      </c>
      <c r="Y549" s="13">
        <v>0.14564104700346131</v>
      </c>
      <c r="Z549" s="60">
        <v>5.1817912265963571E-2</v>
      </c>
    </row>
    <row r="550" spans="1:26" x14ac:dyDescent="0.2">
      <c r="A550" s="1">
        <v>548</v>
      </c>
      <c r="B550" s="2" t="s">
        <v>142</v>
      </c>
      <c r="C550" s="94" t="str">
        <f>HYPERLINK(AB2 &amp; "/bottle/sn_fca70766d88fc7b9e5054d95cb6a63e2/rendering/00.obj", "2.70705294609")</f>
        <v>2.70705294609</v>
      </c>
      <c r="D550" s="25" t="str">
        <f>HYPERLINK(AB2 &amp; "/bottle/sn_fca70766d88fc7b9e5054d95cb6a63e2/rendering/01.obj", "2.54517197609")</f>
        <v>2.54517197609</v>
      </c>
      <c r="E550" s="78" t="str">
        <f>HYPERLINK(AB2 &amp; "/bottle/sn_fca70766d88fc7b9e5054d95cb6a63e2/rendering/02.obj", "2.36750936508")</f>
        <v>2.36750936508</v>
      </c>
      <c r="F550" s="90" t="str">
        <f>HYPERLINK(AB2 &amp; "/bottle/sn_fca70766d88fc7b9e5054d95cb6a63e2/rendering/03.obj", "2.75564837456")</f>
        <v>2.75564837456</v>
      </c>
      <c r="G550" s="69" t="str">
        <f>HYPERLINK(AB2 &amp; "/bottle/sn_fca70766d88fc7b9e5054d95cb6a63e2/rendering/04.obj", "2.59470820427")</f>
        <v>2.59470820427</v>
      </c>
      <c r="H550" s="32" t="str">
        <f>HYPERLINK(AB2 &amp; "/bottle/sn_fca70766d88fc7b9e5054d95cb6a63e2/rendering/05.obj", "2.2558028698")</f>
        <v>2.2558028698</v>
      </c>
      <c r="I550" s="35" t="str">
        <f>HYPERLINK(AB2 &amp; "/bottle/sn_fca70766d88fc7b9e5054d95cb6a63e2/rendering/06.obj", "2.66184520721")</f>
        <v>2.66184520721</v>
      </c>
      <c r="J550" s="5" t="str">
        <f>HYPERLINK(AB2 &amp; "/bottle/sn_fca70766d88fc7b9e5054d95cb6a63e2/rendering/07.obj", "2.70963096619")</f>
        <v>2.70963096619</v>
      </c>
      <c r="K550" s="30" t="str">
        <f>HYPERLINK(AB2 &amp; "/bottle/sn_fca70766d88fc7b9e5054d95cb6a63e2/rendering/08.obj", "2.50555586815")</f>
        <v>2.50555586815</v>
      </c>
      <c r="L550" s="110" t="str">
        <f>HYPERLINK(AB2 &amp; "/bottle/sn_fca70766d88fc7b9e5054d95cb6a63e2/rendering/09.obj", "2.26615190506")</f>
        <v>2.26615190506</v>
      </c>
      <c r="M550" s="110" t="str">
        <f>HYPERLINK(AB2 &amp; "/bottle/sn_fca70766d88fc7b9e5054d95cb6a63e2/rendering/10.obj", "2.76891374588")</f>
        <v>2.76891374588</v>
      </c>
      <c r="N550" s="70" t="str">
        <f>HYPERLINK(AB2 &amp; "/bottle/sn_fca70766d88fc7b9e5054d95cb6a63e2/rendering/11.obj", "2.83443641663")</f>
        <v>2.83443641663</v>
      </c>
      <c r="O550" s="78" t="str">
        <f>HYPERLINK(AB2 &amp; "/bottle/sn_fca70766d88fc7b9e5054d95cb6a63e2/rendering/12.obj", "2.36077904701")</f>
        <v>2.36077904701</v>
      </c>
      <c r="P550" s="51" t="str">
        <f>HYPERLINK(AB2 &amp; "/bottle/sn_fca70766d88fc7b9e5054d95cb6a63e2/rendering/13.obj", "2.31620621681")</f>
        <v>2.31620621681</v>
      </c>
      <c r="Q550" s="29" t="str">
        <f>HYPERLINK(AB2 &amp; "/bottle/sn_fca70766d88fc7b9e5054d95cb6a63e2/rendering/14.obj", "2.19265127182")</f>
        <v>2.19265127182</v>
      </c>
      <c r="R550" s="74" t="str">
        <f>HYPERLINK(AB2 &amp; "/bottle/sn_fca70766d88fc7b9e5054d95cb6a63e2/rendering/15.obj", "2.55553841591")</f>
        <v>2.55553841591</v>
      </c>
      <c r="S550" s="5" t="str">
        <f>HYPERLINK(AB2 &amp; "/bottle/sn_fca70766d88fc7b9e5054d95cb6a63e2/rendering/16.obj", "2.71278381348")</f>
        <v>2.71278381348</v>
      </c>
      <c r="T550" s="28" t="str">
        <f>HYPERLINK(AB2 &amp; "/bottle/sn_fca70766d88fc7b9e5054d95cb6a63e2/rendering/17.obj", "2.23362326622")</f>
        <v>2.23362326622</v>
      </c>
      <c r="U550" s="71" t="str">
        <f>HYPERLINK(AB2 &amp; "/bottle/sn_fca70766d88fc7b9e5054d95cb6a63e2/rendering/18.obj", "2.81703138351")</f>
        <v>2.81703138351</v>
      </c>
      <c r="V550" s="29" t="str">
        <f>HYPERLINK(AB2 &amp; "/bottle/sn_fca70766d88fc7b9e5054d95cb6a63e2/rendering/19.obj", "2.19208598137")</f>
        <v>2.19208598137</v>
      </c>
      <c r="W550" s="12" t="s">
        <v>32</v>
      </c>
      <c r="X550" s="13">
        <v>2.5176563620567318</v>
      </c>
      <c r="Y550" s="13">
        <v>0.21925660797010871</v>
      </c>
      <c r="Z550" s="39">
        <v>8.7087583227995757E-2</v>
      </c>
    </row>
    <row r="551" spans="1:26" x14ac:dyDescent="0.2">
      <c r="A551" s="1">
        <v>549</v>
      </c>
      <c r="B551" s="2" t="s">
        <v>142</v>
      </c>
      <c r="C551" s="13" t="str">
        <f>HYPERLINK(AC2 &amp; "/bottle/sn_fca70766d88fc7b9e5054d95cb6a63e2/rendering/00.xyz", "0.0")</f>
        <v>0.0</v>
      </c>
      <c r="D551" s="13" t="str">
        <f>HYPERLINK(AC2 &amp; "/bottle/sn_fca70766d88fc7b9e5054d95cb6a63e2/rendering/01.xyz", "0.0")</f>
        <v>0.0</v>
      </c>
      <c r="E551" s="13" t="str">
        <f>HYPERLINK(AC2 &amp; "/bottle/sn_fca70766d88fc7b9e5054d95cb6a63e2/rendering/02.xyz", "0.0")</f>
        <v>0.0</v>
      </c>
      <c r="F551" s="13" t="str">
        <f>HYPERLINK(AC2 &amp; "/bottle/sn_fca70766d88fc7b9e5054d95cb6a63e2/rendering/03.xyz", "0.0")</f>
        <v>0.0</v>
      </c>
      <c r="G551" s="13" t="str">
        <f>HYPERLINK(AC2 &amp; "/bottle/sn_fca70766d88fc7b9e5054d95cb6a63e2/rendering/04.xyz", "0.0")</f>
        <v>0.0</v>
      </c>
      <c r="H551" s="13" t="str">
        <f>HYPERLINK(AC2 &amp; "/bottle/sn_fca70766d88fc7b9e5054d95cb6a63e2/rendering/05.xyz", "0.0")</f>
        <v>0.0</v>
      </c>
      <c r="I551" s="13" t="str">
        <f>HYPERLINK(AC2 &amp; "/bottle/sn_fca70766d88fc7b9e5054d95cb6a63e2/rendering/06.xyz", "0.0")</f>
        <v>0.0</v>
      </c>
      <c r="J551" s="13" t="str">
        <f>HYPERLINK(AC2 &amp; "/bottle/sn_fca70766d88fc7b9e5054d95cb6a63e2/rendering/07.xyz", "0.0")</f>
        <v>0.0</v>
      </c>
      <c r="K551" s="13" t="str">
        <f>HYPERLINK(AC2 &amp; "/bottle/sn_fca70766d88fc7b9e5054d95cb6a63e2/rendering/08.xyz", "0.0")</f>
        <v>0.0</v>
      </c>
      <c r="L551" s="13" t="str">
        <f>HYPERLINK(AC2 &amp; "/bottle/sn_fca70766d88fc7b9e5054d95cb6a63e2/rendering/09.xyz", "0.0")</f>
        <v>0.0</v>
      </c>
      <c r="M551" s="13" t="str">
        <f>HYPERLINK(AC2 &amp; "/bottle/sn_fca70766d88fc7b9e5054d95cb6a63e2/rendering/10.xyz", "0.0")</f>
        <v>0.0</v>
      </c>
      <c r="N551" s="13" t="str">
        <f>HYPERLINK(AC2 &amp; "/bottle/sn_fca70766d88fc7b9e5054d95cb6a63e2/rendering/11.xyz", "0.0")</f>
        <v>0.0</v>
      </c>
      <c r="O551" s="13" t="str">
        <f>HYPERLINK(AC2 &amp; "/bottle/sn_fca70766d88fc7b9e5054d95cb6a63e2/rendering/12.xyz", "0.0")</f>
        <v>0.0</v>
      </c>
      <c r="P551" s="13" t="str">
        <f>HYPERLINK(AC2 &amp; "/bottle/sn_fca70766d88fc7b9e5054d95cb6a63e2/rendering/13.xyz", "0.0")</f>
        <v>0.0</v>
      </c>
      <c r="Q551" s="13" t="str">
        <f>HYPERLINK(AC2 &amp; "/bottle/sn_fca70766d88fc7b9e5054d95cb6a63e2/rendering/14.xyz", "0.0")</f>
        <v>0.0</v>
      </c>
      <c r="R551" s="13" t="str">
        <f>HYPERLINK(AC2 &amp; "/bottle/sn_fca70766d88fc7b9e5054d95cb6a63e2/rendering/15.xyz", "0.0")</f>
        <v>0.0</v>
      </c>
      <c r="S551" s="13" t="str">
        <f>HYPERLINK(AC2 &amp; "/bottle/sn_fca70766d88fc7b9e5054d95cb6a63e2/rendering/16.xyz", "0.0")</f>
        <v>0.0</v>
      </c>
      <c r="T551" s="13" t="str">
        <f>HYPERLINK(AC2 &amp; "/bottle/sn_fca70766d88fc7b9e5054d95cb6a63e2/rendering/17.xyz", "0.0")</f>
        <v>0.0</v>
      </c>
      <c r="U551" s="13" t="str">
        <f>HYPERLINK(AC2 &amp; "/bottle/sn_fca70766d88fc7b9e5054d95cb6a63e2/rendering/18.xyz", "0.0")</f>
        <v>0.0</v>
      </c>
      <c r="V551" s="13" t="str">
        <f>HYPERLINK(AC2 &amp; "/bottle/sn_fca70766d88fc7b9e5054d95cb6a63e2/rendering/19.xyz", "0.0")</f>
        <v>0.0</v>
      </c>
      <c r="W551" s="12" t="s">
        <v>33</v>
      </c>
      <c r="X551" s="13">
        <v>0</v>
      </c>
      <c r="Y551" s="13">
        <v>0</v>
      </c>
      <c r="Z551" s="13">
        <v>0</v>
      </c>
    </row>
    <row r="552" spans="1:26" x14ac:dyDescent="0.2">
      <c r="A552" s="1">
        <v>550</v>
      </c>
      <c r="B552" s="2" t="s">
        <v>143</v>
      </c>
      <c r="C552" s="230" t="str">
        <f>HYPERLINK(AA2 &amp; "/bottle/sn_fd0ccd09330865277602de57eab5e08f/rendering/00.obj", "1.88042724609")</f>
        <v>1.88042724609</v>
      </c>
      <c r="D552" s="157" t="str">
        <f>HYPERLINK(AA2 &amp; "/bottle/sn_fd0ccd09330865277602de57eab5e08f/rendering/01.obj", "2.01564666748")</f>
        <v>2.01564666748</v>
      </c>
      <c r="E552" s="52" t="str">
        <f>HYPERLINK(AA2 &amp; "/bottle/sn_fd0ccd09330865277602de57eab5e08f/rendering/02.obj", "2.07841125488")</f>
        <v>2.07841125488</v>
      </c>
      <c r="F552" s="122" t="str">
        <f>HYPERLINK(AA2 &amp; "/bottle/sn_fd0ccd09330865277602de57eab5e08f/rendering/03.obj", "2.06026489258")</f>
        <v>2.06026489258</v>
      </c>
      <c r="G552" s="32" t="str">
        <f>HYPERLINK(AA2 &amp; "/bottle/sn_fd0ccd09330865277602de57eab5e08f/rendering/04.obj", "3.08950714111")</f>
        <v>3.08950714111</v>
      </c>
      <c r="H552" s="144" t="str">
        <f>HYPERLINK(AA2 &amp; "/bottle/sn_fd0ccd09330865277602de57eab5e08f/rendering/05.obj", "1.71743728638")</f>
        <v>1.71743728638</v>
      </c>
      <c r="I552" s="20" t="str">
        <f>HYPERLINK(AA2 &amp; "/bottle/sn_fd0ccd09330865277602de57eab5e08f/rendering/06.obj", "6.88478393555")</f>
        <v>6.88478393555</v>
      </c>
      <c r="J552" s="76" t="str">
        <f>HYPERLINK(AA2 &amp; "/bottle/sn_fd0ccd09330865277602de57eab5e08f/rendering/07.obj", "2.82304443359")</f>
        <v>2.82304443359</v>
      </c>
      <c r="K552" s="20" t="str">
        <f>HYPERLINK(AA2 &amp; "/bottle/sn_fd0ccd09330865277602de57eab5e08f/rendering/08.obj", "6.96683288574")</f>
        <v>6.96683288574</v>
      </c>
      <c r="L552" s="148" t="str">
        <f>HYPERLINK(AA2 &amp; "/bottle/sn_fd0ccd09330865277602de57eab5e08f/rendering/09.obj", "1.77548583984")</f>
        <v>1.77548583984</v>
      </c>
      <c r="M552" s="162" t="str">
        <f>HYPERLINK(AA2 &amp; "/bottle/sn_fd0ccd09330865277602de57eab5e08f/rendering/10.obj", "1.98755020142")</f>
        <v>1.98755020142</v>
      </c>
      <c r="N552" s="72" t="str">
        <f>HYPERLINK(AA2 &amp; "/bottle/sn_fd0ccd09330865277602de57eab5e08f/rendering/11.obj", "3.57194091797")</f>
        <v>3.57194091797</v>
      </c>
      <c r="O552" s="137" t="str">
        <f>HYPERLINK(AA2 &amp; "/bottle/sn_fd0ccd09330865277602de57eab5e08f/rendering/12.obj", "2.19596252441")</f>
        <v>2.19596252441</v>
      </c>
      <c r="P552" s="113" t="str">
        <f>HYPERLINK(AA2 &amp; "/bottle/sn_fd0ccd09330865277602de57eab5e08f/rendering/13.obj", "2.5047946167")</f>
        <v>2.5047946167</v>
      </c>
      <c r="Q552" s="174" t="str">
        <f>HYPERLINK(AA2 &amp; "/bottle/sn_fd0ccd09330865277602de57eab5e08f/rendering/14.obj", "1.63581680298")</f>
        <v>1.63581680298</v>
      </c>
      <c r="R552" s="27" t="str">
        <f>HYPERLINK(AA2 &amp; "/bottle/sn_fd0ccd09330865277602de57eab5e08f/rendering/15.obj", "3.21226226807")</f>
        <v>3.21226226807</v>
      </c>
      <c r="S552" s="20" t="str">
        <f>HYPERLINK(AA2 &amp; "/bottle/sn_fd0ccd09330865277602de57eab5e08f/rendering/16.obj", "6.26797485352")</f>
        <v>6.26797485352</v>
      </c>
      <c r="T552" s="166" t="str">
        <f>HYPERLINK(AA2 &amp; "/bottle/sn_fd0ccd09330865277602de57eab5e08f/rendering/17.obj", "4.44399169922")</f>
        <v>4.44399169922</v>
      </c>
      <c r="U552" s="20" t="str">
        <f>HYPERLINK(AA2 &amp; "/bottle/sn_fd0ccd09330865277602de57eab5e08f/rendering/18.obj", "9.84862976074")</f>
        <v>9.84862976074</v>
      </c>
      <c r="V552" s="43" t="str">
        <f>HYPERLINK(AA2 &amp; "/bottle/sn_fd0ccd09330865277602de57eab5e08f/rendering/19.obj", "2.15981185913")</f>
        <v>2.15981185913</v>
      </c>
      <c r="W552" s="12" t="s">
        <v>29</v>
      </c>
      <c r="X552" s="13">
        <v>3.4560288543701172</v>
      </c>
      <c r="Y552" s="13">
        <v>2.21732898443463</v>
      </c>
      <c r="Z552" s="241">
        <v>0.64158289119341039</v>
      </c>
    </row>
    <row r="553" spans="1:26" x14ac:dyDescent="0.2">
      <c r="A553" s="1">
        <v>551</v>
      </c>
      <c r="B553" s="2" t="s">
        <v>143</v>
      </c>
      <c r="C553" s="227" t="str">
        <f>HYPERLINK(AA2 &amp; "/bottle/sn_fd0ccd09330865277602de57eab5e08f/rendering/00.obj", "1.73609268665")</f>
        <v>1.73609268665</v>
      </c>
      <c r="D553" s="163" t="str">
        <f>HYPERLINK(AA2 &amp; "/bottle/sn_fd0ccd09330865277602de57eab5e08f/rendering/01.obj", "1.98167133331")</f>
        <v>1.98167133331</v>
      </c>
      <c r="E553" s="114" t="str">
        <f>HYPERLINK(AA2 &amp; "/bottle/sn_fd0ccd09330865277602de57eab5e08f/rendering/02.obj", "1.92340695858")</f>
        <v>1.92340695858</v>
      </c>
      <c r="F553" s="152" t="str">
        <f>HYPERLINK(AA2 &amp; "/bottle/sn_fd0ccd09330865277602de57eab5e08f/rendering/03.obj", "2.10954642296")</f>
        <v>2.10954642296</v>
      </c>
      <c r="G553" s="4" t="str">
        <f>HYPERLINK(AA2 &amp; "/bottle/sn_fd0ccd09330865277602de57eab5e08f/rendering/04.obj", "2.54563379288")</f>
        <v>2.54563379288</v>
      </c>
      <c r="H553" s="228" t="str">
        <f>HYPERLINK(AA2 &amp; "/bottle/sn_fd0ccd09330865277602de57eab5e08f/rendering/05.obj", "1.65802371502")</f>
        <v>1.65802371502</v>
      </c>
      <c r="I553" s="20" t="str">
        <f>HYPERLINK(AA2 &amp; "/bottle/sn_fd0ccd09330865277602de57eab5e08f/rendering/06.obj", "7.60636901855")</f>
        <v>7.60636901855</v>
      </c>
      <c r="J553" s="59" t="str">
        <f>HYPERLINK(AA2 &amp; "/bottle/sn_fd0ccd09330865277602de57eab5e08f/rendering/07.obj", "2.70418047905")</f>
        <v>2.70418047905</v>
      </c>
      <c r="K553" s="20" t="str">
        <f>HYPERLINK(AA2 &amp; "/bottle/sn_fd0ccd09330865277602de57eab5e08f/rendering/08.obj", "7.14149332047")</f>
        <v>7.14149332047</v>
      </c>
      <c r="L553" s="223" t="str">
        <f>HYPERLINK(AA2 &amp; "/bottle/sn_fd0ccd09330865277602de57eab5e08f/rendering/09.obj", "1.56773638725")</f>
        <v>1.56773638725</v>
      </c>
      <c r="M553" s="104" t="str">
        <f>HYPERLINK(AA2 &amp; "/bottle/sn_fd0ccd09330865277602de57eab5e08f/rendering/10.obj", "1.8663700819")</f>
        <v>1.8663700819</v>
      </c>
      <c r="N553" s="74" t="str">
        <f>HYPERLINK(AA2 &amp; "/bottle/sn_fd0ccd09330865277602de57eab5e08f/rendering/11.obj", "3.60030293465")</f>
        <v>3.60030293465</v>
      </c>
      <c r="O553" s="97" t="str">
        <f>HYPERLINK(AA2 &amp; "/bottle/sn_fd0ccd09330865277602de57eab5e08f/rendering/12.obj", "2.01028394699")</f>
        <v>2.01028394699</v>
      </c>
      <c r="P553" s="171" t="str">
        <f>HYPERLINK(AA2 &amp; "/bottle/sn_fd0ccd09330865277602de57eab5e08f/rendering/13.obj", "2.47047948837")</f>
        <v>2.47047948837</v>
      </c>
      <c r="Q553" s="177" t="str">
        <f>HYPERLINK(AA2 &amp; "/bottle/sn_fd0ccd09330865277602de57eab5e08f/rendering/14.obj", "1.64646613598")</f>
        <v>1.64646613598</v>
      </c>
      <c r="R553" s="10" t="str">
        <f>HYPERLINK(AA2 &amp; "/bottle/sn_fd0ccd09330865277602de57eab5e08f/rendering/15.obj", "3.35485649109")</f>
        <v>3.35485649109</v>
      </c>
      <c r="S553" s="207" t="str">
        <f>HYPERLINK(AA2 &amp; "/bottle/sn_fd0ccd09330865277602de57eab5e08f/rendering/16.obj", "6.1412396431")</f>
        <v>6.1412396431</v>
      </c>
      <c r="T553" s="182" t="str">
        <f>HYPERLINK(AA2 &amp; "/bottle/sn_fd0ccd09330865277602de57eab5e08f/rendering/17.obj", "4.73389482498")</f>
        <v>4.73389482498</v>
      </c>
      <c r="U553" s="20" t="str">
        <f>HYPERLINK(AA2 &amp; "/bottle/sn_fd0ccd09330865277602de57eab5e08f/rendering/18.obj", "12.4790830612")</f>
        <v>12.4790830612</v>
      </c>
      <c r="V553" s="15" t="str">
        <f>HYPERLINK(AA2 &amp; "/bottle/sn_fd0ccd09330865277602de57eab5e08f/rendering/19.obj", "1.752810359")</f>
        <v>1.752810359</v>
      </c>
      <c r="W553" s="12" t="s">
        <v>30</v>
      </c>
      <c r="X553" s="13">
        <v>3.5514970541000368</v>
      </c>
      <c r="Y553" s="13">
        <v>2.740127164421474</v>
      </c>
      <c r="Z553" s="210">
        <v>0.77154144370136124</v>
      </c>
    </row>
    <row r="554" spans="1:26" x14ac:dyDescent="0.2">
      <c r="A554" s="1">
        <v>552</v>
      </c>
      <c r="B554" s="2" t="s">
        <v>143</v>
      </c>
      <c r="C554" s="74" t="str">
        <f>HYPERLINK(AB2 &amp; "/bottle/sn_fd0ccd09330865277602de57eab5e08f/rendering/00.obj", "1.95250793457")</f>
        <v>1.95250793457</v>
      </c>
      <c r="D554" s="55" t="str">
        <f>HYPERLINK(AB2 &amp; "/bottle/sn_fd0ccd09330865277602de57eab5e08f/rendering/01.obj", "1.59747283936")</f>
        <v>1.59747283936</v>
      </c>
      <c r="E554" s="29" t="str">
        <f>HYPERLINK(AB2 &amp; "/bottle/sn_fd0ccd09330865277602de57eab5e08f/rendering/02.obj", "1.72410766602")</f>
        <v>1.72410766602</v>
      </c>
      <c r="F554" s="13" t="str">
        <f>HYPERLINK(AB2 &amp; "/bottle/sn_fd0ccd09330865277602de57eab5e08f/rendering/03.obj", "1.97272979736")</f>
        <v>1.97272979736</v>
      </c>
      <c r="G554" s="32" t="str">
        <f>HYPERLINK(AB2 &amp; "/bottle/sn_fd0ccd09330865277602de57eab5e08f/rendering/04.obj", "2.18920623779")</f>
        <v>2.18920623779</v>
      </c>
      <c r="H554" s="46" t="str">
        <f>HYPERLINK(AB2 &amp; "/bottle/sn_fd0ccd09330865277602de57eab5e08f/rendering/05.obj", "2.0139642334")</f>
        <v>2.0139642334</v>
      </c>
      <c r="I554" s="55" t="str">
        <f>HYPERLINK(AB2 &amp; "/bottle/sn_fd0ccd09330865277602de57eab5e08f/rendering/06.obj", "1.59530441284")</f>
        <v>1.59530441284</v>
      </c>
      <c r="J554" s="93" t="str">
        <f>HYPERLINK(AB2 &amp; "/bottle/sn_fd0ccd09330865277602de57eab5e08f/rendering/07.obj", "2.25799575806")</f>
        <v>2.25799575806</v>
      </c>
      <c r="K554" s="23" t="str">
        <f>HYPERLINK(AB2 &amp; "/bottle/sn_fd0ccd09330865277602de57eab5e08f/rendering/08.obj", "2.05400466919")</f>
        <v>2.05400466919</v>
      </c>
      <c r="L554" s="79" t="str">
        <f>HYPERLINK(AB2 &amp; "/bottle/sn_fd0ccd09330865277602de57eab5e08f/rendering/09.obj", "1.66403930664")</f>
        <v>1.66403930664</v>
      </c>
      <c r="M554" s="13" t="str">
        <f>HYPERLINK(AB2 &amp; "/bottle/sn_fd0ccd09330865277602de57eab5e08f/rendering/10.obj", "1.98225738525")</f>
        <v>1.98225738525</v>
      </c>
      <c r="N554" s="30" t="str">
        <f>HYPERLINK(AB2 &amp; "/bottle/sn_fd0ccd09330865277602de57eab5e08f/rendering/11.obj", "1.97098968506")</f>
        <v>1.97098968506</v>
      </c>
      <c r="O554" s="27" t="str">
        <f>HYPERLINK(AB2 &amp; "/bottle/sn_fd0ccd09330865277602de57eab5e08f/rendering/12.obj", "1.84142318726")</f>
        <v>1.84142318726</v>
      </c>
      <c r="P554" s="40" t="str">
        <f>HYPERLINK(AB2 &amp; "/bottle/sn_fd0ccd09330865277602de57eab5e08f/rendering/13.obj", "1.63984619141")</f>
        <v>1.63984619141</v>
      </c>
      <c r="Q554" s="48" t="str">
        <f>HYPERLINK(AB2 &amp; "/bottle/sn_fd0ccd09330865277602de57eab5e08f/rendering/14.obj", "1.93460601807")</f>
        <v>1.93460601807</v>
      </c>
      <c r="R554" s="29" t="str">
        <f>HYPERLINK(AB2 &amp; "/bottle/sn_fd0ccd09330865277602de57eab5e08f/rendering/15.obj", "2.23829986572")</f>
        <v>2.23829986572</v>
      </c>
      <c r="S554" s="68" t="str">
        <f>HYPERLINK(AB2 &amp; "/bottle/sn_fd0ccd09330865277602de57eab5e08f/rendering/16.obj", "1.89653320312")</f>
        <v>1.89653320312</v>
      </c>
      <c r="T554" s="29" t="str">
        <f>HYPERLINK(AB2 &amp; "/bottle/sn_fd0ccd09330865277602de57eab5e08f/rendering/17.obj", "2.23824996948")</f>
        <v>2.23824996948</v>
      </c>
      <c r="U554" s="114" t="str">
        <f>HYPERLINK(AB2 &amp; "/bottle/sn_fd0ccd09330865277602de57eab5e08f/rendering/18.obj", "2.88716033936")</f>
        <v>2.88716033936</v>
      </c>
      <c r="V554" s="91" t="str">
        <f>HYPERLINK(AB2 &amp; "/bottle/sn_fd0ccd09330865277602de57eab5e08f/rendering/19.obj", "1.92446624756")</f>
        <v>1.92446624756</v>
      </c>
      <c r="W554" s="12" t="s">
        <v>31</v>
      </c>
      <c r="X554" s="13">
        <v>1.9787582473754881</v>
      </c>
      <c r="Y554" s="13">
        <v>0.29082161595282091</v>
      </c>
      <c r="Z554" s="84">
        <v>0.14697177704176351</v>
      </c>
    </row>
    <row r="555" spans="1:26" x14ac:dyDescent="0.2">
      <c r="A555" s="1">
        <v>553</v>
      </c>
      <c r="B555" s="2" t="s">
        <v>143</v>
      </c>
      <c r="C555" s="38" t="str">
        <f>HYPERLINK(AB2 &amp; "/bottle/sn_fd0ccd09330865277602de57eab5e08f/rendering/00.obj", "1.55663120747")</f>
        <v>1.55663120747</v>
      </c>
      <c r="D555" s="83" t="str">
        <f>HYPERLINK(AB2 &amp; "/bottle/sn_fd0ccd09330865277602de57eab5e08f/rendering/01.obj", "1.45053815842")</f>
        <v>1.45053815842</v>
      </c>
      <c r="E555" s="93" t="str">
        <f>HYPERLINK(AB2 &amp; "/bottle/sn_fd0ccd09330865277602de57eab5e08f/rendering/02.obj", "1.47263264656")</f>
        <v>1.47263264656</v>
      </c>
      <c r="F555" s="5" t="str">
        <f>HYPERLINK(AB2 &amp; "/bottle/sn_fd0ccd09330865277602de57eab5e08f/rendering/03.obj", "1.84474861622")</f>
        <v>1.84474861622</v>
      </c>
      <c r="G555" s="80" t="str">
        <f>HYPERLINK(AB2 &amp; "/bottle/sn_fd0ccd09330865277602de57eab5e08f/rendering/04.obj", "1.9670470953")</f>
        <v>1.9670470953</v>
      </c>
      <c r="H555" s="92" t="str">
        <f>HYPERLINK(AB2 &amp; "/bottle/sn_fd0ccd09330865277602de57eab5e08f/rendering/05.obj", "1.4978427887")</f>
        <v>1.4978427887</v>
      </c>
      <c r="I555" s="5" t="str">
        <f>HYPERLINK(AB2 &amp; "/bottle/sn_fd0ccd09330865277602de57eab5e08f/rendering/06.obj", "1.57954514027")</f>
        <v>1.57954514027</v>
      </c>
      <c r="J555" s="171" t="str">
        <f>HYPERLINK(AB2 &amp; "/bottle/sn_fd0ccd09330865277602de57eab5e08f/rendering/07.obj", "2.23319554329")</f>
        <v>2.23319554329</v>
      </c>
      <c r="K555" s="30" t="str">
        <f>HYPERLINK(AB2 &amp; "/bottle/sn_fd0ccd09330865277602de57eab5e08f/rendering/08.obj", "1.72159290314")</f>
        <v>1.72159290314</v>
      </c>
      <c r="L555" s="32" t="str">
        <f>HYPERLINK(AB2 &amp; "/bottle/sn_fd0ccd09330865277602de57eab5e08f/rendering/09.obj", "1.53302359581")</f>
        <v>1.53302359581</v>
      </c>
      <c r="M555" s="41" t="str">
        <f>HYPERLINK(AB2 &amp; "/bottle/sn_fd0ccd09330865277602de57eab5e08f/rendering/10.obj", "1.59525835514")</f>
        <v>1.59525835514</v>
      </c>
      <c r="N555" s="71" t="str">
        <f>HYPERLINK(AB2 &amp; "/bottle/sn_fd0ccd09330865277602de57eab5e08f/rendering/11.obj", "1.51227414608")</f>
        <v>1.51227414608</v>
      </c>
      <c r="O555" s="92" t="str">
        <f>HYPERLINK(AB2 &amp; "/bottle/sn_fd0ccd09330865277602de57eab5e08f/rendering/12.obj", "1.49791574478")</f>
        <v>1.49791574478</v>
      </c>
      <c r="P555" s="110" t="str">
        <f>HYPERLINK(AB2 &amp; "/bottle/sn_fd0ccd09330865277602de57eab5e08f/rendering/13.obj", "1.54191434383")</f>
        <v>1.54191434383</v>
      </c>
      <c r="Q555" s="92" t="str">
        <f>HYPERLINK(AB2 &amp; "/bottle/sn_fd0ccd09330865277602de57eab5e08f/rendering/14.obj", "1.49869263172")</f>
        <v>1.49869263172</v>
      </c>
      <c r="R555" s="55" t="str">
        <f>HYPERLINK(AB2 &amp; "/bottle/sn_fd0ccd09330865277602de57eab5e08f/rendering/15.obj", "2.04216909409")</f>
        <v>2.04216909409</v>
      </c>
      <c r="S555" s="25" t="str">
        <f>HYPERLINK(AB2 &amp; "/bottle/sn_fd0ccd09330865277602de57eab5e08f/rendering/16.obj", "1.69304931164")</f>
        <v>1.69304931164</v>
      </c>
      <c r="T555" s="59" t="str">
        <f>HYPERLINK(AB2 &amp; "/bottle/sn_fd0ccd09330865277602de57eab5e08f/rendering/17.obj", "2.12426567078")</f>
        <v>2.12426567078</v>
      </c>
      <c r="U555" s="113" t="str">
        <f>HYPERLINK(AB2 &amp; "/bottle/sn_fd0ccd09330865277602de57eab5e08f/rendering/18.obj", "2.18228149414")</f>
        <v>2.18228149414</v>
      </c>
      <c r="V555" s="46" t="str">
        <f>HYPERLINK(AB2 &amp; "/bottle/sn_fd0ccd09330865277602de57eab5e08f/rendering/19.obj", "1.68368256092")</f>
        <v>1.68368256092</v>
      </c>
      <c r="W555" s="12" t="s">
        <v>32</v>
      </c>
      <c r="X555" s="13">
        <v>1.71141505241394</v>
      </c>
      <c r="Y555" s="13">
        <v>0.25245993696229069</v>
      </c>
      <c r="Z555" s="80">
        <v>0.14751531874526719</v>
      </c>
    </row>
    <row r="556" spans="1:26" x14ac:dyDescent="0.2">
      <c r="A556" s="1">
        <v>554</v>
      </c>
      <c r="B556" s="2" t="s">
        <v>143</v>
      </c>
      <c r="C556" s="13" t="str">
        <f>HYPERLINK(AC2 &amp; "/bottle/sn_fd0ccd09330865277602de57eab5e08f/rendering/00.xyz", "0.0")</f>
        <v>0.0</v>
      </c>
      <c r="D556" s="13" t="str">
        <f>HYPERLINK(AC2 &amp; "/bottle/sn_fd0ccd09330865277602de57eab5e08f/rendering/01.xyz", "0.0")</f>
        <v>0.0</v>
      </c>
      <c r="E556" s="13" t="str">
        <f>HYPERLINK(AC2 &amp; "/bottle/sn_fd0ccd09330865277602de57eab5e08f/rendering/02.xyz", "0.0")</f>
        <v>0.0</v>
      </c>
      <c r="F556" s="13" t="str">
        <f>HYPERLINK(AC2 &amp; "/bottle/sn_fd0ccd09330865277602de57eab5e08f/rendering/03.xyz", "0.0")</f>
        <v>0.0</v>
      </c>
      <c r="G556" s="13" t="str">
        <f>HYPERLINK(AC2 &amp; "/bottle/sn_fd0ccd09330865277602de57eab5e08f/rendering/04.xyz", "0.0")</f>
        <v>0.0</v>
      </c>
      <c r="H556" s="13" t="str">
        <f>HYPERLINK(AC2 &amp; "/bottle/sn_fd0ccd09330865277602de57eab5e08f/rendering/05.xyz", "0.0")</f>
        <v>0.0</v>
      </c>
      <c r="I556" s="13" t="str">
        <f>HYPERLINK(AC2 &amp; "/bottle/sn_fd0ccd09330865277602de57eab5e08f/rendering/06.xyz", "0.0")</f>
        <v>0.0</v>
      </c>
      <c r="J556" s="13" t="str">
        <f>HYPERLINK(AC2 &amp; "/bottle/sn_fd0ccd09330865277602de57eab5e08f/rendering/07.xyz", "0.0")</f>
        <v>0.0</v>
      </c>
      <c r="K556" s="13" t="str">
        <f>HYPERLINK(AC2 &amp; "/bottle/sn_fd0ccd09330865277602de57eab5e08f/rendering/08.xyz", "0.0")</f>
        <v>0.0</v>
      </c>
      <c r="L556" s="13" t="str">
        <f>HYPERLINK(AC2 &amp; "/bottle/sn_fd0ccd09330865277602de57eab5e08f/rendering/09.xyz", "0.0")</f>
        <v>0.0</v>
      </c>
      <c r="M556" s="13" t="str">
        <f>HYPERLINK(AC2 &amp; "/bottle/sn_fd0ccd09330865277602de57eab5e08f/rendering/10.xyz", "0.0")</f>
        <v>0.0</v>
      </c>
      <c r="N556" s="13" t="str">
        <f>HYPERLINK(AC2 &amp; "/bottle/sn_fd0ccd09330865277602de57eab5e08f/rendering/11.xyz", "0.0")</f>
        <v>0.0</v>
      </c>
      <c r="O556" s="13" t="str">
        <f>HYPERLINK(AC2 &amp; "/bottle/sn_fd0ccd09330865277602de57eab5e08f/rendering/12.xyz", "0.0")</f>
        <v>0.0</v>
      </c>
      <c r="P556" s="13" t="str">
        <f>HYPERLINK(AC2 &amp; "/bottle/sn_fd0ccd09330865277602de57eab5e08f/rendering/13.xyz", "0.0")</f>
        <v>0.0</v>
      </c>
      <c r="Q556" s="13" t="str">
        <f>HYPERLINK(AC2 &amp; "/bottle/sn_fd0ccd09330865277602de57eab5e08f/rendering/14.xyz", "0.0")</f>
        <v>0.0</v>
      </c>
      <c r="R556" s="13" t="str">
        <f>HYPERLINK(AC2 &amp; "/bottle/sn_fd0ccd09330865277602de57eab5e08f/rendering/15.xyz", "0.0")</f>
        <v>0.0</v>
      </c>
      <c r="S556" s="13" t="str">
        <f>HYPERLINK(AC2 &amp; "/bottle/sn_fd0ccd09330865277602de57eab5e08f/rendering/16.xyz", "0.0")</f>
        <v>0.0</v>
      </c>
      <c r="T556" s="13" t="str">
        <f>HYPERLINK(AC2 &amp; "/bottle/sn_fd0ccd09330865277602de57eab5e08f/rendering/17.xyz", "0.0")</f>
        <v>0.0</v>
      </c>
      <c r="U556" s="13" t="str">
        <f>HYPERLINK(AC2 &amp; "/bottle/sn_fd0ccd09330865277602de57eab5e08f/rendering/18.xyz", "0.0")</f>
        <v>0.0</v>
      </c>
      <c r="V556" s="13" t="str">
        <f>HYPERLINK(AC2 &amp; "/bottle/sn_fd0ccd09330865277602de57eab5e08f/rendering/19.xyz", "0.0")</f>
        <v>0.0</v>
      </c>
      <c r="W556" s="12" t="s">
        <v>33</v>
      </c>
      <c r="X556" s="13">
        <v>0</v>
      </c>
      <c r="Y556" s="13">
        <v>0</v>
      </c>
      <c r="Z556" s="13">
        <v>0</v>
      </c>
    </row>
    <row r="557" spans="1:26" x14ac:dyDescent="0.2">
      <c r="A557" s="1">
        <v>555</v>
      </c>
      <c r="B557" s="2" t="s">
        <v>144</v>
      </c>
      <c r="C557" s="101" t="str">
        <f>HYPERLINK(AA2 &amp; "/bottle/sn_fd713346cfbe24d6e3eacec6011567b3/rendering/00.obj", "2.75261901855")</f>
        <v>2.75261901855</v>
      </c>
      <c r="D557" s="51" t="str">
        <f>HYPERLINK(AA2 &amp; "/bottle/sn_fd713346cfbe24d6e3eacec6011567b3/rendering/01.obj", "4.07811859131")</f>
        <v>4.07811859131</v>
      </c>
      <c r="E557" s="172" t="str">
        <f>HYPERLINK(AA2 &amp; "/bottle/sn_fd713346cfbe24d6e3eacec6011567b3/rendering/02.obj", "2.72558837891")</f>
        <v>2.72558837891</v>
      </c>
      <c r="F557" s="118" t="str">
        <f>HYPERLINK(AA2 &amp; "/bottle/sn_fd713346cfbe24d6e3eacec6011567b3/rendering/03.obj", "5.74338012695")</f>
        <v>5.74338012695</v>
      </c>
      <c r="G557" s="157" t="str">
        <f>HYPERLINK(AA2 &amp; "/bottle/sn_fd713346cfbe24d6e3eacec6011567b3/rendering/04.obj", "2.58839172363")</f>
        <v>2.58839172363</v>
      </c>
      <c r="H557" s="176" t="str">
        <f>HYPERLINK(AA2 &amp; "/bottle/sn_fd713346cfbe24d6e3eacec6011567b3/rendering/05.obj", "3.02468566895")</f>
        <v>3.02468566895</v>
      </c>
      <c r="I557" s="61" t="str">
        <f>HYPERLINK(AA2 &amp; "/bottle/sn_fd713346cfbe24d6e3eacec6011567b3/rendering/06.obj", "3.08639404297")</f>
        <v>3.08639404297</v>
      </c>
      <c r="J557" s="149" t="str">
        <f>HYPERLINK(AA2 &amp; "/bottle/sn_fd713346cfbe24d6e3eacec6011567b3/rendering/07.obj", "2.91774108887")</f>
        <v>2.91774108887</v>
      </c>
      <c r="K557" s="107" t="str">
        <f>HYPERLINK(AA2 &amp; "/bottle/sn_fd713346cfbe24d6e3eacec6011567b3/rendering/08.obj", "4.80621032715")</f>
        <v>4.80621032715</v>
      </c>
      <c r="L557" s="20" t="str">
        <f>HYPERLINK(AA2 &amp; "/bottle/sn_fd713346cfbe24d6e3eacec6011567b3/rendering/09.obj", "9.48415161133")</f>
        <v>9.48415161133</v>
      </c>
      <c r="M557" s="90" t="str">
        <f>HYPERLINK(AA2 &amp; "/bottle/sn_fd713346cfbe24d6e3eacec6011567b3/rendering/10.obj", "4.85817932129")</f>
        <v>4.85817932129</v>
      </c>
      <c r="N557" s="20" t="str">
        <f>HYPERLINK(AA2 &amp; "/bottle/sn_fd713346cfbe24d6e3eacec6011567b3/rendering/11.obj", "13.1027758789")</f>
        <v>13.1027758789</v>
      </c>
      <c r="O557" s="135" t="str">
        <f>HYPERLINK(AA2 &amp; "/bottle/sn_fd713346cfbe24d6e3eacec6011567b3/rendering/12.obj", "3.30197113037")</f>
        <v>3.30197113037</v>
      </c>
      <c r="P557" s="157" t="str">
        <f>HYPERLINK(AA2 &amp; "/bottle/sn_fd713346cfbe24d6e3eacec6011567b3/rendering/13.obj", "2.5959552002")</f>
        <v>2.5959552002</v>
      </c>
      <c r="Q557" s="101" t="str">
        <f>HYPERLINK(AA2 &amp; "/bottle/sn_fd713346cfbe24d6e3eacec6011567b3/rendering/14.obj", "2.75631408691")</f>
        <v>2.75631408691</v>
      </c>
      <c r="R557" s="185" t="str">
        <f>HYPERLINK(AA2 &amp; "/bottle/sn_fd713346cfbe24d6e3eacec6011567b3/rendering/15.obj", "5.93988952637")</f>
        <v>5.93988952637</v>
      </c>
      <c r="S557" s="153" t="str">
        <f>HYPERLINK(AA2 &amp; "/bottle/sn_fd713346cfbe24d6e3eacec6011567b3/rendering/16.obj", "2.85009338379")</f>
        <v>2.85009338379</v>
      </c>
      <c r="T557" s="144" t="str">
        <f>HYPERLINK(AA2 &amp; "/bottle/sn_fd713346cfbe24d6e3eacec6011567b3/rendering/17.obj", "2.19689956665")</f>
        <v>2.19689956665</v>
      </c>
      <c r="U557" s="181" t="str">
        <f>HYPERLINK(AA2 &amp; "/bottle/sn_fd713346cfbe24d6e3eacec6011567b3/rendering/18.obj", "2.47008758545")</f>
        <v>2.47008758545</v>
      </c>
      <c r="V557" s="155" t="str">
        <f>HYPERLINK(AA2 &amp; "/bottle/sn_fd713346cfbe24d6e3eacec6011567b3/rendering/19.obj", "7.43275268555")</f>
        <v>7.43275268555</v>
      </c>
      <c r="W557" s="12" t="s">
        <v>29</v>
      </c>
      <c r="X557" s="13">
        <v>4.4356099472045898</v>
      </c>
      <c r="Y557" s="13">
        <v>2.721851967661614</v>
      </c>
      <c r="Z557" s="244">
        <v>0.61363645587840288</v>
      </c>
    </row>
    <row r="558" spans="1:26" x14ac:dyDescent="0.2">
      <c r="A558" s="1">
        <v>556</v>
      </c>
      <c r="B558" s="2" t="s">
        <v>144</v>
      </c>
      <c r="C558" s="191" t="str">
        <f>HYPERLINK(AA2 &amp; "/bottle/sn_fd713346cfbe24d6e3eacec6011567b3/rendering/00.obj", "3.26868677139")</f>
        <v>3.26868677139</v>
      </c>
      <c r="D558" s="101" t="str">
        <f>HYPERLINK(AA2 &amp; "/bottle/sn_fd713346cfbe24d6e3eacec6011567b3/rendering/01.obj", "3.71304798126")</f>
        <v>3.71304798126</v>
      </c>
      <c r="E558" s="148" t="str">
        <f>HYPERLINK(AA2 &amp; "/bottle/sn_fd713346cfbe24d6e3eacec6011567b3/rendering/02.obj", "3.0758934021")</f>
        <v>3.0758934021</v>
      </c>
      <c r="F558" s="121" t="str">
        <f>HYPERLINK(AA2 &amp; "/bottle/sn_fd713346cfbe24d6e3eacec6011567b3/rendering/03.obj", "8.08025360107")</f>
        <v>8.08025360107</v>
      </c>
      <c r="G558" s="143" t="str">
        <f>HYPERLINK(AA2 &amp; "/bottle/sn_fd713346cfbe24d6e3eacec6011567b3/rendering/04.obj", "3.15680456161")</f>
        <v>3.15680456161</v>
      </c>
      <c r="H558" s="176" t="str">
        <f>HYPERLINK(AA2 &amp; "/bottle/sn_fd713346cfbe24d6e3eacec6011567b3/rendering/05.obj", "4.06339120865")</f>
        <v>4.06339120865</v>
      </c>
      <c r="I558" s="149" t="str">
        <f>HYPERLINK(AA2 &amp; "/bottle/sn_fd713346cfbe24d6e3eacec6011567b3/rendering/06.obj", "3.9237742424")</f>
        <v>3.9237742424</v>
      </c>
      <c r="J558" s="144" t="str">
        <f>HYPERLINK(AA2 &amp; "/bottle/sn_fd713346cfbe24d6e3eacec6011567b3/rendering/07.obj", "2.96117138863")</f>
        <v>2.96117138863</v>
      </c>
      <c r="K558" s="41" t="str">
        <f>HYPERLINK(AA2 &amp; "/bottle/sn_fd713346cfbe24d6e3eacec6011567b3/rendering/08.obj", "6.37390756607")</f>
        <v>6.37390756607</v>
      </c>
      <c r="L558" s="20" t="str">
        <f>HYPERLINK(AA2 &amp; "/bottle/sn_fd713346cfbe24d6e3eacec6011567b3/rendering/09.obj", "11.6815137863")</f>
        <v>11.6815137863</v>
      </c>
      <c r="M558" s="91" t="str">
        <f>HYPERLINK(AA2 &amp; "/bottle/sn_fd713346cfbe24d6e3eacec6011567b3/rendering/10.obj", "5.81559371948")</f>
        <v>5.81559371948</v>
      </c>
      <c r="N558" s="20" t="str">
        <f>HYPERLINK(AA2 &amp; "/bottle/sn_fd713346cfbe24d6e3eacec6011567b3/rendering/11.obj", "26.6874504089")</f>
        <v>26.6874504089</v>
      </c>
      <c r="O558" s="182" t="str">
        <f>HYPERLINK(AA2 &amp; "/bottle/sn_fd713346cfbe24d6e3eacec6011567b3/rendering/12.obj", "3.97193050385")</f>
        <v>3.97193050385</v>
      </c>
      <c r="P558" s="218" t="str">
        <f>HYPERLINK(AA2 &amp; "/bottle/sn_fd713346cfbe24d6e3eacec6011567b3/rendering/13.obj", "2.88666272163")</f>
        <v>2.88666272163</v>
      </c>
      <c r="Q558" s="157" t="str">
        <f>HYPERLINK(AA2 &amp; "/bottle/sn_fd713346cfbe24d6e3eacec6011567b3/rendering/14.obj", "3.49614715576")</f>
        <v>3.49614715576</v>
      </c>
      <c r="R558" s="128" t="str">
        <f>HYPERLINK(AA2 &amp; "/bottle/sn_fd713346cfbe24d6e3eacec6011567b3/rendering/15.obj", "8.29757118225")</f>
        <v>8.29757118225</v>
      </c>
      <c r="S558" s="116" t="str">
        <f>HYPERLINK(AA2 &amp; "/bottle/sn_fd713346cfbe24d6e3eacec6011567b3/rendering/16.obj", "3.35376906395")</f>
        <v>3.35376906395</v>
      </c>
      <c r="T558" s="177" t="str">
        <f>HYPERLINK(AA2 &amp; "/bottle/sn_fd713346cfbe24d6e3eacec6011567b3/rendering/17.obj", "2.76726126671")</f>
        <v>2.76726126671</v>
      </c>
      <c r="U558" s="159" t="str">
        <f>HYPERLINK(AA2 &amp; "/bottle/sn_fd713346cfbe24d6e3eacec6011567b3/rendering/18.obj", "3.17297530174")</f>
        <v>3.17297530174</v>
      </c>
      <c r="V558" s="156" t="str">
        <f>HYPERLINK(AA2 &amp; "/bottle/sn_fd713346cfbe24d6e3eacec6011567b3/rendering/19.obj", "8.64398765564")</f>
        <v>8.64398765564</v>
      </c>
      <c r="W558" s="12" t="s">
        <v>30</v>
      </c>
      <c r="X558" s="13">
        <v>5.9695896744728092</v>
      </c>
      <c r="Y558" s="13">
        <v>5.3345240051244502</v>
      </c>
      <c r="Z558" s="20">
        <v>0.89361652911187006</v>
      </c>
    </row>
    <row r="559" spans="1:26" x14ac:dyDescent="0.2">
      <c r="A559" s="1">
        <v>557</v>
      </c>
      <c r="B559" s="2" t="s">
        <v>144</v>
      </c>
      <c r="C559" s="5" t="str">
        <f>HYPERLINK(AB2 &amp; "/bottle/sn_fd713346cfbe24d6e3eacec6011567b3/rendering/00.obj", "2.59564025879")</f>
        <v>2.59564025879</v>
      </c>
      <c r="D559" s="8" t="str">
        <f>HYPERLINK(AB2 &amp; "/bottle/sn_fd713346cfbe24d6e3eacec6011567b3/rendering/01.obj", "2.41023345947")</f>
        <v>2.41023345947</v>
      </c>
      <c r="E559" s="79" t="str">
        <f>HYPERLINK(AB2 &amp; "/bottle/sn_fd713346cfbe24d6e3eacec6011567b3/rendering/02.obj", "3.24842987061")</f>
        <v>3.24842987061</v>
      </c>
      <c r="F559" s="34" t="str">
        <f>HYPERLINK(AB2 &amp; "/bottle/sn_fd713346cfbe24d6e3eacec6011567b3/rendering/03.obj", "2.67312988281")</f>
        <v>2.67312988281</v>
      </c>
      <c r="G559" s="68" t="str">
        <f>HYPERLINK(AB2 &amp; "/bottle/sn_fd713346cfbe24d6e3eacec6011567b3/rendering/04.obj", "2.69002655029")</f>
        <v>2.69002655029</v>
      </c>
      <c r="H559" s="35" t="str">
        <f>HYPERLINK(AB2 &amp; "/bottle/sn_fd713346cfbe24d6e3eacec6011567b3/rendering/05.obj", "2.64096862793")</f>
        <v>2.64096862793</v>
      </c>
      <c r="I559" s="83" t="str">
        <f>HYPERLINK(AB2 &amp; "/bottle/sn_fd713346cfbe24d6e3eacec6011567b3/rendering/06.obj", "3.23135375977")</f>
        <v>3.23135375977</v>
      </c>
      <c r="J559" s="60" t="str">
        <f>HYPERLINK(AB2 &amp; "/bottle/sn_fd713346cfbe24d6e3eacec6011567b3/rendering/07.obj", "2.66088500977")</f>
        <v>2.66088500977</v>
      </c>
      <c r="K559" s="24" t="str">
        <f>HYPERLINK(AB2 &amp; "/bottle/sn_fd713346cfbe24d6e3eacec6011567b3/rendering/08.obj", "2.336277771")</f>
        <v>2.336277771</v>
      </c>
      <c r="L559" s="60" t="str">
        <f>HYPERLINK(AB2 &amp; "/bottle/sn_fd713346cfbe24d6e3eacec6011567b3/rendering/09.obj", "2.65998046875")</f>
        <v>2.65998046875</v>
      </c>
      <c r="M559" s="10" t="str">
        <f>HYPERLINK(AB2 &amp; "/bottle/sn_fd713346cfbe24d6e3eacec6011567b3/rendering/10.obj", "2.96161865234")</f>
        <v>2.96161865234</v>
      </c>
      <c r="N559" s="88" t="str">
        <f>HYPERLINK(AB2 &amp; "/bottle/sn_fd713346cfbe24d6e3eacec6011567b3/rendering/11.obj", "3.37826538086")</f>
        <v>3.37826538086</v>
      </c>
      <c r="O559" s="92" t="str">
        <f>HYPERLINK(AB2 &amp; "/bottle/sn_fd713346cfbe24d6e3eacec6011567b3/rendering/12.obj", "3.15499084473")</f>
        <v>3.15499084473</v>
      </c>
      <c r="P559" s="110" t="str">
        <f>HYPERLINK(AB2 &amp; "/bottle/sn_fd713346cfbe24d6e3eacec6011567b3/rendering/13.obj", "2.53156814575")</f>
        <v>2.53156814575</v>
      </c>
      <c r="Q559" s="23" t="str">
        <f>HYPERLINK(AB2 &amp; "/bottle/sn_fd713346cfbe24d6e3eacec6011567b3/rendering/14.obj", "2.6956262207")</f>
        <v>2.6956262207</v>
      </c>
      <c r="R559" s="17" t="str">
        <f>HYPERLINK(AB2 &amp; "/bottle/sn_fd713346cfbe24d6e3eacec6011567b3/rendering/15.obj", "2.86516357422")</f>
        <v>2.86516357422</v>
      </c>
      <c r="S559" s="5" t="str">
        <f>HYPERLINK(AB2 &amp; "/bottle/sn_fd713346cfbe24d6e3eacec6011567b3/rendering/16.obj", "3.02591125488")</f>
        <v>3.02591125488</v>
      </c>
      <c r="T559" s="25" t="str">
        <f>HYPERLINK(AB2 &amp; "/bottle/sn_fd713346cfbe24d6e3eacec6011567b3/rendering/17.obj", "2.7736529541")</f>
        <v>2.7736529541</v>
      </c>
      <c r="U559" s="13" t="str">
        <f>HYPERLINK(AB2 &amp; "/bottle/sn_fd713346cfbe24d6e3eacec6011567b3/rendering/18.obj", "2.80167480469")</f>
        <v>2.80167480469</v>
      </c>
      <c r="V559" s="13" t="str">
        <f>HYPERLINK(AB2 &amp; "/bottle/sn_fd713346cfbe24d6e3eacec6011567b3/rendering/19.obj", "2.80736999512")</f>
        <v>2.80736999512</v>
      </c>
      <c r="W559" s="12" t="s">
        <v>31</v>
      </c>
      <c r="X559" s="13">
        <v>2.807138374328614</v>
      </c>
      <c r="Y559" s="13">
        <v>0.275028000993151</v>
      </c>
      <c r="Z559" s="110">
        <v>9.7974507957389087E-2</v>
      </c>
    </row>
    <row r="560" spans="1:26" x14ac:dyDescent="0.2">
      <c r="A560" s="1">
        <v>558</v>
      </c>
      <c r="B560" s="2" t="s">
        <v>144</v>
      </c>
      <c r="C560" s="24" t="str">
        <f>HYPERLINK(AB2 &amp; "/bottle/sn_fd713346cfbe24d6e3eacec6011567b3/rendering/00.obj", "2.68812155724")</f>
        <v>2.68812155724</v>
      </c>
      <c r="D560" s="33" t="str">
        <f>HYPERLINK(AB2 &amp; "/bottle/sn_fd713346cfbe24d6e3eacec6011567b3/rendering/01.obj", "2.87554836273")</f>
        <v>2.87554836273</v>
      </c>
      <c r="E560" s="35" t="str">
        <f>HYPERLINK(AB2 &amp; "/bottle/sn_fd713346cfbe24d6e3eacec6011567b3/rendering/02.obj", "3.41176462173")</f>
        <v>3.41176462173</v>
      </c>
      <c r="F560" s="35" t="str">
        <f>HYPERLINK(AB2 &amp; "/bottle/sn_fd713346cfbe24d6e3eacec6011567b3/rendering/03.obj", "3.03931283951")</f>
        <v>3.03931283951</v>
      </c>
      <c r="G560" s="42" t="str">
        <f>HYPERLINK(AB2 &amp; "/bottle/sn_fd713346cfbe24d6e3eacec6011567b3/rendering/04.obj", "2.78595542908")</f>
        <v>2.78595542908</v>
      </c>
      <c r="H560" s="5" t="str">
        <f>HYPERLINK(AB2 &amp; "/bottle/sn_fd713346cfbe24d6e3eacec6011567b3/rendering/05.obj", "3.46927380562")</f>
        <v>3.46927380562</v>
      </c>
      <c r="I560" s="67" t="str">
        <f>HYPERLINK(AB2 &amp; "/bottle/sn_fd713346cfbe24d6e3eacec6011567b3/rendering/06.obj", "3.52313661575")</f>
        <v>3.52313661575</v>
      </c>
      <c r="J560" s="72" t="str">
        <f>HYPERLINK(AB2 &amp; "/bottle/sn_fd713346cfbe24d6e3eacec6011567b3/rendering/07.obj", "3.11904644966")</f>
        <v>3.11904644966</v>
      </c>
      <c r="K560" s="72" t="str">
        <f>HYPERLINK(AB2 &amp; "/bottle/sn_fd713346cfbe24d6e3eacec6011567b3/rendering/08.obj", "3.32858252525")</f>
        <v>3.32858252525</v>
      </c>
      <c r="L560" s="23" t="str">
        <f>HYPERLINK(AB2 &amp; "/bottle/sn_fd713346cfbe24d6e3eacec6011567b3/rendering/09.obj", "3.1023440361")</f>
        <v>3.1023440361</v>
      </c>
      <c r="M560" s="98" t="str">
        <f>HYPERLINK(AB2 &amp; "/bottle/sn_fd713346cfbe24d6e3eacec6011567b3/rendering/10.obj", "3.96449232101")</f>
        <v>3.96449232101</v>
      </c>
      <c r="N560" s="100" t="str">
        <f>HYPERLINK(AB2 &amp; "/bottle/sn_fd713346cfbe24d6e3eacec6011567b3/rendering/11.obj", "4.18583297729")</f>
        <v>4.18583297729</v>
      </c>
      <c r="O560" s="110" t="str">
        <f>HYPERLINK(AB2 &amp; "/bottle/sn_fd713346cfbe24d6e3eacec6011567b3/rendering/12.obj", "2.90736556053")</f>
        <v>2.90736556053</v>
      </c>
      <c r="P560" s="84" t="str">
        <f>HYPERLINK(AB2 &amp; "/bottle/sn_fd713346cfbe24d6e3eacec6011567b3/rendering/13.obj", "2.75647616386")</f>
        <v>2.75647616386</v>
      </c>
      <c r="Q560" s="26" t="str">
        <f>HYPERLINK(AB2 &amp; "/bottle/sn_fd713346cfbe24d6e3eacec6011567b3/rendering/14.obj", "3.43435168266")</f>
        <v>3.43435168266</v>
      </c>
      <c r="R560" s="60" t="str">
        <f>HYPERLINK(AB2 &amp; "/bottle/sn_fd713346cfbe24d6e3eacec6011567b3/rendering/15.obj", "3.05270028114")</f>
        <v>3.05270028114</v>
      </c>
      <c r="S560" s="26" t="str">
        <f>HYPERLINK(AB2 &amp; "/bottle/sn_fd713346cfbe24d6e3eacec6011567b3/rendering/16.obj", "3.43033862114")</f>
        <v>3.43033862114</v>
      </c>
      <c r="T560" s="8" t="str">
        <f>HYPERLINK(AB2 &amp; "/bottle/sn_fd713346cfbe24d6e3eacec6011567b3/rendering/17.obj", "2.76135182381")</f>
        <v>2.76135182381</v>
      </c>
      <c r="U560" s="6" t="str">
        <f>HYPERLINK(AB2 &amp; "/bottle/sn_fd713346cfbe24d6e3eacec6011567b3/rendering/18.obj", "3.36626553535")</f>
        <v>3.36626553535</v>
      </c>
      <c r="V560" s="17" t="str">
        <f>HYPERLINK(AB2 &amp; "/bottle/sn_fd713346cfbe24d6e3eacec6011567b3/rendering/19.obj", "3.28835105896")</f>
        <v>3.28835105896</v>
      </c>
      <c r="W560" s="12" t="s">
        <v>32</v>
      </c>
      <c r="X560" s="13">
        <v>3.2245306134223939</v>
      </c>
      <c r="Y560" s="13">
        <v>0.3874983762012299</v>
      </c>
      <c r="Z560" s="63">
        <v>0.1201720258409809</v>
      </c>
    </row>
    <row r="561" spans="1:26" x14ac:dyDescent="0.2">
      <c r="A561" s="1">
        <v>559</v>
      </c>
      <c r="B561" s="2" t="s">
        <v>144</v>
      </c>
      <c r="C561" s="13" t="str">
        <f>HYPERLINK(AC2 &amp; "/bottle/sn_fd713346cfbe24d6e3eacec6011567b3/rendering/00.xyz", "0.0")</f>
        <v>0.0</v>
      </c>
      <c r="D561" s="13" t="str">
        <f>HYPERLINK(AC2 &amp; "/bottle/sn_fd713346cfbe24d6e3eacec6011567b3/rendering/01.xyz", "0.0")</f>
        <v>0.0</v>
      </c>
      <c r="E561" s="13" t="str">
        <f>HYPERLINK(AC2 &amp; "/bottle/sn_fd713346cfbe24d6e3eacec6011567b3/rendering/02.xyz", "0.0")</f>
        <v>0.0</v>
      </c>
      <c r="F561" s="13" t="str">
        <f>HYPERLINK(AC2 &amp; "/bottle/sn_fd713346cfbe24d6e3eacec6011567b3/rendering/03.xyz", "0.0")</f>
        <v>0.0</v>
      </c>
      <c r="G561" s="13" t="str">
        <f>HYPERLINK(AC2 &amp; "/bottle/sn_fd713346cfbe24d6e3eacec6011567b3/rendering/04.xyz", "0.0")</f>
        <v>0.0</v>
      </c>
      <c r="H561" s="13" t="str">
        <f>HYPERLINK(AC2 &amp; "/bottle/sn_fd713346cfbe24d6e3eacec6011567b3/rendering/05.xyz", "0.0")</f>
        <v>0.0</v>
      </c>
      <c r="I561" s="13" t="str">
        <f>HYPERLINK(AC2 &amp; "/bottle/sn_fd713346cfbe24d6e3eacec6011567b3/rendering/06.xyz", "0.0")</f>
        <v>0.0</v>
      </c>
      <c r="J561" s="13" t="str">
        <f>HYPERLINK(AC2 &amp; "/bottle/sn_fd713346cfbe24d6e3eacec6011567b3/rendering/07.xyz", "0.0")</f>
        <v>0.0</v>
      </c>
      <c r="K561" s="13" t="str">
        <f>HYPERLINK(AC2 &amp; "/bottle/sn_fd713346cfbe24d6e3eacec6011567b3/rendering/08.xyz", "0.0")</f>
        <v>0.0</v>
      </c>
      <c r="L561" s="13" t="str">
        <f>HYPERLINK(AC2 &amp; "/bottle/sn_fd713346cfbe24d6e3eacec6011567b3/rendering/09.xyz", "0.0")</f>
        <v>0.0</v>
      </c>
      <c r="M561" s="13" t="str">
        <f>HYPERLINK(AC2 &amp; "/bottle/sn_fd713346cfbe24d6e3eacec6011567b3/rendering/10.xyz", "0.0")</f>
        <v>0.0</v>
      </c>
      <c r="N561" s="13" t="str">
        <f>HYPERLINK(AC2 &amp; "/bottle/sn_fd713346cfbe24d6e3eacec6011567b3/rendering/11.xyz", "0.0")</f>
        <v>0.0</v>
      </c>
      <c r="O561" s="13" t="str">
        <f>HYPERLINK(AC2 &amp; "/bottle/sn_fd713346cfbe24d6e3eacec6011567b3/rendering/12.xyz", "0.0")</f>
        <v>0.0</v>
      </c>
      <c r="P561" s="13" t="str">
        <f>HYPERLINK(AC2 &amp; "/bottle/sn_fd713346cfbe24d6e3eacec6011567b3/rendering/13.xyz", "0.0")</f>
        <v>0.0</v>
      </c>
      <c r="Q561" s="13" t="str">
        <f>HYPERLINK(AC2 &amp; "/bottle/sn_fd713346cfbe24d6e3eacec6011567b3/rendering/14.xyz", "0.0")</f>
        <v>0.0</v>
      </c>
      <c r="R561" s="13" t="str">
        <f>HYPERLINK(AC2 &amp; "/bottle/sn_fd713346cfbe24d6e3eacec6011567b3/rendering/15.xyz", "0.0")</f>
        <v>0.0</v>
      </c>
      <c r="S561" s="13" t="str">
        <f>HYPERLINK(AC2 &amp; "/bottle/sn_fd713346cfbe24d6e3eacec6011567b3/rendering/16.xyz", "0.0")</f>
        <v>0.0</v>
      </c>
      <c r="T561" s="13" t="str">
        <f>HYPERLINK(AC2 &amp; "/bottle/sn_fd713346cfbe24d6e3eacec6011567b3/rendering/17.xyz", "0.0")</f>
        <v>0.0</v>
      </c>
      <c r="U561" s="13" t="str">
        <f>HYPERLINK(AC2 &amp; "/bottle/sn_fd713346cfbe24d6e3eacec6011567b3/rendering/18.xyz", "0.0")</f>
        <v>0.0</v>
      </c>
      <c r="V561" s="13" t="str">
        <f>HYPERLINK(AC2 &amp; "/bottle/sn_fd713346cfbe24d6e3eacec6011567b3/rendering/19.xyz", "0.0")</f>
        <v>0.0</v>
      </c>
      <c r="W561" s="12" t="s">
        <v>33</v>
      </c>
      <c r="X561" s="13">
        <v>0</v>
      </c>
      <c r="Y561" s="13">
        <v>0</v>
      </c>
      <c r="Z561" s="13">
        <v>0</v>
      </c>
    </row>
    <row r="562" spans="1:26" x14ac:dyDescent="0.2">
      <c r="A562" s="1">
        <v>560</v>
      </c>
      <c r="B562" s="2" t="s">
        <v>145</v>
      </c>
      <c r="C562" s="60" t="str">
        <f>HYPERLINK(AA2 &amp; "/bottle/sn_fda8d8820e4d166bd7134844380eaeb0/rendering/00.obj", "3.11287322998")</f>
        <v>3.11287322998</v>
      </c>
      <c r="D562" s="10" t="str">
        <f>HYPERLINK(AA2 &amp; "/bottle/sn_fda8d8820e4d166bd7134844380eaeb0/rendering/01.obj", "3.45865783691")</f>
        <v>3.45865783691</v>
      </c>
      <c r="E562" s="73" t="str">
        <f>HYPERLINK(AA2 &amp; "/bottle/sn_fda8d8820e4d166bd7134844380eaeb0/rendering/02.obj", "3.16473236084")</f>
        <v>3.16473236084</v>
      </c>
      <c r="F562" s="31" t="str">
        <f>HYPERLINK(AA2 &amp; "/bottle/sn_fda8d8820e4d166bd7134844380eaeb0/rendering/03.obj", "3.78916931152")</f>
        <v>3.78916931152</v>
      </c>
      <c r="G562" s="35" t="str">
        <f>HYPERLINK(AA2 &amp; "/bottle/sn_fda8d8820e4d166bd7134844380eaeb0/rendering/04.obj", "3.46601287842")</f>
        <v>3.46601287842</v>
      </c>
      <c r="H562" s="34" t="str">
        <f>HYPERLINK(AA2 &amp; "/bottle/sn_fda8d8820e4d166bd7134844380eaeb0/rendering/05.obj", "3.43484619141")</f>
        <v>3.43484619141</v>
      </c>
      <c r="I562" s="34" t="str">
        <f>HYPERLINK(AA2 &amp; "/bottle/sn_fda8d8820e4d166bd7134844380eaeb0/rendering/06.obj", "3.12408966064")</f>
        <v>3.12408966064</v>
      </c>
      <c r="J562" s="41" t="str">
        <f>HYPERLINK(AA2 &amp; "/bottle/sn_fda8d8820e4d166bd7134844380eaeb0/rendering/07.obj", "3.50116455078")</f>
        <v>3.50116455078</v>
      </c>
      <c r="K562" s="35" t="str">
        <f>HYPERLINK(AA2 &amp; "/bottle/sn_fda8d8820e4d166bd7134844380eaeb0/rendering/08.obj", "3.08733642578")</f>
        <v>3.08733642578</v>
      </c>
      <c r="L562" s="60" t="str">
        <f>HYPERLINK(AA2 &amp; "/bottle/sn_fda8d8820e4d166bd7134844380eaeb0/rendering/09.obj", "3.10961364746")</f>
        <v>3.10961364746</v>
      </c>
      <c r="M562" s="107" t="str">
        <f>HYPERLINK(AA2 &amp; "/bottle/sn_fda8d8820e4d166bd7134844380eaeb0/rendering/10.obj", "3.55225769043")</f>
        <v>3.55225769043</v>
      </c>
      <c r="N562" s="27" t="str">
        <f>HYPERLINK(AA2 &amp; "/bottle/sn_fda8d8820e4d166bd7134844380eaeb0/rendering/11.obj", "3.04664001465")</f>
        <v>3.04664001465</v>
      </c>
      <c r="O562" s="48" t="str">
        <f>HYPERLINK(AA2 &amp; "/bottle/sn_fda8d8820e4d166bd7134844380eaeb0/rendering/12.obj", "3.36090393066")</f>
        <v>3.36090393066</v>
      </c>
      <c r="P562" s="41" t="str">
        <f>HYPERLINK(AA2 &amp; "/bottle/sn_fda8d8820e4d166bd7134844380eaeb0/rendering/13.obj", "3.49963012695")</f>
        <v>3.49963012695</v>
      </c>
      <c r="Q562" s="27" t="str">
        <f>HYPERLINK(AA2 &amp; "/bottle/sn_fda8d8820e4d166bd7134844380eaeb0/rendering/14.obj", "3.51489105225")</f>
        <v>3.51489105225</v>
      </c>
      <c r="R562" s="5" t="str">
        <f>HYPERLINK(AA2 &amp; "/bottle/sn_fda8d8820e4d166bd7134844380eaeb0/rendering/15.obj", "3.02167541504")</f>
        <v>3.02167541504</v>
      </c>
      <c r="S562" s="10" t="str">
        <f>HYPERLINK(AA2 &amp; "/bottle/sn_fda8d8820e4d166bd7134844380eaeb0/rendering/16.obj", "3.10104370117")</f>
        <v>3.10104370117</v>
      </c>
      <c r="T562" s="33" t="str">
        <f>HYPERLINK(AA2 &amp; "/bottle/sn_fda8d8820e4d166bd7134844380eaeb0/rendering/17.obj", "2.92181152344")</f>
        <v>2.92181152344</v>
      </c>
      <c r="U562" s="13" t="str">
        <f>HYPERLINK(AA2 &amp; "/bottle/sn_fda8d8820e4d166bd7134844380eaeb0/rendering/18.obj", "3.274402771")</f>
        <v>3.274402771</v>
      </c>
      <c r="V562" s="94" t="str">
        <f>HYPERLINK(AA2 &amp; "/bottle/sn_fda8d8820e4d166bd7134844380eaeb0/rendering/19.obj", "3.03376190186")</f>
        <v>3.03376190186</v>
      </c>
      <c r="W562" s="12" t="s">
        <v>29</v>
      </c>
      <c r="X562" s="13">
        <v>3.2787757110595712</v>
      </c>
      <c r="Y562" s="13">
        <v>0.22984439819957511</v>
      </c>
      <c r="Z562" s="27">
        <v>7.0100677342549447E-2</v>
      </c>
    </row>
    <row r="563" spans="1:26" x14ac:dyDescent="0.2">
      <c r="A563" s="1">
        <v>561</v>
      </c>
      <c r="B563" s="2" t="s">
        <v>145</v>
      </c>
      <c r="C563" s="73" t="str">
        <f>HYPERLINK(AA2 &amp; "/bottle/sn_fda8d8820e4d166bd7134844380eaeb0/rendering/00.obj", "3.70114064217")</f>
        <v>3.70114064217</v>
      </c>
      <c r="D563" s="51" t="str">
        <f>HYPERLINK(AA2 &amp; "/bottle/sn_fda8d8820e4d166bd7134844380eaeb0/rendering/01.obj", "4.15298700333")</f>
        <v>4.15298700333</v>
      </c>
      <c r="E563" s="30" t="str">
        <f>HYPERLINK(AA2 &amp; "/bottle/sn_fda8d8820e4d166bd7134844380eaeb0/rendering/02.obj", "3.8235104084")</f>
        <v>3.8235104084</v>
      </c>
      <c r="F563" s="8" t="str">
        <f>HYPERLINK(AA2 &amp; "/bottle/sn_fda8d8820e4d166bd7134844380eaeb0/rendering/03.obj", "4.39056968689")</f>
        <v>4.39056968689</v>
      </c>
      <c r="G563" s="10" t="str">
        <f>HYPERLINK(AA2 &amp; "/bottle/sn_fda8d8820e4d166bd7134844380eaeb0/rendering/04.obj", "4.051674366")</f>
        <v>4.051674366</v>
      </c>
      <c r="H563" s="30" t="str">
        <f>HYPERLINK(AA2 &amp; "/bottle/sn_fda8d8820e4d166bd7134844380eaeb0/rendering/05.obj", "3.81915783882")</f>
        <v>3.81915783882</v>
      </c>
      <c r="I563" s="68" t="str">
        <f>HYPERLINK(AA2 &amp; "/bottle/sn_fda8d8820e4d166bd7134844380eaeb0/rendering/06.obj", "3.67642354965")</f>
        <v>3.67642354965</v>
      </c>
      <c r="J563" s="46" t="str">
        <f>HYPERLINK(AA2 &amp; "/bottle/sn_fda8d8820e4d166bd7134844380eaeb0/rendering/07.obj", "3.7724032402")</f>
        <v>3.7724032402</v>
      </c>
      <c r="K563" s="10" t="str">
        <f>HYPERLINK(AA2 &amp; "/bottle/sn_fda8d8820e4d166bd7134844380eaeb0/rendering/08.obj", "3.63084292412")</f>
        <v>3.63084292412</v>
      </c>
      <c r="L563" s="68" t="str">
        <f>HYPERLINK(AA2 &amp; "/bottle/sn_fda8d8820e4d166bd7134844380eaeb0/rendering/09.obj", "3.67270302773")</f>
        <v>3.67270302773</v>
      </c>
      <c r="M563" s="68" t="str">
        <f>HYPERLINK(AA2 &amp; "/bottle/sn_fda8d8820e4d166bd7134844380eaeb0/rendering/10.obj", "4.00702953339")</f>
        <v>4.00702953339</v>
      </c>
      <c r="N563" s="39" t="str">
        <f>HYPERLINK(AA2 &amp; "/bottle/sn_fda8d8820e4d166bd7134844380eaeb0/rendering/11.obj", "3.51267910004")</f>
        <v>3.51267910004</v>
      </c>
      <c r="O563" s="26" t="str">
        <f>HYPERLINK(AA2 &amp; "/bottle/sn_fda8d8820e4d166bd7134844380eaeb0/rendering/12.obj", "4.09126472473")</f>
        <v>4.09126472473</v>
      </c>
      <c r="P563" s="51" t="str">
        <f>HYPERLINK(AA2 &amp; "/bottle/sn_fda8d8820e4d166bd7134844380eaeb0/rendering/13.obj", "4.14544296265")</f>
        <v>4.14544296265</v>
      </c>
      <c r="Q563" s="72" t="str">
        <f>HYPERLINK(AA2 &amp; "/bottle/sn_fda8d8820e4d166bd7134844380eaeb0/rendering/14.obj", "3.97095417976")</f>
        <v>3.97095417976</v>
      </c>
      <c r="R563" s="73" t="str">
        <f>HYPERLINK(AA2 &amp; "/bottle/sn_fda8d8820e4d166bd7134844380eaeb0/rendering/15.obj", "3.7084877491")</f>
        <v>3.7084877491</v>
      </c>
      <c r="S563" s="69" t="str">
        <f>HYPERLINK(AA2 &amp; "/bottle/sn_fda8d8820e4d166bd7134844380eaeb0/rendering/16.obj", "3.72754073143")</f>
        <v>3.72754073143</v>
      </c>
      <c r="T563" s="5" t="str">
        <f>HYPERLINK(AA2 &amp; "/bottle/sn_fda8d8820e4d166bd7134844380eaeb0/rendering/17.obj", "3.54987502098")</f>
        <v>3.54987502098</v>
      </c>
      <c r="U563" s="74" t="str">
        <f>HYPERLINK(AA2 &amp; "/bottle/sn_fda8d8820e4d166bd7134844380eaeb0/rendering/18.obj", "3.78720808029")</f>
        <v>3.78720808029</v>
      </c>
      <c r="V563" s="10" t="str">
        <f>HYPERLINK(AA2 &amp; "/bottle/sn_fda8d8820e4d166bd7134844380eaeb0/rendering/19.obj", "3.6330537796")</f>
        <v>3.6330537796</v>
      </c>
      <c r="W563" s="12" t="s">
        <v>30</v>
      </c>
      <c r="X563" s="13">
        <v>3.8412474274635309</v>
      </c>
      <c r="Y563" s="13">
        <v>0.22773422082808539</v>
      </c>
      <c r="Z563" s="35">
        <v>5.9286527392083101E-2</v>
      </c>
    </row>
    <row r="564" spans="1:26" x14ac:dyDescent="0.2">
      <c r="A564" s="1">
        <v>562</v>
      </c>
      <c r="B564" s="2" t="s">
        <v>145</v>
      </c>
      <c r="C564" s="35" t="str">
        <f>HYPERLINK(AB2 &amp; "/bottle/sn_fda8d8820e4d166bd7134844380eaeb0/rendering/00.obj", "4.12433837891")</f>
        <v>4.12433837891</v>
      </c>
      <c r="D564" s="13" t="str">
        <f>HYPERLINK(AB2 &amp; "/bottle/sn_fda8d8820e4d166bd7134844380eaeb0/rendering/01.obj", "4.39000427246")</f>
        <v>4.39000427246</v>
      </c>
      <c r="E564" s="17" t="str">
        <f>HYPERLINK(AB2 &amp; "/bottle/sn_fda8d8820e4d166bd7134844380eaeb0/rendering/02.obj", "4.28374145508")</f>
        <v>4.28374145508</v>
      </c>
      <c r="F564" s="46" t="str">
        <f>HYPERLINK(AB2 &amp; "/bottle/sn_fda8d8820e4d166bd7134844380eaeb0/rendering/03.obj", "4.30118408203")</f>
        <v>4.30118408203</v>
      </c>
      <c r="G564" s="74" t="str">
        <f>HYPERLINK(AB2 &amp; "/bottle/sn_fda8d8820e4d166bd7134844380eaeb0/rendering/04.obj", "4.44434082031")</f>
        <v>4.44434082031</v>
      </c>
      <c r="H564" s="35" t="str">
        <f>HYPERLINK(AB2 &amp; "/bottle/sn_fda8d8820e4d166bd7134844380eaeb0/rendering/05.obj", "4.6286907959")</f>
        <v>4.6286907959</v>
      </c>
      <c r="I564" s="13" t="str">
        <f>HYPERLINK(AB2 &amp; "/bottle/sn_fda8d8820e4d166bd7134844380eaeb0/rendering/06.obj", "4.37192626953")</f>
        <v>4.37192626953</v>
      </c>
      <c r="J564" s="17" t="str">
        <f>HYPERLINK(AB2 &amp; "/bottle/sn_fda8d8820e4d166bd7134844380eaeb0/rendering/07.obj", "4.28826965332")</f>
        <v>4.28826965332</v>
      </c>
      <c r="K564" s="51" t="str">
        <f>HYPERLINK(AB2 &amp; "/bottle/sn_fda8d8820e4d166bd7134844380eaeb0/rendering/08.obj", "4.02772644043")</f>
        <v>4.02772644043</v>
      </c>
      <c r="L564" s="25" t="str">
        <f>HYPERLINK(AB2 &amp; "/bottle/sn_fda8d8820e4d166bd7134844380eaeb0/rendering/09.obj", "4.4236932373")</f>
        <v>4.4236932373</v>
      </c>
      <c r="M564" s="91" t="str">
        <f>HYPERLINK(AB2 &amp; "/bottle/sn_fda8d8820e4d166bd7134844380eaeb0/rendering/10.obj", "4.4952456665")</f>
        <v>4.4952456665</v>
      </c>
      <c r="N564" s="91" t="str">
        <f>HYPERLINK(AB2 &amp; "/bottle/sn_fda8d8820e4d166bd7134844380eaeb0/rendering/11.obj", "4.25883605957")</f>
        <v>4.25883605957</v>
      </c>
      <c r="O564" s="6" t="str">
        <f>HYPERLINK(AB2 &amp; "/bottle/sn_fda8d8820e4d166bd7134844380eaeb0/rendering/12.obj", "4.57438537598")</f>
        <v>4.57438537598</v>
      </c>
      <c r="P564" s="72" t="str">
        <f>HYPERLINK(AB2 &amp; "/bottle/sn_fda8d8820e4d166bd7134844380eaeb0/rendering/13.obj", "4.52774536133")</f>
        <v>4.52774536133</v>
      </c>
      <c r="Q564" s="46" t="str">
        <f>HYPERLINK(AB2 &amp; "/bottle/sn_fda8d8820e4d166bd7134844380eaeb0/rendering/14.obj", "4.44986450195")</f>
        <v>4.44986450195</v>
      </c>
      <c r="R564" s="91" t="str">
        <f>HYPERLINK(AB2 &amp; "/bottle/sn_fda8d8820e4d166bd7134844380eaeb0/rendering/15.obj", "4.25796264648")</f>
        <v>4.25796264648</v>
      </c>
      <c r="S564" s="74" t="str">
        <f>HYPERLINK(AB2 &amp; "/bottle/sn_fda8d8820e4d166bd7134844380eaeb0/rendering/16.obj", "4.318465271")</f>
        <v>4.318465271</v>
      </c>
      <c r="T564" s="48" t="str">
        <f>HYPERLINK(AB2 &amp; "/bottle/sn_fda8d8820e4d166bd7134844380eaeb0/rendering/17.obj", "4.27549133301")</f>
        <v>4.27549133301</v>
      </c>
      <c r="U564" s="48" t="str">
        <f>HYPERLINK(AB2 &amp; "/bottle/sn_fda8d8820e4d166bd7134844380eaeb0/rendering/18.obj", "4.48273162842")</f>
        <v>4.48273162842</v>
      </c>
      <c r="V564" s="10" t="str">
        <f>HYPERLINK(AB2 &amp; "/bottle/sn_fda8d8820e4d166bd7134844380eaeb0/rendering/19.obj", "4.61309997559")</f>
        <v>4.61309997559</v>
      </c>
      <c r="W564" s="12" t="s">
        <v>31</v>
      </c>
      <c r="X564" s="13">
        <v>4.3768871612548832</v>
      </c>
      <c r="Y564" s="13">
        <v>0.15299801152261319</v>
      </c>
      <c r="Z564" s="73">
        <v>3.4955895796671077E-2</v>
      </c>
    </row>
    <row r="565" spans="1:26" x14ac:dyDescent="0.2">
      <c r="A565" s="1">
        <v>563</v>
      </c>
      <c r="B565" s="2" t="s">
        <v>145</v>
      </c>
      <c r="C565" s="10" t="str">
        <f>HYPERLINK(AB2 &amp; "/bottle/sn_fda8d8820e4d166bd7134844380eaeb0/rendering/00.obj", "4.11454057693")</f>
        <v>4.11454057693</v>
      </c>
      <c r="D565" s="48" t="str">
        <f>HYPERLINK(AB2 &amp; "/bottle/sn_fda8d8820e4d166bd7134844380eaeb0/rendering/01.obj", "3.80182957649")</f>
        <v>3.80182957649</v>
      </c>
      <c r="E565" s="26" t="str">
        <f>HYPERLINK(AB2 &amp; "/bottle/sn_fda8d8820e4d166bd7134844380eaeb0/rendering/02.obj", "3.64665198326")</f>
        <v>3.64665198326</v>
      </c>
      <c r="F565" s="23" t="str">
        <f>HYPERLINK(AB2 &amp; "/bottle/sn_fda8d8820e4d166bd7134844380eaeb0/rendering/03.obj", "3.7363960743")</f>
        <v>3.7363960743</v>
      </c>
      <c r="G565" s="13" t="str">
        <f>HYPERLINK(AB2 &amp; "/bottle/sn_fda8d8820e4d166bd7134844380eaeb0/rendering/04.obj", "3.89195132256")</f>
        <v>3.89195132256</v>
      </c>
      <c r="H565" s="23" t="str">
        <f>HYPERLINK(AB2 &amp; "/bottle/sn_fda8d8820e4d166bd7134844380eaeb0/rendering/05.obj", "4.04180812836")</f>
        <v>4.04180812836</v>
      </c>
      <c r="I565" s="48" t="str">
        <f>HYPERLINK(AB2 &amp; "/bottle/sn_fda8d8820e4d166bd7134844380eaeb0/rendering/06.obj", "3.98686170578")</f>
        <v>3.98686170578</v>
      </c>
      <c r="J565" s="34" t="str">
        <f>HYPERLINK(AB2 &amp; "/bottle/sn_fda8d8820e4d166bd7134844380eaeb0/rendering/07.obj", "4.08859205246")</f>
        <v>4.08859205246</v>
      </c>
      <c r="K565" s="69" t="str">
        <f>HYPERLINK(AB2 &amp; "/bottle/sn_fda8d8820e4d166bd7134844380eaeb0/rendering/08.obj", "4.01242542267")</f>
        <v>4.01242542267</v>
      </c>
      <c r="L565" s="46" t="str">
        <f>HYPERLINK(AB2 &amp; "/bottle/sn_fda8d8820e4d166bd7134844380eaeb0/rendering/09.obj", "3.8280570507")</f>
        <v>3.8280570507</v>
      </c>
      <c r="M565" s="74" t="str">
        <f>HYPERLINK(AB2 &amp; "/bottle/sn_fda8d8820e4d166bd7134844380eaeb0/rendering/10.obj", "3.95565605164")</f>
        <v>3.95565605164</v>
      </c>
      <c r="N565" s="73" t="str">
        <f>HYPERLINK(AB2 &amp; "/bottle/sn_fda8d8820e4d166bd7134844380eaeb0/rendering/11.obj", "4.02965974808")</f>
        <v>4.02965974808</v>
      </c>
      <c r="O565" s="17" t="str">
        <f>HYPERLINK(AB2 &amp; "/bottle/sn_fda8d8820e4d166bd7134844380eaeb0/rendering/12.obj", "3.82024717331")</f>
        <v>3.82024717331</v>
      </c>
      <c r="P565" s="25" t="str">
        <f>HYPERLINK(AB2 &amp; "/bottle/sn_fda8d8820e4d166bd7134844380eaeb0/rendering/13.obj", "3.84969115257")</f>
        <v>3.84969115257</v>
      </c>
      <c r="Q565" s="13" t="str">
        <f>HYPERLINK(AB2 &amp; "/bottle/sn_fda8d8820e4d166bd7134844380eaeb0/rendering/14.obj", "3.89925956726")</f>
        <v>3.89925956726</v>
      </c>
      <c r="R565" s="13" t="str">
        <f>HYPERLINK(AB2 &amp; "/bottle/sn_fda8d8820e4d166bd7134844380eaeb0/rendering/15.obj", "3.89898586273")</f>
        <v>3.89898586273</v>
      </c>
      <c r="S565" s="91" t="str">
        <f>HYPERLINK(AB2 &amp; "/bottle/sn_fda8d8820e4d166bd7134844380eaeb0/rendering/16.obj", "3.79251503944")</f>
        <v>3.79251503944</v>
      </c>
      <c r="T565" s="72" t="str">
        <f>HYPERLINK(AB2 &amp; "/bottle/sn_fda8d8820e4d166bd7134844380eaeb0/rendering/17.obj", "3.76867580414")</f>
        <v>3.76867580414</v>
      </c>
      <c r="U565" s="35" t="str">
        <f>HYPERLINK(AB2 &amp; "/bottle/sn_fda8d8820e4d166bd7134844380eaeb0/rendering/18.obj", "3.66411137581")</f>
        <v>3.66411137581</v>
      </c>
      <c r="V565" s="6" t="str">
        <f>HYPERLINK(AB2 &amp; "/bottle/sn_fda8d8820e4d166bd7134844380eaeb0/rendering/19.obj", "4.06866407394")</f>
        <v>4.06866407394</v>
      </c>
      <c r="W565" s="12" t="s">
        <v>32</v>
      </c>
      <c r="X565" s="13">
        <v>3.8948289871215822</v>
      </c>
      <c r="Y565" s="13">
        <v>0.13580789091153009</v>
      </c>
      <c r="Z565" s="73">
        <v>3.4868768657259332E-2</v>
      </c>
    </row>
    <row r="566" spans="1:26" x14ac:dyDescent="0.2">
      <c r="A566" s="1">
        <v>564</v>
      </c>
      <c r="B566" s="2" t="s">
        <v>145</v>
      </c>
      <c r="C566" s="13" t="str">
        <f>HYPERLINK(AC2 &amp; "/bottle/sn_fda8d8820e4d166bd7134844380eaeb0/rendering/00.xyz", "0.0")</f>
        <v>0.0</v>
      </c>
      <c r="D566" s="13" t="str">
        <f>HYPERLINK(AC2 &amp; "/bottle/sn_fda8d8820e4d166bd7134844380eaeb0/rendering/01.xyz", "0.0")</f>
        <v>0.0</v>
      </c>
      <c r="E566" s="13" t="str">
        <f>HYPERLINK(AC2 &amp; "/bottle/sn_fda8d8820e4d166bd7134844380eaeb0/rendering/02.xyz", "0.0")</f>
        <v>0.0</v>
      </c>
      <c r="F566" s="13" t="str">
        <f>HYPERLINK(AC2 &amp; "/bottle/sn_fda8d8820e4d166bd7134844380eaeb0/rendering/03.xyz", "0.0")</f>
        <v>0.0</v>
      </c>
      <c r="G566" s="13" t="str">
        <f>HYPERLINK(AC2 &amp; "/bottle/sn_fda8d8820e4d166bd7134844380eaeb0/rendering/04.xyz", "0.0")</f>
        <v>0.0</v>
      </c>
      <c r="H566" s="13" t="str">
        <f>HYPERLINK(AC2 &amp; "/bottle/sn_fda8d8820e4d166bd7134844380eaeb0/rendering/05.xyz", "0.0")</f>
        <v>0.0</v>
      </c>
      <c r="I566" s="13" t="str">
        <f>HYPERLINK(AC2 &amp; "/bottle/sn_fda8d8820e4d166bd7134844380eaeb0/rendering/06.xyz", "0.0")</f>
        <v>0.0</v>
      </c>
      <c r="J566" s="13" t="str">
        <f>HYPERLINK(AC2 &amp; "/bottle/sn_fda8d8820e4d166bd7134844380eaeb0/rendering/07.xyz", "0.0")</f>
        <v>0.0</v>
      </c>
      <c r="K566" s="13" t="str">
        <f>HYPERLINK(AC2 &amp; "/bottle/sn_fda8d8820e4d166bd7134844380eaeb0/rendering/08.xyz", "0.0")</f>
        <v>0.0</v>
      </c>
      <c r="L566" s="13" t="str">
        <f>HYPERLINK(AC2 &amp; "/bottle/sn_fda8d8820e4d166bd7134844380eaeb0/rendering/09.xyz", "0.0")</f>
        <v>0.0</v>
      </c>
      <c r="M566" s="13" t="str">
        <f>HYPERLINK(AC2 &amp; "/bottle/sn_fda8d8820e4d166bd7134844380eaeb0/rendering/10.xyz", "0.0")</f>
        <v>0.0</v>
      </c>
      <c r="N566" s="13" t="str">
        <f>HYPERLINK(AC2 &amp; "/bottle/sn_fda8d8820e4d166bd7134844380eaeb0/rendering/11.xyz", "0.0")</f>
        <v>0.0</v>
      </c>
      <c r="O566" s="13" t="str">
        <f>HYPERLINK(AC2 &amp; "/bottle/sn_fda8d8820e4d166bd7134844380eaeb0/rendering/12.xyz", "0.0")</f>
        <v>0.0</v>
      </c>
      <c r="P566" s="13" t="str">
        <f>HYPERLINK(AC2 &amp; "/bottle/sn_fda8d8820e4d166bd7134844380eaeb0/rendering/13.xyz", "0.0")</f>
        <v>0.0</v>
      </c>
      <c r="Q566" s="13" t="str">
        <f>HYPERLINK(AC2 &amp; "/bottle/sn_fda8d8820e4d166bd7134844380eaeb0/rendering/14.xyz", "0.0")</f>
        <v>0.0</v>
      </c>
      <c r="R566" s="13" t="str">
        <f>HYPERLINK(AC2 &amp; "/bottle/sn_fda8d8820e4d166bd7134844380eaeb0/rendering/15.xyz", "0.0")</f>
        <v>0.0</v>
      </c>
      <c r="S566" s="13" t="str">
        <f>HYPERLINK(AC2 &amp; "/bottle/sn_fda8d8820e4d166bd7134844380eaeb0/rendering/16.xyz", "0.0")</f>
        <v>0.0</v>
      </c>
      <c r="T566" s="13" t="str">
        <f>HYPERLINK(AC2 &amp; "/bottle/sn_fda8d8820e4d166bd7134844380eaeb0/rendering/17.xyz", "0.0")</f>
        <v>0.0</v>
      </c>
      <c r="U566" s="13" t="str">
        <f>HYPERLINK(AC2 &amp; "/bottle/sn_fda8d8820e4d166bd7134844380eaeb0/rendering/18.xyz", "0.0")</f>
        <v>0.0</v>
      </c>
      <c r="V566" s="13" t="str">
        <f>HYPERLINK(AC2 &amp; "/bottle/sn_fda8d8820e4d166bd7134844380eaeb0/rendering/19.xyz", "0.0")</f>
        <v>0.0</v>
      </c>
      <c r="W566" s="12" t="s">
        <v>33</v>
      </c>
      <c r="X566" s="13">
        <v>0</v>
      </c>
      <c r="Y566" s="13">
        <v>0</v>
      </c>
      <c r="Z566" s="13">
        <v>0</v>
      </c>
    </row>
    <row r="567" spans="1:26" x14ac:dyDescent="0.2">
      <c r="A567" s="1">
        <v>565</v>
      </c>
      <c r="B567" s="2" t="s">
        <v>146</v>
      </c>
      <c r="C567" s="28" t="str">
        <f>HYPERLINK(AA2 &amp; "/bottle/sn_fec05c85454edafc4310636931b68fdb/rendering/00.obj", "2.26161193848")</f>
        <v>2.26161193848</v>
      </c>
      <c r="D567" s="32" t="str">
        <f>HYPERLINK(AA2 &amp; "/bottle/sn_fec05c85454edafc4310636931b68fdb/rendering/01.obj", "2.27565338135")</f>
        <v>2.27565338135</v>
      </c>
      <c r="E567" s="56" t="str">
        <f>HYPERLINK(AA2 &amp; "/bottle/sn_fec05c85454edafc4310636931b68fdb/rendering/02.obj", "3.33493225098")</f>
        <v>3.33493225098</v>
      </c>
      <c r="F567" s="6" t="str">
        <f>HYPERLINK(AA2 &amp; "/bottle/sn_fec05c85454edafc4310636931b68fdb/rendering/03.obj", "2.43177093506")</f>
        <v>2.43177093506</v>
      </c>
      <c r="G567" s="28" t="str">
        <f>HYPERLINK(AA2 &amp; "/bottle/sn_fec05c85454edafc4310636931b68fdb/rendering/04.obj", "2.83097229004")</f>
        <v>2.83097229004</v>
      </c>
      <c r="H567" s="30" t="str">
        <f>HYPERLINK(AA2 &amp; "/bottle/sn_fec05c85454edafc4310636931b68fdb/rendering/05.obj", "2.53728042603")</f>
        <v>2.53728042603</v>
      </c>
      <c r="I567" s="10" t="str">
        <f>HYPERLINK(AA2 &amp; "/bottle/sn_fec05c85454edafc4310636931b68fdb/rendering/06.obj", "2.68670715332")</f>
        <v>2.68670715332</v>
      </c>
      <c r="J567" s="64" t="str">
        <f>HYPERLINK(AA2 &amp; "/bottle/sn_fec05c85454edafc4310636931b68fdb/rendering/07.obj", "2.96742645264")</f>
        <v>2.96742645264</v>
      </c>
      <c r="K567" s="33" t="str">
        <f>HYPERLINK(AA2 &amp; "/bottle/sn_fec05c85454edafc4310636931b68fdb/rendering/08.obj", "2.26871368408")</f>
        <v>2.26871368408</v>
      </c>
      <c r="L567" s="64" t="str">
        <f>HYPERLINK(AA2 &amp; "/bottle/sn_fec05c85454edafc4310636931b68fdb/rendering/09.obj", "2.12253585815")</f>
        <v>2.12253585815</v>
      </c>
      <c r="M567" s="42" t="str">
        <f>HYPERLINK(AA2 &amp; "/bottle/sn_fec05c85454edafc4310636931b68fdb/rendering/10.obj", "2.20012084961")</f>
        <v>2.20012084961</v>
      </c>
      <c r="N567" s="109" t="str">
        <f>HYPERLINK(AA2 &amp; "/bottle/sn_fec05c85454edafc4310636931b68fdb/rendering/11.obj", "3.0286315918")</f>
        <v>3.0286315918</v>
      </c>
      <c r="O567" s="91" t="str">
        <f>HYPERLINK(AA2 &amp; "/bottle/sn_fec05c85454edafc4310636931b68fdb/rendering/12.obj", "2.47418716431")</f>
        <v>2.47418716431</v>
      </c>
      <c r="P567" s="41" t="str">
        <f>HYPERLINK(AA2 &amp; "/bottle/sn_fec05c85454edafc4310636931b68fdb/rendering/13.obj", "2.3702520752")</f>
        <v>2.3702520752</v>
      </c>
      <c r="Q567" s="26" t="str">
        <f>HYPERLINK(AA2 &amp; "/bottle/sn_fec05c85454edafc4310636931b68fdb/rendering/14.obj", "2.38494384766")</f>
        <v>2.38494384766</v>
      </c>
      <c r="R567" s="94" t="str">
        <f>HYPERLINK(AA2 &amp; "/bottle/sn_fec05c85454edafc4310636931b68fdb/rendering/15.obj", "2.35709411621")</f>
        <v>2.35709411621</v>
      </c>
      <c r="S567" s="63" t="str">
        <f>HYPERLINK(AA2 &amp; "/bottle/sn_fec05c85454edafc4310636931b68fdb/rendering/16.obj", "2.8561227417")</f>
        <v>2.8561227417</v>
      </c>
      <c r="T567" s="66" t="str">
        <f>HYPERLINK(AA2 &amp; "/bottle/sn_fec05c85454edafc4310636931b68fdb/rendering/17.obj", "2.95570892334")</f>
        <v>2.95570892334</v>
      </c>
      <c r="U567" s="110" t="str">
        <f>HYPERLINK(AA2 &amp; "/bottle/sn_fec05c85454edafc4310636931b68fdb/rendering/18.obj", "2.29545730591")</f>
        <v>2.29545730591</v>
      </c>
      <c r="V567" s="32" t="str">
        <f>HYPERLINK(AA2 &amp; "/bottle/sn_fec05c85454edafc4310636931b68fdb/rendering/19.obj", "2.27672058105")</f>
        <v>2.27672058105</v>
      </c>
      <c r="W567" s="12" t="s">
        <v>29</v>
      </c>
      <c r="X567" s="13">
        <v>2.545842178344726</v>
      </c>
      <c r="Y567" s="13">
        <v>0.32968731052630351</v>
      </c>
      <c r="Z567" s="29">
        <v>0.12950029398156249</v>
      </c>
    </row>
    <row r="568" spans="1:26" x14ac:dyDescent="0.2">
      <c r="A568" s="1">
        <v>566</v>
      </c>
      <c r="B568" s="2" t="s">
        <v>146</v>
      </c>
      <c r="C568" s="94" t="str">
        <f>HYPERLINK(AA2 &amp; "/bottle/sn_fec05c85454edafc4310636931b68fdb/rendering/00.obj", "2.12684941292")</f>
        <v>2.12684941292</v>
      </c>
      <c r="D568" s="63" t="str">
        <f>HYPERLINK(AA2 &amp; "/bottle/sn_fec05c85454edafc4310636931b68fdb/rendering/01.obj", "2.01843166351")</f>
        <v>2.01843166351</v>
      </c>
      <c r="E568" s="176" t="str">
        <f>HYPERLINK(AA2 &amp; "/bottle/sn_fec05c85454edafc4310636931b68fdb/rendering/02.obj", "3.03222966194")</f>
        <v>3.03222966194</v>
      </c>
      <c r="F568" s="34" t="str">
        <f>HYPERLINK(AA2 &amp; "/bottle/sn_fec05c85454edafc4310636931b68fdb/rendering/03.obj", "2.18733000755")</f>
        <v>2.18733000755</v>
      </c>
      <c r="G568" s="27" t="str">
        <f>HYPERLINK(AA2 &amp; "/bottle/sn_fec05c85454edafc4310636931b68fdb/rendering/04.obj", "2.45734596252")</f>
        <v>2.45734596252</v>
      </c>
      <c r="H568" s="73" t="str">
        <f>HYPERLINK(AA2 &amp; "/bottle/sn_fec05c85454edafc4310636931b68fdb/rendering/05.obj", "2.2159485817")</f>
        <v>2.2159485817</v>
      </c>
      <c r="I568" s="70" t="str">
        <f>HYPERLINK(AA2 &amp; "/bottle/sn_fec05c85454edafc4310636931b68fdb/rendering/06.obj", "2.59215497971")</f>
        <v>2.59215497971</v>
      </c>
      <c r="J568" s="70" t="str">
        <f>HYPERLINK(AA2 &amp; "/bottle/sn_fec05c85454edafc4310636931b68fdb/rendering/07.obj", "2.59152603149")</f>
        <v>2.59152603149</v>
      </c>
      <c r="K568" s="10" t="str">
        <f>HYPERLINK(AA2 &amp; "/bottle/sn_fec05c85454edafc4310636931b68fdb/rendering/08.obj", "2.17399001122")</f>
        <v>2.17399001122</v>
      </c>
      <c r="L568" s="67" t="str">
        <f>HYPERLINK(AA2 &amp; "/bottle/sn_fec05c85454edafc4310636931b68fdb/rendering/09.obj", "2.08333969116")</f>
        <v>2.08333969116</v>
      </c>
      <c r="M568" s="83" t="str">
        <f>HYPERLINK(AA2 &amp; "/bottle/sn_fec05c85454edafc4310636931b68fdb/rendering/10.obj", "1.94754993916")</f>
        <v>1.94754993916</v>
      </c>
      <c r="N568" s="49" t="str">
        <f>HYPERLINK(AA2 &amp; "/bottle/sn_fec05c85454edafc4310636931b68fdb/rendering/11.obj", "2.77625370026")</f>
        <v>2.77625370026</v>
      </c>
      <c r="O568" s="6" t="str">
        <f>HYPERLINK(AA2 &amp; "/bottle/sn_fec05c85454edafc4310636931b68fdb/rendering/12.obj", "2.19661283493")</f>
        <v>2.19661283493</v>
      </c>
      <c r="P568" s="38" t="str">
        <f>HYPERLINK(AA2 &amp; "/bottle/sn_fec05c85454edafc4310636931b68fdb/rendering/13.obj", "2.09429907799")</f>
        <v>2.09429907799</v>
      </c>
      <c r="Q568" s="26" t="str">
        <f>HYPERLINK(AA2 &amp; "/bottle/sn_fec05c85454edafc4310636931b68fdb/rendering/14.obj", "2.14895772934")</f>
        <v>2.14895772934</v>
      </c>
      <c r="R568" s="94" t="str">
        <f>HYPERLINK(AA2 &amp; "/bottle/sn_fec05c85454edafc4310636931b68fdb/rendering/15.obj", "2.12628793716")</f>
        <v>2.12628793716</v>
      </c>
      <c r="S568" s="30" t="str">
        <f>HYPERLINK(AA2 &amp; "/bottle/sn_fec05c85454edafc4310636931b68fdb/rendering/16.obj", "2.29050087929")</f>
        <v>2.29050087929</v>
      </c>
      <c r="T568" s="83" t="str">
        <f>HYPERLINK(AA2 &amp; "/bottle/sn_fec05c85454edafc4310636931b68fdb/rendering/17.obj", "2.64746689796")</f>
        <v>2.64746689796</v>
      </c>
      <c r="U568" s="107" t="str">
        <f>HYPERLINK(AA2 &amp; "/bottle/sn_fec05c85454edafc4310636931b68fdb/rendering/18.obj", "2.10612773895")</f>
        <v>2.10612773895</v>
      </c>
      <c r="V568" s="41" t="str">
        <f>HYPERLINK(AA2 &amp; "/bottle/sn_fec05c85454edafc4310636931b68fdb/rendering/19.obj", "2.1455540657")</f>
        <v>2.1455540657</v>
      </c>
      <c r="W568" s="12" t="s">
        <v>30</v>
      </c>
      <c r="X568" s="13">
        <v>2.2979378402233119</v>
      </c>
      <c r="Y568" s="13">
        <v>0.27949147592071089</v>
      </c>
      <c r="Z568" s="63">
        <v>0.12162708278199121</v>
      </c>
    </row>
    <row r="569" spans="1:26" x14ac:dyDescent="0.2">
      <c r="A569" s="1">
        <v>567</v>
      </c>
      <c r="B569" s="2" t="s">
        <v>146</v>
      </c>
      <c r="C569" s="48" t="str">
        <f>HYPERLINK(AB2 &amp; "/bottle/sn_fec05c85454edafc4310636931b68fdb/rendering/00.obj", "3.43196777344")</f>
        <v>3.43196777344</v>
      </c>
      <c r="D569" s="23" t="str">
        <f>HYPERLINK(AB2 &amp; "/bottle/sn_fec05c85454edafc4310636931b68fdb/rendering/01.obj", "3.4891418457")</f>
        <v>3.4891418457</v>
      </c>
      <c r="E569" s="60" t="str">
        <f>HYPERLINK(AB2 &amp; "/bottle/sn_fec05c85454edafc4310636931b68fdb/rendering/02.obj", "3.52890319824")</f>
        <v>3.52890319824</v>
      </c>
      <c r="F569" s="38" t="str">
        <f>HYPERLINK(AB2 &amp; "/bottle/sn_fec05c85454edafc4310636931b68fdb/rendering/03.obj", "3.0541583252")</f>
        <v>3.0541583252</v>
      </c>
      <c r="G569" s="47" t="str">
        <f>HYPERLINK(AB2 &amp; "/bottle/sn_fec05c85454edafc4310636931b68fdb/rendering/04.obj", "3.37873352051")</f>
        <v>3.37873352051</v>
      </c>
      <c r="H569" s="48" t="str">
        <f>HYPERLINK(AB2 &amp; "/bottle/sn_fec05c85454edafc4310636931b68fdb/rendering/05.obj", "3.42770019531")</f>
        <v>3.42770019531</v>
      </c>
      <c r="I569" s="25" t="str">
        <f>HYPERLINK(AB2 &amp; "/bottle/sn_fec05c85454edafc4310636931b68fdb/rendering/06.obj", "3.3916104126")</f>
        <v>3.3916104126</v>
      </c>
      <c r="J569" s="25" t="str">
        <f>HYPERLINK(AB2 &amp; "/bottle/sn_fec05c85454edafc4310636931b68fdb/rendering/07.obj", "3.39210601807")</f>
        <v>3.39210601807</v>
      </c>
      <c r="K569" s="67" t="str">
        <f>HYPERLINK(AB2 &amp; "/bottle/sn_fec05c85454edafc4310636931b68fdb/rendering/08.obj", "3.03859191895")</f>
        <v>3.03859191895</v>
      </c>
      <c r="L569" s="41" t="str">
        <f>HYPERLINK(AB2 &amp; "/bottle/sn_fec05c85454edafc4310636931b68fdb/rendering/09.obj", "3.12290588379")</f>
        <v>3.12290588379</v>
      </c>
      <c r="M569" s="30" t="str">
        <f>HYPERLINK(AB2 &amp; "/bottle/sn_fec05c85454edafc4310636931b68fdb/rendering/10.obj", "3.33360443115")</f>
        <v>3.33360443115</v>
      </c>
      <c r="N569" s="94" t="str">
        <f>HYPERLINK(AB2 &amp; "/bottle/sn_fec05c85454edafc4310636931b68fdb/rendering/11.obj", "3.60094573975")</f>
        <v>3.60094573975</v>
      </c>
      <c r="O569" s="91" t="str">
        <f>HYPERLINK(AB2 &amp; "/bottle/sn_fec05c85454edafc4310636931b68fdb/rendering/12.obj", "3.44401794434")</f>
        <v>3.44401794434</v>
      </c>
      <c r="P569" s="46" t="str">
        <f>HYPERLINK(AB2 &amp; "/bottle/sn_fec05c85454edafc4310636931b68fdb/rendering/13.obj", "3.40597473145")</f>
        <v>3.40597473145</v>
      </c>
      <c r="Q569" s="73" t="str">
        <f>HYPERLINK(AB2 &amp; "/bottle/sn_fec05c85454edafc4310636931b68fdb/rendering/14.obj", "3.23470977783")</f>
        <v>3.23470977783</v>
      </c>
      <c r="R569" s="13" t="str">
        <f>HYPERLINK(AB2 &amp; "/bottle/sn_fec05c85454edafc4310636931b68fdb/rendering/15.obj", "3.35104064941")</f>
        <v>3.35104064941</v>
      </c>
      <c r="S569" s="30" t="str">
        <f>HYPERLINK(AB2 &amp; "/bottle/sn_fec05c85454edafc4310636931b68fdb/rendering/16.obj", "3.36419067383")</f>
        <v>3.36419067383</v>
      </c>
      <c r="T569" s="91" t="str">
        <f>HYPERLINK(AB2 &amp; "/bottle/sn_fec05c85454edafc4310636931b68fdb/rendering/17.obj", "3.43992858887")</f>
        <v>3.43992858887</v>
      </c>
      <c r="U569" s="34" t="str">
        <f>HYPERLINK(AB2 &amp; "/bottle/sn_fec05c85454edafc4310636931b68fdb/rendering/18.obj", "3.18582092285")</f>
        <v>3.18582092285</v>
      </c>
      <c r="V569" s="91" t="str">
        <f>HYPERLINK(AB2 &amp; "/bottle/sn_fec05c85454edafc4310636931b68fdb/rendering/19.obj", "3.43698455811")</f>
        <v>3.43698455811</v>
      </c>
      <c r="W569" s="12" t="s">
        <v>31</v>
      </c>
      <c r="X569" s="13">
        <v>3.3526518554687499</v>
      </c>
      <c r="Y569" s="13">
        <v>0.14759722783208989</v>
      </c>
      <c r="Z569" s="6">
        <v>4.4024024621385459E-2</v>
      </c>
    </row>
    <row r="570" spans="1:26" x14ac:dyDescent="0.2">
      <c r="A570" s="1">
        <v>568</v>
      </c>
      <c r="B570" s="2" t="s">
        <v>146</v>
      </c>
      <c r="C570" s="34" t="str">
        <f>HYPERLINK(AB2 &amp; "/bottle/sn_fec05c85454edafc4310636931b68fdb/rendering/00.obj", "2.60190057755")</f>
        <v>2.60190057755</v>
      </c>
      <c r="D570" s="38" t="str">
        <f>HYPERLINK(AB2 &amp; "/bottle/sn_fec05c85454edafc4310636931b68fdb/rendering/01.obj", "2.70181488991")</f>
        <v>2.70181488991</v>
      </c>
      <c r="E570" s="32" t="str">
        <f>HYPERLINK(AB2 &amp; "/bottle/sn_fec05c85454edafc4310636931b68fdb/rendering/02.obj", "2.74624252319")</f>
        <v>2.74624252319</v>
      </c>
      <c r="F570" s="66" t="str">
        <f>HYPERLINK(AB2 &amp; "/bottle/sn_fec05c85454edafc4310636931b68fdb/rendering/03.obj", "2.08390450478")</f>
        <v>2.08390450478</v>
      </c>
      <c r="G570" s="91" t="str">
        <f>HYPERLINK(AB2 &amp; "/bottle/sn_fec05c85454edafc4310636931b68fdb/rendering/04.obj", "2.55294036865")</f>
        <v>2.55294036865</v>
      </c>
      <c r="H570" s="6" t="str">
        <f>HYPERLINK(AB2 &amp; "/bottle/sn_fec05c85454edafc4310636931b68fdb/rendering/05.obj", "2.59968471527")</f>
        <v>2.59968471527</v>
      </c>
      <c r="I570" s="46" t="str">
        <f>HYPERLINK(AB2 &amp; "/bottle/sn_fec05c85454edafc4310636931b68fdb/rendering/06.obj", "2.52909374237")</f>
        <v>2.52909374237</v>
      </c>
      <c r="J570" s="68" t="str">
        <f>HYPERLINK(AB2 &amp; "/bottle/sn_fec05c85454edafc4310636931b68fdb/rendering/07.obj", "2.5904507637")</f>
        <v>2.5904507637</v>
      </c>
      <c r="K570" s="134" t="str">
        <f>HYPERLINK(AB2 &amp; "/bottle/sn_fec05c85454edafc4310636931b68fdb/rendering/08.obj", "2.03160333633")</f>
        <v>2.03160333633</v>
      </c>
      <c r="L570" s="76" t="str">
        <f>HYPERLINK(AB2 &amp; "/bottle/sn_fec05c85454edafc4310636931b68fdb/rendering/09.obj", "2.03118419647")</f>
        <v>2.03118419647</v>
      </c>
      <c r="M570" s="34" t="str">
        <f>HYPERLINK(AB2 &amp; "/bottle/sn_fec05c85454edafc4310636931b68fdb/rendering/10.obj", "2.60510015488")</f>
        <v>2.60510015488</v>
      </c>
      <c r="N570" s="29" t="str">
        <f>HYPERLINK(AB2 &amp; "/bottle/sn_fec05c85454edafc4310636931b68fdb/rendering/11.obj", "2.80740976334")</f>
        <v>2.80740976334</v>
      </c>
      <c r="O570" s="68" t="str">
        <f>HYPERLINK(AB2 &amp; "/bottle/sn_fec05c85454edafc4310636931b68fdb/rendering/12.obj", "2.58961844444")</f>
        <v>2.58961844444</v>
      </c>
      <c r="P570" s="30" t="str">
        <f>HYPERLINK(AB2 &amp; "/bottle/sn_fec05c85454edafc4310636931b68fdb/rendering/13.obj", "2.49201273918")</f>
        <v>2.49201273918</v>
      </c>
      <c r="Q570" s="39" t="str">
        <f>HYPERLINK(AB2 &amp; "/bottle/sn_fec05c85454edafc4310636931b68fdb/rendering/14.obj", "2.26973199844")</f>
        <v>2.26973199844</v>
      </c>
      <c r="R570" s="48" t="str">
        <f>HYPERLINK(AB2 &amp; "/bottle/sn_fec05c85454edafc4310636931b68fdb/rendering/15.obj", "2.5395154953")</f>
        <v>2.5395154953</v>
      </c>
      <c r="S570" s="73" t="str">
        <f>HYPERLINK(AB2 &amp; "/bottle/sn_fec05c85454edafc4310636931b68fdb/rendering/16.obj", "2.57275366783")</f>
        <v>2.57275366783</v>
      </c>
      <c r="T570" s="34" t="str">
        <f>HYPERLINK(AB2 &amp; "/bottle/sn_fec05c85454edafc4310636931b68fdb/rendering/17.obj", "2.6068379879")</f>
        <v>2.6068379879</v>
      </c>
      <c r="U570" s="84" t="str">
        <f>HYPERLINK(AB2 &amp; "/bottle/sn_fec05c85454edafc4310636931b68fdb/rendering/18.obj", "2.12238526344")</f>
        <v>2.12238526344</v>
      </c>
      <c r="V570" s="68" t="str">
        <f>HYPERLINK(AB2 &amp; "/bottle/sn_fec05c85454edafc4310636931b68fdb/rendering/19.obj", "2.58584189415")</f>
        <v>2.58584189415</v>
      </c>
      <c r="W570" s="12" t="s">
        <v>32</v>
      </c>
      <c r="X570" s="13">
        <v>2.4830013513565059</v>
      </c>
      <c r="Y570" s="13">
        <v>0.23183528715352181</v>
      </c>
      <c r="Z570" s="67">
        <v>9.336897341069357E-2</v>
      </c>
    </row>
    <row r="571" spans="1:26" x14ac:dyDescent="0.2">
      <c r="A571" s="1">
        <v>569</v>
      </c>
      <c r="B571" s="2" t="s">
        <v>146</v>
      </c>
      <c r="C571" s="13" t="str">
        <f>HYPERLINK(AC2 &amp; "/bottle/sn_fec05c85454edafc4310636931b68fdb/rendering/00.xyz", "0.0")</f>
        <v>0.0</v>
      </c>
      <c r="D571" s="13" t="str">
        <f>HYPERLINK(AC2 &amp; "/bottle/sn_fec05c85454edafc4310636931b68fdb/rendering/01.xyz", "0.0")</f>
        <v>0.0</v>
      </c>
      <c r="E571" s="13" t="str">
        <f>HYPERLINK(AC2 &amp; "/bottle/sn_fec05c85454edafc4310636931b68fdb/rendering/02.xyz", "0.0")</f>
        <v>0.0</v>
      </c>
      <c r="F571" s="13" t="str">
        <f>HYPERLINK(AC2 &amp; "/bottle/sn_fec05c85454edafc4310636931b68fdb/rendering/03.xyz", "0.0")</f>
        <v>0.0</v>
      </c>
      <c r="G571" s="13" t="str">
        <f>HYPERLINK(AC2 &amp; "/bottle/sn_fec05c85454edafc4310636931b68fdb/rendering/04.xyz", "0.0")</f>
        <v>0.0</v>
      </c>
      <c r="H571" s="13" t="str">
        <f>HYPERLINK(AC2 &amp; "/bottle/sn_fec05c85454edafc4310636931b68fdb/rendering/05.xyz", "0.0")</f>
        <v>0.0</v>
      </c>
      <c r="I571" s="13" t="str">
        <f>HYPERLINK(AC2 &amp; "/bottle/sn_fec05c85454edafc4310636931b68fdb/rendering/06.xyz", "0.0")</f>
        <v>0.0</v>
      </c>
      <c r="J571" s="13" t="str">
        <f>HYPERLINK(AC2 &amp; "/bottle/sn_fec05c85454edafc4310636931b68fdb/rendering/07.xyz", "0.0")</f>
        <v>0.0</v>
      </c>
      <c r="K571" s="13" t="str">
        <f>HYPERLINK(AC2 &amp; "/bottle/sn_fec05c85454edafc4310636931b68fdb/rendering/08.xyz", "0.0")</f>
        <v>0.0</v>
      </c>
      <c r="L571" s="13" t="str">
        <f>HYPERLINK(AC2 &amp; "/bottle/sn_fec05c85454edafc4310636931b68fdb/rendering/09.xyz", "0.0")</f>
        <v>0.0</v>
      </c>
      <c r="M571" s="13" t="str">
        <f>HYPERLINK(AC2 &amp; "/bottle/sn_fec05c85454edafc4310636931b68fdb/rendering/10.xyz", "0.0")</f>
        <v>0.0</v>
      </c>
      <c r="N571" s="13" t="str">
        <f>HYPERLINK(AC2 &amp; "/bottle/sn_fec05c85454edafc4310636931b68fdb/rendering/11.xyz", "0.0")</f>
        <v>0.0</v>
      </c>
      <c r="O571" s="13" t="str">
        <f>HYPERLINK(AC2 &amp; "/bottle/sn_fec05c85454edafc4310636931b68fdb/rendering/12.xyz", "0.0")</f>
        <v>0.0</v>
      </c>
      <c r="P571" s="13" t="str">
        <f>HYPERLINK(AC2 &amp; "/bottle/sn_fec05c85454edafc4310636931b68fdb/rendering/13.xyz", "0.0")</f>
        <v>0.0</v>
      </c>
      <c r="Q571" s="13" t="str">
        <f>HYPERLINK(AC2 &amp; "/bottle/sn_fec05c85454edafc4310636931b68fdb/rendering/14.xyz", "0.0")</f>
        <v>0.0</v>
      </c>
      <c r="R571" s="13" t="str">
        <f>HYPERLINK(AC2 &amp; "/bottle/sn_fec05c85454edafc4310636931b68fdb/rendering/15.xyz", "0.0")</f>
        <v>0.0</v>
      </c>
      <c r="S571" s="13" t="str">
        <f>HYPERLINK(AC2 &amp; "/bottle/sn_fec05c85454edafc4310636931b68fdb/rendering/16.xyz", "0.0")</f>
        <v>0.0</v>
      </c>
      <c r="T571" s="13" t="str">
        <f>HYPERLINK(AC2 &amp; "/bottle/sn_fec05c85454edafc4310636931b68fdb/rendering/17.xyz", "0.0")</f>
        <v>0.0</v>
      </c>
      <c r="U571" s="13" t="str">
        <f>HYPERLINK(AC2 &amp; "/bottle/sn_fec05c85454edafc4310636931b68fdb/rendering/18.xyz", "0.0")</f>
        <v>0.0</v>
      </c>
      <c r="V571" s="13" t="str">
        <f>HYPERLINK(AC2 &amp; "/bottle/sn_fec05c85454edafc4310636931b68fdb/rendering/19.xyz", "0.0")</f>
        <v>0.0</v>
      </c>
      <c r="W571" s="12" t="s">
        <v>33</v>
      </c>
      <c r="X571" s="13">
        <v>0</v>
      </c>
      <c r="Y571" s="13">
        <v>0</v>
      </c>
      <c r="Z571" s="13">
        <v>0</v>
      </c>
    </row>
    <row r="572" spans="1:26" x14ac:dyDescent="0.2">
      <c r="A572" s="1">
        <v>570</v>
      </c>
      <c r="B572" s="2" t="s">
        <v>147</v>
      </c>
      <c r="C572" s="110" t="str">
        <f>HYPERLINK(AA2 &amp; "/bottle/sn_ff13595434879bba557ef92e2fa0ccb2/rendering/00.obj", "1.84613388062")</f>
        <v>1.84613388062</v>
      </c>
      <c r="D572" s="39" t="str">
        <f>HYPERLINK(AA2 &amp; "/bottle/sn_ff13595434879bba557ef92e2fa0ccb2/rendering/01.obj", "2.22915710449")</f>
        <v>2.22915710449</v>
      </c>
      <c r="E572" s="17" t="str">
        <f>HYPERLINK(AA2 &amp; "/bottle/sn_ff13595434879bba557ef92e2fa0ccb2/rendering/02.obj", "2.09549560547")</f>
        <v>2.09549560547</v>
      </c>
      <c r="F572" s="72" t="str">
        <f>HYPERLINK(AA2 &amp; "/bottle/sn_ff13595434879bba557ef92e2fa0ccb2/rendering/03.obj", "1.9803024292")</f>
        <v>1.9803024292</v>
      </c>
      <c r="G572" s="17" t="str">
        <f>HYPERLINK(AA2 &amp; "/bottle/sn_ff13595434879bba557ef92e2fa0ccb2/rendering/04.obj", "2.00805923462")</f>
        <v>2.00805923462</v>
      </c>
      <c r="H572" s="51" t="str">
        <f>HYPERLINK(AA2 &amp; "/bottle/sn_ff13595434879bba557ef92e2fa0ccb2/rendering/05.obj", "1.88404388428")</f>
        <v>1.88404388428</v>
      </c>
      <c r="I572" s="6" t="str">
        <f>HYPERLINK(AA2 &amp; "/bottle/sn_ff13595434879bba557ef92e2fa0ccb2/rendering/06.obj", "2.14574356079")</f>
        <v>2.14574356079</v>
      </c>
      <c r="J572" s="48" t="str">
        <f>HYPERLINK(AA2 &amp; "/bottle/sn_ff13595434879bba557ef92e2fa0ccb2/rendering/07.obj", "2.00351791382")</f>
        <v>2.00351791382</v>
      </c>
      <c r="K572" s="107" t="str">
        <f>HYPERLINK(AA2 &amp; "/bottle/sn_ff13595434879bba557ef92e2fa0ccb2/rendering/08.obj", "1.88189941406")</f>
        <v>1.88189941406</v>
      </c>
      <c r="L572" s="74" t="str">
        <f>HYPERLINK(AA2 &amp; "/bottle/sn_ff13595434879bba557ef92e2fa0ccb2/rendering/09.obj", "2.02201904297")</f>
        <v>2.02201904297</v>
      </c>
      <c r="M572" s="110" t="str">
        <f>HYPERLINK(AA2 &amp; "/bottle/sn_ff13595434879bba557ef92e2fa0ccb2/rendering/10.obj", "1.84757736206")</f>
        <v>1.84757736206</v>
      </c>
      <c r="N572" s="72" t="str">
        <f>HYPERLINK(AA2 &amp; "/bottle/sn_ff13595434879bba557ef92e2fa0ccb2/rendering/11.obj", "2.12036102295")</f>
        <v>2.12036102295</v>
      </c>
      <c r="O572" s="29" t="str">
        <f>HYPERLINK(AA2 &amp; "/bottle/sn_ff13595434879bba557ef92e2fa0ccb2/rendering/12.obj", "1.78664154053")</f>
        <v>1.78664154053</v>
      </c>
      <c r="P572" s="27" t="str">
        <f>HYPERLINK(AA2 &amp; "/bottle/sn_ff13595434879bba557ef92e2fa0ccb2/rendering/13.obj", "1.90427536011")</f>
        <v>1.90427536011</v>
      </c>
      <c r="Q572" s="30" t="str">
        <f>HYPERLINK(AA2 &amp; "/bottle/sn_ff13595434879bba557ef92e2fa0ccb2/rendering/14.obj", "2.06115447998")</f>
        <v>2.06115447998</v>
      </c>
      <c r="R572" s="8" t="str">
        <f>HYPERLINK(AA2 &amp; "/bottle/sn_ff13595434879bba557ef92e2fa0ccb2/rendering/15.obj", "1.75763641357")</f>
        <v>1.75763641357</v>
      </c>
      <c r="S572" s="110" t="str">
        <f>HYPERLINK(AA2 &amp; "/bottle/sn_ff13595434879bba557ef92e2fa0ccb2/rendering/16.obj", "1.85122039795")</f>
        <v>1.85122039795</v>
      </c>
      <c r="T572" s="41" t="str">
        <f>HYPERLINK(AA2 &amp; "/bottle/sn_ff13595434879bba557ef92e2fa0ccb2/rendering/17.obj", "2.18733581543")</f>
        <v>2.18733581543</v>
      </c>
      <c r="U572" s="34" t="str">
        <f>HYPERLINK(AA2 &amp; "/bottle/sn_ff13595434879bba557ef92e2fa0ccb2/rendering/18.obj", "2.14865356445")</f>
        <v>2.14865356445</v>
      </c>
      <c r="V572" s="251" t="str">
        <f>HYPERLINK(AA2 &amp; "/bottle/sn_ff13595434879bba557ef92e2fa0ccb2/rendering/19.obj", "3.25559783936")</f>
        <v>3.25559783936</v>
      </c>
      <c r="W572" s="12" t="s">
        <v>29</v>
      </c>
      <c r="X572" s="13">
        <v>2.0508412933349609</v>
      </c>
      <c r="Y572" s="13">
        <v>0.30772826420878879</v>
      </c>
      <c r="Z572" s="80">
        <v>0.15004976992070351</v>
      </c>
    </row>
    <row r="573" spans="1:26" x14ac:dyDescent="0.2">
      <c r="A573" s="1">
        <v>571</v>
      </c>
      <c r="B573" s="2" t="s">
        <v>147</v>
      </c>
      <c r="C573" s="67" t="str">
        <f>HYPERLINK(AA2 &amp; "/bottle/sn_ff13595434879bba557ef92e2fa0ccb2/rendering/00.obj", "1.92262101173")</f>
        <v>1.92262101173</v>
      </c>
      <c r="D573" s="25" t="str">
        <f>HYPERLINK(AA2 &amp; "/bottle/sn_ff13595434879bba557ef92e2fa0ccb2/rendering/01.obj", "2.09543895721")</f>
        <v>2.09543895721</v>
      </c>
      <c r="E573" s="51" t="str">
        <f>HYPERLINK(AA2 &amp; "/bottle/sn_ff13595434879bba557ef92e2fa0ccb2/rendering/02.obj", "1.94793903828")</f>
        <v>1.94793903828</v>
      </c>
      <c r="F573" s="94" t="str">
        <f>HYPERLINK(AA2 &amp; "/bottle/sn_ff13595434879bba557ef92e2fa0ccb2/rendering/03.obj", "1.95751559734")</f>
        <v>1.95751559734</v>
      </c>
      <c r="G573" s="46" t="str">
        <f>HYPERLINK(AA2 &amp; "/bottle/sn_ff13595434879bba557ef92e2fa0ccb2/rendering/04.obj", "2.08108043671")</f>
        <v>2.08108043671</v>
      </c>
      <c r="H573" s="67" t="str">
        <f>HYPERLINK(AA2 &amp; "/bottle/sn_ff13595434879bba557ef92e2fa0ccb2/rendering/05.obj", "1.92200219631")</f>
        <v>1.92200219631</v>
      </c>
      <c r="I573" s="93" t="str">
        <f>HYPERLINK(AA2 &amp; "/bottle/sn_ff13595434879bba557ef92e2fa0ccb2/rendering/06.obj", "2.41421675682")</f>
        <v>2.41421675682</v>
      </c>
      <c r="J573" s="73" t="str">
        <f>HYPERLINK(AA2 &amp; "/bottle/sn_ff13595434879bba557ef92e2fa0ccb2/rendering/07.obj", "2.19211363792")</f>
        <v>2.19211363792</v>
      </c>
      <c r="K573" s="68" t="str">
        <f>HYPERLINK(AA2 &amp; "/bottle/sn_ff13595434879bba557ef92e2fa0ccb2/rendering/08.obj", "2.02860689163")</f>
        <v>2.02860689163</v>
      </c>
      <c r="L573" s="30" t="str">
        <f>HYPERLINK(AA2 &amp; "/bottle/sn_ff13595434879bba557ef92e2fa0ccb2/rendering/09.obj", "2.12552571297")</f>
        <v>2.12552571297</v>
      </c>
      <c r="M573" s="94" t="str">
        <f>HYPERLINK(AA2 &amp; "/bottle/sn_ff13595434879bba557ef92e2fa0ccb2/rendering/10.obj", "1.95995473862")</f>
        <v>1.95995473862</v>
      </c>
      <c r="N573" s="133" t="str">
        <f>HYPERLINK(AA2 &amp; "/bottle/sn_ff13595434879bba557ef92e2fa0ccb2/rendering/11.obj", "1.90050756931")</f>
        <v>1.90050756931</v>
      </c>
      <c r="O573" s="70" t="str">
        <f>HYPERLINK(AA2 &amp; "/bottle/sn_ff13595434879bba557ef92e2fa0ccb2/rendering/12.obj", "1.85001301765")</f>
        <v>1.85001301765</v>
      </c>
      <c r="P573" s="47" t="str">
        <f>HYPERLINK(AA2 &amp; "/bottle/sn_ff13595434879bba557ef92e2fa0ccb2/rendering/13.obj", "2.09942388535")</f>
        <v>2.09942388535</v>
      </c>
      <c r="Q573" s="17" t="str">
        <f>HYPERLINK(AA2 &amp; "/bottle/sn_ff13595434879bba557ef92e2fa0ccb2/rendering/14.obj", "2.15729641914")</f>
        <v>2.15729641914</v>
      </c>
      <c r="R573" s="106" t="str">
        <f>HYPERLINK(AA2 &amp; "/bottle/sn_ff13595434879bba557ef92e2fa0ccb2/rendering/15.obj", "1.87458848953")</f>
        <v>1.87458848953</v>
      </c>
      <c r="S573" s="28" t="str">
        <f>HYPERLINK(AA2 &amp; "/bottle/sn_ff13595434879bba557ef92e2fa0ccb2/rendering/16.obj", "1.87740707397")</f>
        <v>1.87740707397</v>
      </c>
      <c r="T573" s="8" t="str">
        <f>HYPERLINK(AA2 &amp; "/bottle/sn_ff13595434879bba557ef92e2fa0ccb2/rendering/17.obj", "2.42085433006")</f>
        <v>2.42085433006</v>
      </c>
      <c r="U573" s="70" t="str">
        <f>HYPERLINK(AA2 &amp; "/bottle/sn_ff13595434879bba557ef92e2fa0ccb2/rendering/18.obj", "2.38739514351")</f>
        <v>2.38739514351</v>
      </c>
      <c r="V573" s="203" t="str">
        <f>HYPERLINK(AA2 &amp; "/bottle/sn_ff13595434879bba557ef92e2fa0ccb2/rendering/19.obj", "3.10113763809")</f>
        <v>3.10113763809</v>
      </c>
      <c r="W573" s="12" t="s">
        <v>30</v>
      </c>
      <c r="X573" s="13">
        <v>2.115781927108765</v>
      </c>
      <c r="Y573" s="13">
        <v>0.28533300471032519</v>
      </c>
      <c r="Z573" s="65">
        <v>0.1348593638382361</v>
      </c>
    </row>
    <row r="574" spans="1:26" x14ac:dyDescent="0.2">
      <c r="A574" s="1">
        <v>572</v>
      </c>
      <c r="B574" s="2" t="s">
        <v>147</v>
      </c>
      <c r="C574" s="26" t="str">
        <f>HYPERLINK(AB2 &amp; "/bottle/sn_ff13595434879bba557ef92e2fa0ccb2/rendering/00.obj", "2.87807220459")</f>
        <v>2.87807220459</v>
      </c>
      <c r="D574" s="91" t="str">
        <f>HYPERLINK(AB2 &amp; "/bottle/sn_ff13595434879bba557ef92e2fa0ccb2/rendering/01.obj", "2.77437805176")</f>
        <v>2.77437805176</v>
      </c>
      <c r="E574" s="26" t="str">
        <f>HYPERLINK(AB2 &amp; "/bottle/sn_ff13595434879bba557ef92e2fa0ccb2/rendering/02.obj", "2.87150756836")</f>
        <v>2.87150756836</v>
      </c>
      <c r="F574" s="69" t="str">
        <f>HYPERLINK(AB2 &amp; "/bottle/sn_ff13595434879bba557ef92e2fa0ccb2/rendering/03.obj", "2.78375915527")</f>
        <v>2.78375915527</v>
      </c>
      <c r="G574" s="51" t="str">
        <f>HYPERLINK(AB2 &amp; "/bottle/sn_ff13595434879bba557ef92e2fa0ccb2/rendering/04.obj", "2.48403259277")</f>
        <v>2.48403259277</v>
      </c>
      <c r="H574" s="35" t="str">
        <f>HYPERLINK(AB2 &amp; "/bottle/sn_ff13595434879bba557ef92e2fa0ccb2/rendering/05.obj", "2.85919189453")</f>
        <v>2.85919189453</v>
      </c>
      <c r="I574" s="30" t="str">
        <f>HYPERLINK(AB2 &amp; "/bottle/sn_ff13595434879bba557ef92e2fa0ccb2/rendering/06.obj", "2.68535705566")</f>
        <v>2.68535705566</v>
      </c>
      <c r="J574" s="107" t="str">
        <f>HYPERLINK(AB2 &amp; "/bottle/sn_ff13595434879bba557ef92e2fa0ccb2/rendering/07.obj", "2.92897216797")</f>
        <v>2.92897216797</v>
      </c>
      <c r="K574" s="41" t="str">
        <f>HYPERLINK(AB2 &amp; "/bottle/sn_ff13595434879bba557ef92e2fa0ccb2/rendering/08.obj", "2.51693023682")</f>
        <v>2.51693023682</v>
      </c>
      <c r="L574" s="106" t="str">
        <f>HYPERLINK(AB2 &amp; "/bottle/sn_ff13595434879bba557ef92e2fa0ccb2/rendering/09.obj", "2.39596740723")</f>
        <v>2.39596740723</v>
      </c>
      <c r="M574" s="94" t="str">
        <f>HYPERLINK(AB2 &amp; "/bottle/sn_ff13595434879bba557ef92e2fa0ccb2/rendering/10.obj", "2.9020022583")</f>
        <v>2.9020022583</v>
      </c>
      <c r="N574" s="25" t="str">
        <f>HYPERLINK(AB2 &amp; "/bottle/sn_ff13595434879bba557ef92e2fa0ccb2/rendering/11.obj", "2.73205322266")</f>
        <v>2.73205322266</v>
      </c>
      <c r="O574" s="41" t="str">
        <f>HYPERLINK(AB2 &amp; "/bottle/sn_ff13595434879bba557ef92e2fa0ccb2/rendering/12.obj", "2.88122924805")</f>
        <v>2.88122924805</v>
      </c>
      <c r="P574" s="90" t="str">
        <f>HYPERLINK(AB2 &amp; "/bottle/sn_ff13595434879bba557ef92e2fa0ccb2/rendering/13.obj", "2.44715240479")</f>
        <v>2.44715240479</v>
      </c>
      <c r="Q574" s="25" t="str">
        <f>HYPERLINK(AB2 &amp; "/bottle/sn_ff13595434879bba557ef92e2fa0ccb2/rendering/14.obj", "2.67555480957")</f>
        <v>2.67555480957</v>
      </c>
      <c r="R574" s="30" t="str">
        <f>HYPERLINK(AB2 &amp; "/bottle/sn_ff13595434879bba557ef92e2fa0ccb2/rendering/15.obj", "2.71586486816")</f>
        <v>2.71586486816</v>
      </c>
      <c r="S574" s="30" t="str">
        <f>HYPERLINK(AB2 &amp; "/bottle/sn_ff13595434879bba557ef92e2fa0ccb2/rendering/16.obj", "2.68765441895")</f>
        <v>2.68765441895</v>
      </c>
      <c r="T574" s="24" t="str">
        <f>HYPERLINK(AB2 &amp; "/bottle/sn_ff13595434879bba557ef92e2fa0ccb2/rendering/17.obj", "2.24790710449")</f>
        <v>2.24790710449</v>
      </c>
      <c r="U574" s="90" t="str">
        <f>HYPERLINK(AB2 &amp; "/bottle/sn_ff13595434879bba557ef92e2fa0ccb2/rendering/18.obj", "2.44674407959")</f>
        <v>2.44674407959</v>
      </c>
      <c r="V574" s="31" t="str">
        <f>HYPERLINK(AB2 &amp; "/bottle/sn_ff13595434879bba557ef92e2fa0ccb2/rendering/19.obj", "3.11774963379")</f>
        <v>3.11774963379</v>
      </c>
      <c r="W574" s="12" t="s">
        <v>31</v>
      </c>
      <c r="X574" s="13">
        <v>2.701604019165039</v>
      </c>
      <c r="Y574" s="13">
        <v>0.21293767180749551</v>
      </c>
      <c r="Z574" s="51">
        <v>7.8818979501409772E-2</v>
      </c>
    </row>
    <row r="575" spans="1:26" x14ac:dyDescent="0.2">
      <c r="A575" s="1">
        <v>573</v>
      </c>
      <c r="B575" s="2" t="s">
        <v>147</v>
      </c>
      <c r="C575" s="72" t="str">
        <f>HYPERLINK(AB2 &amp; "/bottle/sn_ff13595434879bba557ef92e2fa0ccb2/rendering/00.obj", "2.42050886154")</f>
        <v>2.42050886154</v>
      </c>
      <c r="D575" s="72" t="str">
        <f>HYPERLINK(AB2 &amp; "/bottle/sn_ff13595434879bba557ef92e2fa0ccb2/rendering/01.obj", "2.42369580269")</f>
        <v>2.42369580269</v>
      </c>
      <c r="E575" s="67" t="str">
        <f>HYPERLINK(AB2 &amp; "/bottle/sn_ff13595434879bba557ef92e2fa0ccb2/rendering/02.obj", "2.56174612045")</f>
        <v>2.56174612045</v>
      </c>
      <c r="F575" s="69" t="str">
        <f>HYPERLINK(AB2 &amp; "/bottle/sn_ff13595434879bba557ef92e2fa0ccb2/rendering/03.obj", "2.4129679203")</f>
        <v>2.4129679203</v>
      </c>
      <c r="G575" s="83" t="str">
        <f>HYPERLINK(AB2 &amp; "/bottle/sn_ff13595434879bba557ef92e2fa0ccb2/rendering/04.obj", "2.69950318336")</f>
        <v>2.69950318336</v>
      </c>
      <c r="H575" s="13" t="str">
        <f>HYPERLINK(AB2 &amp; "/bottle/sn_ff13595434879bba557ef92e2fa0ccb2/rendering/05.obj", "2.34779119492")</f>
        <v>2.34779119492</v>
      </c>
      <c r="I575" s="70" t="str">
        <f>HYPERLINK(AB2 &amp; "/bottle/sn_ff13595434879bba557ef92e2fa0ccb2/rendering/06.obj", "2.04667687416")</f>
        <v>2.04667687416</v>
      </c>
      <c r="J575" s="13" t="str">
        <f>HYPERLINK(AB2 &amp; "/bottle/sn_ff13595434879bba557ef92e2fa0ccb2/rendering/07.obj", "2.33953237534")</f>
        <v>2.33953237534</v>
      </c>
      <c r="K575" s="47" t="str">
        <f>HYPERLINK(AB2 &amp; "/bottle/sn_ff13595434879bba557ef92e2fa0ccb2/rendering/08.obj", "2.32720923424")</f>
        <v>2.32720923424</v>
      </c>
      <c r="L575" s="106" t="str">
        <f>HYPERLINK(AB2 &amp; "/bottle/sn_ff13595434879bba557ef92e2fa0ccb2/rendering/09.obj", "2.07990145683")</f>
        <v>2.07990145683</v>
      </c>
      <c r="M575" s="47" t="str">
        <f>HYPERLINK(AB2 &amp; "/bottle/sn_ff13595434879bba557ef92e2fa0ccb2/rendering/10.obj", "2.32327270508")</f>
        <v>2.32327270508</v>
      </c>
      <c r="N575" s="48" t="str">
        <f>HYPERLINK(AB2 &amp; "/bottle/sn_ff13595434879bba557ef92e2fa0ccb2/rendering/11.obj", "2.40161776543")</f>
        <v>2.40161776543</v>
      </c>
      <c r="O575" s="68" t="str">
        <f>HYPERLINK(AB2 &amp; "/bottle/sn_ff13595434879bba557ef92e2fa0ccb2/rendering/12.obj", "2.44587063789")</f>
        <v>2.44587063789</v>
      </c>
      <c r="P575" s="25" t="str">
        <f>HYPERLINK(AB2 &amp; "/bottle/sn_ff13595434879bba557ef92e2fa0ccb2/rendering/13.obj", "2.31668663025")</f>
        <v>2.31668663025</v>
      </c>
      <c r="Q575" s="25" t="str">
        <f>HYPERLINK(AB2 &amp; "/bottle/sn_ff13595434879bba557ef92e2fa0ccb2/rendering/14.obj", "2.31649446487")</f>
        <v>2.31649446487</v>
      </c>
      <c r="R575" s="26" t="str">
        <f>HYPERLINK(AB2 &amp; "/bottle/sn_ff13595434879bba557ef92e2fa0ccb2/rendering/15.obj", "2.19677376747")</f>
        <v>2.19677376747</v>
      </c>
      <c r="S575" s="133" t="str">
        <f>HYPERLINK(AB2 &amp; "/bottle/sn_ff13595434879bba557ef92e2fa0ccb2/rendering/16.obj", "2.10300183296")</f>
        <v>2.10300183296</v>
      </c>
      <c r="T575" s="133" t="str">
        <f>HYPERLINK(AB2 &amp; "/bottle/sn_ff13595434879bba557ef92e2fa0ccb2/rendering/17.obj", "2.1032063961")</f>
        <v>2.1032063961</v>
      </c>
      <c r="U575" s="51" t="str">
        <f>HYPERLINK(AB2 &amp; "/bottle/sn_ff13595434879bba557ef92e2fa0ccb2/rendering/18.obj", "2.53426194191")</f>
        <v>2.53426194191</v>
      </c>
      <c r="V575" s="41" t="str">
        <f>HYPERLINK(AB2 &amp; "/bottle/sn_ff13595434879bba557ef92e2fa0ccb2/rendering/19.obj", "2.50533938408")</f>
        <v>2.50533938408</v>
      </c>
      <c r="W575" s="12" t="s">
        <v>32</v>
      </c>
      <c r="X575" s="13">
        <v>2.3453029274940489</v>
      </c>
      <c r="Y575" s="13">
        <v>0.1680454925645733</v>
      </c>
      <c r="Z575" s="27">
        <v>7.1651934850108928E-2</v>
      </c>
    </row>
    <row r="576" spans="1:26" x14ac:dyDescent="0.2">
      <c r="A576" s="1">
        <v>574</v>
      </c>
      <c r="B576" s="2" t="s">
        <v>147</v>
      </c>
      <c r="C576" s="13" t="str">
        <f>HYPERLINK(AC2 &amp; "/bottle/sn_ff13595434879bba557ef92e2fa0ccb2/rendering/00.xyz", "0.0")</f>
        <v>0.0</v>
      </c>
      <c r="D576" s="13" t="str">
        <f>HYPERLINK(AC2 &amp; "/bottle/sn_ff13595434879bba557ef92e2fa0ccb2/rendering/01.xyz", "0.0")</f>
        <v>0.0</v>
      </c>
      <c r="E576" s="13" t="str">
        <f>HYPERLINK(AC2 &amp; "/bottle/sn_ff13595434879bba557ef92e2fa0ccb2/rendering/02.xyz", "0.0")</f>
        <v>0.0</v>
      </c>
      <c r="F576" s="13" t="str">
        <f>HYPERLINK(AC2 &amp; "/bottle/sn_ff13595434879bba557ef92e2fa0ccb2/rendering/03.xyz", "0.0")</f>
        <v>0.0</v>
      </c>
      <c r="G576" s="13" t="str">
        <f>HYPERLINK(AC2 &amp; "/bottle/sn_ff13595434879bba557ef92e2fa0ccb2/rendering/04.xyz", "0.0")</f>
        <v>0.0</v>
      </c>
      <c r="H576" s="13" t="str">
        <f>HYPERLINK(AC2 &amp; "/bottle/sn_ff13595434879bba557ef92e2fa0ccb2/rendering/05.xyz", "0.0")</f>
        <v>0.0</v>
      </c>
      <c r="I576" s="13" t="str">
        <f>HYPERLINK(AC2 &amp; "/bottle/sn_ff13595434879bba557ef92e2fa0ccb2/rendering/06.xyz", "0.0")</f>
        <v>0.0</v>
      </c>
      <c r="J576" s="13" t="str">
        <f>HYPERLINK(AC2 &amp; "/bottle/sn_ff13595434879bba557ef92e2fa0ccb2/rendering/07.xyz", "0.0")</f>
        <v>0.0</v>
      </c>
      <c r="K576" s="13" t="str">
        <f>HYPERLINK(AC2 &amp; "/bottle/sn_ff13595434879bba557ef92e2fa0ccb2/rendering/08.xyz", "0.0")</f>
        <v>0.0</v>
      </c>
      <c r="L576" s="13" t="str">
        <f>HYPERLINK(AC2 &amp; "/bottle/sn_ff13595434879bba557ef92e2fa0ccb2/rendering/09.xyz", "0.0")</f>
        <v>0.0</v>
      </c>
      <c r="M576" s="13" t="str">
        <f>HYPERLINK(AC2 &amp; "/bottle/sn_ff13595434879bba557ef92e2fa0ccb2/rendering/10.xyz", "0.0")</f>
        <v>0.0</v>
      </c>
      <c r="N576" s="13" t="str">
        <f>HYPERLINK(AC2 &amp; "/bottle/sn_ff13595434879bba557ef92e2fa0ccb2/rendering/11.xyz", "0.0")</f>
        <v>0.0</v>
      </c>
      <c r="O576" s="13" t="str">
        <f>HYPERLINK(AC2 &amp; "/bottle/sn_ff13595434879bba557ef92e2fa0ccb2/rendering/12.xyz", "0.0")</f>
        <v>0.0</v>
      </c>
      <c r="P576" s="13" t="str">
        <f>HYPERLINK(AC2 &amp; "/bottle/sn_ff13595434879bba557ef92e2fa0ccb2/rendering/13.xyz", "0.0")</f>
        <v>0.0</v>
      </c>
      <c r="Q576" s="13" t="str">
        <f>HYPERLINK(AC2 &amp; "/bottle/sn_ff13595434879bba557ef92e2fa0ccb2/rendering/14.xyz", "0.0")</f>
        <v>0.0</v>
      </c>
      <c r="R576" s="13" t="str">
        <f>HYPERLINK(AC2 &amp; "/bottle/sn_ff13595434879bba557ef92e2fa0ccb2/rendering/15.xyz", "0.0")</f>
        <v>0.0</v>
      </c>
      <c r="S576" s="13" t="str">
        <f>HYPERLINK(AC2 &amp; "/bottle/sn_ff13595434879bba557ef92e2fa0ccb2/rendering/16.xyz", "0.0")</f>
        <v>0.0</v>
      </c>
      <c r="T576" s="13" t="str">
        <f>HYPERLINK(AC2 &amp; "/bottle/sn_ff13595434879bba557ef92e2fa0ccb2/rendering/17.xyz", "0.0")</f>
        <v>0.0</v>
      </c>
      <c r="U576" s="13" t="str">
        <f>HYPERLINK(AC2 &amp; "/bottle/sn_ff13595434879bba557ef92e2fa0ccb2/rendering/18.xyz", "0.0")</f>
        <v>0.0</v>
      </c>
      <c r="V576" s="13" t="str">
        <f>HYPERLINK(AC2 &amp; "/bottle/sn_ff13595434879bba557ef92e2fa0ccb2/rendering/19.xyz", "0.0")</f>
        <v>0.0</v>
      </c>
      <c r="W576" s="12" t="s">
        <v>33</v>
      </c>
      <c r="X576" s="13">
        <v>0</v>
      </c>
      <c r="Y576" s="13">
        <v>0</v>
      </c>
      <c r="Z576" s="13">
        <v>0</v>
      </c>
    </row>
    <row r="577" spans="1:26" x14ac:dyDescent="0.2">
      <c r="A577" s="1">
        <v>575</v>
      </c>
      <c r="B577" s="2" t="s">
        <v>148</v>
      </c>
      <c r="C577" s="60" t="str">
        <f>HYPERLINK(AA2 &amp; "/bottle/sn_ffa6c49aa8f7ec19971e7f8dbfabf375/rendering/00.obj", "2.54194915771")</f>
        <v>2.54194915771</v>
      </c>
      <c r="D577" s="23" t="str">
        <f>HYPERLINK(AA2 &amp; "/bottle/sn_ffa6c49aa8f7ec19971e7f8dbfabf375/rendering/01.obj", "2.58268798828")</f>
        <v>2.58268798828</v>
      </c>
      <c r="E577" s="17" t="str">
        <f>HYPERLINK(AA2 &amp; "/bottle/sn_ffa6c49aa8f7ec19971e7f8dbfabf375/rendering/02.obj", "2.63057159424")</f>
        <v>2.63057159424</v>
      </c>
      <c r="F577" s="90" t="str">
        <f>HYPERLINK(AA2 &amp; "/bottle/sn_ffa6c49aa8f7ec19971e7f8dbfabf375/rendering/03.obj", "2.42835845947")</f>
        <v>2.42835845947</v>
      </c>
      <c r="G577" s="35" t="str">
        <f>HYPERLINK(AA2 &amp; "/bottle/sn_ffa6c49aa8f7ec19971e7f8dbfabf375/rendering/04.obj", "2.53324829102")</f>
        <v>2.53324829102</v>
      </c>
      <c r="H577" s="68" t="str">
        <f>HYPERLINK(AA2 &amp; "/bottle/sn_ffa6c49aa8f7ec19971e7f8dbfabf375/rendering/05.obj", "2.79795471191")</f>
        <v>2.79795471191</v>
      </c>
      <c r="I577" s="69" t="str">
        <f>HYPERLINK(AA2 &amp; "/bottle/sn_ffa6c49aa8f7ec19971e7f8dbfabf375/rendering/06.obj", "2.60926818848")</f>
        <v>2.60926818848</v>
      </c>
      <c r="J577" s="78" t="str">
        <f>HYPERLINK(AA2 &amp; "/bottle/sn_ffa6c49aa8f7ec19971e7f8dbfabf375/rendering/07.obj", "2.52205368042")</f>
        <v>2.52205368042</v>
      </c>
      <c r="K577" s="69" t="str">
        <f>HYPERLINK(AA2 &amp; "/bottle/sn_ffa6c49aa8f7ec19971e7f8dbfabf375/rendering/08.obj", "2.60860900879")</f>
        <v>2.60860900879</v>
      </c>
      <c r="L577" s="34" t="str">
        <f>HYPERLINK(AA2 &amp; "/bottle/sn_ffa6c49aa8f7ec19971e7f8dbfabf375/rendering/09.obj", "2.55307723999")</f>
        <v>2.55307723999</v>
      </c>
      <c r="M577" s="74" t="str">
        <f>HYPERLINK(AA2 &amp; "/bottle/sn_ffa6c49aa8f7ec19971e7f8dbfabf375/rendering/10.obj", "2.64531341553")</f>
        <v>2.64531341553</v>
      </c>
      <c r="N577" s="82" t="str">
        <f>HYPERLINK(AA2 &amp; "/bottle/sn_ffa6c49aa8f7ec19971e7f8dbfabf375/rendering/11.obj", "3.23644042969")</f>
        <v>3.23644042969</v>
      </c>
      <c r="O577" s="108" t="str">
        <f>HYPERLINK(AA2 &amp; "/bottle/sn_ffa6c49aa8f7ec19971e7f8dbfabf375/rendering/12.obj", "3.34419128418")</f>
        <v>3.34419128418</v>
      </c>
      <c r="P577" s="41" t="str">
        <f>HYPERLINK(AA2 &amp; "/bottle/sn_ffa6c49aa8f7ec19971e7f8dbfabf375/rendering/13.obj", "2.86674072266")</f>
        <v>2.86674072266</v>
      </c>
      <c r="Q577" s="72" t="str">
        <f>HYPERLINK(AA2 &amp; "/bottle/sn_ffa6c49aa8f7ec19971e7f8dbfabf375/rendering/14.obj", "2.76936584473")</f>
        <v>2.76936584473</v>
      </c>
      <c r="R577" s="6" t="str">
        <f>HYPERLINK(AA2 &amp; "/bottle/sn_ffa6c49aa8f7ec19971e7f8dbfabf375/rendering/15.obj", "2.56467254639")</f>
        <v>2.56467254639</v>
      </c>
      <c r="S577" s="48" t="str">
        <f>HYPERLINK(AA2 &amp; "/bottle/sn_ffa6c49aa8f7ec19971e7f8dbfabf375/rendering/16.obj", "2.61898010254")</f>
        <v>2.61898010254</v>
      </c>
      <c r="T577" s="78" t="str">
        <f>HYPERLINK(AA2 &amp; "/bottle/sn_ffa6c49aa8f7ec19971e7f8dbfabf375/rendering/17.obj", "2.52210662842")</f>
        <v>2.52210662842</v>
      </c>
      <c r="U577" s="74" t="str">
        <f>HYPERLINK(AA2 &amp; "/bottle/sn_ffa6c49aa8f7ec19971e7f8dbfabf375/rendering/18.obj", "2.72013183594")</f>
        <v>2.72013183594</v>
      </c>
      <c r="V577" s="69" t="str">
        <f>HYPERLINK(AA2 &amp; "/bottle/sn_ffa6c49aa8f7ec19971e7f8dbfabf375/rendering/19.obj", "2.60638885498")</f>
        <v>2.60638885498</v>
      </c>
      <c r="W577" s="12" t="s">
        <v>29</v>
      </c>
      <c r="X577" s="13">
        <v>2.685105499267578</v>
      </c>
      <c r="Y577" s="13">
        <v>0.2262961882171502</v>
      </c>
      <c r="Z577" s="107">
        <v>8.4278322873673872E-2</v>
      </c>
    </row>
    <row r="578" spans="1:26" x14ac:dyDescent="0.2">
      <c r="A578" s="1">
        <v>576</v>
      </c>
      <c r="B578" s="2" t="s">
        <v>148</v>
      </c>
      <c r="C578" s="26" t="str">
        <f>HYPERLINK(AA2 &amp; "/bottle/sn_ffa6c49aa8f7ec19971e7f8dbfabf375/rendering/00.obj", "2.29105162621")</f>
        <v>2.29105162621</v>
      </c>
      <c r="D578" s="91" t="str">
        <f>HYPERLINK(AA2 &amp; "/bottle/sn_ffa6c49aa8f7ec19971e7f8dbfabf375/rendering/01.obj", "2.5159072876")</f>
        <v>2.5159072876</v>
      </c>
      <c r="E578" s="23" t="str">
        <f>HYPERLINK(AA2 &amp; "/bottle/sn_ffa6c49aa8f7ec19971e7f8dbfabf375/rendering/02.obj", "2.35114407539")</f>
        <v>2.35114407539</v>
      </c>
      <c r="F578" s="73" t="str">
        <f>HYPERLINK(AA2 &amp; "/bottle/sn_ffa6c49aa8f7ec19971e7f8dbfabf375/rendering/03.obj", "2.35953807831")</f>
        <v>2.35953807831</v>
      </c>
      <c r="G578" s="48" t="str">
        <f>HYPERLINK(AA2 &amp; "/bottle/sn_ffa6c49aa8f7ec19971e7f8dbfabf375/rendering/04.obj", "2.3871986866")</f>
        <v>2.3871986866</v>
      </c>
      <c r="H578" s="68" t="str">
        <f>HYPERLINK(AA2 &amp; "/bottle/sn_ffa6c49aa8f7ec19971e7f8dbfabf375/rendering/05.obj", "2.5508313179")</f>
        <v>2.5508313179</v>
      </c>
      <c r="I578" s="34" t="str">
        <f>HYPERLINK(AA2 &amp; "/bottle/sn_ffa6c49aa8f7ec19971e7f8dbfabf375/rendering/06.obj", "2.32825660706")</f>
        <v>2.32825660706</v>
      </c>
      <c r="J578" s="6" t="str">
        <f>HYPERLINK(AA2 &amp; "/bottle/sn_ffa6c49aa8f7ec19971e7f8dbfabf375/rendering/07.obj", "2.3378264904")</f>
        <v>2.3378264904</v>
      </c>
      <c r="K578" s="6" t="str">
        <f>HYPERLINK(AA2 &amp; "/bottle/sn_ffa6c49aa8f7ec19971e7f8dbfabf375/rendering/08.obj", "2.33378267288")</f>
        <v>2.33378267288</v>
      </c>
      <c r="L578" s="46" t="str">
        <f>HYPERLINK(AA2 &amp; "/bottle/sn_ffa6c49aa8f7ec19971e7f8dbfabf375/rendering/09.obj", "2.40183281898")</f>
        <v>2.40183281898</v>
      </c>
      <c r="M578" s="25" t="str">
        <f>HYPERLINK(AA2 &amp; "/bottle/sn_ffa6c49aa8f7ec19971e7f8dbfabf375/rendering/10.obj", "2.4737765789")</f>
        <v>2.4737765789</v>
      </c>
      <c r="N578" s="39" t="str">
        <f>HYPERLINK(AA2 &amp; "/bottle/sn_ffa6c49aa8f7ec19971e7f8dbfabf375/rendering/11.obj", "2.66001272202")</f>
        <v>2.66001272202</v>
      </c>
      <c r="O578" s="75" t="str">
        <f>HYPERLINK(AA2 &amp; "/bottle/sn_ffa6c49aa8f7ec19971e7f8dbfabf375/rendering/12.obj", "2.98471021652")</f>
        <v>2.98471021652</v>
      </c>
      <c r="P578" s="30" t="str">
        <f>HYPERLINK(AA2 &amp; "/bottle/sn_ffa6c49aa8f7ec19971e7f8dbfabf375/rendering/13.obj", "2.43826341629")</f>
        <v>2.43826341629</v>
      </c>
      <c r="Q578" s="73" t="str">
        <f>HYPERLINK(AA2 &amp; "/bottle/sn_ffa6c49aa8f7ec19971e7f8dbfabf375/rendering/14.obj", "2.53515601158")</f>
        <v>2.53515601158</v>
      </c>
      <c r="R578" s="25" t="str">
        <f>HYPERLINK(AA2 &amp; "/bottle/sn_ffa6c49aa8f7ec19971e7f8dbfabf375/rendering/15.obj", "2.42099404335")</f>
        <v>2.42099404335</v>
      </c>
      <c r="S578" s="47" t="str">
        <f>HYPERLINK(AA2 &amp; "/bottle/sn_ffa6c49aa8f7ec19971e7f8dbfabf375/rendering/16.obj", "2.42812991142")</f>
        <v>2.42812991142</v>
      </c>
      <c r="T578" s="23" t="str">
        <f>HYPERLINK(AA2 &amp; "/bottle/sn_ffa6c49aa8f7ec19971e7f8dbfabf375/rendering/17.obj", "2.35056209564")</f>
        <v>2.35056209564</v>
      </c>
      <c r="U578" s="17" t="str">
        <f>HYPERLINK(AA2 &amp; "/bottle/sn_ffa6c49aa8f7ec19971e7f8dbfabf375/rendering/18.obj", "2.39724802971")</f>
        <v>2.39724802971</v>
      </c>
      <c r="V578" s="48" t="str">
        <f>HYPERLINK(AA2 &amp; "/bottle/sn_ffa6c49aa8f7ec19971e7f8dbfabf375/rendering/19.obj", "2.39178156853")</f>
        <v>2.39178156853</v>
      </c>
      <c r="W578" s="12" t="s">
        <v>30</v>
      </c>
      <c r="X578" s="13">
        <v>2.4469002127647399</v>
      </c>
      <c r="Y578" s="13">
        <v>0.1516688114554578</v>
      </c>
      <c r="Z578" s="78">
        <v>6.19840607574626E-2</v>
      </c>
    </row>
    <row r="579" spans="1:26" x14ac:dyDescent="0.2">
      <c r="A579" s="1">
        <v>577</v>
      </c>
      <c r="B579" s="2" t="s">
        <v>148</v>
      </c>
      <c r="C579" s="5" t="str">
        <f>HYPERLINK(AB2 &amp; "/bottle/sn_ffa6c49aa8f7ec19971e7f8dbfabf375/rendering/00.obj", "4.03065582275")</f>
        <v>4.03065582275</v>
      </c>
      <c r="D579" s="23" t="str">
        <f>HYPERLINK(AB2 &amp; "/bottle/sn_ffa6c49aa8f7ec19971e7f8dbfabf375/rendering/01.obj", "3.59371765137")</f>
        <v>3.59371765137</v>
      </c>
      <c r="E579" s="69" t="str">
        <f>HYPERLINK(AB2 &amp; "/bottle/sn_ffa6c49aa8f7ec19971e7f8dbfabf375/rendering/02.obj", "3.62664703369")</f>
        <v>3.62664703369</v>
      </c>
      <c r="F579" s="47" t="str">
        <f>HYPERLINK(AB2 &amp; "/bottle/sn_ffa6c49aa8f7ec19971e7f8dbfabf375/rendering/03.obj", "3.71327606201")</f>
        <v>3.71327606201</v>
      </c>
      <c r="G579" s="72" t="str">
        <f>HYPERLINK(AB2 &amp; "/bottle/sn_ffa6c49aa8f7ec19971e7f8dbfabf375/rendering/04.obj", "3.86604766846")</f>
        <v>3.86604766846</v>
      </c>
      <c r="H579" s="23" t="str">
        <f>HYPERLINK(AB2 &amp; "/bottle/sn_ffa6c49aa8f7ec19971e7f8dbfabf375/rendering/05.obj", "3.88909667969")</f>
        <v>3.88909667969</v>
      </c>
      <c r="I579" s="78" t="str">
        <f>HYPERLINK(AB2 &amp; "/bottle/sn_ffa6c49aa8f7ec19971e7f8dbfabf375/rendering/06.obj", "3.51592926025")</f>
        <v>3.51592926025</v>
      </c>
      <c r="J579" s="26" t="str">
        <f>HYPERLINK(AB2 &amp; "/bottle/sn_ffa6c49aa8f7ec19971e7f8dbfabf375/rendering/07.obj", "3.98518463135")</f>
        <v>3.98518463135</v>
      </c>
      <c r="K579" s="34" t="str">
        <f>HYPERLINK(AB2 &amp; "/bottle/sn_ffa6c49aa8f7ec19971e7f8dbfabf375/rendering/08.obj", "3.56653991699")</f>
        <v>3.56653991699</v>
      </c>
      <c r="L579" s="6" t="str">
        <f>HYPERLINK(AB2 &amp; "/bottle/sn_ffa6c49aa8f7ec19971e7f8dbfabf375/rendering/09.obj", "3.57649536133")</f>
        <v>3.57649536133</v>
      </c>
      <c r="M579" s="26" t="str">
        <f>HYPERLINK(AB2 &amp; "/bottle/sn_ffa6c49aa8f7ec19971e7f8dbfabf375/rendering/10.obj", "3.5005291748")</f>
        <v>3.5005291748</v>
      </c>
      <c r="N579" s="46" t="str">
        <f>HYPERLINK(AB2 &amp; "/bottle/sn_ffa6c49aa8f7ec19971e7f8dbfabf375/rendering/11.obj", "3.68416107178")</f>
        <v>3.68416107178</v>
      </c>
      <c r="O579" s="91" t="str">
        <f>HYPERLINK(AB2 &amp; "/bottle/sn_ffa6c49aa8f7ec19971e7f8dbfabf375/rendering/12.obj", "3.84217407227")</f>
        <v>3.84217407227</v>
      </c>
      <c r="P579" s="91" t="str">
        <f>HYPERLINK(AB2 &amp; "/bottle/sn_ffa6c49aa8f7ec19971e7f8dbfabf375/rendering/13.obj", "3.83773742676")</f>
        <v>3.83773742676</v>
      </c>
      <c r="Q579" s="72" t="str">
        <f>HYPERLINK(AB2 &amp; "/bottle/sn_ffa6c49aa8f7ec19971e7f8dbfabf375/rendering/14.obj", "3.8657220459")</f>
        <v>3.8657220459</v>
      </c>
      <c r="R579" s="78" t="str">
        <f>HYPERLINK(AB2 &amp; "/bottle/sn_ffa6c49aa8f7ec19971e7f8dbfabf375/rendering/15.obj", "3.9727734375")</f>
        <v>3.9727734375</v>
      </c>
      <c r="S579" s="30" t="str">
        <f>HYPERLINK(AB2 &amp; "/bottle/sn_ffa6c49aa8f7ec19971e7f8dbfabf375/rendering/16.obj", "3.72892272949")</f>
        <v>3.72892272949</v>
      </c>
      <c r="T579" s="78" t="str">
        <f>HYPERLINK(AB2 &amp; "/bottle/sn_ffa6c49aa8f7ec19971e7f8dbfabf375/rendering/17.obj", "3.97504089355")</f>
        <v>3.97504089355</v>
      </c>
      <c r="U579" s="60" t="str">
        <f>HYPERLINK(AB2 &amp; "/bottle/sn_ffa6c49aa8f7ec19971e7f8dbfabf375/rendering/18.obj", "3.55486999512")</f>
        <v>3.55486999512</v>
      </c>
      <c r="V579" s="60" t="str">
        <f>HYPERLINK(AB2 &amp; "/bottle/sn_ffa6c49aa8f7ec19971e7f8dbfabf375/rendering/19.obj", "3.54601928711")</f>
        <v>3.54601928711</v>
      </c>
      <c r="W579" s="12" t="s">
        <v>31</v>
      </c>
      <c r="X579" s="13">
        <v>3.7435770111083979</v>
      </c>
      <c r="Y579" s="13">
        <v>0.17351717136362221</v>
      </c>
      <c r="Z579" s="6">
        <v>4.635063492716749E-2</v>
      </c>
    </row>
    <row r="580" spans="1:26" x14ac:dyDescent="0.2">
      <c r="A580" s="1">
        <v>578</v>
      </c>
      <c r="B580" s="2" t="s">
        <v>148</v>
      </c>
      <c r="C580" s="93" t="str">
        <f>HYPERLINK(AB2 &amp; "/bottle/sn_ffa6c49aa8f7ec19971e7f8dbfabf375/rendering/00.obj", "2.95687174797")</f>
        <v>2.95687174797</v>
      </c>
      <c r="D580" s="38" t="str">
        <f>HYPERLINK(AB2 &amp; "/bottle/sn_ffa6c49aa8f7ec19971e7f8dbfabf375/rendering/01.obj", "2.3651766777")</f>
        <v>2.3651766777</v>
      </c>
      <c r="E580" s="94" t="str">
        <f>HYPERLINK(AB2 &amp; "/bottle/sn_ffa6c49aa8f7ec19971e7f8dbfabf375/rendering/02.obj", "2.40585827827")</f>
        <v>2.40585827827</v>
      </c>
      <c r="F580" s="48" t="str">
        <f>HYPERLINK(AB2 &amp; "/bottle/sn_ffa6c49aa8f7ec19971e7f8dbfabf375/rendering/03.obj", "2.65585899353")</f>
        <v>2.65585899353</v>
      </c>
      <c r="G580" s="107" t="str">
        <f>HYPERLINK(AB2 &amp; "/bottle/sn_ffa6c49aa8f7ec19971e7f8dbfabf375/rendering/04.obj", "2.8165371418")</f>
        <v>2.8165371418</v>
      </c>
      <c r="H580" s="35" t="str">
        <f>HYPERLINK(AB2 &amp; "/bottle/sn_ffa6c49aa8f7ec19971e7f8dbfabf375/rendering/05.obj", "2.75094795227")</f>
        <v>2.75094795227</v>
      </c>
      <c r="I580" s="92" t="str">
        <f>HYPERLINK(AB2 &amp; "/bottle/sn_ffa6c49aa8f7ec19971e7f8dbfabf375/rendering/06.obj", "2.27743673325")</f>
        <v>2.27743673325</v>
      </c>
      <c r="J580" s="28" t="str">
        <f>HYPERLINK(AB2 &amp; "/bottle/sn_ffa6c49aa8f7ec19971e7f8dbfabf375/rendering/07.obj", "2.88449025154")</f>
        <v>2.88449025154</v>
      </c>
      <c r="K580" s="67" t="str">
        <f>HYPERLINK(AB2 &amp; "/bottle/sn_ffa6c49aa8f7ec19971e7f8dbfabf375/rendering/08.obj", "2.35540246964")</f>
        <v>2.35540246964</v>
      </c>
      <c r="L580" s="35" t="str">
        <f>HYPERLINK(AB2 &amp; "/bottle/sn_ffa6c49aa8f7ec19971e7f8dbfabf375/rendering/09.obj", "2.44803786278")</f>
        <v>2.44803786278</v>
      </c>
      <c r="M580" s="63" t="str">
        <f>HYPERLINK(AB2 &amp; "/bottle/sn_ffa6c49aa8f7ec19971e7f8dbfabf375/rendering/10.obj", "2.28551149368")</f>
        <v>2.28551149368</v>
      </c>
      <c r="N580" s="5" t="str">
        <f>HYPERLINK(AB2 &amp; "/bottle/sn_ffa6c49aa8f7ec19971e7f8dbfabf375/rendering/11.obj", "2.39574146271")</f>
        <v>2.39574146271</v>
      </c>
      <c r="O580" s="60" t="str">
        <f>HYPERLINK(AB2 &amp; "/bottle/sn_ffa6c49aa8f7ec19971e7f8dbfabf375/rendering/12.obj", "2.73350071907")</f>
        <v>2.73350071907</v>
      </c>
      <c r="P580" s="73" t="str">
        <f>HYPERLINK(AB2 &amp; "/bottle/sn_ffa6c49aa8f7ec19971e7f8dbfabf375/rendering/13.obj", "2.69462275505")</f>
        <v>2.69462275505</v>
      </c>
      <c r="Q580" s="23" t="str">
        <f>HYPERLINK(AB2 &amp; "/bottle/sn_ffa6c49aa8f7ec19971e7f8dbfabf375/rendering/14.obj", "2.70086956024")</f>
        <v>2.70086956024</v>
      </c>
      <c r="R580" s="29" t="str">
        <f>HYPERLINK(AB2 &amp; "/bottle/sn_ffa6c49aa8f7ec19971e7f8dbfabf375/rendering/15.obj", "2.93885731697")</f>
        <v>2.93885731697</v>
      </c>
      <c r="S580" s="23" t="str">
        <f>HYPERLINK(AB2 &amp; "/bottle/sn_ffa6c49aa8f7ec19971e7f8dbfabf375/rendering/16.obj", "2.70090913773")</f>
        <v>2.70090913773</v>
      </c>
      <c r="T580" s="65" t="str">
        <f>HYPERLINK(AB2 &amp; "/bottle/sn_ffa6c49aa8f7ec19971e7f8dbfabf375/rendering/17.obj", "2.94037246704")</f>
        <v>2.94037246704</v>
      </c>
      <c r="U580" s="92" t="str">
        <f>HYPERLINK(AB2 &amp; "/bottle/sn_ffa6c49aa8f7ec19971e7f8dbfabf375/rendering/18.obj", "2.27687335014")</f>
        <v>2.27687335014</v>
      </c>
      <c r="V580" s="38" t="str">
        <f>HYPERLINK(AB2 &amp; "/bottle/sn_ffa6c49aa8f7ec19971e7f8dbfabf375/rendering/19.obj", "2.36942052841")</f>
        <v>2.36942052841</v>
      </c>
      <c r="W580" s="12" t="s">
        <v>32</v>
      </c>
      <c r="X580" s="13">
        <v>2.5976648449897768</v>
      </c>
      <c r="Y580" s="13">
        <v>0.2384104298987578</v>
      </c>
      <c r="Z580" s="67">
        <v>9.1778749040158064E-2</v>
      </c>
    </row>
    <row r="581" spans="1:26" x14ac:dyDescent="0.2">
      <c r="A581" s="1">
        <v>579</v>
      </c>
      <c r="B581" s="2" t="s">
        <v>148</v>
      </c>
      <c r="C581" s="13" t="str">
        <f>HYPERLINK(AC2 &amp; "/bottle/sn_ffa6c49aa8f7ec19971e7f8dbfabf375/rendering/00.xyz", "0.0")</f>
        <v>0.0</v>
      </c>
      <c r="D581" s="13" t="str">
        <f>HYPERLINK(AC2 &amp; "/bottle/sn_ffa6c49aa8f7ec19971e7f8dbfabf375/rendering/01.xyz", "0.0")</f>
        <v>0.0</v>
      </c>
      <c r="E581" s="13" t="str">
        <f>HYPERLINK(AC2 &amp; "/bottle/sn_ffa6c49aa8f7ec19971e7f8dbfabf375/rendering/02.xyz", "0.0")</f>
        <v>0.0</v>
      </c>
      <c r="F581" s="13" t="str">
        <f>HYPERLINK(AC2 &amp; "/bottle/sn_ffa6c49aa8f7ec19971e7f8dbfabf375/rendering/03.xyz", "0.0")</f>
        <v>0.0</v>
      </c>
      <c r="G581" s="13" t="str">
        <f>HYPERLINK(AC2 &amp; "/bottle/sn_ffa6c49aa8f7ec19971e7f8dbfabf375/rendering/04.xyz", "0.0")</f>
        <v>0.0</v>
      </c>
      <c r="H581" s="13" t="str">
        <f>HYPERLINK(AC2 &amp; "/bottle/sn_ffa6c49aa8f7ec19971e7f8dbfabf375/rendering/05.xyz", "0.0")</f>
        <v>0.0</v>
      </c>
      <c r="I581" s="13" t="str">
        <f>HYPERLINK(AC2 &amp; "/bottle/sn_ffa6c49aa8f7ec19971e7f8dbfabf375/rendering/06.xyz", "0.0")</f>
        <v>0.0</v>
      </c>
      <c r="J581" s="13" t="str">
        <f>HYPERLINK(AC2 &amp; "/bottle/sn_ffa6c49aa8f7ec19971e7f8dbfabf375/rendering/07.xyz", "0.0")</f>
        <v>0.0</v>
      </c>
      <c r="K581" s="13" t="str">
        <f>HYPERLINK(AC2 &amp; "/bottle/sn_ffa6c49aa8f7ec19971e7f8dbfabf375/rendering/08.xyz", "0.0")</f>
        <v>0.0</v>
      </c>
      <c r="L581" s="13" t="str">
        <f>HYPERLINK(AC2 &amp; "/bottle/sn_ffa6c49aa8f7ec19971e7f8dbfabf375/rendering/09.xyz", "0.0")</f>
        <v>0.0</v>
      </c>
      <c r="M581" s="13" t="str">
        <f>HYPERLINK(AC2 &amp; "/bottle/sn_ffa6c49aa8f7ec19971e7f8dbfabf375/rendering/10.xyz", "0.0")</f>
        <v>0.0</v>
      </c>
      <c r="N581" s="13" t="str">
        <f>HYPERLINK(AC2 &amp; "/bottle/sn_ffa6c49aa8f7ec19971e7f8dbfabf375/rendering/11.xyz", "0.0")</f>
        <v>0.0</v>
      </c>
      <c r="O581" s="13" t="str">
        <f>HYPERLINK(AC2 &amp; "/bottle/sn_ffa6c49aa8f7ec19971e7f8dbfabf375/rendering/12.xyz", "0.0")</f>
        <v>0.0</v>
      </c>
      <c r="P581" s="13" t="str">
        <f>HYPERLINK(AC2 &amp; "/bottle/sn_ffa6c49aa8f7ec19971e7f8dbfabf375/rendering/13.xyz", "0.0")</f>
        <v>0.0</v>
      </c>
      <c r="Q581" s="13" t="str">
        <f>HYPERLINK(AC2 &amp; "/bottle/sn_ffa6c49aa8f7ec19971e7f8dbfabf375/rendering/14.xyz", "0.0")</f>
        <v>0.0</v>
      </c>
      <c r="R581" s="13" t="str">
        <f>HYPERLINK(AC2 &amp; "/bottle/sn_ffa6c49aa8f7ec19971e7f8dbfabf375/rendering/15.xyz", "0.0")</f>
        <v>0.0</v>
      </c>
      <c r="S581" s="13" t="str">
        <f>HYPERLINK(AC2 &amp; "/bottle/sn_ffa6c49aa8f7ec19971e7f8dbfabf375/rendering/16.xyz", "0.0")</f>
        <v>0.0</v>
      </c>
      <c r="T581" s="13" t="str">
        <f>HYPERLINK(AC2 &amp; "/bottle/sn_ffa6c49aa8f7ec19971e7f8dbfabf375/rendering/17.xyz", "0.0")</f>
        <v>0.0</v>
      </c>
      <c r="U581" s="13" t="str">
        <f>HYPERLINK(AC2 &amp; "/bottle/sn_ffa6c49aa8f7ec19971e7f8dbfabf375/rendering/18.xyz", "0.0")</f>
        <v>0.0</v>
      </c>
      <c r="V581" s="13" t="str">
        <f>HYPERLINK(AC2 &amp; "/bottle/sn_ffa6c49aa8f7ec19971e7f8dbfabf375/rendering/19.xyz", "0.0")</f>
        <v>0.0</v>
      </c>
      <c r="W581" s="12" t="s">
        <v>33</v>
      </c>
      <c r="X581" s="13">
        <v>0</v>
      </c>
      <c r="Y581" s="13">
        <v>0</v>
      </c>
      <c r="Z581" s="13">
        <v>0</v>
      </c>
    </row>
    <row r="582" spans="1:26" x14ac:dyDescent="0.2">
      <c r="A582" s="1">
        <v>580</v>
      </c>
      <c r="B582" s="2" t="s">
        <v>149</v>
      </c>
      <c r="C582" s="3" t="str">
        <f>HYPERLINK(AA2 &amp; "/bulb/3dw_cd50fc4d-7376-4112-a067-eb195605972f/rendering/00.obj", "nan")</f>
        <v>nan</v>
      </c>
      <c r="D582" s="3" t="str">
        <f>HYPERLINK(AA2 &amp; "/bulb/3dw_cd50fc4d-7376-4112-a067-eb195605972f/rendering/01.obj", "nan")</f>
        <v>nan</v>
      </c>
      <c r="E582" s="3" t="str">
        <f>HYPERLINK(AA2 &amp; "/bulb/3dw_cd50fc4d-7376-4112-a067-eb195605972f/rendering/02.obj", "nan")</f>
        <v>nan</v>
      </c>
      <c r="F582" s="3" t="str">
        <f>HYPERLINK(AA2 &amp; "/bulb/3dw_cd50fc4d-7376-4112-a067-eb195605972f/rendering/03.obj", "nan")</f>
        <v>nan</v>
      </c>
      <c r="G582" s="106" t="str">
        <f>HYPERLINK(AA2 &amp; "/bulb/3dw_cd50fc4d-7376-4112-a067-eb195605972f/rendering/04.obj", "1.01616027832")</f>
        <v>1.01616027832</v>
      </c>
      <c r="H582" s="69" t="str">
        <f>HYPERLINK(AA2 &amp; "/bulb/3dw_cd50fc4d-7376-4112-a067-eb195605972f/rendering/05.obj", "1.18005226135")</f>
        <v>1.18005226135</v>
      </c>
      <c r="I582" s="23" t="str">
        <f>HYPERLINK(AA2 &amp; "/bulb/3dw_cd50fc4d-7376-4112-a067-eb195605972f/rendering/06.obj", "1.1041204834")</f>
        <v>1.1041204834</v>
      </c>
      <c r="J582" s="73" t="str">
        <f>HYPERLINK(AA2 &amp; "/bulb/3dw_cd50fc4d-7376-4112-a067-eb195605972f/rendering/07.obj", "1.10582092285")</f>
        <v>1.10582092285</v>
      </c>
      <c r="K582" s="72" t="str">
        <f>HYPERLINK(AA2 &amp; "/bulb/3dw_cd50fc4d-7376-4112-a067-eb195605972f/rendering/08.obj", "1.1842716217")</f>
        <v>1.1842716217</v>
      </c>
      <c r="L582" s="6" t="str">
        <f>HYPERLINK(AA2 &amp; "/bulb/3dw_cd50fc4d-7376-4112-a067-eb195605972f/rendering/09.obj", "1.1991317749")</f>
        <v>1.1991317749</v>
      </c>
      <c r="M582" s="90" t="str">
        <f>HYPERLINK(AA2 &amp; "/bulb/3dw_cd50fc4d-7376-4112-a067-eb195605972f/rendering/10.obj", "1.03599975586")</f>
        <v>1.03599975586</v>
      </c>
      <c r="N582" s="109" t="str">
        <f>HYPERLINK(AA2 &amp; "/bulb/3dw_cd50fc4d-7376-4112-a067-eb195605972f/rendering/11.obj", "1.36504241943")</f>
        <v>1.36504241943</v>
      </c>
      <c r="O582" s="34" t="str">
        <f>HYPERLINK(AA2 &amp; "/bulb/3dw_cd50fc4d-7376-4112-a067-eb195605972f/rendering/12.obj", "1.09169319153")</f>
        <v>1.09169319153</v>
      </c>
      <c r="P582" s="23" t="str">
        <f>HYPERLINK(AA2 &amp; "/bulb/3dw_cd50fc4d-7376-4112-a067-eb195605972f/rendering/13.obj", "1.10157409668")</f>
        <v>1.10157409668</v>
      </c>
      <c r="Q582" s="17" t="str">
        <f>HYPERLINK(AA2 &amp; "/bulb/3dw_cd50fc4d-7376-4112-a067-eb195605972f/rendering/14.obj", "1.16923416138")</f>
        <v>1.16923416138</v>
      </c>
      <c r="R582" s="33" t="str">
        <f>HYPERLINK(AA2 &amp; "/bulb/3dw_cd50fc4d-7376-4112-a067-eb195605972f/rendering/15.obj", "1.27215293884")</f>
        <v>1.27215293884</v>
      </c>
      <c r="S582" s="25" t="str">
        <f>HYPERLINK(AA2 &amp; "/bulb/3dw_cd50fc4d-7376-4112-a067-eb195605972f/rendering/16.obj", "1.13359466553")</f>
        <v>1.13359466553</v>
      </c>
      <c r="T582" s="66" t="str">
        <f>HYPERLINK(AA2 &amp; "/bulb/3dw_cd50fc4d-7376-4112-a067-eb195605972f/rendering/17.obj", "0.963638305664")</f>
        <v>0.963638305664</v>
      </c>
      <c r="U582" s="83" t="str">
        <f>HYPERLINK(AA2 &amp; "/bulb/3dw_cd50fc4d-7376-4112-a067-eb195605972f/rendering/18.obj", "1.32140563965")</f>
        <v>1.32140563965</v>
      </c>
      <c r="V582" s="91" t="str">
        <f>HYPERLINK(AA2 &amp; "/bulb/3dw_cd50fc4d-7376-4112-a067-eb195605972f/rendering/19.obj", "1.11634895325")</f>
        <v>1.11634895325</v>
      </c>
      <c r="W582" s="12" t="s">
        <v>29</v>
      </c>
      <c r="X582" s="13">
        <v>1.147515091896057</v>
      </c>
      <c r="Y582" s="13">
        <v>0.1037274237857925</v>
      </c>
      <c r="Z582" s="38">
        <v>9.0393080246467236E-2</v>
      </c>
    </row>
    <row r="583" spans="1:26" x14ac:dyDescent="0.2">
      <c r="A583" s="1">
        <v>581</v>
      </c>
      <c r="B583" s="2" t="s">
        <v>149</v>
      </c>
      <c r="C583" s="3" t="str">
        <f>HYPERLINK(AA2 &amp; "/bulb/3dw_cd50fc4d-7376-4112-a067-eb195605972f/rendering/00.obj", "nan")</f>
        <v>nan</v>
      </c>
      <c r="D583" s="3" t="str">
        <f>HYPERLINK(AA2 &amp; "/bulb/3dw_cd50fc4d-7376-4112-a067-eb195605972f/rendering/01.obj", "nan")</f>
        <v>nan</v>
      </c>
      <c r="E583" s="3" t="str">
        <f>HYPERLINK(AA2 &amp; "/bulb/3dw_cd50fc4d-7376-4112-a067-eb195605972f/rendering/02.obj", "nan")</f>
        <v>nan</v>
      </c>
      <c r="F583" s="3" t="str">
        <f>HYPERLINK(AA2 &amp; "/bulb/3dw_cd50fc4d-7376-4112-a067-eb195605972f/rendering/03.obj", "nan")</f>
        <v>nan</v>
      </c>
      <c r="G583" s="66" t="str">
        <f>HYPERLINK(AA2 &amp; "/bulb/3dw_cd50fc4d-7376-4112-a067-eb195605972f/rendering/04.obj", "2.1930565834")</f>
        <v>2.1930565834</v>
      </c>
      <c r="H583" s="6" t="str">
        <f>HYPERLINK(AA2 &amp; "/bulb/3dw_cd50fc4d-7376-4112-a067-eb195605972f/rendering/05.obj", "2.48824930191")</f>
        <v>2.48824930191</v>
      </c>
      <c r="I583" s="29" t="str">
        <f>HYPERLINK(AA2 &amp; "/bulb/3dw_cd50fc4d-7376-4112-a067-eb195605972f/rendering/06.obj", "2.27126002312")</f>
        <v>2.27126002312</v>
      </c>
      <c r="J583" s="10" t="str">
        <f>HYPERLINK(AA2 &amp; "/bulb/3dw_cd50fc4d-7376-4112-a067-eb195605972f/rendering/07.obj", "2.47072386742")</f>
        <v>2.47072386742</v>
      </c>
      <c r="K583" s="170" t="str">
        <f>HYPERLINK(AA2 &amp; "/bulb/3dw_cd50fc4d-7376-4112-a067-eb195605972f/rendering/08.obj", "3.27263379097")</f>
        <v>3.27263379097</v>
      </c>
      <c r="L583" s="91" t="str">
        <f>HYPERLINK(AA2 &amp; "/bulb/3dw_cd50fc4d-7376-4112-a067-eb195605972f/rendering/09.obj", "2.68235993385")</f>
        <v>2.68235993385</v>
      </c>
      <c r="M583" s="65" t="str">
        <f>HYPERLINK(AA2 &amp; "/bulb/3dw_cd50fc4d-7376-4112-a067-eb195605972f/rendering/10.obj", "2.26180696487")</f>
        <v>2.26180696487</v>
      </c>
      <c r="N583" s="57" t="str">
        <f>HYPERLINK(AA2 &amp; "/bulb/3dw_cd50fc4d-7376-4112-a067-eb195605972f/rendering/11.obj", "3.43398237228")</f>
        <v>3.43398237228</v>
      </c>
      <c r="O583" s="107" t="str">
        <f>HYPERLINK(AA2 &amp; "/bulb/3dw_cd50fc4d-7376-4112-a067-eb195605972f/rendering/12.obj", "2.39436650276")</f>
        <v>2.39436650276</v>
      </c>
      <c r="P583" s="51" t="str">
        <f>HYPERLINK(AA2 &amp; "/bulb/3dw_cd50fc4d-7376-4112-a067-eb195605972f/rendering/13.obj", "2.40586853027")</f>
        <v>2.40586853027</v>
      </c>
      <c r="Q583" s="26" t="str">
        <f>HYPERLINK(AA2 &amp; "/bulb/3dw_cd50fc4d-7376-4112-a067-eb195605972f/rendering/14.obj", "2.77931046486")</f>
        <v>2.77931046486</v>
      </c>
      <c r="R583" s="39" t="str">
        <f>HYPERLINK(AA2 &amp; "/bulb/3dw_cd50fc4d-7376-4112-a067-eb195605972f/rendering/15.obj", "2.83364439011")</f>
        <v>2.83364439011</v>
      </c>
      <c r="S583" s="33" t="str">
        <f>HYPERLINK(AA2 &amp; "/bulb/3dw_cd50fc4d-7376-4112-a067-eb195605972f/rendering/16.obj", "2.33124756813")</f>
        <v>2.33124756813</v>
      </c>
      <c r="T583" s="93" t="str">
        <f>HYPERLINK(AA2 &amp; "/bulb/3dw_cd50fc4d-7376-4112-a067-eb195605972f/rendering/17.obj", "2.2424902916")</f>
        <v>2.2424902916</v>
      </c>
      <c r="U583" s="87" t="str">
        <f>HYPERLINK(AA2 &amp; "/bulb/3dw_cd50fc4d-7376-4112-a067-eb195605972f/rendering/18.obj", "3.20154333115")</f>
        <v>3.20154333115</v>
      </c>
      <c r="V583" s="73" t="str">
        <f>HYPERLINK(AA2 &amp; "/bulb/3dw_cd50fc4d-7376-4112-a067-eb195605972f/rendering/19.obj", "2.5146651268")</f>
        <v>2.5146651268</v>
      </c>
      <c r="W583" s="12" t="s">
        <v>30</v>
      </c>
      <c r="X583" s="13">
        <v>2.611075565218925</v>
      </c>
      <c r="Y583" s="13">
        <v>0.37963163500532249</v>
      </c>
      <c r="Z583" s="84">
        <v>0.14539281821722849</v>
      </c>
    </row>
    <row r="584" spans="1:26" x14ac:dyDescent="0.2">
      <c r="A584" s="1">
        <v>582</v>
      </c>
      <c r="B584" s="2" t="s">
        <v>149</v>
      </c>
      <c r="C584" s="3" t="str">
        <f>HYPERLINK(AB2 &amp; "/bulb/3dw_cd50fc4d-7376-4112-a067-eb195605972f/rendering/00.obj", "nan")</f>
        <v>nan</v>
      </c>
      <c r="D584" s="3" t="str">
        <f>HYPERLINK(AB2 &amp; "/bulb/3dw_cd50fc4d-7376-4112-a067-eb195605972f/rendering/01.obj", "nan")</f>
        <v>nan</v>
      </c>
      <c r="E584" s="3" t="str">
        <f>HYPERLINK(AB2 &amp; "/bulb/3dw_cd50fc4d-7376-4112-a067-eb195605972f/rendering/02.obj", "nan")</f>
        <v>nan</v>
      </c>
      <c r="F584" s="3" t="str">
        <f>HYPERLINK(AB2 &amp; "/bulb/3dw_cd50fc4d-7376-4112-a067-eb195605972f/rendering/03.obj", "nan")</f>
        <v>nan</v>
      </c>
      <c r="G584" s="69" t="str">
        <f>HYPERLINK(AB2 &amp; "/bulb/3dw_cd50fc4d-7376-4112-a067-eb195605972f/rendering/04.obj", "1.7221862793")</f>
        <v>1.7221862793</v>
      </c>
      <c r="H584" s="6" t="str">
        <f>HYPERLINK(AB2 &amp; "/bulb/3dw_cd50fc4d-7376-4112-a067-eb195605972f/rendering/05.obj", "1.59416412354")</f>
        <v>1.59416412354</v>
      </c>
      <c r="I584" s="51" t="str">
        <f>HYPERLINK(AB2 &amp; "/bulb/3dw_cd50fc4d-7376-4112-a067-eb195605972f/rendering/06.obj", "1.80317749023")</f>
        <v>1.80317749023</v>
      </c>
      <c r="J584" s="41" t="str">
        <f>HYPERLINK(AB2 &amp; "/bulb/3dw_cd50fc4d-7376-4112-a067-eb195605972f/rendering/07.obj", "1.5587399292")</f>
        <v>1.5587399292</v>
      </c>
      <c r="K584" s="51" t="str">
        <f>HYPERLINK(AB2 &amp; "/bulb/3dw_cd50fc4d-7376-4112-a067-eb195605972f/rendering/08.obj", "1.80232574463")</f>
        <v>1.80232574463</v>
      </c>
      <c r="L584" s="73" t="str">
        <f>HYPERLINK(AB2 &amp; "/bulb/3dw_cd50fc4d-7376-4112-a067-eb195605972f/rendering/09.obj", "1.60844497681")</f>
        <v>1.60844497681</v>
      </c>
      <c r="M584" s="73" t="str">
        <f>HYPERLINK(AB2 &amp; "/bulb/3dw_cd50fc4d-7376-4112-a067-eb195605972f/rendering/10.obj", "1.72844650269")</f>
        <v>1.72844650269</v>
      </c>
      <c r="N584" s="5" t="str">
        <f>HYPERLINK(AB2 &amp; "/bulb/3dw_cd50fc4d-7376-4112-a067-eb195605972f/rendering/11.obj", "1.8014465332")</f>
        <v>1.8014465332</v>
      </c>
      <c r="O584" s="94" t="str">
        <f>HYPERLINK(AB2 &amp; "/bulb/3dw_cd50fc4d-7376-4112-a067-eb195605972f/rendering/12.obj", "1.7918145752")</f>
        <v>1.7918145752</v>
      </c>
      <c r="P584" s="107" t="str">
        <f>HYPERLINK(AB2 &amp; "/bulb/3dw_cd50fc4d-7376-4112-a067-eb195605972f/rendering/13.obj", "1.53407043457")</f>
        <v>1.53407043457</v>
      </c>
      <c r="Q584" s="5" t="str">
        <f>HYPERLINK(AB2 &amp; "/bulb/3dw_cd50fc4d-7376-4112-a067-eb195605972f/rendering/14.obj", "1.80042633057")</f>
        <v>1.80042633057</v>
      </c>
      <c r="R584" s="35" t="str">
        <f>HYPERLINK(AB2 &amp; "/bulb/3dw_cd50fc4d-7376-4112-a067-eb195605972f/rendering/15.obj", "1.57576599121")</f>
        <v>1.57576599121</v>
      </c>
      <c r="S584" s="73" t="str">
        <f>HYPERLINK(AB2 &amp; "/bulb/3dw_cd50fc4d-7376-4112-a067-eb195605972f/rendering/16.obj", "1.61129989624")</f>
        <v>1.61129989624</v>
      </c>
      <c r="T584" s="46" t="str">
        <f>HYPERLINK(AB2 &amp; "/bulb/3dw_cd50fc4d-7376-4112-a067-eb195605972f/rendering/17.obj", "1.69819519043")</f>
        <v>1.69819519043</v>
      </c>
      <c r="U584" s="5" t="str">
        <f>HYPERLINK(AB2 &amp; "/bulb/3dw_cd50fc4d-7376-4112-a067-eb195605972f/rendering/18.obj", "1.54456237793")</f>
        <v>1.54456237793</v>
      </c>
      <c r="V584" s="27" t="str">
        <f>HYPERLINK(AB2 &amp; "/bulb/3dw_cd50fc4d-7376-4112-a067-eb195605972f/rendering/19.obj", "1.55311431885")</f>
        <v>1.55311431885</v>
      </c>
      <c r="W584" s="12" t="s">
        <v>31</v>
      </c>
      <c r="X584" s="13">
        <v>1.6705112934112549</v>
      </c>
      <c r="Y584" s="13">
        <v>0.1041101894656017</v>
      </c>
      <c r="Z584" s="78">
        <v>6.2322349975260753E-2</v>
      </c>
    </row>
    <row r="585" spans="1:26" x14ac:dyDescent="0.2">
      <c r="A585" s="1">
        <v>583</v>
      </c>
      <c r="B585" s="2" t="s">
        <v>149</v>
      </c>
      <c r="C585" s="3" t="str">
        <f>HYPERLINK(AB2 &amp; "/bulb/3dw_cd50fc4d-7376-4112-a067-eb195605972f/rendering/00.obj", "nan")</f>
        <v>nan</v>
      </c>
      <c r="D585" s="3" t="str">
        <f>HYPERLINK(AB2 &amp; "/bulb/3dw_cd50fc4d-7376-4112-a067-eb195605972f/rendering/01.obj", "nan")</f>
        <v>nan</v>
      </c>
      <c r="E585" s="3" t="str">
        <f>HYPERLINK(AB2 &amp; "/bulb/3dw_cd50fc4d-7376-4112-a067-eb195605972f/rendering/02.obj", "nan")</f>
        <v>nan</v>
      </c>
      <c r="F585" s="3" t="str">
        <f>HYPERLINK(AB2 &amp; "/bulb/3dw_cd50fc4d-7376-4112-a067-eb195605972f/rendering/03.obj", "nan")</f>
        <v>nan</v>
      </c>
      <c r="G585" s="13" t="str">
        <f>HYPERLINK(AB2 &amp; "/bulb/3dw_cd50fc4d-7376-4112-a067-eb195605972f/rendering/04.obj", "2.71021389961")</f>
        <v>2.71021389961</v>
      </c>
      <c r="H585" s="5" t="str">
        <f>HYPERLINK(AB2 &amp; "/bulb/3dw_cd50fc4d-7376-4112-a067-eb195605972f/rendering/05.obj", "2.49939680099")</f>
        <v>2.49939680099</v>
      </c>
      <c r="I585" s="71" t="str">
        <f>HYPERLINK(AB2 &amp; "/bulb/3dw_cd50fc4d-7376-4112-a067-eb195605972f/rendering/06.obj", "3.0261425972")</f>
        <v>3.0261425972</v>
      </c>
      <c r="J585" s="72" t="str">
        <f>HYPERLINK(AB2 &amp; "/bulb/3dw_cd50fc4d-7376-4112-a067-eb195605972f/rendering/07.obj", "2.61978530884")</f>
        <v>2.61978530884</v>
      </c>
      <c r="K585" s="10" t="str">
        <f>HYPERLINK(AB2 &amp; "/bulb/3dw_cd50fc4d-7376-4112-a067-eb195605972f/rendering/08.obj", "2.85350108147")</f>
        <v>2.85350108147</v>
      </c>
      <c r="L585" s="34" t="str">
        <f>HYPERLINK(AB2 &amp; "/bulb/3dw_cd50fc4d-7376-4112-a067-eb195605972f/rendering/09.obj", "2.57830238342")</f>
        <v>2.57830238342</v>
      </c>
      <c r="M585" s="34" t="str">
        <f>HYPERLINK(AB2 &amp; "/bulb/3dw_cd50fc4d-7376-4112-a067-eb195605972f/rendering/10.obj", "2.83685779572")</f>
        <v>2.83685779572</v>
      </c>
      <c r="N585" s="78" t="str">
        <f>HYPERLINK(AB2 &amp; "/bulb/3dw_cd50fc4d-7376-4112-a067-eb195605972f/rendering/11.obj", "2.87137293816")</f>
        <v>2.87137293816</v>
      </c>
      <c r="O585" s="51" t="str">
        <f>HYPERLINK(AB2 &amp; "/bulb/3dw_cd50fc4d-7376-4112-a067-eb195605972f/rendering/12.obj", "2.92270493507")</f>
        <v>2.92270493507</v>
      </c>
      <c r="P585" s="34" t="str">
        <f>HYPERLINK(AB2 &amp; "/bulb/3dw_cd50fc4d-7376-4112-a067-eb195605972f/rendering/13.obj", "2.57557296753")</f>
        <v>2.57557296753</v>
      </c>
      <c r="Q585" s="51" t="str">
        <f>HYPERLINK(AB2 &amp; "/bulb/3dw_cd50fc4d-7376-4112-a067-eb195605972f/rendering/14.obj", "2.92531085014")</f>
        <v>2.92531085014</v>
      </c>
      <c r="R585" s="26" t="str">
        <f>HYPERLINK(AB2 &amp; "/bulb/3dw_cd50fc4d-7376-4112-a067-eb195605972f/rendering/15.obj", "2.53661155701")</f>
        <v>2.53661155701</v>
      </c>
      <c r="S585" s="78" t="str">
        <f>HYPERLINK(AB2 &amp; "/bulb/3dw_cd50fc4d-7376-4112-a067-eb195605972f/rendering/16.obj", "2.53937673569")</f>
        <v>2.53937673569</v>
      </c>
      <c r="T585" s="23" t="str">
        <f>HYPERLINK(AB2 &amp; "/bulb/3dw_cd50fc4d-7376-4112-a067-eb195605972f/rendering/17.obj", "2.5980989933")</f>
        <v>2.5980989933</v>
      </c>
      <c r="U585" s="41" t="str">
        <f>HYPERLINK(AB2 &amp; "/bulb/3dw_cd50fc4d-7376-4112-a067-eb195605972f/rendering/18.obj", "2.52525401115")</f>
        <v>2.52525401115</v>
      </c>
      <c r="V585" s="13" t="str">
        <f>HYPERLINK(AB2 &amp; "/bulb/3dw_cd50fc4d-7376-4112-a067-eb195605972f/rendering/19.obj", "2.70852994919")</f>
        <v>2.70852994919</v>
      </c>
      <c r="W585" s="12" t="s">
        <v>32</v>
      </c>
      <c r="X585" s="13">
        <v>2.707939550280571</v>
      </c>
      <c r="Y585" s="13">
        <v>0.16732179180084389</v>
      </c>
      <c r="Z585" s="78">
        <v>6.1789337868900208E-2</v>
      </c>
    </row>
    <row r="586" spans="1:26" x14ac:dyDescent="0.2">
      <c r="A586" s="1">
        <v>584</v>
      </c>
      <c r="B586" s="2" t="s">
        <v>149</v>
      </c>
      <c r="C586" s="13" t="str">
        <f>HYPERLINK(AC2 &amp; "/bulb/3dw_cd50fc4d-7376-4112-a067-eb195605972f/rendering/00.xyz", "0.0")</f>
        <v>0.0</v>
      </c>
      <c r="D586" s="13" t="str">
        <f>HYPERLINK(AC2 &amp; "/bulb/3dw_cd50fc4d-7376-4112-a067-eb195605972f/rendering/01.xyz", "0.0")</f>
        <v>0.0</v>
      </c>
      <c r="E586" s="13" t="str">
        <f>HYPERLINK(AC2 &amp; "/bulb/3dw_cd50fc4d-7376-4112-a067-eb195605972f/rendering/02.xyz", "0.0")</f>
        <v>0.0</v>
      </c>
      <c r="F586" s="13" t="str">
        <f>HYPERLINK(AC2 &amp; "/bulb/3dw_cd50fc4d-7376-4112-a067-eb195605972f/rendering/03.xyz", "0.0")</f>
        <v>0.0</v>
      </c>
      <c r="G586" s="13" t="str">
        <f>HYPERLINK(AC2 &amp; "/bulb/3dw_cd50fc4d-7376-4112-a067-eb195605972f/rendering/04.xyz", "0.0")</f>
        <v>0.0</v>
      </c>
      <c r="H586" s="13" t="str">
        <f>HYPERLINK(AC2 &amp; "/bulb/3dw_cd50fc4d-7376-4112-a067-eb195605972f/rendering/05.xyz", "0.0")</f>
        <v>0.0</v>
      </c>
      <c r="I586" s="13" t="str">
        <f>HYPERLINK(AC2 &amp; "/bulb/3dw_cd50fc4d-7376-4112-a067-eb195605972f/rendering/06.xyz", "0.0")</f>
        <v>0.0</v>
      </c>
      <c r="J586" s="13" t="str">
        <f>HYPERLINK(AC2 &amp; "/bulb/3dw_cd50fc4d-7376-4112-a067-eb195605972f/rendering/07.xyz", "0.0")</f>
        <v>0.0</v>
      </c>
      <c r="K586" s="13" t="str">
        <f>HYPERLINK(AC2 &amp; "/bulb/3dw_cd50fc4d-7376-4112-a067-eb195605972f/rendering/08.xyz", "0.0")</f>
        <v>0.0</v>
      </c>
      <c r="L586" s="13" t="str">
        <f>HYPERLINK(AC2 &amp; "/bulb/3dw_cd50fc4d-7376-4112-a067-eb195605972f/rendering/09.xyz", "0.0")</f>
        <v>0.0</v>
      </c>
      <c r="M586" s="13" t="str">
        <f>HYPERLINK(AC2 &amp; "/bulb/3dw_cd50fc4d-7376-4112-a067-eb195605972f/rendering/10.xyz", "0.0")</f>
        <v>0.0</v>
      </c>
      <c r="N586" s="13" t="str">
        <f>HYPERLINK(AC2 &amp; "/bulb/3dw_cd50fc4d-7376-4112-a067-eb195605972f/rendering/11.xyz", "0.0")</f>
        <v>0.0</v>
      </c>
      <c r="O586" s="13" t="str">
        <f>HYPERLINK(AC2 &amp; "/bulb/3dw_cd50fc4d-7376-4112-a067-eb195605972f/rendering/12.xyz", "0.0")</f>
        <v>0.0</v>
      </c>
      <c r="P586" s="13" t="str">
        <f>HYPERLINK(AC2 &amp; "/bulb/3dw_cd50fc4d-7376-4112-a067-eb195605972f/rendering/13.xyz", "0.0")</f>
        <v>0.0</v>
      </c>
      <c r="Q586" s="13" t="str">
        <f>HYPERLINK(AC2 &amp; "/bulb/3dw_cd50fc4d-7376-4112-a067-eb195605972f/rendering/14.xyz", "0.0")</f>
        <v>0.0</v>
      </c>
      <c r="R586" s="13" t="str">
        <f>HYPERLINK(AC2 &amp; "/bulb/3dw_cd50fc4d-7376-4112-a067-eb195605972f/rendering/15.xyz", "0.0")</f>
        <v>0.0</v>
      </c>
      <c r="S586" s="13" t="str">
        <f>HYPERLINK(AC2 &amp; "/bulb/3dw_cd50fc4d-7376-4112-a067-eb195605972f/rendering/16.xyz", "0.0")</f>
        <v>0.0</v>
      </c>
      <c r="T586" s="13" t="str">
        <f>HYPERLINK(AC2 &amp; "/bulb/3dw_cd50fc4d-7376-4112-a067-eb195605972f/rendering/17.xyz", "0.0")</f>
        <v>0.0</v>
      </c>
      <c r="U586" s="13" t="str">
        <f>HYPERLINK(AC2 &amp; "/bulb/3dw_cd50fc4d-7376-4112-a067-eb195605972f/rendering/18.xyz", "0.0")</f>
        <v>0.0</v>
      </c>
      <c r="V586" s="13" t="str">
        <f>HYPERLINK(AC2 &amp; "/bulb/3dw_cd50fc4d-7376-4112-a067-eb195605972f/rendering/19.xyz", "0.0")</f>
        <v>0.0</v>
      </c>
      <c r="W586" s="12" t="s">
        <v>33</v>
      </c>
      <c r="X586" s="13">
        <v>0</v>
      </c>
      <c r="Y586" s="13">
        <v>0</v>
      </c>
      <c r="Z586" s="13">
        <v>0</v>
      </c>
    </row>
    <row r="587" spans="1:26" x14ac:dyDescent="0.2">
      <c r="A587" s="1">
        <v>585</v>
      </c>
      <c r="B587" s="2" t="s">
        <v>150</v>
      </c>
      <c r="C587" s="47" t="str">
        <f>HYPERLINK(AA2 &amp; "/bulb/3dw_d031ff89-21d2-4e96-99b2-532340c28c63/rendering/00.obj", "1.71913330078")</f>
        <v>1.71913330078</v>
      </c>
      <c r="D587" s="53" t="str">
        <f>HYPERLINK(AA2 &amp; "/bulb/3dw_d031ff89-21d2-4e96-99b2-532340c28c63/rendering/01.obj", "1.01843261719")</f>
        <v>1.01843261719</v>
      </c>
      <c r="E587" s="106" t="str">
        <f>HYPERLINK(AA2 &amp; "/bulb/3dw_d031ff89-21d2-4e96-99b2-532340c28c63/rendering/02.obj", "1.92946136475")</f>
        <v>1.92946136475</v>
      </c>
      <c r="F587" s="64" t="str">
        <f>HYPERLINK(AA2 &amp; "/bulb/3dw_d031ff89-21d2-4e96-99b2-532340c28c63/rendering/03.obj", "2.01658813477")</f>
        <v>2.01658813477</v>
      </c>
      <c r="G587" s="6" t="str">
        <f>HYPERLINK(AA2 &amp; "/bulb/3dw_d031ff89-21d2-4e96-99b2-532340c28c63/rendering/04.obj", "1.65178573608")</f>
        <v>1.65178573608</v>
      </c>
      <c r="H587" s="108" t="str">
        <f>HYPERLINK(AA2 &amp; "/bulb/3dw_d031ff89-21d2-4e96-99b2-532340c28c63/rendering/05.obj", "1.30448669434")</f>
        <v>1.30448669434</v>
      </c>
      <c r="I587" s="68" t="str">
        <f>HYPERLINK(AA2 &amp; "/bulb/3dw_d031ff89-21d2-4e96-99b2-532340c28c63/rendering/06.obj", "1.80372695923")</f>
        <v>1.80372695923</v>
      </c>
      <c r="J587" s="20" t="str">
        <f>HYPERLINK(AA2 &amp; "/bulb/3dw_d031ff89-21d2-4e96-99b2-532340c28c63/rendering/07.obj", "3.46492004395")</f>
        <v>3.46492004395</v>
      </c>
      <c r="K587" s="31" t="str">
        <f>HYPERLINK(AA2 &amp; "/bulb/3dw_d031ff89-21d2-4e96-99b2-532340c28c63/rendering/08.obj", "1.46129669189")</f>
        <v>1.46129669189</v>
      </c>
      <c r="L587" s="161" t="str">
        <f>HYPERLINK(AA2 &amp; "/bulb/3dw_d031ff89-21d2-4e96-99b2-532340c28c63/rendering/09.obj", "2.74268920898")</f>
        <v>2.74268920898</v>
      </c>
      <c r="M587" s="144" t="str">
        <f>HYPERLINK(AA2 &amp; "/bulb/3dw_d031ff89-21d2-4e96-99b2-532340c28c63/rendering/10.obj", "2.60084533691")</f>
        <v>2.60084533691</v>
      </c>
      <c r="N587" s="7" t="str">
        <f>HYPERLINK(AA2 &amp; "/bulb/3dw_d031ff89-21d2-4e96-99b2-532340c28c63/rendering/11.obj", "1.25210159302")</f>
        <v>1.25210159302</v>
      </c>
      <c r="O587" s="213" t="str">
        <f>HYPERLINK(AA2 &amp; "/bulb/3dw_d031ff89-21d2-4e96-99b2-532340c28c63/rendering/12.obj", "0.877693557739")</f>
        <v>0.877693557739</v>
      </c>
      <c r="P587" s="153" t="str">
        <f>HYPERLINK(AA2 &amp; "/bulb/3dw_d031ff89-21d2-4e96-99b2-532340c28c63/rendering/13.obj", "1.11463760376")</f>
        <v>1.11463760376</v>
      </c>
      <c r="Q587" s="200" t="str">
        <f>HYPERLINK(AA2 &amp; "/bulb/3dw_d031ff89-21d2-4e96-99b2-532340c28c63/rendering/14.obj", "2.55911727905")</f>
        <v>2.55911727905</v>
      </c>
      <c r="R587" s="123" t="str">
        <f>HYPERLINK(AA2 &amp; "/bulb/3dw_d031ff89-21d2-4e96-99b2-532340c28c63/rendering/15.obj", "2.37043807983")</f>
        <v>2.37043807983</v>
      </c>
      <c r="S587" s="76" t="str">
        <f>HYPERLINK(AA2 &amp; "/bulb/3dw_d031ff89-21d2-4e96-99b2-532340c28c63/rendering/16.obj", "1.41541290283")</f>
        <v>1.41541290283</v>
      </c>
      <c r="T587" s="101" t="str">
        <f>HYPERLINK(AA2 &amp; "/bulb/3dw_d031ff89-21d2-4e96-99b2-532340c28c63/rendering/17.obj", "1.07837173462")</f>
        <v>1.07837173462</v>
      </c>
      <c r="U587" s="108" t="str">
        <f>HYPERLINK(AA2 &amp; "/bulb/3dw_d031ff89-21d2-4e96-99b2-532340c28c63/rendering/18.obj", "1.30288345337")</f>
        <v>1.30288345337</v>
      </c>
      <c r="V587" s="203" t="str">
        <f>HYPERLINK(AA2 &amp; "/bulb/3dw_d031ff89-21d2-4e96-99b2-532340c28c63/rendering/19.obj", "0.9260546875")</f>
        <v>0.9260546875</v>
      </c>
      <c r="W587" s="12" t="s">
        <v>29</v>
      </c>
      <c r="X587" s="13">
        <v>1.730503849029541</v>
      </c>
      <c r="Y587" s="13">
        <v>0.68812989309965045</v>
      </c>
      <c r="Z587" s="196">
        <v>0.39764713235717492</v>
      </c>
    </row>
    <row r="588" spans="1:26" x14ac:dyDescent="0.2">
      <c r="A588" s="1">
        <v>586</v>
      </c>
      <c r="B588" s="2" t="s">
        <v>150</v>
      </c>
      <c r="C588" s="25" t="str">
        <f>HYPERLINK(AA2 &amp; "/bulb/3dw_d031ff89-21d2-4e96-99b2-532340c28c63/rendering/00.obj", "4.24396371841")</f>
        <v>4.24396371841</v>
      </c>
      <c r="D588" s="115" t="str">
        <f>HYPERLINK(AA2 &amp; "/bulb/3dw_d031ff89-21d2-4e96-99b2-532340c28c63/rendering/01.obj", "1.51425004005")</f>
        <v>1.51425004005</v>
      </c>
      <c r="E588" s="32" t="str">
        <f>HYPERLINK(AA2 &amp; "/bulb/3dw_d031ff89-21d2-4e96-99b2-532340c28c63/rendering/02.obj", "3.75592827797")</f>
        <v>3.75592827797</v>
      </c>
      <c r="F588" s="7" t="str">
        <f>HYPERLINK(AA2 &amp; "/bulb/3dw_d031ff89-21d2-4e96-99b2-532340c28c63/rendering/03.obj", "5.37025308609")</f>
        <v>5.37025308609</v>
      </c>
      <c r="G588" s="10" t="str">
        <f>HYPERLINK(AA2 &amp; "/bulb/3dw_d031ff89-21d2-4e96-99b2-532340c28c63/rendering/04.obj", "4.43053627014")</f>
        <v>4.43053627014</v>
      </c>
      <c r="H588" s="139" t="str">
        <f>HYPERLINK(AA2 &amp; "/bulb/3dw_d031ff89-21d2-4e96-99b2-532340c28c63/rendering/05.obj", "2.17980384827")</f>
        <v>2.17980384827</v>
      </c>
      <c r="I588" s="4" t="str">
        <f>HYPERLINK(AA2 &amp; "/bulb/3dw_d031ff89-21d2-4e96-99b2-532340c28c63/rendering/06.obj", "3.01110172272")</f>
        <v>3.01110172272</v>
      </c>
      <c r="J588" s="20" t="str">
        <f>HYPERLINK(AA2 &amp; "/bulb/3dw_d031ff89-21d2-4e96-99b2-532340c28c63/rendering/07.obj", "12.4311685562")</f>
        <v>12.4311685562</v>
      </c>
      <c r="K588" s="168" t="str">
        <f>HYPERLINK(AA2 &amp; "/bulb/3dw_d031ff89-21d2-4e96-99b2-532340c28c63/rendering/08.obj", "2.85206055641")</f>
        <v>2.85206055641</v>
      </c>
      <c r="L588" s="20" t="str">
        <f>HYPERLINK(AA2 &amp; "/bulb/3dw_d031ff89-21d2-4e96-99b2-532340c28c63/rendering/09.obj", "8.23481273651")</f>
        <v>8.23481273651</v>
      </c>
      <c r="M588" s="209" t="str">
        <f>HYPERLINK(AA2 &amp; "/bulb/3dw_d031ff89-21d2-4e96-99b2-532340c28c63/rendering/10.obj", "7.38608932495")</f>
        <v>7.38608932495</v>
      </c>
      <c r="N588" s="156" t="str">
        <f>HYPERLINK(AA2 &amp; "/bulb/3dw_d031ff89-21d2-4e96-99b2-532340c28c63/rendering/11.obj", "2.32027125359")</f>
        <v>2.32027125359</v>
      </c>
      <c r="O588" s="245" t="str">
        <f>HYPERLINK(AA2 &amp; "/bulb/3dw_d031ff89-21d2-4e96-99b2-532340c28c63/rendering/12.obj", "1.17222082615")</f>
        <v>1.17222082615</v>
      </c>
      <c r="P588" s="112" t="str">
        <f>HYPERLINK(AA2 &amp; "/bulb/3dw_d031ff89-21d2-4e96-99b2-532340c28c63/rendering/13.obj", "1.7110376358")</f>
        <v>1.7110376358</v>
      </c>
      <c r="Q588" s="20" t="str">
        <f>HYPERLINK(AA2 &amp; "/bulb/3dw_d031ff89-21d2-4e96-99b2-532340c28c63/rendering/14.obj", "8.46386528015")</f>
        <v>8.46386528015</v>
      </c>
      <c r="R588" s="251" t="str">
        <f>HYPERLINK(AA2 &amp; "/bulb/3dw_d031ff89-21d2-4e96-99b2-532340c28c63/rendering/15.obj", "6.67377328873")</f>
        <v>6.67377328873</v>
      </c>
      <c r="S588" s="98" t="str">
        <f>HYPERLINK(AA2 &amp; "/bulb/3dw_d031ff89-21d2-4e96-99b2-532340c28c63/rendering/16.obj", "3.23871779442")</f>
        <v>3.23871779442</v>
      </c>
      <c r="T588" s="216" t="str">
        <f>HYPERLINK(AA2 &amp; "/bulb/3dw_d031ff89-21d2-4e96-99b2-532340c28c63/rendering/17.obj", "1.47171103954")</f>
        <v>1.47171103954</v>
      </c>
      <c r="U588" s="16" t="str">
        <f>HYPERLINK(AA2 &amp; "/bulb/3dw_d031ff89-21d2-4e96-99b2-532340c28c63/rendering/18.obj", "1.91902840137")</f>
        <v>1.91902840137</v>
      </c>
      <c r="V588" s="62" t="str">
        <f>HYPERLINK(AA2 &amp; "/bulb/3dw_d031ff89-21d2-4e96-99b2-532340c28c63/rendering/19.obj", "1.68829202652")</f>
        <v>1.68829202652</v>
      </c>
      <c r="W588" s="12" t="s">
        <v>30</v>
      </c>
      <c r="X588" s="13">
        <v>4.2034442842006694</v>
      </c>
      <c r="Y588" s="13">
        <v>2.9445238066300412</v>
      </c>
      <c r="Z588" s="233">
        <v>0.70050263725333872</v>
      </c>
    </row>
    <row r="589" spans="1:26" x14ac:dyDescent="0.2">
      <c r="A589" s="1">
        <v>587</v>
      </c>
      <c r="B589" s="2" t="s">
        <v>150</v>
      </c>
      <c r="C589" s="40" t="str">
        <f>HYPERLINK(AB2 &amp; "/bulb/3dw_d031ff89-21d2-4e96-99b2-532340c28c63/rendering/00.obj", "1.15056838989")</f>
        <v>1.15056838989</v>
      </c>
      <c r="D589" s="6" t="str">
        <f>HYPERLINK(AB2 &amp; "/bulb/3dw_d031ff89-21d2-4e96-99b2-532340c28c63/rendering/01.obj", "1.45320632935")</f>
        <v>1.45320632935</v>
      </c>
      <c r="E589" s="80" t="str">
        <f>HYPERLINK(AB2 &amp; "/bulb/3dw_d031ff89-21d2-4e96-99b2-532340c28c63/rendering/02.obj", "1.1814453125")</f>
        <v>1.1814453125</v>
      </c>
      <c r="F589" s="78" t="str">
        <f>HYPERLINK(AB2 &amp; "/bulb/3dw_d031ff89-21d2-4e96-99b2-532340c28c63/rendering/03.obj", "1.30344268799")</f>
        <v>1.30344268799</v>
      </c>
      <c r="G589" s="83" t="str">
        <f>HYPERLINK(AB2 &amp; "/bulb/3dw_d031ff89-21d2-4e96-99b2-532340c28c63/rendering/04.obj", "1.60204589844")</f>
        <v>1.60204589844</v>
      </c>
      <c r="H589" s="138" t="str">
        <f>HYPERLINK(AB2 &amp; "/bulb/3dw_d031ff89-21d2-4e96-99b2-532340c28c63/rendering/05.obj", "0.9235887146")</f>
        <v>0.9235887146</v>
      </c>
      <c r="I589" s="14" t="str">
        <f>HYPERLINK(AB2 &amp; "/bulb/3dw_d031ff89-21d2-4e96-99b2-532340c28c63/rendering/06.obj", "0.9881615448")</f>
        <v>0.9881615448</v>
      </c>
      <c r="J589" s="72" t="str">
        <f>HYPERLINK(AB2 &amp; "/bulb/3dw_d031ff89-21d2-4e96-99b2-532340c28c63/rendering/07.obj", "1.43538375854")</f>
        <v>1.43538375854</v>
      </c>
      <c r="K589" s="25" t="str">
        <f>HYPERLINK(AB2 &amp; "/bulb/3dw_d031ff89-21d2-4e96-99b2-532340c28c63/rendering/08.obj", "1.3741229248")</f>
        <v>1.3741229248</v>
      </c>
      <c r="L589" s="6" t="str">
        <f>HYPERLINK(AB2 &amp; "/bulb/3dw_d031ff89-21d2-4e96-99b2-532340c28c63/rendering/09.obj", "1.32914093018")</f>
        <v>1.32914093018</v>
      </c>
      <c r="M589" s="93" t="str">
        <f>HYPERLINK(AB2 &amp; "/bulb/3dw_d031ff89-21d2-4e96-99b2-532340c28c63/rendering/10.obj", "1.19746612549")</f>
        <v>1.19746612549</v>
      </c>
      <c r="N589" s="44" t="str">
        <f>HYPERLINK(AB2 &amp; "/bulb/3dw_d031ff89-21d2-4e96-99b2-532340c28c63/rendering/11.obj", "1.66303344727")</f>
        <v>1.66303344727</v>
      </c>
      <c r="O589" s="55" t="str">
        <f>HYPERLINK(AB2 &amp; "/bulb/3dw_d031ff89-21d2-4e96-99b2-532340c28c63/rendering/12.obj", "1.65855163574")</f>
        <v>1.65855163574</v>
      </c>
      <c r="P589" s="66" t="str">
        <f>HYPERLINK(AB2 &amp; "/bulb/3dw_d031ff89-21d2-4e96-99b2-532340c28c63/rendering/13.obj", "1.61352996826")</f>
        <v>1.61352996826</v>
      </c>
      <c r="Q589" s="13" t="str">
        <f>HYPERLINK(AB2 &amp; "/bulb/3dw_d031ff89-21d2-4e96-99b2-532340c28c63/rendering/14.obj", "1.39325195313")</f>
        <v>1.39325195313</v>
      </c>
      <c r="R589" s="134" t="str">
        <f>HYPERLINK(AB2 &amp; "/bulb/3dw_d031ff89-21d2-4e96-99b2-532340c28c63/rendering/15.obj", "1.6393447876")</f>
        <v>1.6393447876</v>
      </c>
      <c r="S589" s="129" t="str">
        <f>HYPERLINK(AB2 &amp; "/bulb/3dw_d031ff89-21d2-4e96-99b2-532340c28c63/rendering/16.obj", "1.73535079956")</f>
        <v>1.73535079956</v>
      </c>
      <c r="T589" s="89" t="str">
        <f>HYPERLINK(AB2 &amp; "/bulb/3dw_d031ff89-21d2-4e96-99b2-532340c28c63/rendering/17.obj", "1.03223602295")</f>
        <v>1.03223602295</v>
      </c>
      <c r="U589" s="110" t="str">
        <f>HYPERLINK(AB2 &amp; "/bulb/3dw_d031ff89-21d2-4e96-99b2-532340c28c63/rendering/18.obj", "1.52746627808")</f>
        <v>1.52746627808</v>
      </c>
      <c r="V589" s="31" t="str">
        <f>HYPERLINK(AB2 &amp; "/bulb/3dw_d031ff89-21d2-4e96-99b2-532340c28c63/rendering/19.obj", "1.60501464844")</f>
        <v>1.60501464844</v>
      </c>
      <c r="W589" s="12" t="s">
        <v>31</v>
      </c>
      <c r="X589" s="13">
        <v>1.390317607879638</v>
      </c>
      <c r="Y589" s="13">
        <v>0.23985167594328829</v>
      </c>
      <c r="Z589" s="40">
        <v>0.17251574358544169</v>
      </c>
    </row>
    <row r="590" spans="1:26" x14ac:dyDescent="0.2">
      <c r="A590" s="1">
        <v>588</v>
      </c>
      <c r="B590" s="2" t="s">
        <v>150</v>
      </c>
      <c r="C590" s="48" t="str">
        <f>HYPERLINK(AB2 &amp; "/bulb/3dw_d031ff89-21d2-4e96-99b2-532340c28c63/rendering/00.obj", "1.53048956394")</f>
        <v>1.53048956394</v>
      </c>
      <c r="D590" s="38" t="str">
        <f>HYPERLINK(AB2 &amp; "/bulb/3dw_d031ff89-21d2-4e96-99b2-532340c28c63/rendering/01.obj", "1.70456945896")</f>
        <v>1.70456945896</v>
      </c>
      <c r="E590" s="133" t="str">
        <f>HYPERLINK(AB2 &amp; "/bulb/3dw_d031ff89-21d2-4e96-99b2-532340c28c63/rendering/02.obj", "1.40900814533")</f>
        <v>1.40900814533</v>
      </c>
      <c r="F590" s="67" t="str">
        <f>HYPERLINK(AB2 &amp; "/bulb/3dw_d031ff89-21d2-4e96-99b2-532340c28c63/rendering/03.obj", "1.70972418785")</f>
        <v>1.70972418785</v>
      </c>
      <c r="G590" s="30" t="str">
        <f>HYPERLINK(AB2 &amp; "/bulb/3dw_d031ff89-21d2-4e96-99b2-532340c28c63/rendering/04.obj", "1.55808925629")</f>
        <v>1.55808925629</v>
      </c>
      <c r="H590" s="40" t="str">
        <f>HYPERLINK(AB2 &amp; "/bulb/3dw_d031ff89-21d2-4e96-99b2-532340c28c63/rendering/05.obj", "1.29751563072")</f>
        <v>1.29751563072</v>
      </c>
      <c r="I590" s="24" t="str">
        <f>HYPERLINK(AB2 &amp; "/bulb/3dw_d031ff89-21d2-4e96-99b2-532340c28c63/rendering/06.obj", "1.3056653738")</f>
        <v>1.3056653738</v>
      </c>
      <c r="J590" s="11" t="str">
        <f>HYPERLINK(AB2 &amp; "/bulb/3dw_d031ff89-21d2-4e96-99b2-532340c28c63/rendering/07.obj", "1.91920769215")</f>
        <v>1.91920769215</v>
      </c>
      <c r="K590" s="74" t="str">
        <f>HYPERLINK(AB2 &amp; "/bulb/3dw_d031ff89-21d2-4e96-99b2-532340c28c63/rendering/08.obj", "1.58636260033")</f>
        <v>1.58636260033</v>
      </c>
      <c r="L590" s="41" t="str">
        <f>HYPERLINK(AB2 &amp; "/bulb/3dw_d031ff89-21d2-4e96-99b2-532340c28c63/rendering/09.obj", "1.45969164371")</f>
        <v>1.45969164371</v>
      </c>
      <c r="M590" s="34" t="str">
        <f>HYPERLINK(AB2 &amp; "/bulb/3dw_d031ff89-21d2-4e96-99b2-532340c28c63/rendering/10.obj", "1.64290344715")</f>
        <v>1.64290344715</v>
      </c>
      <c r="N590" s="151" t="str">
        <f>HYPERLINK(AB2 &amp; "/bulb/3dw_d031ff89-21d2-4e96-99b2-532340c28c63/rendering/11.obj", "2.12668681145")</f>
        <v>2.12668681145</v>
      </c>
      <c r="O590" s="42" t="str">
        <f>HYPERLINK(AB2 &amp; "/bulb/3dw_d031ff89-21d2-4e96-99b2-532340c28c63/rendering/12.obj", "1.35400176048")</f>
        <v>1.35400176048</v>
      </c>
      <c r="P590" s="10" t="str">
        <f>HYPERLINK(AB2 &amp; "/bulb/3dw_d031ff89-21d2-4e96-99b2-532340c28c63/rendering/13.obj", "1.65291285515")</f>
        <v>1.65291285515</v>
      </c>
      <c r="Q590" s="38" t="str">
        <f>HYPERLINK(AB2 &amp; "/bulb/3dw_d031ff89-21d2-4e96-99b2-532340c28c63/rendering/14.obj", "1.42639112473")</f>
        <v>1.42639112473</v>
      </c>
      <c r="R590" s="132" t="str">
        <f>HYPERLINK(AB2 &amp; "/bulb/3dw_d031ff89-21d2-4e96-99b2-532340c28c63/rendering/15.obj", "2.22098135948")</f>
        <v>2.22098135948</v>
      </c>
      <c r="S590" s="72" t="str">
        <f>HYPERLINK(AB2 &amp; "/bulb/3dw_d031ff89-21d2-4e96-99b2-532340c28c63/rendering/16.obj", "1.6185002327")</f>
        <v>1.6185002327</v>
      </c>
      <c r="T590" s="28" t="str">
        <f>HYPERLINK(AB2 &amp; "/bulb/3dw_d031ff89-21d2-4e96-99b2-532340c28c63/rendering/17.obj", "1.38951206207")</f>
        <v>1.38951206207</v>
      </c>
      <c r="U590" s="98" t="str">
        <f>HYPERLINK(AB2 &amp; "/bulb/3dw_d031ff89-21d2-4e96-99b2-532340c28c63/rendering/18.obj", "1.20730948448")</f>
        <v>1.20730948448</v>
      </c>
      <c r="V590" s="87" t="str">
        <f>HYPERLINK(AB2 &amp; "/bulb/3dw_d031ff89-21d2-4e96-99b2-532340c28c63/rendering/19.obj", "1.20835530758")</f>
        <v>1.20835530758</v>
      </c>
      <c r="W590" s="12" t="s">
        <v>32</v>
      </c>
      <c r="X590" s="13">
        <v>1.566393899917603</v>
      </c>
      <c r="Y590" s="13">
        <v>0.26962008771525919</v>
      </c>
      <c r="Z590" s="40">
        <v>0.17212789690348129</v>
      </c>
    </row>
    <row r="591" spans="1:26" x14ac:dyDescent="0.2">
      <c r="A591" s="1">
        <v>589</v>
      </c>
      <c r="B591" s="2" t="s">
        <v>150</v>
      </c>
      <c r="C591" s="13" t="str">
        <f>HYPERLINK(AC2 &amp; "/bulb/3dw_d031ff89-21d2-4e96-99b2-532340c28c63/rendering/00.xyz", "0.0")</f>
        <v>0.0</v>
      </c>
      <c r="D591" s="13" t="str">
        <f>HYPERLINK(AC2 &amp; "/bulb/3dw_d031ff89-21d2-4e96-99b2-532340c28c63/rendering/01.xyz", "0.0")</f>
        <v>0.0</v>
      </c>
      <c r="E591" s="13" t="str">
        <f>HYPERLINK(AC2 &amp; "/bulb/3dw_d031ff89-21d2-4e96-99b2-532340c28c63/rendering/02.xyz", "0.0")</f>
        <v>0.0</v>
      </c>
      <c r="F591" s="13" t="str">
        <f>HYPERLINK(AC2 &amp; "/bulb/3dw_d031ff89-21d2-4e96-99b2-532340c28c63/rendering/03.xyz", "0.0")</f>
        <v>0.0</v>
      </c>
      <c r="G591" s="13" t="str">
        <f>HYPERLINK(AC2 &amp; "/bulb/3dw_d031ff89-21d2-4e96-99b2-532340c28c63/rendering/04.xyz", "0.0")</f>
        <v>0.0</v>
      </c>
      <c r="H591" s="13" t="str">
        <f>HYPERLINK(AC2 &amp; "/bulb/3dw_d031ff89-21d2-4e96-99b2-532340c28c63/rendering/05.xyz", "0.0")</f>
        <v>0.0</v>
      </c>
      <c r="I591" s="13" t="str">
        <f>HYPERLINK(AC2 &amp; "/bulb/3dw_d031ff89-21d2-4e96-99b2-532340c28c63/rendering/06.xyz", "0.0")</f>
        <v>0.0</v>
      </c>
      <c r="J591" s="13" t="str">
        <f>HYPERLINK(AC2 &amp; "/bulb/3dw_d031ff89-21d2-4e96-99b2-532340c28c63/rendering/07.xyz", "0.0")</f>
        <v>0.0</v>
      </c>
      <c r="K591" s="13" t="str">
        <f>HYPERLINK(AC2 &amp; "/bulb/3dw_d031ff89-21d2-4e96-99b2-532340c28c63/rendering/08.xyz", "0.0")</f>
        <v>0.0</v>
      </c>
      <c r="L591" s="13" t="str">
        <f>HYPERLINK(AC2 &amp; "/bulb/3dw_d031ff89-21d2-4e96-99b2-532340c28c63/rendering/09.xyz", "0.0")</f>
        <v>0.0</v>
      </c>
      <c r="M591" s="13" t="str">
        <f>HYPERLINK(AC2 &amp; "/bulb/3dw_d031ff89-21d2-4e96-99b2-532340c28c63/rendering/10.xyz", "0.0")</f>
        <v>0.0</v>
      </c>
      <c r="N591" s="13" t="str">
        <f>HYPERLINK(AC2 &amp; "/bulb/3dw_d031ff89-21d2-4e96-99b2-532340c28c63/rendering/11.xyz", "0.0")</f>
        <v>0.0</v>
      </c>
      <c r="O591" s="13" t="str">
        <f>HYPERLINK(AC2 &amp; "/bulb/3dw_d031ff89-21d2-4e96-99b2-532340c28c63/rendering/12.xyz", "0.0")</f>
        <v>0.0</v>
      </c>
      <c r="P591" s="13" t="str">
        <f>HYPERLINK(AC2 &amp; "/bulb/3dw_d031ff89-21d2-4e96-99b2-532340c28c63/rendering/13.xyz", "0.0")</f>
        <v>0.0</v>
      </c>
      <c r="Q591" s="13" t="str">
        <f>HYPERLINK(AC2 &amp; "/bulb/3dw_d031ff89-21d2-4e96-99b2-532340c28c63/rendering/14.xyz", "0.0")</f>
        <v>0.0</v>
      </c>
      <c r="R591" s="13" t="str">
        <f>HYPERLINK(AC2 &amp; "/bulb/3dw_d031ff89-21d2-4e96-99b2-532340c28c63/rendering/15.xyz", "0.0")</f>
        <v>0.0</v>
      </c>
      <c r="S591" s="13" t="str">
        <f>HYPERLINK(AC2 &amp; "/bulb/3dw_d031ff89-21d2-4e96-99b2-532340c28c63/rendering/16.xyz", "0.0")</f>
        <v>0.0</v>
      </c>
      <c r="T591" s="13" t="str">
        <f>HYPERLINK(AC2 &amp; "/bulb/3dw_d031ff89-21d2-4e96-99b2-532340c28c63/rendering/17.xyz", "0.0")</f>
        <v>0.0</v>
      </c>
      <c r="U591" s="13" t="str">
        <f>HYPERLINK(AC2 &amp; "/bulb/3dw_d031ff89-21d2-4e96-99b2-532340c28c63/rendering/18.xyz", "0.0")</f>
        <v>0.0</v>
      </c>
      <c r="V591" s="13" t="str">
        <f>HYPERLINK(AC2 &amp; "/bulb/3dw_d031ff89-21d2-4e96-99b2-532340c28c63/rendering/19.xyz", "0.0")</f>
        <v>0.0</v>
      </c>
      <c r="W591" s="12" t="s">
        <v>33</v>
      </c>
      <c r="X591" s="13">
        <v>0</v>
      </c>
      <c r="Y591" s="13">
        <v>0</v>
      </c>
      <c r="Z591" s="13">
        <v>0</v>
      </c>
    </row>
    <row r="592" spans="1:26" x14ac:dyDescent="0.2">
      <c r="A592" s="1">
        <v>590</v>
      </c>
      <c r="B592" s="2" t="s">
        <v>151</v>
      </c>
      <c r="C592" s="51" t="str">
        <f>HYPERLINK(AA2 &amp; "/bulb/3dw_d1090e9f-167e-4643-a010-95986657f934/rendering/00.obj", "4.45760528564")</f>
        <v>4.45760528564</v>
      </c>
      <c r="D592" s="54" t="str">
        <f>HYPERLINK(AA2 &amp; "/bulb/3dw_d1090e9f-167e-4643-a010-95986657f934/rendering/01.obj", "3.25496734619")</f>
        <v>3.25496734619</v>
      </c>
      <c r="E592" s="14" t="str">
        <f>HYPERLINK(AA2 &amp; "/bulb/3dw_d1090e9f-167e-4643-a010-95986657f934/rendering/02.obj", "6.24887268066")</f>
        <v>6.24887268066</v>
      </c>
      <c r="F592" s="111" t="str">
        <f>HYPERLINK(AA2 &amp; "/bulb/3dw_d1090e9f-167e-4643-a010-95986657f934/rendering/03.obj", "2.79510986328")</f>
        <v>2.79510986328</v>
      </c>
      <c r="G592" s="61" t="str">
        <f>HYPERLINK(AA2 &amp; "/bulb/3dw_d1090e9f-167e-4643-a010-95986657f934/rendering/04.obj", "6.31018554688")</f>
        <v>6.31018554688</v>
      </c>
      <c r="H592" s="175" t="str">
        <f>HYPERLINK(AA2 &amp; "/bulb/3dw_d1090e9f-167e-4643-a010-95986657f934/rendering/05.obj", "3.71374816895")</f>
        <v>3.71374816895</v>
      </c>
      <c r="I592" s="131" t="str">
        <f>HYPERLINK(AA2 &amp; "/bulb/3dw_d1090e9f-167e-4643-a010-95986657f934/rendering/06.obj", "7.07723876953")</f>
        <v>7.07723876953</v>
      </c>
      <c r="J592" s="44" t="str">
        <f>HYPERLINK(AA2 &amp; "/bulb/3dw_d1090e9f-167e-4643-a010-95986657f934/rendering/07.obj", "3.89415802002")</f>
        <v>3.89415802002</v>
      </c>
      <c r="K592" s="65" t="str">
        <f>HYPERLINK(AA2 &amp; "/bulb/3dw_d1090e9f-167e-4643-a010-95986657f934/rendering/08.obj", "4.20029541016")</f>
        <v>4.20029541016</v>
      </c>
      <c r="L592" s="70" t="str">
        <f>HYPERLINK(AA2 &amp; "/bulb/3dw_d1090e9f-167e-4643-a010-95986657f934/rendering/09.obj", "5.45130065918")</f>
        <v>5.45130065918</v>
      </c>
      <c r="M592" s="110" t="str">
        <f>HYPERLINK(AA2 &amp; "/bulb/3dw_d1090e9f-167e-4643-a010-95986657f934/rendering/10.obj", "5.32376831055")</f>
        <v>5.32376831055</v>
      </c>
      <c r="N592" s="83" t="str">
        <f>HYPERLINK(AA2 &amp; "/bulb/3dw_d1090e9f-167e-4643-a010-95986657f934/rendering/11.obj", "4.10590576172")</f>
        <v>4.10590576172</v>
      </c>
      <c r="O592" s="84" t="str">
        <f>HYPERLINK(AA2 &amp; "/bulb/3dw_d1090e9f-167e-4643-a010-95986657f934/rendering/12.obj", "5.5468951416")</f>
        <v>5.5468951416</v>
      </c>
      <c r="P592" s="152" t="str">
        <f>HYPERLINK(AA2 &amp; "/bulb/3dw_d1090e9f-167e-4643-a010-95986657f934/rendering/13.obj", "2.87480499268")</f>
        <v>2.87480499268</v>
      </c>
      <c r="Q592" s="68" t="str">
        <f>HYPERLINK(AA2 &amp; "/bulb/3dw_d1090e9f-167e-4643-a010-95986657f934/rendering/14.obj", "5.03971679688")</f>
        <v>5.03971679688</v>
      </c>
      <c r="R592" s="28" t="str">
        <f>HYPERLINK(AA2 &amp; "/bulb/3dw_d1090e9f-167e-4643-a010-95986657f934/rendering/15.obj", "5.37564697266")</f>
        <v>5.37564697266</v>
      </c>
      <c r="S592" s="93" t="str">
        <f>HYPERLINK(AA2 &amp; "/bulb/3dw_d1090e9f-167e-4643-a010-95986657f934/rendering/16.obj", "5.51145019531")</f>
        <v>5.51145019531</v>
      </c>
      <c r="T592" s="99" t="str">
        <f>HYPERLINK(AA2 &amp; "/bulb/3dw_d1090e9f-167e-4643-a010-95986657f934/rendering/17.obj", "3.52892456055")</f>
        <v>3.52892456055</v>
      </c>
      <c r="U592" s="61" t="str">
        <f>HYPERLINK(AA2 &amp; "/bulb/3dw_d1090e9f-167e-4643-a010-95986657f934/rendering/18.obj", "6.30938354492")</f>
        <v>6.30938354492</v>
      </c>
      <c r="V592" s="50" t="str">
        <f>HYPERLINK(AA2 &amp; "/bulb/3dw_d1090e9f-167e-4643-a010-95986657f934/rendering/19.obj", "5.80417907715")</f>
        <v>5.80417907715</v>
      </c>
      <c r="W592" s="12" t="s">
        <v>29</v>
      </c>
      <c r="X592" s="13">
        <v>4.8412078552246083</v>
      </c>
      <c r="Y592" s="13">
        <v>1.217735454393605</v>
      </c>
      <c r="Z592" s="170">
        <v>0.25153546197762</v>
      </c>
    </row>
    <row r="593" spans="1:26" x14ac:dyDescent="0.2">
      <c r="A593" s="1">
        <v>591</v>
      </c>
      <c r="B593" s="2" t="s">
        <v>151</v>
      </c>
      <c r="C593" s="5" t="str">
        <f>HYPERLINK(AA2 &amp; "/bulb/3dw_d1090e9f-167e-4643-a010-95986657f934/rendering/00.obj", "38.9654388428")</f>
        <v>38.9654388428</v>
      </c>
      <c r="D593" s="101" t="str">
        <f>HYPERLINK(AA2 &amp; "/bulb/3dw_d1090e9f-167e-4643-a010-95986657f934/rendering/01.obj", "26.2848320007")</f>
        <v>26.2848320007</v>
      </c>
      <c r="E593" s="135" t="str">
        <f>HYPERLINK(AA2 &amp; "/bulb/3dw_d1090e9f-167e-4643-a010-95986657f934/rendering/02.obj", "53.131980896")</f>
        <v>53.131980896</v>
      </c>
      <c r="F593" s="144" t="str">
        <f>HYPERLINK(AA2 &amp; "/bulb/3dw_d1090e9f-167e-4643-a010-95986657f934/rendering/03.obj", "20.9892978668")</f>
        <v>20.9892978668</v>
      </c>
      <c r="G593" s="57" t="str">
        <f>HYPERLINK(AA2 &amp; "/bulb/3dw_d1090e9f-167e-4643-a010-95986657f934/rendering/04.obj", "55.6062774658")</f>
        <v>55.6062774658</v>
      </c>
      <c r="H593" s="129" t="str">
        <f>HYPERLINK(AA2 &amp; "/bulb/3dw_d1090e9f-167e-4643-a010-95986657f934/rendering/05.obj", "31.6976566315")</f>
        <v>31.6976566315</v>
      </c>
      <c r="I593" s="150" t="str">
        <f>HYPERLINK(AA2 &amp; "/bulb/3dw_d1090e9f-167e-4643-a010-95986657f934/rendering/06.obj", "65.0214614868")</f>
        <v>65.0214614868</v>
      </c>
      <c r="J593" s="135" t="str">
        <f>HYPERLINK(AA2 &amp; "/bulb/3dw_d1090e9f-167e-4643-a010-95986657f934/rendering/07.obj", "31.4828128815")</f>
        <v>31.4828128815</v>
      </c>
      <c r="K593" s="32" t="str">
        <f>HYPERLINK(AA2 &amp; "/bulb/3dw_d1090e9f-167e-4643-a010-95986657f934/rendering/08.obj", "37.8239898682")</f>
        <v>37.8239898682</v>
      </c>
      <c r="L593" s="77" t="str">
        <f>HYPERLINK(AA2 &amp; "/bulb/3dw_d1090e9f-167e-4643-a010-95986657f934/rendering/09.obj", "50.2214736938")</f>
        <v>50.2214736938</v>
      </c>
      <c r="M593" s="27" t="str">
        <f>HYPERLINK(AA2 &amp; "/bulb/3dw_d1090e9f-167e-4643-a010-95986657f934/rendering/10.obj", "45.2325820923")</f>
        <v>45.2325820923</v>
      </c>
      <c r="N593" s="76" t="str">
        <f>HYPERLINK(AA2 &amp; "/bulb/3dw_d1090e9f-167e-4643-a010-95986657f934/rendering/11.obj", "34.4539146423")</f>
        <v>34.4539146423</v>
      </c>
      <c r="O593" s="40" t="str">
        <f>HYPERLINK(AA2 &amp; "/bulb/3dw_d1090e9f-167e-4643-a010-95986657f934/rendering/12.obj", "49.4440689087")</f>
        <v>49.4440689087</v>
      </c>
      <c r="P593" s="127" t="str">
        <f>HYPERLINK(AA2 &amp; "/bulb/3dw_d1090e9f-167e-4643-a010-95986657f934/rendering/13.obj", "20.3190231323")</f>
        <v>20.3190231323</v>
      </c>
      <c r="Q593" s="90" t="str">
        <f>HYPERLINK(AA2 &amp; "/bulb/3dw_d1090e9f-167e-4643-a010-95986657f934/rendering/14.obj", "46.3572769165")</f>
        <v>46.3572769165</v>
      </c>
      <c r="R593" s="83" t="str">
        <f>HYPERLINK(AA2 &amp; "/bulb/3dw_d1090e9f-167e-4643-a010-95986657f934/rendering/15.obj", "48.6493911743")</f>
        <v>48.6493911743</v>
      </c>
      <c r="S593" s="66" t="str">
        <f>HYPERLINK(AA2 &amp; "/bulb/3dw_d1090e9f-167e-4643-a010-95986657f934/rendering/16.obj", "49.1472511292")</f>
        <v>49.1472511292</v>
      </c>
      <c r="T593" s="19" t="str">
        <f>HYPERLINK(AA2 &amp; "/bulb/3dw_d1090e9f-167e-4643-a010-95986657f934/rendering/17.obj", "31.2040023804")</f>
        <v>31.2040023804</v>
      </c>
      <c r="U593" s="172" t="str">
        <f>HYPERLINK(AA2 &amp; "/bulb/3dw_d1090e9f-167e-4643-a010-95986657f934/rendering/18.obj", "58.5573425293")</f>
        <v>58.5573425293</v>
      </c>
      <c r="V593" s="82" t="str">
        <f>HYPERLINK(AA2 &amp; "/bulb/3dw_d1090e9f-167e-4643-a010-95986657f934/rendering/19.obj", "50.9791183472")</f>
        <v>50.9791183472</v>
      </c>
      <c r="W593" s="12" t="s">
        <v>30</v>
      </c>
      <c r="X593" s="13">
        <v>42.278459644317628</v>
      </c>
      <c r="Y593" s="13">
        <v>12.278789926036429</v>
      </c>
      <c r="Z593" s="14">
        <v>0.29042661509752371</v>
      </c>
    </row>
    <row r="594" spans="1:26" x14ac:dyDescent="0.2">
      <c r="A594" s="1">
        <v>592</v>
      </c>
      <c r="B594" s="2" t="s">
        <v>151</v>
      </c>
      <c r="C594" s="27" t="str">
        <f>HYPERLINK(AB2 &amp; "/bulb/3dw_d1090e9f-167e-4643-a010-95986657f934/rendering/00.obj", "2.34343444824")</f>
        <v>2.34343444824</v>
      </c>
      <c r="D594" s="31" t="str">
        <f>HYPERLINK(AB2 &amp; "/bulb/3dw_d1090e9f-167e-4643-a010-95986657f934/rendering/01.obj", "1.84737243652")</f>
        <v>1.84737243652</v>
      </c>
      <c r="E594" s="60" t="str">
        <f>HYPERLINK(AB2 &amp; "/bulb/3dw_d1090e9f-167e-4643-a010-95986657f934/rendering/02.obj", "2.30014007568")</f>
        <v>2.30014007568</v>
      </c>
      <c r="F594" s="41" t="str">
        <f>HYPERLINK(AB2 &amp; "/bulb/3dw_d1090e9f-167e-4643-a010-95986657f934/rendering/03.obj", "2.03913146973")</f>
        <v>2.03913146973</v>
      </c>
      <c r="G594" s="91" t="str">
        <f>HYPERLINK(AB2 &amp; "/bulb/3dw_d1090e9f-167e-4643-a010-95986657f934/rendering/04.obj", "2.2458694458")</f>
        <v>2.2458694458</v>
      </c>
      <c r="H594" s="107" t="str">
        <f>HYPERLINK(AB2 &amp; "/bulb/3dw_d1090e9f-167e-4643-a010-95986657f934/rendering/05.obj", "2.01047485352")</f>
        <v>2.01047485352</v>
      </c>
      <c r="I594" s="91" t="str">
        <f>HYPERLINK(AB2 &amp; "/bulb/3dw_d1090e9f-167e-4643-a010-95986657f934/rendering/06.obj", "2.24675415039")</f>
        <v>2.24675415039</v>
      </c>
      <c r="J594" s="46" t="str">
        <f>HYPERLINK(AB2 &amp; "/bulb/3dw_d1090e9f-167e-4643-a010-95986657f934/rendering/07.obj", "2.22593170166")</f>
        <v>2.22593170166</v>
      </c>
      <c r="K594" s="25" t="str">
        <f>HYPERLINK(AB2 &amp; "/bulb/3dw_d1090e9f-167e-4643-a010-95986657f934/rendering/08.obj", "2.21758071899")</f>
        <v>2.21758071899</v>
      </c>
      <c r="L594" s="60" t="str">
        <f>HYPERLINK(AB2 &amp; "/bulb/3dw_d1090e9f-167e-4643-a010-95986657f934/rendering/09.obj", "2.30163497925")</f>
        <v>2.30163497925</v>
      </c>
      <c r="M594" s="72" t="str">
        <f>HYPERLINK(AB2 &amp; "/bulb/3dw_d1090e9f-167e-4643-a010-95986657f934/rendering/10.obj", "2.26131820679")</f>
        <v>2.26131820679</v>
      </c>
      <c r="N594" s="73" t="str">
        <f>HYPERLINK(AB2 &amp; "/bulb/3dw_d1090e9f-167e-4643-a010-95986657f934/rendering/11.obj", "2.26621765137")</f>
        <v>2.26621765137</v>
      </c>
      <c r="O594" s="13" t="str">
        <f>HYPERLINK(AB2 &amp; "/bulb/3dw_d1090e9f-167e-4643-a010-95986657f934/rendering/12.obj", "2.19614273071")</f>
        <v>2.19614273071</v>
      </c>
      <c r="P594" s="69" t="str">
        <f>HYPERLINK(AB2 &amp; "/bulb/3dw_d1090e9f-167e-4643-a010-95986657f934/rendering/13.obj", "2.12304748535")</f>
        <v>2.12304748535</v>
      </c>
      <c r="Q594" s="25" t="str">
        <f>HYPERLINK(AB2 &amp; "/bulb/3dw_d1090e9f-167e-4643-a010-95986657f934/rendering/14.obj", "2.21237823486")</f>
        <v>2.21237823486</v>
      </c>
      <c r="R594" s="25" t="str">
        <f>HYPERLINK(AB2 &amp; "/bulb/3dw_d1090e9f-167e-4643-a010-95986657f934/rendering/15.obj", "2.21170196533")</f>
        <v>2.21170196533</v>
      </c>
      <c r="S594" s="46" t="str">
        <f>HYPERLINK(AB2 &amp; "/bulb/3dw_d1090e9f-167e-4643-a010-95986657f934/rendering/16.obj", "2.22701965332")</f>
        <v>2.22701965332</v>
      </c>
      <c r="T594" s="67" t="str">
        <f>HYPERLINK(AB2 &amp; "/bulb/3dw_d1090e9f-167e-4643-a010-95986657f934/rendering/17.obj", "1.98657180786")</f>
        <v>1.98657180786</v>
      </c>
      <c r="U594" s="46" t="str">
        <f>HYPERLINK(AB2 &amp; "/bulb/3dw_d1090e9f-167e-4643-a010-95986657f934/rendering/18.obj", "2.22877410889")</f>
        <v>2.22877410889</v>
      </c>
      <c r="V594" s="10" t="str">
        <f>HYPERLINK(AB2 &amp; "/bulb/3dw_d1090e9f-167e-4643-a010-95986657f934/rendering/19.obj", "2.31230285645")</f>
        <v>2.31230285645</v>
      </c>
      <c r="W594" s="12" t="s">
        <v>31</v>
      </c>
      <c r="X594" s="13">
        <v>2.190189949035644</v>
      </c>
      <c r="Y594" s="13">
        <v>0.1233927709024969</v>
      </c>
      <c r="Z594" s="10">
        <v>5.6338844471835667E-2</v>
      </c>
    </row>
    <row r="595" spans="1:26" x14ac:dyDescent="0.2">
      <c r="A595" s="1">
        <v>593</v>
      </c>
      <c r="B595" s="2" t="s">
        <v>151</v>
      </c>
      <c r="C595" s="72" t="str">
        <f>HYPERLINK(AB2 &amp; "/bulb/3dw_d1090e9f-167e-4643-a010-95986657f934/rendering/00.obj", "12.7082700729")</f>
        <v>12.7082700729</v>
      </c>
      <c r="D595" s="55" t="str">
        <f>HYPERLINK(AB2 &amp; "/bulb/3dw_d1090e9f-167e-4643-a010-95986657f934/rendering/01.obj", "9.92235183716")</f>
        <v>9.92235183716</v>
      </c>
      <c r="E595" s="51" t="str">
        <f>HYPERLINK(AB2 &amp; "/bulb/3dw_d1090e9f-167e-4643-a010-95986657f934/rendering/02.obj", "13.3031425476")</f>
        <v>13.3031425476</v>
      </c>
      <c r="F595" s="78" t="str">
        <f>HYPERLINK(AB2 &amp; "/bulb/3dw_d1090e9f-167e-4643-a010-95986657f934/rendering/03.obj", "11.5412349701")</f>
        <v>11.5412349701</v>
      </c>
      <c r="G595" s="34" t="str">
        <f>HYPERLINK(AB2 &amp; "/bulb/3dw_d1090e9f-167e-4643-a010-95986657f934/rendering/04.obj", "12.9300909042")</f>
        <v>12.9300909042</v>
      </c>
      <c r="H595" s="63" t="str">
        <f>HYPERLINK(AB2 &amp; "/bulb/3dw_d1090e9f-167e-4643-a010-95986657f934/rendering/05.obj", "10.8361225128")</f>
        <v>10.8361225128</v>
      </c>
      <c r="I595" s="5" t="str">
        <f>HYPERLINK(AB2 &amp; "/bulb/3dw_d1090e9f-167e-4643-a010-95986657f934/rendering/06.obj", "13.2764797211")</f>
        <v>13.2764797211</v>
      </c>
      <c r="J595" s="6" t="str">
        <f>HYPERLINK(AB2 &amp; "/bulb/3dw_d1090e9f-167e-4643-a010-95986657f934/rendering/07.obj", "11.742600441")</f>
        <v>11.742600441</v>
      </c>
      <c r="K595" s="60" t="str">
        <f>HYPERLINK(AB2 &amp; "/bulb/3dw_d1090e9f-167e-4643-a010-95986657f934/rendering/08.obj", "11.674492836")</f>
        <v>11.674492836</v>
      </c>
      <c r="L595" s="94" t="str">
        <f>HYPERLINK(AB2 &amp; "/bulb/3dw_d1090e9f-167e-4643-a010-95986657f934/rendering/09.obj", "13.229640007")</f>
        <v>13.229640007</v>
      </c>
      <c r="M595" s="26" t="str">
        <f>HYPERLINK(AB2 &amp; "/bulb/3dw_d1090e9f-167e-4643-a010-95986657f934/rendering/10.obj", "13.0985059738")</f>
        <v>13.0985059738</v>
      </c>
      <c r="N595" s="25" t="str">
        <f>HYPERLINK(AB2 &amp; "/bulb/3dw_d1090e9f-167e-4643-a010-95986657f934/rendering/11.obj", "12.182466507")</f>
        <v>12.182466507</v>
      </c>
      <c r="O595" s="73" t="str">
        <f>HYPERLINK(AB2 &amp; "/bulb/3dw_d1090e9f-167e-4643-a010-95986657f934/rendering/12.obj", "12.7736139297")</f>
        <v>12.7736139297</v>
      </c>
      <c r="P595" s="68" t="str">
        <f>HYPERLINK(AB2 &amp; "/bulb/3dw_d1090e9f-167e-4643-a010-95986657f934/rendering/13.obj", "11.7970542908")</f>
        <v>11.7970542908</v>
      </c>
      <c r="Q595" s="69" t="str">
        <f>HYPERLINK(AB2 &amp; "/bulb/3dw_d1090e9f-167e-4643-a010-95986657f934/rendering/14.obj", "12.6925516129")</f>
        <v>12.6925516129</v>
      </c>
      <c r="R595" s="73" t="str">
        <f>HYPERLINK(AB2 &amp; "/bulb/3dw_d1090e9f-167e-4643-a010-95986657f934/rendering/15.obj", "12.7634296417")</f>
        <v>12.7634296417</v>
      </c>
      <c r="S595" s="6" t="str">
        <f>HYPERLINK(AB2 &amp; "/bulb/3dw_d1090e9f-167e-4643-a010-95986657f934/rendering/16.obj", "12.8865652084")</f>
        <v>12.8865652084</v>
      </c>
      <c r="T595" s="29" t="str">
        <f>HYPERLINK(AB2 &amp; "/bulb/3dw_d1090e9f-167e-4643-a010-95986657f934/rendering/17.obj", "10.7214384079")</f>
        <v>10.7214384079</v>
      </c>
      <c r="U595" s="73" t="str">
        <f>HYPERLINK(AB2 &amp; "/bulb/3dw_d1090e9f-167e-4643-a010-95986657f934/rendering/18.obj", "12.7709569931")</f>
        <v>12.7709569931</v>
      </c>
      <c r="V595" s="38" t="str">
        <f>HYPERLINK(AB2 &amp; "/bulb/3dw_d1090e9f-167e-4643-a010-95986657f934/rendering/19.obj", "13.4019184113")</f>
        <v>13.4019184113</v>
      </c>
      <c r="W595" s="12" t="s">
        <v>32</v>
      </c>
      <c r="X595" s="13">
        <v>12.31264634132385</v>
      </c>
      <c r="Y595" s="13">
        <v>0.95466902296219691</v>
      </c>
      <c r="Z595" s="5">
        <v>7.7535648835955373E-2</v>
      </c>
    </row>
    <row r="596" spans="1:26" x14ac:dyDescent="0.2">
      <c r="A596" s="1">
        <v>594</v>
      </c>
      <c r="B596" s="2" t="s">
        <v>151</v>
      </c>
      <c r="C596" s="13" t="str">
        <f>HYPERLINK(AC2 &amp; "/bulb/3dw_d1090e9f-167e-4643-a010-95986657f934/rendering/00.xyz", "0.0")</f>
        <v>0.0</v>
      </c>
      <c r="D596" s="13" t="str">
        <f>HYPERLINK(AC2 &amp; "/bulb/3dw_d1090e9f-167e-4643-a010-95986657f934/rendering/01.xyz", "0.0")</f>
        <v>0.0</v>
      </c>
      <c r="E596" s="13" t="str">
        <f>HYPERLINK(AC2 &amp; "/bulb/3dw_d1090e9f-167e-4643-a010-95986657f934/rendering/02.xyz", "0.0")</f>
        <v>0.0</v>
      </c>
      <c r="F596" s="13" t="str">
        <f>HYPERLINK(AC2 &amp; "/bulb/3dw_d1090e9f-167e-4643-a010-95986657f934/rendering/03.xyz", "0.0")</f>
        <v>0.0</v>
      </c>
      <c r="G596" s="13" t="str">
        <f>HYPERLINK(AC2 &amp; "/bulb/3dw_d1090e9f-167e-4643-a010-95986657f934/rendering/04.xyz", "0.0")</f>
        <v>0.0</v>
      </c>
      <c r="H596" s="13" t="str">
        <f>HYPERLINK(AC2 &amp; "/bulb/3dw_d1090e9f-167e-4643-a010-95986657f934/rendering/05.xyz", "0.0")</f>
        <v>0.0</v>
      </c>
      <c r="I596" s="13" t="str">
        <f>HYPERLINK(AC2 &amp; "/bulb/3dw_d1090e9f-167e-4643-a010-95986657f934/rendering/06.xyz", "0.0")</f>
        <v>0.0</v>
      </c>
      <c r="J596" s="13" t="str">
        <f>HYPERLINK(AC2 &amp; "/bulb/3dw_d1090e9f-167e-4643-a010-95986657f934/rendering/07.xyz", "0.0")</f>
        <v>0.0</v>
      </c>
      <c r="K596" s="13" t="str">
        <f>HYPERLINK(AC2 &amp; "/bulb/3dw_d1090e9f-167e-4643-a010-95986657f934/rendering/08.xyz", "0.0")</f>
        <v>0.0</v>
      </c>
      <c r="L596" s="13" t="str">
        <f>HYPERLINK(AC2 &amp; "/bulb/3dw_d1090e9f-167e-4643-a010-95986657f934/rendering/09.xyz", "0.0")</f>
        <v>0.0</v>
      </c>
      <c r="M596" s="13" t="str">
        <f>HYPERLINK(AC2 &amp; "/bulb/3dw_d1090e9f-167e-4643-a010-95986657f934/rendering/10.xyz", "0.0")</f>
        <v>0.0</v>
      </c>
      <c r="N596" s="13" t="str">
        <f>HYPERLINK(AC2 &amp; "/bulb/3dw_d1090e9f-167e-4643-a010-95986657f934/rendering/11.xyz", "0.0")</f>
        <v>0.0</v>
      </c>
      <c r="O596" s="13" t="str">
        <f>HYPERLINK(AC2 &amp; "/bulb/3dw_d1090e9f-167e-4643-a010-95986657f934/rendering/12.xyz", "0.0")</f>
        <v>0.0</v>
      </c>
      <c r="P596" s="13" t="str">
        <f>HYPERLINK(AC2 &amp; "/bulb/3dw_d1090e9f-167e-4643-a010-95986657f934/rendering/13.xyz", "0.0")</f>
        <v>0.0</v>
      </c>
      <c r="Q596" s="13" t="str">
        <f>HYPERLINK(AC2 &amp; "/bulb/3dw_d1090e9f-167e-4643-a010-95986657f934/rendering/14.xyz", "0.0")</f>
        <v>0.0</v>
      </c>
      <c r="R596" s="13" t="str">
        <f>HYPERLINK(AC2 &amp; "/bulb/3dw_d1090e9f-167e-4643-a010-95986657f934/rendering/15.xyz", "0.0")</f>
        <v>0.0</v>
      </c>
      <c r="S596" s="13" t="str">
        <f>HYPERLINK(AC2 &amp; "/bulb/3dw_d1090e9f-167e-4643-a010-95986657f934/rendering/16.xyz", "0.0")</f>
        <v>0.0</v>
      </c>
      <c r="T596" s="13" t="str">
        <f>HYPERLINK(AC2 &amp; "/bulb/3dw_d1090e9f-167e-4643-a010-95986657f934/rendering/17.xyz", "0.0")</f>
        <v>0.0</v>
      </c>
      <c r="U596" s="13" t="str">
        <f>HYPERLINK(AC2 &amp; "/bulb/3dw_d1090e9f-167e-4643-a010-95986657f934/rendering/18.xyz", "0.0")</f>
        <v>0.0</v>
      </c>
      <c r="V596" s="13" t="str">
        <f>HYPERLINK(AC2 &amp; "/bulb/3dw_d1090e9f-167e-4643-a010-95986657f934/rendering/19.xyz", "0.0")</f>
        <v>0.0</v>
      </c>
      <c r="W596" s="12" t="s">
        <v>33</v>
      </c>
      <c r="X596" s="13">
        <v>0</v>
      </c>
      <c r="Y596" s="13">
        <v>0</v>
      </c>
      <c r="Z596" s="13">
        <v>0</v>
      </c>
    </row>
    <row r="597" spans="1:26" x14ac:dyDescent="0.2">
      <c r="A597" s="1">
        <v>595</v>
      </c>
      <c r="B597" s="2" t="s">
        <v>152</v>
      </c>
      <c r="C597" s="13" t="str">
        <f>HYPERLINK(AA2 &amp; "/bulb/3dw_d493bb3b-87dd-44cf-97f1-de8af9b518e2/rendering/00.obj", "1.1020716095")</f>
        <v>1.1020716095</v>
      </c>
      <c r="D597" s="78" t="str">
        <f>HYPERLINK(AA2 &amp; "/bulb/3dw_d493bb3b-87dd-44cf-97f1-de8af9b518e2/rendering/01.obj", "1.03519104004")</f>
        <v>1.03519104004</v>
      </c>
      <c r="E597" s="74" t="str">
        <f>HYPERLINK(AA2 &amp; "/bulb/3dw_d493bb3b-87dd-44cf-97f1-de8af9b518e2/rendering/02.obj", "1.11729125977")</f>
        <v>1.11729125977</v>
      </c>
      <c r="F597" s="27" t="str">
        <f>HYPERLINK(AA2 &amp; "/bulb/3dw_d493bb3b-87dd-44cf-97f1-de8af9b518e2/rendering/03.obj", "1.17823379517")</f>
        <v>1.17823379517</v>
      </c>
      <c r="G597" s="17" t="str">
        <f>HYPERLINK(AA2 &amp; "/bulb/3dw_d493bb3b-87dd-44cf-97f1-de8af9b518e2/rendering/04.obj", "1.08034164429")</f>
        <v>1.08034164429</v>
      </c>
      <c r="H597" s="67" t="str">
        <f>HYPERLINK(AA2 &amp; "/bulb/3dw_d493bb3b-87dd-44cf-97f1-de8af9b518e2/rendering/05.obj", "1.00046760559")</f>
        <v>1.00046760559</v>
      </c>
      <c r="I597" s="119" t="str">
        <f>HYPERLINK(AA2 &amp; "/bulb/3dw_d493bb3b-87dd-44cf-97f1-de8af9b518e2/rendering/06.obj", "1.39425567627")</f>
        <v>1.39425567627</v>
      </c>
      <c r="J597" s="30" t="str">
        <f>HYPERLINK(AA2 &amp; "/bulb/3dw_d493bb3b-87dd-44cf-97f1-de8af9b518e2/rendering/07.obj", "1.09447692871")</f>
        <v>1.09447692871</v>
      </c>
      <c r="K597" s="25" t="str">
        <f>HYPERLINK(AA2 &amp; "/bulb/3dw_d493bb3b-87dd-44cf-97f1-de8af9b518e2/rendering/08.obj", "1.08852966309")</f>
        <v>1.08852966309</v>
      </c>
      <c r="L597" s="63" t="str">
        <f>HYPERLINK(AA2 &amp; "/bulb/3dw_d493bb3b-87dd-44cf-97f1-de8af9b518e2/rendering/09.obj", "0.967209243774")</f>
        <v>0.967209243774</v>
      </c>
      <c r="M597" s="40" t="str">
        <f>HYPERLINK(AA2 &amp; "/bulb/3dw_d493bb3b-87dd-44cf-97f1-de8af9b518e2/rendering/10.obj", "1.2885760498")</f>
        <v>1.2885760498</v>
      </c>
      <c r="N597" s="38" t="str">
        <f>HYPERLINK(AA2 &amp; "/bulb/3dw_d493bb3b-87dd-44cf-97f1-de8af9b518e2/rendering/11.obj", "1.0011668396")</f>
        <v>1.0011668396</v>
      </c>
      <c r="O597" s="40" t="str">
        <f>HYPERLINK(AA2 &amp; "/bulb/3dw_d493bb3b-87dd-44cf-97f1-de8af9b518e2/rendering/12.obj", "0.912363891602")</f>
        <v>0.912363891602</v>
      </c>
      <c r="P597" s="64" t="str">
        <f>HYPERLINK(AA2 &amp; "/bulb/3dw_d493bb3b-87dd-44cf-97f1-de8af9b518e2/rendering/13.obj", "1.2840486145")</f>
        <v>1.2840486145</v>
      </c>
      <c r="Q597" s="71" t="str">
        <f>HYPERLINK(AA2 &amp; "/bulb/3dw_d493bb3b-87dd-44cf-97f1-de8af9b518e2/rendering/14.obj", "1.23211715698")</f>
        <v>1.23211715698</v>
      </c>
      <c r="R597" s="30" t="str">
        <f>HYPERLINK(AA2 &amp; "/bulb/3dw_d493bb3b-87dd-44cf-97f1-de8af9b518e2/rendering/15.obj", "1.09748474121")</f>
        <v>1.09748474121</v>
      </c>
      <c r="S597" s="27" t="str">
        <f>HYPERLINK(AA2 &amp; "/bulb/3dw_d493bb3b-87dd-44cf-97f1-de8af9b518e2/rendering/16.obj", "1.02403762817")</f>
        <v>1.02403762817</v>
      </c>
      <c r="T597" s="70" t="str">
        <f>HYPERLINK(AA2 &amp; "/bulb/3dw_d493bb3b-87dd-44cf-97f1-de8af9b518e2/rendering/17.obj", "0.959902038574")</f>
        <v>0.959902038574</v>
      </c>
      <c r="U597" s="74" t="str">
        <f>HYPERLINK(AA2 &amp; "/bulb/3dw_d493bb3b-87dd-44cf-97f1-de8af9b518e2/rendering/18.obj", "1.11606933594")</f>
        <v>1.11606933594</v>
      </c>
      <c r="V597" s="6" t="str">
        <f>HYPERLINK(AA2 &amp; "/bulb/3dw_d493bb3b-87dd-44cf-97f1-de8af9b518e2/rendering/19.obj", "1.05143981934")</f>
        <v>1.05143981934</v>
      </c>
      <c r="W597" s="12" t="s">
        <v>29</v>
      </c>
      <c r="X597" s="13">
        <v>1.101263729095459</v>
      </c>
      <c r="Y597" s="13">
        <v>0.11940529790352231</v>
      </c>
      <c r="Z597" s="33">
        <v>0.10842570653044011</v>
      </c>
    </row>
    <row r="598" spans="1:26" x14ac:dyDescent="0.2">
      <c r="A598" s="1">
        <v>596</v>
      </c>
      <c r="B598" s="2" t="s">
        <v>152</v>
      </c>
      <c r="C598" s="73" t="str">
        <f>HYPERLINK(AA2 &amp; "/bulb/3dw_d493bb3b-87dd-44cf-97f1-de8af9b518e2/rendering/00.obj", "6.89314842224")</f>
        <v>6.89314842224</v>
      </c>
      <c r="D598" s="46" t="str">
        <f>HYPERLINK(AA2 &amp; "/bulb/3dw_d493bb3b-87dd-44cf-97f1-de8af9b518e2/rendering/01.obj", "6.7637424469")</f>
        <v>6.7637424469</v>
      </c>
      <c r="E598" s="32" t="str">
        <f>HYPERLINK(AA2 &amp; "/bulb/3dw_d493bb3b-87dd-44cf-97f1-de8af9b518e2/rendering/02.obj", "5.94066667557")</f>
        <v>5.94066667557</v>
      </c>
      <c r="F598" s="113" t="str">
        <f>HYPERLINK(AA2 &amp; "/bulb/3dw_d493bb3b-87dd-44cf-97f1-de8af9b518e2/rendering/03.obj", "8.47438335419")</f>
        <v>8.47438335419</v>
      </c>
      <c r="G598" s="31" t="str">
        <f>HYPERLINK(AA2 &amp; "/bulb/3dw_d493bb3b-87dd-44cf-97f1-de8af9b518e2/rendering/04.obj", "5.62112236023")</f>
        <v>5.62112236023</v>
      </c>
      <c r="H598" s="40" t="str">
        <f>HYPERLINK(AA2 &amp; "/bulb/3dw_d493bb3b-87dd-44cf-97f1-de8af9b518e2/rendering/05.obj", "5.51578092575")</f>
        <v>5.51578092575</v>
      </c>
      <c r="I598" s="185" t="str">
        <f>HYPERLINK(AA2 &amp; "/bulb/3dw_d493bb3b-87dd-44cf-97f1-de8af9b518e2/rendering/06.obj", "8.90330028534")</f>
        <v>8.90330028534</v>
      </c>
      <c r="J598" s="71" t="str">
        <f>HYPERLINK(AA2 &amp; "/bulb/3dw_d493bb3b-87dd-44cf-97f1-de8af9b518e2/rendering/07.obj", "5.85560464859")</f>
        <v>5.85560464859</v>
      </c>
      <c r="K598" s="39" t="str">
        <f>HYPERLINK(AA2 &amp; "/bulb/3dw_d493bb3b-87dd-44cf-97f1-de8af9b518e2/rendering/08.obj", "6.07497119904")</f>
        <v>6.07497119904</v>
      </c>
      <c r="L598" s="28" t="str">
        <f>HYPERLINK(AA2 &amp; "/bulb/3dw_d493bb3b-87dd-44cf-97f1-de8af9b518e2/rendering/09.obj", "5.89793872833")</f>
        <v>5.89793872833</v>
      </c>
      <c r="M598" s="49" t="str">
        <f>HYPERLINK(AA2 &amp; "/bulb/3dw_d493bb3b-87dd-44cf-97f1-de8af9b518e2/rendering/10.obj", "8.02535438538")</f>
        <v>8.02535438538</v>
      </c>
      <c r="N598" s="55" t="str">
        <f>HYPERLINK(AA2 &amp; "/bulb/3dw_d493bb3b-87dd-44cf-97f1-de8af9b518e2/rendering/11.obj", "5.37250947952")</f>
        <v>5.37250947952</v>
      </c>
      <c r="O598" s="75" t="str">
        <f>HYPERLINK(AA2 &amp; "/bulb/3dw_d493bb3b-87dd-44cf-97f1-de8af9b518e2/rendering/12.obj", "5.17396402359")</f>
        <v>5.17396402359</v>
      </c>
      <c r="P598" s="49" t="str">
        <f>HYPERLINK(AA2 &amp; "/bulb/3dw_d493bb3b-87dd-44cf-97f1-de8af9b518e2/rendering/13.obj", "8.03761863708")</f>
        <v>8.03761863708</v>
      </c>
      <c r="Q598" s="98" t="str">
        <f>HYPERLINK(AA2 &amp; "/bulb/3dw_d493bb3b-87dd-44cf-97f1-de8af9b518e2/rendering/14.obj", "8.182929039")</f>
        <v>8.182929039</v>
      </c>
      <c r="R598" s="25" t="str">
        <f>HYPERLINK(AA2 &amp; "/bulb/3dw_d493bb3b-87dd-44cf-97f1-de8af9b518e2/rendering/15.obj", "6.7302479744")</f>
        <v>6.7302479744</v>
      </c>
      <c r="S598" s="74" t="str">
        <f>HYPERLINK(AA2 &amp; "/bulb/3dw_d493bb3b-87dd-44cf-97f1-de8af9b518e2/rendering/16.obj", "6.744992733")</f>
        <v>6.744992733</v>
      </c>
      <c r="T598" s="31" t="str">
        <f>HYPERLINK(AA2 &amp; "/bulb/3dw_d493bb3b-87dd-44cf-97f1-de8af9b518e2/rendering/17.obj", "5.61212778091")</f>
        <v>5.61212778091</v>
      </c>
      <c r="U598" s="23" t="str">
        <f>HYPERLINK(AA2 &amp; "/bulb/3dw_d493bb3b-87dd-44cf-97f1-de8af9b518e2/rendering/18.obj", "6.89801359177")</f>
        <v>6.89801359177</v>
      </c>
      <c r="V598" s="26" t="str">
        <f>HYPERLINK(AA2 &amp; "/bulb/3dw_d493bb3b-87dd-44cf-97f1-de8af9b518e2/rendering/19.obj", "6.22155666351")</f>
        <v>6.22155666351</v>
      </c>
      <c r="W598" s="12" t="s">
        <v>30</v>
      </c>
      <c r="X598" s="13">
        <v>6.6469986677169803</v>
      </c>
      <c r="Y598" s="13">
        <v>1.099283099023413</v>
      </c>
      <c r="Z598" s="64">
        <v>0.1653803699950161</v>
      </c>
    </row>
    <row r="599" spans="1:26" x14ac:dyDescent="0.2">
      <c r="A599" s="1">
        <v>597</v>
      </c>
      <c r="B599" s="2" t="s">
        <v>152</v>
      </c>
      <c r="C599" s="27" t="str">
        <f>HYPERLINK(AB2 &amp; "/bulb/3dw_d493bb3b-87dd-44cf-97f1-de8af9b518e2/rendering/00.obj", "1.16056533813")</f>
        <v>1.16056533813</v>
      </c>
      <c r="D599" s="48" t="str">
        <f>HYPERLINK(AB2 &amp; "/bulb/3dw_d493bb3b-87dd-44cf-97f1-de8af9b518e2/rendering/01.obj", "1.11187705994")</f>
        <v>1.11187705994</v>
      </c>
      <c r="E599" s="72" t="str">
        <f>HYPERLINK(AB2 &amp; "/bulb/3dw_d493bb3b-87dd-44cf-97f1-de8af9b518e2/rendering/02.obj", "1.04863296509")</f>
        <v>1.04863296509</v>
      </c>
      <c r="F599" s="41" t="str">
        <f>HYPERLINK(AB2 &amp; "/bulb/3dw_d493bb3b-87dd-44cf-97f1-de8af9b518e2/rendering/03.obj", "1.15804763794")</f>
        <v>1.15804763794</v>
      </c>
      <c r="G599" s="69" t="str">
        <f>HYPERLINK(AB2 &amp; "/bulb/3dw_d493bb3b-87dd-44cf-97f1-de8af9b518e2/rendering/04.obj", "1.05237625122")</f>
        <v>1.05237625122</v>
      </c>
      <c r="H599" s="17" t="str">
        <f>HYPERLINK(AB2 &amp; "/bulb/3dw_d493bb3b-87dd-44cf-97f1-de8af9b518e2/rendering/05.obj", "1.06172698975")</f>
        <v>1.06172698975</v>
      </c>
      <c r="I599" s="69" t="str">
        <f>HYPERLINK(AB2 &amp; "/bulb/3dw_d493bb3b-87dd-44cf-97f1-de8af9b518e2/rendering/06.obj", "1.11703346252")</f>
        <v>1.11703346252</v>
      </c>
      <c r="J599" s="74" t="str">
        <f>HYPERLINK(AB2 &amp; "/bulb/3dw_d493bb3b-87dd-44cf-97f1-de8af9b518e2/rendering/07.obj", "1.06971740723")</f>
        <v>1.06971740723</v>
      </c>
      <c r="K599" s="48" t="str">
        <f>HYPERLINK(AB2 &amp; "/bulb/3dw_d493bb3b-87dd-44cf-97f1-de8af9b518e2/rendering/08.obj", "1.05988578796")</f>
        <v>1.05988578796</v>
      </c>
      <c r="L599" s="68" t="str">
        <f>HYPERLINK(AB2 &amp; "/bulb/3dw_d493bb3b-87dd-44cf-97f1-de8af9b518e2/rendering/09.obj", "1.03912796021")</f>
        <v>1.03912796021</v>
      </c>
      <c r="M599" s="48" t="str">
        <f>HYPERLINK(AB2 &amp; "/bulb/3dw_d493bb3b-87dd-44cf-97f1-de8af9b518e2/rendering/10.obj", "1.11015960693")</f>
        <v>1.11015960693</v>
      </c>
      <c r="N599" s="13" t="str">
        <f>HYPERLINK(AB2 &amp; "/bulb/3dw_d493bb3b-87dd-44cf-97f1-de8af9b518e2/rendering/11.obj", "1.08351104736")</f>
        <v>1.08351104736</v>
      </c>
      <c r="O599" s="74" t="str">
        <f>HYPERLINK(AB2 &amp; "/bulb/3dw_d493bb3b-87dd-44cf-97f1-de8af9b518e2/rendering/12.obj", "1.07051849365")</f>
        <v>1.07051849365</v>
      </c>
      <c r="P599" s="74" t="str">
        <f>HYPERLINK(AB2 &amp; "/bulb/3dw_d493bb3b-87dd-44cf-97f1-de8af9b518e2/rendering/13.obj", "1.10017448425")</f>
        <v>1.10017448425</v>
      </c>
      <c r="Q599" s="74" t="str">
        <f>HYPERLINK(AB2 &amp; "/bulb/3dw_d493bb3b-87dd-44cf-97f1-de8af9b518e2/rendering/14.obj", "1.10009796143")</f>
        <v>1.10009796143</v>
      </c>
      <c r="R599" s="17" t="str">
        <f>HYPERLINK(AB2 &amp; "/bulb/3dw_d493bb3b-87dd-44cf-97f1-de8af9b518e2/rendering/15.obj", "1.06422271729")</f>
        <v>1.06422271729</v>
      </c>
      <c r="S599" s="68" t="str">
        <f>HYPERLINK(AB2 &amp; "/bulb/3dw_d493bb3b-87dd-44cf-97f1-de8af9b518e2/rendering/16.obj", "1.13237205505")</f>
        <v>1.13237205505</v>
      </c>
      <c r="T599" s="10" t="str">
        <f>HYPERLINK(AB2 &amp; "/bulb/3dw_d493bb3b-87dd-44cf-97f1-de8af9b518e2/rendering/17.obj", "1.02466133118")</f>
        <v>1.02466133118</v>
      </c>
      <c r="U599" s="30" t="str">
        <f>HYPERLINK(AB2 &amp; "/bulb/3dw_d493bb3b-87dd-44cf-97f1-de8af9b518e2/rendering/18.obj", "1.08111915588")</f>
        <v>1.08111915588</v>
      </c>
      <c r="V599" s="91" t="str">
        <f>HYPERLINK(AB2 &amp; "/bulb/3dw_d493bb3b-87dd-44cf-97f1-de8af9b518e2/rendering/19.obj", "1.05453018188")</f>
        <v>1.05453018188</v>
      </c>
      <c r="W599" s="12" t="s">
        <v>31</v>
      </c>
      <c r="X599" s="13">
        <v>1.085017894744873</v>
      </c>
      <c r="Y599" s="13">
        <v>3.6915309821089828E-2</v>
      </c>
      <c r="Z599" s="72">
        <v>3.4022765891589243E-2</v>
      </c>
    </row>
    <row r="600" spans="1:26" x14ac:dyDescent="0.2">
      <c r="A600" s="1">
        <v>598</v>
      </c>
      <c r="B600" s="2" t="s">
        <v>152</v>
      </c>
      <c r="C600" s="26" t="str">
        <f>HYPERLINK(AB2 &amp; "/bulb/3dw_d493bb3b-87dd-44cf-97f1-de8af9b518e2/rendering/00.obj", "6.05943918228")</f>
        <v>6.05943918228</v>
      </c>
      <c r="D600" s="17" t="str">
        <f>HYPERLINK(AB2 &amp; "/bulb/3dw_d493bb3b-87dd-44cf-97f1-de8af9b518e2/rendering/01.obj", "5.79626941681")</f>
        <v>5.79626941681</v>
      </c>
      <c r="E600" s="60" t="str">
        <f>HYPERLINK(AB2 &amp; "/bulb/3dw_d493bb3b-87dd-44cf-97f1-de8af9b518e2/rendering/02.obj", "5.39895009995")</f>
        <v>5.39895009995</v>
      </c>
      <c r="F600" s="27" t="str">
        <f>HYPERLINK(AB2 &amp; "/bulb/3dw_d493bb3b-87dd-44cf-97f1-de8af9b518e2/rendering/03.obj", "6.0875453949")</f>
        <v>6.0875453949</v>
      </c>
      <c r="G600" s="26" t="str">
        <f>HYPERLINK(AB2 &amp; "/bulb/3dw_d493bb3b-87dd-44cf-97f1-de8af9b518e2/rendering/04.obj", "5.32158756256")</f>
        <v>5.32158756256</v>
      </c>
      <c r="H600" s="46" t="str">
        <f>HYPERLINK(AB2 &amp; "/bulb/3dw_d493bb3b-87dd-44cf-97f1-de8af9b518e2/rendering/05.obj", "5.5881896019")</f>
        <v>5.5881896019</v>
      </c>
      <c r="I600" s="72" t="str">
        <f>HYPERLINK(AB2 &amp; "/bulb/3dw_d493bb3b-87dd-44cf-97f1-de8af9b518e2/rendering/06.obj", "5.87027931213")</f>
        <v>5.87027931213</v>
      </c>
      <c r="J600" s="69" t="str">
        <f>HYPERLINK(AB2 &amp; "/bulb/3dw_d493bb3b-87dd-44cf-97f1-de8af9b518e2/rendering/07.obj", "5.52324438095")</f>
        <v>5.52324438095</v>
      </c>
      <c r="K600" s="48" t="str">
        <f>HYPERLINK(AB2 &amp; "/bulb/3dw_d493bb3b-87dd-44cf-97f1-de8af9b518e2/rendering/08.obj", "5.55713844299")</f>
        <v>5.55713844299</v>
      </c>
      <c r="L600" s="35" t="str">
        <f>HYPERLINK(AB2 &amp; "/bulb/3dw_d493bb3b-87dd-44cf-97f1-de8af9b518e2/rendering/09.obj", "5.36186695099")</f>
        <v>5.36186695099</v>
      </c>
      <c r="M600" s="91" t="str">
        <f>HYPERLINK(AB2 &amp; "/bulb/3dw_d493bb3b-87dd-44cf-97f1-de8af9b518e2/rendering/10.obj", "5.83217096329")</f>
        <v>5.83217096329</v>
      </c>
      <c r="N600" s="17" t="str">
        <f>HYPERLINK(AB2 &amp; "/bulb/3dw_d493bb3b-87dd-44cf-97f1-de8af9b518e2/rendering/11.obj", "5.5624370575")</f>
        <v>5.5624370575</v>
      </c>
      <c r="O600" s="23" t="str">
        <f>HYPERLINK(AB2 &amp; "/bulb/3dw_d493bb3b-87dd-44cf-97f1-de8af9b518e2/rendering/12.obj", "5.4598069191")</f>
        <v>5.4598069191</v>
      </c>
      <c r="P600" s="17" t="str">
        <f>HYPERLINK(AB2 &amp; "/bulb/3dw_d493bb3b-87dd-44cf-97f1-de8af9b518e2/rendering/13.obj", "5.80841398239")</f>
        <v>5.80841398239</v>
      </c>
      <c r="Q600" s="74" t="str">
        <f>HYPERLINK(AB2 &amp; "/bulb/3dw_d493bb3b-87dd-44cf-97f1-de8af9b518e2/rendering/14.obj", "5.76530742645")</f>
        <v>5.76530742645</v>
      </c>
      <c r="R600" s="25" t="str">
        <f>HYPERLINK(AB2 &amp; "/bulb/3dw_d493bb3b-87dd-44cf-97f1-de8af9b518e2/rendering/15.obj", "5.74396324158")</f>
        <v>5.74396324158</v>
      </c>
      <c r="S600" s="78" t="str">
        <f>HYPERLINK(AB2 &amp; "/bulb/3dw_d493bb3b-87dd-44cf-97f1-de8af9b518e2/rendering/16.obj", "6.02768754959")</f>
        <v>6.02768754959</v>
      </c>
      <c r="T600" s="26" t="str">
        <f>HYPERLINK(AB2 &amp; "/bulb/3dw_d493bb3b-87dd-44cf-97f1-de8af9b518e2/rendering/17.obj", "5.32616472244")</f>
        <v>5.32616472244</v>
      </c>
      <c r="U600" s="13" t="str">
        <f>HYPERLINK(AB2 &amp; "/bulb/3dw_d493bb3b-87dd-44cf-97f1-de8af9b518e2/rendering/18.obj", "5.67096567154")</f>
        <v>5.67096567154</v>
      </c>
      <c r="V600" s="34" t="str">
        <f>HYPERLINK(AB2 &amp; "/bulb/3dw_d493bb3b-87dd-44cf-97f1-de8af9b518e2/rendering/19.obj", "5.97005701065")</f>
        <v>5.97005701065</v>
      </c>
      <c r="W600" s="12" t="s">
        <v>32</v>
      </c>
      <c r="X600" s="13">
        <v>5.6865742444992069</v>
      </c>
      <c r="Y600" s="13">
        <v>0.24075951537793761</v>
      </c>
      <c r="Z600" s="68">
        <v>4.2338234766007232E-2</v>
      </c>
    </row>
    <row r="601" spans="1:26" x14ac:dyDescent="0.2">
      <c r="A601" s="1">
        <v>599</v>
      </c>
      <c r="B601" s="2" t="s">
        <v>152</v>
      </c>
      <c r="C601" s="13" t="str">
        <f>HYPERLINK(AC2 &amp; "/bulb/3dw_d493bb3b-87dd-44cf-97f1-de8af9b518e2/rendering/00.xyz", "0.0")</f>
        <v>0.0</v>
      </c>
      <c r="D601" s="13" t="str">
        <f>HYPERLINK(AC2 &amp; "/bulb/3dw_d493bb3b-87dd-44cf-97f1-de8af9b518e2/rendering/01.xyz", "0.0")</f>
        <v>0.0</v>
      </c>
      <c r="E601" s="13" t="str">
        <f>HYPERLINK(AC2 &amp; "/bulb/3dw_d493bb3b-87dd-44cf-97f1-de8af9b518e2/rendering/02.xyz", "0.0")</f>
        <v>0.0</v>
      </c>
      <c r="F601" s="13" t="str">
        <f>HYPERLINK(AC2 &amp; "/bulb/3dw_d493bb3b-87dd-44cf-97f1-de8af9b518e2/rendering/03.xyz", "0.0")</f>
        <v>0.0</v>
      </c>
      <c r="G601" s="13" t="str">
        <f>HYPERLINK(AC2 &amp; "/bulb/3dw_d493bb3b-87dd-44cf-97f1-de8af9b518e2/rendering/04.xyz", "0.0")</f>
        <v>0.0</v>
      </c>
      <c r="H601" s="13" t="str">
        <f>HYPERLINK(AC2 &amp; "/bulb/3dw_d493bb3b-87dd-44cf-97f1-de8af9b518e2/rendering/05.xyz", "0.0")</f>
        <v>0.0</v>
      </c>
      <c r="I601" s="13" t="str">
        <f>HYPERLINK(AC2 &amp; "/bulb/3dw_d493bb3b-87dd-44cf-97f1-de8af9b518e2/rendering/06.xyz", "0.0")</f>
        <v>0.0</v>
      </c>
      <c r="J601" s="13" t="str">
        <f>HYPERLINK(AC2 &amp; "/bulb/3dw_d493bb3b-87dd-44cf-97f1-de8af9b518e2/rendering/07.xyz", "0.0")</f>
        <v>0.0</v>
      </c>
      <c r="K601" s="13" t="str">
        <f>HYPERLINK(AC2 &amp; "/bulb/3dw_d493bb3b-87dd-44cf-97f1-de8af9b518e2/rendering/08.xyz", "0.0")</f>
        <v>0.0</v>
      </c>
      <c r="L601" s="13" t="str">
        <f>HYPERLINK(AC2 &amp; "/bulb/3dw_d493bb3b-87dd-44cf-97f1-de8af9b518e2/rendering/09.xyz", "0.0")</f>
        <v>0.0</v>
      </c>
      <c r="M601" s="13" t="str">
        <f>HYPERLINK(AC2 &amp; "/bulb/3dw_d493bb3b-87dd-44cf-97f1-de8af9b518e2/rendering/10.xyz", "0.0")</f>
        <v>0.0</v>
      </c>
      <c r="N601" s="13" t="str">
        <f>HYPERLINK(AC2 &amp; "/bulb/3dw_d493bb3b-87dd-44cf-97f1-de8af9b518e2/rendering/11.xyz", "0.0")</f>
        <v>0.0</v>
      </c>
      <c r="O601" s="13" t="str">
        <f>HYPERLINK(AC2 &amp; "/bulb/3dw_d493bb3b-87dd-44cf-97f1-de8af9b518e2/rendering/12.xyz", "0.0")</f>
        <v>0.0</v>
      </c>
      <c r="P601" s="13" t="str">
        <f>HYPERLINK(AC2 &amp; "/bulb/3dw_d493bb3b-87dd-44cf-97f1-de8af9b518e2/rendering/13.xyz", "0.0")</f>
        <v>0.0</v>
      </c>
      <c r="Q601" s="13" t="str">
        <f>HYPERLINK(AC2 &amp; "/bulb/3dw_d493bb3b-87dd-44cf-97f1-de8af9b518e2/rendering/14.xyz", "0.0")</f>
        <v>0.0</v>
      </c>
      <c r="R601" s="13" t="str">
        <f>HYPERLINK(AC2 &amp; "/bulb/3dw_d493bb3b-87dd-44cf-97f1-de8af9b518e2/rendering/15.xyz", "0.0")</f>
        <v>0.0</v>
      </c>
      <c r="S601" s="13" t="str">
        <f>HYPERLINK(AC2 &amp; "/bulb/3dw_d493bb3b-87dd-44cf-97f1-de8af9b518e2/rendering/16.xyz", "0.0")</f>
        <v>0.0</v>
      </c>
      <c r="T601" s="13" t="str">
        <f>HYPERLINK(AC2 &amp; "/bulb/3dw_d493bb3b-87dd-44cf-97f1-de8af9b518e2/rendering/17.xyz", "0.0")</f>
        <v>0.0</v>
      </c>
      <c r="U601" s="13" t="str">
        <f>HYPERLINK(AC2 &amp; "/bulb/3dw_d493bb3b-87dd-44cf-97f1-de8af9b518e2/rendering/18.xyz", "0.0")</f>
        <v>0.0</v>
      </c>
      <c r="V601" s="13" t="str">
        <f>HYPERLINK(AC2 &amp; "/bulb/3dw_d493bb3b-87dd-44cf-97f1-de8af9b518e2/rendering/19.xyz", "0.0")</f>
        <v>0.0</v>
      </c>
      <c r="W601" s="12" t="s">
        <v>33</v>
      </c>
      <c r="X601" s="13">
        <v>0</v>
      </c>
      <c r="Y601" s="13">
        <v>0</v>
      </c>
      <c r="Z601" s="13">
        <v>0</v>
      </c>
    </row>
    <row r="602" spans="1:26" x14ac:dyDescent="0.2">
      <c r="A602" s="1">
        <v>600</v>
      </c>
      <c r="B602" s="2" t="s">
        <v>153</v>
      </c>
      <c r="C602" s="25" t="str">
        <f>HYPERLINK(AA2 &amp; "/bulb/3dw_d495db51-241a-4247-871b-04cf7ab30b21/rendering/00.obj", "0.854688415527")</f>
        <v>0.854688415527</v>
      </c>
      <c r="D602" s="6" t="str">
        <f>HYPERLINK(AA2 &amp; "/bulb/3dw_d495db51-241a-4247-871b-04cf7ab30b21/rendering/01.obj", "0.885034637451")</f>
        <v>0.885034637451</v>
      </c>
      <c r="E602" s="74" t="str">
        <f>HYPERLINK(AA2 &amp; "/bulb/3dw_d495db51-241a-4247-871b-04cf7ab30b21/rendering/02.obj", "0.858903045654")</f>
        <v>0.858903045654</v>
      </c>
      <c r="F602" s="133" t="str">
        <f>HYPERLINK(AA2 &amp; "/bulb/3dw_d495db51-241a-4247-871b-04cf7ab30b21/rendering/03.obj", "0.761372680664")</f>
        <v>0.761372680664</v>
      </c>
      <c r="G602" s="27" t="str">
        <f>HYPERLINK(AA2 &amp; "/bulb/3dw_d495db51-241a-4247-871b-04cf7ab30b21/rendering/04.obj", "0.787393112183")</f>
        <v>0.787393112183</v>
      </c>
      <c r="H602" s="73" t="str">
        <f>HYPERLINK(AA2 &amp; "/bulb/3dw_d495db51-241a-4247-871b-04cf7ab30b21/rendering/05.obj", "0.817230682373")</f>
        <v>0.817230682373</v>
      </c>
      <c r="I602" s="48" t="str">
        <f>HYPERLINK(AA2 &amp; "/bulb/3dw_d495db51-241a-4247-871b-04cf7ab30b21/rendering/06.obj", "0.827324829102")</f>
        <v>0.827324829102</v>
      </c>
      <c r="J602" s="110" t="str">
        <f>HYPERLINK(AA2 &amp; "/bulb/3dw_d495db51-241a-4247-871b-04cf7ab30b21/rendering/07.obj", "0.929567108154")</f>
        <v>0.929567108154</v>
      </c>
      <c r="K602" s="39" t="str">
        <f>HYPERLINK(AA2 &amp; "/bulb/3dw_d495db51-241a-4247-871b-04cf7ab30b21/rendering/08.obj", "0.772829742432")</f>
        <v>0.772829742432</v>
      </c>
      <c r="L602" s="47" t="str">
        <f>HYPERLINK(AA2 &amp; "/bulb/3dw_d495db51-241a-4247-871b-04cf7ab30b21/rendering/09.obj", "0.840143737793")</f>
        <v>0.840143737793</v>
      </c>
      <c r="M602" s="17" t="str">
        <f>HYPERLINK(AA2 &amp; "/bulb/3dw_d495db51-241a-4247-871b-04cf7ab30b21/rendering/10.obj", "0.8639894104")</f>
        <v>0.8639894104</v>
      </c>
      <c r="N602" s="72" t="str">
        <f>HYPERLINK(AA2 &amp; "/bulb/3dw_d495db51-241a-4247-871b-04cf7ab30b21/rendering/11.obj", "0.81881477356")</f>
        <v>0.81881477356</v>
      </c>
      <c r="O602" s="25" t="str">
        <f>HYPERLINK(AA2 &amp; "/bulb/3dw_d495db51-241a-4247-871b-04cf7ab30b21/rendering/12.obj", "0.838467407227")</f>
        <v>0.838467407227</v>
      </c>
      <c r="P602" s="5" t="str">
        <f>HYPERLINK(AA2 &amp; "/bulb/3dw_d495db51-241a-4247-871b-04cf7ab30b21/rendering/13.obj", "0.910618362427")</f>
        <v>0.910618362427</v>
      </c>
      <c r="Q602" s="78" t="str">
        <f>HYPERLINK(AA2 &amp; "/bulb/3dw_d495db51-241a-4247-871b-04cf7ab30b21/rendering/14.obj", "0.898042831421")</f>
        <v>0.898042831421</v>
      </c>
      <c r="R602" s="5" t="str">
        <f>HYPERLINK(AA2 &amp; "/bulb/3dw_d495db51-241a-4247-871b-04cf7ab30b21/rendering/15.obj", "0.780350112915")</f>
        <v>0.780350112915</v>
      </c>
      <c r="S602" s="72" t="str">
        <f>HYPERLINK(AA2 &amp; "/bulb/3dw_d495db51-241a-4247-871b-04cf7ab30b21/rendering/16.obj", "0.818580474854")</f>
        <v>0.818580474854</v>
      </c>
      <c r="T602" s="182" t="str">
        <f>HYPERLINK(AA2 &amp; "/bulb/3dw_d495db51-241a-4247-871b-04cf7ab30b21/rendering/17.obj", "1.12817260742")</f>
        <v>1.12817260742</v>
      </c>
      <c r="U602" s="68" t="str">
        <f>HYPERLINK(AA2 &amp; "/bulb/3dw_d495db51-241a-4247-871b-04cf7ab30b21/rendering/18.obj", "0.811323394775")</f>
        <v>0.811323394775</v>
      </c>
      <c r="V602" s="93" t="str">
        <f>HYPERLINK(AA2 &amp; "/bulb/3dw_d495db51-241a-4247-871b-04cf7ab30b21/rendering/19.obj", "0.729094696045")</f>
        <v>0.729094696045</v>
      </c>
      <c r="W602" s="12" t="s">
        <v>29</v>
      </c>
      <c r="X602" s="13">
        <v>0.84659710311889658</v>
      </c>
      <c r="Y602" s="13">
        <v>8.1688126253069218E-2</v>
      </c>
      <c r="Z602" s="90">
        <v>9.6489966658434095E-2</v>
      </c>
    </row>
    <row r="603" spans="1:26" x14ac:dyDescent="0.2">
      <c r="A603" s="1">
        <v>601</v>
      </c>
      <c r="B603" s="2" t="s">
        <v>153</v>
      </c>
      <c r="C603" s="91" t="str">
        <f>HYPERLINK(AA2 &amp; "/bulb/3dw_d495db51-241a-4247-871b-04cf7ab30b21/rendering/00.obj", "2.78986477852")</f>
        <v>2.78986477852</v>
      </c>
      <c r="D603" s="74" t="str">
        <f>HYPERLINK(AA2 &amp; "/bulb/3dw_d495db51-241a-4247-871b-04cf7ab30b21/rendering/01.obj", "2.82648658752")</f>
        <v>2.82648658752</v>
      </c>
      <c r="E603" s="80" t="str">
        <f>HYPERLINK(AA2 &amp; "/bulb/3dw_d495db51-241a-4247-871b-04cf7ab30b21/rendering/02.obj", "3.29643321037")</f>
        <v>3.29643321037</v>
      </c>
      <c r="F603" s="35" t="str">
        <f>HYPERLINK(AA2 &amp; "/bulb/3dw_d495db51-241a-4247-871b-04cf7ab30b21/rendering/03.obj", "2.69723176956")</f>
        <v>2.69723176956</v>
      </c>
      <c r="G603" s="39" t="str">
        <f>HYPERLINK(AA2 &amp; "/bulb/3dw_d495db51-241a-4247-871b-04cf7ab30b21/rendering/04.obj", "2.62215566635")</f>
        <v>2.62215566635</v>
      </c>
      <c r="H603" s="47" t="str">
        <f>HYPERLINK(AA2 &amp; "/bulb/3dw_d495db51-241a-4247-871b-04cf7ab30b21/rendering/05.obj", "2.88930630684")</f>
        <v>2.88930630684</v>
      </c>
      <c r="I603" s="72" t="str">
        <f>HYPERLINK(AA2 &amp; "/bulb/3dw_d495db51-241a-4247-871b-04cf7ab30b21/rendering/06.obj", "2.96382451057")</f>
        <v>2.96382451057</v>
      </c>
      <c r="J603" s="73" t="str">
        <f>HYPERLINK(AA2 &amp; "/bulb/3dw_d495db51-241a-4247-871b-04cf7ab30b21/rendering/07.obj", "2.76630735397")</f>
        <v>2.76630735397</v>
      </c>
      <c r="K603" s="5" t="str">
        <f>HYPERLINK(AA2 &amp; "/bulb/3dw_d495db51-241a-4247-871b-04cf7ab30b21/rendering/08.obj", "2.64972066879")</f>
        <v>2.64972066879</v>
      </c>
      <c r="L603" s="38" t="str">
        <f>HYPERLINK(AA2 &amp; "/bulb/3dw_d495db51-241a-4247-871b-04cf7ab30b21/rendering/09.obj", "3.1270031929")</f>
        <v>3.1270031929</v>
      </c>
      <c r="M603" s="60" t="str">
        <f>HYPERLINK(AA2 &amp; "/bulb/3dw_d495db51-241a-4247-871b-04cf7ab30b21/rendering/10.obj", "2.71691131592")</f>
        <v>2.71691131592</v>
      </c>
      <c r="N603" s="6" t="str">
        <f>HYPERLINK(AA2 &amp; "/bulb/3dw_d495db51-241a-4247-871b-04cf7ab30b21/rendering/11.obj", "2.73819112778")</f>
        <v>2.73819112778</v>
      </c>
      <c r="O603" s="48" t="str">
        <f>HYPERLINK(AA2 &amp; "/bulb/3dw_d495db51-241a-4247-871b-04cf7ab30b21/rendering/12.obj", "2.8020401001")</f>
        <v>2.8020401001</v>
      </c>
      <c r="P603" s="74" t="str">
        <f>HYPERLINK(AA2 &amp; "/bulb/3dw_d495db51-241a-4247-871b-04cf7ab30b21/rendering/13.obj", "2.90644431114")</f>
        <v>2.90644431114</v>
      </c>
      <c r="Q603" s="48" t="str">
        <f>HYPERLINK(AA2 &amp; "/bulb/3dw_d495db51-241a-4247-871b-04cf7ab30b21/rendering/14.obj", "2.8027806282")</f>
        <v>2.8027806282</v>
      </c>
      <c r="R603" s="35" t="str">
        <f>HYPERLINK(AA2 &amp; "/bulb/3dw_d495db51-241a-4247-871b-04cf7ab30b21/rendering/15.obj", "2.70060873032")</f>
        <v>2.70060873032</v>
      </c>
      <c r="S603" s="6" t="str">
        <f>HYPERLINK(AA2 &amp; "/bulb/3dw_d495db51-241a-4247-871b-04cf7ab30b21/rendering/16.obj", "2.73373746872")</f>
        <v>2.73373746872</v>
      </c>
      <c r="T603" s="43" t="str">
        <f>HYPERLINK(AA2 &amp; "/bulb/3dw_d495db51-241a-4247-871b-04cf7ab30b21/rendering/17.obj", "3.94457316399")</f>
        <v>3.94457316399</v>
      </c>
      <c r="U603" s="23" t="str">
        <f>HYPERLINK(AA2 &amp; "/bulb/3dw_d495db51-241a-4247-871b-04cf7ab30b21/rendering/18.obj", "2.75666809082")</f>
        <v>2.75666809082</v>
      </c>
      <c r="V603" s="67" t="str">
        <f>HYPERLINK(AA2 &amp; "/bulb/3dw_d495db51-241a-4247-871b-04cf7ab30b21/rendering/19.obj", "2.6049015522")</f>
        <v>2.6049015522</v>
      </c>
      <c r="W603" s="12" t="s">
        <v>30</v>
      </c>
      <c r="X603" s="13">
        <v>2.866759526729584</v>
      </c>
      <c r="Y603" s="13">
        <v>0.2959807556579831</v>
      </c>
      <c r="Z603" s="133">
        <v>0.10324575636647131</v>
      </c>
    </row>
    <row r="604" spans="1:26" x14ac:dyDescent="0.2">
      <c r="A604" s="1">
        <v>602</v>
      </c>
      <c r="B604" s="2" t="s">
        <v>153</v>
      </c>
      <c r="C604" s="17" t="str">
        <f>HYPERLINK(AB2 &amp; "/bulb/3dw_d495db51-241a-4247-871b-04cf7ab30b21/rendering/00.obj", "0.92185546875")</f>
        <v>0.92185546875</v>
      </c>
      <c r="D604" s="47" t="str">
        <f>HYPERLINK(AB2 &amp; "/bulb/3dw_d495db51-241a-4247-871b-04cf7ab30b21/rendering/01.obj", "0.947543334961")</f>
        <v>0.947543334961</v>
      </c>
      <c r="E604" s="5" t="str">
        <f>HYPERLINK(AB2 &amp; "/bulb/3dw_d495db51-241a-4247-871b-04cf7ab30b21/rendering/02.obj", "0.867776031494")</f>
        <v>0.867776031494</v>
      </c>
      <c r="F604" s="48" t="str">
        <f>HYPERLINK(AB2 &amp; "/bulb/3dw_d495db51-241a-4247-871b-04cf7ab30b21/rendering/03.obj", "0.963237457275")</f>
        <v>0.963237457275</v>
      </c>
      <c r="G604" s="25" t="str">
        <f>HYPERLINK(AB2 &amp; "/bulb/3dw_d495db51-241a-4247-871b-04cf7ab30b21/rendering/04.obj", "0.930662994385")</f>
        <v>0.930662994385</v>
      </c>
      <c r="H604" s="78" t="str">
        <f>HYPERLINK(AB2 &amp; "/bulb/3dw_d495db51-241a-4247-871b-04cf7ab30b21/rendering/05.obj", "0.884318618774")</f>
        <v>0.884318618774</v>
      </c>
      <c r="I604" s="41" t="str">
        <f>HYPERLINK(AB2 &amp; "/bulb/3dw_d495db51-241a-4247-871b-04cf7ab30b21/rendering/06.obj", "0.876423034668")</f>
        <v>0.876423034668</v>
      </c>
      <c r="J604" s="25" t="str">
        <f>HYPERLINK(AB2 &amp; "/bulb/3dw_d495db51-241a-4247-871b-04cf7ab30b21/rendering/07.obj", "0.931387786865")</f>
        <v>0.931387786865</v>
      </c>
      <c r="K604" s="73" t="str">
        <f>HYPERLINK(AB2 &amp; "/bulb/3dw_d495db51-241a-4247-871b-04cf7ab30b21/rendering/08.obj", "0.975264053345")</f>
        <v>0.975264053345</v>
      </c>
      <c r="L604" s="23" t="str">
        <f>HYPERLINK(AB2 &amp; "/bulb/3dw_d495db51-241a-4247-871b-04cf7ab30b21/rendering/09.obj", "0.976604537964")</f>
        <v>0.976604537964</v>
      </c>
      <c r="M604" s="17" t="str">
        <f>HYPERLINK(AB2 &amp; "/bulb/3dw_d495db51-241a-4247-871b-04cf7ab30b21/rendering/10.obj", "0.959697418213")</f>
        <v>0.959697418213</v>
      </c>
      <c r="N604" s="25" t="str">
        <f>HYPERLINK(AB2 &amp; "/bulb/3dw_d495db51-241a-4247-871b-04cf7ab30b21/rendering/11.obj", "0.951002807617")</f>
        <v>0.951002807617</v>
      </c>
      <c r="O604" s="91" t="str">
        <f>HYPERLINK(AB2 &amp; "/bulb/3dw_d495db51-241a-4247-871b-04cf7ab30b21/rendering/12.obj", "0.964929199219")</f>
        <v>0.964929199219</v>
      </c>
      <c r="P604" s="34" t="str">
        <f>HYPERLINK(AB2 &amp; "/bulb/3dw_d495db51-241a-4247-871b-04cf7ab30b21/rendering/13.obj", "0.986103210449")</f>
        <v>0.986103210449</v>
      </c>
      <c r="Q604" s="60" t="str">
        <f>HYPERLINK(AB2 &amp; "/bulb/3dw_d495db51-241a-4247-871b-04cf7ab30b21/rendering/14.obj", "0.989539871216")</f>
        <v>0.989539871216</v>
      </c>
      <c r="R604" s="47" t="str">
        <f>HYPERLINK(AB2 &amp; "/bulb/3dw_d495db51-241a-4247-871b-04cf7ab30b21/rendering/15.obj", "0.949072189331")</f>
        <v>0.949072189331</v>
      </c>
      <c r="S604" s="46" t="str">
        <f>HYPERLINK(AB2 &amp; "/bulb/3dw_d495db51-241a-4247-871b-04cf7ab30b21/rendering/16.obj", "0.957712249756")</f>
        <v>0.957712249756</v>
      </c>
      <c r="T604" s="72" t="str">
        <f>HYPERLINK(AB2 &amp; "/bulb/3dw_d495db51-241a-4247-871b-04cf7ab30b21/rendering/17.obj", "0.908728103638")</f>
        <v>0.908728103638</v>
      </c>
      <c r="U604" s="91" t="str">
        <f>HYPERLINK(AB2 &amp; "/bulb/3dw_d495db51-241a-4247-871b-04cf7ab30b21/rendering/18.obj", "0.914577102661")</f>
        <v>0.914577102661</v>
      </c>
      <c r="V604" s="46" t="str">
        <f>HYPERLINK(AB2 &amp; "/bulb/3dw_d495db51-241a-4247-871b-04cf7ab30b21/rendering/19.obj", "0.95539855957")</f>
        <v>0.95539855957</v>
      </c>
      <c r="W604" s="12" t="s">
        <v>31</v>
      </c>
      <c r="X604" s="13">
        <v>0.94059170150756855</v>
      </c>
      <c r="Y604" s="13">
        <v>3.4633990658901437E-2</v>
      </c>
      <c r="Z604" s="73">
        <v>3.682149290004421E-2</v>
      </c>
    </row>
    <row r="605" spans="1:26" x14ac:dyDescent="0.2">
      <c r="A605" s="1">
        <v>603</v>
      </c>
      <c r="B605" s="2" t="s">
        <v>153</v>
      </c>
      <c r="C605" s="25" t="str">
        <f>HYPERLINK(AB2 &amp; "/bulb/3dw_d495db51-241a-4247-871b-04cf7ab30b21/rendering/00.obj", "2.85949158669")</f>
        <v>2.85949158669</v>
      </c>
      <c r="D605" s="72" t="str">
        <f>HYPERLINK(AB2 &amp; "/bulb/3dw_d495db51-241a-4247-871b-04cf7ab30b21/rendering/01.obj", "2.98543119431")</f>
        <v>2.98543119431</v>
      </c>
      <c r="E605" s="17" t="str">
        <f>HYPERLINK(AB2 &amp; "/bulb/3dw_d495db51-241a-4247-871b-04cf7ab30b21/rendering/02.obj", "2.83327174187")</f>
        <v>2.83327174187</v>
      </c>
      <c r="F605" s="25" t="str">
        <f>HYPERLINK(AB2 &amp; "/bulb/3dw_d495db51-241a-4247-871b-04cf7ab30b21/rendering/03.obj", "2.92061901093")</f>
        <v>2.92061901093</v>
      </c>
      <c r="G605" s="30" t="str">
        <f>HYPERLINK(AB2 &amp; "/bulb/3dw_d495db51-241a-4247-871b-04cf7ab30b21/rendering/04.obj", "2.87649464607")</f>
        <v>2.87649464607</v>
      </c>
      <c r="H605" s="30" t="str">
        <f>HYPERLINK(AB2 &amp; "/bulb/3dw_d495db51-241a-4247-871b-04cf7ab30b21/rendering/05.obj", "2.87670254707")</f>
        <v>2.87670254707</v>
      </c>
      <c r="I605" s="47" t="str">
        <f>HYPERLINK(AB2 &amp; "/bulb/3dw_d495db51-241a-4247-871b-04cf7ab30b21/rendering/06.obj", "2.86614274979")</f>
        <v>2.86614274979</v>
      </c>
      <c r="J605" s="25" t="str">
        <f>HYPERLINK(AB2 &amp; "/bulb/3dw_d495db51-241a-4247-871b-04cf7ab30b21/rendering/07.obj", "2.86283540726")</f>
        <v>2.86283540726</v>
      </c>
      <c r="K605" s="74" t="str">
        <f>HYPERLINK(AB2 &amp; "/bulb/3dw_d495db51-241a-4247-871b-04cf7ab30b21/rendering/08.obj", "2.93477511406")</f>
        <v>2.93477511406</v>
      </c>
      <c r="L605" s="74" t="str">
        <f>HYPERLINK(AB2 &amp; "/bulb/3dw_d495db51-241a-4247-871b-04cf7ab30b21/rendering/09.obj", "2.93005394936")</f>
        <v>2.93005394936</v>
      </c>
      <c r="M605" s="13" t="str">
        <f>HYPERLINK(AB2 &amp; "/bulb/3dw_d495db51-241a-4247-871b-04cf7ab30b21/rendering/10.obj", "2.8875579834")</f>
        <v>2.8875579834</v>
      </c>
      <c r="N605" s="47" t="str">
        <f>HYPERLINK(AB2 &amp; "/bulb/3dw_d495db51-241a-4247-871b-04cf7ab30b21/rendering/11.obj", "2.91259551048")</f>
        <v>2.91259551048</v>
      </c>
      <c r="O605" s="91" t="str">
        <f>HYPERLINK(AB2 &amp; "/bulb/3dw_d495db51-241a-4247-871b-04cf7ab30b21/rendering/12.obj", "2.96781253815")</f>
        <v>2.96781253815</v>
      </c>
      <c r="P605" s="13" t="str">
        <f>HYPERLINK(AB2 &amp; "/bulb/3dw_d495db51-241a-4247-871b-04cf7ab30b21/rendering/13.obj", "2.8913128376")</f>
        <v>2.8913128376</v>
      </c>
      <c r="Q605" s="13" t="str">
        <f>HYPERLINK(AB2 &amp; "/bulb/3dw_d495db51-241a-4247-871b-04cf7ab30b21/rendering/14.obj", "2.88810348511")</f>
        <v>2.88810348511</v>
      </c>
      <c r="R605" s="13" t="str">
        <f>HYPERLINK(AB2 &amp; "/bulb/3dw_d495db51-241a-4247-871b-04cf7ab30b21/rendering/15.obj", "2.88874411583")</f>
        <v>2.88874411583</v>
      </c>
      <c r="S605" s="17" t="str">
        <f>HYPERLINK(AB2 &amp; "/bulb/3dw_d495db51-241a-4247-871b-04cf7ab30b21/rendering/16.obj", "2.8330488205")</f>
        <v>2.8330488205</v>
      </c>
      <c r="T605" s="47" t="str">
        <f>HYPERLINK(AB2 &amp; "/bulb/3dw_d495db51-241a-4247-871b-04cf7ab30b21/rendering/17.obj", "2.91872954369")</f>
        <v>2.91872954369</v>
      </c>
      <c r="U605" s="17" t="str">
        <f>HYPERLINK(AB2 &amp; "/bulb/3dw_d495db51-241a-4247-871b-04cf7ab30b21/rendering/18.obj", "2.83689570427")</f>
        <v>2.83689570427</v>
      </c>
      <c r="V605" s="47" t="str">
        <f>HYPERLINK(AB2 &amp; "/bulb/3dw_d495db51-241a-4247-871b-04cf7ab30b21/rendering/19.obj", "2.87109589577")</f>
        <v>2.87109589577</v>
      </c>
      <c r="W605" s="12" t="s">
        <v>32</v>
      </c>
      <c r="X605" s="13">
        <v>2.8920857191085809</v>
      </c>
      <c r="Y605" s="13">
        <v>4.0747015146910578E-2</v>
      </c>
      <c r="Z605" s="74">
        <v>1.408914503387192E-2</v>
      </c>
    </row>
    <row r="606" spans="1:26" x14ac:dyDescent="0.2">
      <c r="A606" s="1">
        <v>604</v>
      </c>
      <c r="B606" s="2" t="s">
        <v>153</v>
      </c>
      <c r="C606" s="13" t="str">
        <f>HYPERLINK(AC2 &amp; "/bulb/3dw_d495db51-241a-4247-871b-04cf7ab30b21/rendering/00.xyz", "0.0")</f>
        <v>0.0</v>
      </c>
      <c r="D606" s="13" t="str">
        <f>HYPERLINK(AC2 &amp; "/bulb/3dw_d495db51-241a-4247-871b-04cf7ab30b21/rendering/01.xyz", "0.0")</f>
        <v>0.0</v>
      </c>
      <c r="E606" s="13" t="str">
        <f>HYPERLINK(AC2 &amp; "/bulb/3dw_d495db51-241a-4247-871b-04cf7ab30b21/rendering/02.xyz", "0.0")</f>
        <v>0.0</v>
      </c>
      <c r="F606" s="13" t="str">
        <f>HYPERLINK(AC2 &amp; "/bulb/3dw_d495db51-241a-4247-871b-04cf7ab30b21/rendering/03.xyz", "0.0")</f>
        <v>0.0</v>
      </c>
      <c r="G606" s="13" t="str">
        <f>HYPERLINK(AC2 &amp; "/bulb/3dw_d495db51-241a-4247-871b-04cf7ab30b21/rendering/04.xyz", "0.0")</f>
        <v>0.0</v>
      </c>
      <c r="H606" s="13" t="str">
        <f>HYPERLINK(AC2 &amp; "/bulb/3dw_d495db51-241a-4247-871b-04cf7ab30b21/rendering/05.xyz", "0.0")</f>
        <v>0.0</v>
      </c>
      <c r="I606" s="13" t="str">
        <f>HYPERLINK(AC2 &amp; "/bulb/3dw_d495db51-241a-4247-871b-04cf7ab30b21/rendering/06.xyz", "0.0")</f>
        <v>0.0</v>
      </c>
      <c r="J606" s="13" t="str">
        <f>HYPERLINK(AC2 &amp; "/bulb/3dw_d495db51-241a-4247-871b-04cf7ab30b21/rendering/07.xyz", "0.0")</f>
        <v>0.0</v>
      </c>
      <c r="K606" s="13" t="str">
        <f>HYPERLINK(AC2 &amp; "/bulb/3dw_d495db51-241a-4247-871b-04cf7ab30b21/rendering/08.xyz", "0.0")</f>
        <v>0.0</v>
      </c>
      <c r="L606" s="13" t="str">
        <f>HYPERLINK(AC2 &amp; "/bulb/3dw_d495db51-241a-4247-871b-04cf7ab30b21/rendering/09.xyz", "0.0")</f>
        <v>0.0</v>
      </c>
      <c r="M606" s="13" t="str">
        <f>HYPERLINK(AC2 &amp; "/bulb/3dw_d495db51-241a-4247-871b-04cf7ab30b21/rendering/10.xyz", "0.0")</f>
        <v>0.0</v>
      </c>
      <c r="N606" s="13" t="str">
        <f>HYPERLINK(AC2 &amp; "/bulb/3dw_d495db51-241a-4247-871b-04cf7ab30b21/rendering/11.xyz", "0.0")</f>
        <v>0.0</v>
      </c>
      <c r="O606" s="13" t="str">
        <f>HYPERLINK(AC2 &amp; "/bulb/3dw_d495db51-241a-4247-871b-04cf7ab30b21/rendering/12.xyz", "0.0")</f>
        <v>0.0</v>
      </c>
      <c r="P606" s="13" t="str">
        <f>HYPERLINK(AC2 &amp; "/bulb/3dw_d495db51-241a-4247-871b-04cf7ab30b21/rendering/13.xyz", "0.0")</f>
        <v>0.0</v>
      </c>
      <c r="Q606" s="13" t="str">
        <f>HYPERLINK(AC2 &amp; "/bulb/3dw_d495db51-241a-4247-871b-04cf7ab30b21/rendering/14.xyz", "0.0")</f>
        <v>0.0</v>
      </c>
      <c r="R606" s="13" t="str">
        <f>HYPERLINK(AC2 &amp; "/bulb/3dw_d495db51-241a-4247-871b-04cf7ab30b21/rendering/15.xyz", "0.0")</f>
        <v>0.0</v>
      </c>
      <c r="S606" s="13" t="str">
        <f>HYPERLINK(AC2 &amp; "/bulb/3dw_d495db51-241a-4247-871b-04cf7ab30b21/rendering/16.xyz", "0.0")</f>
        <v>0.0</v>
      </c>
      <c r="T606" s="13" t="str">
        <f>HYPERLINK(AC2 &amp; "/bulb/3dw_d495db51-241a-4247-871b-04cf7ab30b21/rendering/17.xyz", "0.0")</f>
        <v>0.0</v>
      </c>
      <c r="U606" s="13" t="str">
        <f>HYPERLINK(AC2 &amp; "/bulb/3dw_d495db51-241a-4247-871b-04cf7ab30b21/rendering/18.xyz", "0.0")</f>
        <v>0.0</v>
      </c>
      <c r="V606" s="13" t="str">
        <f>HYPERLINK(AC2 &amp; "/bulb/3dw_d495db51-241a-4247-871b-04cf7ab30b21/rendering/19.xyz", "0.0")</f>
        <v>0.0</v>
      </c>
      <c r="W606" s="12" t="s">
        <v>33</v>
      </c>
      <c r="X606" s="13">
        <v>0</v>
      </c>
      <c r="Y606" s="13">
        <v>0</v>
      </c>
      <c r="Z606" s="13">
        <v>0</v>
      </c>
    </row>
    <row r="607" spans="1:26" x14ac:dyDescent="0.2">
      <c r="A607" s="1">
        <v>605</v>
      </c>
      <c r="B607" s="2" t="s">
        <v>154</v>
      </c>
      <c r="C607" s="55" t="str">
        <f>HYPERLINK(AA2 &amp; "/bulb/3dw_d4f957ba-2451-47c6-87f5-a86da35cc0e1/rendering/00.obj", "1.2795614624")</f>
        <v>1.2795614624</v>
      </c>
      <c r="D607" s="33" t="str">
        <f>HYPERLINK(AA2 &amp; "/bulb/3dw_d4f957ba-2451-47c6-87f5-a86da35cc0e1/rendering/01.obj", "1.41486404419")</f>
        <v>1.41486404419</v>
      </c>
      <c r="E607" s="75" t="str">
        <f>HYPERLINK(AA2 &amp; "/bulb/3dw_d4f957ba-2451-47c6-87f5-a86da35cc0e1/rendering/02.obj", "1.93414764404")</f>
        <v>1.93414764404</v>
      </c>
      <c r="F607" s="90" t="str">
        <f>HYPERLINK(AA2 &amp; "/bulb/3dw_d4f957ba-2451-47c6-87f5-a86da35cc0e1/rendering/03.obj", "1.4335357666")</f>
        <v>1.4335357666</v>
      </c>
      <c r="G607" s="10" t="str">
        <f>HYPERLINK(AA2 &amp; "/bulb/3dw_d4f957ba-2451-47c6-87f5-a86da35cc0e1/rendering/04.obj", "1.67268066406")</f>
        <v>1.67268066406</v>
      </c>
      <c r="H607" s="72" t="str">
        <f>HYPERLINK(AA2 &amp; "/bulb/3dw_d4f957ba-2451-47c6-87f5-a86da35cc0e1/rendering/05.obj", "1.53166168213")</f>
        <v>1.53166168213</v>
      </c>
      <c r="I607" s="13" t="str">
        <f>HYPERLINK(AA2 &amp; "/bulb/3dw_d4f957ba-2451-47c6-87f5-a86da35cc0e1/rendering/06.obj", "1.58683258057")</f>
        <v>1.58683258057</v>
      </c>
      <c r="J607" s="69" t="str">
        <f>HYPERLINK(AA2 &amp; "/bulb/3dw_d4f957ba-2451-47c6-87f5-a86da35cc0e1/rendering/07.obj", "1.53824890137")</f>
        <v>1.53824890137</v>
      </c>
      <c r="K607" s="176" t="str">
        <f>HYPERLINK(AA2 &amp; "/bulb/3dw_d4f957ba-2451-47c6-87f5-a86da35cc0e1/rendering/08.obj", "1.08300354004")</f>
        <v>1.08300354004</v>
      </c>
      <c r="L607" s="71" t="str">
        <f>HYPERLINK(AA2 &amp; "/bulb/3dw_d4f957ba-2451-47c6-87f5-a86da35cc0e1/rendering/09.obj", "1.3994128418")</f>
        <v>1.3994128418</v>
      </c>
      <c r="M607" s="38" t="str">
        <f>HYPERLINK(AA2 &amp; "/bulb/3dw_d4f957ba-2451-47c6-87f5-a86da35cc0e1/rendering/10.obj", "1.44541046143")</f>
        <v>1.44541046143</v>
      </c>
      <c r="N607" s="37" t="str">
        <f>HYPERLINK(AA2 &amp; "/bulb/3dw_d4f957ba-2451-47c6-87f5-a86da35cc0e1/rendering/11.obj", "1.86152709961")</f>
        <v>1.86152709961</v>
      </c>
      <c r="O607" s="83" t="str">
        <f>HYPERLINK(AA2 &amp; "/bulb/3dw_d4f957ba-2451-47c6-87f5-a86da35cc0e1/rendering/12.obj", "1.34246704102")</f>
        <v>1.34246704102</v>
      </c>
      <c r="P607" s="73" t="str">
        <f>HYPERLINK(AA2 &amp; "/bulb/3dw_d4f957ba-2451-47c6-87f5-a86da35cc0e1/rendering/13.obj", "1.52989532471")</f>
        <v>1.52989532471</v>
      </c>
      <c r="Q607" s="90" t="str">
        <f>HYPERLINK(AA2 &amp; "/bulb/3dw_d4f957ba-2451-47c6-87f5-a86da35cc0e1/rendering/14.obj", "1.7380557251")</f>
        <v>1.7380557251</v>
      </c>
      <c r="R607" s="38" t="str">
        <f>HYPERLINK(AA2 &amp; "/bulb/3dw_d4f957ba-2451-47c6-87f5-a86da35cc0e1/rendering/15.obj", "1.72497543335")</f>
        <v>1.72497543335</v>
      </c>
      <c r="S607" s="17" t="str">
        <f>HYPERLINK(AA2 &amp; "/bulb/3dw_d4f957ba-2451-47c6-87f5-a86da35cc0e1/rendering/16.obj", "1.55441543579")</f>
        <v>1.55441543579</v>
      </c>
      <c r="T607" s="98" t="str">
        <f>HYPERLINK(AA2 &amp; "/bulb/3dw_d4f957ba-2451-47c6-87f5-a86da35cc0e1/rendering/17.obj", "1.95305633545")</f>
        <v>1.95305633545</v>
      </c>
      <c r="U607" s="38" t="str">
        <f>HYPERLINK(AA2 &amp; "/bulb/3dw_d4f957ba-2451-47c6-87f5-a86da35cc0e1/rendering/18.obj", "1.72549346924")</f>
        <v>1.72549346924</v>
      </c>
      <c r="V607" s="136" t="str">
        <f>HYPERLINK(AA2 &amp; "/bulb/3dw_d4f957ba-2451-47c6-87f5-a86da35cc0e1/rendering/19.obj", "1.96006271362")</f>
        <v>1.96006271362</v>
      </c>
      <c r="W607" s="12" t="s">
        <v>29</v>
      </c>
      <c r="X607" s="13">
        <v>1.5854654083251949</v>
      </c>
      <c r="Y607" s="13">
        <v>0.23063898096061661</v>
      </c>
      <c r="Z607" s="84">
        <v>0.14547083761622509</v>
      </c>
    </row>
    <row r="608" spans="1:26" x14ac:dyDescent="0.2">
      <c r="A608" s="1">
        <v>606</v>
      </c>
      <c r="B608" s="2" t="s">
        <v>154</v>
      </c>
      <c r="C608" s="46" t="str">
        <f>HYPERLINK(AA2 &amp; "/bulb/3dw_d4f957ba-2451-47c6-87f5-a86da35cc0e1/rendering/00.obj", "5.76498794556")</f>
        <v>5.76498794556</v>
      </c>
      <c r="D608" s="5" t="str">
        <f>HYPERLINK(AA2 &amp; "/bulb/3dw_d4f957ba-2451-47c6-87f5-a86da35cc0e1/rendering/01.obj", "5.41099452972")</f>
        <v>5.41099452972</v>
      </c>
      <c r="E608" s="94" t="str">
        <f>HYPERLINK(AA2 &amp; "/bulb/3dw_d4f957ba-2451-47c6-87f5-a86da35cc0e1/rendering/02.obj", "6.29964399338")</f>
        <v>6.29964399338</v>
      </c>
      <c r="F608" s="60" t="str">
        <f>HYPERLINK(AA2 &amp; "/bulb/3dw_d4f957ba-2451-47c6-87f5-a86da35cc0e1/rendering/03.obj", "5.55910539627")</f>
        <v>5.55910539627</v>
      </c>
      <c r="G608" s="47" t="str">
        <f>HYPERLINK(AA2 &amp; "/bulb/3dw_d4f957ba-2451-47c6-87f5-a86da35cc0e1/rendering/04.obj", "5.91303920746")</f>
        <v>5.91303920746</v>
      </c>
      <c r="H608" s="25" t="str">
        <f>HYPERLINK(AA2 &amp; "/bulb/3dw_d4f957ba-2451-47c6-87f5-a86da35cc0e1/rendering/05.obj", "5.91851997375")</f>
        <v>5.91851997375</v>
      </c>
      <c r="I608" s="5" t="str">
        <f>HYPERLINK(AA2 &amp; "/bulb/3dw_d4f957ba-2451-47c6-87f5-a86da35cc0e1/rendering/06.obj", "6.31763648987")</f>
        <v>6.31763648987</v>
      </c>
      <c r="J608" s="91" t="str">
        <f>HYPERLINK(AA2 &amp; "/bulb/3dw_d4f957ba-2451-47c6-87f5-a86da35cc0e1/rendering/07.obj", "5.70151996613")</f>
        <v>5.70151996613</v>
      </c>
      <c r="K608" s="196" t="str">
        <f>HYPERLINK(AA2 &amp; "/bulb/3dw_d4f957ba-2451-47c6-87f5-a86da35cc0e1/rendering/08.obj", "3.54127979279")</f>
        <v>3.54127979279</v>
      </c>
      <c r="L608" s="17" t="str">
        <f>HYPERLINK(AA2 &amp; "/bulb/3dw_d4f957ba-2451-47c6-87f5-a86da35cc0e1/rendering/09.obj", "5.73962974548")</f>
        <v>5.73962974548</v>
      </c>
      <c r="M608" s="41" t="str">
        <f>HYPERLINK(AA2 &amp; "/bulb/3dw_d4f957ba-2451-47c6-87f5-a86da35cc0e1/rendering/10.obj", "5.46941041946")</f>
        <v>5.46941041946</v>
      </c>
      <c r="N608" s="133" t="str">
        <f>HYPERLINK(AA2 &amp; "/bulb/3dw_d4f957ba-2451-47c6-87f5-a86da35cc0e1/rendering/11.obj", "6.45496892929")</f>
        <v>6.45496892929</v>
      </c>
      <c r="O608" s="30" t="str">
        <f>HYPERLINK(AA2 &amp; "/bulb/3dw_d4f957ba-2451-47c6-87f5-a86da35cc0e1/rendering/12.obj", "5.83786725998")</f>
        <v>5.83786725998</v>
      </c>
      <c r="P608" s="48" t="str">
        <f>HYPERLINK(AA2 &amp; "/bulb/3dw_d4f957ba-2451-47c6-87f5-a86da35cc0e1/rendering/13.obj", "5.72410869598")</f>
        <v>5.72410869598</v>
      </c>
      <c r="Q608" s="6" t="str">
        <f>HYPERLINK(AA2 &amp; "/bulb/3dw_d4f957ba-2451-47c6-87f5-a86da35cc0e1/rendering/14.obj", "6.12793779373")</f>
        <v>6.12793779373</v>
      </c>
      <c r="R608" s="91" t="str">
        <f>HYPERLINK(AA2 &amp; "/bulb/3dw_d4f957ba-2451-47c6-87f5-a86da35cc0e1/rendering/15.obj", "6.01119709015")</f>
        <v>6.01119709015</v>
      </c>
      <c r="S608" s="39" t="str">
        <f>HYPERLINK(AA2 &amp; "/bulb/3dw_d4f957ba-2451-47c6-87f5-a86da35cc0e1/rendering/16.obj", "6.37326192856")</f>
        <v>6.37326192856</v>
      </c>
      <c r="T608" s="38" t="str">
        <f>HYPERLINK(AA2 &amp; "/bulb/3dw_d4f957ba-2451-47c6-87f5-a86da35cc0e1/rendering/17.obj", "6.37748193741")</f>
        <v>6.37748193741</v>
      </c>
      <c r="U608" s="48" t="str">
        <f>HYPERLINK(AA2 &amp; "/bulb/3dw_d4f957ba-2451-47c6-87f5-a86da35cc0e1/rendering/18.obj", "5.99115228653")</f>
        <v>5.99115228653</v>
      </c>
      <c r="V608" s="42" t="str">
        <f>HYPERLINK(AA2 &amp; "/bulb/3dw_d4f957ba-2451-47c6-87f5-a86da35cc0e1/rendering/19.obj", "6.66819858551")</f>
        <v>6.66819858551</v>
      </c>
      <c r="W608" s="12" t="s">
        <v>30</v>
      </c>
      <c r="X608" s="13">
        <v>5.8600970983505247</v>
      </c>
      <c r="Y608" s="13">
        <v>0.63039517963521707</v>
      </c>
      <c r="Z608" s="33">
        <v>0.10757418675070381</v>
      </c>
    </row>
    <row r="609" spans="1:26" x14ac:dyDescent="0.2">
      <c r="A609" s="1">
        <v>607</v>
      </c>
      <c r="B609" s="2" t="s">
        <v>154</v>
      </c>
      <c r="C609" s="47" t="str">
        <f>HYPERLINK(AB2 &amp; "/bulb/3dw_d4f957ba-2451-47c6-87f5-a86da35cc0e1/rendering/00.obj", "1.70848297119")</f>
        <v>1.70848297119</v>
      </c>
      <c r="D609" s="35" t="str">
        <f>HYPERLINK(AB2 &amp; "/bulb/3dw_d4f957ba-2451-47c6-87f5-a86da35cc0e1/rendering/01.obj", "1.59484283447")</f>
        <v>1.59484283447</v>
      </c>
      <c r="E609" s="41" t="str">
        <f>HYPERLINK(AB2 &amp; "/bulb/3dw_d4f957ba-2451-47c6-87f5-a86da35cc0e1/rendering/02.obj", "1.58335342407")</f>
        <v>1.58335342407</v>
      </c>
      <c r="F609" s="74" t="str">
        <f>HYPERLINK(AB2 &amp; "/bulb/3dw_d4f957ba-2451-47c6-87f5-a86da35cc0e1/rendering/03.obj", "1.72141937256")</f>
        <v>1.72141937256</v>
      </c>
      <c r="G609" s="17" t="str">
        <f>HYPERLINK(AB2 &amp; "/bulb/3dw_d4f957ba-2451-47c6-87f5-a86da35cc0e1/rendering/04.obj", "1.66122344971")</f>
        <v>1.66122344971</v>
      </c>
      <c r="H609" s="92" t="str">
        <f>HYPERLINK(AB2 &amp; "/bulb/3dw_d4f957ba-2451-47c6-87f5-a86da35cc0e1/rendering/05.obj", "1.90734542847")</f>
        <v>1.90734542847</v>
      </c>
      <c r="I609" s="48" t="str">
        <f>HYPERLINK(AB2 &amp; "/bulb/3dw_d4f957ba-2451-47c6-87f5-a86da35cc0e1/rendering/06.obj", "1.73306518555")</f>
        <v>1.73306518555</v>
      </c>
      <c r="J609" s="60" t="str">
        <f>HYPERLINK(AB2 &amp; "/bulb/3dw_d4f957ba-2451-47c6-87f5-a86da35cc0e1/rendering/07.obj", "1.78283294678")</f>
        <v>1.78283294678</v>
      </c>
      <c r="K609" s="72" t="str">
        <f>HYPERLINK(AB2 &amp; "/bulb/3dw_d4f957ba-2451-47c6-87f5-a86da35cc0e1/rendering/08.obj", "1.64002410889")</f>
        <v>1.64002410889</v>
      </c>
      <c r="L609" s="13" t="str">
        <f>HYPERLINK(AB2 &amp; "/bulb/3dw_d4f957ba-2451-47c6-87f5-a86da35cc0e1/rendering/09.obj", "1.69341003418")</f>
        <v>1.69341003418</v>
      </c>
      <c r="M609" s="133" t="str">
        <f>HYPERLINK(AB2 &amp; "/bulb/3dw_d4f957ba-2451-47c6-87f5-a86da35cc0e1/rendering/10.obj", "1.52101394653")</f>
        <v>1.52101394653</v>
      </c>
      <c r="N609" s="78" t="str">
        <f>HYPERLINK(AB2 &amp; "/bulb/3dw_d4f957ba-2451-47c6-87f5-a86da35cc0e1/rendering/11.obj", "1.59266876221")</f>
        <v>1.59266876221</v>
      </c>
      <c r="O609" s="60" t="str">
        <f>HYPERLINK(AB2 &amp; "/bulb/3dw_d4f957ba-2451-47c6-87f5-a86da35cc0e1/rendering/12.obj", "1.78277633667")</f>
        <v>1.78277633667</v>
      </c>
      <c r="P609" s="47" t="str">
        <f>HYPERLINK(AB2 &amp; "/bulb/3dw_d4f957ba-2451-47c6-87f5-a86da35cc0e1/rendering/13.obj", "1.68285324097")</f>
        <v>1.68285324097</v>
      </c>
      <c r="Q609" s="23" t="str">
        <f>HYPERLINK(AB2 &amp; "/bulb/3dw_d4f957ba-2451-47c6-87f5-a86da35cc0e1/rendering/14.obj", "1.76071121216")</f>
        <v>1.76071121216</v>
      </c>
      <c r="R609" s="74" t="str">
        <f>HYPERLINK(AB2 &amp; "/bulb/3dw_d4f957ba-2451-47c6-87f5-a86da35cc0e1/rendering/15.obj", "1.71700485229")</f>
        <v>1.71700485229</v>
      </c>
      <c r="S609" s="13" t="str">
        <f>HYPERLINK(AB2 &amp; "/bulb/3dw_d4f957ba-2451-47c6-87f5-a86da35cc0e1/rendering/16.obj", "1.69616867065")</f>
        <v>1.69616867065</v>
      </c>
      <c r="T609" s="25" t="str">
        <f>HYPERLINK(AB2 &amp; "/bulb/3dw_d4f957ba-2451-47c6-87f5-a86da35cc0e1/rendering/17.obj", "1.71397460938")</f>
        <v>1.71397460938</v>
      </c>
      <c r="U609" s="74" t="str">
        <f>HYPERLINK(AB2 &amp; "/bulb/3dw_d4f957ba-2451-47c6-87f5-a86da35cc0e1/rendering/18.obj", "1.67112548828")</f>
        <v>1.67112548828</v>
      </c>
      <c r="V609" s="48" t="str">
        <f>HYPERLINK(AB2 &amp; "/bulb/3dw_d4f957ba-2451-47c6-87f5-a86da35cc0e1/rendering/19.obj", "1.7372555542")</f>
        <v>1.7372555542</v>
      </c>
      <c r="W609" s="12" t="s">
        <v>31</v>
      </c>
      <c r="X609" s="13">
        <v>1.695077621459961</v>
      </c>
      <c r="Y609" s="13">
        <v>8.3039185797753379E-2</v>
      </c>
      <c r="Z609" s="34">
        <v>4.8988426692951198E-2</v>
      </c>
    </row>
    <row r="610" spans="1:26" x14ac:dyDescent="0.2">
      <c r="A610" s="1">
        <v>608</v>
      </c>
      <c r="B610" s="2" t="s">
        <v>154</v>
      </c>
      <c r="C610" s="31" t="str">
        <f>HYPERLINK(AB2 &amp; "/bulb/3dw_d4f957ba-2451-47c6-87f5-a86da35cc0e1/rendering/00.obj", "3.2746450901")</f>
        <v>3.2746450901</v>
      </c>
      <c r="D610" s="80" t="str">
        <f>HYPERLINK(AB2 &amp; "/bulb/3dw_d4f957ba-2451-47c6-87f5-a86da35cc0e1/rendering/01.obj", "3.30598068237")</f>
        <v>3.30598068237</v>
      </c>
      <c r="E610" s="63" t="str">
        <f>HYPERLINK(AB2 &amp; "/bulb/3dw_d4f957ba-2451-47c6-87f5-a86da35cc0e1/rendering/02.obj", "4.34615898132")</f>
        <v>4.34615898132</v>
      </c>
      <c r="F610" s="31" t="str">
        <f>HYPERLINK(AB2 &amp; "/bulb/3dw_d4f957ba-2451-47c6-87f5-a86da35cc0e1/rendering/03.obj", "3.27727389336")</f>
        <v>3.27727389336</v>
      </c>
      <c r="G610" s="41" t="str">
        <f>HYPERLINK(AB2 &amp; "/bulb/3dw_d4f957ba-2451-47c6-87f5-a86da35cc0e1/rendering/04.obj", "4.13953733444")</f>
        <v>4.13953733444</v>
      </c>
      <c r="H610" s="78" t="str">
        <f>HYPERLINK(AB2 &amp; "/bulb/3dw_d4f957ba-2451-47c6-87f5-a86da35cc0e1/rendering/05.obj", "3.64755177498")</f>
        <v>3.64755177498</v>
      </c>
      <c r="I610" s="28" t="str">
        <f>HYPERLINK(AB2 &amp; "/bulb/3dw_d4f957ba-2451-47c6-87f5-a86da35cc0e1/rendering/06.obj", "3.45390319824")</f>
        <v>3.45390319824</v>
      </c>
      <c r="J610" s="94" t="str">
        <f>HYPERLINK(AB2 &amp; "/bulb/3dw_d4f957ba-2451-47c6-87f5-a86da35cc0e1/rendering/07.obj", "4.17058992386")</f>
        <v>4.17058992386</v>
      </c>
      <c r="K610" s="107" t="str">
        <f>HYPERLINK(AB2 &amp; "/bulb/3dw_d4f957ba-2451-47c6-87f5-a86da35cc0e1/rendering/08.obj", "4.2049741745")</f>
        <v>4.2049741745</v>
      </c>
      <c r="L610" s="117" t="str">
        <f>HYPERLINK(AB2 &amp; "/bulb/3dw_d4f957ba-2451-47c6-87f5-a86da35cc0e1/rendering/09.obj", "3.19489979744")</f>
        <v>3.19489979744</v>
      </c>
      <c r="M610" s="17" t="str">
        <f>HYPERLINK(AB2 &amp; "/bulb/3dw_d4f957ba-2451-47c6-87f5-a86da35cc0e1/rendering/10.obj", "3.95775365829")</f>
        <v>3.95775365829</v>
      </c>
      <c r="N610" s="110" t="str">
        <f>HYPERLINK(AB2 &amp; "/bulb/3dw_d4f957ba-2451-47c6-87f5-a86da35cc0e1/rendering/11.obj", "4.25955820084")</f>
        <v>4.25955820084</v>
      </c>
      <c r="O610" s="92" t="str">
        <f>HYPERLINK(AB2 &amp; "/bulb/3dw_d4f957ba-2451-47c6-87f5-a86da35cc0e1/rendering/12.obj", "3.39998340607")</f>
        <v>3.39998340607</v>
      </c>
      <c r="P610" s="133" t="str">
        <f>HYPERLINK(AB2 &amp; "/bulb/3dw_d4f957ba-2451-47c6-87f5-a86da35cc0e1/rendering/13.obj", "4.27189922333")</f>
        <v>4.27189922333</v>
      </c>
      <c r="Q610" s="92" t="str">
        <f>HYPERLINK(AB2 &amp; "/bulb/3dw_d4f957ba-2451-47c6-87f5-a86da35cc0e1/rendering/14.obj", "4.35723829269")</f>
        <v>4.35723829269</v>
      </c>
      <c r="R610" s="35" t="str">
        <f>HYPERLINK(AB2 &amp; "/bulb/3dw_d4f957ba-2451-47c6-87f5-a86da35cc0e1/rendering/15.obj", "4.10937404633")</f>
        <v>4.10937404633</v>
      </c>
      <c r="S610" s="65" t="str">
        <f>HYPERLINK(AB2 &amp; "/bulb/3dw_d4f957ba-2451-47c6-87f5-a86da35cc0e1/rendering/16.obj", "3.3623521328")</f>
        <v>3.3623521328</v>
      </c>
      <c r="T610" s="90" t="str">
        <f>HYPERLINK(AB2 &amp; "/bulb/3dw_d4f957ba-2451-47c6-87f5-a86da35cc0e1/rendering/17.obj", "4.25531435013")</f>
        <v>4.25531435013</v>
      </c>
      <c r="U610" s="70" t="str">
        <f>HYPERLINK(AB2 &amp; "/bulb/3dw_d4f957ba-2451-47c6-87f5-a86da35cc0e1/rendering/18.obj", "4.37526226044")</f>
        <v>4.37526226044</v>
      </c>
      <c r="V610" s="67" t="str">
        <f>HYPERLINK(AB2 &amp; "/bulb/3dw_d4f957ba-2451-47c6-87f5-a86da35cc0e1/rendering/19.obj", "4.24087285995")</f>
        <v>4.24087285995</v>
      </c>
      <c r="W610" s="12" t="s">
        <v>32</v>
      </c>
      <c r="X610" s="13">
        <v>3.8802561640739439</v>
      </c>
      <c r="Y610" s="13">
        <v>0.43804746419870638</v>
      </c>
      <c r="Z610" s="28">
        <v>0.1128913777019281</v>
      </c>
    </row>
    <row r="611" spans="1:26" x14ac:dyDescent="0.2">
      <c r="A611" s="1">
        <v>609</v>
      </c>
      <c r="B611" s="2" t="s">
        <v>154</v>
      </c>
      <c r="C611" s="13" t="str">
        <f>HYPERLINK(AC2 &amp; "/bulb/3dw_d4f957ba-2451-47c6-87f5-a86da35cc0e1/rendering/00.xyz", "0.0")</f>
        <v>0.0</v>
      </c>
      <c r="D611" s="13" t="str">
        <f>HYPERLINK(AC2 &amp; "/bulb/3dw_d4f957ba-2451-47c6-87f5-a86da35cc0e1/rendering/01.xyz", "0.0")</f>
        <v>0.0</v>
      </c>
      <c r="E611" s="13" t="str">
        <f>HYPERLINK(AC2 &amp; "/bulb/3dw_d4f957ba-2451-47c6-87f5-a86da35cc0e1/rendering/02.xyz", "0.0")</f>
        <v>0.0</v>
      </c>
      <c r="F611" s="13" t="str">
        <f>HYPERLINK(AC2 &amp; "/bulb/3dw_d4f957ba-2451-47c6-87f5-a86da35cc0e1/rendering/03.xyz", "0.0")</f>
        <v>0.0</v>
      </c>
      <c r="G611" s="13" t="str">
        <f>HYPERLINK(AC2 &amp; "/bulb/3dw_d4f957ba-2451-47c6-87f5-a86da35cc0e1/rendering/04.xyz", "0.0")</f>
        <v>0.0</v>
      </c>
      <c r="H611" s="13" t="str">
        <f>HYPERLINK(AC2 &amp; "/bulb/3dw_d4f957ba-2451-47c6-87f5-a86da35cc0e1/rendering/05.xyz", "0.0")</f>
        <v>0.0</v>
      </c>
      <c r="I611" s="13" t="str">
        <f>HYPERLINK(AC2 &amp; "/bulb/3dw_d4f957ba-2451-47c6-87f5-a86da35cc0e1/rendering/06.xyz", "0.0")</f>
        <v>0.0</v>
      </c>
      <c r="J611" s="13" t="str">
        <f>HYPERLINK(AC2 &amp; "/bulb/3dw_d4f957ba-2451-47c6-87f5-a86da35cc0e1/rendering/07.xyz", "0.0")</f>
        <v>0.0</v>
      </c>
      <c r="K611" s="13" t="str">
        <f>HYPERLINK(AC2 &amp; "/bulb/3dw_d4f957ba-2451-47c6-87f5-a86da35cc0e1/rendering/08.xyz", "0.0")</f>
        <v>0.0</v>
      </c>
      <c r="L611" s="13" t="str">
        <f>HYPERLINK(AC2 &amp; "/bulb/3dw_d4f957ba-2451-47c6-87f5-a86da35cc0e1/rendering/09.xyz", "0.0")</f>
        <v>0.0</v>
      </c>
      <c r="M611" s="13" t="str">
        <f>HYPERLINK(AC2 &amp; "/bulb/3dw_d4f957ba-2451-47c6-87f5-a86da35cc0e1/rendering/10.xyz", "0.0")</f>
        <v>0.0</v>
      </c>
      <c r="N611" s="13" t="str">
        <f>HYPERLINK(AC2 &amp; "/bulb/3dw_d4f957ba-2451-47c6-87f5-a86da35cc0e1/rendering/11.xyz", "0.0")</f>
        <v>0.0</v>
      </c>
      <c r="O611" s="13" t="str">
        <f>HYPERLINK(AC2 &amp; "/bulb/3dw_d4f957ba-2451-47c6-87f5-a86da35cc0e1/rendering/12.xyz", "0.0")</f>
        <v>0.0</v>
      </c>
      <c r="P611" s="13" t="str">
        <f>HYPERLINK(AC2 &amp; "/bulb/3dw_d4f957ba-2451-47c6-87f5-a86da35cc0e1/rendering/13.xyz", "0.0")</f>
        <v>0.0</v>
      </c>
      <c r="Q611" s="13" t="str">
        <f>HYPERLINK(AC2 &amp; "/bulb/3dw_d4f957ba-2451-47c6-87f5-a86da35cc0e1/rendering/14.xyz", "0.0")</f>
        <v>0.0</v>
      </c>
      <c r="R611" s="13" t="str">
        <f>HYPERLINK(AC2 &amp; "/bulb/3dw_d4f957ba-2451-47c6-87f5-a86da35cc0e1/rendering/15.xyz", "0.0")</f>
        <v>0.0</v>
      </c>
      <c r="S611" s="13" t="str">
        <f>HYPERLINK(AC2 &amp; "/bulb/3dw_d4f957ba-2451-47c6-87f5-a86da35cc0e1/rendering/16.xyz", "0.0")</f>
        <v>0.0</v>
      </c>
      <c r="T611" s="13" t="str">
        <f>HYPERLINK(AC2 &amp; "/bulb/3dw_d4f957ba-2451-47c6-87f5-a86da35cc0e1/rendering/17.xyz", "0.0")</f>
        <v>0.0</v>
      </c>
      <c r="U611" s="13" t="str">
        <f>HYPERLINK(AC2 &amp; "/bulb/3dw_d4f957ba-2451-47c6-87f5-a86da35cc0e1/rendering/18.xyz", "0.0")</f>
        <v>0.0</v>
      </c>
      <c r="V611" s="13" t="str">
        <f>HYPERLINK(AC2 &amp; "/bulb/3dw_d4f957ba-2451-47c6-87f5-a86da35cc0e1/rendering/19.xyz", "0.0")</f>
        <v>0.0</v>
      </c>
      <c r="W611" s="12" t="s">
        <v>33</v>
      </c>
      <c r="X611" s="13">
        <v>0</v>
      </c>
      <c r="Y611" s="13">
        <v>0</v>
      </c>
      <c r="Z611" s="13">
        <v>0</v>
      </c>
    </row>
    <row r="612" spans="1:26" x14ac:dyDescent="0.2">
      <c r="A612" s="1">
        <v>610</v>
      </c>
      <c r="B612" s="2" t="s">
        <v>155</v>
      </c>
      <c r="C612" s="78" t="str">
        <f>HYPERLINK(AA2 &amp; "/bulb/3dw_d8b27d7f-728d-40e6-ac1f-5bafe8d51698/rendering/00.obj", "0.69454864502")</f>
        <v>0.69454864502</v>
      </c>
      <c r="D612" s="23" t="str">
        <f>HYPERLINK(AA2 &amp; "/bulb/3dw_d8b27d7f-728d-40e6-ac1f-5bafe8d51698/rendering/01.obj", "0.710059967041")</f>
        <v>0.710059967041</v>
      </c>
      <c r="E612" s="23" t="str">
        <f>HYPERLINK(AA2 &amp; "/bulb/3dw_d8b27d7f-728d-40e6-ac1f-5bafe8d51698/rendering/02.obj", "0.769690628052")</f>
        <v>0.769690628052</v>
      </c>
      <c r="F612" s="28" t="str">
        <f>HYPERLINK(AA2 &amp; "/bulb/3dw_d8b27d7f-728d-40e6-ac1f-5bafe8d51698/rendering/03.obj", "0.822884521484")</f>
        <v>0.822884521484</v>
      </c>
      <c r="G612" s="6" t="str">
        <f>HYPERLINK(AA2 &amp; "/bulb/3dw_d8b27d7f-728d-40e6-ac1f-5bafe8d51698/rendering/04.obj", "0.707189483643")</f>
        <v>0.707189483643</v>
      </c>
      <c r="H612" s="72" t="str">
        <f>HYPERLINK(AA2 &amp; "/bulb/3dw_d8b27d7f-728d-40e6-ac1f-5bafe8d51698/rendering/05.obj", "0.715956115723")</f>
        <v>0.715956115723</v>
      </c>
      <c r="I612" s="13" t="str">
        <f>HYPERLINK(AA2 &amp; "/bulb/3dw_d8b27d7f-728d-40e6-ac1f-5bafe8d51698/rendering/06.obj", "0.740548553467")</f>
        <v>0.740548553467</v>
      </c>
      <c r="J612" s="17" t="str">
        <f>HYPERLINK(AA2 &amp; "/bulb/3dw_d8b27d7f-728d-40e6-ac1f-5bafe8d51698/rendering/07.obj", "0.755569763184")</f>
        <v>0.755569763184</v>
      </c>
      <c r="K612" s="110" t="str">
        <f>HYPERLINK(AA2 &amp; "/bulb/3dw_d8b27d7f-728d-40e6-ac1f-5bafe8d51698/rendering/08.obj", "0.81445350647")</f>
        <v>0.81445350647</v>
      </c>
      <c r="L612" s="25" t="str">
        <f>HYPERLINK(AA2 &amp; "/bulb/3dw_d8b27d7f-728d-40e6-ac1f-5bafe8d51698/rendering/09.obj", "0.748632202148")</f>
        <v>0.748632202148</v>
      </c>
      <c r="M612" s="47" t="str">
        <f>HYPERLINK(AA2 &amp; "/bulb/3dw_d8b27d7f-728d-40e6-ac1f-5bafe8d51698/rendering/10.obj", "0.74502822876")</f>
        <v>0.74502822876</v>
      </c>
      <c r="N612" s="51" t="str">
        <f>HYPERLINK(AA2 &amp; "/bulb/3dw_d8b27d7f-728d-40e6-ac1f-5bafe8d51698/rendering/11.obj", "0.680776596069")</f>
        <v>0.680776596069</v>
      </c>
      <c r="O612" s="39" t="str">
        <f>HYPERLINK(AA2 &amp; "/bulb/3dw_d8b27d7f-728d-40e6-ac1f-5bafe8d51698/rendering/12.obj", "0.677327270508")</f>
        <v>0.677327270508</v>
      </c>
      <c r="P612" s="73" t="str">
        <f>HYPERLINK(AA2 &amp; "/bulb/3dw_d8b27d7f-728d-40e6-ac1f-5bafe8d51698/rendering/13.obj", "0.767202911377")</f>
        <v>0.767202911377</v>
      </c>
      <c r="Q612" s="28" t="str">
        <f>HYPERLINK(AA2 &amp; "/bulb/3dw_d8b27d7f-728d-40e6-ac1f-5bafe8d51698/rendering/14.obj", "0.658372650146")</f>
        <v>0.658372650146</v>
      </c>
      <c r="R612" s="25" t="str">
        <f>HYPERLINK(AA2 &amp; "/bulb/3dw_d8b27d7f-728d-40e6-ac1f-5bafe8d51698/rendering/15.obj", "0.731930084229")</f>
        <v>0.731930084229</v>
      </c>
      <c r="S612" s="33" t="str">
        <f>HYPERLINK(AA2 &amp; "/bulb/3dw_d8b27d7f-728d-40e6-ac1f-5bafe8d51698/rendering/16.obj", "0.819733123779")</f>
        <v>0.819733123779</v>
      </c>
      <c r="T612" s="10" t="str">
        <f>HYPERLINK(AA2 &amp; "/bulb/3dw_d8b27d7f-728d-40e6-ac1f-5bafe8d51698/rendering/17.obj", "0.780656509399")</f>
        <v>0.780656509399</v>
      </c>
      <c r="U612" s="68" t="str">
        <f>HYPERLINK(AA2 &amp; "/bulb/3dw_d8b27d7f-728d-40e6-ac1f-5bafe8d51698/rendering/18.obj", "0.770375900269")</f>
        <v>0.770375900269</v>
      </c>
      <c r="V612" s="26" t="str">
        <f>HYPERLINK(AA2 &amp; "/bulb/3dw_d8b27d7f-728d-40e6-ac1f-5bafe8d51698/rendering/19.obj", "0.692295837402")</f>
        <v>0.692295837402</v>
      </c>
      <c r="W612" s="12" t="s">
        <v>29</v>
      </c>
      <c r="X612" s="13">
        <v>0.74016162490844728</v>
      </c>
      <c r="Y612" s="13">
        <v>4.7098672751809838E-2</v>
      </c>
      <c r="Z612" s="26">
        <v>6.3632956866192039E-2</v>
      </c>
    </row>
    <row r="613" spans="1:26" x14ac:dyDescent="0.2">
      <c r="A613" s="1">
        <v>611</v>
      </c>
      <c r="B613" s="2" t="s">
        <v>155</v>
      </c>
      <c r="C613" s="27" t="str">
        <f>HYPERLINK(AA2 &amp; "/bulb/3dw_d8b27d7f-728d-40e6-ac1f-5bafe8d51698/rendering/00.obj", "2.12322115898")</f>
        <v>2.12322115898</v>
      </c>
      <c r="D613" s="78" t="str">
        <f>HYPERLINK(AA2 &amp; "/bulb/3dw_d8b27d7f-728d-40e6-ac1f-5bafe8d51698/rendering/01.obj", "2.14411282539")</f>
        <v>2.14411282539</v>
      </c>
      <c r="E613" s="17" t="str">
        <f>HYPERLINK(AA2 &amp; "/bulb/3dw_d8b27d7f-728d-40e6-ac1f-5bafe8d51698/rendering/02.obj", "2.23935723305")</f>
        <v>2.23935723305</v>
      </c>
      <c r="F613" s="39" t="str">
        <f>HYPERLINK(AA2 &amp; "/bulb/3dw_d8b27d7f-728d-40e6-ac1f-5bafe8d51698/rendering/03.obj", "2.47769069672")</f>
        <v>2.47769069672</v>
      </c>
      <c r="G613" s="13" t="str">
        <f>HYPERLINK(AA2 &amp; "/bulb/3dw_d8b27d7f-728d-40e6-ac1f-5bafe8d51698/rendering/04.obj", "2.27927589417")</f>
        <v>2.27927589417</v>
      </c>
      <c r="H613" s="73" t="str">
        <f>HYPERLINK(AA2 &amp; "/bulb/3dw_d8b27d7f-728d-40e6-ac1f-5bafe8d51698/rendering/05.obj", "2.19730472565")</f>
        <v>2.19730472565</v>
      </c>
      <c r="I613" s="6" t="str">
        <f>HYPERLINK(AA2 &amp; "/bulb/3dw_d8b27d7f-728d-40e6-ac1f-5bafe8d51698/rendering/06.obj", "2.39041876793")</f>
        <v>2.39041876793</v>
      </c>
      <c r="J613" s="25" t="str">
        <f>HYPERLINK(AA2 &amp; "/bulb/3dw_d8b27d7f-728d-40e6-ac1f-5bafe8d51698/rendering/07.obj", "2.25974154472")</f>
        <v>2.25974154472</v>
      </c>
      <c r="K613" s="94" t="str">
        <f>HYPERLINK(AA2 &amp; "/bulb/3dw_d8b27d7f-728d-40e6-ac1f-5bafe8d51698/rendering/08.obj", "2.45170974731")</f>
        <v>2.45170974731</v>
      </c>
      <c r="L613" s="30" t="str">
        <f>HYPERLINK(AA2 &amp; "/bulb/3dw_d8b27d7f-728d-40e6-ac1f-5bafe8d51698/rendering/09.obj", "2.29190707207")</f>
        <v>2.29190707207</v>
      </c>
      <c r="M613" s="30" t="str">
        <f>HYPERLINK(AA2 &amp; "/bulb/3dw_d8b27d7f-728d-40e6-ac1f-5bafe8d51698/rendering/10.obj", "2.27070021629")</f>
        <v>2.27070021629</v>
      </c>
      <c r="N613" s="23" t="str">
        <f>HYPERLINK(AA2 &amp; "/bulb/3dw_d8b27d7f-728d-40e6-ac1f-5bafe8d51698/rendering/11.obj", "2.19190359116")</f>
        <v>2.19190359116</v>
      </c>
      <c r="O613" s="94" t="str">
        <f>HYPERLINK(AA2 &amp; "/bulb/3dw_d8b27d7f-728d-40e6-ac1f-5bafe8d51698/rendering/12.obj", "2.11809659004")</f>
        <v>2.11809659004</v>
      </c>
      <c r="P613" s="6" t="str">
        <f>HYPERLINK(AA2 &amp; "/bulb/3dw_d8b27d7f-728d-40e6-ac1f-5bafe8d51698/rendering/13.obj", "2.38778162003")</f>
        <v>2.38778162003</v>
      </c>
      <c r="Q613" s="107" t="str">
        <f>HYPERLINK(AA2 &amp; "/bulb/3dw_d8b27d7f-728d-40e6-ac1f-5bafe8d51698/rendering/14.obj", "2.09647059441")</f>
        <v>2.09647059441</v>
      </c>
      <c r="R613" s="13" t="str">
        <f>HYPERLINK(AA2 &amp; "/bulb/3dw_d8b27d7f-728d-40e6-ac1f-5bafe8d51698/rendering/15.obj", "2.2857503891")</f>
        <v>2.2857503891</v>
      </c>
      <c r="S613" s="28" t="str">
        <f>HYPERLINK(AA2 &amp; "/bulb/3dw_d8b27d7f-728d-40e6-ac1f-5bafe8d51698/rendering/16.obj", "2.53694224358")</f>
        <v>2.53694224358</v>
      </c>
      <c r="T613" s="73" t="str">
        <f>HYPERLINK(AA2 &amp; "/bulb/3dw_d8b27d7f-728d-40e6-ac1f-5bafe8d51698/rendering/17.obj", "2.36625409126")</f>
        <v>2.36625409126</v>
      </c>
      <c r="U613" s="46" t="str">
        <f>HYPERLINK(AA2 &amp; "/bulb/3dw_d8b27d7f-728d-40e6-ac1f-5bafe8d51698/rendering/18.obj", "2.31916761398")</f>
        <v>2.31916761398</v>
      </c>
      <c r="V613" s="17" t="str">
        <f>HYPERLINK(AA2 &amp; "/bulb/3dw_d8b27d7f-728d-40e6-ac1f-5bafe8d51698/rendering/19.obj", "2.23731899261")</f>
        <v>2.23731899261</v>
      </c>
      <c r="W613" s="12" t="s">
        <v>30</v>
      </c>
      <c r="X613" s="13">
        <v>2.283256280422211</v>
      </c>
      <c r="Y613" s="13">
        <v>0.1201753064577688</v>
      </c>
      <c r="Z613" s="60">
        <v>5.2633297229142617E-2</v>
      </c>
    </row>
    <row r="614" spans="1:26" x14ac:dyDescent="0.2">
      <c r="A614" s="1">
        <v>612</v>
      </c>
      <c r="B614" s="2" t="s">
        <v>155</v>
      </c>
      <c r="C614" s="48" t="str">
        <f>HYPERLINK(AB2 &amp; "/bulb/3dw_d8b27d7f-728d-40e6-ac1f-5bafe8d51698/rendering/00.obj", "1.0225088501")</f>
        <v>1.0225088501</v>
      </c>
      <c r="D614" s="46" t="str">
        <f>HYPERLINK(AB2 &amp; "/bulb/3dw_d8b27d7f-728d-40e6-ac1f-5bafe8d51698/rendering/01.obj", "1.02862281799")</f>
        <v>1.02862281799</v>
      </c>
      <c r="E614" s="27" t="str">
        <f>HYPERLINK(AB2 &amp; "/bulb/3dw_d8b27d7f-728d-40e6-ac1f-5bafe8d51698/rendering/02.obj", "1.12088043213")</f>
        <v>1.12088043213</v>
      </c>
      <c r="F614" s="34" t="str">
        <f>HYPERLINK(AB2 &amp; "/bulb/3dw_d8b27d7f-728d-40e6-ac1f-5bafe8d51698/rendering/03.obj", "0.998127593994")</f>
        <v>0.998127593994</v>
      </c>
      <c r="G614" s="73" t="str">
        <f>HYPERLINK(AB2 &amp; "/bulb/3dw_d8b27d7f-728d-40e6-ac1f-5bafe8d51698/rendering/04.obj", "1.08738899231")</f>
        <v>1.08738899231</v>
      </c>
      <c r="H614" s="92" t="str">
        <f>HYPERLINK(AB2 &amp; "/bulb/3dw_d8b27d7f-728d-40e6-ac1f-5bafe8d51698/rendering/05.obj", "1.17647132874")</f>
        <v>1.17647132874</v>
      </c>
      <c r="I614" s="30" t="str">
        <f>HYPERLINK(AB2 &amp; "/bulb/3dw_d8b27d7f-728d-40e6-ac1f-5bafe8d51698/rendering/06.obj", "1.04197387695")</f>
        <v>1.04197387695</v>
      </c>
      <c r="J614" s="10" t="str">
        <f>HYPERLINK(AB2 &amp; "/bulb/3dw_d8b27d7f-728d-40e6-ac1f-5bafe8d51698/rendering/07.obj", "0.989008636475")</f>
        <v>0.989008636475</v>
      </c>
      <c r="K614" s="46" t="str">
        <f>HYPERLINK(AB2 &amp; "/bulb/3dw_d8b27d7f-728d-40e6-ac1f-5bafe8d51698/rendering/08.obj", "1.02993759155")</f>
        <v>1.02993759155</v>
      </c>
      <c r="L614" s="46" t="str">
        <f>HYPERLINK(AB2 &amp; "/bulb/3dw_d8b27d7f-728d-40e6-ac1f-5bafe8d51698/rendering/09.obj", "1.06474891663")</f>
        <v>1.06474891663</v>
      </c>
      <c r="M614" s="46" t="str">
        <f>HYPERLINK(AB2 &amp; "/bulb/3dw_d8b27d7f-728d-40e6-ac1f-5bafe8d51698/rendering/10.obj", "1.0305166626")</f>
        <v>1.0305166626</v>
      </c>
      <c r="N614" s="30" t="str">
        <f>HYPERLINK(AB2 &amp; "/bulb/3dw_d8b27d7f-728d-40e6-ac1f-5bafe8d51698/rendering/11.obj", "1.05332366943")</f>
        <v>1.05332366943</v>
      </c>
      <c r="O614" s="30" t="str">
        <f>HYPERLINK(AB2 &amp; "/bulb/3dw_d8b27d7f-728d-40e6-ac1f-5bafe8d51698/rendering/12.obj", "1.05208435059")</f>
        <v>1.05208435059</v>
      </c>
      <c r="P614" s="25" t="str">
        <f>HYPERLINK(AB2 &amp; "/bulb/3dw_d8b27d7f-728d-40e6-ac1f-5bafe8d51698/rendering/13.obj", "1.03561447144")</f>
        <v>1.03561447144</v>
      </c>
      <c r="Q614" s="46" t="str">
        <f>HYPERLINK(AB2 &amp; "/bulb/3dw_d8b27d7f-728d-40e6-ac1f-5bafe8d51698/rendering/14.obj", "1.03036582947")</f>
        <v>1.03036582947</v>
      </c>
      <c r="R614" s="17" t="str">
        <f>HYPERLINK(AB2 &amp; "/bulb/3dw_d8b27d7f-728d-40e6-ac1f-5bafe8d51698/rendering/15.obj", "1.07089096069")</f>
        <v>1.07089096069</v>
      </c>
      <c r="S614" s="46" t="str">
        <f>HYPERLINK(AB2 &amp; "/bulb/3dw_d8b27d7f-728d-40e6-ac1f-5bafe8d51698/rendering/16.obj", "1.06564498901")</f>
        <v>1.06564498901</v>
      </c>
      <c r="T614" s="47" t="str">
        <f>HYPERLINK(AB2 &amp; "/bulb/3dw_d8b27d7f-728d-40e6-ac1f-5bafe8d51698/rendering/17.obj", "1.05547241211")</f>
        <v>1.05547241211</v>
      </c>
      <c r="U614" s="68" t="str">
        <f>HYPERLINK(AB2 &amp; "/bulb/3dw_d8b27d7f-728d-40e6-ac1f-5bafe8d51698/rendering/18.obj", "1.00509185791")</f>
        <v>1.00509185791</v>
      </c>
      <c r="V614" s="68" t="str">
        <f>HYPERLINK(AB2 &amp; "/bulb/3dw_d8b27d7f-728d-40e6-ac1f-5bafe8d51698/rendering/19.obj", "1.00478027344")</f>
        <v>1.00478027344</v>
      </c>
      <c r="W614" s="12" t="s">
        <v>31</v>
      </c>
      <c r="X614" s="13">
        <v>1.04817272567749</v>
      </c>
      <c r="Y614" s="13">
        <v>4.2672137445690379E-2</v>
      </c>
      <c r="Z614" s="23">
        <v>4.0710978639621719E-2</v>
      </c>
    </row>
    <row r="615" spans="1:26" x14ac:dyDescent="0.2">
      <c r="A615" s="1">
        <v>613</v>
      </c>
      <c r="B615" s="2" t="s">
        <v>155</v>
      </c>
      <c r="C615" s="46" t="str">
        <f>HYPERLINK(AB2 &amp; "/bulb/3dw_d8b27d7f-728d-40e6-ac1f-5bafe8d51698/rendering/00.obj", "2.79916882515")</f>
        <v>2.79916882515</v>
      </c>
      <c r="D615" s="73" t="str">
        <f>HYPERLINK(AB2 &amp; "/bulb/3dw_d8b27d7f-728d-40e6-ac1f-5bafe8d51698/rendering/01.obj", "2.65649604797")</f>
        <v>2.65649604797</v>
      </c>
      <c r="E615" s="39" t="str">
        <f>HYPERLINK(AB2 &amp; "/bulb/3dw_d8b27d7f-728d-40e6-ac1f-5bafe8d51698/rendering/02.obj", "2.99185085297")</f>
        <v>2.99185085297</v>
      </c>
      <c r="F615" s="25" t="str">
        <f>HYPERLINK(AB2 &amp; "/bulb/3dw_d8b27d7f-728d-40e6-ac1f-5bafe8d51698/rendering/03.obj", "2.7219684124")</f>
        <v>2.7219684124</v>
      </c>
      <c r="G615" s="35" t="str">
        <f>HYPERLINK(AB2 &amp; "/bulb/3dw_d8b27d7f-728d-40e6-ac1f-5bafe8d51698/rendering/04.obj", "2.90985321999")</f>
        <v>2.90985321999</v>
      </c>
      <c r="H615" s="110" t="str">
        <f>HYPERLINK(AB2 &amp; "/bulb/3dw_d8b27d7f-728d-40e6-ac1f-5bafe8d51698/rendering/05.obj", "3.02873158455")</f>
        <v>3.02873158455</v>
      </c>
      <c r="I615" s="23" t="str">
        <f>HYPERLINK(AB2 &amp; "/bulb/3dw_d8b27d7f-728d-40e6-ac1f-5bafe8d51698/rendering/06.obj", "2.64360427856")</f>
        <v>2.64360427856</v>
      </c>
      <c r="J615" s="35" t="str">
        <f>HYPERLINK(AB2 &amp; "/bulb/3dw_d8b27d7f-728d-40e6-ac1f-5bafe8d51698/rendering/07.obj", "2.59622359276")</f>
        <v>2.59622359276</v>
      </c>
      <c r="K615" s="48" t="str">
        <f>HYPERLINK(AB2 &amp; "/bulb/3dw_d8b27d7f-728d-40e6-ac1f-5bafe8d51698/rendering/08.obj", "2.82046937943")</f>
        <v>2.82046937943</v>
      </c>
      <c r="L615" s="47" t="str">
        <f>HYPERLINK(AB2 &amp; "/bulb/3dw_d8b27d7f-728d-40e6-ac1f-5bafe8d51698/rendering/09.obj", "2.77570462227")</f>
        <v>2.77570462227</v>
      </c>
      <c r="M615" s="30" t="str">
        <f>HYPERLINK(AB2 &amp; "/bulb/3dw_d8b27d7f-728d-40e6-ac1f-5bafe8d51698/rendering/10.obj", "2.77002382278")</f>
        <v>2.77002382278</v>
      </c>
      <c r="N615" s="13" t="str">
        <f>HYPERLINK(AB2 &amp; "/bulb/3dw_d8b27d7f-728d-40e6-ac1f-5bafe8d51698/rendering/11.obj", "2.74783563614")</f>
        <v>2.74783563614</v>
      </c>
      <c r="O615" s="30" t="str">
        <f>HYPERLINK(AB2 &amp; "/bulb/3dw_d8b27d7f-728d-40e6-ac1f-5bafe8d51698/rendering/12.obj", "2.76456856728")</f>
        <v>2.76456856728</v>
      </c>
      <c r="P615" s="34" t="str">
        <f>HYPERLINK(AB2 &amp; "/bulb/3dw_d8b27d7f-728d-40e6-ac1f-5bafe8d51698/rendering/13.obj", "2.61735463142")</f>
        <v>2.61735463142</v>
      </c>
      <c r="Q615" s="30" t="str">
        <f>HYPERLINK(AB2 &amp; "/bulb/3dw_d8b27d7f-728d-40e6-ac1f-5bafe8d51698/rendering/14.obj", "2.74184727669")</f>
        <v>2.74184727669</v>
      </c>
      <c r="R615" s="30" t="str">
        <f>HYPERLINK(AB2 &amp; "/bulb/3dw_d8b27d7f-728d-40e6-ac1f-5bafe8d51698/rendering/15.obj", "2.73946261406")</f>
        <v>2.73946261406</v>
      </c>
      <c r="S615" s="30" t="str">
        <f>HYPERLINK(AB2 &amp; "/bulb/3dw_d8b27d7f-728d-40e6-ac1f-5bafe8d51698/rendering/16.obj", "2.73886084557")</f>
        <v>2.73886084557</v>
      </c>
      <c r="T615" s="25" t="str">
        <f>HYPERLINK(AB2 &amp; "/bulb/3dw_d8b27d7f-728d-40e6-ac1f-5bafe8d51698/rendering/17.obj", "2.72535538673")</f>
        <v>2.72535538673</v>
      </c>
      <c r="U615" s="23" t="str">
        <f>HYPERLINK(AB2 &amp; "/bulb/3dw_d8b27d7f-728d-40e6-ac1f-5bafe8d51698/rendering/18.obj", "2.6411447525")</f>
        <v>2.6411447525</v>
      </c>
      <c r="V615" s="6" t="str">
        <f>HYPERLINK(AB2 &amp; "/bulb/3dw_d8b27d7f-728d-40e6-ac1f-5bafe8d51698/rendering/19.obj", "2.62819886208")</f>
        <v>2.62819886208</v>
      </c>
      <c r="W615" s="12" t="s">
        <v>32</v>
      </c>
      <c r="X615" s="13">
        <v>2.7529361605644231</v>
      </c>
      <c r="Y615" s="13">
        <v>0.1139979357111823</v>
      </c>
      <c r="Z615" s="68">
        <v>4.1409582010724789E-2</v>
      </c>
    </row>
    <row r="616" spans="1:26" x14ac:dyDescent="0.2">
      <c r="A616" s="1">
        <v>614</v>
      </c>
      <c r="B616" s="2" t="s">
        <v>155</v>
      </c>
      <c r="C616" s="13" t="str">
        <f>HYPERLINK(AC2 &amp; "/bulb/3dw_d8b27d7f-728d-40e6-ac1f-5bafe8d51698/rendering/00.xyz", "0.0")</f>
        <v>0.0</v>
      </c>
      <c r="D616" s="13" t="str">
        <f>HYPERLINK(AC2 &amp; "/bulb/3dw_d8b27d7f-728d-40e6-ac1f-5bafe8d51698/rendering/01.xyz", "0.0")</f>
        <v>0.0</v>
      </c>
      <c r="E616" s="13" t="str">
        <f>HYPERLINK(AC2 &amp; "/bulb/3dw_d8b27d7f-728d-40e6-ac1f-5bafe8d51698/rendering/02.xyz", "0.0")</f>
        <v>0.0</v>
      </c>
      <c r="F616" s="13" t="str">
        <f>HYPERLINK(AC2 &amp; "/bulb/3dw_d8b27d7f-728d-40e6-ac1f-5bafe8d51698/rendering/03.xyz", "0.0")</f>
        <v>0.0</v>
      </c>
      <c r="G616" s="13" t="str">
        <f>HYPERLINK(AC2 &amp; "/bulb/3dw_d8b27d7f-728d-40e6-ac1f-5bafe8d51698/rendering/04.xyz", "0.0")</f>
        <v>0.0</v>
      </c>
      <c r="H616" s="13" t="str">
        <f>HYPERLINK(AC2 &amp; "/bulb/3dw_d8b27d7f-728d-40e6-ac1f-5bafe8d51698/rendering/05.xyz", "0.0")</f>
        <v>0.0</v>
      </c>
      <c r="I616" s="13" t="str">
        <f>HYPERLINK(AC2 &amp; "/bulb/3dw_d8b27d7f-728d-40e6-ac1f-5bafe8d51698/rendering/06.xyz", "0.0")</f>
        <v>0.0</v>
      </c>
      <c r="J616" s="13" t="str">
        <f>HYPERLINK(AC2 &amp; "/bulb/3dw_d8b27d7f-728d-40e6-ac1f-5bafe8d51698/rendering/07.xyz", "0.0")</f>
        <v>0.0</v>
      </c>
      <c r="K616" s="13" t="str">
        <f>HYPERLINK(AC2 &amp; "/bulb/3dw_d8b27d7f-728d-40e6-ac1f-5bafe8d51698/rendering/08.xyz", "0.0")</f>
        <v>0.0</v>
      </c>
      <c r="L616" s="13" t="str">
        <f>HYPERLINK(AC2 &amp; "/bulb/3dw_d8b27d7f-728d-40e6-ac1f-5bafe8d51698/rendering/09.xyz", "0.0")</f>
        <v>0.0</v>
      </c>
      <c r="M616" s="13" t="str">
        <f>HYPERLINK(AC2 &amp; "/bulb/3dw_d8b27d7f-728d-40e6-ac1f-5bafe8d51698/rendering/10.xyz", "0.0")</f>
        <v>0.0</v>
      </c>
      <c r="N616" s="13" t="str">
        <f>HYPERLINK(AC2 &amp; "/bulb/3dw_d8b27d7f-728d-40e6-ac1f-5bafe8d51698/rendering/11.xyz", "0.0")</f>
        <v>0.0</v>
      </c>
      <c r="O616" s="13" t="str">
        <f>HYPERLINK(AC2 &amp; "/bulb/3dw_d8b27d7f-728d-40e6-ac1f-5bafe8d51698/rendering/12.xyz", "0.0")</f>
        <v>0.0</v>
      </c>
      <c r="P616" s="13" t="str">
        <f>HYPERLINK(AC2 &amp; "/bulb/3dw_d8b27d7f-728d-40e6-ac1f-5bafe8d51698/rendering/13.xyz", "0.0")</f>
        <v>0.0</v>
      </c>
      <c r="Q616" s="13" t="str">
        <f>HYPERLINK(AC2 &amp; "/bulb/3dw_d8b27d7f-728d-40e6-ac1f-5bafe8d51698/rendering/14.xyz", "0.0")</f>
        <v>0.0</v>
      </c>
      <c r="R616" s="13" t="str">
        <f>HYPERLINK(AC2 &amp; "/bulb/3dw_d8b27d7f-728d-40e6-ac1f-5bafe8d51698/rendering/15.xyz", "0.0")</f>
        <v>0.0</v>
      </c>
      <c r="S616" s="13" t="str">
        <f>HYPERLINK(AC2 &amp; "/bulb/3dw_d8b27d7f-728d-40e6-ac1f-5bafe8d51698/rendering/16.xyz", "0.0")</f>
        <v>0.0</v>
      </c>
      <c r="T616" s="13" t="str">
        <f>HYPERLINK(AC2 &amp; "/bulb/3dw_d8b27d7f-728d-40e6-ac1f-5bafe8d51698/rendering/17.xyz", "0.0")</f>
        <v>0.0</v>
      </c>
      <c r="U616" s="13" t="str">
        <f>HYPERLINK(AC2 &amp; "/bulb/3dw_d8b27d7f-728d-40e6-ac1f-5bafe8d51698/rendering/18.xyz", "0.0")</f>
        <v>0.0</v>
      </c>
      <c r="V616" s="13" t="str">
        <f>HYPERLINK(AC2 &amp; "/bulb/3dw_d8b27d7f-728d-40e6-ac1f-5bafe8d51698/rendering/19.xyz", "0.0")</f>
        <v>0.0</v>
      </c>
      <c r="W616" s="12" t="s">
        <v>33</v>
      </c>
      <c r="X616" s="13">
        <v>0</v>
      </c>
      <c r="Y616" s="13">
        <v>0</v>
      </c>
      <c r="Z616" s="13">
        <v>0</v>
      </c>
    </row>
    <row r="617" spans="1:26" x14ac:dyDescent="0.2">
      <c r="A617" s="1">
        <v>615</v>
      </c>
      <c r="B617" s="2" t="s">
        <v>156</v>
      </c>
      <c r="C617" s="46" t="str">
        <f>HYPERLINK(AA2 &amp; "/bulb/3dw_da9c188b-0f22-4e1d-9df8-fae43983c8e6/rendering/00.obj", "0.97137878418")</f>
        <v>0.97137878418</v>
      </c>
      <c r="D617" s="63" t="str">
        <f>HYPERLINK(AA2 &amp; "/bulb/3dw_da9c188b-0f22-4e1d-9df8-fae43983c8e6/rendering/01.obj", "0.868166046143")</f>
        <v>0.868166046143</v>
      </c>
      <c r="E617" s="41" t="str">
        <f>HYPERLINK(AA2 &amp; "/bulb/3dw_da9c188b-0f22-4e1d-9df8-fae43983c8e6/rendering/02.obj", "0.920799179077")</f>
        <v>0.920799179077</v>
      </c>
      <c r="F617" s="107" t="str">
        <f>HYPERLINK(AA2 &amp; "/bulb/3dw_da9c188b-0f22-4e1d-9df8-fae43983c8e6/rendering/03.obj", "0.907931060791")</f>
        <v>0.907931060791</v>
      </c>
      <c r="G617" s="91" t="str">
        <f>HYPERLINK(AA2 &amp; "/bulb/3dw_da9c188b-0f22-4e1d-9df8-fae43983c8e6/rendering/04.obj", "0.963453826904")</f>
        <v>0.963453826904</v>
      </c>
      <c r="H617" s="10" t="str">
        <f>HYPERLINK(AA2 &amp; "/bulb/3dw_da9c188b-0f22-4e1d-9df8-fae43983c8e6/rendering/05.obj", "0.933581161499")</f>
        <v>0.933581161499</v>
      </c>
      <c r="I617" s="25" t="str">
        <f>HYPERLINK(AA2 &amp; "/bulb/3dw_da9c188b-0f22-4e1d-9df8-fae43983c8e6/rendering/06.obj", "0.977797698975")</f>
        <v>0.977797698975</v>
      </c>
      <c r="J617" s="78" t="str">
        <f>HYPERLINK(AA2 &amp; "/bulb/3dw_da9c188b-0f22-4e1d-9df8-fae43983c8e6/rendering/07.obj", "0.926712188721")</f>
        <v>0.926712188721</v>
      </c>
      <c r="K617" s="6" t="str">
        <f>HYPERLINK(AA2 &amp; "/bulb/3dw_da9c188b-0f22-4e1d-9df8-fae43983c8e6/rendering/08.obj", "0.943804168701")</f>
        <v>0.943804168701</v>
      </c>
      <c r="L617" s="92" t="str">
        <f>HYPERLINK(AA2 &amp; "/bulb/3dw_da9c188b-0f22-4e1d-9df8-fae43983c8e6/rendering/09.obj", "1.11038658142")</f>
        <v>1.11038658142</v>
      </c>
      <c r="M617" s="133" t="str">
        <f>HYPERLINK(AA2 &amp; "/bulb/3dw_da9c188b-0f22-4e1d-9df8-fae43983c8e6/rendering/10.obj", "1.0878578186")</f>
        <v>1.0878578186</v>
      </c>
      <c r="N617" s="94" t="str">
        <f>HYPERLINK(AA2 &amp; "/bulb/3dw_da9c188b-0f22-4e1d-9df8-fae43983c8e6/rendering/11.obj", "0.915616378784")</f>
        <v>0.915616378784</v>
      </c>
      <c r="O617" s="46" t="str">
        <f>HYPERLINK(AA2 &amp; "/bulb/3dw_da9c188b-0f22-4e1d-9df8-fae43983c8e6/rendering/12.obj", "0.970655212402")</f>
        <v>0.970655212402</v>
      </c>
      <c r="P617" s="72" t="str">
        <f>HYPERLINK(AA2 &amp; "/bulb/3dw_da9c188b-0f22-4e1d-9df8-fae43983c8e6/rendering/13.obj", "0.957117004395")</f>
        <v>0.957117004395</v>
      </c>
      <c r="Q617" s="34" t="str">
        <f>HYPERLINK(AA2 &amp; "/bulb/3dw_da9c188b-0f22-4e1d-9df8-fae43983c8e6/rendering/14.obj", "1.03753417969")</f>
        <v>1.03753417969</v>
      </c>
      <c r="R617" s="6" t="str">
        <f>HYPERLINK(AA2 &amp; "/bulb/3dw_da9c188b-0f22-4e1d-9df8-fae43983c8e6/rendering/15.obj", "1.03292098999")</f>
        <v>1.03292098999</v>
      </c>
      <c r="S617" s="68" t="str">
        <f>HYPERLINK(AA2 &amp; "/bulb/3dw_da9c188b-0f22-4e1d-9df8-fae43983c8e6/rendering/16.obj", "1.03054954529")</f>
        <v>1.03054954529</v>
      </c>
      <c r="T617" s="25" t="str">
        <f>HYPERLINK(AA2 &amp; "/bulb/3dw_da9c188b-0f22-4e1d-9df8-fae43983c8e6/rendering/17.obj", "0.976535873413")</f>
        <v>0.976535873413</v>
      </c>
      <c r="U617" s="33" t="str">
        <f>HYPERLINK(AA2 &amp; "/bulb/3dw_da9c188b-0f22-4e1d-9df8-fae43983c8e6/rendering/18.obj", "1.09584350586")</f>
        <v>1.09584350586</v>
      </c>
      <c r="V617" s="31" t="str">
        <f>HYPERLINK(AA2 &amp; "/bulb/3dw_da9c188b-0f22-4e1d-9df8-fae43983c8e6/rendering/19.obj", "1.14328979492")</f>
        <v>1.14328979492</v>
      </c>
      <c r="W617" s="12" t="s">
        <v>29</v>
      </c>
      <c r="X617" s="13">
        <v>0.98859654998779301</v>
      </c>
      <c r="Y617" s="13">
        <v>7.36669530726283E-2</v>
      </c>
      <c r="Z617" s="94">
        <v>7.4516700542337444E-2</v>
      </c>
    </row>
    <row r="618" spans="1:26" x14ac:dyDescent="0.2">
      <c r="A618" s="1">
        <v>616</v>
      </c>
      <c r="B618" s="2" t="s">
        <v>156</v>
      </c>
      <c r="C618" s="39" t="str">
        <f>HYPERLINK(AA2 &amp; "/bulb/3dw_da9c188b-0f22-4e1d-9df8-fae43983c8e6/rendering/00.obj", "2.56101131439")</f>
        <v>2.56101131439</v>
      </c>
      <c r="D618" s="117" t="str">
        <f>HYPERLINK(AA2 &amp; "/bulb/3dw_da9c188b-0f22-4e1d-9df8-fae43983c8e6/rendering/01.obj", "2.30442929268")</f>
        <v>2.30442929268</v>
      </c>
      <c r="E618" s="28" t="str">
        <f>HYPERLINK(AA2 &amp; "/bulb/3dw_da9c188b-0f22-4e1d-9df8-fae43983c8e6/rendering/02.obj", "2.48991918564")</f>
        <v>2.48991918564</v>
      </c>
      <c r="F618" s="70" t="str">
        <f>HYPERLINK(AA2 &amp; "/bulb/3dw_da9c188b-0f22-4e1d-9df8-fae43983c8e6/rendering/03.obj", "2.44298839569")</f>
        <v>2.44298839569</v>
      </c>
      <c r="G618" s="73" t="str">
        <f>HYPERLINK(AA2 &amp; "/bulb/3dw_da9c188b-0f22-4e1d-9df8-fae43983c8e6/rendering/04.obj", "2.69972419739")</f>
        <v>2.69972419739</v>
      </c>
      <c r="H618" s="78" t="str">
        <f>HYPERLINK(AA2 &amp; "/bulb/3dw_da9c188b-0f22-4e1d-9df8-fae43983c8e6/rendering/05.obj", "2.63325786591")</f>
        <v>2.63325786591</v>
      </c>
      <c r="I618" s="72" t="str">
        <f>HYPERLINK(AA2 &amp; "/bulb/3dw_da9c188b-0f22-4e1d-9df8-fae43983c8e6/rendering/06.obj", "2.71424460411")</f>
        <v>2.71424460411</v>
      </c>
      <c r="J618" s="70" t="str">
        <f>HYPERLINK(AA2 &amp; "/bulb/3dw_da9c188b-0f22-4e1d-9df8-fae43983c8e6/rendering/07.obj", "2.44573497772")</f>
        <v>2.44573497772</v>
      </c>
      <c r="K618" s="90" t="str">
        <f>HYPERLINK(AA2 &amp; "/bulb/3dw_da9c188b-0f22-4e1d-9df8-fae43983c8e6/rendering/08.obj", "2.53102302551")</f>
        <v>2.53102302551</v>
      </c>
      <c r="L618" s="166" t="str">
        <f>HYPERLINK(AA2 &amp; "/bulb/3dw_da9c188b-0f22-4e1d-9df8-fae43983c8e6/rendering/09.obj", "3.60609221458")</f>
        <v>3.60609221458</v>
      </c>
      <c r="M618" s="135" t="str">
        <f>HYPERLINK(AA2 &amp; "/bulb/3dw_da9c188b-0f22-4e1d-9df8-fae43983c8e6/rendering/10.obj", "3.51596641541")</f>
        <v>3.51596641541</v>
      </c>
      <c r="N618" s="64" t="str">
        <f>HYPERLINK(AA2 &amp; "/bulb/3dw_da9c188b-0f22-4e1d-9df8-fae43983c8e6/rendering/11.obj", "2.33967971802")</f>
        <v>2.33967971802</v>
      </c>
      <c r="O618" s="38" t="str">
        <f>HYPERLINK(AA2 &amp; "/bulb/3dw_da9c188b-0f22-4e1d-9df8-fae43983c8e6/rendering/12.obj", "2.55532503128")</f>
        <v>2.55532503128</v>
      </c>
      <c r="P618" s="17" t="str">
        <f>HYPERLINK(AA2 &amp; "/bulb/3dw_da9c188b-0f22-4e1d-9df8-fae43983c8e6/rendering/13.obj", "2.74337983131")</f>
        <v>2.74337983131</v>
      </c>
      <c r="Q618" s="107" t="str">
        <f>HYPERLINK(AA2 &amp; "/bulb/3dw_da9c188b-0f22-4e1d-9df8-fae43983c8e6/rendering/14.obj", "3.03534412384")</f>
        <v>3.03534412384</v>
      </c>
      <c r="R618" s="5" t="str">
        <f>HYPERLINK(AA2 &amp; "/bulb/3dw_da9c188b-0f22-4e1d-9df8-fae43983c8e6/rendering/15.obj", "3.01786923409")</f>
        <v>3.01786923409</v>
      </c>
      <c r="S618" s="5" t="str">
        <f>HYPERLINK(AA2 &amp; "/bulb/3dw_da9c188b-0f22-4e1d-9df8-fae43983c8e6/rendering/16.obj", "3.01464915276")</f>
        <v>3.01464915276</v>
      </c>
      <c r="T618" s="13" t="str">
        <f>HYPERLINK(AA2 &amp; "/bulb/3dw_da9c188b-0f22-4e1d-9df8-fae43983c8e6/rendering/17.obj", "2.80439639091")</f>
        <v>2.80439639091</v>
      </c>
      <c r="U618" s="70" t="str">
        <f>HYPERLINK(AA2 &amp; "/bulb/3dw_da9c188b-0f22-4e1d-9df8-fae43983c8e6/rendering/18.obj", "3.16318392754")</f>
        <v>3.16318392754</v>
      </c>
      <c r="V618" s="87" t="str">
        <f>HYPERLINK(AA2 &amp; "/bulb/3dw_da9c188b-0f22-4e1d-9df8-fae43983c8e6/rendering/19.obj", "3.43951201439")</f>
        <v>3.43951201439</v>
      </c>
      <c r="W618" s="12" t="s">
        <v>30</v>
      </c>
      <c r="X618" s="13">
        <v>2.802886545658112</v>
      </c>
      <c r="Y618" s="13">
        <v>0.38055195409800952</v>
      </c>
      <c r="Z618" s="42">
        <v>0.1357714441519276</v>
      </c>
    </row>
    <row r="619" spans="1:26" x14ac:dyDescent="0.2">
      <c r="A619" s="1">
        <v>617</v>
      </c>
      <c r="B619" s="2" t="s">
        <v>156</v>
      </c>
      <c r="C619" s="72" t="str">
        <f>HYPERLINK(AB2 &amp; "/bulb/3dw_da9c188b-0f22-4e1d-9df8-fae43983c8e6/rendering/00.obj", "0.904418334961")</f>
        <v>0.904418334961</v>
      </c>
      <c r="D619" s="23" t="str">
        <f>HYPERLINK(AB2 &amp; "/bulb/3dw_da9c188b-0f22-4e1d-9df8-fae43983c8e6/rendering/01.obj", "0.842719421387")</f>
        <v>0.842719421387</v>
      </c>
      <c r="E619" s="74" t="str">
        <f>HYPERLINK(AB2 &amp; "/bulb/3dw_da9c188b-0f22-4e1d-9df8-fae43983c8e6/rendering/02.obj", "0.862946777344")</f>
        <v>0.862946777344</v>
      </c>
      <c r="F619" s="35" t="str">
        <f>HYPERLINK(AB2 &amp; "/bulb/3dw_da9c188b-0f22-4e1d-9df8-fae43983c8e6/rendering/03.obj", "0.825157318115")</f>
        <v>0.825157318115</v>
      </c>
      <c r="G619" s="91" t="str">
        <f>HYPERLINK(AB2 &amp; "/bulb/3dw_da9c188b-0f22-4e1d-9df8-fae43983c8e6/rendering/04.obj", "0.900246582031")</f>
        <v>0.900246582031</v>
      </c>
      <c r="H619" s="10" t="str">
        <f>HYPERLINK(AB2 &amp; "/bulb/3dw_da9c188b-0f22-4e1d-9df8-fae43983c8e6/rendering/05.obj", "0.827786865234")</f>
        <v>0.827786865234</v>
      </c>
      <c r="I619" s="94" t="str">
        <f>HYPERLINK(AB2 &amp; "/bulb/3dw_da9c188b-0f22-4e1d-9df8-fae43983c8e6/rendering/06.obj", "0.940938568115")</f>
        <v>0.940938568115</v>
      </c>
      <c r="J619" s="48" t="str">
        <f>HYPERLINK(AB2 &amp; "/bulb/3dw_da9c188b-0f22-4e1d-9df8-fae43983c8e6/rendering/07.obj", "0.896021118164")</f>
        <v>0.896021118164</v>
      </c>
      <c r="K619" s="60" t="str">
        <f>HYPERLINK(AB2 &amp; "/bulb/3dw_da9c188b-0f22-4e1d-9df8-fae43983c8e6/rendering/08.obj", "0.923171920776")</f>
        <v>0.923171920776</v>
      </c>
      <c r="L619" s="73" t="str">
        <f>HYPERLINK(AB2 &amp; "/bulb/3dw_da9c188b-0f22-4e1d-9df8-fae43983c8e6/rendering/09.obj", "0.907994842529")</f>
        <v>0.907994842529</v>
      </c>
      <c r="M619" s="47" t="str">
        <f>HYPERLINK(AB2 &amp; "/bulb/3dw_da9c188b-0f22-4e1d-9df8-fae43983c8e6/rendering/10.obj", "0.882500457764")</f>
        <v>0.882500457764</v>
      </c>
      <c r="N619" s="60" t="str">
        <f>HYPERLINK(AB2 &amp; "/bulb/3dw_da9c188b-0f22-4e1d-9df8-fae43983c8e6/rendering/11.obj", "0.831005706787")</f>
        <v>0.831005706787</v>
      </c>
      <c r="O619" s="68" t="str">
        <f>HYPERLINK(AB2 &amp; "/bulb/3dw_da9c188b-0f22-4e1d-9df8-fae43983c8e6/rendering/12.obj", "0.839331665039")</f>
        <v>0.839331665039</v>
      </c>
      <c r="P619" s="17" t="str">
        <f>HYPERLINK(AB2 &amp; "/bulb/3dw_da9c188b-0f22-4e1d-9df8-fae43983c8e6/rendering/13.obj", "0.894958572388")</f>
        <v>0.894958572388</v>
      </c>
      <c r="Q619" s="30" t="str">
        <f>HYPERLINK(AB2 &amp; "/bulb/3dw_da9c188b-0f22-4e1d-9df8-fae43983c8e6/rendering/14.obj", "0.87138381958")</f>
        <v>0.87138381958</v>
      </c>
      <c r="R619" s="72" t="str">
        <f>HYPERLINK(AB2 &amp; "/bulb/3dw_da9c188b-0f22-4e1d-9df8-fae43983c8e6/rendering/15.obj", "0.846905212402")</f>
        <v>0.846905212402</v>
      </c>
      <c r="S619" s="13" t="str">
        <f>HYPERLINK(AB2 &amp; "/bulb/3dw_da9c188b-0f22-4e1d-9df8-fae43983c8e6/rendering/16.obj", "0.873942108154")</f>
        <v>0.873942108154</v>
      </c>
      <c r="T619" s="74" t="str">
        <f>HYPERLINK(AB2 &amp; "/bulb/3dw_da9c188b-0f22-4e1d-9df8-fae43983c8e6/rendering/17.obj", "0.888110733032")</f>
        <v>0.888110733032</v>
      </c>
      <c r="U619" s="60" t="str">
        <f>HYPERLINK(AB2 &amp; "/bulb/3dw_da9c188b-0f22-4e1d-9df8-fae43983c8e6/rendering/18.obj", "0.830593185425")</f>
        <v>0.830593185425</v>
      </c>
      <c r="V619" s="5" t="str">
        <f>HYPERLINK(AB2 &amp; "/bulb/3dw_da9c188b-0f22-4e1d-9df8-fae43983c8e6/rendering/19.obj", "0.943162307739")</f>
        <v>0.943162307739</v>
      </c>
      <c r="W619" s="12" t="s">
        <v>31</v>
      </c>
      <c r="X619" s="13">
        <v>0.87666477584838876</v>
      </c>
      <c r="Y619" s="13">
        <v>3.660796539192139E-2</v>
      </c>
      <c r="Z619" s="68">
        <v>4.175822549331263E-2</v>
      </c>
    </row>
    <row r="620" spans="1:26" x14ac:dyDescent="0.2">
      <c r="A620" s="1">
        <v>618</v>
      </c>
      <c r="B620" s="2" t="s">
        <v>156</v>
      </c>
      <c r="C620" s="78" t="str">
        <f>HYPERLINK(AB2 &amp; "/bulb/3dw_da9c188b-0f22-4e1d-9df8-fae43983c8e6/rendering/00.obj", "2.6885073185")</f>
        <v>2.6885073185</v>
      </c>
      <c r="D620" s="94" t="str">
        <f>HYPERLINK(AB2 &amp; "/bulb/3dw_da9c188b-0f22-4e1d-9df8-fae43983c8e6/rendering/01.obj", "2.35068869591")</f>
        <v>2.35068869591</v>
      </c>
      <c r="E620" s="48" t="str">
        <f>HYPERLINK(AB2 &amp; "/bulb/3dw_da9c188b-0f22-4e1d-9df8-fae43983c8e6/rendering/02.obj", "2.47110247612")</f>
        <v>2.47110247612</v>
      </c>
      <c r="F620" s="23" t="str">
        <f>HYPERLINK(AB2 &amp; "/bulb/3dw_da9c188b-0f22-4e1d-9df8-fae43983c8e6/rendering/03.obj", "2.43571734428")</f>
        <v>2.43571734428</v>
      </c>
      <c r="G620" s="72" t="str">
        <f>HYPERLINK(AB2 &amp; "/bulb/3dw_da9c188b-0f22-4e1d-9df8-fae43983c8e6/rendering/04.obj", "2.61701703072")</f>
        <v>2.61701703072</v>
      </c>
      <c r="H620" s="5" t="str">
        <f>HYPERLINK(AB2 &amp; "/bulb/3dw_da9c188b-0f22-4e1d-9df8-fae43983c8e6/rendering/05.obj", "2.34073829651")</f>
        <v>2.34073829651</v>
      </c>
      <c r="I620" s="90" t="str">
        <f>HYPERLINK(AB2 &amp; "/bulb/3dw_da9c188b-0f22-4e1d-9df8-fae43983c8e6/rendering/06.obj", "2.77368187904")</f>
        <v>2.77368187904</v>
      </c>
      <c r="J620" s="35" t="str">
        <f>HYPERLINK(AB2 &amp; "/bulb/3dw_da9c188b-0f22-4e1d-9df8-fae43983c8e6/rendering/07.obj", "2.68469953537")</f>
        <v>2.68469953537</v>
      </c>
      <c r="K620" s="26" t="str">
        <f>HYPERLINK(AB2 &amp; "/bulb/3dw_da9c188b-0f22-4e1d-9df8-fae43983c8e6/rendering/08.obj", "2.69961929321")</f>
        <v>2.69961929321</v>
      </c>
      <c r="L620" s="23" t="str">
        <f>HYPERLINK(AB2 &amp; "/bulb/3dw_da9c188b-0f22-4e1d-9df8-fae43983c8e6/rendering/09.obj", "2.63384985924")</f>
        <v>2.63384985924</v>
      </c>
      <c r="M620" s="5" t="str">
        <f>HYPERLINK(AB2 &amp; "/bulb/3dw_da9c188b-0f22-4e1d-9df8-fae43983c8e6/rendering/10.obj", "2.33622384071")</f>
        <v>2.33622384071</v>
      </c>
      <c r="N620" s="17" t="str">
        <f>HYPERLINK(AB2 &amp; "/bulb/3dw_da9c188b-0f22-4e1d-9df8-fae43983c8e6/rendering/11.obj", "2.48372983932")</f>
        <v>2.48372983932</v>
      </c>
      <c r="O620" s="10" t="str">
        <f>HYPERLINK(AB2 &amp; "/bulb/3dw_da9c188b-0f22-4e1d-9df8-fae43983c8e6/rendering/12.obj", "2.39158511162")</f>
        <v>2.39158511162</v>
      </c>
      <c r="P620" s="46" t="str">
        <f>HYPERLINK(AB2 &amp; "/bulb/3dw_da9c188b-0f22-4e1d-9df8-fae43983c8e6/rendering/13.obj", "2.5815281868")</f>
        <v>2.5815281868</v>
      </c>
      <c r="Q620" s="46" t="str">
        <f>HYPERLINK(AB2 &amp; "/bulb/3dw_da9c188b-0f22-4e1d-9df8-fae43983c8e6/rendering/14.obj", "2.49272227287")</f>
        <v>2.49272227287</v>
      </c>
      <c r="R620" s="72" t="str">
        <f>HYPERLINK(AB2 &amp; "/bulb/3dw_da9c188b-0f22-4e1d-9df8-fae43983c8e6/rendering/15.obj", "2.45135593414")</f>
        <v>2.45135593414</v>
      </c>
      <c r="S620" s="73" t="str">
        <f>HYPERLINK(AB2 &amp; "/bulb/3dw_da9c188b-0f22-4e1d-9df8-fae43983c8e6/rendering/16.obj", "2.44405889511")</f>
        <v>2.44405889511</v>
      </c>
      <c r="T620" s="78" t="str">
        <f>HYPERLINK(AB2 &amp; "/bulb/3dw_da9c188b-0f22-4e1d-9df8-fae43983c8e6/rendering/17.obj", "2.68626832962")</f>
        <v>2.68626832962</v>
      </c>
      <c r="U620" s="41" t="str">
        <f>HYPERLINK(AB2 &amp; "/bulb/3dw_da9c188b-0f22-4e1d-9df8-fae43983c8e6/rendering/18.obj", "2.36412501335")</f>
        <v>2.36412501335</v>
      </c>
      <c r="V620" s="39" t="str">
        <f>HYPERLINK(AB2 &amp; "/bulb/3dw_da9c188b-0f22-4e1d-9df8-fae43983c8e6/rendering/19.obj", "2.75352430344")</f>
        <v>2.75352430344</v>
      </c>
      <c r="W620" s="12" t="s">
        <v>32</v>
      </c>
      <c r="X620" s="13">
        <v>2.534037172794342</v>
      </c>
      <c r="Y620" s="13">
        <v>0.143863008657062</v>
      </c>
      <c r="Z620" s="35">
        <v>5.6772256619432658E-2</v>
      </c>
    </row>
    <row r="621" spans="1:26" x14ac:dyDescent="0.2">
      <c r="A621" s="1">
        <v>619</v>
      </c>
      <c r="B621" s="2" t="s">
        <v>156</v>
      </c>
      <c r="C621" s="13" t="str">
        <f>HYPERLINK(AC2 &amp; "/bulb/3dw_da9c188b-0f22-4e1d-9df8-fae43983c8e6/rendering/00.xyz", "0.0")</f>
        <v>0.0</v>
      </c>
      <c r="D621" s="13" t="str">
        <f>HYPERLINK(AC2 &amp; "/bulb/3dw_da9c188b-0f22-4e1d-9df8-fae43983c8e6/rendering/01.xyz", "0.0")</f>
        <v>0.0</v>
      </c>
      <c r="E621" s="13" t="str">
        <f>HYPERLINK(AC2 &amp; "/bulb/3dw_da9c188b-0f22-4e1d-9df8-fae43983c8e6/rendering/02.xyz", "0.0")</f>
        <v>0.0</v>
      </c>
      <c r="F621" s="13" t="str">
        <f>HYPERLINK(AC2 &amp; "/bulb/3dw_da9c188b-0f22-4e1d-9df8-fae43983c8e6/rendering/03.xyz", "0.0")</f>
        <v>0.0</v>
      </c>
      <c r="G621" s="13" t="str">
        <f>HYPERLINK(AC2 &amp; "/bulb/3dw_da9c188b-0f22-4e1d-9df8-fae43983c8e6/rendering/04.xyz", "0.0")</f>
        <v>0.0</v>
      </c>
      <c r="H621" s="13" t="str">
        <f>HYPERLINK(AC2 &amp; "/bulb/3dw_da9c188b-0f22-4e1d-9df8-fae43983c8e6/rendering/05.xyz", "0.0")</f>
        <v>0.0</v>
      </c>
      <c r="I621" s="13" t="str">
        <f>HYPERLINK(AC2 &amp; "/bulb/3dw_da9c188b-0f22-4e1d-9df8-fae43983c8e6/rendering/06.xyz", "0.0")</f>
        <v>0.0</v>
      </c>
      <c r="J621" s="13" t="str">
        <f>HYPERLINK(AC2 &amp; "/bulb/3dw_da9c188b-0f22-4e1d-9df8-fae43983c8e6/rendering/07.xyz", "0.0")</f>
        <v>0.0</v>
      </c>
      <c r="K621" s="13" t="str">
        <f>HYPERLINK(AC2 &amp; "/bulb/3dw_da9c188b-0f22-4e1d-9df8-fae43983c8e6/rendering/08.xyz", "0.0")</f>
        <v>0.0</v>
      </c>
      <c r="L621" s="13" t="str">
        <f>HYPERLINK(AC2 &amp; "/bulb/3dw_da9c188b-0f22-4e1d-9df8-fae43983c8e6/rendering/09.xyz", "0.0")</f>
        <v>0.0</v>
      </c>
      <c r="M621" s="13" t="str">
        <f>HYPERLINK(AC2 &amp; "/bulb/3dw_da9c188b-0f22-4e1d-9df8-fae43983c8e6/rendering/10.xyz", "0.0")</f>
        <v>0.0</v>
      </c>
      <c r="N621" s="13" t="str">
        <f>HYPERLINK(AC2 &amp; "/bulb/3dw_da9c188b-0f22-4e1d-9df8-fae43983c8e6/rendering/11.xyz", "0.0")</f>
        <v>0.0</v>
      </c>
      <c r="O621" s="13" t="str">
        <f>HYPERLINK(AC2 &amp; "/bulb/3dw_da9c188b-0f22-4e1d-9df8-fae43983c8e6/rendering/12.xyz", "0.0")</f>
        <v>0.0</v>
      </c>
      <c r="P621" s="13" t="str">
        <f>HYPERLINK(AC2 &amp; "/bulb/3dw_da9c188b-0f22-4e1d-9df8-fae43983c8e6/rendering/13.xyz", "0.0")</f>
        <v>0.0</v>
      </c>
      <c r="Q621" s="13" t="str">
        <f>HYPERLINK(AC2 &amp; "/bulb/3dw_da9c188b-0f22-4e1d-9df8-fae43983c8e6/rendering/14.xyz", "0.0")</f>
        <v>0.0</v>
      </c>
      <c r="R621" s="13" t="str">
        <f>HYPERLINK(AC2 &amp; "/bulb/3dw_da9c188b-0f22-4e1d-9df8-fae43983c8e6/rendering/15.xyz", "0.0")</f>
        <v>0.0</v>
      </c>
      <c r="S621" s="13" t="str">
        <f>HYPERLINK(AC2 &amp; "/bulb/3dw_da9c188b-0f22-4e1d-9df8-fae43983c8e6/rendering/16.xyz", "0.0")</f>
        <v>0.0</v>
      </c>
      <c r="T621" s="13" t="str">
        <f>HYPERLINK(AC2 &amp; "/bulb/3dw_da9c188b-0f22-4e1d-9df8-fae43983c8e6/rendering/17.xyz", "0.0")</f>
        <v>0.0</v>
      </c>
      <c r="U621" s="13" t="str">
        <f>HYPERLINK(AC2 &amp; "/bulb/3dw_da9c188b-0f22-4e1d-9df8-fae43983c8e6/rendering/18.xyz", "0.0")</f>
        <v>0.0</v>
      </c>
      <c r="V621" s="13" t="str">
        <f>HYPERLINK(AC2 &amp; "/bulb/3dw_da9c188b-0f22-4e1d-9df8-fae43983c8e6/rendering/19.xyz", "0.0")</f>
        <v>0.0</v>
      </c>
      <c r="W621" s="12" t="s">
        <v>33</v>
      </c>
      <c r="X621" s="13">
        <v>0</v>
      </c>
      <c r="Y621" s="13">
        <v>0</v>
      </c>
      <c r="Z621" s="13">
        <v>0</v>
      </c>
    </row>
    <row r="622" spans="1:26" x14ac:dyDescent="0.2">
      <c r="A622" s="1">
        <v>620</v>
      </c>
      <c r="B622" s="2" t="s">
        <v>157</v>
      </c>
      <c r="C622" s="17" t="str">
        <f>HYPERLINK(AA2 &amp; "/bulb/3dw_db0a403a-83af-4e72-833d-abf2ea4096d6/rendering/00.obj", "1.6573046875")</f>
        <v>1.6573046875</v>
      </c>
      <c r="D622" s="67" t="str">
        <f>HYPERLINK(AA2 &amp; "/bulb/3dw_db0a403a-83af-4e72-833d-abf2ea4096d6/rendering/01.obj", "1.47250808716")</f>
        <v>1.47250808716</v>
      </c>
      <c r="E622" s="26" t="str">
        <f>HYPERLINK(AA2 &amp; "/bulb/3dw_db0a403a-83af-4e72-833d-abf2ea4096d6/rendering/02.obj", "1.51979553223")</f>
        <v>1.51979553223</v>
      </c>
      <c r="F622" s="51" t="str">
        <f>HYPERLINK(AA2 &amp; "/bulb/3dw_db0a403a-83af-4e72-833d-abf2ea4096d6/rendering/03.obj", "1.49231216431")</f>
        <v>1.49231216431</v>
      </c>
      <c r="G622" s="30" t="str">
        <f>HYPERLINK(AA2 &amp; "/bulb/3dw_db0a403a-83af-4e72-833d-abf2ea4096d6/rendering/04.obj", "1.61806259155")</f>
        <v>1.61806259155</v>
      </c>
      <c r="H622" s="68" t="str">
        <f>HYPERLINK(AA2 &amp; "/bulb/3dw_db0a403a-83af-4e72-833d-abf2ea4096d6/rendering/05.obj", "1.69391693115")</f>
        <v>1.69391693115</v>
      </c>
      <c r="I622" s="80" t="str">
        <f>HYPERLINK(AA2 &amp; "/bulb/3dw_db0a403a-83af-4e72-833d-abf2ea4096d6/rendering/06.obj", "1.38027008057")</f>
        <v>1.38027008057</v>
      </c>
      <c r="J622" s="68" t="str">
        <f>HYPERLINK(AA2 &amp; "/bulb/3dw_db0a403a-83af-4e72-833d-abf2ea4096d6/rendering/07.obj", "1.55534866333")</f>
        <v>1.55534866333</v>
      </c>
      <c r="K622" s="47" t="str">
        <f>HYPERLINK(AA2 &amp; "/bulb/3dw_db0a403a-83af-4e72-833d-abf2ea4096d6/rendering/08.obj", "1.63535293579")</f>
        <v>1.63535293579</v>
      </c>
      <c r="L622" s="41" t="str">
        <f>HYPERLINK(AA2 &amp; "/bulb/3dw_db0a403a-83af-4e72-833d-abf2ea4096d6/rendering/09.obj", "1.51141601563")</f>
        <v>1.51141601563</v>
      </c>
      <c r="M622" s="25" t="str">
        <f>HYPERLINK(AA2 &amp; "/bulb/3dw_db0a403a-83af-4e72-833d-abf2ea4096d6/rendering/10.obj", "1.6040133667")</f>
        <v>1.6040133667</v>
      </c>
      <c r="N622" s="65" t="str">
        <f>HYPERLINK(AA2 &amp; "/bulb/3dw_db0a403a-83af-4e72-833d-abf2ea4096d6/rendering/11.obj", "1.83926239014")</f>
        <v>1.83926239014</v>
      </c>
      <c r="O622" s="5" t="str">
        <f>HYPERLINK(AA2 &amp; "/bulb/3dw_db0a403a-83af-4e72-833d-abf2ea4096d6/rendering/12.obj", "1.49921829224")</f>
        <v>1.49921829224</v>
      </c>
      <c r="P622" s="13" t="str">
        <f>HYPERLINK(AA2 &amp; "/bulb/3dw_db0a403a-83af-4e72-833d-abf2ea4096d6/rendering/13.obj", "1.61948425293")</f>
        <v>1.61948425293</v>
      </c>
      <c r="Q622" s="42" t="str">
        <f>HYPERLINK(AA2 &amp; "/bulb/3dw_db0a403a-83af-4e72-833d-abf2ea4096d6/rendering/14.obj", "1.84409179688")</f>
        <v>1.84409179688</v>
      </c>
      <c r="R622" s="30" t="str">
        <f>HYPERLINK(AA2 &amp; "/bulb/3dw_db0a403a-83af-4e72-833d-abf2ea4096d6/rendering/15.obj", "1.61766662598")</f>
        <v>1.61766662598</v>
      </c>
      <c r="S622" s="60" t="str">
        <f>HYPERLINK(AA2 &amp; "/bulb/3dw_db0a403a-83af-4e72-833d-abf2ea4096d6/rendering/16.obj", "1.54120498657")</f>
        <v>1.54120498657</v>
      </c>
      <c r="T622" s="134" t="str">
        <f>HYPERLINK(AA2 &amp; "/bulb/3dw_db0a403a-83af-4e72-833d-abf2ea4096d6/rendering/17.obj", "1.9167074585")</f>
        <v>1.9167074585</v>
      </c>
      <c r="U622" s="109" t="str">
        <f>HYPERLINK(AA2 &amp; "/bulb/3dw_db0a403a-83af-4e72-833d-abf2ea4096d6/rendering/18.obj", "1.92940292358")</f>
        <v>1.92940292358</v>
      </c>
      <c r="V622" s="41" t="str">
        <f>HYPERLINK(AA2 &amp; "/bulb/3dw_db0a403a-83af-4e72-833d-abf2ea4096d6/rendering/19.obj", "1.51588226318")</f>
        <v>1.51588226318</v>
      </c>
      <c r="W622" s="12" t="s">
        <v>29</v>
      </c>
      <c r="X622" s="13">
        <v>1.6231611022949219</v>
      </c>
      <c r="Y622" s="13">
        <v>0.14872658422279331</v>
      </c>
      <c r="Z622" s="67">
        <v>9.1627740470440561E-2</v>
      </c>
    </row>
    <row r="623" spans="1:26" x14ac:dyDescent="0.2">
      <c r="A623" s="1">
        <v>621</v>
      </c>
      <c r="B623" s="2" t="s">
        <v>157</v>
      </c>
      <c r="C623" s="83" t="str">
        <f>HYPERLINK(AA2 &amp; "/bulb/3dw_db0a403a-83af-4e72-833d-abf2ea4096d6/rendering/00.obj", "4.63162899017")</f>
        <v>4.63162899017</v>
      </c>
      <c r="D623" s="91" t="str">
        <f>HYPERLINK(AA2 &amp; "/bulb/3dw_db0a403a-83af-4e72-833d-abf2ea4096d6/rendering/01.obj", "5.59578895569")</f>
        <v>5.59578895569</v>
      </c>
      <c r="E623" s="23" t="str">
        <f>HYPERLINK(AA2 &amp; "/bulb/3dw_db0a403a-83af-4e72-833d-abf2ea4096d6/rendering/02.obj", "5.24654483795")</f>
        <v>5.24654483795</v>
      </c>
      <c r="F623" s="26" t="str">
        <f>HYPERLINK(AA2 &amp; "/bulb/3dw_db0a403a-83af-4e72-833d-abf2ea4096d6/rendering/03.obj", "5.09883737564")</f>
        <v>5.09883737564</v>
      </c>
      <c r="G623" s="49" t="str">
        <f>HYPERLINK(AA2 &amp; "/bulb/3dw_db0a403a-83af-4e72-833d-abf2ea4096d6/rendering/04.obj", "4.31076812744")</f>
        <v>4.31076812744</v>
      </c>
      <c r="H623" s="5" t="str">
        <f>HYPERLINK(AA2 &amp; "/bulb/3dw_db0a403a-83af-4e72-833d-abf2ea4096d6/rendering/05.obj", "5.03437042236")</f>
        <v>5.03437042236</v>
      </c>
      <c r="I623" s="69" t="str">
        <f>HYPERLINK(AA2 &amp; "/bulb/3dw_db0a403a-83af-4e72-833d-abf2ea4096d6/rendering/06.obj", "5.29132318497")</f>
        <v>5.29132318497</v>
      </c>
      <c r="J623" s="17" t="str">
        <f>HYPERLINK(AA2 &amp; "/bulb/3dw_db0a403a-83af-4e72-833d-abf2ea4096d6/rendering/07.obj", "5.56554222107")</f>
        <v>5.56554222107</v>
      </c>
      <c r="K623" s="73" t="str">
        <f>HYPERLINK(AA2 &amp; "/bulb/3dw_db0a403a-83af-4e72-833d-abf2ea4096d6/rendering/08.obj", "5.26637077332")</f>
        <v>5.26637077332</v>
      </c>
      <c r="L623" s="25" t="str">
        <f>HYPERLINK(AA2 &amp; "/bulb/3dw_db0a403a-83af-4e72-833d-abf2ea4096d6/rendering/09.obj", "5.51715421677")</f>
        <v>5.51715421677</v>
      </c>
      <c r="M623" s="5" t="str">
        <f>HYPERLINK(AA2 &amp; "/bulb/3dw_db0a403a-83af-4e72-833d-abf2ea4096d6/rendering/10.obj", "5.87311697006")</f>
        <v>5.87311697006</v>
      </c>
      <c r="N623" s="77" t="str">
        <f>HYPERLINK(AA2 &amp; "/bulb/3dw_db0a403a-83af-4e72-833d-abf2ea4096d6/rendering/11.obj", "6.48405313492")</f>
        <v>6.48405313492</v>
      </c>
      <c r="O623" s="48" t="str">
        <f>HYPERLINK(AA2 &amp; "/bulb/3dw_db0a403a-83af-4e72-833d-abf2ea4096d6/rendering/12.obj", "5.33131313324")</f>
        <v>5.33131313324</v>
      </c>
      <c r="P623" s="25" t="str">
        <f>HYPERLINK(AA2 &amp; "/bulb/3dw_db0a403a-83af-4e72-833d-abf2ea4096d6/rendering/13.obj", "5.52250432968")</f>
        <v>5.52250432968</v>
      </c>
      <c r="Q623" s="27" t="str">
        <f>HYPERLINK(AA2 &amp; "/bulb/3dw_db0a403a-83af-4e72-833d-abf2ea4096d6/rendering/14.obj", "5.06509780884")</f>
        <v>5.06509780884</v>
      </c>
      <c r="R623" s="27" t="str">
        <f>HYPERLINK(AA2 &amp; "/bulb/3dw_db0a403a-83af-4e72-833d-abf2ea4096d6/rendering/15.obj", "5.07819366455")</f>
        <v>5.07819366455</v>
      </c>
      <c r="S623" s="41" t="str">
        <f>HYPERLINK(AA2 &amp; "/bulb/3dw_db0a403a-83af-4e72-833d-abf2ea4096d6/rendering/16.obj", "5.83083295822")</f>
        <v>5.83083295822</v>
      </c>
      <c r="T623" s="42" t="str">
        <f>HYPERLINK(AA2 &amp; "/bulb/3dw_db0a403a-83af-4e72-833d-abf2ea4096d6/rendering/17.obj", "6.20229005814")</f>
        <v>6.20229005814</v>
      </c>
      <c r="U623" s="66" t="str">
        <f>HYPERLINK(AA2 &amp; "/bulb/3dw_db0a403a-83af-4e72-833d-abf2ea4096d6/rendering/18.obj", "6.34388542175")</f>
        <v>6.34388542175</v>
      </c>
      <c r="V623" s="94" t="str">
        <f>HYPERLINK(AA2 &amp; "/bulb/3dw_db0a403a-83af-4e72-833d-abf2ea4096d6/rendering/19.obj", "5.86455202103")</f>
        <v>5.86455202103</v>
      </c>
      <c r="W623" s="12" t="s">
        <v>30</v>
      </c>
      <c r="X623" s="13">
        <v>5.4577084302902223</v>
      </c>
      <c r="Y623" s="13">
        <v>0.5309306357584882</v>
      </c>
      <c r="Z623" s="110">
        <v>9.7280872098595261E-2</v>
      </c>
    </row>
    <row r="624" spans="1:26" x14ac:dyDescent="0.2">
      <c r="A624" s="1">
        <v>622</v>
      </c>
      <c r="B624" s="2" t="s">
        <v>157</v>
      </c>
      <c r="C624" s="91" t="str">
        <f>HYPERLINK(AB2 &amp; "/bulb/3dw_db0a403a-83af-4e72-833d-abf2ea4096d6/rendering/00.obj", "1.97539398193")</f>
        <v>1.97539398193</v>
      </c>
      <c r="D624" s="46" t="str">
        <f>HYPERLINK(AB2 &amp; "/bulb/3dw_db0a403a-83af-4e72-833d-abf2ea4096d6/rendering/01.obj", "1.99410827637")</f>
        <v>1.99410827637</v>
      </c>
      <c r="E624" s="47" t="str">
        <f>HYPERLINK(AB2 &amp; "/bulb/3dw_db0a403a-83af-4e72-833d-abf2ea4096d6/rendering/02.obj", "2.01798248291")</f>
        <v>2.01798248291</v>
      </c>
      <c r="F624" s="48" t="str">
        <f>HYPERLINK(AB2 &amp; "/bulb/3dw_db0a403a-83af-4e72-833d-abf2ea4096d6/rendering/03.obj", "2.07690994263")</f>
        <v>2.07690994263</v>
      </c>
      <c r="G624" s="30" t="str">
        <f>HYPERLINK(AB2 &amp; "/bulb/3dw_db0a403a-83af-4e72-833d-abf2ea4096d6/rendering/04.obj", "2.02297744751")</f>
        <v>2.02297744751</v>
      </c>
      <c r="H624" s="69" t="str">
        <f>HYPERLINK(AB2 &amp; "/bulb/3dw_db0a403a-83af-4e72-833d-abf2ea4096d6/rendering/05.obj", "1.97413208008")</f>
        <v>1.97413208008</v>
      </c>
      <c r="I624" s="13" t="str">
        <f>HYPERLINK(AB2 &amp; "/bulb/3dw_db0a403a-83af-4e72-833d-abf2ea4096d6/rendering/06.obj", "2.03331329346")</f>
        <v>2.03331329346</v>
      </c>
      <c r="J624" s="46" t="str">
        <f>HYPERLINK(AB2 &amp; "/bulb/3dw_db0a403a-83af-4e72-833d-abf2ea4096d6/rendering/07.obj", "1.9971055603")</f>
        <v>1.9971055603</v>
      </c>
      <c r="K624" s="69" t="str">
        <f>HYPERLINK(AB2 &amp; "/bulb/3dw_db0a403a-83af-4e72-833d-abf2ea4096d6/rendering/08.obj", "2.09324523926")</f>
        <v>2.09324523926</v>
      </c>
      <c r="L624" s="72" t="str">
        <f>HYPERLINK(AB2 &amp; "/bulb/3dw_db0a403a-83af-4e72-833d-abf2ea4096d6/rendering/09.obj", "1.96383743286")</f>
        <v>1.96383743286</v>
      </c>
      <c r="M624" s="91" t="str">
        <f>HYPERLINK(AB2 &amp; "/bulb/3dw_db0a403a-83af-4e72-833d-abf2ea4096d6/rendering/10.obj", "1.97684844971")</f>
        <v>1.97684844971</v>
      </c>
      <c r="N624" s="48" t="str">
        <f>HYPERLINK(AB2 &amp; "/bulb/3dw_db0a403a-83af-4e72-833d-abf2ea4096d6/rendering/11.obj", "2.08079956055")</f>
        <v>2.08079956055</v>
      </c>
      <c r="O624" s="48" t="str">
        <f>HYPERLINK(AB2 &amp; "/bulb/3dw_db0a403a-83af-4e72-833d-abf2ea4096d6/rendering/12.obj", "1.98548553467")</f>
        <v>1.98548553467</v>
      </c>
      <c r="P624" s="68" t="str">
        <f>HYPERLINK(AB2 &amp; "/bulb/3dw_db0a403a-83af-4e72-833d-abf2ea4096d6/rendering/13.obj", "2.11845214844")</f>
        <v>2.11845214844</v>
      </c>
      <c r="Q624" s="47" t="str">
        <f>HYPERLINK(AB2 &amp; "/bulb/3dw_db0a403a-83af-4e72-833d-abf2ea4096d6/rendering/14.obj", "2.01757995605")</f>
        <v>2.01757995605</v>
      </c>
      <c r="R624" s="25" t="str">
        <f>HYPERLINK(AB2 &amp; "/bulb/3dw_db0a403a-83af-4e72-833d-abf2ea4096d6/rendering/15.obj", "2.00949859619")</f>
        <v>2.00949859619</v>
      </c>
      <c r="S624" s="46" t="str">
        <f>HYPERLINK(AB2 &amp; "/bulb/3dw_db0a403a-83af-4e72-833d-abf2ea4096d6/rendering/16.obj", "1.99374237061")</f>
        <v>1.99374237061</v>
      </c>
      <c r="T624" s="26" t="str">
        <f>HYPERLINK(AB2 &amp; "/bulb/3dw_db0a403a-83af-4e72-833d-abf2ea4096d6/rendering/17.obj", "2.16317459106")</f>
        <v>2.16317459106</v>
      </c>
      <c r="U624" s="78" t="str">
        <f>HYPERLINK(AB2 &amp; "/bulb/3dw_db0a403a-83af-4e72-833d-abf2ea4096d6/rendering/18.obj", "2.15331573486")</f>
        <v>2.15331573486</v>
      </c>
      <c r="V624" s="17" t="str">
        <f>HYPERLINK(AB2 &amp; "/bulb/3dw_db0a403a-83af-4e72-833d-abf2ea4096d6/rendering/19.obj", "1.98719589233")</f>
        <v>1.98719589233</v>
      </c>
      <c r="W624" s="12" t="s">
        <v>31</v>
      </c>
      <c r="X624" s="13">
        <v>2.031754928588867</v>
      </c>
      <c r="Y624" s="13">
        <v>5.9610832378300872E-2</v>
      </c>
      <c r="Z624" s="69">
        <v>2.933957808568128E-2</v>
      </c>
    </row>
    <row r="625" spans="1:26" x14ac:dyDescent="0.2">
      <c r="A625" s="1">
        <v>623</v>
      </c>
      <c r="B625" s="2" t="s">
        <v>157</v>
      </c>
      <c r="C625" s="73" t="str">
        <f>HYPERLINK(AB2 &amp; "/bulb/3dw_db0a403a-83af-4e72-833d-abf2ea4096d6/rendering/00.obj", "4.25728702545")</f>
        <v>4.25728702545</v>
      </c>
      <c r="D625" s="13" t="str">
        <f>HYPERLINK(AB2 &amp; "/bulb/3dw_db0a403a-83af-4e72-833d-abf2ea4096d6/rendering/01.obj", "4.40396595001")</f>
        <v>4.40396595001</v>
      </c>
      <c r="E625" s="74" t="str">
        <f>HYPERLINK(AB2 &amp; "/bulb/3dw_db0a403a-83af-4e72-833d-abf2ea4096d6/rendering/02.obj", "4.35140752792")</f>
        <v>4.35140752792</v>
      </c>
      <c r="F625" s="69" t="str">
        <f>HYPERLINK(AB2 &amp; "/bulb/3dw_db0a403a-83af-4e72-833d-abf2ea4096d6/rendering/03.obj", "4.29125499725")</f>
        <v>4.29125499725</v>
      </c>
      <c r="G625" s="30" t="str">
        <f>HYPERLINK(AB2 &amp; "/bulb/3dw_db0a403a-83af-4e72-833d-abf2ea4096d6/rendering/04.obj", "4.39236831665")</f>
        <v>4.39236831665</v>
      </c>
      <c r="H625" s="17" t="str">
        <f>HYPERLINK(AB2 &amp; "/bulb/3dw_db0a403a-83af-4e72-833d-abf2ea4096d6/rendering/05.obj", "4.32065439224")</f>
        <v>4.32065439224</v>
      </c>
      <c r="I625" s="72" t="str">
        <f>HYPERLINK(AB2 &amp; "/bulb/3dw_db0a403a-83af-4e72-833d-abf2ea4096d6/rendering/06.obj", "4.2753405571")</f>
        <v>4.2753405571</v>
      </c>
      <c r="J625" s="25" t="str">
        <f>HYPERLINK(AB2 &amp; "/bulb/3dw_db0a403a-83af-4e72-833d-abf2ea4096d6/rendering/07.obj", "4.37204456329")</f>
        <v>4.37204456329</v>
      </c>
      <c r="K625" s="17" t="str">
        <f>HYPERLINK(AB2 &amp; "/bulb/3dw_db0a403a-83af-4e72-833d-abf2ea4096d6/rendering/08.obj", "4.51200532913")</f>
        <v>4.51200532913</v>
      </c>
      <c r="L625" s="69" t="str">
        <f>HYPERLINK(AB2 &amp; "/bulb/3dw_db0a403a-83af-4e72-833d-abf2ea4096d6/rendering/09.obj", "4.27960729599")</f>
        <v>4.27960729599</v>
      </c>
      <c r="M625" s="74" t="str">
        <f>HYPERLINK(AB2 &amp; "/bulb/3dw_db0a403a-83af-4e72-833d-abf2ea4096d6/rendering/10.obj", "4.47456693649")</f>
        <v>4.47456693649</v>
      </c>
      <c r="N625" s="94" t="str">
        <f>HYPERLINK(AB2 &amp; "/bulb/3dw_db0a403a-83af-4e72-833d-abf2ea4096d6/rendering/11.obj", "4.73772239685")</f>
        <v>4.73772239685</v>
      </c>
      <c r="O625" s="30" t="str">
        <f>HYPERLINK(AB2 &amp; "/bulb/3dw_db0a403a-83af-4e72-833d-abf2ea4096d6/rendering/12.obj", "4.43348646164")</f>
        <v>4.43348646164</v>
      </c>
      <c r="P625" s="48" t="str">
        <f>HYPERLINK(AB2 &amp; "/bulb/3dw_db0a403a-83af-4e72-833d-abf2ea4096d6/rendering/13.obj", "4.51857662201")</f>
        <v>4.51857662201</v>
      </c>
      <c r="Q625" s="74" t="str">
        <f>HYPERLINK(AB2 &amp; "/bulb/3dw_db0a403a-83af-4e72-833d-abf2ea4096d6/rendering/14.obj", "4.35681629181")</f>
        <v>4.35681629181</v>
      </c>
      <c r="R625" s="17" t="str">
        <f>HYPERLINK(AB2 &amp; "/bulb/3dw_db0a403a-83af-4e72-833d-abf2ea4096d6/rendering/15.obj", "4.33075237274")</f>
        <v>4.33075237274</v>
      </c>
      <c r="S625" s="30" t="str">
        <f>HYPERLINK(AB2 &amp; "/bulb/3dw_db0a403a-83af-4e72-833d-abf2ea4096d6/rendering/16.obj", "4.43138551712")</f>
        <v>4.43138551712</v>
      </c>
      <c r="T625" s="60" t="str">
        <f>HYPERLINK(AB2 &amp; "/bulb/3dw_db0a403a-83af-4e72-833d-abf2ea4096d6/rendering/17.obj", "4.64892673492")</f>
        <v>4.64892673492</v>
      </c>
      <c r="U625" s="35" t="str">
        <f>HYPERLINK(AB2 &amp; "/bulb/3dw_db0a403a-83af-4e72-833d-abf2ea4096d6/rendering/18.obj", "4.66810941696")</f>
        <v>4.66810941696</v>
      </c>
      <c r="V625" s="69" t="str">
        <f>HYPERLINK(AB2 &amp; "/bulb/3dw_db0a403a-83af-4e72-833d-abf2ea4096d6/rendering/19.obj", "4.28786659241")</f>
        <v>4.28786659241</v>
      </c>
      <c r="W625" s="12" t="s">
        <v>32</v>
      </c>
      <c r="X625" s="13">
        <v>4.4172072649002079</v>
      </c>
      <c r="Y625" s="13">
        <v>0.13550410981875549</v>
      </c>
      <c r="Z625" s="69">
        <v>3.0676421026355621E-2</v>
      </c>
    </row>
    <row r="626" spans="1:26" x14ac:dyDescent="0.2">
      <c r="A626" s="1">
        <v>624</v>
      </c>
      <c r="B626" s="2" t="s">
        <v>157</v>
      </c>
      <c r="C626" s="13" t="str">
        <f>HYPERLINK(AC2 &amp; "/bulb/3dw_db0a403a-83af-4e72-833d-abf2ea4096d6/rendering/00.xyz", "0.0")</f>
        <v>0.0</v>
      </c>
      <c r="D626" s="13" t="str">
        <f>HYPERLINK(AC2 &amp; "/bulb/3dw_db0a403a-83af-4e72-833d-abf2ea4096d6/rendering/01.xyz", "0.0")</f>
        <v>0.0</v>
      </c>
      <c r="E626" s="13" t="str">
        <f>HYPERLINK(AC2 &amp; "/bulb/3dw_db0a403a-83af-4e72-833d-abf2ea4096d6/rendering/02.xyz", "0.0")</f>
        <v>0.0</v>
      </c>
      <c r="F626" s="13" t="str">
        <f>HYPERLINK(AC2 &amp; "/bulb/3dw_db0a403a-83af-4e72-833d-abf2ea4096d6/rendering/03.xyz", "0.0")</f>
        <v>0.0</v>
      </c>
      <c r="G626" s="13" t="str">
        <f>HYPERLINK(AC2 &amp; "/bulb/3dw_db0a403a-83af-4e72-833d-abf2ea4096d6/rendering/04.xyz", "0.0")</f>
        <v>0.0</v>
      </c>
      <c r="H626" s="13" t="str">
        <f>HYPERLINK(AC2 &amp; "/bulb/3dw_db0a403a-83af-4e72-833d-abf2ea4096d6/rendering/05.xyz", "0.0")</f>
        <v>0.0</v>
      </c>
      <c r="I626" s="13" t="str">
        <f>HYPERLINK(AC2 &amp; "/bulb/3dw_db0a403a-83af-4e72-833d-abf2ea4096d6/rendering/06.xyz", "0.0")</f>
        <v>0.0</v>
      </c>
      <c r="J626" s="13" t="str">
        <f>HYPERLINK(AC2 &amp; "/bulb/3dw_db0a403a-83af-4e72-833d-abf2ea4096d6/rendering/07.xyz", "0.0")</f>
        <v>0.0</v>
      </c>
      <c r="K626" s="13" t="str">
        <f>HYPERLINK(AC2 &amp; "/bulb/3dw_db0a403a-83af-4e72-833d-abf2ea4096d6/rendering/08.xyz", "0.0")</f>
        <v>0.0</v>
      </c>
      <c r="L626" s="13" t="str">
        <f>HYPERLINK(AC2 &amp; "/bulb/3dw_db0a403a-83af-4e72-833d-abf2ea4096d6/rendering/09.xyz", "0.0")</f>
        <v>0.0</v>
      </c>
      <c r="M626" s="13" t="str">
        <f>HYPERLINK(AC2 &amp; "/bulb/3dw_db0a403a-83af-4e72-833d-abf2ea4096d6/rendering/10.xyz", "0.0")</f>
        <v>0.0</v>
      </c>
      <c r="N626" s="13" t="str">
        <f>HYPERLINK(AC2 &amp; "/bulb/3dw_db0a403a-83af-4e72-833d-abf2ea4096d6/rendering/11.xyz", "0.0")</f>
        <v>0.0</v>
      </c>
      <c r="O626" s="13" t="str">
        <f>HYPERLINK(AC2 &amp; "/bulb/3dw_db0a403a-83af-4e72-833d-abf2ea4096d6/rendering/12.xyz", "0.0")</f>
        <v>0.0</v>
      </c>
      <c r="P626" s="13" t="str">
        <f>HYPERLINK(AC2 &amp; "/bulb/3dw_db0a403a-83af-4e72-833d-abf2ea4096d6/rendering/13.xyz", "0.0")</f>
        <v>0.0</v>
      </c>
      <c r="Q626" s="13" t="str">
        <f>HYPERLINK(AC2 &amp; "/bulb/3dw_db0a403a-83af-4e72-833d-abf2ea4096d6/rendering/14.xyz", "0.0")</f>
        <v>0.0</v>
      </c>
      <c r="R626" s="13" t="str">
        <f>HYPERLINK(AC2 &amp; "/bulb/3dw_db0a403a-83af-4e72-833d-abf2ea4096d6/rendering/15.xyz", "0.0")</f>
        <v>0.0</v>
      </c>
      <c r="S626" s="13" t="str">
        <f>HYPERLINK(AC2 &amp; "/bulb/3dw_db0a403a-83af-4e72-833d-abf2ea4096d6/rendering/16.xyz", "0.0")</f>
        <v>0.0</v>
      </c>
      <c r="T626" s="13" t="str">
        <f>HYPERLINK(AC2 &amp; "/bulb/3dw_db0a403a-83af-4e72-833d-abf2ea4096d6/rendering/17.xyz", "0.0")</f>
        <v>0.0</v>
      </c>
      <c r="U626" s="13" t="str">
        <f>HYPERLINK(AC2 &amp; "/bulb/3dw_db0a403a-83af-4e72-833d-abf2ea4096d6/rendering/18.xyz", "0.0")</f>
        <v>0.0</v>
      </c>
      <c r="V626" s="13" t="str">
        <f>HYPERLINK(AC2 &amp; "/bulb/3dw_db0a403a-83af-4e72-833d-abf2ea4096d6/rendering/19.xyz", "0.0")</f>
        <v>0.0</v>
      </c>
      <c r="W626" s="12" t="s">
        <v>33</v>
      </c>
      <c r="X626" s="13">
        <v>0</v>
      </c>
      <c r="Y626" s="13">
        <v>0</v>
      </c>
      <c r="Z626" s="13">
        <v>0</v>
      </c>
    </row>
    <row r="627" spans="1:26" x14ac:dyDescent="0.2">
      <c r="A627" s="1">
        <v>625</v>
      </c>
      <c r="B627" s="2" t="s">
        <v>158</v>
      </c>
      <c r="C627" s="35" t="str">
        <f>HYPERLINK(AA2 &amp; "/bulb/3dw_dd316cc7-9b08-419e-b818-ab5ef5c93b24/rendering/00.obj", "0.916195907593")</f>
        <v>0.916195907593</v>
      </c>
      <c r="D627" s="93" t="str">
        <f>HYPERLINK(AA2 &amp; "/bulb/3dw_dd316cc7-9b08-419e-b818-ab5ef5c93b24/rendering/01.obj", "0.837963409424")</f>
        <v>0.837963409424</v>
      </c>
      <c r="E627" s="72" t="str">
        <f>HYPERLINK(AA2 &amp; "/bulb/3dw_dd316cc7-9b08-419e-b818-ab5ef5c93b24/rendering/02.obj", "0.940869979858")</f>
        <v>0.940869979858</v>
      </c>
      <c r="F627" s="10" t="str">
        <f>HYPERLINK(AA2 &amp; "/bulb/3dw_dd316cc7-9b08-419e-b818-ab5ef5c93b24/rendering/03.obj", "1.02702163696")</f>
        <v>1.02702163696</v>
      </c>
      <c r="G627" s="7" t="str">
        <f>HYPERLINK(AA2 &amp; "/bulb/3dw_dd316cc7-9b08-419e-b818-ab5ef5c93b24/rendering/04.obj", "0.70492980957")</f>
        <v>0.70492980957</v>
      </c>
      <c r="H627" s="38" t="str">
        <f>HYPERLINK(AA2 &amp; "/bulb/3dw_dd316cc7-9b08-419e-b818-ab5ef5c93b24/rendering/05.obj", "1.06135429382")</f>
        <v>1.06135429382</v>
      </c>
      <c r="I627" s="27" t="str">
        <f>HYPERLINK(AA2 &amp; "/bulb/3dw_dd316cc7-9b08-419e-b818-ab5ef5c93b24/rendering/06.obj", "0.905459899902")</f>
        <v>0.905459899902</v>
      </c>
      <c r="J627" s="81" t="str">
        <f>HYPERLINK(AA2 &amp; "/bulb/3dw_dd316cc7-9b08-419e-b818-ab5ef5c93b24/rendering/07.obj", "1.18754257202")</f>
        <v>1.18754257202</v>
      </c>
      <c r="K627" s="110" t="str">
        <f>HYPERLINK(AA2 &amp; "/bulb/3dw_dd316cc7-9b08-419e-b818-ab5ef5c93b24/rendering/08.obj", "1.06997039795")</f>
        <v>1.06997039795</v>
      </c>
      <c r="L627" s="17" t="str">
        <f>HYPERLINK(AA2 &amp; "/bulb/3dw_dd316cc7-9b08-419e-b818-ab5ef5c93b24/rendering/09.obj", "0.953975601196")</f>
        <v>0.953975601196</v>
      </c>
      <c r="M627" s="13" t="str">
        <f>HYPERLINK(AA2 &amp; "/bulb/3dw_dd316cc7-9b08-419e-b818-ab5ef5c93b24/rendering/10.obj", "0.971597442627")</f>
        <v>0.971597442627</v>
      </c>
      <c r="N627" s="27" t="str">
        <f>HYPERLINK(AA2 &amp; "/bulb/3dw_dd316cc7-9b08-419e-b818-ab5ef5c93b24/rendering/11.obj", "1.04204589844")</f>
        <v>1.04204589844</v>
      </c>
      <c r="O627" s="69" t="str">
        <f>HYPERLINK(AA2 &amp; "/bulb/3dw_dd316cc7-9b08-419e-b818-ab5ef5c93b24/rendering/12.obj", "0.946067123413")</f>
        <v>0.946067123413</v>
      </c>
      <c r="P627" s="90" t="str">
        <f>HYPERLINK(AA2 &amp; "/bulb/3dw_dd316cc7-9b08-419e-b818-ab5ef5c93b24/rendering/13.obj", "0.881597518921")</f>
        <v>0.881597518921</v>
      </c>
      <c r="Q627" s="92" t="str">
        <f>HYPERLINK(AA2 &amp; "/bulb/3dw_dd316cc7-9b08-419e-b818-ab5ef5c93b24/rendering/14.obj", "1.09490127563")</f>
        <v>1.09490127563</v>
      </c>
      <c r="R627" s="36" t="str">
        <f>HYPERLINK(AA2 &amp; "/bulb/3dw_dd316cc7-9b08-419e-b818-ab5ef5c93b24/rendering/15.obj", "0.76462890625")</f>
        <v>0.76462890625</v>
      </c>
      <c r="S627" s="30" t="str">
        <f>HYPERLINK(AA2 &amp; "/bulb/3dw_dd316cc7-9b08-419e-b818-ab5ef5c93b24/rendering/16.obj", "0.968727493286")</f>
        <v>0.968727493286</v>
      </c>
      <c r="T627" s="79" t="str">
        <f>HYPERLINK(AA2 &amp; "/bulb/3dw_dd316cc7-9b08-419e-b818-ab5ef5c93b24/rendering/17.obj", "1.12912017822")</f>
        <v>1.12912017822</v>
      </c>
      <c r="U627" s="109" t="str">
        <f>HYPERLINK(AA2 &amp; "/bulb/3dw_dd316cc7-9b08-419e-b818-ab5ef5c93b24/rendering/18.obj", "1.15854988098")</f>
        <v>1.15854988098</v>
      </c>
      <c r="V627" s="10" t="str">
        <f>HYPERLINK(AA2 &amp; "/bulb/3dw_dd316cc7-9b08-419e-b818-ab5ef5c93b24/rendering/19.obj", "0.921700286865")</f>
        <v>0.921700286865</v>
      </c>
      <c r="W627" s="12" t="s">
        <v>29</v>
      </c>
      <c r="X627" s="13">
        <v>0.97421097564697268</v>
      </c>
      <c r="Y627" s="13">
        <v>0.1222673545834085</v>
      </c>
      <c r="Z627" s="70">
        <v>0.1255039797742073</v>
      </c>
    </row>
    <row r="628" spans="1:26" x14ac:dyDescent="0.2">
      <c r="A628" s="1">
        <v>626</v>
      </c>
      <c r="B628" s="2" t="s">
        <v>158</v>
      </c>
      <c r="C628" s="94" t="str">
        <f>HYPERLINK(AA2 &amp; "/bulb/3dw_dd316cc7-9b08-419e-b818-ab5ef5c93b24/rendering/00.obj", "2.48815798759")</f>
        <v>2.48815798759</v>
      </c>
      <c r="D628" s="73" t="str">
        <f>HYPERLINK(AA2 &amp; "/bulb/3dw_dd316cc7-9b08-419e-b818-ab5ef5c93b24/rendering/01.obj", "2.59283614159")</f>
        <v>2.59283614159</v>
      </c>
      <c r="E628" s="5" t="str">
        <f>HYPERLINK(AA2 &amp; "/bulb/3dw_dd316cc7-9b08-419e-b818-ab5ef5c93b24/rendering/02.obj", "2.48197126389")</f>
        <v>2.48197126389</v>
      </c>
      <c r="F628" s="5" t="str">
        <f>HYPERLINK(AA2 &amp; "/bulb/3dw_dd316cc7-9b08-419e-b818-ab5ef5c93b24/rendering/03.obj", "2.89613199234")</f>
        <v>2.89613199234</v>
      </c>
      <c r="G628" s="36" t="str">
        <f>HYPERLINK(AA2 &amp; "/bulb/3dw_dd316cc7-9b08-419e-b818-ab5ef5c93b24/rendering/04.obj", "2.11407709122")</f>
        <v>2.11407709122</v>
      </c>
      <c r="H628" s="23" t="str">
        <f>HYPERLINK(AA2 &amp; "/bulb/3dw_dd316cc7-9b08-419e-b818-ab5ef5c93b24/rendering/05.obj", "2.79129195213")</f>
        <v>2.79129195213</v>
      </c>
      <c r="I628" s="94" t="str">
        <f>HYPERLINK(AA2 &amp; "/bulb/3dw_dd316cc7-9b08-419e-b818-ab5ef5c93b24/rendering/06.obj", "2.49147820473")</f>
        <v>2.49147820473</v>
      </c>
      <c r="J628" s="36" t="str">
        <f>HYPERLINK(AA2 &amp; "/bulb/3dw_dd316cc7-9b08-419e-b818-ab5ef5c93b24/rendering/07.obj", "3.26783752441")</f>
        <v>3.26783752441</v>
      </c>
      <c r="K628" s="60" t="str">
        <f>HYPERLINK(AA2 &amp; "/bulb/3dw_dd316cc7-9b08-419e-b818-ab5ef5c93b24/rendering/08.obj", "2.82885241508")</f>
        <v>2.82885241508</v>
      </c>
      <c r="L628" s="74" t="str">
        <f>HYPERLINK(AA2 &amp; "/bulb/3dw_dd316cc7-9b08-419e-b818-ab5ef5c93b24/rendering/09.obj", "2.64946937561")</f>
        <v>2.64946937561</v>
      </c>
      <c r="M628" s="46" t="str">
        <f>HYPERLINK(AA2 &amp; "/bulb/3dw_dd316cc7-9b08-419e-b818-ab5ef5c93b24/rendering/10.obj", "2.64079260826")</f>
        <v>2.64079260826</v>
      </c>
      <c r="N628" s="26" t="str">
        <f>HYPERLINK(AA2 &amp; "/bulb/3dw_dd316cc7-9b08-419e-b818-ab5ef5c93b24/rendering/11.obj", "2.85967135429")</f>
        <v>2.85967135429</v>
      </c>
      <c r="O628" s="10" t="str">
        <f>HYPERLINK(AA2 &amp; "/bulb/3dw_dd316cc7-9b08-419e-b818-ab5ef5c93b24/rendering/12.obj", "2.54356241226")</f>
        <v>2.54356241226</v>
      </c>
      <c r="P628" s="78" t="str">
        <f>HYPERLINK(AA2 &amp; "/bulb/3dw_dd316cc7-9b08-419e-b818-ab5ef5c93b24/rendering/13.obj", "2.52155399323")</f>
        <v>2.52155399323</v>
      </c>
      <c r="Q628" s="71" t="str">
        <f>HYPERLINK(AA2 &amp; "/bulb/3dw_dd316cc7-9b08-419e-b818-ab5ef5c93b24/rendering/14.obj", "3.00893521309")</f>
        <v>3.00893521309</v>
      </c>
      <c r="R628" s="31" t="str">
        <f>HYPERLINK(AA2 &amp; "/bulb/3dw_dd316cc7-9b08-419e-b818-ab5ef5c93b24/rendering/15.obj", "2.27130508423")</f>
        <v>2.27130508423</v>
      </c>
      <c r="S628" s="47" t="str">
        <f>HYPERLINK(AA2 &amp; "/bulb/3dw_dd316cc7-9b08-419e-b818-ab5ef5c93b24/rendering/16.obj", "2.70895051956")</f>
        <v>2.70895051956</v>
      </c>
      <c r="T628" s="26" t="str">
        <f>HYPERLINK(AA2 &amp; "/bulb/3dw_dd316cc7-9b08-419e-b818-ab5ef5c93b24/rendering/17.obj", "2.86690092087")</f>
        <v>2.86690092087</v>
      </c>
      <c r="U628" s="93" t="str">
        <f>HYPERLINK(AA2 &amp; "/bulb/3dw_dd316cc7-9b08-419e-b818-ab5ef5c93b24/rendering/18.obj", "3.06502199173")</f>
        <v>3.06502199173</v>
      </c>
      <c r="V628" s="30" t="str">
        <f>HYPERLINK(AA2 &amp; "/bulb/3dw_dd316cc7-9b08-419e-b818-ab5ef5c93b24/rendering/19.obj", "2.70603919029")</f>
        <v>2.70603919029</v>
      </c>
      <c r="W628" s="12" t="s">
        <v>30</v>
      </c>
      <c r="X628" s="13">
        <v>2.6897418618202211</v>
      </c>
      <c r="Y628" s="13">
        <v>0.26483275794468308</v>
      </c>
      <c r="Z628" s="110">
        <v>9.8460287845415634E-2</v>
      </c>
    </row>
    <row r="629" spans="1:26" x14ac:dyDescent="0.2">
      <c r="A629" s="1">
        <v>627</v>
      </c>
      <c r="B629" s="2" t="s">
        <v>158</v>
      </c>
      <c r="C629" s="91" t="str">
        <f>HYPERLINK(AB2 &amp; "/bulb/3dw_dd316cc7-9b08-419e-b818-ab5ef5c93b24/rendering/00.obj", "0.94068862915")</f>
        <v>0.94068862915</v>
      </c>
      <c r="D629" s="175" t="str">
        <f>HYPERLINK(AB2 &amp; "/bulb/3dw_dd316cc7-9b08-419e-b818-ab5ef5c93b24/rendering/01.obj", "1.19421524048")</f>
        <v>1.19421524048</v>
      </c>
      <c r="E629" s="33" t="str">
        <f>HYPERLINK(AB2 &amp; "/bulb/3dw_dd316cc7-9b08-419e-b818-ab5ef5c93b24/rendering/02.obj", "0.862640991211")</f>
        <v>0.862640991211</v>
      </c>
      <c r="F629" s="38" t="str">
        <f>HYPERLINK(AB2 &amp; "/bulb/3dw_dd316cc7-9b08-419e-b818-ab5ef5c93b24/rendering/03.obj", "0.880358963013")</f>
        <v>0.880358963013</v>
      </c>
      <c r="G629" s="35" t="str">
        <f>HYPERLINK(AB2 &amp; "/bulb/3dw_dd316cc7-9b08-419e-b818-ab5ef5c93b24/rendering/04.obj", "0.913004760742")</f>
        <v>0.913004760742</v>
      </c>
      <c r="H629" s="47" t="str">
        <f>HYPERLINK(AB2 &amp; "/bulb/3dw_dd316cc7-9b08-419e-b818-ab5ef5c93b24/rendering/05.obj", "0.975766220093")</f>
        <v>0.975766220093</v>
      </c>
      <c r="I629" s="39" t="str">
        <f>HYPERLINK(AB2 &amp; "/bulb/3dw_dd316cc7-9b08-419e-b818-ab5ef5c93b24/rendering/06.obj", "1.05138046265")</f>
        <v>1.05138046265</v>
      </c>
      <c r="J629" s="74" t="str">
        <f>HYPERLINK(AB2 &amp; "/bulb/3dw_dd316cc7-9b08-419e-b818-ab5ef5c93b24/rendering/07.obj", "0.981075668335")</f>
        <v>0.981075668335</v>
      </c>
      <c r="K629" s="73" t="str">
        <f>HYPERLINK(AB2 &amp; "/bulb/3dw_dd316cc7-9b08-419e-b818-ab5ef5c93b24/rendering/08.obj", "1.00303955078")</f>
        <v>1.00303955078</v>
      </c>
      <c r="L629" s="69" t="str">
        <f>HYPERLINK(AB2 &amp; "/bulb/3dw_dd316cc7-9b08-419e-b818-ab5ef5c93b24/rendering/09.obj", "0.997221984863")</f>
        <v>0.997221984863</v>
      </c>
      <c r="M629" s="94" t="str">
        <f>HYPERLINK(AB2 &amp; "/bulb/3dw_dd316cc7-9b08-419e-b818-ab5ef5c93b24/rendering/10.obj", "0.895435028076")</f>
        <v>0.895435028076</v>
      </c>
      <c r="N629" s="74" t="str">
        <f>HYPERLINK(AB2 &amp; "/bulb/3dw_dd316cc7-9b08-419e-b818-ab5ef5c93b24/rendering/11.obj", "0.95412651062")</f>
        <v>0.95412651062</v>
      </c>
      <c r="O629" s="6" t="str">
        <f>HYPERLINK(AB2 &amp; "/bulb/3dw_dd316cc7-9b08-419e-b818-ab5ef5c93b24/rendering/12.obj", "0.924519805908")</f>
        <v>0.924519805908</v>
      </c>
      <c r="P629" s="48" t="str">
        <f>HYPERLINK(AB2 &amp; "/bulb/3dw_dd316cc7-9b08-419e-b818-ab5ef5c93b24/rendering/13.obj", "0.943484344482")</f>
        <v>0.943484344482</v>
      </c>
      <c r="Q629" s="136" t="str">
        <f>HYPERLINK(AB2 &amp; "/bulb/3dw_dd316cc7-9b08-419e-b818-ab5ef5c93b24/rendering/14.obj", "1.19676147461")</f>
        <v>1.19676147461</v>
      </c>
      <c r="R629" s="17" t="str">
        <f>HYPERLINK(AB2 &amp; "/bulb/3dw_dd316cc7-9b08-419e-b818-ab5ef5c93b24/rendering/15.obj", "0.988269195557")</f>
        <v>0.988269195557</v>
      </c>
      <c r="S629" s="34" t="str">
        <f>HYPERLINK(AB2 &amp; "/bulb/3dw_dd316cc7-9b08-419e-b818-ab5ef5c93b24/rendering/16.obj", "0.921784210205")</f>
        <v>0.921784210205</v>
      </c>
      <c r="T629" s="41" t="str">
        <f>HYPERLINK(AB2 &amp; "/bulb/3dw_dd316cc7-9b08-419e-b818-ab5ef5c93b24/rendering/17.obj", "0.902916793823")</f>
        <v>0.902916793823</v>
      </c>
      <c r="U629" s="68" t="str">
        <f>HYPERLINK(AB2 &amp; "/bulb/3dw_dd316cc7-9b08-419e-b818-ab5ef5c93b24/rendering/18.obj", "0.928113250732")</f>
        <v>0.928113250732</v>
      </c>
      <c r="V629" s="27" t="str">
        <f>HYPERLINK(AB2 &amp; "/bulb/3dw_dd316cc7-9b08-419e-b818-ab5ef5c93b24/rendering/19.obj", "0.899768753052")</f>
        <v>0.899768753052</v>
      </c>
      <c r="W629" s="12" t="s">
        <v>31</v>
      </c>
      <c r="X629" s="13">
        <v>0.96772859191894545</v>
      </c>
      <c r="Y629" s="13">
        <v>8.8402355561252421E-2</v>
      </c>
      <c r="Z629" s="67">
        <v>9.1350360317406828E-2</v>
      </c>
    </row>
    <row r="630" spans="1:26" x14ac:dyDescent="0.2">
      <c r="A630" s="1">
        <v>628</v>
      </c>
      <c r="B630" s="2" t="s">
        <v>158</v>
      </c>
      <c r="C630" s="90" t="str">
        <f>HYPERLINK(AB2 &amp; "/bulb/3dw_dd316cc7-9b08-419e-b818-ab5ef5c93b24/rendering/00.obj", "2.13619971275")</f>
        <v>2.13619971275</v>
      </c>
      <c r="D630" s="120" t="str">
        <f>HYPERLINK(AB2 &amp; "/bulb/3dw_dd316cc7-9b08-419e-b818-ab5ef5c93b24/rendering/01.obj", "2.86047744751")</f>
        <v>2.86047744751</v>
      </c>
      <c r="E630" s="133" t="str">
        <f>HYPERLINK(AB2 &amp; "/bulb/3dw_dd316cc7-9b08-419e-b818-ab5ef5c93b24/rendering/02.obj", "2.11681270599")</f>
        <v>2.11681270599</v>
      </c>
      <c r="F630" s="39" t="str">
        <f>HYPERLINK(AB2 &amp; "/bulb/3dw_dd316cc7-9b08-419e-b818-ab5ef5c93b24/rendering/03.obj", "2.15292835236")</f>
        <v>2.15292835236</v>
      </c>
      <c r="G630" s="48" t="str">
        <f>HYPERLINK(AB2 &amp; "/bulb/3dw_dd316cc7-9b08-419e-b818-ab5ef5c93b24/rendering/04.obj", "2.30688476562")</f>
        <v>2.30688476562</v>
      </c>
      <c r="H630" s="41" t="str">
        <f>HYPERLINK(AB2 &amp; "/bulb/3dw_dd316cc7-9b08-419e-b818-ab5ef5c93b24/rendering/05.obj", "2.5187420845")</f>
        <v>2.5187420845</v>
      </c>
      <c r="I630" s="90" t="str">
        <f>HYPERLINK(AB2 &amp; "/bulb/3dw_dd316cc7-9b08-419e-b818-ab5ef5c93b24/rendering/06.obj", "2.58403277397")</f>
        <v>2.58403277397</v>
      </c>
      <c r="J630" s="46" t="str">
        <f>HYPERLINK(AB2 &amp; "/bulb/3dw_dd316cc7-9b08-419e-b818-ab5ef5c93b24/rendering/07.obj", "2.31875038147")</f>
        <v>2.31875038147</v>
      </c>
      <c r="K630" s="69" t="str">
        <f>HYPERLINK(AB2 &amp; "/bulb/3dw_dd316cc7-9b08-419e-b818-ab5ef5c93b24/rendering/08.obj", "2.28780341148")</f>
        <v>2.28780341148</v>
      </c>
      <c r="L630" s="60" t="str">
        <f>HYPERLINK(AB2 &amp; "/bulb/3dw_dd316cc7-9b08-419e-b818-ab5ef5c93b24/rendering/09.obj", "2.23760986328")</f>
        <v>2.23760986328</v>
      </c>
      <c r="M630" s="23" t="str">
        <f>HYPERLINK(AB2 &amp; "/bulb/3dw_dd316cc7-9b08-419e-b818-ab5ef5c93b24/rendering/10.obj", "2.26908016205")</f>
        <v>2.26908016205</v>
      </c>
      <c r="N630" s="46" t="str">
        <f>HYPERLINK(AB2 &amp; "/bulb/3dw_dd316cc7-9b08-419e-b818-ab5ef5c93b24/rendering/11.obj", "2.40396356583")</f>
        <v>2.40396356583</v>
      </c>
      <c r="O630" s="48" t="str">
        <f>HYPERLINK(AB2 &amp; "/bulb/3dw_dd316cc7-9b08-419e-b818-ab5ef5c93b24/rendering/12.obj", "2.41727471352")</f>
        <v>2.41727471352</v>
      </c>
      <c r="P630" s="6" t="str">
        <f>HYPERLINK(AB2 &amp; "/bulb/3dw_dd316cc7-9b08-419e-b818-ab5ef5c93b24/rendering/13.obj", "2.25098586082")</f>
        <v>2.25098586082</v>
      </c>
      <c r="Q630" s="81" t="str">
        <f>HYPERLINK(AB2 &amp; "/bulb/3dw_dd316cc7-9b08-419e-b818-ab5ef5c93b24/rendering/14.obj", "2.87391734123")</f>
        <v>2.87391734123</v>
      </c>
      <c r="R630" s="35" t="str">
        <f>HYPERLINK(AB2 &amp; "/bulb/3dw_dd316cc7-9b08-419e-b818-ab5ef5c93b24/rendering/15.obj", "2.49700164795")</f>
        <v>2.49700164795</v>
      </c>
      <c r="S630" s="51" t="str">
        <f>HYPERLINK(AB2 &amp; "/bulb/3dw_dd316cc7-9b08-419e-b818-ab5ef5c93b24/rendering/16.obj", "2.16837382317")</f>
        <v>2.16837382317</v>
      </c>
      <c r="T630" s="26" t="str">
        <f>HYPERLINK(AB2 &amp; "/bulb/3dw_dd316cc7-9b08-419e-b818-ab5ef5c93b24/rendering/17.obj", "2.20710301399")</f>
        <v>2.20710301399</v>
      </c>
      <c r="U630" s="68" t="str">
        <f>HYPERLINK(AB2 &amp; "/bulb/3dw_dd316cc7-9b08-419e-b818-ab5ef5c93b24/rendering/18.obj", "2.45934844017")</f>
        <v>2.45934844017</v>
      </c>
      <c r="V630" s="110" t="str">
        <f>HYPERLINK(AB2 &amp; "/bulb/3dw_dd316cc7-9b08-419e-b818-ab5ef5c93b24/rendering/19.obj", "2.12480163574")</f>
        <v>2.12480163574</v>
      </c>
      <c r="W630" s="12" t="s">
        <v>32</v>
      </c>
      <c r="X630" s="13">
        <v>2.3596045851707461</v>
      </c>
      <c r="Y630" s="13">
        <v>0.21635788235870571</v>
      </c>
      <c r="Z630" s="67">
        <v>9.1692431739807623E-2</v>
      </c>
    </row>
    <row r="631" spans="1:26" x14ac:dyDescent="0.2">
      <c r="A631" s="1">
        <v>629</v>
      </c>
      <c r="B631" s="2" t="s">
        <v>158</v>
      </c>
      <c r="C631" s="13" t="str">
        <f>HYPERLINK(AC2 &amp; "/bulb/3dw_dd316cc7-9b08-419e-b818-ab5ef5c93b24/rendering/00.xyz", "0.0")</f>
        <v>0.0</v>
      </c>
      <c r="D631" s="13" t="str">
        <f>HYPERLINK(AC2 &amp; "/bulb/3dw_dd316cc7-9b08-419e-b818-ab5ef5c93b24/rendering/01.xyz", "0.0")</f>
        <v>0.0</v>
      </c>
      <c r="E631" s="13" t="str">
        <f>HYPERLINK(AC2 &amp; "/bulb/3dw_dd316cc7-9b08-419e-b818-ab5ef5c93b24/rendering/02.xyz", "0.0")</f>
        <v>0.0</v>
      </c>
      <c r="F631" s="13" t="str">
        <f>HYPERLINK(AC2 &amp; "/bulb/3dw_dd316cc7-9b08-419e-b818-ab5ef5c93b24/rendering/03.xyz", "0.0")</f>
        <v>0.0</v>
      </c>
      <c r="G631" s="13" t="str">
        <f>HYPERLINK(AC2 &amp; "/bulb/3dw_dd316cc7-9b08-419e-b818-ab5ef5c93b24/rendering/04.xyz", "0.0")</f>
        <v>0.0</v>
      </c>
      <c r="H631" s="13" t="str">
        <f>HYPERLINK(AC2 &amp; "/bulb/3dw_dd316cc7-9b08-419e-b818-ab5ef5c93b24/rendering/05.xyz", "0.0")</f>
        <v>0.0</v>
      </c>
      <c r="I631" s="13" t="str">
        <f>HYPERLINK(AC2 &amp; "/bulb/3dw_dd316cc7-9b08-419e-b818-ab5ef5c93b24/rendering/06.xyz", "0.0")</f>
        <v>0.0</v>
      </c>
      <c r="J631" s="13" t="str">
        <f>HYPERLINK(AC2 &amp; "/bulb/3dw_dd316cc7-9b08-419e-b818-ab5ef5c93b24/rendering/07.xyz", "0.0")</f>
        <v>0.0</v>
      </c>
      <c r="K631" s="13" t="str">
        <f>HYPERLINK(AC2 &amp; "/bulb/3dw_dd316cc7-9b08-419e-b818-ab5ef5c93b24/rendering/08.xyz", "0.0")</f>
        <v>0.0</v>
      </c>
      <c r="L631" s="13" t="str">
        <f>HYPERLINK(AC2 &amp; "/bulb/3dw_dd316cc7-9b08-419e-b818-ab5ef5c93b24/rendering/09.xyz", "0.0")</f>
        <v>0.0</v>
      </c>
      <c r="M631" s="13" t="str">
        <f>HYPERLINK(AC2 &amp; "/bulb/3dw_dd316cc7-9b08-419e-b818-ab5ef5c93b24/rendering/10.xyz", "0.0")</f>
        <v>0.0</v>
      </c>
      <c r="N631" s="13" t="str">
        <f>HYPERLINK(AC2 &amp; "/bulb/3dw_dd316cc7-9b08-419e-b818-ab5ef5c93b24/rendering/11.xyz", "0.0")</f>
        <v>0.0</v>
      </c>
      <c r="O631" s="13" t="str">
        <f>HYPERLINK(AC2 &amp; "/bulb/3dw_dd316cc7-9b08-419e-b818-ab5ef5c93b24/rendering/12.xyz", "0.0")</f>
        <v>0.0</v>
      </c>
      <c r="P631" s="13" t="str">
        <f>HYPERLINK(AC2 &amp; "/bulb/3dw_dd316cc7-9b08-419e-b818-ab5ef5c93b24/rendering/13.xyz", "0.0")</f>
        <v>0.0</v>
      </c>
      <c r="Q631" s="13" t="str">
        <f>HYPERLINK(AC2 &amp; "/bulb/3dw_dd316cc7-9b08-419e-b818-ab5ef5c93b24/rendering/14.xyz", "0.0")</f>
        <v>0.0</v>
      </c>
      <c r="R631" s="13" t="str">
        <f>HYPERLINK(AC2 &amp; "/bulb/3dw_dd316cc7-9b08-419e-b818-ab5ef5c93b24/rendering/15.xyz", "0.0")</f>
        <v>0.0</v>
      </c>
      <c r="S631" s="13" t="str">
        <f>HYPERLINK(AC2 &amp; "/bulb/3dw_dd316cc7-9b08-419e-b818-ab5ef5c93b24/rendering/16.xyz", "0.0")</f>
        <v>0.0</v>
      </c>
      <c r="T631" s="13" t="str">
        <f>HYPERLINK(AC2 &amp; "/bulb/3dw_dd316cc7-9b08-419e-b818-ab5ef5c93b24/rendering/17.xyz", "0.0")</f>
        <v>0.0</v>
      </c>
      <c r="U631" s="13" t="str">
        <f>HYPERLINK(AC2 &amp; "/bulb/3dw_dd316cc7-9b08-419e-b818-ab5ef5c93b24/rendering/18.xyz", "0.0")</f>
        <v>0.0</v>
      </c>
      <c r="V631" s="13" t="str">
        <f>HYPERLINK(AC2 &amp; "/bulb/3dw_dd316cc7-9b08-419e-b818-ab5ef5c93b24/rendering/19.xyz", "0.0")</f>
        <v>0.0</v>
      </c>
      <c r="W631" s="12" t="s">
        <v>33</v>
      </c>
      <c r="X631" s="13">
        <v>0</v>
      </c>
      <c r="Y631" s="13">
        <v>0</v>
      </c>
      <c r="Z631" s="13">
        <v>0</v>
      </c>
    </row>
    <row r="632" spans="1:26" x14ac:dyDescent="0.2">
      <c r="A632" s="1">
        <v>630</v>
      </c>
      <c r="B632" s="2" t="s">
        <v>159</v>
      </c>
      <c r="C632" s="68" t="str">
        <f>HYPERLINK(AA2 &amp; "/bulb/3dw_e1be4e59-591e-453b-b5b7-ca2ee6b68d2c/rendering/00.obj", "1.6646824646")</f>
        <v>1.6646824646</v>
      </c>
      <c r="D632" s="35" t="str">
        <f>HYPERLINK(AA2 &amp; "/bulb/3dw_e1be4e59-591e-453b-b5b7-ca2ee6b68d2c/rendering/01.obj", "1.63555175781")</f>
        <v>1.63555175781</v>
      </c>
      <c r="E632" s="74" t="str">
        <f>HYPERLINK(AA2 &amp; "/bulb/3dw_e1be4e59-591e-453b-b5b7-ca2ee6b68d2c/rendering/02.obj", "1.71231430054")</f>
        <v>1.71231430054</v>
      </c>
      <c r="F632" s="33" t="str">
        <f>HYPERLINK(AA2 &amp; "/bulb/3dw_e1be4e59-591e-453b-b5b7-ca2ee6b68d2c/rendering/03.obj", "1.54666992187")</f>
        <v>1.54666992187</v>
      </c>
      <c r="G632" s="66" t="str">
        <f>HYPERLINK(AA2 &amp; "/bulb/3dw_e1be4e59-591e-453b-b5b7-ca2ee6b68d2c/rendering/04.obj", "2.01572967529")</f>
        <v>2.01572967529</v>
      </c>
      <c r="H632" s="13" t="str">
        <f>HYPERLINK(AA2 &amp; "/bulb/3dw_e1be4e59-591e-453b-b5b7-ca2ee6b68d2c/rendering/05.obj", "1.73180358887")</f>
        <v>1.73180358887</v>
      </c>
      <c r="I632" s="79" t="str">
        <f>HYPERLINK(AA2 &amp; "/bulb/3dw_e1be4e59-591e-453b-b5b7-ca2ee6b68d2c/rendering/06.obj", "2.01064224243")</f>
        <v>2.01064224243</v>
      </c>
      <c r="J632" s="46" t="str">
        <f>HYPERLINK(AA2 &amp; "/bulb/3dw_e1be4e59-591e-453b-b5b7-ca2ee6b68d2c/rendering/07.obj", "1.70653045654")</f>
        <v>1.70653045654</v>
      </c>
      <c r="K632" s="66" t="str">
        <f>HYPERLINK(AA2 &amp; "/bulb/3dw_e1be4e59-591e-453b-b5b7-ca2ee6b68d2c/rendering/08.obj", "1.45714538574")</f>
        <v>1.45714538574</v>
      </c>
      <c r="L632" s="48" t="str">
        <f>HYPERLINK(AA2 &amp; "/bulb/3dw_e1be4e59-591e-453b-b5b7-ca2ee6b68d2c/rendering/09.obj", "1.78045806885")</f>
        <v>1.78045806885</v>
      </c>
      <c r="M632" s="48" t="str">
        <f>HYPERLINK(AA2 &amp; "/bulb/3dw_e1be4e59-591e-453b-b5b7-ca2ee6b68d2c/rendering/10.obj", "1.69783996582")</f>
        <v>1.69783996582</v>
      </c>
      <c r="N632" s="13" t="str">
        <f>HYPERLINK(AA2 &amp; "/bulb/3dw_e1be4e59-591e-453b-b5b7-ca2ee6b68d2c/rendering/11.obj", "1.73905197144")</f>
        <v>1.73905197144</v>
      </c>
      <c r="O632" s="51" t="str">
        <f>HYPERLINK(AA2 &amp; "/bulb/3dw_e1be4e59-591e-453b-b5b7-ca2ee6b68d2c/rendering/12.obj", "1.87593597412")</f>
        <v>1.87593597412</v>
      </c>
      <c r="P632" s="33" t="str">
        <f>HYPERLINK(AA2 &amp; "/bulb/3dw_e1be4e59-591e-453b-b5b7-ca2ee6b68d2c/rendering/13.obj", "1.55053085327")</f>
        <v>1.55053085327</v>
      </c>
      <c r="Q632" s="46" t="str">
        <f>HYPERLINK(AA2 &amp; "/bulb/3dw_e1be4e59-591e-453b-b5b7-ca2ee6b68d2c/rendering/14.obj", "1.76951324463")</f>
        <v>1.76951324463</v>
      </c>
      <c r="R632" s="106" t="str">
        <f>HYPERLINK(AA2 &amp; "/bulb/3dw_e1be4e59-591e-453b-b5b7-ca2ee6b68d2c/rendering/15.obj", "1.5352633667")</f>
        <v>1.5352633667</v>
      </c>
      <c r="S632" s="27" t="str">
        <f>HYPERLINK(AA2 &amp; "/bulb/3dw_e1be4e59-591e-453b-b5b7-ca2ee6b68d2c/rendering/16.obj", "1.86171234131")</f>
        <v>1.86171234131</v>
      </c>
      <c r="T632" s="8" t="str">
        <f>HYPERLINK(AA2 &amp; "/bulb/3dw_e1be4e59-591e-453b-b5b7-ca2ee6b68d2c/rendering/17.obj", "1.98243087769")</f>
        <v>1.98243087769</v>
      </c>
      <c r="U632" s="107" t="str">
        <f>HYPERLINK(AA2 &amp; "/bulb/3dw_e1be4e59-591e-453b-b5b7-ca2ee6b68d2c/rendering/18.obj", "1.88396835327")</f>
        <v>1.88396835327</v>
      </c>
      <c r="V632" s="38" t="str">
        <f>HYPERLINK(AA2 &amp; "/bulb/3dw_e1be4e59-591e-453b-b5b7-ca2ee6b68d2c/rendering/19.obj", "1.57957077026")</f>
        <v>1.57957077026</v>
      </c>
      <c r="W632" s="12" t="s">
        <v>29</v>
      </c>
      <c r="X632" s="13">
        <v>1.736867279052734</v>
      </c>
      <c r="Y632" s="13">
        <v>0.1590013592732582</v>
      </c>
      <c r="Z632" s="67">
        <v>9.1544910305395119E-2</v>
      </c>
    </row>
    <row r="633" spans="1:26" x14ac:dyDescent="0.2">
      <c r="A633" s="1">
        <v>631</v>
      </c>
      <c r="B633" s="2" t="s">
        <v>159</v>
      </c>
      <c r="C633" s="6" t="str">
        <f>HYPERLINK(AA2 &amp; "/bulb/3dw_e1be4e59-591e-453b-b5b7-ca2ee6b68d2c/rendering/00.obj", "3.38558506966")</f>
        <v>3.38558506966</v>
      </c>
      <c r="D633" s="46" t="str">
        <f>HYPERLINK(AA2 &amp; "/bulb/3dw_e1be4e59-591e-453b-b5b7-ca2ee6b68d2c/rendering/01.obj", "3.60532832146")</f>
        <v>3.60532832146</v>
      </c>
      <c r="E633" s="91" t="str">
        <f>HYPERLINK(AA2 &amp; "/bulb/3dw_e1be4e59-591e-453b-b5b7-ca2ee6b68d2c/rendering/02.obj", "3.44734025002")</f>
        <v>3.44734025002</v>
      </c>
      <c r="F633" s="63" t="str">
        <f>HYPERLINK(AA2 &amp; "/bulb/3dw_e1be4e59-591e-453b-b5b7-ca2ee6b68d2c/rendering/03.obj", "3.12058949471")</f>
        <v>3.12058949471</v>
      </c>
      <c r="G633" s="90" t="str">
        <f>HYPERLINK(AA2 &amp; "/bulb/3dw_e1be4e59-591e-453b-b5b7-ca2ee6b68d2c/rendering/04.obj", "3.89130616188")</f>
        <v>3.89130616188</v>
      </c>
      <c r="H633" s="107" t="str">
        <f>HYPERLINK(AA2 &amp; "/bulb/3dw_e1be4e59-591e-453b-b5b7-ca2ee6b68d2c/rendering/05.obj", "3.25779342651")</f>
        <v>3.25779342651</v>
      </c>
      <c r="I633" s="63" t="str">
        <f>HYPERLINK(AA2 &amp; "/bulb/3dw_e1be4e59-591e-453b-b5b7-ca2ee6b68d2c/rendering/06.obj", "3.97137022018")</f>
        <v>3.97137022018</v>
      </c>
      <c r="J633" s="29" t="str">
        <f>HYPERLINK(AA2 &amp; "/bulb/3dw_e1be4e59-591e-453b-b5b7-ca2ee6b68d2c/rendering/07.obj", "4.0054693222")</f>
        <v>4.0054693222</v>
      </c>
      <c r="K633" s="107" t="str">
        <f>HYPERLINK(AA2 &amp; "/bulb/3dw_e1be4e59-591e-453b-b5b7-ca2ee6b68d2c/rendering/08.obj", "3.24816131592")</f>
        <v>3.24816131592</v>
      </c>
      <c r="L633" s="29" t="str">
        <f>HYPERLINK(AA2 &amp; "/bulb/3dw_e1be4e59-591e-453b-b5b7-ca2ee6b68d2c/rendering/09.obj", "4.00595188141")</f>
        <v>4.00595188141</v>
      </c>
      <c r="M633" s="29" t="str">
        <f>HYPERLINK(AA2 &amp; "/bulb/3dw_e1be4e59-591e-453b-b5b7-ca2ee6b68d2c/rendering/10.obj", "3.08353376389")</f>
        <v>3.08353376389</v>
      </c>
      <c r="N633" s="34" t="str">
        <f>HYPERLINK(AA2 &amp; "/bulb/3dw_e1be4e59-591e-453b-b5b7-ca2ee6b68d2c/rendering/11.obj", "3.71902060509")</f>
        <v>3.71902060509</v>
      </c>
      <c r="O633" s="69" t="str">
        <f>HYPERLINK(AA2 &amp; "/bulb/3dw_e1be4e59-591e-453b-b5b7-ca2ee6b68d2c/rendering/12.obj", "3.65001749992")</f>
        <v>3.65001749992</v>
      </c>
      <c r="P633" s="28" t="str">
        <f>HYPERLINK(AA2 &amp; "/bulb/3dw_e1be4e59-591e-453b-b5b7-ca2ee6b68d2c/rendering/13.obj", "3.14971399307")</f>
        <v>3.14971399307</v>
      </c>
      <c r="Q633" s="5" t="str">
        <f>HYPERLINK(AA2 &amp; "/bulb/3dw_e1be4e59-591e-453b-b5b7-ca2ee6b68d2c/rendering/14.obj", "3.27578926086")</f>
        <v>3.27578926086</v>
      </c>
      <c r="R633" s="110" t="str">
        <f>HYPERLINK(AA2 &amp; "/bulb/3dw_e1be4e59-591e-453b-b5b7-ca2ee6b68d2c/rendering/15.obj", "3.19611811638")</f>
        <v>3.19611811638</v>
      </c>
      <c r="S633" s="93" t="str">
        <f>HYPERLINK(AA2 &amp; "/bulb/3dw_e1be4e59-591e-453b-b5b7-ca2ee6b68d2c/rendering/16.obj", "4.04191350937")</f>
        <v>4.04191350937</v>
      </c>
      <c r="T633" s="84" t="str">
        <f>HYPERLINK(AA2 &amp; "/bulb/3dw_e1be4e59-591e-453b-b5b7-ca2ee6b68d2c/rendering/17.obj", "4.06413793564")</f>
        <v>4.06413793564</v>
      </c>
      <c r="U633" s="48" t="str">
        <f>HYPERLINK(AA2 &amp; "/bulb/3dw_e1be4e59-591e-453b-b5b7-ca2ee6b68d2c/rendering/18.obj", "3.63036632538")</f>
        <v>3.63036632538</v>
      </c>
      <c r="V633" s="110" t="str">
        <f>HYPERLINK(AA2 &amp; "/bulb/3dw_e1be4e59-591e-453b-b5b7-ca2ee6b68d2c/rendering/19.obj", "3.19335865974")</f>
        <v>3.19335865974</v>
      </c>
      <c r="W633" s="12" t="s">
        <v>30</v>
      </c>
      <c r="X633" s="13">
        <v>3.5471432566642762</v>
      </c>
      <c r="Y633" s="13">
        <v>0.34405847327112932</v>
      </c>
      <c r="Z633" s="90">
        <v>9.6995934016682744E-2</v>
      </c>
    </row>
    <row r="634" spans="1:26" x14ac:dyDescent="0.2">
      <c r="A634" s="1">
        <v>632</v>
      </c>
      <c r="B634" s="2" t="s">
        <v>159</v>
      </c>
      <c r="C634" s="63" t="str">
        <f>HYPERLINK(AB2 &amp; "/bulb/3dw_e1be4e59-591e-453b-b5b7-ca2ee6b68d2c/rendering/00.obj", "1.51878829956")</f>
        <v>1.51878829956</v>
      </c>
      <c r="D634" s="5" t="str">
        <f>HYPERLINK(AB2 &amp; "/bulb/3dw_e1be4e59-591e-453b-b5b7-ca2ee6b68d2c/rendering/01.obj", "1.86015975952")</f>
        <v>1.86015975952</v>
      </c>
      <c r="E634" s="13" t="str">
        <f>HYPERLINK(AB2 &amp; "/bulb/3dw_e1be4e59-591e-453b-b5b7-ca2ee6b68d2c/rendering/02.obj", "1.72706558228")</f>
        <v>1.72706558228</v>
      </c>
      <c r="F634" s="32" t="str">
        <f>HYPERLINK(AB2 &amp; "/bulb/3dw_e1be4e59-591e-453b-b5b7-ca2ee6b68d2c/rendering/03.obj", "1.54522674561")</f>
        <v>1.54522674561</v>
      </c>
      <c r="G634" s="38" t="str">
        <f>HYPERLINK(AB2 &amp; "/bulb/3dw_e1be4e59-591e-453b-b5b7-ca2ee6b68d2c/rendering/04.obj", "1.88470916748")</f>
        <v>1.88470916748</v>
      </c>
      <c r="H634" s="69" t="str">
        <f>HYPERLINK(AB2 &amp; "/bulb/3dw_e1be4e59-591e-453b-b5b7-ca2ee6b68d2c/rendering/05.obj", "1.6783291626")</f>
        <v>1.6783291626</v>
      </c>
      <c r="I634" s="26" t="str">
        <f>HYPERLINK(AB2 &amp; "/bulb/3dw_e1be4e59-591e-453b-b5b7-ca2ee6b68d2c/rendering/06.obj", "1.83863861084")</f>
        <v>1.83863861084</v>
      </c>
      <c r="J634" s="35" t="str">
        <f>HYPERLINK(AB2 &amp; "/bulb/3dw_e1be4e59-591e-453b-b5b7-ca2ee6b68d2c/rendering/07.obj", "1.8274621582")</f>
        <v>1.8274621582</v>
      </c>
      <c r="K634" s="133" t="str">
        <f>HYPERLINK(AB2 &amp; "/bulb/3dw_e1be4e59-591e-453b-b5b7-ca2ee6b68d2c/rendering/08.obj", "1.90708374023")</f>
        <v>1.90708374023</v>
      </c>
      <c r="L634" s="51" t="str">
        <f>HYPERLINK(AB2 &amp; "/bulb/3dw_e1be4e59-591e-453b-b5b7-ca2ee6b68d2c/rendering/09.obj", "1.86609924316")</f>
        <v>1.86609924316</v>
      </c>
      <c r="M634" s="32" t="str">
        <f>HYPERLINK(AB2 &amp; "/bulb/3dw_e1be4e59-591e-453b-b5b7-ca2ee6b68d2c/rendering/10.obj", "1.54995147705")</f>
        <v>1.54995147705</v>
      </c>
      <c r="N634" s="73" t="str">
        <f>HYPERLINK(AB2 &amp; "/bulb/3dw_e1be4e59-591e-453b-b5b7-ca2ee6b68d2c/rendering/11.obj", "1.66723983765")</f>
        <v>1.66723983765</v>
      </c>
      <c r="O634" s="90" t="str">
        <f>HYPERLINK(AB2 &amp; "/bulb/3dw_e1be4e59-591e-453b-b5b7-ca2ee6b68d2c/rendering/12.obj", "1.56245391846")</f>
        <v>1.56245391846</v>
      </c>
      <c r="P634" s="91" t="str">
        <f>HYPERLINK(AB2 &amp; "/bulb/3dw_e1be4e59-591e-453b-b5b7-ca2ee6b68d2c/rendering/13.obj", "1.7765536499")</f>
        <v>1.7765536499</v>
      </c>
      <c r="Q634" s="47" t="str">
        <f>HYPERLINK(AB2 &amp; "/bulb/3dw_e1be4e59-591e-453b-b5b7-ca2ee6b68d2c/rendering/14.obj", "1.74271270752")</f>
        <v>1.74271270752</v>
      </c>
      <c r="R634" s="91" t="str">
        <f>HYPERLINK(AB2 &amp; "/bulb/3dw_e1be4e59-591e-453b-b5b7-ca2ee6b68d2c/rendering/15.obj", "1.6804737854")</f>
        <v>1.6804737854</v>
      </c>
      <c r="S634" s="47" t="str">
        <f>HYPERLINK(AB2 &amp; "/bulb/3dw_e1be4e59-591e-453b-b5b7-ca2ee6b68d2c/rendering/16.obj", "1.71538330078")</f>
        <v>1.71538330078</v>
      </c>
      <c r="T634" s="17" t="str">
        <f>HYPERLINK(AB2 &amp; "/bulb/3dw_e1be4e59-591e-453b-b5b7-ca2ee6b68d2c/rendering/17.obj", "1.76343353271")</f>
        <v>1.76343353271</v>
      </c>
      <c r="U634" s="91" t="str">
        <f>HYPERLINK(AB2 &amp; "/bulb/3dw_e1be4e59-591e-453b-b5b7-ca2ee6b68d2c/rendering/18.obj", "1.77716400146")</f>
        <v>1.77716400146</v>
      </c>
      <c r="V634" s="48" t="str">
        <f>HYPERLINK(AB2 &amp; "/bulb/3dw_e1be4e59-591e-453b-b5b7-ca2ee6b68d2c/rendering/19.obj", "1.69054656982")</f>
        <v>1.69054656982</v>
      </c>
      <c r="W634" s="12" t="s">
        <v>31</v>
      </c>
      <c r="X634" s="13">
        <v>1.728973762512207</v>
      </c>
      <c r="Y634" s="13">
        <v>0.1157131128967443</v>
      </c>
      <c r="Z634" s="41">
        <v>6.6925892923101721E-2</v>
      </c>
    </row>
    <row r="635" spans="1:26" x14ac:dyDescent="0.2">
      <c r="A635" s="1">
        <v>633</v>
      </c>
      <c r="B635" s="2" t="s">
        <v>159</v>
      </c>
      <c r="C635" s="41" t="str">
        <f>HYPERLINK(AB2 &amp; "/bulb/3dw_e1be4e59-591e-453b-b5b7-ca2ee6b68d2c/rendering/00.obj", "3.12801194191")</f>
        <v>3.12801194191</v>
      </c>
      <c r="D635" s="27" t="str">
        <f>HYPERLINK(AB2 &amp; "/bulb/3dw_e1be4e59-591e-453b-b5b7-ca2ee6b68d2c/rendering/01.obj", "3.58750486374")</f>
        <v>3.58750486374</v>
      </c>
      <c r="E635" s="6" t="str">
        <f>HYPERLINK(AB2 &amp; "/bulb/3dw_e1be4e59-591e-453b-b5b7-ca2ee6b68d2c/rendering/02.obj", "3.51085400581")</f>
        <v>3.51085400581</v>
      </c>
      <c r="F635" s="27" t="str">
        <f>HYPERLINK(AB2 &amp; "/bulb/3dw_e1be4e59-591e-453b-b5b7-ca2ee6b68d2c/rendering/03.obj", "3.12070178986")</f>
        <v>3.12070178986</v>
      </c>
      <c r="G635" s="74" t="str">
        <f>HYPERLINK(AB2 &amp; "/bulb/3dw_e1be4e59-591e-453b-b5b7-ca2ee6b68d2c/rendering/04.obj", "3.40665793419")</f>
        <v>3.40665793419</v>
      </c>
      <c r="H635" s="48" t="str">
        <f>HYPERLINK(AB2 &amp; "/bulb/3dw_e1be4e59-591e-453b-b5b7-ca2ee6b68d2c/rendering/05.obj", "3.2748568058")</f>
        <v>3.2748568058</v>
      </c>
      <c r="I635" s="30" t="str">
        <f>HYPERLINK(AB2 &amp; "/bulb/3dw_e1be4e59-591e-453b-b5b7-ca2ee6b68d2c/rendering/06.obj", "3.33728647232")</f>
        <v>3.33728647232</v>
      </c>
      <c r="J635" s="34" t="str">
        <f>HYPERLINK(AB2 &amp; "/bulb/3dw_e1be4e59-591e-453b-b5b7-ca2ee6b68d2c/rendering/07.obj", "3.52104187012")</f>
        <v>3.52104187012</v>
      </c>
      <c r="K635" s="133" t="str">
        <f>HYPERLINK(AB2 &amp; "/bulb/3dw_e1be4e59-591e-453b-b5b7-ca2ee6b68d2c/rendering/08.obj", "3.69797873497")</f>
        <v>3.69797873497</v>
      </c>
      <c r="L635" s="39" t="str">
        <f>HYPERLINK(AB2 &amp; "/bulb/3dw_e1be4e59-591e-453b-b5b7-ca2ee6b68d2c/rendering/09.obj", "3.65033483505")</f>
        <v>3.65033483505</v>
      </c>
      <c r="M635" s="51" t="str">
        <f>HYPERLINK(AB2 &amp; "/bulb/3dw_e1be4e59-591e-453b-b5b7-ca2ee6b68d2c/rendering/10.obj", "3.08217048645")</f>
        <v>3.08217048645</v>
      </c>
      <c r="N635" s="91" t="str">
        <f>HYPERLINK(AB2 &amp; "/bulb/3dw_e1be4e59-591e-453b-b5b7-ca2ee6b68d2c/rendering/11.obj", "3.26873707771")</f>
        <v>3.26873707771</v>
      </c>
      <c r="O635" s="5" t="str">
        <f>HYPERLINK(AB2 &amp; "/bulb/3dw_e1be4e59-591e-453b-b5b7-ca2ee6b68d2c/rendering/12.obj", "3.10239720345")</f>
        <v>3.10239720345</v>
      </c>
      <c r="P635" s="69" t="str">
        <f>HYPERLINK(AB2 &amp; "/bulb/3dw_e1be4e59-591e-453b-b5b7-ca2ee6b68d2c/rendering/13.obj", "3.45878410339")</f>
        <v>3.45878410339</v>
      </c>
      <c r="Q635" s="46" t="str">
        <f>HYPERLINK(AB2 &amp; "/bulb/3dw_e1be4e59-591e-453b-b5b7-ca2ee6b68d2c/rendering/14.obj", "3.41502475739")</f>
        <v>3.41502475739</v>
      </c>
      <c r="R635" s="17" t="str">
        <f>HYPERLINK(AB2 &amp; "/bulb/3dw_e1be4e59-591e-453b-b5b7-ca2ee6b68d2c/rendering/15.obj", "3.29120588303")</f>
        <v>3.29120588303</v>
      </c>
      <c r="S635" s="68" t="str">
        <f>HYPERLINK(AB2 &amp; "/bulb/3dw_e1be4e59-591e-453b-b5b7-ca2ee6b68d2c/rendering/16.obj", "3.21516227722")</f>
        <v>3.21516227722</v>
      </c>
      <c r="T635" s="60" t="str">
        <f>HYPERLINK(AB2 &amp; "/bulb/3dw_e1be4e59-591e-453b-b5b7-ca2ee6b68d2c/rendering/17.obj", "3.18172359467")</f>
        <v>3.18172359467</v>
      </c>
      <c r="U635" s="67" t="str">
        <f>HYPERLINK(AB2 &amp; "/bulb/3dw_e1be4e59-591e-453b-b5b7-ca2ee6b68d2c/rendering/18.obj", "3.6711127758")</f>
        <v>3.6711127758</v>
      </c>
      <c r="V635" s="34" t="str">
        <f>HYPERLINK(AB2 &amp; "/bulb/3dw_e1be4e59-591e-453b-b5b7-ca2ee6b68d2c/rendering/19.obj", "3.19311881065")</f>
        <v>3.19311881065</v>
      </c>
      <c r="W635" s="12" t="s">
        <v>32</v>
      </c>
      <c r="X635" s="13">
        <v>3.3557333111763001</v>
      </c>
      <c r="Y635" s="13">
        <v>0.19575890751466979</v>
      </c>
      <c r="Z635" s="35">
        <v>5.8335657026943412E-2</v>
      </c>
    </row>
    <row r="636" spans="1:26" x14ac:dyDescent="0.2">
      <c r="A636" s="1">
        <v>634</v>
      </c>
      <c r="B636" s="2" t="s">
        <v>159</v>
      </c>
      <c r="C636" s="13" t="str">
        <f>HYPERLINK(AC2 &amp; "/bulb/3dw_e1be4e59-591e-453b-b5b7-ca2ee6b68d2c/rendering/00.xyz", "0.0")</f>
        <v>0.0</v>
      </c>
      <c r="D636" s="13" t="str">
        <f>HYPERLINK(AC2 &amp; "/bulb/3dw_e1be4e59-591e-453b-b5b7-ca2ee6b68d2c/rendering/01.xyz", "0.0")</f>
        <v>0.0</v>
      </c>
      <c r="E636" s="13" t="str">
        <f>HYPERLINK(AC2 &amp; "/bulb/3dw_e1be4e59-591e-453b-b5b7-ca2ee6b68d2c/rendering/02.xyz", "0.0")</f>
        <v>0.0</v>
      </c>
      <c r="F636" s="13" t="str">
        <f>HYPERLINK(AC2 &amp; "/bulb/3dw_e1be4e59-591e-453b-b5b7-ca2ee6b68d2c/rendering/03.xyz", "0.0")</f>
        <v>0.0</v>
      </c>
      <c r="G636" s="13" t="str">
        <f>HYPERLINK(AC2 &amp; "/bulb/3dw_e1be4e59-591e-453b-b5b7-ca2ee6b68d2c/rendering/04.xyz", "0.0")</f>
        <v>0.0</v>
      </c>
      <c r="H636" s="13" t="str">
        <f>HYPERLINK(AC2 &amp; "/bulb/3dw_e1be4e59-591e-453b-b5b7-ca2ee6b68d2c/rendering/05.xyz", "0.0")</f>
        <v>0.0</v>
      </c>
      <c r="I636" s="13" t="str">
        <f>HYPERLINK(AC2 &amp; "/bulb/3dw_e1be4e59-591e-453b-b5b7-ca2ee6b68d2c/rendering/06.xyz", "0.0")</f>
        <v>0.0</v>
      </c>
      <c r="J636" s="13" t="str">
        <f>HYPERLINK(AC2 &amp; "/bulb/3dw_e1be4e59-591e-453b-b5b7-ca2ee6b68d2c/rendering/07.xyz", "0.0")</f>
        <v>0.0</v>
      </c>
      <c r="K636" s="13" t="str">
        <f>HYPERLINK(AC2 &amp; "/bulb/3dw_e1be4e59-591e-453b-b5b7-ca2ee6b68d2c/rendering/08.xyz", "0.0")</f>
        <v>0.0</v>
      </c>
      <c r="L636" s="13" t="str">
        <f>HYPERLINK(AC2 &amp; "/bulb/3dw_e1be4e59-591e-453b-b5b7-ca2ee6b68d2c/rendering/09.xyz", "0.0")</f>
        <v>0.0</v>
      </c>
      <c r="M636" s="13" t="str">
        <f>HYPERLINK(AC2 &amp; "/bulb/3dw_e1be4e59-591e-453b-b5b7-ca2ee6b68d2c/rendering/10.xyz", "0.0")</f>
        <v>0.0</v>
      </c>
      <c r="N636" s="13" t="str">
        <f>HYPERLINK(AC2 &amp; "/bulb/3dw_e1be4e59-591e-453b-b5b7-ca2ee6b68d2c/rendering/11.xyz", "0.0")</f>
        <v>0.0</v>
      </c>
      <c r="O636" s="13" t="str">
        <f>HYPERLINK(AC2 &amp; "/bulb/3dw_e1be4e59-591e-453b-b5b7-ca2ee6b68d2c/rendering/12.xyz", "0.0")</f>
        <v>0.0</v>
      </c>
      <c r="P636" s="13" t="str">
        <f>HYPERLINK(AC2 &amp; "/bulb/3dw_e1be4e59-591e-453b-b5b7-ca2ee6b68d2c/rendering/13.xyz", "0.0")</f>
        <v>0.0</v>
      </c>
      <c r="Q636" s="13" t="str">
        <f>HYPERLINK(AC2 &amp; "/bulb/3dw_e1be4e59-591e-453b-b5b7-ca2ee6b68d2c/rendering/14.xyz", "0.0")</f>
        <v>0.0</v>
      </c>
      <c r="R636" s="13" t="str">
        <f>HYPERLINK(AC2 &amp; "/bulb/3dw_e1be4e59-591e-453b-b5b7-ca2ee6b68d2c/rendering/15.xyz", "0.0")</f>
        <v>0.0</v>
      </c>
      <c r="S636" s="13" t="str">
        <f>HYPERLINK(AC2 &amp; "/bulb/3dw_e1be4e59-591e-453b-b5b7-ca2ee6b68d2c/rendering/16.xyz", "0.0")</f>
        <v>0.0</v>
      </c>
      <c r="T636" s="13" t="str">
        <f>HYPERLINK(AC2 &amp; "/bulb/3dw_e1be4e59-591e-453b-b5b7-ca2ee6b68d2c/rendering/17.xyz", "0.0")</f>
        <v>0.0</v>
      </c>
      <c r="U636" s="13" t="str">
        <f>HYPERLINK(AC2 &amp; "/bulb/3dw_e1be4e59-591e-453b-b5b7-ca2ee6b68d2c/rendering/18.xyz", "0.0")</f>
        <v>0.0</v>
      </c>
      <c r="V636" s="13" t="str">
        <f>HYPERLINK(AC2 &amp; "/bulb/3dw_e1be4e59-591e-453b-b5b7-ca2ee6b68d2c/rendering/19.xyz", "0.0")</f>
        <v>0.0</v>
      </c>
      <c r="W636" s="12" t="s">
        <v>33</v>
      </c>
      <c r="X636" s="13">
        <v>0</v>
      </c>
      <c r="Y636" s="13">
        <v>0</v>
      </c>
      <c r="Z636" s="13">
        <v>0</v>
      </c>
    </row>
    <row r="637" spans="1:26" x14ac:dyDescent="0.2">
      <c r="A637" s="1">
        <v>635</v>
      </c>
      <c r="B637" s="2" t="s">
        <v>160</v>
      </c>
      <c r="C637" s="133" t="str">
        <f>HYPERLINK(AA2 &amp; "/bulb/3dw_e2ce5517-db66-4dc7-bcaf-5bb359a332cf/rendering/00.obj", "1.09959777832")</f>
        <v>1.09959777832</v>
      </c>
      <c r="D637" s="91" t="str">
        <f>HYPERLINK(AA2 &amp; "/bulb/3dw_e2ce5517-db66-4dc7-bcaf-5bb359a332cf/rendering/01.obj", "0.972860641479")</f>
        <v>0.972860641479</v>
      </c>
      <c r="E637" s="78" t="str">
        <f>HYPERLINK(AA2 &amp; "/bulb/3dw_e2ce5517-db66-4dc7-bcaf-5bb359a332cf/rendering/02.obj", "1.06001205444")</f>
        <v>1.06001205444</v>
      </c>
      <c r="F637" s="94" t="str">
        <f>HYPERLINK(AA2 &amp; "/bulb/3dw_e2ce5517-db66-4dc7-bcaf-5bb359a332cf/rendering/03.obj", "0.925668029785")</f>
        <v>0.925668029785</v>
      </c>
      <c r="G637" s="13" t="str">
        <f>HYPERLINK(AA2 &amp; "/bulb/3dw_e2ce5517-db66-4dc7-bcaf-5bb359a332cf/rendering/04.obj", "1.00072494507")</f>
        <v>1.00072494507</v>
      </c>
      <c r="H637" s="46" t="str">
        <f>HYPERLINK(AA2 &amp; "/bulb/3dw_e2ce5517-db66-4dc7-bcaf-5bb359a332cf/rendering/05.obj", "1.01557731628")</f>
        <v>1.01557731628</v>
      </c>
      <c r="I637" s="28" t="str">
        <f>HYPERLINK(AA2 &amp; "/bulb/3dw_e2ce5517-db66-4dc7-bcaf-5bb359a332cf/rendering/06.obj", "0.887136230469")</f>
        <v>0.887136230469</v>
      </c>
      <c r="J637" s="26" t="str">
        <f>HYPERLINK(AA2 &amp; "/bulb/3dw_e2ce5517-db66-4dc7-bcaf-5bb359a332cf/rendering/07.obj", "1.06157333374")</f>
        <v>1.06157333374</v>
      </c>
      <c r="K637" s="47" t="str">
        <f>HYPERLINK(AA2 &amp; "/bulb/3dw_e2ce5517-db66-4dc7-bcaf-5bb359a332cf/rendering/08.obj", "1.00601409912")</f>
        <v>1.00601409912</v>
      </c>
      <c r="L637" s="78" t="str">
        <f>HYPERLINK(AA2 &amp; "/bulb/3dw_e2ce5517-db66-4dc7-bcaf-5bb359a332cf/rendering/09.obj", "0.936347885132")</f>
        <v>0.936347885132</v>
      </c>
      <c r="M637" s="74" t="str">
        <f>HYPERLINK(AA2 &amp; "/bulb/3dw_e2ce5517-db66-4dc7-bcaf-5bb359a332cf/rendering/10.obj", "1.01170639038")</f>
        <v>1.01170639038</v>
      </c>
      <c r="N637" s="30" t="str">
        <f>HYPERLINK(AA2 &amp; "/bulb/3dw_e2ce5517-db66-4dc7-bcaf-5bb359a332cf/rendering/11.obj", "1.00355102539")</f>
        <v>1.00355102539</v>
      </c>
      <c r="O637" s="23" t="str">
        <f>HYPERLINK(AA2 &amp; "/bulb/3dw_e2ce5517-db66-4dc7-bcaf-5bb359a332cf/rendering/12.obj", "1.0389818573")</f>
        <v>1.0389818573</v>
      </c>
      <c r="P637" s="91" t="str">
        <f>HYPERLINK(AA2 &amp; "/bulb/3dw_e2ce5517-db66-4dc7-bcaf-5bb359a332cf/rendering/13.obj", "1.02354034424")</f>
        <v>1.02354034424</v>
      </c>
      <c r="Q637" s="33" t="str">
        <f>HYPERLINK(AA2 &amp; "/bulb/3dw_e2ce5517-db66-4dc7-bcaf-5bb359a332cf/rendering/14.obj", "1.1059980011")</f>
        <v>1.1059980011</v>
      </c>
      <c r="R637" s="92" t="str">
        <f>HYPERLINK(AA2 &amp; "/bulb/3dw_e2ce5517-db66-4dc7-bcaf-5bb359a332cf/rendering/15.obj", "0.874745483398")</f>
        <v>0.874745483398</v>
      </c>
      <c r="S637" s="23" t="str">
        <f>HYPERLINK(AA2 &amp; "/bulb/3dw_e2ce5517-db66-4dc7-bcaf-5bb359a332cf/rendering/16.obj", "0.959507446289")</f>
        <v>0.959507446289</v>
      </c>
      <c r="T637" s="72" t="str">
        <f>HYPERLINK(AA2 &amp; "/bulb/3dw_e2ce5517-db66-4dc7-bcaf-5bb359a332cf/rendering/17.obj", "0.964338684082")</f>
        <v>0.964338684082</v>
      </c>
      <c r="U637" s="5" t="str">
        <f>HYPERLINK(AA2 &amp; "/bulb/3dw_e2ce5517-db66-4dc7-bcaf-5bb359a332cf/rendering/18.obj", "1.07566932678")</f>
        <v>1.07566932678</v>
      </c>
      <c r="V637" s="10" t="str">
        <f>HYPERLINK(AA2 &amp; "/bulb/3dw_e2ce5517-db66-4dc7-bcaf-5bb359a332cf/rendering/19.obj", "0.943149032593")</f>
        <v>0.943149032593</v>
      </c>
      <c r="W637" s="12" t="s">
        <v>29</v>
      </c>
      <c r="X637" s="13">
        <v>0.99833499526977543</v>
      </c>
      <c r="Y637" s="13">
        <v>6.3876779673505343E-2</v>
      </c>
      <c r="Z637" s="26">
        <v>6.3983312190958722E-2</v>
      </c>
    </row>
    <row r="638" spans="1:26" x14ac:dyDescent="0.2">
      <c r="A638" s="1">
        <v>636</v>
      </c>
      <c r="B638" s="2" t="s">
        <v>160</v>
      </c>
      <c r="C638" s="69" t="str">
        <f>HYPERLINK(AA2 &amp; "/bulb/3dw_e2ce5517-db66-4dc7-bcaf-5bb359a332cf/rendering/00.obj", "3.14103126526")</f>
        <v>3.14103126526</v>
      </c>
      <c r="D638" s="25" t="str">
        <f>HYPERLINK(AA2 &amp; "/bulb/3dw_e2ce5517-db66-4dc7-bcaf-5bb359a332cf/rendering/01.obj", "3.08717513084")</f>
        <v>3.08717513084</v>
      </c>
      <c r="E638" s="47" t="str">
        <f>HYPERLINK(AA2 &amp; "/bulb/3dw_e2ce5517-db66-4dc7-bcaf-5bb359a332cf/rendering/02.obj", "3.02332663536")</f>
        <v>3.02332663536</v>
      </c>
      <c r="F638" s="23" t="str">
        <f>HYPERLINK(AA2 &amp; "/bulb/3dw_e2ce5517-db66-4dc7-bcaf-5bb359a332cf/rendering/03.obj", "2.93467998505")</f>
        <v>2.93467998505</v>
      </c>
      <c r="G638" s="73" t="str">
        <f>HYPERLINK(AA2 &amp; "/bulb/3dw_e2ce5517-db66-4dc7-bcaf-5bb359a332cf/rendering/04.obj", "2.94329190254")</f>
        <v>2.94329190254</v>
      </c>
      <c r="H638" s="69" t="str">
        <f>HYPERLINK(AA2 &amp; "/bulb/3dw_e2ce5517-db66-4dc7-bcaf-5bb359a332cf/rendering/05.obj", "3.14234352112")</f>
        <v>3.14234352112</v>
      </c>
      <c r="I638" s="106" t="str">
        <f>HYPERLINK(AA2 &amp; "/bulb/3dw_e2ce5517-db66-4dc7-bcaf-5bb359a332cf/rendering/06.obj", "2.70321369171")</f>
        <v>2.70321369171</v>
      </c>
      <c r="J638" s="30" t="str">
        <f>HYPERLINK(AA2 &amp; "/bulb/3dw_e2ce5517-db66-4dc7-bcaf-5bb359a332cf/rendering/07.obj", "3.03678798676")</f>
        <v>3.03678798676</v>
      </c>
      <c r="K638" s="94" t="str">
        <f>HYPERLINK(AA2 &amp; "/bulb/3dw_e2ce5517-db66-4dc7-bcaf-5bb359a332cf/rendering/08.obj", "3.27477622032")</f>
        <v>3.27477622032</v>
      </c>
      <c r="L638" s="39" t="str">
        <f>HYPERLINK(AA2 &amp; "/bulb/3dw_e2ce5517-db66-4dc7-bcaf-5bb359a332cf/rendering/09.obj", "2.78737711906")</f>
        <v>2.78737711906</v>
      </c>
      <c r="M638" s="110" t="str">
        <f>HYPERLINK(AA2 &amp; "/bulb/3dw_e2ce5517-db66-4dc7-bcaf-5bb359a332cf/rendering/10.obj", "3.35145139694")</f>
        <v>3.35145139694</v>
      </c>
      <c r="N638" s="48" t="str">
        <f>HYPERLINK(AA2 &amp; "/bulb/3dw_e2ce5517-db66-4dc7-bcaf-5bb359a332cf/rendering/11.obj", "3.12162590027")</f>
        <v>3.12162590027</v>
      </c>
      <c r="O638" s="26" t="str">
        <f>HYPERLINK(AA2 &amp; "/bulb/3dw_e2ce5517-db66-4dc7-bcaf-5bb359a332cf/rendering/12.obj", "3.24415230751")</f>
        <v>3.24415230751</v>
      </c>
      <c r="P638" s="6" t="str">
        <f>HYPERLINK(AA2 &amp; "/bulb/3dw_e2ce5517-db66-4dc7-bcaf-5bb359a332cf/rendering/13.obj", "2.91587567329")</f>
        <v>2.91587567329</v>
      </c>
      <c r="Q638" s="39" t="str">
        <f>HYPERLINK(AA2 &amp; "/bulb/3dw_e2ce5517-db66-4dc7-bcaf-5bb359a332cf/rendering/14.obj", "3.31625628471")</f>
        <v>3.31625628471</v>
      </c>
      <c r="R638" s="106" t="str">
        <f>HYPERLINK(AA2 &amp; "/bulb/3dw_e2ce5517-db66-4dc7-bcaf-5bb359a332cf/rendering/15.obj", "2.70576524734")</f>
        <v>2.70576524734</v>
      </c>
      <c r="S638" s="91" t="str">
        <f>HYPERLINK(AA2 &amp; "/bulb/3dw_e2ce5517-db66-4dc7-bcaf-5bb359a332cf/rendering/16.obj", "2.97017621994")</f>
        <v>2.97017621994</v>
      </c>
      <c r="T638" s="30" t="str">
        <f>HYPERLINK(AA2 &amp; "/bulb/3dw_e2ce5517-db66-4dc7-bcaf-5bb359a332cf/rendering/17.obj", "3.06430029869")</f>
        <v>3.06430029869</v>
      </c>
      <c r="U638" s="65" t="str">
        <f>HYPERLINK(AA2 &amp; "/bulb/3dw_e2ce5517-db66-4dc7-bcaf-5bb359a332cf/rendering/18.obj", "3.45634746552")</f>
        <v>3.45634746552</v>
      </c>
      <c r="V638" s="51" t="str">
        <f>HYPERLINK(AA2 &amp; "/bulb/3dw_e2ce5517-db66-4dc7-bcaf-5bb359a332cf/rendering/19.obj", "2.81203651428")</f>
        <v>2.81203651428</v>
      </c>
      <c r="W638" s="12" t="s">
        <v>30</v>
      </c>
      <c r="X638" s="13">
        <v>3.051599538326264</v>
      </c>
      <c r="Y638" s="13">
        <v>0.2065031375850821</v>
      </c>
      <c r="Z638" s="41">
        <v>6.7670457735861569E-2</v>
      </c>
    </row>
    <row r="639" spans="1:26" x14ac:dyDescent="0.2">
      <c r="A639" s="1">
        <v>637</v>
      </c>
      <c r="B639" s="2" t="s">
        <v>160</v>
      </c>
      <c r="C639" s="17" t="str">
        <f>HYPERLINK(AB2 &amp; "/bulb/3dw_e2ce5517-db66-4dc7-bcaf-5bb359a332cf/rendering/00.obj", "0.913202590942")</f>
        <v>0.913202590942</v>
      </c>
      <c r="D639" s="68" t="str">
        <f>HYPERLINK(AB2 &amp; "/bulb/3dw_e2ce5517-db66-4dc7-bcaf-5bb359a332cf/rendering/01.obj", "0.857310180664")</f>
        <v>0.857310180664</v>
      </c>
      <c r="E639" s="17" t="str">
        <f>HYPERLINK(AB2 &amp; "/bulb/3dw_e2ce5517-db66-4dc7-bcaf-5bb359a332cf/rendering/02.obj", "0.875168380737")</f>
        <v>0.875168380737</v>
      </c>
      <c r="F639" s="60" t="str">
        <f>HYPERLINK(AB2 &amp; "/bulb/3dw_e2ce5517-db66-4dc7-bcaf-5bb359a332cf/rendering/03.obj", "0.849347457886")</f>
        <v>0.849347457886</v>
      </c>
      <c r="G639" s="17" t="str">
        <f>HYPERLINK(AB2 &amp; "/bulb/3dw_e2ce5517-db66-4dc7-bcaf-5bb359a332cf/rendering/04.obj", "0.876552276611")</f>
        <v>0.876552276611</v>
      </c>
      <c r="H639" s="107" t="str">
        <f>HYPERLINK(AB2 &amp; "/bulb/3dw_e2ce5517-db66-4dc7-bcaf-5bb359a332cf/rendering/05.obj", "0.969730987549")</f>
        <v>0.969730987549</v>
      </c>
      <c r="I639" s="5" t="str">
        <f>HYPERLINK(AB2 &amp; "/bulb/3dw_e2ce5517-db66-4dc7-bcaf-5bb359a332cf/rendering/06.obj", "0.826705169678")</f>
        <v>0.826705169678</v>
      </c>
      <c r="J639" s="71" t="str">
        <f>HYPERLINK(AB2 &amp; "/bulb/3dw_e2ce5517-db66-4dc7-bcaf-5bb359a332cf/rendering/07.obj", "1.00075241089")</f>
        <v>1.00075241089</v>
      </c>
      <c r="K639" s="34" t="str">
        <f>HYPERLINK(AB2 &amp; "/bulb/3dw_e2ce5517-db66-4dc7-bcaf-5bb359a332cf/rendering/08.obj", "0.938383636475")</f>
        <v>0.938383636475</v>
      </c>
      <c r="L639" s="41" t="str">
        <f>HYPERLINK(AB2 &amp; "/bulb/3dw_e2ce5517-db66-4dc7-bcaf-5bb359a332cf/rendering/09.obj", "0.833170623779")</f>
        <v>0.833170623779</v>
      </c>
      <c r="M639" s="60" t="str">
        <f>HYPERLINK(AB2 &amp; "/bulb/3dw_e2ce5517-db66-4dc7-bcaf-5bb359a332cf/rendering/10.obj", "0.93971862793")</f>
        <v>0.93971862793</v>
      </c>
      <c r="N639" s="13" t="str">
        <f>HYPERLINK(AB2 &amp; "/bulb/3dw_e2ce5517-db66-4dc7-bcaf-5bb359a332cf/rendering/11.obj", "0.895463790894")</f>
        <v>0.895463790894</v>
      </c>
      <c r="O639" s="13" t="str">
        <f>HYPERLINK(AB2 &amp; "/bulb/3dw_e2ce5517-db66-4dc7-bcaf-5bb359a332cf/rendering/12.obj", "0.894116821289")</f>
        <v>0.894116821289</v>
      </c>
      <c r="P639" s="26" t="str">
        <f>HYPERLINK(AB2 &amp; "/bulb/3dw_e2ce5517-db66-4dc7-bcaf-5bb359a332cf/rendering/13.obj", "0.835928344727")</f>
        <v>0.835928344727</v>
      </c>
      <c r="Q639" s="38" t="str">
        <f>HYPERLINK(AB2 &amp; "/bulb/3dw_e2ce5517-db66-4dc7-bcaf-5bb359a332cf/rendering/14.obj", "0.975274734497")</f>
        <v>0.975274734497</v>
      </c>
      <c r="R639" s="91" t="str">
        <f>HYPERLINK(AB2 &amp; "/bulb/3dw_e2ce5517-db66-4dc7-bcaf-5bb359a332cf/rendering/15.obj", "0.87175453186")</f>
        <v>0.87175453186</v>
      </c>
      <c r="S639" s="13" t="str">
        <f>HYPERLINK(AB2 &amp; "/bulb/3dw_e2ce5517-db66-4dc7-bcaf-5bb359a332cf/rendering/16.obj", "0.89511138916")</f>
        <v>0.89511138916</v>
      </c>
      <c r="T639" s="6" t="str">
        <f>HYPERLINK(AB2 &amp; "/bulb/3dw_e2ce5517-db66-4dc7-bcaf-5bb359a332cf/rendering/17.obj", "0.855132446289")</f>
        <v>0.855132446289</v>
      </c>
      <c r="U639" s="73" t="str">
        <f>HYPERLINK(AB2 &amp; "/bulb/3dw_e2ce5517-db66-4dc7-bcaf-5bb359a332cf/rendering/18.obj", "0.925817260742")</f>
        <v>0.925817260742</v>
      </c>
      <c r="V639" s="23" t="str">
        <f>HYPERLINK(AB2 &amp; "/bulb/3dw_e2ce5517-db66-4dc7-bcaf-5bb359a332cf/rendering/19.obj", "0.860334625244")</f>
        <v>0.860334625244</v>
      </c>
      <c r="W639" s="12" t="s">
        <v>31</v>
      </c>
      <c r="X639" s="13">
        <v>0.89444881439208979</v>
      </c>
      <c r="Y639" s="13">
        <v>4.894714363090593E-2</v>
      </c>
      <c r="Z639" s="10">
        <v>5.4723247259456383E-2</v>
      </c>
    </row>
    <row r="640" spans="1:26" x14ac:dyDescent="0.2">
      <c r="A640" s="1">
        <v>638</v>
      </c>
      <c r="B640" s="2" t="s">
        <v>160</v>
      </c>
      <c r="C640" s="35" t="str">
        <f>HYPERLINK(AB2 &amp; "/bulb/3dw_e2ce5517-db66-4dc7-bcaf-5bb359a332cf/rendering/00.obj", "2.90607237816")</f>
        <v>2.90607237816</v>
      </c>
      <c r="D640" s="17" t="str">
        <f>HYPERLINK(AB2 &amp; "/bulb/3dw_e2ce5517-db66-4dc7-bcaf-5bb359a332cf/rendering/01.obj", "2.79568314552")</f>
        <v>2.79568314552</v>
      </c>
      <c r="E640" s="69" t="str">
        <f>HYPERLINK(AB2 &amp; "/bulb/3dw_e2ce5517-db66-4dc7-bcaf-5bb359a332cf/rendering/02.obj", "2.66482019424")</f>
        <v>2.66482019424</v>
      </c>
      <c r="F640" s="91" t="str">
        <f>HYPERLINK(AB2 &amp; "/bulb/3dw_e2ce5517-db66-4dc7-bcaf-5bb359a332cf/rendering/03.obj", "2.67131233215")</f>
        <v>2.67131233215</v>
      </c>
      <c r="G640" s="13" t="str">
        <f>HYPERLINK(AB2 &amp; "/bulb/3dw_e2ce5517-db66-4dc7-bcaf-5bb359a332cf/rendering/04.obj", "2.74490571022")</f>
        <v>2.74490571022</v>
      </c>
      <c r="H640" s="74" t="str">
        <f>HYPERLINK(AB2 &amp; "/bulb/3dw_e2ce5517-db66-4dc7-bcaf-5bb359a332cf/rendering/05.obj", "2.78492951393")</f>
        <v>2.78492951393</v>
      </c>
      <c r="I640" s="60" t="str">
        <f>HYPERLINK(AB2 &amp; "/bulb/3dw_e2ce5517-db66-4dc7-bcaf-5bb359a332cf/rendering/06.obj", "2.60390591621")</f>
        <v>2.60390591621</v>
      </c>
      <c r="J640" s="69" t="str">
        <f>HYPERLINK(AB2 &amp; "/bulb/3dw_e2ce5517-db66-4dc7-bcaf-5bb359a332cf/rendering/07.obj", "2.82408237457")</f>
        <v>2.82408237457</v>
      </c>
      <c r="K640" s="30" t="str">
        <f>HYPERLINK(AB2 &amp; "/bulb/3dw_e2ce5517-db66-4dc7-bcaf-5bb359a332cf/rendering/08.obj", "2.72862911224")</f>
        <v>2.72862911224</v>
      </c>
      <c r="L640" s="26" t="str">
        <f>HYPERLINK(AB2 &amp; "/bulb/3dw_e2ce5517-db66-4dc7-bcaf-5bb359a332cf/rendering/09.obj", "2.56773662567")</f>
        <v>2.56773662567</v>
      </c>
      <c r="M640" s="48" t="str">
        <f>HYPERLINK(AB2 &amp; "/bulb/3dw_e2ce5517-db66-4dc7-bcaf-5bb359a332cf/rendering/10.obj", "2.67627859116")</f>
        <v>2.67627859116</v>
      </c>
      <c r="N640" s="74" t="str">
        <f>HYPERLINK(AB2 &amp; "/bulb/3dw_e2ce5517-db66-4dc7-bcaf-5bb359a332cf/rendering/11.obj", "2.70157241821")</f>
        <v>2.70157241821</v>
      </c>
      <c r="O640" s="46" t="str">
        <f>HYPERLINK(AB2 &amp; "/bulb/3dw_e2ce5517-db66-4dc7-bcaf-5bb359a332cf/rendering/12.obj", "2.69916129112")</f>
        <v>2.69916129112</v>
      </c>
      <c r="P640" s="68" t="str">
        <f>HYPERLINK(AB2 &amp; "/bulb/3dw_e2ce5517-db66-4dc7-bcaf-5bb359a332cf/rendering/13.obj", "2.62516856194")</f>
        <v>2.62516856194</v>
      </c>
      <c r="Q640" s="49" t="str">
        <f>HYPERLINK(AB2 &amp; "/bulb/3dw_e2ce5517-db66-4dc7-bcaf-5bb359a332cf/rendering/14.obj", "3.31416916847")</f>
        <v>3.31416916847</v>
      </c>
      <c r="R640" s="68" t="str">
        <f>HYPERLINK(AB2 &amp; "/bulb/3dw_e2ce5517-db66-4dc7-bcaf-5bb359a332cf/rendering/15.obj", "2.62661933899")</f>
        <v>2.62661933899</v>
      </c>
      <c r="S640" s="68" t="str">
        <f>HYPERLINK(AB2 &amp; "/bulb/3dw_e2ce5517-db66-4dc7-bcaf-5bb359a332cf/rendering/16.obj", "2.62857198715")</f>
        <v>2.62857198715</v>
      </c>
      <c r="T640" s="30" t="str">
        <f>HYPERLINK(AB2 &amp; "/bulb/3dw_e2ce5517-db66-4dc7-bcaf-5bb359a332cf/rendering/17.obj", "2.73082208633")</f>
        <v>2.73082208633</v>
      </c>
      <c r="U640" s="39" t="str">
        <f>HYPERLINK(AB2 &amp; "/bulb/3dw_e2ce5517-db66-4dc7-bcaf-5bb359a332cf/rendering/18.obj", "2.97842264175")</f>
        <v>2.97842264175</v>
      </c>
      <c r="V640" s="60" t="str">
        <f>HYPERLINK(AB2 &amp; "/bulb/3dw_e2ce5517-db66-4dc7-bcaf-5bb359a332cf/rendering/19.obj", "2.59846687317")</f>
        <v>2.59846687317</v>
      </c>
      <c r="W640" s="12" t="s">
        <v>32</v>
      </c>
      <c r="X640" s="13">
        <v>2.743566513061523</v>
      </c>
      <c r="Y640" s="13">
        <v>0.16591087497913951</v>
      </c>
      <c r="Z640" s="78">
        <v>6.0472700111068527E-2</v>
      </c>
    </row>
    <row r="641" spans="1:26" x14ac:dyDescent="0.2">
      <c r="A641" s="1">
        <v>639</v>
      </c>
      <c r="B641" s="2" t="s">
        <v>160</v>
      </c>
      <c r="C641" s="13" t="str">
        <f>HYPERLINK(AC2 &amp; "/bulb/3dw_e2ce5517-db66-4dc7-bcaf-5bb359a332cf/rendering/00.xyz", "0.0")</f>
        <v>0.0</v>
      </c>
      <c r="D641" s="13" t="str">
        <f>HYPERLINK(AC2 &amp; "/bulb/3dw_e2ce5517-db66-4dc7-bcaf-5bb359a332cf/rendering/01.xyz", "0.0")</f>
        <v>0.0</v>
      </c>
      <c r="E641" s="13" t="str">
        <f>HYPERLINK(AC2 &amp; "/bulb/3dw_e2ce5517-db66-4dc7-bcaf-5bb359a332cf/rendering/02.xyz", "0.0")</f>
        <v>0.0</v>
      </c>
      <c r="F641" s="13" t="str">
        <f>HYPERLINK(AC2 &amp; "/bulb/3dw_e2ce5517-db66-4dc7-bcaf-5bb359a332cf/rendering/03.xyz", "0.0")</f>
        <v>0.0</v>
      </c>
      <c r="G641" s="13" t="str">
        <f>HYPERLINK(AC2 &amp; "/bulb/3dw_e2ce5517-db66-4dc7-bcaf-5bb359a332cf/rendering/04.xyz", "0.0")</f>
        <v>0.0</v>
      </c>
      <c r="H641" s="13" t="str">
        <f>HYPERLINK(AC2 &amp; "/bulb/3dw_e2ce5517-db66-4dc7-bcaf-5bb359a332cf/rendering/05.xyz", "0.0")</f>
        <v>0.0</v>
      </c>
      <c r="I641" s="13" t="str">
        <f>HYPERLINK(AC2 &amp; "/bulb/3dw_e2ce5517-db66-4dc7-bcaf-5bb359a332cf/rendering/06.xyz", "0.0")</f>
        <v>0.0</v>
      </c>
      <c r="J641" s="13" t="str">
        <f>HYPERLINK(AC2 &amp; "/bulb/3dw_e2ce5517-db66-4dc7-bcaf-5bb359a332cf/rendering/07.xyz", "0.0")</f>
        <v>0.0</v>
      </c>
      <c r="K641" s="13" t="str">
        <f>HYPERLINK(AC2 &amp; "/bulb/3dw_e2ce5517-db66-4dc7-bcaf-5bb359a332cf/rendering/08.xyz", "0.0")</f>
        <v>0.0</v>
      </c>
      <c r="L641" s="13" t="str">
        <f>HYPERLINK(AC2 &amp; "/bulb/3dw_e2ce5517-db66-4dc7-bcaf-5bb359a332cf/rendering/09.xyz", "0.0")</f>
        <v>0.0</v>
      </c>
      <c r="M641" s="13" t="str">
        <f>HYPERLINK(AC2 &amp; "/bulb/3dw_e2ce5517-db66-4dc7-bcaf-5bb359a332cf/rendering/10.xyz", "0.0")</f>
        <v>0.0</v>
      </c>
      <c r="N641" s="13" t="str">
        <f>HYPERLINK(AC2 &amp; "/bulb/3dw_e2ce5517-db66-4dc7-bcaf-5bb359a332cf/rendering/11.xyz", "0.0")</f>
        <v>0.0</v>
      </c>
      <c r="O641" s="13" t="str">
        <f>HYPERLINK(AC2 &amp; "/bulb/3dw_e2ce5517-db66-4dc7-bcaf-5bb359a332cf/rendering/12.xyz", "0.0")</f>
        <v>0.0</v>
      </c>
      <c r="P641" s="13" t="str">
        <f>HYPERLINK(AC2 &amp; "/bulb/3dw_e2ce5517-db66-4dc7-bcaf-5bb359a332cf/rendering/13.xyz", "0.0")</f>
        <v>0.0</v>
      </c>
      <c r="Q641" s="13" t="str">
        <f>HYPERLINK(AC2 &amp; "/bulb/3dw_e2ce5517-db66-4dc7-bcaf-5bb359a332cf/rendering/14.xyz", "0.0")</f>
        <v>0.0</v>
      </c>
      <c r="R641" s="13" t="str">
        <f>HYPERLINK(AC2 &amp; "/bulb/3dw_e2ce5517-db66-4dc7-bcaf-5bb359a332cf/rendering/15.xyz", "0.0")</f>
        <v>0.0</v>
      </c>
      <c r="S641" s="13" t="str">
        <f>HYPERLINK(AC2 &amp; "/bulb/3dw_e2ce5517-db66-4dc7-bcaf-5bb359a332cf/rendering/16.xyz", "0.0")</f>
        <v>0.0</v>
      </c>
      <c r="T641" s="13" t="str">
        <f>HYPERLINK(AC2 &amp; "/bulb/3dw_e2ce5517-db66-4dc7-bcaf-5bb359a332cf/rendering/17.xyz", "0.0")</f>
        <v>0.0</v>
      </c>
      <c r="U641" s="13" t="str">
        <f>HYPERLINK(AC2 &amp; "/bulb/3dw_e2ce5517-db66-4dc7-bcaf-5bb359a332cf/rendering/18.xyz", "0.0")</f>
        <v>0.0</v>
      </c>
      <c r="V641" s="13" t="str">
        <f>HYPERLINK(AC2 &amp; "/bulb/3dw_e2ce5517-db66-4dc7-bcaf-5bb359a332cf/rendering/19.xyz", "0.0")</f>
        <v>0.0</v>
      </c>
      <c r="W641" s="12" t="s">
        <v>33</v>
      </c>
      <c r="X641" s="13">
        <v>0</v>
      </c>
      <c r="Y641" s="13">
        <v>0</v>
      </c>
      <c r="Z641" s="13">
        <v>0</v>
      </c>
    </row>
    <row r="642" spans="1:26" x14ac:dyDescent="0.2">
      <c r="A642" s="1">
        <v>640</v>
      </c>
      <c r="B642" s="2" t="s">
        <v>161</v>
      </c>
      <c r="C642" s="65" t="str">
        <f>HYPERLINK(AA2 &amp; "/bulb/3dw_e2ff7f3e-3a22-45b6-9922-ac35485468e7/rendering/00.obj", "1.14917938232")</f>
        <v>1.14917938232</v>
      </c>
      <c r="D642" s="133" t="str">
        <f>HYPERLINK(AA2 &amp; "/bulb/3dw_e2ff7f3e-3a22-45b6-9922-ac35485468e7/rendering/01.obj", "1.1909437561")</f>
        <v>1.1909437561</v>
      </c>
      <c r="E642" s="38" t="str">
        <f>HYPERLINK(AA2 &amp; "/bulb/3dw_e2ff7f3e-3a22-45b6-9922-ac35485468e7/rendering/02.obj", "1.20797966003")</f>
        <v>1.20797966003</v>
      </c>
      <c r="F642" s="40" t="str">
        <f>HYPERLINK(AA2 &amp; "/bulb/3dw_e2ff7f3e-3a22-45b6-9922-ac35485468e7/rendering/03.obj", "1.1000227356")</f>
        <v>1.1000227356</v>
      </c>
      <c r="G642" s="83" t="str">
        <f>HYPERLINK(AA2 &amp; "/bulb/3dw_e2ff7f3e-3a22-45b6-9922-ac35485468e7/rendering/04.obj", "1.52596588135")</f>
        <v>1.52596588135</v>
      </c>
      <c r="H642" s="66" t="str">
        <f>HYPERLINK(AA2 &amp; "/bulb/3dw_e2ff7f3e-3a22-45b6-9922-ac35485468e7/rendering/05.obj", "1.10942687988")</f>
        <v>1.10942687988</v>
      </c>
      <c r="I642" s="78" t="str">
        <f>HYPERLINK(AA2 &amp; "/bulb/3dw_e2ff7f3e-3a22-45b6-9922-ac35485468e7/rendering/06.obj", "1.40665985107")</f>
        <v>1.40665985107</v>
      </c>
      <c r="J642" s="168" t="str">
        <f>HYPERLINK(AA2 &amp; "/bulb/3dw_e2ff7f3e-3a22-45b6-9922-ac35485468e7/rendering/07.obj", "1.75132446289")</f>
        <v>1.75132446289</v>
      </c>
      <c r="K642" s="23" t="str">
        <f>HYPERLINK(AA2 &amp; "/bulb/3dw_e2ff7f3e-3a22-45b6-9922-ac35485468e7/rendering/08.obj", "1.37519134521")</f>
        <v>1.37519134521</v>
      </c>
      <c r="L642" s="13" t="str">
        <f>HYPERLINK(AA2 &amp; "/bulb/3dw_e2ff7f3e-3a22-45b6-9922-ac35485468e7/rendering/09.obj", "1.32659011841")</f>
        <v>1.32659011841</v>
      </c>
      <c r="M642" s="24" t="str">
        <f>HYPERLINK(AA2 &amp; "/bulb/3dw_e2ff7f3e-3a22-45b6-9922-ac35485468e7/rendering/10.obj", "1.10129272461")</f>
        <v>1.10129272461</v>
      </c>
      <c r="N642" s="10" t="str">
        <f>HYPERLINK(AA2 &amp; "/bulb/3dw_e2ff7f3e-3a22-45b6-9922-ac35485468e7/rendering/11.obj", "1.25290740967")</f>
        <v>1.25290740967</v>
      </c>
      <c r="O642" s="84" t="str">
        <f>HYPERLINK(AA2 &amp; "/bulb/3dw_e2ff7f3e-3a22-45b6-9922-ac35485468e7/rendering/12.obj", "1.13037704468")</f>
        <v>1.13037704468</v>
      </c>
      <c r="P642" s="76" t="str">
        <f>HYPERLINK(AA2 &amp; "/bulb/3dw_e2ff7f3e-3a22-45b6-9922-ac35485468e7/rendering/13.obj", "1.56944488525")</f>
        <v>1.56944488525</v>
      </c>
      <c r="Q642" s="90" t="str">
        <f>HYPERLINK(AA2 &amp; "/bulb/3dw_e2ff7f3e-3a22-45b6-9922-ac35485468e7/rendering/14.obj", "1.45086349487")</f>
        <v>1.45086349487</v>
      </c>
      <c r="R642" s="27" t="str">
        <f>HYPERLINK(AA2 &amp; "/bulb/3dw_e2ff7f3e-3a22-45b6-9922-ac35485468e7/rendering/15.obj", "1.23222488403")</f>
        <v>1.23222488403</v>
      </c>
      <c r="S642" s="94" t="str">
        <f>HYPERLINK(AA2 &amp; "/bulb/3dw_e2ff7f3e-3a22-45b6-9922-ac35485468e7/rendering/16.obj", "1.22887413025")</f>
        <v>1.22887413025</v>
      </c>
      <c r="T642" s="72" t="str">
        <f>HYPERLINK(AA2 &amp; "/bulb/3dw_e2ff7f3e-3a22-45b6-9922-ac35485468e7/rendering/17.obj", "1.36852706909")</f>
        <v>1.36852706909</v>
      </c>
      <c r="U642" s="76" t="str">
        <f>HYPERLINK(AA2 &amp; "/bulb/3dw_e2ff7f3e-3a22-45b6-9922-ac35485468e7/rendering/18.obj", "1.56596740723")</f>
        <v>1.56596740723</v>
      </c>
      <c r="V642" s="90" t="str">
        <f>HYPERLINK(AA2 &amp; "/bulb/3dw_e2ff7f3e-3a22-45b6-9922-ac35485468e7/rendering/19.obj", "1.45090332031")</f>
        <v>1.45090332031</v>
      </c>
      <c r="W642" s="12" t="s">
        <v>29</v>
      </c>
      <c r="X642" s="13">
        <v>1.3247333221435551</v>
      </c>
      <c r="Y642" s="13">
        <v>0.18074387377780429</v>
      </c>
      <c r="Z642" s="42">
        <v>0.1364379311342015</v>
      </c>
    </row>
    <row r="643" spans="1:26" x14ac:dyDescent="0.2">
      <c r="A643" s="1">
        <v>641</v>
      </c>
      <c r="B643" s="2" t="s">
        <v>161</v>
      </c>
      <c r="C643" s="13" t="str">
        <f>HYPERLINK(AA2 &amp; "/bulb/3dw_e2ff7f3e-3a22-45b6-9922-ac35485468e7/rendering/00.obj", "3.40943336487")</f>
        <v>3.40943336487</v>
      </c>
      <c r="D643" s="170" t="str">
        <f>HYPERLINK(AA2 &amp; "/bulb/3dw_e2ff7f3e-3a22-45b6-9922-ac35485468e7/rendering/01.obj", "2.5447909832")</f>
        <v>2.5447909832</v>
      </c>
      <c r="E643" s="68" t="str">
        <f>HYPERLINK(AA2 &amp; "/bulb/3dw_e2ff7f3e-3a22-45b6-9922-ac35485468e7/rendering/02.obj", "3.2706592083")</f>
        <v>3.2706592083</v>
      </c>
      <c r="F643" s="44" t="str">
        <f>HYPERLINK(AA2 &amp; "/bulb/3dw_e2ff7f3e-3a22-45b6-9922-ac35485468e7/rendering/03.obj", "2.7363781929")</f>
        <v>2.7363781929</v>
      </c>
      <c r="G643" s="6" t="str">
        <f>HYPERLINK(AA2 &amp; "/bulb/3dw_e2ff7f3e-3a22-45b6-9922-ac35485468e7/rendering/04.obj", "3.56831121445")</f>
        <v>3.56831121445</v>
      </c>
      <c r="H643" s="49" t="str">
        <f>HYPERLINK(AA2 &amp; "/bulb/3dw_e2ff7f3e-3a22-45b6-9922-ac35485468e7/rendering/05.obj", "2.70225548744")</f>
        <v>2.70225548744</v>
      </c>
      <c r="I643" s="71" t="str">
        <f>HYPERLINK(AA2 &amp; "/bulb/3dw_e2ff7f3e-3a22-45b6-9922-ac35485468e7/rendering/06.obj", "3.8060863018")</f>
        <v>3.8060863018</v>
      </c>
      <c r="J643" s="129" t="str">
        <f>HYPERLINK(AA2 &amp; "/bulb/3dw_e2ff7f3e-3a22-45b6-9922-ac35485468e7/rendering/07.obj", "4.25580501556")</f>
        <v>4.25580501556</v>
      </c>
      <c r="K643" s="60" t="str">
        <f>HYPERLINK(AA2 &amp; "/bulb/3dw_e2ff7f3e-3a22-45b6-9922-ac35485468e7/rendering/08.obj", "3.58749008179")</f>
        <v>3.58749008179</v>
      </c>
      <c r="L643" s="39" t="str">
        <f>HYPERLINK(AA2 &amp; "/bulb/3dw_e2ff7f3e-3a22-45b6-9922-ac35485468e7/rendering/09.obj", "3.1209499836")</f>
        <v>3.1209499836</v>
      </c>
      <c r="M643" s="82" t="str">
        <f>HYPERLINK(AA2 &amp; "/bulb/3dw_e2ff7f3e-3a22-45b6-9922-ac35485468e7/rendering/10.obj", "2.71393418312")</f>
        <v>2.71393418312</v>
      </c>
      <c r="N643" s="68" t="str">
        <f>HYPERLINK(AA2 &amp; "/bulb/3dw_e2ff7f3e-3a22-45b6-9922-ac35485468e7/rendering/11.obj", "3.2648537159")</f>
        <v>3.2648537159</v>
      </c>
      <c r="O643" s="23" t="str">
        <f>HYPERLINK(AA2 &amp; "/bulb/3dw_e2ff7f3e-3a22-45b6-9922-ac35485468e7/rendering/12.obj", "3.2796356678")</f>
        <v>3.2796356678</v>
      </c>
      <c r="P643" s="92" t="str">
        <f>HYPERLINK(AA2 &amp; "/bulb/3dw_e2ff7f3e-3a22-45b6-9922-ac35485468e7/rendering/13.obj", "3.83660006523")</f>
        <v>3.83660006523</v>
      </c>
      <c r="Q643" s="133" t="str">
        <f>HYPERLINK(AA2 &amp; "/bulb/3dw_e2ff7f3e-3a22-45b6-9922-ac35485468e7/rendering/14.obj", "3.75358390808")</f>
        <v>3.75358390808</v>
      </c>
      <c r="R643" s="19" t="str">
        <f>HYPERLINK(AA2 &amp; "/bulb/3dw_e2ff7f3e-3a22-45b6-9922-ac35485468e7/rendering/15.obj", "4.30318164825")</f>
        <v>4.30318164825</v>
      </c>
      <c r="S643" s="60" t="str">
        <f>HYPERLINK(AA2 &amp; "/bulb/3dw_e2ff7f3e-3a22-45b6-9922-ac35485468e7/rendering/16.obj", "3.59193229675")</f>
        <v>3.59193229675</v>
      </c>
      <c r="T643" s="71" t="str">
        <f>HYPERLINK(AA2 &amp; "/bulb/3dw_e2ff7f3e-3a22-45b6-9922-ac35485468e7/rendering/17.obj", "3.0124540329")</f>
        <v>3.0124540329</v>
      </c>
      <c r="U643" s="77" t="str">
        <f>HYPERLINK(AA2 &amp; "/bulb/3dw_e2ff7f3e-3a22-45b6-9922-ac35485468e7/rendering/18.obj", "4.0426940918")</f>
        <v>4.0426940918</v>
      </c>
      <c r="V643" s="13" t="str">
        <f>HYPERLINK(AA2 &amp; "/bulb/3dw_e2ff7f3e-3a22-45b6-9922-ac35485468e7/rendering/19.obj", "3.40297484398")</f>
        <v>3.40297484398</v>
      </c>
      <c r="W643" s="12" t="s">
        <v>30</v>
      </c>
      <c r="X643" s="13">
        <v>3.410200214385986</v>
      </c>
      <c r="Y643" s="13">
        <v>0.49733944337785979</v>
      </c>
      <c r="Z643" s="84">
        <v>0.14583878133601219</v>
      </c>
    </row>
    <row r="644" spans="1:26" x14ac:dyDescent="0.2">
      <c r="A644" s="1">
        <v>642</v>
      </c>
      <c r="B644" s="2" t="s">
        <v>161</v>
      </c>
      <c r="C644" s="41" t="str">
        <f>HYPERLINK(AB2 &amp; "/bulb/3dw_e2ff7f3e-3a22-45b6-9922-ac35485468e7/rendering/00.obj", "1.56950805664")</f>
        <v>1.56950805664</v>
      </c>
      <c r="D644" s="47" t="str">
        <f>HYPERLINK(AB2 &amp; "/bulb/3dw_e2ff7f3e-3a22-45b6-9922-ac35485468e7/rendering/01.obj", "1.66806549072")</f>
        <v>1.66806549072</v>
      </c>
      <c r="E644" s="25" t="str">
        <f>HYPERLINK(AB2 &amp; "/bulb/3dw_e2ff7f3e-3a22-45b6-9922-ac35485468e7/rendering/02.obj", "1.69661773682")</f>
        <v>1.69661773682</v>
      </c>
      <c r="F644" s="68" t="str">
        <f>HYPERLINK(AB2 &amp; "/bulb/3dw_e2ff7f3e-3a22-45b6-9922-ac35485468e7/rendering/03.obj", "1.75356140137")</f>
        <v>1.75356140137</v>
      </c>
      <c r="G644" s="35" t="str">
        <f>HYPERLINK(AB2 &amp; "/bulb/3dw_e2ff7f3e-3a22-45b6-9922-ac35485468e7/rendering/04.obj", "1.77748687744")</f>
        <v>1.77748687744</v>
      </c>
      <c r="H644" s="68" t="str">
        <f>HYPERLINK(AB2 &amp; "/bulb/3dw_e2ff7f3e-3a22-45b6-9922-ac35485468e7/rendering/05.obj", "1.75155395508")</f>
        <v>1.75155395508</v>
      </c>
      <c r="I644" s="13" t="str">
        <f>HYPERLINK(AB2 &amp; "/bulb/3dw_e2ff7f3e-3a22-45b6-9922-ac35485468e7/rendering/06.obj", "1.68121246338")</f>
        <v>1.68121246338</v>
      </c>
      <c r="J644" s="74" t="str">
        <f>HYPERLINK(AB2 &amp; "/bulb/3dw_e2ff7f3e-3a22-45b6-9922-ac35485468e7/rendering/07.obj", "1.70360351563")</f>
        <v>1.70360351563</v>
      </c>
      <c r="K644" s="72" t="str">
        <f>HYPERLINK(AB2 &amp; "/bulb/3dw_e2ff7f3e-3a22-45b6-9922-ac35485468e7/rendering/08.obj", "1.7373059082")</f>
        <v>1.7373059082</v>
      </c>
      <c r="L644" s="72" t="str">
        <f>HYPERLINK(AB2 &amp; "/bulb/3dw_e2ff7f3e-3a22-45b6-9922-ac35485468e7/rendering/09.obj", "1.73507385254")</f>
        <v>1.73507385254</v>
      </c>
      <c r="M644" s="91" t="str">
        <f>HYPERLINK(AB2 &amp; "/bulb/3dw_e2ff7f3e-3a22-45b6-9922-ac35485468e7/rendering/10.obj", "1.63518615723")</f>
        <v>1.63518615723</v>
      </c>
      <c r="N644" s="69" t="str">
        <f>HYPERLINK(AB2 &amp; "/bulb/3dw_e2ff7f3e-3a22-45b6-9922-ac35485468e7/rendering/11.obj", "1.63159240723")</f>
        <v>1.63159240723</v>
      </c>
      <c r="O644" s="74" t="str">
        <f>HYPERLINK(AB2 &amp; "/bulb/3dw_e2ff7f3e-3a22-45b6-9922-ac35485468e7/rendering/12.obj", "1.65682403564")</f>
        <v>1.65682403564</v>
      </c>
      <c r="P644" s="30" t="str">
        <f>HYPERLINK(AB2 &amp; "/bulb/3dw_e2ff7f3e-3a22-45b6-9922-ac35485468e7/rendering/13.obj", "1.67314483643")</f>
        <v>1.67314483643</v>
      </c>
      <c r="Q644" s="47" t="str">
        <f>HYPERLINK(AB2 &amp; "/bulb/3dw_e2ff7f3e-3a22-45b6-9922-ac35485468e7/rendering/14.obj", "1.69336303711")</f>
        <v>1.69336303711</v>
      </c>
      <c r="R644" s="91" t="str">
        <f>HYPERLINK(AB2 &amp; "/bulb/3dw_e2ff7f3e-3a22-45b6-9922-ac35485468e7/rendering/15.obj", "1.63477737427")</f>
        <v>1.63477737427</v>
      </c>
      <c r="S644" s="6" t="str">
        <f>HYPERLINK(AB2 &amp; "/bulb/3dw_e2ff7f3e-3a22-45b6-9922-ac35485468e7/rendering/16.obj", "1.60309051514")</f>
        <v>1.60309051514</v>
      </c>
      <c r="T644" s="17" t="str">
        <f>HYPERLINK(AB2 &amp; "/bulb/3dw_e2ff7f3e-3a22-45b6-9922-ac35485468e7/rendering/17.obj", "1.64859512329")</f>
        <v>1.64859512329</v>
      </c>
      <c r="U644" s="30" t="str">
        <f>HYPERLINK(AB2 &amp; "/bulb/3dw_e2ff7f3e-3a22-45b6-9922-ac35485468e7/rendering/18.obj", "1.6898614502")</f>
        <v>1.6898614502</v>
      </c>
      <c r="V644" s="30" t="str">
        <f>HYPERLINK(AB2 &amp; "/bulb/3dw_e2ff7f3e-3a22-45b6-9922-ac35485468e7/rendering/19.obj", "1.67182235718")</f>
        <v>1.67182235718</v>
      </c>
      <c r="W644" s="12" t="s">
        <v>31</v>
      </c>
      <c r="X644" s="13">
        <v>1.680612327575683</v>
      </c>
      <c r="Y644" s="13">
        <v>5.184351077518401E-2</v>
      </c>
      <c r="Z644" s="69">
        <v>3.0847989107618469E-2</v>
      </c>
    </row>
    <row r="645" spans="1:26" x14ac:dyDescent="0.2">
      <c r="A645" s="1">
        <v>643</v>
      </c>
      <c r="B645" s="2" t="s">
        <v>161</v>
      </c>
      <c r="C645" s="13" t="str">
        <f>HYPERLINK(AB2 &amp; "/bulb/3dw_e2ff7f3e-3a22-45b6-9922-ac35485468e7/rendering/00.obj", "3.20291543007")</f>
        <v>3.20291543007</v>
      </c>
      <c r="D645" s="78" t="str">
        <f>HYPERLINK(AB2 &amp; "/bulb/3dw_e2ff7f3e-3a22-45b6-9922-ac35485468e7/rendering/01.obj", "3.01598882675")</f>
        <v>3.01598882675</v>
      </c>
      <c r="E645" s="46" t="str">
        <f>HYPERLINK(AB2 &amp; "/bulb/3dw_e2ff7f3e-3a22-45b6-9922-ac35485468e7/rendering/02.obj", "3.1539812088")</f>
        <v>3.1539812088</v>
      </c>
      <c r="F645" s="72" t="str">
        <f>HYPERLINK(AB2 &amp; "/bulb/3dw_e2ff7f3e-3a22-45b6-9922-ac35485468e7/rendering/03.obj", "3.10087537766")</f>
        <v>3.10087537766</v>
      </c>
      <c r="G645" s="38" t="str">
        <f>HYPERLINK(AB2 &amp; "/bulb/3dw_e2ff7f3e-3a22-45b6-9922-ac35485468e7/rendering/04.obj", "3.49489879608")</f>
        <v>3.49489879608</v>
      </c>
      <c r="H645" s="68" t="str">
        <f>HYPERLINK(AB2 &amp; "/bulb/3dw_e2ff7f3e-3a22-45b6-9922-ac35485468e7/rendering/05.obj", "3.07671499252")</f>
        <v>3.07671499252</v>
      </c>
      <c r="I645" s="72" t="str">
        <f>HYPERLINK(AB2 &amp; "/bulb/3dw_e2ff7f3e-3a22-45b6-9922-ac35485468e7/rendering/06.obj", "3.10485553741")</f>
        <v>3.10485553741</v>
      </c>
      <c r="J645" s="13" t="str">
        <f>HYPERLINK(AB2 &amp; "/bulb/3dw_e2ff7f3e-3a22-45b6-9922-ac35485468e7/rendering/07.obj", "3.20871353149")</f>
        <v>3.20871353149</v>
      </c>
      <c r="K645" s="30" t="str">
        <f>HYPERLINK(AB2 &amp; "/bulb/3dw_e2ff7f3e-3a22-45b6-9922-ac35485468e7/rendering/08.obj", "3.22588586807")</f>
        <v>3.22588586807</v>
      </c>
      <c r="L645" s="110" t="str">
        <f>HYPERLINK(AB2 &amp; "/bulb/3dw_e2ff7f3e-3a22-45b6-9922-ac35485468e7/rendering/09.obj", "3.53016066551")</f>
        <v>3.53016066551</v>
      </c>
      <c r="M645" s="27" t="str">
        <f>HYPERLINK(AB2 &amp; "/bulb/3dw_e2ff7f3e-3a22-45b6-9922-ac35485468e7/rendering/10.obj", "2.98122644424")</f>
        <v>2.98122644424</v>
      </c>
      <c r="N645" s="34" t="str">
        <f>HYPERLINK(AB2 &amp; "/bulb/3dw_e2ff7f3e-3a22-45b6-9922-ac35485468e7/rendering/11.obj", "3.05094218254")</f>
        <v>3.05094218254</v>
      </c>
      <c r="O645" s="46" t="str">
        <f>HYPERLINK(AB2 &amp; "/bulb/3dw_e2ff7f3e-3a22-45b6-9922-ac35485468e7/rendering/12.obj", "3.26509475708")</f>
        <v>3.26509475708</v>
      </c>
      <c r="P645" s="74" t="str">
        <f>HYPERLINK(AB2 &amp; "/bulb/3dw_e2ff7f3e-3a22-45b6-9922-ac35485468e7/rendering/13.obj", "3.16548657417")</f>
        <v>3.16548657417</v>
      </c>
      <c r="Q645" s="60" t="str">
        <f>HYPERLINK(AB2 &amp; "/bulb/3dw_e2ff7f3e-3a22-45b6-9922-ac35485468e7/rendering/14.obj", "3.37726712227")</f>
        <v>3.37726712227</v>
      </c>
      <c r="R645" s="69" t="str">
        <f>HYPERLINK(AB2 &amp; "/bulb/3dw_e2ff7f3e-3a22-45b6-9922-ac35485468e7/rendering/15.obj", "3.1132569313")</f>
        <v>3.1132569313</v>
      </c>
      <c r="S645" s="48" t="str">
        <f>HYPERLINK(AB2 &amp; "/bulb/3dw_e2ff7f3e-3a22-45b6-9922-ac35485468e7/rendering/16.obj", "3.13471531868")</f>
        <v>3.13471531868</v>
      </c>
      <c r="T645" s="69" t="str">
        <f>HYPERLINK(AB2 &amp; "/bulb/3dw_e2ff7f3e-3a22-45b6-9922-ac35485468e7/rendering/17.obj", "3.30094099045")</f>
        <v>3.30094099045</v>
      </c>
      <c r="U645" s="72" t="str">
        <f>HYPERLINK(AB2 &amp; "/bulb/3dw_e2ff7f3e-3a22-45b6-9922-ac35485468e7/rendering/18.obj", "3.31711912155")</f>
        <v>3.31711912155</v>
      </c>
      <c r="V645" s="6" t="str">
        <f>HYPERLINK(AB2 &amp; "/bulb/3dw_e2ff7f3e-3a22-45b6-9922-ac35485468e7/rendering/19.obj", "3.35875701904")</f>
        <v>3.35875701904</v>
      </c>
      <c r="W645" s="12" t="s">
        <v>32</v>
      </c>
      <c r="X645" s="13">
        <v>3.208989834785462</v>
      </c>
      <c r="Y645" s="13">
        <v>0.1471382293347101</v>
      </c>
      <c r="Z645" s="6">
        <v>4.5851883898082563E-2</v>
      </c>
    </row>
    <row r="646" spans="1:26" x14ac:dyDescent="0.2">
      <c r="A646" s="1">
        <v>644</v>
      </c>
      <c r="B646" s="2" t="s">
        <v>161</v>
      </c>
      <c r="C646" s="13" t="str">
        <f>HYPERLINK(AC2 &amp; "/bulb/3dw_e2ff7f3e-3a22-45b6-9922-ac35485468e7/rendering/00.xyz", "0.0")</f>
        <v>0.0</v>
      </c>
      <c r="D646" s="13" t="str">
        <f>HYPERLINK(AC2 &amp; "/bulb/3dw_e2ff7f3e-3a22-45b6-9922-ac35485468e7/rendering/01.xyz", "0.0")</f>
        <v>0.0</v>
      </c>
      <c r="E646" s="13" t="str">
        <f>HYPERLINK(AC2 &amp; "/bulb/3dw_e2ff7f3e-3a22-45b6-9922-ac35485468e7/rendering/02.xyz", "0.0")</f>
        <v>0.0</v>
      </c>
      <c r="F646" s="13" t="str">
        <f>HYPERLINK(AC2 &amp; "/bulb/3dw_e2ff7f3e-3a22-45b6-9922-ac35485468e7/rendering/03.xyz", "0.0")</f>
        <v>0.0</v>
      </c>
      <c r="G646" s="13" t="str">
        <f>HYPERLINK(AC2 &amp; "/bulb/3dw_e2ff7f3e-3a22-45b6-9922-ac35485468e7/rendering/04.xyz", "0.0")</f>
        <v>0.0</v>
      </c>
      <c r="H646" s="13" t="str">
        <f>HYPERLINK(AC2 &amp; "/bulb/3dw_e2ff7f3e-3a22-45b6-9922-ac35485468e7/rendering/05.xyz", "0.0")</f>
        <v>0.0</v>
      </c>
      <c r="I646" s="13" t="str">
        <f>HYPERLINK(AC2 &amp; "/bulb/3dw_e2ff7f3e-3a22-45b6-9922-ac35485468e7/rendering/06.xyz", "0.0")</f>
        <v>0.0</v>
      </c>
      <c r="J646" s="13" t="str">
        <f>HYPERLINK(AC2 &amp; "/bulb/3dw_e2ff7f3e-3a22-45b6-9922-ac35485468e7/rendering/07.xyz", "0.0")</f>
        <v>0.0</v>
      </c>
      <c r="K646" s="13" t="str">
        <f>HYPERLINK(AC2 &amp; "/bulb/3dw_e2ff7f3e-3a22-45b6-9922-ac35485468e7/rendering/08.xyz", "0.0")</f>
        <v>0.0</v>
      </c>
      <c r="L646" s="13" t="str">
        <f>HYPERLINK(AC2 &amp; "/bulb/3dw_e2ff7f3e-3a22-45b6-9922-ac35485468e7/rendering/09.xyz", "0.0")</f>
        <v>0.0</v>
      </c>
      <c r="M646" s="13" t="str">
        <f>HYPERLINK(AC2 &amp; "/bulb/3dw_e2ff7f3e-3a22-45b6-9922-ac35485468e7/rendering/10.xyz", "0.0")</f>
        <v>0.0</v>
      </c>
      <c r="N646" s="13" t="str">
        <f>HYPERLINK(AC2 &amp; "/bulb/3dw_e2ff7f3e-3a22-45b6-9922-ac35485468e7/rendering/11.xyz", "0.0")</f>
        <v>0.0</v>
      </c>
      <c r="O646" s="13" t="str">
        <f>HYPERLINK(AC2 &amp; "/bulb/3dw_e2ff7f3e-3a22-45b6-9922-ac35485468e7/rendering/12.xyz", "0.0")</f>
        <v>0.0</v>
      </c>
      <c r="P646" s="13" t="str">
        <f>HYPERLINK(AC2 &amp; "/bulb/3dw_e2ff7f3e-3a22-45b6-9922-ac35485468e7/rendering/13.xyz", "0.0")</f>
        <v>0.0</v>
      </c>
      <c r="Q646" s="13" t="str">
        <f>HYPERLINK(AC2 &amp; "/bulb/3dw_e2ff7f3e-3a22-45b6-9922-ac35485468e7/rendering/14.xyz", "0.0")</f>
        <v>0.0</v>
      </c>
      <c r="R646" s="13" t="str">
        <f>HYPERLINK(AC2 &amp; "/bulb/3dw_e2ff7f3e-3a22-45b6-9922-ac35485468e7/rendering/15.xyz", "0.0")</f>
        <v>0.0</v>
      </c>
      <c r="S646" s="13" t="str">
        <f>HYPERLINK(AC2 &amp; "/bulb/3dw_e2ff7f3e-3a22-45b6-9922-ac35485468e7/rendering/16.xyz", "0.0")</f>
        <v>0.0</v>
      </c>
      <c r="T646" s="13" t="str">
        <f>HYPERLINK(AC2 &amp; "/bulb/3dw_e2ff7f3e-3a22-45b6-9922-ac35485468e7/rendering/17.xyz", "0.0")</f>
        <v>0.0</v>
      </c>
      <c r="U646" s="13" t="str">
        <f>HYPERLINK(AC2 &amp; "/bulb/3dw_e2ff7f3e-3a22-45b6-9922-ac35485468e7/rendering/18.xyz", "0.0")</f>
        <v>0.0</v>
      </c>
      <c r="V646" s="13" t="str">
        <f>HYPERLINK(AC2 &amp; "/bulb/3dw_e2ff7f3e-3a22-45b6-9922-ac35485468e7/rendering/19.xyz", "0.0")</f>
        <v>0.0</v>
      </c>
      <c r="W646" s="12" t="s">
        <v>33</v>
      </c>
      <c r="X646" s="13">
        <v>0</v>
      </c>
      <c r="Y646" s="13">
        <v>0</v>
      </c>
      <c r="Z646" s="13">
        <v>0</v>
      </c>
    </row>
    <row r="647" spans="1:26" x14ac:dyDescent="0.2">
      <c r="A647" s="1">
        <v>645</v>
      </c>
      <c r="B647" s="2" t="s">
        <v>162</v>
      </c>
      <c r="C647" s="70" t="str">
        <f>HYPERLINK(AA2 &amp; "/bulb/3dw_e34b41d0-8e3a-46b8-af06-f1cb1656e7b7/rendering/00.obj", "7.0212109375")</f>
        <v>7.0212109375</v>
      </c>
      <c r="D647" s="110" t="str">
        <f>HYPERLINK(AA2 &amp; "/bulb/3dw_e34b41d0-8e3a-46b8-af06-f1cb1656e7b7/rendering/01.obj", "8.83905944824")</f>
        <v>8.83905944824</v>
      </c>
      <c r="E647" s="50" t="str">
        <f>HYPERLINK(AA2 &amp; "/bulb/3dw_e34b41d0-8e3a-46b8-af06-f1cb1656e7b7/rendering/02.obj", "6.43754516602")</f>
        <v>6.43754516602</v>
      </c>
      <c r="F647" s="94" t="str">
        <f>HYPERLINK(AA2 &amp; "/bulb/3dw_e34b41d0-8e3a-46b8-af06-f1cb1656e7b7/rendering/03.obj", "7.47065917969")</f>
        <v>7.47065917969</v>
      </c>
      <c r="G647" s="28" t="str">
        <f>HYPERLINK(AA2 &amp; "/bulb/3dw_e34b41d0-8e3a-46b8-af06-f1cb1656e7b7/rendering/04.obj", "8.95322143555")</f>
        <v>8.95322143555</v>
      </c>
      <c r="H647" s="135" t="str">
        <f>HYPERLINK(AA2 &amp; "/bulb/3dw_e34b41d0-8e3a-46b8-af06-f1cb1656e7b7/rendering/05.obj", "10.108223877")</f>
        <v>10.108223877</v>
      </c>
      <c r="I647" s="93" t="str">
        <f>HYPERLINK(AA2 &amp; "/bulb/3dw_e34b41d0-8e3a-46b8-af06-f1cb1656e7b7/rendering/06.obj", "6.92002258301")</f>
        <v>6.92002258301</v>
      </c>
      <c r="J647" s="46" t="str">
        <f>HYPERLINK(AA2 &amp; "/bulb/3dw_e34b41d0-8e3a-46b8-af06-f1cb1656e7b7/rendering/07.obj", "8.19601928711")</f>
        <v>8.19601928711</v>
      </c>
      <c r="K647" s="28" t="str">
        <f>HYPERLINK(AA2 &amp; "/bulb/3dw_e34b41d0-8e3a-46b8-af06-f1cb1656e7b7/rendering/08.obj", "7.16023071289")</f>
        <v>7.16023071289</v>
      </c>
      <c r="L647" s="93" t="str">
        <f>HYPERLINK(AA2 &amp; "/bulb/3dw_e34b41d0-8e3a-46b8-af06-f1cb1656e7b7/rendering/09.obj", "6.93346191406")</f>
        <v>6.93346191406</v>
      </c>
      <c r="M647" s="64" t="str">
        <f>HYPERLINK(AA2 &amp; "/bulb/3dw_e34b41d0-8e3a-46b8-af06-f1cb1656e7b7/rendering/10.obj", "6.73570861816")</f>
        <v>6.73570861816</v>
      </c>
      <c r="N647" s="142" t="str">
        <f>HYPERLINK(AA2 &amp; "/bulb/3dw_e34b41d0-8e3a-46b8-af06-f1cb1656e7b7/rendering/11.obj", "11.2351062012")</f>
        <v>11.2351062012</v>
      </c>
      <c r="O647" s="27" t="str">
        <f>HYPERLINK(AA2 &amp; "/bulb/3dw_e34b41d0-8e3a-46b8-af06-f1cb1656e7b7/rendering/12.obj", "8.61534790039")</f>
        <v>8.61534790039</v>
      </c>
      <c r="P647" s="82" t="str">
        <f>HYPERLINK(AA2 &amp; "/bulb/3dw_e34b41d0-8e3a-46b8-af06-f1cb1656e7b7/rendering/13.obj", "9.70279785156")</f>
        <v>9.70279785156</v>
      </c>
      <c r="Q647" s="17" t="str">
        <f>HYPERLINK(AA2 &amp; "/bulb/3dw_e34b41d0-8e3a-46b8-af06-f1cb1656e7b7/rendering/14.obj", "7.88990722656")</f>
        <v>7.88990722656</v>
      </c>
      <c r="R647" s="23" t="str">
        <f>HYPERLINK(AA2 &amp; "/bulb/3dw_e34b41d0-8e3a-46b8-af06-f1cb1656e7b7/rendering/15.obj", "8.36375366211")</f>
        <v>8.36375366211</v>
      </c>
      <c r="S647" s="14" t="str">
        <f>HYPERLINK(AA2 &amp; "/bulb/3dw_e34b41d0-8e3a-46b8-af06-f1cb1656e7b7/rendering/16.obj", "10.3832653809")</f>
        <v>10.3832653809</v>
      </c>
      <c r="T647" s="109" t="str">
        <f>HYPERLINK(AA2 &amp; "/bulb/3dw_e34b41d0-8e3a-46b8-af06-f1cb1656e7b7/rendering/17.obj", "6.51349487305")</f>
        <v>6.51349487305</v>
      </c>
      <c r="U647" s="93" t="str">
        <f>HYPERLINK(AA2 &amp; "/bulb/3dw_e34b41d0-8e3a-46b8-af06-f1cb1656e7b7/rendering/18.obj", "6.92639038086")</f>
        <v>6.92639038086</v>
      </c>
      <c r="V647" s="37" t="str">
        <f>HYPERLINK(AA2 &amp; "/bulb/3dw_e34b41d0-8e3a-46b8-af06-f1cb1656e7b7/rendering/19.obj", "6.64024719238")</f>
        <v>6.64024719238</v>
      </c>
      <c r="W647" s="12" t="s">
        <v>29</v>
      </c>
      <c r="X647" s="13">
        <v>8.0522836914062506</v>
      </c>
      <c r="Y647" s="13">
        <v>1.398351634543439</v>
      </c>
      <c r="Z647" s="37">
        <v>0.17365901254023389</v>
      </c>
    </row>
    <row r="648" spans="1:26" x14ac:dyDescent="0.2">
      <c r="A648" s="1">
        <v>646</v>
      </c>
      <c r="B648" s="2" t="s">
        <v>162</v>
      </c>
      <c r="C648" s="24" t="str">
        <f>HYPERLINK(AA2 &amp; "/bulb/3dw_e34b41d0-8e3a-46b8-af06-f1cb1656e7b7/rendering/00.obj", "72.832862854")</f>
        <v>72.832862854</v>
      </c>
      <c r="D648" s="27" t="str">
        <f>HYPERLINK(AA2 &amp; "/bulb/3dw_e34b41d0-8e3a-46b8-af06-f1cb1656e7b7/rendering/01.obj", "81.2891616821")</f>
        <v>81.2891616821</v>
      </c>
      <c r="E648" s="176" t="str">
        <f>HYPERLINK(AA2 &amp; "/bulb/3dw_e34b41d0-8e3a-46b8-af06-f1cb1656e7b7/rendering/02.obj", "59.582698822")</f>
        <v>59.582698822</v>
      </c>
      <c r="F648" s="60" t="str">
        <f>HYPERLINK(AA2 &amp; "/bulb/3dw_e34b41d0-8e3a-46b8-af06-f1cb1656e7b7/rendering/03.obj", "82.8579559326")</f>
        <v>82.8579559326</v>
      </c>
      <c r="G648" s="117" t="str">
        <f>HYPERLINK(AA2 &amp; "/bulb/3dw_e34b41d0-8e3a-46b8-af06-f1cb1656e7b7/rendering/04.obj", "103.088653564")</f>
        <v>103.088653564</v>
      </c>
      <c r="H648" s="116" t="str">
        <f>HYPERLINK(AA2 &amp; "/bulb/3dw_e34b41d0-8e3a-46b8-af06-f1cb1656e7b7/rendering/05.obj", "125.906684875")</f>
        <v>125.906684875</v>
      </c>
      <c r="I648" s="24" t="str">
        <f>HYPERLINK(AA2 &amp; "/bulb/3dw_e34b41d0-8e3a-46b8-af06-f1cb1656e7b7/rendering/06.obj", "72.89012146")</f>
        <v>72.89012146</v>
      </c>
      <c r="J648" s="6" t="str">
        <f>HYPERLINK(AA2 &amp; "/bulb/3dw_e34b41d0-8e3a-46b8-af06-f1cb1656e7b7/rendering/07.obj", "91.5501251221")</f>
        <v>91.5501251221</v>
      </c>
      <c r="K648" s="79" t="str">
        <f>HYPERLINK(AA2 &amp; "/bulb/3dw_e34b41d0-8e3a-46b8-af06-f1cb1656e7b7/rendering/08.obj", "73.7000045776")</f>
        <v>73.7000045776</v>
      </c>
      <c r="L648" s="40" t="str">
        <f>HYPERLINK(AA2 &amp; "/bulb/3dw_e34b41d0-8e3a-46b8-af06-f1cb1656e7b7/rendering/09.obj", "72.5186843872")</f>
        <v>72.5186843872</v>
      </c>
      <c r="M648" s="119" t="str">
        <f>HYPERLINK(AA2 &amp; "/bulb/3dw_e34b41d0-8e3a-46b8-af06-f1cb1656e7b7/rendering/10.obj", "64.2186737061")</f>
        <v>64.2186737061</v>
      </c>
      <c r="N648" s="143" t="str">
        <f>HYPERLINK(AA2 &amp; "/bulb/3dw_e34b41d0-8e3a-46b8-af06-f1cb1656e7b7/rendering/11.obj", "128.812805176")</f>
        <v>128.812805176</v>
      </c>
      <c r="O648" s="8" t="str">
        <f>HYPERLINK(AA2 &amp; "/bulb/3dw_e34b41d0-8e3a-46b8-af06-f1cb1656e7b7/rendering/12.obj", "100.020820618")</f>
        <v>100.020820618</v>
      </c>
      <c r="P648" s="153" t="str">
        <f>HYPERLINK(AA2 &amp; "/bulb/3dw_e34b41d0-8e3a-46b8-af06-f1cb1656e7b7/rendering/13.obj", "118.626991272")</f>
        <v>118.626991272</v>
      </c>
      <c r="Q648" s="66" t="str">
        <f>HYPERLINK(AA2 &amp; "/bulb/3dw_e34b41d0-8e3a-46b8-af06-f1cb1656e7b7/rendering/14.obj", "73.2684707642")</f>
        <v>73.2684707642</v>
      </c>
      <c r="R648" s="79" t="str">
        <f>HYPERLINK(AA2 &amp; "/bulb/3dw_e34b41d0-8e3a-46b8-af06-f1cb1656e7b7/rendering/15.obj", "101.27747345")</f>
        <v>101.27747345</v>
      </c>
      <c r="S648" s="200" t="str">
        <f>HYPERLINK(AA2 &amp; "/bulb/3dw_e34b41d0-8e3a-46b8-af06-f1cb1656e7b7/rendering/16.obj", "129.407028198")</f>
        <v>129.407028198</v>
      </c>
      <c r="T648" s="136" t="str">
        <f>HYPERLINK(AA2 &amp; "/bulb/3dw_e34b41d0-8e3a-46b8-af06-f1cb1656e7b7/rendering/17.obj", "66.8198699951")</f>
        <v>66.8198699951</v>
      </c>
      <c r="U648" s="134" t="str">
        <f>HYPERLINK(AA2 &amp; "/bulb/3dw_e34b41d0-8e3a-46b8-af06-f1cb1656e7b7/rendering/18.obj", "71.6623382568")</f>
        <v>71.6623382568</v>
      </c>
      <c r="V648" s="57" t="str">
        <f>HYPERLINK(AA2 &amp; "/bulb/3dw_e34b41d0-8e3a-46b8-af06-f1cb1656e7b7/rendering/19.obj", "59.9665489197")</f>
        <v>59.9665489197</v>
      </c>
      <c r="W648" s="12" t="s">
        <v>30</v>
      </c>
      <c r="X648" s="13">
        <v>87.514898681640631</v>
      </c>
      <c r="Y648" s="13">
        <v>22.77828306585748</v>
      </c>
      <c r="Z648" s="89">
        <v>0.26027891717865909</v>
      </c>
    </row>
    <row r="649" spans="1:26" x14ac:dyDescent="0.2">
      <c r="A649" s="1">
        <v>647</v>
      </c>
      <c r="B649" s="2" t="s">
        <v>162</v>
      </c>
      <c r="C649" s="73" t="str">
        <f>HYPERLINK(AB2 &amp; "/bulb/3dw_e34b41d0-8e3a-46b8-af06-f1cb1656e7b7/rendering/00.obj", "6.21763549805")</f>
        <v>6.21763549805</v>
      </c>
      <c r="D649" s="69" t="str">
        <f>HYPERLINK(AB2 &amp; "/bulb/3dw_e34b41d0-8e3a-46b8-af06-f1cb1656e7b7/rendering/01.obj", "6.17899047852")</f>
        <v>6.17899047852</v>
      </c>
      <c r="E649" s="60" t="str">
        <f>HYPERLINK(AB2 &amp; "/bulb/3dw_e34b41d0-8e3a-46b8-af06-f1cb1656e7b7/rendering/02.obj", "6.2933770752")</f>
        <v>6.2933770752</v>
      </c>
      <c r="F649" s="69" t="str">
        <f>HYPERLINK(AB2 &amp; "/bulb/3dw_e34b41d0-8e3a-46b8-af06-f1cb1656e7b7/rendering/03.obj", "5.80914550781")</f>
        <v>5.80914550781</v>
      </c>
      <c r="G649" s="73" t="str">
        <f>HYPERLINK(AB2 &amp; "/bulb/3dw_e34b41d0-8e3a-46b8-af06-f1cb1656e7b7/rendering/04.obj", "5.77934570313")</f>
        <v>5.77934570313</v>
      </c>
      <c r="H649" s="48" t="str">
        <f>HYPERLINK(AB2 &amp; "/bulb/3dw_e34b41d0-8e3a-46b8-af06-f1cb1656e7b7/rendering/05.obj", "5.85416870117")</f>
        <v>5.85416870117</v>
      </c>
      <c r="I649" s="25" t="str">
        <f>HYPERLINK(AB2 &amp; "/bulb/3dw_e34b41d0-8e3a-46b8-af06-f1cb1656e7b7/rendering/06.obj", "6.0540625")</f>
        <v>6.0540625</v>
      </c>
      <c r="J649" s="68" t="str">
        <f>HYPERLINK(AB2 &amp; "/bulb/3dw_e34b41d0-8e3a-46b8-af06-f1cb1656e7b7/rendering/07.obj", "5.74532226563")</f>
        <v>5.74532226563</v>
      </c>
      <c r="K649" s="69" t="str">
        <f>HYPERLINK(AB2 &amp; "/bulb/3dw_e34b41d0-8e3a-46b8-af06-f1cb1656e7b7/rendering/08.obj", "5.80641235352")</f>
        <v>5.80641235352</v>
      </c>
      <c r="L649" s="30" t="str">
        <f>HYPERLINK(AB2 &amp; "/bulb/3dw_e34b41d0-8e3a-46b8-af06-f1cb1656e7b7/rendering/09.obj", "6.02483520508")</f>
        <v>6.02483520508</v>
      </c>
      <c r="M649" s="74" t="str">
        <f>HYPERLINK(AB2 &amp; "/bulb/3dw_e34b41d0-8e3a-46b8-af06-f1cb1656e7b7/rendering/10.obj", "6.07867492676")</f>
        <v>6.07867492676</v>
      </c>
      <c r="N649" s="27" t="str">
        <f>HYPERLINK(AB2 &amp; "/bulb/3dw_e34b41d0-8e3a-46b8-af06-f1cb1656e7b7/rendering/11.obj", "6.41739807129")</f>
        <v>6.41739807129</v>
      </c>
      <c r="O649" s="73" t="str">
        <f>HYPERLINK(AB2 &amp; "/bulb/3dw_e34b41d0-8e3a-46b8-af06-f1cb1656e7b7/rendering/12.obj", "5.76948364258")</f>
        <v>5.76948364258</v>
      </c>
      <c r="P649" s="73" t="str">
        <f>HYPERLINK(AB2 &amp; "/bulb/3dw_e34b41d0-8e3a-46b8-af06-f1cb1656e7b7/rendering/13.obj", "5.77161682129")</f>
        <v>5.77161682129</v>
      </c>
      <c r="Q649" s="26" t="str">
        <f>HYPERLINK(AB2 &amp; "/bulb/3dw_e34b41d0-8e3a-46b8-af06-f1cb1656e7b7/rendering/14.obj", "6.37951293945")</f>
        <v>6.37951293945</v>
      </c>
      <c r="R649" s="6" t="str">
        <f>HYPERLINK(AB2 &amp; "/bulb/3dw_e34b41d0-8e3a-46b8-af06-f1cb1656e7b7/rendering/15.obj", "5.71888122559")</f>
        <v>5.71888122559</v>
      </c>
      <c r="S649" s="91" t="str">
        <f>HYPERLINK(AB2 &amp; "/bulb/3dw_e34b41d0-8e3a-46b8-af06-f1cb1656e7b7/rendering/16.obj", "5.83855957031")</f>
        <v>5.83855957031</v>
      </c>
      <c r="T649" s="74" t="str">
        <f>HYPERLINK(AB2 &amp; "/bulb/3dw_e34b41d0-8e3a-46b8-af06-f1cb1656e7b7/rendering/17.obj", "6.0820324707")</f>
        <v>6.0820324707</v>
      </c>
      <c r="U649" s="48" t="str">
        <f>HYPERLINK(AB2 &amp; "/bulb/3dw_e34b41d0-8e3a-46b8-af06-f1cb1656e7b7/rendering/18.obj", "5.84389038086")</f>
        <v>5.84389038086</v>
      </c>
      <c r="V649" s="72" t="str">
        <f>HYPERLINK(AB2 &amp; "/bulb/3dw_e34b41d0-8e3a-46b8-af06-f1cb1656e7b7/rendering/19.obj", "6.18118225098")</f>
        <v>6.18118225098</v>
      </c>
      <c r="W649" s="12" t="s">
        <v>31</v>
      </c>
      <c r="X649" s="13">
        <v>5.9922263793945323</v>
      </c>
      <c r="Y649" s="13">
        <v>0.2208253013223507</v>
      </c>
      <c r="Z649" s="73">
        <v>3.6851962416123443E-2</v>
      </c>
    </row>
    <row r="650" spans="1:26" x14ac:dyDescent="0.2">
      <c r="A650" s="1">
        <v>648</v>
      </c>
      <c r="B650" s="2" t="s">
        <v>162</v>
      </c>
      <c r="C650" s="133" t="str">
        <f>HYPERLINK(AB2 &amp; "/bulb/3dw_e34b41d0-8e3a-46b8-af06-f1cb1656e7b7/rendering/00.obj", "48.7567367554")</f>
        <v>48.7567367554</v>
      </c>
      <c r="D650" s="80" t="str">
        <f>HYPERLINK(AB2 &amp; "/bulb/3dw_e34b41d0-8e3a-46b8-af06-f1cb1656e7b7/rendering/01.obj", "50.9100189209")</f>
        <v>50.9100189209</v>
      </c>
      <c r="E650" s="42" t="str">
        <f>HYPERLINK(AB2 &amp; "/bulb/3dw_e34b41d0-8e3a-46b8-af06-f1cb1656e7b7/rendering/02.obj", "50.3227577209")</f>
        <v>50.3227577209</v>
      </c>
      <c r="F650" s="71" t="str">
        <f>HYPERLINK(AB2 &amp; "/bulb/3dw_e34b41d0-8e3a-46b8-af06-f1cb1656e7b7/rendering/03.obj", "39.1391983032")</f>
        <v>39.1391983032</v>
      </c>
      <c r="G650" s="32" t="str">
        <f>HYPERLINK(AB2 &amp; "/bulb/3dw_e34b41d0-8e3a-46b8-af06-f1cb1656e7b7/rendering/04.obj", "39.6225852966")</f>
        <v>39.6225852966</v>
      </c>
      <c r="H650" s="51" t="str">
        <f>HYPERLINK(AB2 &amp; "/bulb/3dw_e34b41d0-8e3a-46b8-af06-f1cb1656e7b7/rendering/05.obj", "40.7131156921")</f>
        <v>40.7131156921</v>
      </c>
      <c r="I650" s="133" t="str">
        <f>HYPERLINK(AB2 &amp; "/bulb/3dw_e34b41d0-8e3a-46b8-af06-f1cb1656e7b7/rendering/06.obj", "48.8351707458")</f>
        <v>48.8351707458</v>
      </c>
      <c r="J650" s="92" t="str">
        <f>HYPERLINK(AB2 &amp; "/bulb/3dw_e34b41d0-8e3a-46b8-af06-f1cb1656e7b7/rendering/07.obj", "38.7883720398")</f>
        <v>38.7883720398</v>
      </c>
      <c r="K650" s="110" t="str">
        <f>HYPERLINK(AB2 &amp; "/bulb/3dw_e34b41d0-8e3a-46b8-af06-f1cb1656e7b7/rendering/08.obj", "39.9732818604")</f>
        <v>39.9732818604</v>
      </c>
      <c r="L650" s="90" t="str">
        <f>HYPERLINK(AB2 &amp; "/bulb/3dw_e34b41d0-8e3a-46b8-af06-f1cb1656e7b7/rendering/09.obj", "48.4706611633")</f>
        <v>48.4706611633</v>
      </c>
      <c r="M650" s="34" t="str">
        <f>HYPERLINK(AB2 &amp; "/bulb/3dw_e34b41d0-8e3a-46b8-af06-f1cb1656e7b7/rendering/10.obj", "46.4491996765")</f>
        <v>46.4491996765</v>
      </c>
      <c r="N650" s="14" t="str">
        <f>HYPERLINK(AB2 &amp; "/bulb/3dw_e34b41d0-8e3a-46b8-af06-f1cb1656e7b7/rendering/11.obj", "57.0836105347")</f>
        <v>57.0836105347</v>
      </c>
      <c r="O650" s="66" t="str">
        <f>HYPERLINK(AB2 &amp; "/bulb/3dw_e34b41d0-8e3a-46b8-af06-f1cb1656e7b7/rendering/12.obj", "37.1406745911")</f>
        <v>37.1406745911</v>
      </c>
      <c r="P650" s="76" t="str">
        <f>HYPERLINK(AB2 &amp; "/bulb/3dw_e34b41d0-8e3a-46b8-af06-f1cb1656e7b7/rendering/13.obj", "36.1810760498")</f>
        <v>36.1810760498</v>
      </c>
      <c r="Q650" s="31" t="str">
        <f>HYPERLINK(AB2 &amp; "/bulb/3dw_e34b41d0-8e3a-46b8-af06-f1cb1656e7b7/rendering/14.obj", "51.1473884583")</f>
        <v>51.1473884583</v>
      </c>
      <c r="R650" s="82" t="str">
        <f>HYPERLINK(AB2 &amp; "/bulb/3dw_e34b41d0-8e3a-46b8-af06-f1cb1656e7b7/rendering/15.obj", "35.240524292")</f>
        <v>35.240524292</v>
      </c>
      <c r="S650" s="70" t="str">
        <f>HYPERLINK(AB2 &amp; "/bulb/3dw_e34b41d0-8e3a-46b8-af06-f1cb1656e7b7/rendering/16.obj", "38.7358589172")</f>
        <v>38.7358589172</v>
      </c>
      <c r="T650" s="67" t="str">
        <f>HYPERLINK(AB2 &amp; "/bulb/3dw_e34b41d0-8e3a-46b8-af06-f1cb1656e7b7/rendering/17.obj", "48.3360939026")</f>
        <v>48.3360939026</v>
      </c>
      <c r="U650" s="33" t="str">
        <f>HYPERLINK(AB2 &amp; "/bulb/3dw_e34b41d0-8e3a-46b8-af06-f1cb1656e7b7/rendering/18.obj", "39.4544334412")</f>
        <v>39.4544334412</v>
      </c>
      <c r="V650" s="8" t="str">
        <f>HYPERLINK(AB2 &amp; "/bulb/3dw_e34b41d0-8e3a-46b8-af06-f1cb1656e7b7/rendering/19.obj", "50.6035423279")</f>
        <v>50.6035423279</v>
      </c>
      <c r="W650" s="12" t="s">
        <v>32</v>
      </c>
      <c r="X650" s="13">
        <v>44.295215034484862</v>
      </c>
      <c r="Y650" s="13">
        <v>6.2165258849343044</v>
      </c>
      <c r="Z650" s="93">
        <v>0.14034305692148899</v>
      </c>
    </row>
    <row r="651" spans="1:26" x14ac:dyDescent="0.2">
      <c r="A651" s="1">
        <v>649</v>
      </c>
      <c r="B651" s="2" t="s">
        <v>162</v>
      </c>
      <c r="C651" s="13" t="str">
        <f>HYPERLINK(AC2 &amp; "/bulb/3dw_e34b41d0-8e3a-46b8-af06-f1cb1656e7b7/rendering/00.xyz", "0.0")</f>
        <v>0.0</v>
      </c>
      <c r="D651" s="13" t="str">
        <f>HYPERLINK(AC2 &amp; "/bulb/3dw_e34b41d0-8e3a-46b8-af06-f1cb1656e7b7/rendering/01.xyz", "0.0")</f>
        <v>0.0</v>
      </c>
      <c r="E651" s="13" t="str">
        <f>HYPERLINK(AC2 &amp; "/bulb/3dw_e34b41d0-8e3a-46b8-af06-f1cb1656e7b7/rendering/02.xyz", "0.0")</f>
        <v>0.0</v>
      </c>
      <c r="F651" s="13" t="str">
        <f>HYPERLINK(AC2 &amp; "/bulb/3dw_e34b41d0-8e3a-46b8-af06-f1cb1656e7b7/rendering/03.xyz", "0.0")</f>
        <v>0.0</v>
      </c>
      <c r="G651" s="13" t="str">
        <f>HYPERLINK(AC2 &amp; "/bulb/3dw_e34b41d0-8e3a-46b8-af06-f1cb1656e7b7/rendering/04.xyz", "0.0")</f>
        <v>0.0</v>
      </c>
      <c r="H651" s="13" t="str">
        <f>HYPERLINK(AC2 &amp; "/bulb/3dw_e34b41d0-8e3a-46b8-af06-f1cb1656e7b7/rendering/05.xyz", "0.0")</f>
        <v>0.0</v>
      </c>
      <c r="I651" s="13" t="str">
        <f>HYPERLINK(AC2 &amp; "/bulb/3dw_e34b41d0-8e3a-46b8-af06-f1cb1656e7b7/rendering/06.xyz", "0.0")</f>
        <v>0.0</v>
      </c>
      <c r="J651" s="13" t="str">
        <f>HYPERLINK(AC2 &amp; "/bulb/3dw_e34b41d0-8e3a-46b8-af06-f1cb1656e7b7/rendering/07.xyz", "0.0")</f>
        <v>0.0</v>
      </c>
      <c r="K651" s="13" t="str">
        <f>HYPERLINK(AC2 &amp; "/bulb/3dw_e34b41d0-8e3a-46b8-af06-f1cb1656e7b7/rendering/08.xyz", "0.0")</f>
        <v>0.0</v>
      </c>
      <c r="L651" s="13" t="str">
        <f>HYPERLINK(AC2 &amp; "/bulb/3dw_e34b41d0-8e3a-46b8-af06-f1cb1656e7b7/rendering/09.xyz", "0.0")</f>
        <v>0.0</v>
      </c>
      <c r="M651" s="13" t="str">
        <f>HYPERLINK(AC2 &amp; "/bulb/3dw_e34b41d0-8e3a-46b8-af06-f1cb1656e7b7/rendering/10.xyz", "0.0")</f>
        <v>0.0</v>
      </c>
      <c r="N651" s="13" t="str">
        <f>HYPERLINK(AC2 &amp; "/bulb/3dw_e34b41d0-8e3a-46b8-af06-f1cb1656e7b7/rendering/11.xyz", "0.0")</f>
        <v>0.0</v>
      </c>
      <c r="O651" s="13" t="str">
        <f>HYPERLINK(AC2 &amp; "/bulb/3dw_e34b41d0-8e3a-46b8-af06-f1cb1656e7b7/rendering/12.xyz", "0.0")</f>
        <v>0.0</v>
      </c>
      <c r="P651" s="13" t="str">
        <f>HYPERLINK(AC2 &amp; "/bulb/3dw_e34b41d0-8e3a-46b8-af06-f1cb1656e7b7/rendering/13.xyz", "0.0")</f>
        <v>0.0</v>
      </c>
      <c r="Q651" s="13" t="str">
        <f>HYPERLINK(AC2 &amp; "/bulb/3dw_e34b41d0-8e3a-46b8-af06-f1cb1656e7b7/rendering/14.xyz", "0.0")</f>
        <v>0.0</v>
      </c>
      <c r="R651" s="13" t="str">
        <f>HYPERLINK(AC2 &amp; "/bulb/3dw_e34b41d0-8e3a-46b8-af06-f1cb1656e7b7/rendering/15.xyz", "0.0")</f>
        <v>0.0</v>
      </c>
      <c r="S651" s="13" t="str">
        <f>HYPERLINK(AC2 &amp; "/bulb/3dw_e34b41d0-8e3a-46b8-af06-f1cb1656e7b7/rendering/16.xyz", "0.0")</f>
        <v>0.0</v>
      </c>
      <c r="T651" s="13" t="str">
        <f>HYPERLINK(AC2 &amp; "/bulb/3dw_e34b41d0-8e3a-46b8-af06-f1cb1656e7b7/rendering/17.xyz", "0.0")</f>
        <v>0.0</v>
      </c>
      <c r="U651" s="13" t="str">
        <f>HYPERLINK(AC2 &amp; "/bulb/3dw_e34b41d0-8e3a-46b8-af06-f1cb1656e7b7/rendering/18.xyz", "0.0")</f>
        <v>0.0</v>
      </c>
      <c r="V651" s="13" t="str">
        <f>HYPERLINK(AC2 &amp; "/bulb/3dw_e34b41d0-8e3a-46b8-af06-f1cb1656e7b7/rendering/19.xyz", "0.0")</f>
        <v>0.0</v>
      </c>
      <c r="W651" s="12" t="s">
        <v>33</v>
      </c>
      <c r="X651" s="13">
        <v>0</v>
      </c>
      <c r="Y651" s="13">
        <v>0</v>
      </c>
      <c r="Z651" s="13">
        <v>0</v>
      </c>
    </row>
    <row r="652" spans="1:26" x14ac:dyDescent="0.2">
      <c r="A652" s="1">
        <v>650</v>
      </c>
      <c r="B652" s="2" t="s">
        <v>163</v>
      </c>
      <c r="C652" s="90" t="str">
        <f>HYPERLINK(AA2 &amp; "/bulb/3dw_e54d9e8d-6316-4b5f-a201-9ab93c6a0756/rendering/00.obj", "3.73236846924")</f>
        <v>3.73236846924</v>
      </c>
      <c r="D652" s="28" t="str">
        <f>HYPERLINK(AA2 &amp; "/bulb/3dw_e54d9e8d-6316-4b5f-a201-9ab93c6a0756/rendering/01.obj", "3.02224060059")</f>
        <v>3.02224060059</v>
      </c>
      <c r="E652" s="11" t="str">
        <f>HYPERLINK(AA2 &amp; "/bulb/3dw_e54d9e8d-6316-4b5f-a201-9ab93c6a0756/rendering/02.obj", "2.63878723145")</f>
        <v>2.63878723145</v>
      </c>
      <c r="F652" s="5" t="str">
        <f>HYPERLINK(AA2 &amp; "/bulb/3dw_e54d9e8d-6316-4b5f-a201-9ab93c6a0756/rendering/03.obj", "3.66611816406")</f>
        <v>3.66611816406</v>
      </c>
      <c r="G652" s="191" t="str">
        <f>HYPERLINK(AA2 &amp; "/bulb/3dw_e54d9e8d-6316-4b5f-a201-9ab93c6a0756/rendering/04.obj", "4.93874572754")</f>
        <v>4.93874572754</v>
      </c>
      <c r="H652" s="79" t="str">
        <f>HYPERLINK(AA2 &amp; "/bulb/3dw_e54d9e8d-6316-4b5f-a201-9ab93c6a0756/rendering/05.obj", "2.86336883545")</f>
        <v>2.86336883545</v>
      </c>
      <c r="I652" s="28" t="str">
        <f>HYPERLINK(AA2 &amp; "/bulb/3dw_e54d9e8d-6316-4b5f-a201-9ab93c6a0756/rendering/06.obj", "3.01980712891")</f>
        <v>3.01980712891</v>
      </c>
      <c r="J652" s="137" t="str">
        <f>HYPERLINK(AA2 &amp; "/bulb/3dw_e54d9e8d-6316-4b5f-a201-9ab93c6a0756/rendering/07.obj", "4.64859191895")</f>
        <v>4.64859191895</v>
      </c>
      <c r="K652" s="61" t="str">
        <f>HYPERLINK(AA2 &amp; "/bulb/3dw_e54d9e8d-6316-4b5f-a201-9ab93c6a0756/rendering/08.obj", "4.43014770508")</f>
        <v>4.43014770508</v>
      </c>
      <c r="L652" s="37" t="str">
        <f>HYPERLINK(AA2 &amp; "/bulb/3dw_e54d9e8d-6316-4b5f-a201-9ab93c6a0756/rendering/09.obj", "2.81073242188")</f>
        <v>2.81073242188</v>
      </c>
      <c r="M652" s="32" t="str">
        <f>HYPERLINK(AA2 &amp; "/bulb/3dw_e54d9e8d-6316-4b5f-a201-9ab93c6a0756/rendering/10.obj", "3.75455596924")</f>
        <v>3.75455596924</v>
      </c>
      <c r="N652" s="64" t="str">
        <f>HYPERLINK(AA2 &amp; "/bulb/3dw_e54d9e8d-6316-4b5f-a201-9ab93c6a0756/rendering/11.obj", "2.83672241211")</f>
        <v>2.83672241211</v>
      </c>
      <c r="O652" s="78" t="str">
        <f>HYPERLINK(AA2 &amp; "/bulb/3dw_e54d9e8d-6316-4b5f-a201-9ab93c6a0756/rendering/12.obj", "3.6067388916")</f>
        <v>3.6067388916</v>
      </c>
      <c r="P652" s="175" t="str">
        <f>HYPERLINK(AA2 &amp; "/bulb/3dw_e54d9e8d-6316-4b5f-a201-9ab93c6a0756/rendering/13.obj", "2.60307922363")</f>
        <v>2.60307922363</v>
      </c>
      <c r="Q652" s="72" t="str">
        <f>HYPERLINK(AA2 &amp; "/bulb/3dw_e54d9e8d-6316-4b5f-a201-9ab93c6a0756/rendering/14.obj", "3.51516052246")</f>
        <v>3.51516052246</v>
      </c>
      <c r="R652" s="5" t="str">
        <f>HYPERLINK(AA2 &amp; "/bulb/3dw_e54d9e8d-6316-4b5f-a201-9ab93c6a0756/rendering/15.obj", "3.66494384766")</f>
        <v>3.66494384766</v>
      </c>
      <c r="S652" s="34" t="str">
        <f>HYPERLINK(AA2 &amp; "/bulb/3dw_e54d9e8d-6316-4b5f-a201-9ab93c6a0756/rendering/16.obj", "3.23982543945")</f>
        <v>3.23982543945</v>
      </c>
      <c r="T652" s="73" t="str">
        <f>HYPERLINK(AA2 &amp; "/bulb/3dw_e54d9e8d-6316-4b5f-a201-9ab93c6a0756/rendering/17.obj", "3.28125244141")</f>
        <v>3.28125244141</v>
      </c>
      <c r="U652" s="39" t="str">
        <f>HYPERLINK(AA2 &amp; "/bulb/3dw_e54d9e8d-6316-4b5f-a201-9ab93c6a0756/rendering/18.obj", "3.10840942383")</f>
        <v>3.10840942383</v>
      </c>
      <c r="V652" s="75" t="str">
        <f>HYPERLINK(AA2 &amp; "/bulb/3dw_e54d9e8d-6316-4b5f-a201-9ab93c6a0756/rendering/19.obj", "2.65141815186")</f>
        <v>2.65141815186</v>
      </c>
      <c r="W652" s="12" t="s">
        <v>29</v>
      </c>
      <c r="X652" s="13">
        <v>3.4016507263183602</v>
      </c>
      <c r="Y652" s="13">
        <v>0.65423580581743179</v>
      </c>
      <c r="Z652" s="55">
        <v>0.1923289186498926</v>
      </c>
    </row>
    <row r="653" spans="1:26" x14ac:dyDescent="0.2">
      <c r="A653" s="1">
        <v>651</v>
      </c>
      <c r="B653" s="2" t="s">
        <v>163</v>
      </c>
      <c r="C653" s="78" t="str">
        <f>HYPERLINK(AA2 &amp; "/bulb/3dw_e54d9e8d-6316-4b5f-a201-9ab93c6a0756/rendering/00.obj", "15.2019271851")</f>
        <v>15.2019271851</v>
      </c>
      <c r="D653" s="83" t="str">
        <f>HYPERLINK(AA2 &amp; "/bulb/3dw_e54d9e8d-6316-4b5f-a201-9ab93c6a0756/rendering/01.obj", "12.1253128052")</f>
        <v>12.1253128052</v>
      </c>
      <c r="E653" s="87" t="str">
        <f>HYPERLINK(AA2 &amp; "/bulb/3dw_e54d9e8d-6316-4b5f-a201-9ab93c6a0756/rendering/02.obj", "11.0668439865")</f>
        <v>11.0668439865</v>
      </c>
      <c r="F653" s="28" t="str">
        <f>HYPERLINK(AA2 &amp; "/bulb/3dw_e54d9e8d-6316-4b5f-a201-9ab93c6a0756/rendering/03.obj", "15.8816289902")</f>
        <v>15.8816289902</v>
      </c>
      <c r="G653" s="240" t="str">
        <f>HYPERLINK(AA2 &amp; "/bulb/3dw_e54d9e8d-6316-4b5f-a201-9ab93c6a0756/rendering/04.obj", "23.6853485107")</f>
        <v>23.6853485107</v>
      </c>
      <c r="H653" s="58" t="str">
        <f>HYPERLINK(AA2 &amp; "/bulb/3dw_e54d9e8d-6316-4b5f-a201-9ab93c6a0756/rendering/05.obj", "10.8329906464")</f>
        <v>10.8329906464</v>
      </c>
      <c r="I653" s="38" t="str">
        <f>HYPERLINK(AA2 &amp; "/bulb/3dw_e54d9e8d-6316-4b5f-a201-9ab93c6a0756/rendering/06.obj", "13.0490112305")</f>
        <v>13.0490112305</v>
      </c>
      <c r="J653" s="131" t="str">
        <f>HYPERLINK(AA2 &amp; "/bulb/3dw_e54d9e8d-6316-4b5f-a201-9ab93c6a0756/rendering/07.obj", "20.9214935303")</f>
        <v>20.9214935303</v>
      </c>
      <c r="K653" s="7" t="str">
        <f>HYPERLINK(AA2 &amp; "/bulb/3dw_e54d9e8d-6316-4b5f-a201-9ab93c6a0756/rendering/08.obj", "18.2703762054")</f>
        <v>18.2703762054</v>
      </c>
      <c r="L653" s="108" t="str">
        <f>HYPERLINK(AA2 &amp; "/bulb/3dw_e54d9e8d-6316-4b5f-a201-9ab93c6a0756/rendering/09.obj", "10.7766027451")</f>
        <v>10.7766027451</v>
      </c>
      <c r="M653" s="74" t="str">
        <f>HYPERLINK(AA2 &amp; "/bulb/3dw_e54d9e8d-6316-4b5f-a201-9ab93c6a0756/rendering/10.obj", "14.5242176056")</f>
        <v>14.5242176056</v>
      </c>
      <c r="N653" s="120" t="str">
        <f>HYPERLINK(AA2 &amp; "/bulb/3dw_e54d9e8d-6316-4b5f-a201-9ab93c6a0756/rendering/11.obj", "11.2739295959")</f>
        <v>11.2739295959</v>
      </c>
      <c r="O653" s="107" t="str">
        <f>HYPERLINK(AA2 &amp; "/bulb/3dw_e54d9e8d-6316-4b5f-a201-9ab93c6a0756/rendering/12.obj", "15.478975296")</f>
        <v>15.478975296</v>
      </c>
      <c r="P653" s="135" t="str">
        <f>HYPERLINK(AA2 &amp; "/bulb/3dw_e54d9e8d-6316-4b5f-a201-9ab93c6a0756/rendering/13.obj", "10.6422328949")</f>
        <v>10.6422328949</v>
      </c>
      <c r="Q653" s="10" t="str">
        <f>HYPERLINK(AA2 &amp; "/bulb/3dw_e54d9e8d-6316-4b5f-a201-9ab93c6a0756/rendering/14.obj", "15.109711647")</f>
        <v>15.109711647</v>
      </c>
      <c r="R653" s="92" t="str">
        <f>HYPERLINK(AA2 &amp; "/bulb/3dw_e54d9e8d-6316-4b5f-a201-9ab93c6a0756/rendering/15.obj", "16.0629329681")</f>
        <v>16.0629329681</v>
      </c>
      <c r="S653" s="46" t="str">
        <f>HYPERLINK(AA2 &amp; "/bulb/3dw_e54d9e8d-6316-4b5f-a201-9ab93c6a0756/rendering/16.obj", "14.0654439926")</f>
        <v>14.0654439926</v>
      </c>
      <c r="T653" s="34" t="str">
        <f>HYPERLINK(AA2 &amp; "/bulb/3dw_e54d9e8d-6316-4b5f-a201-9ab93c6a0756/rendering/17.obj", "13.6320428848")</f>
        <v>13.6320428848</v>
      </c>
      <c r="U653" s="67" t="str">
        <f>HYPERLINK(AA2 &amp; "/bulb/3dw_e54d9e8d-6316-4b5f-a201-9ab93c6a0756/rendering/18.obj", "12.9788017273")</f>
        <v>12.9788017273</v>
      </c>
      <c r="V653" s="89" t="str">
        <f>HYPERLINK(AA2 &amp; "/bulb/3dw_e54d9e8d-6316-4b5f-a201-9ab93c6a0756/rendering/19.obj", "10.585026741")</f>
        <v>10.585026741</v>
      </c>
      <c r="W653" s="12" t="s">
        <v>30</v>
      </c>
      <c r="X653" s="13">
        <v>14.30824255943298</v>
      </c>
      <c r="Y653" s="13">
        <v>3.4349415594319042</v>
      </c>
      <c r="Z653" s="59">
        <v>0.24006732798692679</v>
      </c>
    </row>
    <row r="654" spans="1:26" x14ac:dyDescent="0.2">
      <c r="A654" s="1">
        <v>652</v>
      </c>
      <c r="B654" s="2" t="s">
        <v>163</v>
      </c>
      <c r="C654" s="65" t="str">
        <f>HYPERLINK(AB2 &amp; "/bulb/3dw_e54d9e8d-6316-4b5f-a201-9ab93c6a0756/rendering/00.obj", "2.10231781006")</f>
        <v>2.10231781006</v>
      </c>
      <c r="D654" s="33" t="str">
        <f>HYPERLINK(AB2 &amp; "/bulb/3dw_e54d9e8d-6316-4b5f-a201-9ab93c6a0756/rendering/01.obj", "1.65575866699")</f>
        <v>1.65575866699</v>
      </c>
      <c r="E654" s="39" t="str">
        <f>HYPERLINK(AB2 &amp; "/bulb/3dw_e54d9e8d-6316-4b5f-a201-9ab93c6a0756/rendering/02.obj", "1.69584869385")</f>
        <v>1.69584869385</v>
      </c>
      <c r="F654" s="23" t="str">
        <f>HYPERLINK(AB2 &amp; "/bulb/3dw_e54d9e8d-6316-4b5f-a201-9ab93c6a0756/rendering/03.obj", "1.77881500244")</f>
        <v>1.77881500244</v>
      </c>
      <c r="G654" s="82" t="str">
        <f>HYPERLINK(AB2 &amp; "/bulb/3dw_e54d9e8d-6316-4b5f-a201-9ab93c6a0756/rendering/04.obj", "2.23636535645")</f>
        <v>2.23636535645</v>
      </c>
      <c r="H654" s="107" t="str">
        <f>HYPERLINK(AB2 &amp; "/bulb/3dw_e54d9e8d-6316-4b5f-a201-9ab93c6a0756/rendering/05.obj", "1.69868408203")</f>
        <v>1.69868408203</v>
      </c>
      <c r="I654" s="60" t="str">
        <f>HYPERLINK(AB2 &amp; "/bulb/3dw_e54d9e8d-6316-4b5f-a201-9ab93c6a0756/rendering/06.obj", "1.94965057373")</f>
        <v>1.94965057373</v>
      </c>
      <c r="J654" s="24" t="str">
        <f>HYPERLINK(AB2 &amp; "/bulb/3dw_e54d9e8d-6316-4b5f-a201-9ab93c6a0756/rendering/07.obj", "2.16522628784")</f>
        <v>2.16522628784</v>
      </c>
      <c r="K654" s="28" t="str">
        <f>HYPERLINK(AB2 &amp; "/bulb/3dw_e54d9e8d-6316-4b5f-a201-9ab93c6a0756/rendering/08.obj", "2.05861480713")</f>
        <v>2.05861480713</v>
      </c>
      <c r="L654" s="38" t="str">
        <f>HYPERLINK(AB2 &amp; "/bulb/3dw_e54d9e8d-6316-4b5f-a201-9ab93c6a0756/rendering/09.obj", "1.68659255981")</f>
        <v>1.68659255981</v>
      </c>
      <c r="M654" s="31" t="str">
        <f>HYPERLINK(AB2 &amp; "/bulb/3dw_e54d9e8d-6316-4b5f-a201-9ab93c6a0756/rendering/10.obj", "2.14125061035")</f>
        <v>2.14125061035</v>
      </c>
      <c r="N654" s="51" t="str">
        <f>HYPERLINK(AB2 &amp; "/bulb/3dw_e54d9e8d-6316-4b5f-a201-9ab93c6a0756/rendering/11.obj", "1.70311767578")</f>
        <v>1.70311767578</v>
      </c>
      <c r="O654" s="60" t="str">
        <f>HYPERLINK(AB2 &amp; "/bulb/3dw_e54d9e8d-6316-4b5f-a201-9ab93c6a0756/rendering/12.obj", "1.76022598267")</f>
        <v>1.76022598267</v>
      </c>
      <c r="P654" s="51" t="str">
        <f>HYPERLINK(AB2 &amp; "/bulb/3dw_e54d9e8d-6316-4b5f-a201-9ab93c6a0756/rendering/13.obj", "1.70302490234")</f>
        <v>1.70302490234</v>
      </c>
      <c r="Q654" s="34" t="str">
        <f>HYPERLINK(AB2 &amp; "/bulb/3dw_e54d9e8d-6316-4b5f-a201-9ab93c6a0756/rendering/14.obj", "1.76680603027")</f>
        <v>1.76680603027</v>
      </c>
      <c r="R654" s="5" t="str">
        <f>HYPERLINK(AB2 &amp; "/bulb/3dw_e54d9e8d-6316-4b5f-a201-9ab93c6a0756/rendering/15.obj", "1.99421142578")</f>
        <v>1.99421142578</v>
      </c>
      <c r="S654" s="69" t="str">
        <f>HYPERLINK(AB2 &amp; "/bulb/3dw_e54d9e8d-6316-4b5f-a201-9ab93c6a0756/rendering/16.obj", "1.90800994873")</f>
        <v>1.90800994873</v>
      </c>
      <c r="T654" s="41" t="str">
        <f>HYPERLINK(AB2 &amp; "/bulb/3dw_e54d9e8d-6316-4b5f-a201-9ab93c6a0756/rendering/17.obj", "1.73018005371")</f>
        <v>1.73018005371</v>
      </c>
      <c r="U654" s="32" t="str">
        <f>HYPERLINK(AB2 &amp; "/bulb/3dw_e54d9e8d-6316-4b5f-a201-9ab93c6a0756/rendering/18.obj", "1.66086517334")</f>
        <v>1.66086517334</v>
      </c>
      <c r="V654" s="38" t="str">
        <f>HYPERLINK(AB2 &amp; "/bulb/3dw_e54d9e8d-6316-4b5f-a201-9ab93c6a0756/rendering/19.obj", "1.68962463379")</f>
        <v>1.68962463379</v>
      </c>
      <c r="W654" s="12" t="s">
        <v>31</v>
      </c>
      <c r="X654" s="13">
        <v>1.8542595138549809</v>
      </c>
      <c r="Y654" s="13">
        <v>0.19033529389368409</v>
      </c>
      <c r="Z654" s="133">
        <v>0.10264760270690459</v>
      </c>
    </row>
    <row r="655" spans="1:26" x14ac:dyDescent="0.2">
      <c r="A655" s="1">
        <v>653</v>
      </c>
      <c r="B655" s="2" t="s">
        <v>163</v>
      </c>
      <c r="C655" s="47" t="str">
        <f>HYPERLINK(AB2 &amp; "/bulb/3dw_e54d9e8d-6316-4b5f-a201-9ab93c6a0756/rendering/00.obj", "10.2435026169")</f>
        <v>10.2435026169</v>
      </c>
      <c r="D655" s="38" t="str">
        <f>HYPERLINK(AB2 &amp; "/bulb/3dw_e54d9e8d-6316-4b5f-a201-9ab93c6a0756/rendering/01.obj", "9.25257015228")</f>
        <v>9.25257015228</v>
      </c>
      <c r="E655" s="23" t="str">
        <f>HYPERLINK(AB2 &amp; "/bulb/3dw_e54d9e8d-6316-4b5f-a201-9ab93c6a0756/rendering/02.obj", "9.77378177643")</f>
        <v>9.77378177643</v>
      </c>
      <c r="F655" s="34" t="str">
        <f>HYPERLINK(AB2 &amp; "/bulb/3dw_e54d9e8d-6316-4b5f-a201-9ab93c6a0756/rendering/03.obj", "10.6797780991")</f>
        <v>10.6797780991</v>
      </c>
      <c r="G655" s="41" t="str">
        <f>HYPERLINK(AB2 &amp; "/bulb/3dw_e54d9e8d-6316-4b5f-a201-9ab93c6a0756/rendering/04.obj", "10.865187645")</f>
        <v>10.865187645</v>
      </c>
      <c r="H655" s="91" t="str">
        <f>HYPERLINK(AB2 &amp; "/bulb/3dw_e54d9e8d-6316-4b5f-a201-9ab93c6a0756/rendering/05.obj", "9.89951896667")</f>
        <v>9.89951896667</v>
      </c>
      <c r="I655" s="30" t="str">
        <f>HYPERLINK(AB2 &amp; "/bulb/3dw_e54d9e8d-6316-4b5f-a201-9ab93c6a0756/rendering/06.obj", "10.2221136093")</f>
        <v>10.2221136093</v>
      </c>
      <c r="J655" s="23" t="str">
        <f>HYPERLINK(AB2 &amp; "/bulb/3dw_e54d9e8d-6316-4b5f-a201-9ab93c6a0756/rendering/07.obj", "10.5720062256")</f>
        <v>10.5720062256</v>
      </c>
      <c r="K655" s="60" t="str">
        <f>HYPERLINK(AB2 &amp; "/bulb/3dw_e54d9e8d-6316-4b5f-a201-9ab93c6a0756/rendering/08.obj", "10.6991739273")</f>
        <v>10.6991739273</v>
      </c>
      <c r="L655" s="23" t="str">
        <f>HYPERLINK(AB2 &amp; "/bulb/3dw_e54d9e8d-6316-4b5f-a201-9ab93c6a0756/rendering/09.obj", "9.79057598114")</f>
        <v>9.79057598114</v>
      </c>
      <c r="M655" s="25" t="str">
        <f>HYPERLINK(AB2 &amp; "/bulb/3dw_e54d9e8d-6316-4b5f-a201-9ab93c6a0756/rendering/10.obj", "10.2939281464")</f>
        <v>10.2939281464</v>
      </c>
      <c r="N655" s="48" t="str">
        <f>HYPERLINK(AB2 &amp; "/bulb/3dw_e54d9e8d-6316-4b5f-a201-9ab93c6a0756/rendering/11.obj", "9.93568229675")</f>
        <v>9.93568229675</v>
      </c>
      <c r="O655" s="17" t="str">
        <f>HYPERLINK(AB2 &amp; "/bulb/3dw_e54d9e8d-6316-4b5f-a201-9ab93c6a0756/rendering/12.obj", "9.95215988159")</f>
        <v>9.95215988159</v>
      </c>
      <c r="P655" s="72" t="str">
        <f>HYPERLINK(AB2 &amp; "/bulb/3dw_e54d9e8d-6316-4b5f-a201-9ab93c6a0756/rendering/13.obj", "9.84967708588")</f>
        <v>9.84967708588</v>
      </c>
      <c r="Q655" s="72" t="str">
        <f>HYPERLINK(AB2 &amp; "/bulb/3dw_e54d9e8d-6316-4b5f-a201-9ab93c6a0756/rendering/14.obj", "10.5058774948")</f>
        <v>10.5058774948</v>
      </c>
      <c r="R655" s="38" t="str">
        <f>HYPERLINK(AB2 &amp; "/bulb/3dw_e54d9e8d-6316-4b5f-a201-9ab93c6a0756/rendering/15.obj", "11.0736989975")</f>
        <v>11.0736989975</v>
      </c>
      <c r="S655" s="78" t="str">
        <f>HYPERLINK(AB2 &amp; "/bulb/3dw_e54d9e8d-6316-4b5f-a201-9ab93c6a0756/rendering/16.obj", "10.7900657654")</f>
        <v>10.7900657654</v>
      </c>
      <c r="T655" s="25" t="str">
        <f>HYPERLINK(AB2 &amp; "/bulb/3dw_e54d9e8d-6316-4b5f-a201-9ab93c6a0756/rendering/17.obj", "10.05651474")</f>
        <v>10.05651474</v>
      </c>
      <c r="U655" s="27" t="str">
        <f>HYPERLINK(AB2 &amp; "/bulb/3dw_e54d9e8d-6316-4b5f-a201-9ab93c6a0756/rendering/18.obj", "9.44284057617")</f>
        <v>9.44284057617</v>
      </c>
      <c r="V655" s="35" t="str">
        <f>HYPERLINK(AB2 &amp; "/bulb/3dw_e54d9e8d-6316-4b5f-a201-9ab93c6a0756/rendering/19.obj", "9.5977640152")</f>
        <v>9.5977640152</v>
      </c>
      <c r="W655" s="12" t="s">
        <v>32</v>
      </c>
      <c r="X655" s="13">
        <v>10.174820899963381</v>
      </c>
      <c r="Y655" s="13">
        <v>0.49049063095218648</v>
      </c>
      <c r="Z655" s="34">
        <v>4.8206315941536813E-2</v>
      </c>
    </row>
    <row r="656" spans="1:26" x14ac:dyDescent="0.2">
      <c r="A656" s="1">
        <v>654</v>
      </c>
      <c r="B656" s="2" t="s">
        <v>163</v>
      </c>
      <c r="C656" s="13" t="str">
        <f>HYPERLINK(AC2 &amp; "/bulb/3dw_e54d9e8d-6316-4b5f-a201-9ab93c6a0756/rendering/00.xyz", "0.0")</f>
        <v>0.0</v>
      </c>
      <c r="D656" s="13" t="str">
        <f>HYPERLINK(AC2 &amp; "/bulb/3dw_e54d9e8d-6316-4b5f-a201-9ab93c6a0756/rendering/01.xyz", "0.0")</f>
        <v>0.0</v>
      </c>
      <c r="E656" s="13" t="str">
        <f>HYPERLINK(AC2 &amp; "/bulb/3dw_e54d9e8d-6316-4b5f-a201-9ab93c6a0756/rendering/02.xyz", "0.0")</f>
        <v>0.0</v>
      </c>
      <c r="F656" s="13" t="str">
        <f>HYPERLINK(AC2 &amp; "/bulb/3dw_e54d9e8d-6316-4b5f-a201-9ab93c6a0756/rendering/03.xyz", "0.0")</f>
        <v>0.0</v>
      </c>
      <c r="G656" s="13" t="str">
        <f>HYPERLINK(AC2 &amp; "/bulb/3dw_e54d9e8d-6316-4b5f-a201-9ab93c6a0756/rendering/04.xyz", "0.0")</f>
        <v>0.0</v>
      </c>
      <c r="H656" s="13" t="str">
        <f>HYPERLINK(AC2 &amp; "/bulb/3dw_e54d9e8d-6316-4b5f-a201-9ab93c6a0756/rendering/05.xyz", "0.0")</f>
        <v>0.0</v>
      </c>
      <c r="I656" s="13" t="str">
        <f>HYPERLINK(AC2 &amp; "/bulb/3dw_e54d9e8d-6316-4b5f-a201-9ab93c6a0756/rendering/06.xyz", "0.0")</f>
        <v>0.0</v>
      </c>
      <c r="J656" s="13" t="str">
        <f>HYPERLINK(AC2 &amp; "/bulb/3dw_e54d9e8d-6316-4b5f-a201-9ab93c6a0756/rendering/07.xyz", "0.0")</f>
        <v>0.0</v>
      </c>
      <c r="K656" s="13" t="str">
        <f>HYPERLINK(AC2 &amp; "/bulb/3dw_e54d9e8d-6316-4b5f-a201-9ab93c6a0756/rendering/08.xyz", "0.0")</f>
        <v>0.0</v>
      </c>
      <c r="L656" s="13" t="str">
        <f>HYPERLINK(AC2 &amp; "/bulb/3dw_e54d9e8d-6316-4b5f-a201-9ab93c6a0756/rendering/09.xyz", "0.0")</f>
        <v>0.0</v>
      </c>
      <c r="M656" s="13" t="str">
        <f>HYPERLINK(AC2 &amp; "/bulb/3dw_e54d9e8d-6316-4b5f-a201-9ab93c6a0756/rendering/10.xyz", "0.0")</f>
        <v>0.0</v>
      </c>
      <c r="N656" s="13" t="str">
        <f>HYPERLINK(AC2 &amp; "/bulb/3dw_e54d9e8d-6316-4b5f-a201-9ab93c6a0756/rendering/11.xyz", "0.0")</f>
        <v>0.0</v>
      </c>
      <c r="O656" s="13" t="str">
        <f>HYPERLINK(AC2 &amp; "/bulb/3dw_e54d9e8d-6316-4b5f-a201-9ab93c6a0756/rendering/12.xyz", "0.0")</f>
        <v>0.0</v>
      </c>
      <c r="P656" s="13" t="str">
        <f>HYPERLINK(AC2 &amp; "/bulb/3dw_e54d9e8d-6316-4b5f-a201-9ab93c6a0756/rendering/13.xyz", "0.0")</f>
        <v>0.0</v>
      </c>
      <c r="Q656" s="13" t="str">
        <f>HYPERLINK(AC2 &amp; "/bulb/3dw_e54d9e8d-6316-4b5f-a201-9ab93c6a0756/rendering/14.xyz", "0.0")</f>
        <v>0.0</v>
      </c>
      <c r="R656" s="13" t="str">
        <f>HYPERLINK(AC2 &amp; "/bulb/3dw_e54d9e8d-6316-4b5f-a201-9ab93c6a0756/rendering/15.xyz", "0.0")</f>
        <v>0.0</v>
      </c>
      <c r="S656" s="13" t="str">
        <f>HYPERLINK(AC2 &amp; "/bulb/3dw_e54d9e8d-6316-4b5f-a201-9ab93c6a0756/rendering/16.xyz", "0.0")</f>
        <v>0.0</v>
      </c>
      <c r="T656" s="13" t="str">
        <f>HYPERLINK(AC2 &amp; "/bulb/3dw_e54d9e8d-6316-4b5f-a201-9ab93c6a0756/rendering/17.xyz", "0.0")</f>
        <v>0.0</v>
      </c>
      <c r="U656" s="13" t="str">
        <f>HYPERLINK(AC2 &amp; "/bulb/3dw_e54d9e8d-6316-4b5f-a201-9ab93c6a0756/rendering/18.xyz", "0.0")</f>
        <v>0.0</v>
      </c>
      <c r="V656" s="13" t="str">
        <f>HYPERLINK(AC2 &amp; "/bulb/3dw_e54d9e8d-6316-4b5f-a201-9ab93c6a0756/rendering/19.xyz", "0.0")</f>
        <v>0.0</v>
      </c>
      <c r="W656" s="12" t="s">
        <v>33</v>
      </c>
      <c r="X656" s="13">
        <v>0</v>
      </c>
      <c r="Y656" s="13">
        <v>0</v>
      </c>
      <c r="Z656" s="13">
        <v>0</v>
      </c>
    </row>
    <row r="657" spans="1:26" x14ac:dyDescent="0.2">
      <c r="A657" s="1">
        <v>655</v>
      </c>
      <c r="B657" s="2" t="s">
        <v>164</v>
      </c>
      <c r="C657" s="13" t="str">
        <f>HYPERLINK(AA2 &amp; "/bulb/3dw_e8a8a9a2-7607-4b1a-bf5c-8884f940cab9/rendering/00.obj", "4.87147644043")</f>
        <v>4.87147644043</v>
      </c>
      <c r="D657" s="143" t="str">
        <f>HYPERLINK(AA2 &amp; "/bulb/3dw_e8a8a9a2-7607-4b1a-bf5c-8884f940cab9/rendering/01.obj", "2.56989959717")</f>
        <v>2.56989959717</v>
      </c>
      <c r="E657" s="74" t="str">
        <f>HYPERLINK(AA2 &amp; "/bulb/3dw_e8a8a9a2-7607-4b1a-bf5c-8884f940cab9/rendering/02.obj", "4.93653015137")</f>
        <v>4.93653015137</v>
      </c>
      <c r="F657" s="147" t="str">
        <f>HYPERLINK(AA2 &amp; "/bulb/3dw_e8a8a9a2-7607-4b1a-bf5c-8884f940cab9/rendering/03.obj", "7.23275085449")</f>
        <v>7.23275085449</v>
      </c>
      <c r="G657" s="112" t="str">
        <f>HYPERLINK(AA2 &amp; "/bulb/3dw_e8a8a9a2-7607-4b1a-bf5c-8884f940cab9/rendering/04.obj", "1.97161621094")</f>
        <v>1.97161621094</v>
      </c>
      <c r="H657" s="75" t="str">
        <f>HYPERLINK(AA2 &amp; "/bulb/3dw_e8a8a9a2-7607-4b1a-bf5c-8884f940cab9/rendering/05.obj", "5.94409912109")</f>
        <v>5.94409912109</v>
      </c>
      <c r="I657" s="79" t="str">
        <f>HYPERLINK(AA2 &amp; "/bulb/3dw_e8a8a9a2-7607-4b1a-bf5c-8884f940cab9/rendering/06.obj", "5.63159545898")</f>
        <v>5.63159545898</v>
      </c>
      <c r="J657" s="175" t="str">
        <f>HYPERLINK(AA2 &amp; "/bulb/3dw_e8a8a9a2-7607-4b1a-bf5c-8884f940cab9/rendering/07.obj", "6.00846191406")</f>
        <v>6.00846191406</v>
      </c>
      <c r="K657" s="143" t="str">
        <f>HYPERLINK(AA2 &amp; "/bulb/3dw_e8a8a9a2-7607-4b1a-bf5c-8884f940cab9/rendering/08.obj", "7.15934204102")</f>
        <v>7.15934204102</v>
      </c>
      <c r="L657" s="137" t="str">
        <f>HYPERLINK(AA2 &amp; "/bulb/3dw_e8a8a9a2-7607-4b1a-bf5c-8884f940cab9/rendering/09.obj", "3.08819824219")</f>
        <v>3.08819824219</v>
      </c>
      <c r="M657" s="4" t="str">
        <f>HYPERLINK(AA2 &amp; "/bulb/3dw_e8a8a9a2-7607-4b1a-bf5c-8884f940cab9/rendering/10.obj", "6.24670288086")</f>
        <v>6.24670288086</v>
      </c>
      <c r="N657" s="137" t="str">
        <f>HYPERLINK(AA2 &amp; "/bulb/3dw_e8a8a9a2-7607-4b1a-bf5c-8884f940cab9/rendering/11.obj", "6.64531982422")</f>
        <v>6.64531982422</v>
      </c>
      <c r="O657" s="84" t="str">
        <f>HYPERLINK(AA2 &amp; "/bulb/3dw_e8a8a9a2-7607-4b1a-bf5c-8884f940cab9/rendering/12.obj", "5.57707214355")</f>
        <v>5.57707214355</v>
      </c>
      <c r="P657" s="201" t="str">
        <f>HYPERLINK(AA2 &amp; "/bulb/3dw_e8a8a9a2-7607-4b1a-bf5c-8884f940cab9/rendering/13.obj", "2.02884765625")</f>
        <v>2.02884765625</v>
      </c>
      <c r="Q657" s="52" t="str">
        <f>HYPERLINK(AA2 &amp; "/bulb/3dw_e8a8a9a2-7607-4b1a-bf5c-8884f940cab9/rendering/14.obj", "6.80402587891")</f>
        <v>6.80402587891</v>
      </c>
      <c r="R657" s="139" t="str">
        <f>HYPERLINK(AA2 &amp; "/bulb/3dw_e8a8a9a2-7607-4b1a-bf5c-8884f940cab9/rendering/15.obj", "7.20014404297")</f>
        <v>7.20014404297</v>
      </c>
      <c r="S657" s="163" t="str">
        <f>HYPERLINK(AA2 &amp; "/bulb/3dw_e8a8a9a2-7607-4b1a-bf5c-8884f940cab9/rendering/16.obj", "2.71488098145")</f>
        <v>2.71488098145</v>
      </c>
      <c r="T657" s="127" t="str">
        <f>HYPERLINK(AA2 &amp; "/bulb/3dw_e8a8a9a2-7607-4b1a-bf5c-8884f940cab9/rendering/17.obj", "2.33223587036")</f>
        <v>2.33223587036</v>
      </c>
      <c r="U657" s="135" t="str">
        <f>HYPERLINK(AA2 &amp; "/bulb/3dw_e8a8a9a2-7607-4b1a-bf5c-8884f940cab9/rendering/18.obj", "6.10865356445")</f>
        <v>6.10865356445</v>
      </c>
      <c r="V657" s="16" t="str">
        <f>HYPERLINK(AA2 &amp; "/bulb/3dw_e8a8a9a2-7607-4b1a-bf5c-8884f940cab9/rendering/19.obj", "2.2162651062")</f>
        <v>2.2162651062</v>
      </c>
      <c r="W657" s="12" t="s">
        <v>29</v>
      </c>
      <c r="X657" s="13">
        <v>4.8644058990478518</v>
      </c>
      <c r="Y657" s="13">
        <v>1.91276963867804</v>
      </c>
      <c r="Z657" s="142">
        <v>0.39321752303861851</v>
      </c>
    </row>
    <row r="658" spans="1:26" x14ac:dyDescent="0.2">
      <c r="A658" s="1">
        <v>656</v>
      </c>
      <c r="B658" s="2" t="s">
        <v>164</v>
      </c>
      <c r="C658" s="193" t="str">
        <f>HYPERLINK(AA2 &amp; "/bulb/3dw_e8a8a9a2-7607-4b1a-bf5c-8884f940cab9/rendering/00.obj", "14.9605484009")</f>
        <v>14.9605484009</v>
      </c>
      <c r="D658" s="233" t="str">
        <f>HYPERLINK(AA2 &amp; "/bulb/3dw_e8a8a9a2-7607-4b1a-bf5c-8884f940cab9/rendering/01.obj", "6.65176534653")</f>
        <v>6.65176534653</v>
      </c>
      <c r="E658" s="83" t="str">
        <f>HYPERLINK(AA2 &amp; "/bulb/3dw_e8a8a9a2-7607-4b1a-bf5c-8884f940cab9/rendering/02.obj", "18.973695755")</f>
        <v>18.973695755</v>
      </c>
      <c r="F658" s="20" t="str">
        <f>HYPERLINK(AA2 &amp; "/bulb/3dw_e8a8a9a2-7607-4b1a-bf5c-8884f940cab9/rendering/03.obj", "44.8111763")</f>
        <v>44.8111763</v>
      </c>
      <c r="G658" s="229" t="str">
        <f>HYPERLINK(AA2 &amp; "/bulb/3dw_e8a8a9a2-7607-4b1a-bf5c-8884f940cab9/rendering/04.obj", "7.0689406395")</f>
        <v>7.0689406395</v>
      </c>
      <c r="H658" s="88" t="str">
        <f>HYPERLINK(AA2 &amp; "/bulb/3dw_e8a8a9a2-7607-4b1a-bf5c-8884f940cab9/rendering/05.obj", "26.8554267883")</f>
        <v>26.8554267883</v>
      </c>
      <c r="I658" s="32" t="str">
        <f>HYPERLINK(AA2 &amp; "/bulb/3dw_e8a8a9a2-7607-4b1a-bf5c-8884f940cab9/rendering/06.obj", "24.7313232422")</f>
        <v>24.7313232422</v>
      </c>
      <c r="J658" s="88" t="str">
        <f>HYPERLINK(AA2 &amp; "/bulb/3dw_e8a8a9a2-7607-4b1a-bf5c-8884f940cab9/rendering/07.obj", "26.869386673")</f>
        <v>26.869386673</v>
      </c>
      <c r="K658" s="20" t="str">
        <f>HYPERLINK(AA2 &amp; "/bulb/3dw_e8a8a9a2-7607-4b1a-bf5c-8884f940cab9/rendering/08.obj", "43.2409057617")</f>
        <v>43.2409057617</v>
      </c>
      <c r="L658" s="177" t="str">
        <f>HYPERLINK(AA2 &amp; "/bulb/3dw_e8a8a9a2-7607-4b1a-bf5c-8884f940cab9/rendering/09.obj", "10.4293117523")</f>
        <v>10.4293117523</v>
      </c>
      <c r="M658" s="85" t="str">
        <f>HYPERLINK(AA2 &amp; "/bulb/3dw_e8a8a9a2-7607-4b1a-bf5c-8884f940cab9/rendering/10.obj", "28.9551143646")</f>
        <v>28.9551143646</v>
      </c>
      <c r="N658" s="104" t="str">
        <f>HYPERLINK(AA2 &amp; "/bulb/3dw_e8a8a9a2-7607-4b1a-bf5c-8884f940cab9/rendering/11.obj", "32.9917602539")</f>
        <v>32.9917602539</v>
      </c>
      <c r="O658" s="68" t="str">
        <f>HYPERLINK(AA2 &amp; "/bulb/3dw_e8a8a9a2-7607-4b1a-bf5c-8884f940cab9/rendering/12.obj", "23.2902374268")</f>
        <v>23.2902374268</v>
      </c>
      <c r="P658" s="242" t="str">
        <f>HYPERLINK(AA2 &amp; "/bulb/3dw_e8a8a9a2-7607-4b1a-bf5c-8884f940cab9/rendering/13.obj", "5.96452331543")</f>
        <v>5.96452331543</v>
      </c>
      <c r="Q658" s="126" t="str">
        <f>HYPERLINK(AA2 &amp; "/bulb/3dw_e8a8a9a2-7607-4b1a-bf5c-8884f940cab9/rendering/14.obj", "33.5256843567")</f>
        <v>33.5256843567</v>
      </c>
      <c r="R658" s="20" t="str">
        <f>HYPERLINK(AA2 &amp; "/bulb/3dw_e8a8a9a2-7607-4b1a-bf5c-8884f940cab9/rendering/15.obj", "43.3334197998")</f>
        <v>43.3334197998</v>
      </c>
      <c r="S658" s="221" t="str">
        <f>HYPERLINK(AA2 &amp; "/bulb/3dw_e8a8a9a2-7607-4b1a-bf5c-8884f940cab9/rendering/16.obj", "9.87668323517")</f>
        <v>9.87668323517</v>
      </c>
      <c r="T658" s="186" t="str">
        <f>HYPERLINK(AA2 &amp; "/bulb/3dw_e8a8a9a2-7607-4b1a-bf5c-8884f940cab9/rendering/17.obj", "8.92453861237")</f>
        <v>8.92453861237</v>
      </c>
      <c r="U658" s="59" t="str">
        <f>HYPERLINK(AA2 &amp; "/bulb/3dw_e8a8a9a2-7607-4b1a-bf5c-8884f940cab9/rendering/18.obj", "27.7098751068")</f>
        <v>27.7098751068</v>
      </c>
      <c r="V658" s="252" t="str">
        <f>HYPERLINK(AA2 &amp; "/bulb/3dw_e8a8a9a2-7607-4b1a-bf5c-8884f940cab9/rendering/19.obj", "7.93776893616")</f>
        <v>7.93776893616</v>
      </c>
      <c r="W658" s="12" t="s">
        <v>30</v>
      </c>
      <c r="X658" s="13">
        <v>22.35510430335999</v>
      </c>
      <c r="Y658" s="13">
        <v>12.726133539044129</v>
      </c>
      <c r="Z658" s="225">
        <v>0.56927193746671023</v>
      </c>
    </row>
    <row r="659" spans="1:26" x14ac:dyDescent="0.2">
      <c r="A659" s="1">
        <v>657</v>
      </c>
      <c r="B659" s="2" t="s">
        <v>164</v>
      </c>
      <c r="C659" s="45" t="str">
        <f>HYPERLINK(AB2 &amp; "/bulb/3dw_e8a8a9a2-7607-4b1a-bf5c-8884f940cab9/rendering/00.obj", "12.4349914551")</f>
        <v>12.4349914551</v>
      </c>
      <c r="D659" s="56" t="str">
        <f>HYPERLINK(AB2 &amp; "/bulb/3dw_e8a8a9a2-7607-4b1a-bf5c-8884f940cab9/rendering/01.obj", "9.77309936523")</f>
        <v>9.77309936523</v>
      </c>
      <c r="E659" s="214" t="str">
        <f>HYPERLINK(AB2 &amp; "/bulb/3dw_e8a8a9a2-7607-4b1a-bf5c-8884f940cab9/rendering/02.obj", "2.87358184814")</f>
        <v>2.87358184814</v>
      </c>
      <c r="F659" s="20" t="str">
        <f>HYPERLINK(AB2 &amp; "/bulb/3dw_e8a8a9a2-7607-4b1a-bf5c-8884f940cab9/rendering/03.obj", "14.8506518555")</f>
        <v>14.8506518555</v>
      </c>
      <c r="G659" s="6" t="str">
        <f>HYPERLINK(AB2 &amp; "/bulb/3dw_e8a8a9a2-7607-4b1a-bf5c-8884f940cab9/rendering/04.obj", "7.1269329834")</f>
        <v>7.1269329834</v>
      </c>
      <c r="H659" s="253" t="str">
        <f>HYPERLINK(AB2 &amp; "/bulb/3dw_e8a8a9a2-7607-4b1a-bf5c-8884f940cab9/rendering/05.obj", "2.04401580811")</f>
        <v>2.04401580811</v>
      </c>
      <c r="I659" s="115" t="str">
        <f>HYPERLINK(AB2 &amp; "/bulb/3dw_e8a8a9a2-7607-4b1a-bf5c-8884f940cab9/rendering/06.obj", "2.70873901367")</f>
        <v>2.70873901367</v>
      </c>
      <c r="J659" s="184" t="str">
        <f>HYPERLINK(AB2 &amp; "/bulb/3dw_e8a8a9a2-7607-4b1a-bf5c-8884f940cab9/rendering/07.obj", "1.97403961182")</f>
        <v>1.97403961182</v>
      </c>
      <c r="K659" s="20" t="str">
        <f>HYPERLINK(AB2 &amp; "/bulb/3dw_e8a8a9a2-7607-4b1a-bf5c-8884f940cab9/rendering/08.obj", "14.7354052734")</f>
        <v>14.7354052734</v>
      </c>
      <c r="L659" s="153" t="str">
        <f>HYPERLINK(AB2 &amp; "/bulb/3dw_e8a8a9a2-7607-4b1a-bf5c-8884f940cab9/rendering/09.obj", "4.81787414551")</f>
        <v>4.81787414551</v>
      </c>
      <c r="M659" s="20" t="str">
        <f>HYPERLINK(AB2 &amp; "/bulb/3dw_e8a8a9a2-7607-4b1a-bf5c-8884f940cab9/rendering/10.obj", "14.3288342285")</f>
        <v>14.3288342285</v>
      </c>
      <c r="N659" s="20" t="str">
        <f>HYPERLINK(AB2 &amp; "/bulb/3dw_e8a8a9a2-7607-4b1a-bf5c-8884f940cab9/rendering/11.obj", "1.51605438232")</f>
        <v>1.51605438232</v>
      </c>
      <c r="O659" s="237" t="str">
        <f>HYPERLINK(AB2 &amp; "/bulb/3dw_e8a8a9a2-7607-4b1a-bf5c-8884f940cab9/rendering/12.obj", "2.44774215698")</f>
        <v>2.44774215698</v>
      </c>
      <c r="P659" s="106" t="str">
        <f>HYPERLINK(AB2 &amp; "/bulb/3dw_e8a8a9a2-7607-4b1a-bf5c-8884f940cab9/rendering/13.obj", "8.3180065918")</f>
        <v>8.3180065918</v>
      </c>
      <c r="Q659" s="20" t="str">
        <f>HYPERLINK(AB2 &amp; "/bulb/3dw_e8a8a9a2-7607-4b1a-bf5c-8884f940cab9/rendering/14.obj", "14.1941870117")</f>
        <v>14.1941870117</v>
      </c>
      <c r="R659" s="20" t="str">
        <f>HYPERLINK(AB2 &amp; "/bulb/3dw_e8a8a9a2-7607-4b1a-bf5c-8884f940cab9/rendering/15.obj", "14.7181933594")</f>
        <v>14.7181933594</v>
      </c>
      <c r="S659" s="109" t="str">
        <f>HYPERLINK(AB2 &amp; "/bulb/3dw_e8a8a9a2-7607-4b1a-bf5c-8884f940cab9/rendering/16.obj", "6.05286376953")</f>
        <v>6.05286376953</v>
      </c>
      <c r="T659" s="10" t="str">
        <f>HYPERLINK(AB2 &amp; "/bulb/3dw_e8a8a9a2-7607-4b1a-bf5c-8884f940cab9/rendering/17.obj", "7.06866088867")</f>
        <v>7.06866088867</v>
      </c>
      <c r="U659" s="180" t="str">
        <f>HYPERLINK(AB2 &amp; "/bulb/3dw_e8a8a9a2-7607-4b1a-bf5c-8884f940cab9/rendering/18.obj", "1.57937469482")</f>
        <v>1.57937469482</v>
      </c>
      <c r="V659" s="81" t="str">
        <f>HYPERLINK(AB2 &amp; "/bulb/3dw_e8a8a9a2-7607-4b1a-bf5c-8884f940cab9/rendering/19.obj", "5.83284118652")</f>
        <v>5.83284118652</v>
      </c>
      <c r="W659" s="12" t="s">
        <v>31</v>
      </c>
      <c r="X659" s="13">
        <v>7.4698044815063476</v>
      </c>
      <c r="Y659" s="13">
        <v>4.967624810929367</v>
      </c>
      <c r="Z659" s="45">
        <v>0.6650274211631847</v>
      </c>
    </row>
    <row r="660" spans="1:26" x14ac:dyDescent="0.2">
      <c r="A660" s="1">
        <v>658</v>
      </c>
      <c r="B660" s="2" t="s">
        <v>164</v>
      </c>
      <c r="C660" s="20" t="str">
        <f>HYPERLINK(AB2 &amp; "/bulb/3dw_e8a8a9a2-7607-4b1a-bf5c-8884f940cab9/rendering/00.obj", "183.71913147")</f>
        <v>183.71913147</v>
      </c>
      <c r="D660" s="133" t="str">
        <f>HYPERLINK(AB2 &amp; "/bulb/3dw_e8a8a9a2-7607-4b1a-bf5c-8884f940cab9/rendering/01.obj", "89.9152450562")</f>
        <v>89.9152450562</v>
      </c>
      <c r="E660" s="20" t="str">
        <f>HYPERLINK(AB2 &amp; "/bulb/3dw_e8a8a9a2-7607-4b1a-bf5c-8884f940cab9/rendering/02.obj", "5.82998180389")</f>
        <v>5.82998180389</v>
      </c>
      <c r="F660" s="20" t="str">
        <f>HYPERLINK(AB2 &amp; "/bulb/3dw_e8a8a9a2-7607-4b1a-bf5c-8884f940cab9/rendering/03.obj", "321.23336792")</f>
        <v>321.23336792</v>
      </c>
      <c r="G660" s="202" t="str">
        <f>HYPERLINK(AB2 &amp; "/bulb/3dw_e8a8a9a2-7607-4b1a-bf5c-8884f940cab9/rendering/04.obj", "37.2881851196")</f>
        <v>37.2881851196</v>
      </c>
      <c r="H660" s="20" t="str">
        <f>HYPERLINK(AB2 &amp; "/bulb/3dw_e8a8a9a2-7607-4b1a-bf5c-8884f940cab9/rendering/05.obj", "3.88107252121")</f>
        <v>3.88107252121</v>
      </c>
      <c r="I660" s="20" t="str">
        <f>HYPERLINK(AB2 &amp; "/bulb/3dw_e8a8a9a2-7607-4b1a-bf5c-8884f940cab9/rendering/06.obj", "5.71061182022")</f>
        <v>5.71061182022</v>
      </c>
      <c r="J660" s="20" t="str">
        <f>HYPERLINK(AB2 &amp; "/bulb/3dw_e8a8a9a2-7607-4b1a-bf5c-8884f940cab9/rendering/07.obj", "3.68766188622")</f>
        <v>3.68766188622</v>
      </c>
      <c r="K660" s="20" t="str">
        <f>HYPERLINK(AB2 &amp; "/bulb/3dw_e8a8a9a2-7607-4b1a-bf5c-8884f940cab9/rendering/08.obj", "312.427246094")</f>
        <v>312.427246094</v>
      </c>
      <c r="L660" s="20" t="str">
        <f>HYPERLINK(AB2 &amp; "/bulb/3dw_e8a8a9a2-7607-4b1a-bf5c-8884f940cab9/rendering/09.obj", "14.6218624115")</f>
        <v>14.6218624115</v>
      </c>
      <c r="M660" s="20" t="str">
        <f>HYPERLINK(AB2 &amp; "/bulb/3dw_e8a8a9a2-7607-4b1a-bf5c-8884f940cab9/rendering/10.obj", "286.013275146")</f>
        <v>286.013275146</v>
      </c>
      <c r="N660" s="20" t="str">
        <f>HYPERLINK(AB2 &amp; "/bulb/3dw_e8a8a9a2-7607-4b1a-bf5c-8884f940cab9/rendering/11.obj", "2.95189142227")</f>
        <v>2.95189142227</v>
      </c>
      <c r="O660" s="20" t="str">
        <f>HYPERLINK(AB2 &amp; "/bulb/3dw_e8a8a9a2-7607-4b1a-bf5c-8884f940cab9/rendering/12.obj", "4.72168159485")</f>
        <v>4.72168159485</v>
      </c>
      <c r="P660" s="162" t="str">
        <f>HYPERLINK(AB2 &amp; "/bulb/3dw_e8a8a9a2-7607-4b1a-bf5c-8884f940cab9/rendering/13.obj", "57.6079025269")</f>
        <v>57.6079025269</v>
      </c>
      <c r="Q660" s="20" t="str">
        <f>HYPERLINK(AB2 &amp; "/bulb/3dw_e8a8a9a2-7607-4b1a-bf5c-8884f940cab9/rendering/14.obj", "273.263885498")</f>
        <v>273.263885498</v>
      </c>
      <c r="R660" s="20" t="str">
        <f>HYPERLINK(AB2 &amp; "/bulb/3dw_e8a8a9a2-7607-4b1a-bf5c-8884f940cab9/rendering/15.obj", "311.557983398")</f>
        <v>311.557983398</v>
      </c>
      <c r="S660" s="222" t="str">
        <f>HYPERLINK(AB2 &amp; "/bulb/3dw_e8a8a9a2-7607-4b1a-bf5c-8884f940cab9/rendering/16.obj", "25.1605167389")</f>
        <v>25.1605167389</v>
      </c>
      <c r="T660" s="189" t="str">
        <f>HYPERLINK(AB2 &amp; "/bulb/3dw_e8a8a9a2-7607-4b1a-bf5c-8884f940cab9/rendering/17.obj", "37.3216438293")</f>
        <v>37.3216438293</v>
      </c>
      <c r="U660" s="20" t="str">
        <f>HYPERLINK(AB2 &amp; "/bulb/3dw_e8a8a9a2-7607-4b1a-bf5c-8884f940cab9/rendering/18.obj", "3.14269709587")</f>
        <v>3.14269709587</v>
      </c>
      <c r="V660" s="254" t="str">
        <f>HYPERLINK(AB2 &amp; "/bulb/3dw_e8a8a9a2-7607-4b1a-bf5c-8884f940cab9/rendering/19.obj", "22.7095851898")</f>
        <v>22.7095851898</v>
      </c>
      <c r="W660" s="12" t="s">
        <v>32</v>
      </c>
      <c r="X660" s="13">
        <v>100.13827142715451</v>
      </c>
      <c r="Y660" s="13">
        <v>123.1323456234898</v>
      </c>
      <c r="Z660" s="20">
        <v>1.2296232386342141</v>
      </c>
    </row>
    <row r="661" spans="1:26" x14ac:dyDescent="0.2">
      <c r="A661" s="1">
        <v>659</v>
      </c>
      <c r="B661" s="2" t="s">
        <v>164</v>
      </c>
      <c r="C661" s="13" t="str">
        <f>HYPERLINK(AC2 &amp; "/bulb/3dw_e8a8a9a2-7607-4b1a-bf5c-8884f940cab9/rendering/00.xyz", "0.0")</f>
        <v>0.0</v>
      </c>
      <c r="D661" s="13" t="str">
        <f>HYPERLINK(AC2 &amp; "/bulb/3dw_e8a8a9a2-7607-4b1a-bf5c-8884f940cab9/rendering/01.xyz", "0.0")</f>
        <v>0.0</v>
      </c>
      <c r="E661" s="13" t="str">
        <f>HYPERLINK(AC2 &amp; "/bulb/3dw_e8a8a9a2-7607-4b1a-bf5c-8884f940cab9/rendering/02.xyz", "0.0")</f>
        <v>0.0</v>
      </c>
      <c r="F661" s="13" t="str">
        <f>HYPERLINK(AC2 &amp; "/bulb/3dw_e8a8a9a2-7607-4b1a-bf5c-8884f940cab9/rendering/03.xyz", "0.0")</f>
        <v>0.0</v>
      </c>
      <c r="G661" s="13" t="str">
        <f>HYPERLINK(AC2 &amp; "/bulb/3dw_e8a8a9a2-7607-4b1a-bf5c-8884f940cab9/rendering/04.xyz", "0.0")</f>
        <v>0.0</v>
      </c>
      <c r="H661" s="13" t="str">
        <f>HYPERLINK(AC2 &amp; "/bulb/3dw_e8a8a9a2-7607-4b1a-bf5c-8884f940cab9/rendering/05.xyz", "0.0")</f>
        <v>0.0</v>
      </c>
      <c r="I661" s="13" t="str">
        <f>HYPERLINK(AC2 &amp; "/bulb/3dw_e8a8a9a2-7607-4b1a-bf5c-8884f940cab9/rendering/06.xyz", "0.0")</f>
        <v>0.0</v>
      </c>
      <c r="J661" s="13" t="str">
        <f>HYPERLINK(AC2 &amp; "/bulb/3dw_e8a8a9a2-7607-4b1a-bf5c-8884f940cab9/rendering/07.xyz", "0.0")</f>
        <v>0.0</v>
      </c>
      <c r="K661" s="13" t="str">
        <f>HYPERLINK(AC2 &amp; "/bulb/3dw_e8a8a9a2-7607-4b1a-bf5c-8884f940cab9/rendering/08.xyz", "0.0")</f>
        <v>0.0</v>
      </c>
      <c r="L661" s="13" t="str">
        <f>HYPERLINK(AC2 &amp; "/bulb/3dw_e8a8a9a2-7607-4b1a-bf5c-8884f940cab9/rendering/09.xyz", "0.0")</f>
        <v>0.0</v>
      </c>
      <c r="M661" s="13" t="str">
        <f>HYPERLINK(AC2 &amp; "/bulb/3dw_e8a8a9a2-7607-4b1a-bf5c-8884f940cab9/rendering/10.xyz", "0.0")</f>
        <v>0.0</v>
      </c>
      <c r="N661" s="13" t="str">
        <f>HYPERLINK(AC2 &amp; "/bulb/3dw_e8a8a9a2-7607-4b1a-bf5c-8884f940cab9/rendering/11.xyz", "0.0")</f>
        <v>0.0</v>
      </c>
      <c r="O661" s="13" t="str">
        <f>HYPERLINK(AC2 &amp; "/bulb/3dw_e8a8a9a2-7607-4b1a-bf5c-8884f940cab9/rendering/12.xyz", "0.0")</f>
        <v>0.0</v>
      </c>
      <c r="P661" s="13" t="str">
        <f>HYPERLINK(AC2 &amp; "/bulb/3dw_e8a8a9a2-7607-4b1a-bf5c-8884f940cab9/rendering/13.xyz", "0.0")</f>
        <v>0.0</v>
      </c>
      <c r="Q661" s="13" t="str">
        <f>HYPERLINK(AC2 &amp; "/bulb/3dw_e8a8a9a2-7607-4b1a-bf5c-8884f940cab9/rendering/14.xyz", "0.0")</f>
        <v>0.0</v>
      </c>
      <c r="R661" s="13" t="str">
        <f>HYPERLINK(AC2 &amp; "/bulb/3dw_e8a8a9a2-7607-4b1a-bf5c-8884f940cab9/rendering/15.xyz", "0.0")</f>
        <v>0.0</v>
      </c>
      <c r="S661" s="13" t="str">
        <f>HYPERLINK(AC2 &amp; "/bulb/3dw_e8a8a9a2-7607-4b1a-bf5c-8884f940cab9/rendering/16.xyz", "0.0")</f>
        <v>0.0</v>
      </c>
      <c r="T661" s="13" t="str">
        <f>HYPERLINK(AC2 &amp; "/bulb/3dw_e8a8a9a2-7607-4b1a-bf5c-8884f940cab9/rendering/17.xyz", "0.0")</f>
        <v>0.0</v>
      </c>
      <c r="U661" s="13" t="str">
        <f>HYPERLINK(AC2 &amp; "/bulb/3dw_e8a8a9a2-7607-4b1a-bf5c-8884f940cab9/rendering/18.xyz", "0.0")</f>
        <v>0.0</v>
      </c>
      <c r="V661" s="13" t="str">
        <f>HYPERLINK(AC2 &amp; "/bulb/3dw_e8a8a9a2-7607-4b1a-bf5c-8884f940cab9/rendering/19.xyz", "0.0")</f>
        <v>0.0</v>
      </c>
      <c r="W661" s="12" t="s">
        <v>33</v>
      </c>
      <c r="X661" s="13">
        <v>0</v>
      </c>
      <c r="Y661" s="13">
        <v>0</v>
      </c>
      <c r="Z661" s="13">
        <v>0</v>
      </c>
    </row>
    <row r="662" spans="1:26" x14ac:dyDescent="0.2">
      <c r="A662" s="1">
        <v>660</v>
      </c>
      <c r="B662" s="2" t="s">
        <v>165</v>
      </c>
      <c r="C662" s="25" t="str">
        <f>HYPERLINK(AA2 &amp; "/bulb/3dw_e8e9b1d7-95df-420a-8378-17292e09835c/rendering/00.obj", "0.933467254639")</f>
        <v>0.933467254639</v>
      </c>
      <c r="D662" s="26" t="str">
        <f>HYPERLINK(AA2 &amp; "/bulb/3dw_e8e9b1d7-95df-420a-8378-17292e09835c/rendering/01.obj", "0.864003982544")</f>
        <v>0.864003982544</v>
      </c>
      <c r="E662" s="39" t="str">
        <f>HYPERLINK(AA2 &amp; "/bulb/3dw_e8e9b1d7-95df-420a-8378-17292e09835c/rendering/02.obj", "0.841319351196")</f>
        <v>0.841319351196</v>
      </c>
      <c r="F662" s="23" t="str">
        <f>HYPERLINK(AA2 &amp; "/bulb/3dw_e8e9b1d7-95df-420a-8378-17292e09835c/rendering/03.obj", "0.956980895996")</f>
        <v>0.956980895996</v>
      </c>
      <c r="G662" s="5" t="str">
        <f>HYPERLINK(AA2 &amp; "/bulb/3dw_e8e9b1d7-95df-420a-8378-17292e09835c/rendering/04.obj", "0.991680374146")</f>
        <v>0.991680374146</v>
      </c>
      <c r="H662" s="110" t="str">
        <f>HYPERLINK(AA2 &amp; "/bulb/3dw_e8e9b1d7-95df-420a-8378-17292e09835c/rendering/05.obj", "0.830913619995")</f>
        <v>0.830913619995</v>
      </c>
      <c r="I662" s="5" t="str">
        <f>HYPERLINK(AA2 &amp; "/bulb/3dw_e8e9b1d7-95df-420a-8378-17292e09835c/rendering/06.obj", "0.850052566528")</f>
        <v>0.850052566528</v>
      </c>
      <c r="J662" s="29" t="str">
        <f>HYPERLINK(AA2 &amp; "/bulb/3dw_e8e9b1d7-95df-420a-8378-17292e09835c/rendering/07.obj", "1.04232337952")</f>
        <v>1.04232337952</v>
      </c>
      <c r="K662" s="27" t="str">
        <f>HYPERLINK(AA2 &amp; "/bulb/3dw_e8e9b1d7-95df-420a-8378-17292e09835c/rendering/08.obj", "0.98768157959")</f>
        <v>0.98768157959</v>
      </c>
      <c r="L662" s="68" t="str">
        <f>HYPERLINK(AA2 &amp; "/bulb/3dw_e8e9b1d7-95df-420a-8378-17292e09835c/rendering/09.obj", "0.959933547974")</f>
        <v>0.959933547974</v>
      </c>
      <c r="M662" s="42" t="str">
        <f>HYPERLINK(AA2 &amp; "/bulb/3dw_e8e9b1d7-95df-420a-8378-17292e09835c/rendering/10.obj", "1.04688339233")</f>
        <v>1.04688339233</v>
      </c>
      <c r="N662" s="25" t="str">
        <f>HYPERLINK(AA2 &amp; "/bulb/3dw_e8e9b1d7-95df-420a-8378-17292e09835c/rendering/11.obj", "0.932469100952")</f>
        <v>0.932469100952</v>
      </c>
      <c r="O662" s="46" t="str">
        <f>HYPERLINK(AA2 &amp; "/bulb/3dw_e8e9b1d7-95df-420a-8378-17292e09835c/rendering/12.obj", "0.906811218262")</f>
        <v>0.906811218262</v>
      </c>
      <c r="P662" s="60" t="str">
        <f>HYPERLINK(AA2 &amp; "/bulb/3dw_e8e9b1d7-95df-420a-8378-17292e09835c/rendering/13.obj", "0.970784606934")</f>
        <v>0.970784606934</v>
      </c>
      <c r="Q662" s="74" t="str">
        <f>HYPERLINK(AA2 &amp; "/bulb/3dw_e8e9b1d7-95df-420a-8378-17292e09835c/rendering/14.obj", "0.933940734863")</f>
        <v>0.933940734863</v>
      </c>
      <c r="R662" s="23" t="str">
        <f>HYPERLINK(AA2 &amp; "/bulb/3dw_e8e9b1d7-95df-420a-8378-17292e09835c/rendering/15.obj", "0.886312179565")</f>
        <v>0.886312179565</v>
      </c>
      <c r="S662" s="5" t="str">
        <f>HYPERLINK(AA2 &amp; "/bulb/3dw_e8e9b1d7-95df-420a-8378-17292e09835c/rendering/16.obj", "0.850179443359")</f>
        <v>0.850179443359</v>
      </c>
      <c r="T662" s="46" t="str">
        <f>HYPERLINK(AA2 &amp; "/bulb/3dw_e8e9b1d7-95df-420a-8378-17292e09835c/rendering/17.obj", "0.904757080078")</f>
        <v>0.904757080078</v>
      </c>
      <c r="U662" s="30" t="str">
        <f>HYPERLINK(AA2 &amp; "/bulb/3dw_e8e9b1d7-95df-420a-8378-17292e09835c/rendering/18.obj", "0.926018218994")</f>
        <v>0.926018218994</v>
      </c>
      <c r="V662" s="33" t="str">
        <f>HYPERLINK(AA2 &amp; "/bulb/3dw_e8e9b1d7-95df-420a-8378-17292e09835c/rendering/19.obj", "0.821954193115")</f>
        <v>0.821954193115</v>
      </c>
      <c r="W662" s="12" t="s">
        <v>29</v>
      </c>
      <c r="X662" s="13">
        <v>0.92192333602905274</v>
      </c>
      <c r="Y662" s="13">
        <v>6.5192149512728226E-2</v>
      </c>
      <c r="Z662" s="27">
        <v>7.0713200290087694E-2</v>
      </c>
    </row>
    <row r="663" spans="1:26" x14ac:dyDescent="0.2">
      <c r="A663" s="1">
        <v>661</v>
      </c>
      <c r="B663" s="2" t="s">
        <v>165</v>
      </c>
      <c r="C663" s="69" t="str">
        <f>HYPERLINK(AA2 &amp; "/bulb/3dw_e8e9b1d7-95df-420a-8378-17292e09835c/rendering/00.obj", "2.94667410851")</f>
        <v>2.94667410851</v>
      </c>
      <c r="D663" s="39" t="str">
        <f>HYPERLINK(AA2 &amp; "/bulb/3dw_e8e9b1d7-95df-420a-8378-17292e09835c/rendering/01.obj", "2.61311101913")</f>
        <v>2.61311101913</v>
      </c>
      <c r="E663" s="94" t="str">
        <f>HYPERLINK(AA2 &amp; "/bulb/3dw_e8e9b1d7-95df-420a-8378-17292e09835c/rendering/02.obj", "2.64571237564")</f>
        <v>2.64571237564</v>
      </c>
      <c r="F663" s="39" t="str">
        <f>HYPERLINK(AA2 &amp; "/bulb/3dw_e8e9b1d7-95df-420a-8378-17292e09835c/rendering/03.obj", "3.11106204987")</f>
        <v>3.11106204987</v>
      </c>
      <c r="G663" s="27" t="str">
        <f>HYPERLINK(AA2 &amp; "/bulb/3dw_e8e9b1d7-95df-420a-8378-17292e09835c/rendering/04.obj", "3.0646469593")</f>
        <v>3.0646469593</v>
      </c>
      <c r="H663" s="90" t="str">
        <f>HYPERLINK(AA2 &amp; "/bulb/3dw_e8e9b1d7-95df-420a-8378-17292e09835c/rendering/05.obj", "2.58653593063")</f>
        <v>2.58653593063</v>
      </c>
      <c r="I663" s="90" t="str">
        <f>HYPERLINK(AA2 &amp; "/bulb/3dw_e8e9b1d7-95df-420a-8378-17292e09835c/rendering/06.obj", "2.58491134644")</f>
        <v>2.58491134644</v>
      </c>
      <c r="J663" s="133" t="str">
        <f>HYPERLINK(AA2 &amp; "/bulb/3dw_e8e9b1d7-95df-420a-8378-17292e09835c/rendering/07.obj", "3.15501523018")</f>
        <v>3.15501523018</v>
      </c>
      <c r="K663" s="34" t="str">
        <f>HYPERLINK(AA2 &amp; "/bulb/3dw_e8e9b1d7-95df-420a-8378-17292e09835c/rendering/08.obj", "2.99787950516")</f>
        <v>2.99787950516</v>
      </c>
      <c r="L663" s="72" t="str">
        <f>HYPERLINK(AA2 &amp; "/bulb/3dw_e8e9b1d7-95df-420a-8378-17292e09835c/rendering/09.obj", "2.95712828636")</f>
        <v>2.95712828636</v>
      </c>
      <c r="M663" s="88" t="str">
        <f>HYPERLINK(AA2 &amp; "/bulb/3dw_e8e9b1d7-95df-420a-8378-17292e09835c/rendering/10.obj", "3.43905115128")</f>
        <v>3.43905115128</v>
      </c>
      <c r="N663" s="73" t="str">
        <f>HYPERLINK(AA2 &amp; "/bulb/3dw_e8e9b1d7-95df-420a-8378-17292e09835c/rendering/11.obj", "2.96791672707")</f>
        <v>2.96791672707</v>
      </c>
      <c r="O663" s="78" t="str">
        <f>HYPERLINK(AA2 &amp; "/bulb/3dw_e8e9b1d7-95df-420a-8378-17292e09835c/rendering/12.obj", "2.68401765823")</f>
        <v>2.68401765823</v>
      </c>
      <c r="P663" s="10" t="str">
        <f>HYPERLINK(AA2 &amp; "/bulb/3dw_e8e9b1d7-95df-420a-8378-17292e09835c/rendering/13.obj", "3.01488733292")</f>
        <v>3.01488733292</v>
      </c>
      <c r="Q663" s="47" t="str">
        <f>HYPERLINK(AA2 &amp; "/bulb/3dw_e8e9b1d7-95df-420a-8378-17292e09835c/rendering/14.obj", "2.83546566963")</f>
        <v>2.83546566963</v>
      </c>
      <c r="R663" s="78" t="str">
        <f>HYPERLINK(AA2 &amp; "/bulb/3dw_e8e9b1d7-95df-420a-8378-17292e09835c/rendering/15.obj", "2.68933129311")</f>
        <v>2.68933129311</v>
      </c>
      <c r="S663" s="107" t="str">
        <f>HYPERLINK(AA2 &amp; "/bulb/3dw_e8e9b1d7-95df-420a-8378-17292e09835c/rendering/16.obj", "2.61903238297")</f>
        <v>2.61903238297</v>
      </c>
      <c r="T663" s="78" t="str">
        <f>HYPERLINK(AA2 &amp; "/bulb/3dw_e8e9b1d7-95df-420a-8378-17292e09835c/rendering/17.obj", "2.68636131287")</f>
        <v>2.68636131287</v>
      </c>
      <c r="U663" s="26" t="str">
        <f>HYPERLINK(AA2 &amp; "/bulb/3dw_e8e9b1d7-95df-420a-8378-17292e09835c/rendering/18.obj", "3.04016757011")</f>
        <v>3.04016757011</v>
      </c>
      <c r="V663" s="133" t="str">
        <f>HYPERLINK(AA2 &amp; "/bulb/3dw_e8e9b1d7-95df-420a-8378-17292e09835c/rendering/19.obj", "2.56968331337")</f>
        <v>2.56968331337</v>
      </c>
      <c r="W663" s="12" t="s">
        <v>30</v>
      </c>
      <c r="X663" s="13">
        <v>2.8604295611381532</v>
      </c>
      <c r="Y663" s="13">
        <v>0.23683595525050871</v>
      </c>
      <c r="Z663" s="107">
        <v>8.2797338717291349E-2</v>
      </c>
    </row>
    <row r="664" spans="1:26" x14ac:dyDescent="0.2">
      <c r="A664" s="1">
        <v>662</v>
      </c>
      <c r="B664" s="2" t="s">
        <v>165</v>
      </c>
      <c r="C664" s="69" t="str">
        <f>HYPERLINK(AB2 &amp; "/bulb/3dw_e8e9b1d7-95df-420a-8378-17292e09835c/rendering/00.obj", "1.1214855957")</f>
        <v>1.1214855957</v>
      </c>
      <c r="D664" s="69" t="str">
        <f>HYPERLINK(AB2 &amp; "/bulb/3dw_e8e9b1d7-95df-420a-8378-17292e09835c/rendering/01.obj", "1.05509399414")</f>
        <v>1.05509399414</v>
      </c>
      <c r="E664" s="67" t="str">
        <f>HYPERLINK(AB2 &amp; "/bulb/3dw_e8e9b1d7-95df-420a-8378-17292e09835c/rendering/02.obj", "0.988532028198")</f>
        <v>0.988532028198</v>
      </c>
      <c r="F664" s="48" t="str">
        <f>HYPERLINK(AB2 &amp; "/bulb/3dw_e8e9b1d7-95df-420a-8378-17292e09835c/rendering/03.obj", "1.06285377502")</f>
        <v>1.06285377502</v>
      </c>
      <c r="G664" s="23" t="str">
        <f>HYPERLINK(AB2 &amp; "/bulb/3dw_e8e9b1d7-95df-420a-8378-17292e09835c/rendering/04.obj", "1.12846809387")</f>
        <v>1.12846809387</v>
      </c>
      <c r="H664" s="28" t="str">
        <f>HYPERLINK(AB2 &amp; "/bulb/3dw_e8e9b1d7-95df-420a-8378-17292e09835c/rendering/05.obj", "0.967394256592")</f>
        <v>0.967394256592</v>
      </c>
      <c r="I664" s="51" t="str">
        <f>HYPERLINK(AB2 &amp; "/bulb/3dw_e8e9b1d7-95df-420a-8378-17292e09835c/rendering/06.obj", "1.174139328")</f>
        <v>1.174139328</v>
      </c>
      <c r="J664" s="13" t="str">
        <f>HYPERLINK(AB2 &amp; "/bulb/3dw_e8e9b1d7-95df-420a-8378-17292e09835c/rendering/07.obj", "1.08670639038")</f>
        <v>1.08670639038</v>
      </c>
      <c r="K664" s="35" t="str">
        <f>HYPERLINK(AB2 &amp; "/bulb/3dw_e8e9b1d7-95df-420a-8378-17292e09835c/rendering/08.obj", "1.02271583557")</f>
        <v>1.02271583557</v>
      </c>
      <c r="L664" s="48" t="str">
        <f>HYPERLINK(AB2 &amp; "/bulb/3dw_e8e9b1d7-95df-420a-8378-17292e09835c/rendering/09.obj", "1.1145362854")</f>
        <v>1.1145362854</v>
      </c>
      <c r="M664" s="29" t="str">
        <f>HYPERLINK(AB2 &amp; "/bulb/3dw_e8e9b1d7-95df-420a-8378-17292e09835c/rendering/10.obj", "1.22751945496")</f>
        <v>1.22751945496</v>
      </c>
      <c r="N664" s="68" t="str">
        <f>HYPERLINK(AB2 &amp; "/bulb/3dw_e8e9b1d7-95df-420a-8378-17292e09835c/rendering/11.obj", "1.03978515625")</f>
        <v>1.03978515625</v>
      </c>
      <c r="O664" s="25" t="str">
        <f>HYPERLINK(AB2 &amp; "/bulb/3dw_e8e9b1d7-95df-420a-8378-17292e09835c/rendering/12.obj", "1.098046875")</f>
        <v>1.098046875</v>
      </c>
      <c r="P664" s="25" t="str">
        <f>HYPERLINK(AB2 &amp; "/bulb/3dw_e8e9b1d7-95df-420a-8378-17292e09835c/rendering/13.obj", "1.09772491455")</f>
        <v>1.09772491455</v>
      </c>
      <c r="Q664" s="84" t="str">
        <f>HYPERLINK(AB2 &amp; "/bulb/3dw_e8e9b1d7-95df-420a-8378-17292e09835c/rendering/14.obj", "0.928505325317")</f>
        <v>0.928505325317</v>
      </c>
      <c r="R664" s="107" t="str">
        <f>HYPERLINK(AB2 &amp; "/bulb/3dw_e8e9b1d7-95df-420a-8378-17292e09835c/rendering/15.obj", "1.17716514587")</f>
        <v>1.17716514587</v>
      </c>
      <c r="S664" s="39" t="str">
        <f>HYPERLINK(AB2 &amp; "/bulb/3dw_e8e9b1d7-95df-420a-8378-17292e09835c/rendering/16.obj", "1.18169326782")</f>
        <v>1.18169326782</v>
      </c>
      <c r="T664" s="32" t="str">
        <f>HYPERLINK(AB2 &amp; "/bulb/3dw_e8e9b1d7-95df-420a-8378-17292e09835c/rendering/17.obj", "1.20317832947")</f>
        <v>1.20317832947</v>
      </c>
      <c r="U664" s="72" t="str">
        <f>HYPERLINK(AB2 &amp; "/bulb/3dw_e8e9b1d7-95df-420a-8378-17292e09835c/rendering/18.obj", "1.05238754272")</f>
        <v>1.05238754272</v>
      </c>
      <c r="V664" s="78" t="str">
        <f>HYPERLINK(AB2 &amp; "/bulb/3dw_e8e9b1d7-95df-420a-8378-17292e09835c/rendering/19.obj", "1.02180931091")</f>
        <v>1.02180931091</v>
      </c>
      <c r="W664" s="12" t="s">
        <v>31</v>
      </c>
      <c r="X664" s="13">
        <v>1.087487045288086</v>
      </c>
      <c r="Y664" s="13">
        <v>7.8855903961622495E-2</v>
      </c>
      <c r="Z664" s="94">
        <v>7.2512039847548518E-2</v>
      </c>
    </row>
    <row r="665" spans="1:26" x14ac:dyDescent="0.2">
      <c r="A665" s="1">
        <v>663</v>
      </c>
      <c r="B665" s="2" t="s">
        <v>165</v>
      </c>
      <c r="C665" s="6" t="str">
        <f>HYPERLINK(AB2 &amp; "/bulb/3dw_e8e9b1d7-95df-420a-8378-17292e09835c/rendering/00.obj", "3.46421575546")</f>
        <v>3.46421575546</v>
      </c>
      <c r="D665" s="17" t="str">
        <f>HYPERLINK(AB2 &amp; "/bulb/3dw_e8e9b1d7-95df-420a-8378-17292e09835c/rendering/01.obj", "3.37554192543")</f>
        <v>3.37554192543</v>
      </c>
      <c r="E665" s="110" t="str">
        <f>HYPERLINK(AB2 &amp; "/bulb/3dw_e8e9b1d7-95df-420a-8378-17292e09835c/rendering/02.obj", "2.9876871109")</f>
        <v>2.9876871109</v>
      </c>
      <c r="F665" s="17" t="str">
        <f>HYPERLINK(AB2 &amp; "/bulb/3dw_e8e9b1d7-95df-420a-8378-17292e09835c/rendering/03.obj", "3.24239969254")</f>
        <v>3.24239969254</v>
      </c>
      <c r="G665" s="74" t="str">
        <f>HYPERLINK(AB2 &amp; "/bulb/3dw_e8e9b1d7-95df-420a-8378-17292e09835c/rendering/04.obj", "3.36277365685")</f>
        <v>3.36277365685</v>
      </c>
      <c r="H665" s="26" t="str">
        <f>HYPERLINK(AB2 &amp; "/bulb/3dw_e8e9b1d7-95df-420a-8378-17292e09835c/rendering/05.obj", "3.10065793991")</f>
        <v>3.10065793991</v>
      </c>
      <c r="I665" s="34" t="str">
        <f>HYPERLINK(AB2 &amp; "/bulb/3dw_e8e9b1d7-95df-420a-8378-17292e09835c/rendering/06.obj", "3.47239542007")</f>
        <v>3.47239542007</v>
      </c>
      <c r="J665" s="30" t="str">
        <f>HYPERLINK(AB2 &amp; "/bulb/3dw_e8e9b1d7-95df-420a-8378-17292e09835c/rendering/07.obj", "3.32736873627")</f>
        <v>3.32736873627</v>
      </c>
      <c r="K665" s="48" t="str">
        <f>HYPERLINK(AB2 &amp; "/bulb/3dw_e8e9b1d7-95df-420a-8378-17292e09835c/rendering/08.obj", "3.22988820076")</f>
        <v>3.22988820076</v>
      </c>
      <c r="L665" s="13" t="str">
        <f>HYPERLINK(AB2 &amp; "/bulb/3dw_e8e9b1d7-95df-420a-8378-17292e09835c/rendering/09.obj", "3.31532073021")</f>
        <v>3.31532073021</v>
      </c>
      <c r="M665" s="28" t="str">
        <f>HYPERLINK(AB2 &amp; "/bulb/3dw_e8e9b1d7-95df-420a-8378-17292e09835c/rendering/10.obj", "3.67871856689")</f>
        <v>3.67871856689</v>
      </c>
      <c r="N665" s="51" t="str">
        <f>HYPERLINK(AB2 &amp; "/bulb/3dw_e8e9b1d7-95df-420a-8378-17292e09835c/rendering/11.obj", "3.04325008392")</f>
        <v>3.04325008392</v>
      </c>
      <c r="O665" s="47" t="str">
        <f>HYPERLINK(AB2 &amp; "/bulb/3dw_e8e9b1d7-95df-420a-8378-17292e09835c/rendering/12.obj", "3.28715968132")</f>
        <v>3.28715968132</v>
      </c>
      <c r="P665" s="30" t="str">
        <f>HYPERLINK(AB2 &amp; "/bulb/3dw_e8e9b1d7-95df-420a-8378-17292e09835c/rendering/13.obj", "3.32334327698")</f>
        <v>3.32334327698</v>
      </c>
      <c r="Q665" s="42" t="str">
        <f>HYPERLINK(AB2 &amp; "/bulb/3dw_e8e9b1d7-95df-420a-8378-17292e09835c/rendering/14.obj", "2.86376404762")</f>
        <v>2.86376404762</v>
      </c>
      <c r="R665" s="107" t="str">
        <f>HYPERLINK(AB2 &amp; "/bulb/3dw_e8e9b1d7-95df-420a-8378-17292e09835c/rendering/15.obj", "3.58907485008")</f>
        <v>3.58907485008</v>
      </c>
      <c r="S665" s="35" t="str">
        <f>HYPERLINK(AB2 &amp; "/bulb/3dw_e8e9b1d7-95df-420a-8378-17292e09835c/rendering/16.obj", "3.50846982002")</f>
        <v>3.50846982002</v>
      </c>
      <c r="T665" s="31" t="str">
        <f>HYPERLINK(AB2 &amp; "/bulb/3dw_e8e9b1d7-95df-420a-8378-17292e09835c/rendering/17.obj", "3.82515597343")</f>
        <v>3.82515597343</v>
      </c>
      <c r="U665" s="35" t="str">
        <f>HYPERLINK(AB2 &amp; "/bulb/3dw_e8e9b1d7-95df-420a-8378-17292e09835c/rendering/18.obj", "3.11502075195")</f>
        <v>3.11502075195</v>
      </c>
      <c r="V665" s="10" t="str">
        <f>HYPERLINK(AB2 &amp; "/bulb/3dw_e8e9b1d7-95df-420a-8378-17292e09835c/rendering/19.obj", "3.12574100494")</f>
        <v>3.12574100494</v>
      </c>
      <c r="W665" s="12" t="s">
        <v>32</v>
      </c>
      <c r="X665" s="13">
        <v>3.3118973612785338</v>
      </c>
      <c r="Y665" s="13">
        <v>0.2321371477332736</v>
      </c>
      <c r="Z665" s="27">
        <v>7.0091890662837081E-2</v>
      </c>
    </row>
    <row r="666" spans="1:26" x14ac:dyDescent="0.2">
      <c r="A666" s="1">
        <v>664</v>
      </c>
      <c r="B666" s="2" t="s">
        <v>165</v>
      </c>
      <c r="C666" s="13" t="str">
        <f>HYPERLINK(AC2 &amp; "/bulb/3dw_e8e9b1d7-95df-420a-8378-17292e09835c/rendering/00.xyz", "0.0")</f>
        <v>0.0</v>
      </c>
      <c r="D666" s="13" t="str">
        <f>HYPERLINK(AC2 &amp; "/bulb/3dw_e8e9b1d7-95df-420a-8378-17292e09835c/rendering/01.xyz", "0.0")</f>
        <v>0.0</v>
      </c>
      <c r="E666" s="13" t="str">
        <f>HYPERLINK(AC2 &amp; "/bulb/3dw_e8e9b1d7-95df-420a-8378-17292e09835c/rendering/02.xyz", "0.0")</f>
        <v>0.0</v>
      </c>
      <c r="F666" s="13" t="str">
        <f>HYPERLINK(AC2 &amp; "/bulb/3dw_e8e9b1d7-95df-420a-8378-17292e09835c/rendering/03.xyz", "0.0")</f>
        <v>0.0</v>
      </c>
      <c r="G666" s="13" t="str">
        <f>HYPERLINK(AC2 &amp; "/bulb/3dw_e8e9b1d7-95df-420a-8378-17292e09835c/rendering/04.xyz", "0.0")</f>
        <v>0.0</v>
      </c>
      <c r="H666" s="13" t="str">
        <f>HYPERLINK(AC2 &amp; "/bulb/3dw_e8e9b1d7-95df-420a-8378-17292e09835c/rendering/05.xyz", "0.0")</f>
        <v>0.0</v>
      </c>
      <c r="I666" s="13" t="str">
        <f>HYPERLINK(AC2 &amp; "/bulb/3dw_e8e9b1d7-95df-420a-8378-17292e09835c/rendering/06.xyz", "0.0")</f>
        <v>0.0</v>
      </c>
      <c r="J666" s="13" t="str">
        <f>HYPERLINK(AC2 &amp; "/bulb/3dw_e8e9b1d7-95df-420a-8378-17292e09835c/rendering/07.xyz", "0.0")</f>
        <v>0.0</v>
      </c>
      <c r="K666" s="13" t="str">
        <f>HYPERLINK(AC2 &amp; "/bulb/3dw_e8e9b1d7-95df-420a-8378-17292e09835c/rendering/08.xyz", "0.0")</f>
        <v>0.0</v>
      </c>
      <c r="L666" s="13" t="str">
        <f>HYPERLINK(AC2 &amp; "/bulb/3dw_e8e9b1d7-95df-420a-8378-17292e09835c/rendering/09.xyz", "0.0")</f>
        <v>0.0</v>
      </c>
      <c r="M666" s="13" t="str">
        <f>HYPERLINK(AC2 &amp; "/bulb/3dw_e8e9b1d7-95df-420a-8378-17292e09835c/rendering/10.xyz", "0.0")</f>
        <v>0.0</v>
      </c>
      <c r="N666" s="13" t="str">
        <f>HYPERLINK(AC2 &amp; "/bulb/3dw_e8e9b1d7-95df-420a-8378-17292e09835c/rendering/11.xyz", "0.0")</f>
        <v>0.0</v>
      </c>
      <c r="O666" s="13" t="str">
        <f>HYPERLINK(AC2 &amp; "/bulb/3dw_e8e9b1d7-95df-420a-8378-17292e09835c/rendering/12.xyz", "0.0")</f>
        <v>0.0</v>
      </c>
      <c r="P666" s="13" t="str">
        <f>HYPERLINK(AC2 &amp; "/bulb/3dw_e8e9b1d7-95df-420a-8378-17292e09835c/rendering/13.xyz", "0.0")</f>
        <v>0.0</v>
      </c>
      <c r="Q666" s="13" t="str">
        <f>HYPERLINK(AC2 &amp; "/bulb/3dw_e8e9b1d7-95df-420a-8378-17292e09835c/rendering/14.xyz", "0.0")</f>
        <v>0.0</v>
      </c>
      <c r="R666" s="13" t="str">
        <f>HYPERLINK(AC2 &amp; "/bulb/3dw_e8e9b1d7-95df-420a-8378-17292e09835c/rendering/15.xyz", "0.0")</f>
        <v>0.0</v>
      </c>
      <c r="S666" s="13" t="str">
        <f>HYPERLINK(AC2 &amp; "/bulb/3dw_e8e9b1d7-95df-420a-8378-17292e09835c/rendering/16.xyz", "0.0")</f>
        <v>0.0</v>
      </c>
      <c r="T666" s="13" t="str">
        <f>HYPERLINK(AC2 &amp; "/bulb/3dw_e8e9b1d7-95df-420a-8378-17292e09835c/rendering/17.xyz", "0.0")</f>
        <v>0.0</v>
      </c>
      <c r="U666" s="13" t="str">
        <f>HYPERLINK(AC2 &amp; "/bulb/3dw_e8e9b1d7-95df-420a-8378-17292e09835c/rendering/18.xyz", "0.0")</f>
        <v>0.0</v>
      </c>
      <c r="V666" s="13" t="str">
        <f>HYPERLINK(AC2 &amp; "/bulb/3dw_e8e9b1d7-95df-420a-8378-17292e09835c/rendering/19.xyz", "0.0")</f>
        <v>0.0</v>
      </c>
      <c r="W666" s="12" t="s">
        <v>33</v>
      </c>
      <c r="X666" s="13">
        <v>0</v>
      </c>
      <c r="Y666" s="13">
        <v>0</v>
      </c>
      <c r="Z666" s="13">
        <v>0</v>
      </c>
    </row>
    <row r="667" spans="1:26" x14ac:dyDescent="0.2">
      <c r="A667" s="1">
        <v>665</v>
      </c>
      <c r="B667" s="2" t="s">
        <v>166</v>
      </c>
      <c r="C667" s="145" t="str">
        <f>HYPERLINK(AA2 &amp; "/bulb/3dw_ebb489bb-e6d3-4379-9efc-689950a1f4a5/rendering/00.obj", "1.7172744751")</f>
        <v>1.7172744751</v>
      </c>
      <c r="D667" s="20" t="str">
        <f>HYPERLINK(AA2 &amp; "/bulb/3dw_ebb489bb-e6d3-4379-9efc-689950a1f4a5/rendering/01.obj", "6.17144348145")</f>
        <v>6.17144348145</v>
      </c>
      <c r="E667" s="183" t="str">
        <f>HYPERLINK(AA2 &amp; "/bulb/3dw_ebb489bb-e6d3-4379-9efc-689950a1f4a5/rendering/02.obj", "5.90710205078")</f>
        <v>5.90710205078</v>
      </c>
      <c r="F667" s="50" t="str">
        <f>HYPERLINK(AA2 &amp; "/bulb/3dw_ebb489bb-e6d3-4379-9efc-689950a1f4a5/rendering/03.obj", "4.04620910645")</f>
        <v>4.04620910645</v>
      </c>
      <c r="G667" s="118" t="str">
        <f>HYPERLINK(AA2 &amp; "/bulb/3dw_ebb489bb-e6d3-4379-9efc-689950a1f4a5/rendering/04.obj", "2.38023574829")</f>
        <v>2.38023574829</v>
      </c>
      <c r="H667" s="29" t="str">
        <f>HYPERLINK(AA2 &amp; "/bulb/3dw_ebb489bb-e6d3-4379-9efc-689950a1f4a5/rendering/05.obj", "3.81456512451")</f>
        <v>3.81456512451</v>
      </c>
      <c r="I667" s="55" t="str">
        <f>HYPERLINK(AA2 &amp; "/bulb/3dw_ebb489bb-e6d3-4379-9efc-689950a1f4a5/rendering/06.obj", "2.71966583252")</f>
        <v>2.71966583252</v>
      </c>
      <c r="J667" s="76" t="str">
        <f>HYPERLINK(AA2 &amp; "/bulb/3dw_ebb489bb-e6d3-4379-9efc-689950a1f4a5/rendering/07.obj", "3.99424835205")</f>
        <v>3.99424835205</v>
      </c>
      <c r="K667" s="180" t="str">
        <f>HYPERLINK(AA2 &amp; "/bulb/3dw_ebb489bb-e6d3-4379-9efc-689950a1f4a5/rendering/08.obj", "6.0375793457")</f>
        <v>6.0375793457</v>
      </c>
      <c r="L667" s="166" t="str">
        <f>HYPERLINK(AA2 &amp; "/bulb/3dw_ebb489bb-e6d3-4379-9efc-689950a1f4a5/rendering/09.obj", "4.34672454834")</f>
        <v>4.34672454834</v>
      </c>
      <c r="M667" s="141" t="str">
        <f>HYPERLINK(AA2 &amp; "/bulb/3dw_ebb489bb-e6d3-4379-9efc-689950a1f4a5/rendering/10.obj", "1.52058807373")</f>
        <v>1.52058807373</v>
      </c>
      <c r="N667" s="159" t="str">
        <f>HYPERLINK(AA2 &amp; "/bulb/3dw_ebb489bb-e6d3-4379-9efc-689950a1f4a5/rendering/11.obj", "1.79643280029")</f>
        <v>1.79643280029</v>
      </c>
      <c r="O667" s="132" t="str">
        <f>HYPERLINK(AA2 &amp; "/bulb/3dw_ebb489bb-e6d3-4379-9efc-689950a1f4a5/rendering/12.obj", "1.96495986938")</f>
        <v>1.96495986938</v>
      </c>
      <c r="P667" s="109" t="str">
        <f>HYPERLINK(AA2 &amp; "/bulb/3dw_ebb489bb-e6d3-4379-9efc-689950a1f4a5/rendering/13.obj", "2.73442199707")</f>
        <v>2.73442199707</v>
      </c>
      <c r="Q667" s="127" t="str">
        <f>HYPERLINK(AA2 &amp; "/bulb/3dw_ebb489bb-e6d3-4379-9efc-689950a1f4a5/rendering/14.obj", "1.62125045776")</f>
        <v>1.62125045776</v>
      </c>
      <c r="R667" s="100" t="str">
        <f>HYPERLINK(AA2 &amp; "/bulb/3dw_ebb489bb-e6d3-4379-9efc-689950a1f4a5/rendering/15.obj", "2.36868896484")</f>
        <v>2.36868896484</v>
      </c>
      <c r="S667" s="20" t="str">
        <f>HYPERLINK(AA2 &amp; "/bulb/3dw_ebb489bb-e6d3-4379-9efc-689950a1f4a5/rendering/16.obj", "8.12791748047")</f>
        <v>8.12791748047</v>
      </c>
      <c r="T667" s="195" t="str">
        <f>HYPERLINK(AA2 &amp; "/bulb/3dw_ebb489bb-e6d3-4379-9efc-689950a1f4a5/rendering/17.obj", "1.53136352539")</f>
        <v>1.53136352539</v>
      </c>
      <c r="U667" s="99" t="str">
        <f>HYPERLINK(AA2 &amp; "/bulb/3dw_ebb489bb-e6d3-4379-9efc-689950a1f4a5/rendering/18.obj", "2.45825622559")</f>
        <v>2.45825622559</v>
      </c>
      <c r="V667" s="182" t="str">
        <f>HYPERLINK(AA2 &amp; "/bulb/3dw_ebb489bb-e6d3-4379-9efc-689950a1f4a5/rendering/19.obj", "2.24333602905")</f>
        <v>2.24333602905</v>
      </c>
      <c r="W667" s="12" t="s">
        <v>29</v>
      </c>
      <c r="X667" s="13">
        <v>3.3751131744384759</v>
      </c>
      <c r="Y667" s="13">
        <v>1.8437376123072251</v>
      </c>
      <c r="Z667" s="195">
        <v>0.54627430756124806</v>
      </c>
    </row>
    <row r="668" spans="1:26" x14ac:dyDescent="0.2">
      <c r="A668" s="1">
        <v>666</v>
      </c>
      <c r="B668" s="2" t="s">
        <v>166</v>
      </c>
      <c r="C668" s="160" t="str">
        <f>HYPERLINK(AA2 &amp; "/bulb/3dw_ebb489bb-e6d3-4379-9efc-689950a1f4a5/rendering/00.obj", "6.26244163513")</f>
        <v>6.26244163513</v>
      </c>
      <c r="D668" s="173" t="str">
        <f>HYPERLINK(AA2 &amp; "/bulb/3dw_ebb489bb-e6d3-4379-9efc-689950a1f4a5/rendering/01.obj", "22.4919128418")</f>
        <v>22.4919128418</v>
      </c>
      <c r="E668" s="20" t="str">
        <f>HYPERLINK(AA2 &amp; "/bulb/3dw_ebb489bb-e6d3-4379-9efc-689950a1f4a5/rendering/02.obj", "27.2040729523")</f>
        <v>27.2040729523</v>
      </c>
      <c r="F668" s="108" t="str">
        <f>HYPERLINK(AA2 &amp; "/bulb/3dw_ebb489bb-e6d3-4379-9efc-689950a1f4a5/rendering/03.obj", "16.5926513672")</f>
        <v>16.5926513672</v>
      </c>
      <c r="G668" s="54" t="str">
        <f>HYPERLINK(AA2 &amp; "/bulb/3dw_ebb489bb-e6d3-4379-9efc-689950a1f4a5/rendering/04.obj", "8.95915317535")</f>
        <v>8.95915317535</v>
      </c>
      <c r="H668" s="74" t="str">
        <f>HYPERLINK(AA2 &amp; "/bulb/3dw_ebb489bb-e6d3-4379-9efc-689950a1f4a5/rendering/05.obj", "13.1207351685")</f>
        <v>13.1207351685</v>
      </c>
      <c r="I668" s="100" t="str">
        <f>HYPERLINK(AA2 &amp; "/bulb/3dw_ebb489bb-e6d3-4379-9efc-689950a1f4a5/rendering/06.obj", "9.31328296661")</f>
        <v>9.31328296661</v>
      </c>
      <c r="J668" s="29" t="str">
        <f>HYPERLINK(AA2 &amp; "/bulb/3dw_ebb489bb-e6d3-4379-9efc-689950a1f4a5/rendering/07.obj", "15.0432634354")</f>
        <v>15.0432634354</v>
      </c>
      <c r="K668" s="255" t="str">
        <f>HYPERLINK(AA2 &amp; "/bulb/3dw_ebb489bb-e6d3-4379-9efc-689950a1f4a5/rendering/08.obj", "22.9534339905")</f>
        <v>22.9534339905</v>
      </c>
      <c r="L668" s="109" t="str">
        <f>HYPERLINK(AA2 &amp; "/bulb/3dw_ebb489bb-e6d3-4379-9efc-689950a1f4a5/rendering/09.obj", "15.8493976593")</f>
        <v>15.8493976593</v>
      </c>
      <c r="M668" s="241" t="str">
        <f>HYPERLINK(AA2 &amp; "/bulb/3dw_ebb489bb-e6d3-4379-9efc-689950a1f4a5/rendering/10.obj", "4.77615833282")</f>
        <v>4.77615833282</v>
      </c>
      <c r="N668" s="228" t="str">
        <f>HYPERLINK(AA2 &amp; "/bulb/3dw_ebb489bb-e6d3-4379-9efc-689950a1f4a5/rendering/11.obj", "6.23764181137")</f>
        <v>6.23764181137</v>
      </c>
      <c r="O668" s="53" t="str">
        <f>HYPERLINK(AA2 &amp; "/bulb/3dw_ebb489bb-e6d3-4379-9efc-689950a1f4a5/rendering/12.obj", "7.81376314163")</f>
        <v>7.81376314163</v>
      </c>
      <c r="P668" s="6" t="str">
        <f>HYPERLINK(AA2 &amp; "/bulb/3dw_ebb489bb-e6d3-4379-9efc-689950a1f4a5/rendering/13.obj", "12.7023677826")</f>
        <v>12.7023677826</v>
      </c>
      <c r="Q668" s="225" t="str">
        <f>HYPERLINK(AA2 &amp; "/bulb/3dw_ebb489bb-e6d3-4379-9efc-689950a1f4a5/rendering/14.obj", "5.7410068512")</f>
        <v>5.7410068512</v>
      </c>
      <c r="R668" s="140" t="str">
        <f>HYPERLINK(AA2 &amp; "/bulb/3dw_ebb489bb-e6d3-4379-9efc-689950a1f4a5/rendering/15.obj", "8.69434738159")</f>
        <v>8.69434738159</v>
      </c>
      <c r="S668" s="20" t="str">
        <f>HYPERLINK(AA2 &amp; "/bulb/3dw_ebb489bb-e6d3-4379-9efc-689950a1f4a5/rendering/16.obj", "40.0905036926")</f>
        <v>40.0905036926</v>
      </c>
      <c r="T668" s="216" t="str">
        <f>HYPERLINK(AA2 &amp; "/bulb/3dw_ebb489bb-e6d3-4379-9efc-689950a1f4a5/rendering/17.obj", "4.63716554642")</f>
        <v>4.63716554642</v>
      </c>
      <c r="U668" s="118" t="str">
        <f>HYPERLINK(AA2 &amp; "/bulb/3dw_ebb489bb-e6d3-4379-9efc-689950a1f4a5/rendering/18.obj", "9.40189838409")</f>
        <v>9.40189838409</v>
      </c>
      <c r="V668" s="123" t="str">
        <f>HYPERLINK(AA2 &amp; "/bulb/3dw_ebb489bb-e6d3-4379-9efc-689950a1f4a5/rendering/19.obj", "8.40285682678")</f>
        <v>8.40285682678</v>
      </c>
      <c r="W668" s="12" t="s">
        <v>30</v>
      </c>
      <c r="X668" s="13">
        <v>13.31440274715424</v>
      </c>
      <c r="Y668" s="13">
        <v>8.7720222030195565</v>
      </c>
      <c r="Z668" s="248">
        <v>0.65883707813288517</v>
      </c>
    </row>
    <row r="669" spans="1:26" x14ac:dyDescent="0.2">
      <c r="A669" s="1">
        <v>667</v>
      </c>
      <c r="B669" s="2" t="s">
        <v>166</v>
      </c>
      <c r="C669" s="17" t="str">
        <f>HYPERLINK(AB2 &amp; "/bulb/3dw_ebb489bb-e6d3-4379-9efc-689950a1f4a5/rendering/00.obj", "1.32657745361")</f>
        <v>1.32657745361</v>
      </c>
      <c r="D669" s="65" t="str">
        <f>HYPERLINK(AB2 &amp; "/bulb/3dw_ebb489bb-e6d3-4379-9efc-689950a1f4a5/rendering/01.obj", "1.17591362")</f>
        <v>1.17591362</v>
      </c>
      <c r="E669" s="68" t="str">
        <f>HYPERLINK(AB2 &amp; "/bulb/3dw_ebb489bb-e6d3-4379-9efc-689950a1f4a5/rendering/02.obj", "1.29556213379")</f>
        <v>1.29556213379</v>
      </c>
      <c r="F669" s="73" t="str">
        <f>HYPERLINK(AB2 &amp; "/bulb/3dw_ebb489bb-e6d3-4379-9efc-689950a1f4a5/rendering/03.obj", "1.40324752808")</f>
        <v>1.40324752808</v>
      </c>
      <c r="G669" s="32" t="str">
        <f>HYPERLINK(AB2 &amp; "/bulb/3dw_ebb489bb-e6d3-4379-9efc-689950a1f4a5/rendering/04.obj", "1.497993927")</f>
        <v>1.497993927</v>
      </c>
      <c r="H669" s="51" t="str">
        <f>HYPERLINK(AB2 &amp; "/bulb/3dw_ebb489bb-e6d3-4379-9efc-689950a1f4a5/rendering/05.obj", "1.46370758057")</f>
        <v>1.46370758057</v>
      </c>
      <c r="I669" s="30" t="str">
        <f>HYPERLINK(AB2 &amp; "/bulb/3dw_ebb489bb-e6d3-4379-9efc-689950a1f4a5/rendering/06.obj", "1.34719726562")</f>
        <v>1.34719726562</v>
      </c>
      <c r="J669" s="25" t="str">
        <f>HYPERLINK(AB2 &amp; "/bulb/3dw_ebb489bb-e6d3-4379-9efc-689950a1f4a5/rendering/07.obj", "1.37119232178")</f>
        <v>1.37119232178</v>
      </c>
      <c r="K669" s="90" t="str">
        <f>HYPERLINK(AB2 &amp; "/bulb/3dw_ebb489bb-e6d3-4379-9efc-689950a1f4a5/rendering/08.obj", "1.2247933197")</f>
        <v>1.2247933197</v>
      </c>
      <c r="L669" s="120" t="str">
        <f>HYPERLINK(AB2 &amp; "/bulb/3dw_ebb489bb-e6d3-4379-9efc-689950a1f4a5/rendering/09.obj", "1.06981109619")</f>
        <v>1.06981109619</v>
      </c>
      <c r="M669" s="23" t="str">
        <f>HYPERLINK(AB2 &amp; "/bulb/3dw_ebb489bb-e6d3-4379-9efc-689950a1f4a5/rendering/10.obj", "1.30125579834")</f>
        <v>1.30125579834</v>
      </c>
      <c r="N669" s="106" t="str">
        <f>HYPERLINK(AB2 &amp; "/bulb/3dw_ebb489bb-e6d3-4379-9efc-689950a1f4a5/rendering/11.obj", "1.19946929932")</f>
        <v>1.19946929932</v>
      </c>
      <c r="O669" s="75" t="str">
        <f>HYPERLINK(AB2 &amp; "/bulb/3dw_ebb489bb-e6d3-4379-9efc-689950a1f4a5/rendering/12.obj", "1.65595474243")</f>
        <v>1.65595474243</v>
      </c>
      <c r="P669" s="130" t="str">
        <f>HYPERLINK(AB2 &amp; "/bulb/3dw_ebb489bb-e6d3-4379-9efc-689950a1f4a5/rendering/13.obj", "1.96520294189")</f>
        <v>1.96520294189</v>
      </c>
      <c r="Q669" s="13" t="str">
        <f>HYPERLINK(AB2 &amp; "/bulb/3dw_ebb489bb-e6d3-4379-9efc-689950a1f4a5/rendering/14.obj", "1.35155609131")</f>
        <v>1.35155609131</v>
      </c>
      <c r="R669" s="17" t="str">
        <f>HYPERLINK(AB2 &amp; "/bulb/3dw_ebb489bb-e6d3-4379-9efc-689950a1f4a5/rendering/15.obj", "1.32582138062")</f>
        <v>1.32582138062</v>
      </c>
      <c r="S669" s="65" t="str">
        <f>HYPERLINK(AB2 &amp; "/bulb/3dw_ebb489bb-e6d3-4379-9efc-689950a1f4a5/rendering/16.obj", "1.175520401")</f>
        <v>1.175520401</v>
      </c>
      <c r="T669" s="13" t="str">
        <f>HYPERLINK(AB2 &amp; "/bulb/3dw_ebb489bb-e6d3-4379-9efc-689950a1f4a5/rendering/17.obj", "1.3529045105")</f>
        <v>1.3529045105</v>
      </c>
      <c r="U669" s="91" t="str">
        <f>HYPERLINK(AB2 &amp; "/bulb/3dw_ebb489bb-e6d3-4379-9efc-689950a1f4a5/rendering/18.obj", "1.39072387695")</f>
        <v>1.39072387695</v>
      </c>
      <c r="V669" s="106" t="str">
        <f>HYPERLINK(AB2 &amp; "/bulb/3dw_ebb489bb-e6d3-4379-9efc-689950a1f4a5/rendering/19.obj", "1.19805038452")</f>
        <v>1.19805038452</v>
      </c>
      <c r="W669" s="12" t="s">
        <v>31</v>
      </c>
      <c r="X669" s="13">
        <v>1.3546227836608891</v>
      </c>
      <c r="Y669" s="13">
        <v>0.18955228154088391</v>
      </c>
      <c r="Z669" s="93">
        <v>0.1399299375643277</v>
      </c>
    </row>
    <row r="670" spans="1:26" x14ac:dyDescent="0.2">
      <c r="A670" s="1">
        <v>668</v>
      </c>
      <c r="B670" s="2" t="s">
        <v>166</v>
      </c>
      <c r="C670" s="44" t="str">
        <f>HYPERLINK(AB2 &amp; "/bulb/3dw_ebb489bb-e6d3-4379-9efc-689950a1f4a5/rendering/00.obj", "3.37302160263")</f>
        <v>3.37302160263</v>
      </c>
      <c r="D670" s="26" t="str">
        <f>HYPERLINK(AB2 &amp; "/bulb/3dw_ebb489bb-e6d3-4379-9efc-689950a1f4a5/rendering/01.obj", "3.92327284813")</f>
        <v>3.92327284813</v>
      </c>
      <c r="E670" s="60" t="str">
        <f>HYPERLINK(AB2 &amp; "/bulb/3dw_ebb489bb-e6d3-4379-9efc-689950a1f4a5/rendering/02.obj", "3.97236561775")</f>
        <v>3.97236561775</v>
      </c>
      <c r="F670" s="48" t="str">
        <f>HYPERLINK(AB2 &amp; "/bulb/3dw_ebb489bb-e6d3-4379-9efc-689950a1f4a5/rendering/03.obj", "4.29497432709")</f>
        <v>4.29497432709</v>
      </c>
      <c r="G670" s="38" t="str">
        <f>HYPERLINK(AB2 &amp; "/bulb/3dw_ebb489bb-e6d3-4379-9efc-689950a1f4a5/rendering/04.obj", "3.8196542263")</f>
        <v>3.8196542263</v>
      </c>
      <c r="H670" s="63" t="str">
        <f>HYPERLINK(AB2 &amp; "/bulb/3dw_ebb489bb-e6d3-4379-9efc-689950a1f4a5/rendering/05.obj", "3.69135951996")</f>
        <v>3.69135951996</v>
      </c>
      <c r="I670" s="41" t="str">
        <f>HYPERLINK(AB2 &amp; "/bulb/3dw_ebb489bb-e6d3-4379-9efc-689950a1f4a5/rendering/06.obj", "3.91307210922")</f>
        <v>3.91307210922</v>
      </c>
      <c r="J670" s="67" t="str">
        <f>HYPERLINK(AB2 &amp; "/bulb/3dw_ebb489bb-e6d3-4379-9efc-689950a1f4a5/rendering/07.obj", "3.80611729622")</f>
        <v>3.80611729622</v>
      </c>
      <c r="K670" s="51" t="str">
        <f>HYPERLINK(AB2 &amp; "/bulb/3dw_ebb489bb-e6d3-4379-9efc-689950a1f4a5/rendering/08.obj", "3.85018181801")</f>
        <v>3.85018181801</v>
      </c>
      <c r="L670" s="10" t="str">
        <f>HYPERLINK(AB2 &amp; "/bulb/3dw_ebb489bb-e6d3-4379-9efc-689950a1f4a5/rendering/09.obj", "3.95554375648")</f>
        <v>3.95554375648</v>
      </c>
      <c r="M670" s="31" t="str">
        <f>HYPERLINK(AB2 &amp; "/bulb/3dw_ebb489bb-e6d3-4379-9efc-689950a1f4a5/rendering/10.obj", "3.5410733223")</f>
        <v>3.5410733223</v>
      </c>
      <c r="N670" s="30" t="str">
        <f>HYPERLINK(AB2 &amp; "/bulb/3dw_ebb489bb-e6d3-4379-9efc-689950a1f4a5/rendering/11.obj", "4.21386909485")</f>
        <v>4.21386909485</v>
      </c>
      <c r="O670" s="43" t="str">
        <f>HYPERLINK(AB2 &amp; "/bulb/3dw_ebb489bb-e6d3-4379-9efc-689950a1f4a5/rendering/12.obj", "5.76632404327")</f>
        <v>5.76632404327</v>
      </c>
      <c r="P670" s="20" t="str">
        <f>HYPERLINK(AB2 &amp; "/bulb/3dw_ebb489bb-e6d3-4379-9efc-689950a1f4a5/rendering/13.obj", "7.54357051849")</f>
        <v>7.54357051849</v>
      </c>
      <c r="Q670" s="47" t="str">
        <f>HYPERLINK(AB2 &amp; "/bulb/3dw_ebb489bb-e6d3-4379-9efc-689950a1f4a5/rendering/14.obj", "4.16377687454")</f>
        <v>4.16377687454</v>
      </c>
      <c r="R670" s="107" t="str">
        <f>HYPERLINK(AB2 &amp; "/bulb/3dw_ebb489bb-e6d3-4379-9efc-689950a1f4a5/rendering/15.obj", "3.8391149044")</f>
        <v>3.8391149044</v>
      </c>
      <c r="S670" s="46" t="str">
        <f>HYPERLINK(AB2 &amp; "/bulb/3dw_ebb489bb-e6d3-4379-9efc-689950a1f4a5/rendering/16.obj", "4.12515830994")</f>
        <v>4.12515830994</v>
      </c>
      <c r="T670" s="5" t="str">
        <f>HYPERLINK(AB2 &amp; "/bulb/3dw_ebb489bb-e6d3-4379-9efc-689950a1f4a5/rendering/17.obj", "3.86839032173")</f>
        <v>3.86839032173</v>
      </c>
      <c r="U670" s="8" t="str">
        <f>HYPERLINK(AB2 &amp; "/bulb/3dw_ebb489bb-e6d3-4379-9efc-689950a1f4a5/rendering/18.obj", "3.59515357018")</f>
        <v>3.59515357018</v>
      </c>
      <c r="V670" s="38" t="str">
        <f>HYPERLINK(AB2 &amp; "/bulb/3dw_ebb489bb-e6d3-4379-9efc-689950a1f4a5/rendering/19.obj", "4.56403112411")</f>
        <v>4.56403112411</v>
      </c>
      <c r="W670" s="12" t="s">
        <v>32</v>
      </c>
      <c r="X670" s="13">
        <v>4.1910012602806086</v>
      </c>
      <c r="Y670" s="13">
        <v>0.90706548443152801</v>
      </c>
      <c r="Z670" s="36">
        <v>0.21643168973201291</v>
      </c>
    </row>
    <row r="671" spans="1:26" x14ac:dyDescent="0.2">
      <c r="A671" s="1">
        <v>669</v>
      </c>
      <c r="B671" s="2" t="s">
        <v>166</v>
      </c>
      <c r="C671" s="13" t="str">
        <f>HYPERLINK(AC2 &amp; "/bulb/3dw_ebb489bb-e6d3-4379-9efc-689950a1f4a5/rendering/00.xyz", "0.0")</f>
        <v>0.0</v>
      </c>
      <c r="D671" s="13" t="str">
        <f>HYPERLINK(AC2 &amp; "/bulb/3dw_ebb489bb-e6d3-4379-9efc-689950a1f4a5/rendering/01.xyz", "0.0")</f>
        <v>0.0</v>
      </c>
      <c r="E671" s="13" t="str">
        <f>HYPERLINK(AC2 &amp; "/bulb/3dw_ebb489bb-e6d3-4379-9efc-689950a1f4a5/rendering/02.xyz", "0.0")</f>
        <v>0.0</v>
      </c>
      <c r="F671" s="13" t="str">
        <f>HYPERLINK(AC2 &amp; "/bulb/3dw_ebb489bb-e6d3-4379-9efc-689950a1f4a5/rendering/03.xyz", "0.0")</f>
        <v>0.0</v>
      </c>
      <c r="G671" s="13" t="str">
        <f>HYPERLINK(AC2 &amp; "/bulb/3dw_ebb489bb-e6d3-4379-9efc-689950a1f4a5/rendering/04.xyz", "0.0")</f>
        <v>0.0</v>
      </c>
      <c r="H671" s="13" t="str">
        <f>HYPERLINK(AC2 &amp; "/bulb/3dw_ebb489bb-e6d3-4379-9efc-689950a1f4a5/rendering/05.xyz", "0.0")</f>
        <v>0.0</v>
      </c>
      <c r="I671" s="13" t="str">
        <f>HYPERLINK(AC2 &amp; "/bulb/3dw_ebb489bb-e6d3-4379-9efc-689950a1f4a5/rendering/06.xyz", "0.0")</f>
        <v>0.0</v>
      </c>
      <c r="J671" s="13" t="str">
        <f>HYPERLINK(AC2 &amp; "/bulb/3dw_ebb489bb-e6d3-4379-9efc-689950a1f4a5/rendering/07.xyz", "0.0")</f>
        <v>0.0</v>
      </c>
      <c r="K671" s="13" t="str">
        <f>HYPERLINK(AC2 &amp; "/bulb/3dw_ebb489bb-e6d3-4379-9efc-689950a1f4a5/rendering/08.xyz", "0.0")</f>
        <v>0.0</v>
      </c>
      <c r="L671" s="13" t="str">
        <f>HYPERLINK(AC2 &amp; "/bulb/3dw_ebb489bb-e6d3-4379-9efc-689950a1f4a5/rendering/09.xyz", "0.0")</f>
        <v>0.0</v>
      </c>
      <c r="M671" s="13" t="str">
        <f>HYPERLINK(AC2 &amp; "/bulb/3dw_ebb489bb-e6d3-4379-9efc-689950a1f4a5/rendering/10.xyz", "0.0")</f>
        <v>0.0</v>
      </c>
      <c r="N671" s="13" t="str">
        <f>HYPERLINK(AC2 &amp; "/bulb/3dw_ebb489bb-e6d3-4379-9efc-689950a1f4a5/rendering/11.xyz", "0.0")</f>
        <v>0.0</v>
      </c>
      <c r="O671" s="13" t="str">
        <f>HYPERLINK(AC2 &amp; "/bulb/3dw_ebb489bb-e6d3-4379-9efc-689950a1f4a5/rendering/12.xyz", "0.0")</f>
        <v>0.0</v>
      </c>
      <c r="P671" s="13" t="str">
        <f>HYPERLINK(AC2 &amp; "/bulb/3dw_ebb489bb-e6d3-4379-9efc-689950a1f4a5/rendering/13.xyz", "0.0")</f>
        <v>0.0</v>
      </c>
      <c r="Q671" s="13" t="str">
        <f>HYPERLINK(AC2 &amp; "/bulb/3dw_ebb489bb-e6d3-4379-9efc-689950a1f4a5/rendering/14.xyz", "0.0")</f>
        <v>0.0</v>
      </c>
      <c r="R671" s="13" t="str">
        <f>HYPERLINK(AC2 &amp; "/bulb/3dw_ebb489bb-e6d3-4379-9efc-689950a1f4a5/rendering/15.xyz", "0.0")</f>
        <v>0.0</v>
      </c>
      <c r="S671" s="13" t="str">
        <f>HYPERLINK(AC2 &amp; "/bulb/3dw_ebb489bb-e6d3-4379-9efc-689950a1f4a5/rendering/16.xyz", "0.0")</f>
        <v>0.0</v>
      </c>
      <c r="T671" s="13" t="str">
        <f>HYPERLINK(AC2 &amp; "/bulb/3dw_ebb489bb-e6d3-4379-9efc-689950a1f4a5/rendering/17.xyz", "0.0")</f>
        <v>0.0</v>
      </c>
      <c r="U671" s="13" t="str">
        <f>HYPERLINK(AC2 &amp; "/bulb/3dw_ebb489bb-e6d3-4379-9efc-689950a1f4a5/rendering/18.xyz", "0.0")</f>
        <v>0.0</v>
      </c>
      <c r="V671" s="13" t="str">
        <f>HYPERLINK(AC2 &amp; "/bulb/3dw_ebb489bb-e6d3-4379-9efc-689950a1f4a5/rendering/19.xyz", "0.0")</f>
        <v>0.0</v>
      </c>
      <c r="W671" s="12" t="s">
        <v>33</v>
      </c>
      <c r="X671" s="13">
        <v>0</v>
      </c>
      <c r="Y671" s="13">
        <v>0</v>
      </c>
      <c r="Z671" s="13">
        <v>0</v>
      </c>
    </row>
    <row r="672" spans="1:26" x14ac:dyDescent="0.2">
      <c r="A672" s="1">
        <v>670</v>
      </c>
      <c r="B672" s="2" t="s">
        <v>167</v>
      </c>
      <c r="C672" s="73" t="str">
        <f>HYPERLINK(AA2 &amp; "/bulb/3dw_f17acfbe-5c03-45ed-bd6a-429c26f118f5/rendering/00.obj", "0.203898143768")</f>
        <v>0.203898143768</v>
      </c>
      <c r="D672" s="17" t="str">
        <f>HYPERLINK(AA2 &amp; "/bulb/3dw_f17acfbe-5c03-45ed-bd6a-429c26f118f5/rendering/01.obj", "0.207148933411")</f>
        <v>0.207148933411</v>
      </c>
      <c r="E672" s="72" t="str">
        <f>HYPERLINK(AA2 &amp; "/bulb/3dw_f17acfbe-5c03-45ed-bd6a-429c26f118f5/rendering/02.obj", "0.20424243927")</f>
        <v>0.20424243927</v>
      </c>
      <c r="F672" s="46" t="str">
        <f>HYPERLINK(AA2 &amp; "/bulb/3dw_f17acfbe-5c03-45ed-bd6a-429c26f118f5/rendering/03.obj", "0.207502059937")</f>
        <v>0.207502059937</v>
      </c>
      <c r="G672" s="47" t="str">
        <f>HYPERLINK(AA2 &amp; "/bulb/3dw_f17acfbe-5c03-45ed-bd6a-429c26f118f5/rendering/04.obj", "0.213037166595")</f>
        <v>0.213037166595</v>
      </c>
      <c r="H672" s="27" t="str">
        <f>HYPERLINK(AA2 &amp; "/bulb/3dw_f17acfbe-5c03-45ed-bd6a-429c26f118f5/rendering/05.obj", "0.225958099365")</f>
        <v>0.225958099365</v>
      </c>
      <c r="I672" s="69" t="str">
        <f>HYPERLINK(AA2 &amp; "/bulb/3dw_f17acfbe-5c03-45ed-bd6a-429c26f118f5/rendering/06.obj", "0.204864463806")</f>
        <v>0.204864463806</v>
      </c>
      <c r="J672" s="68" t="str">
        <f>HYPERLINK(AA2 &amp; "/bulb/3dw_f17acfbe-5c03-45ed-bd6a-429c26f118f5/rendering/07.obj", "0.20225107193")</f>
        <v>0.20225107193</v>
      </c>
      <c r="K672" s="70" t="str">
        <f>HYPERLINK(AA2 &amp; "/bulb/3dw_f17acfbe-5c03-45ed-bd6a-429c26f118f5/rendering/08.obj", "0.238358383179")</f>
        <v>0.238358383179</v>
      </c>
      <c r="L672" s="72" t="str">
        <f>HYPERLINK(AA2 &amp; "/bulb/3dw_f17acfbe-5c03-45ed-bd6a-429c26f118f5/rendering/09.obj", "0.20454750061")</f>
        <v>0.20454750061</v>
      </c>
      <c r="M672" s="68" t="str">
        <f>HYPERLINK(AA2 &amp; "/bulb/3dw_f17acfbe-5c03-45ed-bd6a-429c26f118f5/rendering/10.obj", "0.220181121826")</f>
        <v>0.220181121826</v>
      </c>
      <c r="N672" s="79" t="str">
        <f>HYPERLINK(AA2 &amp; "/bulb/3dw_f17acfbe-5c03-45ed-bd6a-429c26f118f5/rendering/11.obj", "0.244457244873")</f>
        <v>0.244457244873</v>
      </c>
      <c r="O672" s="91" t="str">
        <f>HYPERLINK(AA2 &amp; "/bulb/3dw_f17acfbe-5c03-45ed-bd6a-429c26f118f5/rendering/12.obj", "0.20578578949")</f>
        <v>0.20578578949</v>
      </c>
      <c r="P672" s="72" t="str">
        <f>HYPERLINK(AA2 &amp; "/bulb/3dw_f17acfbe-5c03-45ed-bd6a-429c26f118f5/rendering/13.obj", "0.20426607132")</f>
        <v>0.20426607132</v>
      </c>
      <c r="Q672" s="72" t="str">
        <f>HYPERLINK(AA2 &amp; "/bulb/3dw_f17acfbe-5c03-45ed-bd6a-429c26f118f5/rendering/14.obj", "0.204311141968")</f>
        <v>0.204311141968</v>
      </c>
      <c r="R672" s="46" t="str">
        <f>HYPERLINK(AA2 &amp; "/bulb/3dw_f17acfbe-5c03-45ed-bd6a-429c26f118f5/rendering/15.obj", "0.207609596252")</f>
        <v>0.207609596252</v>
      </c>
      <c r="S672" s="73" t="str">
        <f>HYPERLINK(AA2 &amp; "/bulb/3dw_f17acfbe-5c03-45ed-bd6a-429c26f118f5/rendering/16.obj", "0.203595123291")</f>
        <v>0.203595123291</v>
      </c>
      <c r="T672" s="17" t="str">
        <f>HYPERLINK(AA2 &amp; "/bulb/3dw_f17acfbe-5c03-45ed-bd6a-429c26f118f5/rendering/17.obj", "0.206684513092")</f>
        <v>0.206684513092</v>
      </c>
      <c r="U672" s="69" t="str">
        <f>HYPERLINK(AA2 &amp; "/bulb/3dw_f17acfbe-5c03-45ed-bd6a-429c26f118f5/rendering/18.obj", "0.205080528259")</f>
        <v>0.205080528259</v>
      </c>
      <c r="V672" s="13" t="str">
        <f>HYPERLINK(AA2 &amp; "/bulb/3dw_f17acfbe-5c03-45ed-bd6a-429c26f118f5/rendering/19.obj", "0.211710910797")</f>
        <v>0.211710910797</v>
      </c>
      <c r="W672" s="12" t="s">
        <v>29</v>
      </c>
      <c r="X672" s="13">
        <v>0.21127451515197759</v>
      </c>
      <c r="Y672" s="13">
        <v>1.160885474652083E-2</v>
      </c>
      <c r="Z672" s="10">
        <v>5.4946782096128133E-2</v>
      </c>
    </row>
    <row r="673" spans="1:26" x14ac:dyDescent="0.2">
      <c r="A673" s="1">
        <v>671</v>
      </c>
      <c r="B673" s="2" t="s">
        <v>167</v>
      </c>
      <c r="C673" s="73" t="str">
        <f>HYPERLINK(AA2 &amp; "/bulb/3dw_f17acfbe-5c03-45ed-bd6a-429c26f118f5/rendering/00.obj", "2.1492831707")</f>
        <v>2.1492831707</v>
      </c>
      <c r="D673" s="72" t="str">
        <f>HYPERLINK(AA2 &amp; "/bulb/3dw_f17acfbe-5c03-45ed-bd6a-429c26f118f5/rendering/01.obj", "2.16055250168")</f>
        <v>2.16055250168</v>
      </c>
      <c r="E673" s="17" t="str">
        <f>HYPERLINK(AA2 &amp; "/bulb/3dw_f17acfbe-5c03-45ed-bd6a-429c26f118f5/rendering/02.obj", "2.18607544899")</f>
        <v>2.18607544899</v>
      </c>
      <c r="F673" s="46" t="str">
        <f>HYPERLINK(AA2 &amp; "/bulb/3dw_f17acfbe-5c03-45ed-bd6a-429c26f118f5/rendering/03.obj", "2.19229149818")</f>
        <v>2.19229149818</v>
      </c>
      <c r="G673" s="25" t="str">
        <f>HYPERLINK(AA2 &amp; "/bulb/3dw_f17acfbe-5c03-45ed-bd6a-429c26f118f5/rendering/04.obj", "2.25690841675")</f>
        <v>2.25690841675</v>
      </c>
      <c r="H673" s="68" t="str">
        <f>HYPERLINK(AA2 &amp; "/bulb/3dw_f17acfbe-5c03-45ed-bd6a-429c26f118f5/rendering/05.obj", "2.32614374161")</f>
        <v>2.32614374161</v>
      </c>
      <c r="I673" s="25" t="str">
        <f>HYPERLINK(AA2 &amp; "/bulb/3dw_f17acfbe-5c03-45ed-bd6a-429c26f118f5/rendering/06.obj", "2.20615553856")</f>
        <v>2.20615553856</v>
      </c>
      <c r="J673" s="48" t="str">
        <f>HYPERLINK(AA2 &amp; "/bulb/3dw_f17acfbe-5c03-45ed-bd6a-429c26f118f5/rendering/07.obj", "2.18304467201")</f>
        <v>2.18304467201</v>
      </c>
      <c r="K673" s="110" t="str">
        <f>HYPERLINK(AA2 &amp; "/bulb/3dw_f17acfbe-5c03-45ed-bd6a-429c26f118f5/rendering/08.obj", "2.45623850822")</f>
        <v>2.45623850822</v>
      </c>
      <c r="L673" s="69" t="str">
        <f>HYPERLINK(AA2 &amp; "/bulb/3dw_f17acfbe-5c03-45ed-bd6a-429c26f118f5/rendering/09.obj", "2.16447114944")</f>
        <v>2.16447114944</v>
      </c>
      <c r="M673" s="91" t="str">
        <f>HYPERLINK(AA2 &amp; "/bulb/3dw_f17acfbe-5c03-45ed-bd6a-429c26f118f5/rendering/10.obj", "2.29009819031")</f>
        <v>2.29009819031</v>
      </c>
      <c r="N673" s="70" t="str">
        <f>HYPERLINK(AA2 &amp; "/bulb/3dw_f17acfbe-5c03-45ed-bd6a-429c26f118f5/rendering/11.obj", "2.51565718651")</f>
        <v>2.51565718651</v>
      </c>
      <c r="O673" s="46" t="str">
        <f>HYPERLINK(AA2 &amp; "/bulb/3dw_f17acfbe-5c03-45ed-bd6a-429c26f118f5/rendering/12.obj", "2.19303917885")</f>
        <v>2.19303917885</v>
      </c>
      <c r="P673" s="72" t="str">
        <f>HYPERLINK(AA2 &amp; "/bulb/3dw_f17acfbe-5c03-45ed-bd6a-429c26f118f5/rendering/13.obj", "2.15824317932")</f>
        <v>2.15824317932</v>
      </c>
      <c r="Q673" s="73" t="str">
        <f>HYPERLINK(AA2 &amp; "/bulb/3dw_f17acfbe-5c03-45ed-bd6a-429c26f118f5/rendering/14.obj", "2.15022826195")</f>
        <v>2.15022826195</v>
      </c>
      <c r="R673" s="74" t="str">
        <f>HYPERLINK(AA2 &amp; "/bulb/3dw_f17acfbe-5c03-45ed-bd6a-429c26f118f5/rendering/15.obj", "2.20261788368")</f>
        <v>2.20261788368</v>
      </c>
      <c r="S673" s="48" t="str">
        <f>HYPERLINK(AA2 &amp; "/bulb/3dw_f17acfbe-5c03-45ed-bd6a-429c26f118f5/rendering/16.obj", "2.18113160133")</f>
        <v>2.18113160133</v>
      </c>
      <c r="T673" s="48" t="str">
        <f>HYPERLINK(AA2 &amp; "/bulb/3dw_f17acfbe-5c03-45ed-bd6a-429c26f118f5/rendering/17.obj", "2.18176293373")</f>
        <v>2.18176293373</v>
      </c>
      <c r="U673" s="25" t="str">
        <f>HYPERLINK(AA2 &amp; "/bulb/3dw_f17acfbe-5c03-45ed-bd6a-429c26f118f5/rendering/18.obj", "2.20753669739")</f>
        <v>2.20753669739</v>
      </c>
      <c r="V673" s="69" t="str">
        <f>HYPERLINK(AA2 &amp; "/bulb/3dw_f17acfbe-5c03-45ed-bd6a-429c26f118f5/rendering/19.obj", "2.30038142204")</f>
        <v>2.30038142204</v>
      </c>
      <c r="W673" s="12" t="s">
        <v>30</v>
      </c>
      <c r="X673" s="13">
        <v>2.2330930590629579</v>
      </c>
      <c r="Y673" s="13">
        <v>9.791077795447474E-2</v>
      </c>
      <c r="Z673" s="68">
        <v>4.3845363970438249E-2</v>
      </c>
    </row>
    <row r="674" spans="1:26" x14ac:dyDescent="0.2">
      <c r="A674" s="1">
        <v>672</v>
      </c>
      <c r="B674" s="2" t="s">
        <v>167</v>
      </c>
      <c r="C674" s="25" t="str">
        <f>HYPERLINK(AB2 &amp; "/bulb/3dw_f17acfbe-5c03-45ed-bd6a-429c26f118f5/rendering/00.obj", "0.239394683838")</f>
        <v>0.239394683838</v>
      </c>
      <c r="D674" s="91" t="str">
        <f>HYPERLINK(AB2 &amp; "/bulb/3dw_f17acfbe-5c03-45ed-bd6a-429c26f118f5/rendering/01.obj", "0.230877037048")</f>
        <v>0.230877037048</v>
      </c>
      <c r="E674" s="47" t="str">
        <f>HYPERLINK(AB2 &amp; "/bulb/3dw_f17acfbe-5c03-45ed-bd6a-429c26f118f5/rendering/02.obj", "0.238680362701")</f>
        <v>0.238680362701</v>
      </c>
      <c r="F674" s="68" t="str">
        <f>HYPERLINK(AB2 &amp; "/bulb/3dw_f17acfbe-5c03-45ed-bd6a-429c26f118f5/rendering/03.obj", "0.226713523865")</f>
        <v>0.226713523865</v>
      </c>
      <c r="G674" s="30" t="str">
        <f>HYPERLINK(AB2 &amp; "/bulb/3dw_f17acfbe-5c03-45ed-bd6a-429c26f118f5/rendering/04.obj", "0.235593070984")</f>
        <v>0.235593070984</v>
      </c>
      <c r="H674" s="5" t="str">
        <f>HYPERLINK(AB2 &amp; "/bulb/3dw_f17acfbe-5c03-45ed-bd6a-429c26f118f5/rendering/05.obj", "0.255182876587")</f>
        <v>0.255182876587</v>
      </c>
      <c r="I674" s="13" t="str">
        <f>HYPERLINK(AB2 &amp; "/bulb/3dw_f17acfbe-5c03-45ed-bd6a-429c26f118f5/rendering/06.obj", "0.236523590088")</f>
        <v>0.236523590088</v>
      </c>
      <c r="J674" s="68" t="str">
        <f>HYPERLINK(AB2 &amp; "/bulb/3dw_f17acfbe-5c03-45ed-bd6a-429c26f118f5/rendering/07.obj", "0.22715801239")</f>
        <v>0.22715801239</v>
      </c>
      <c r="K674" s="73" t="str">
        <f>HYPERLINK(AB2 &amp; "/bulb/3dw_f17acfbe-5c03-45ed-bd6a-429c26f118f5/rendering/08.obj", "0.245713729858")</f>
        <v>0.245713729858</v>
      </c>
      <c r="L674" s="69" t="str">
        <f>HYPERLINK(AB2 &amp; "/bulb/3dw_f17acfbe-5c03-45ed-bd6a-429c26f118f5/rendering/09.obj", "0.229825325012")</f>
        <v>0.229825325012</v>
      </c>
      <c r="M674" s="74" t="str">
        <f>HYPERLINK(AB2 &amp; "/bulb/3dw_f17acfbe-5c03-45ed-bd6a-429c26f118f5/rendering/10.obj", "0.240196170807")</f>
        <v>0.240196170807</v>
      </c>
      <c r="N674" s="60" t="str">
        <f>HYPERLINK(AB2 &amp; "/bulb/3dw_f17acfbe-5c03-45ed-bd6a-429c26f118f5/rendering/11.obj", "0.24946559906")</f>
        <v>0.24946559906</v>
      </c>
      <c r="O674" s="25" t="str">
        <f>HYPERLINK(AB2 &amp; "/bulb/3dw_f17acfbe-5c03-45ed-bd6a-429c26f118f5/rendering/12.obj", "0.234819393158")</f>
        <v>0.234819393158</v>
      </c>
      <c r="P674" s="23" t="str">
        <f>HYPERLINK(AB2 &amp; "/bulb/3dw_f17acfbe-5c03-45ed-bd6a-429c26f118f5/rendering/13.obj", "0.228071327209")</f>
        <v>0.228071327209</v>
      </c>
      <c r="Q674" s="25" t="str">
        <f>HYPERLINK(AB2 &amp; "/bulb/3dw_f17acfbe-5c03-45ed-bd6a-429c26f118f5/rendering/14.obj", "0.234370365143")</f>
        <v>0.234370365143</v>
      </c>
      <c r="R674" s="13" t="str">
        <f>HYPERLINK(AB2 &amp; "/bulb/3dw_f17acfbe-5c03-45ed-bd6a-429c26f118f5/rendering/15.obj", "0.236395835876")</f>
        <v>0.236395835876</v>
      </c>
      <c r="S674" s="48" t="str">
        <f>HYPERLINK(AB2 &amp; "/bulb/3dw_f17acfbe-5c03-45ed-bd6a-429c26f118f5/rendering/16.obj", "0.231697616577")</f>
        <v>0.231697616577</v>
      </c>
      <c r="T674" s="72" t="str">
        <f>HYPERLINK(AB2 &amp; "/bulb/3dw_f17acfbe-5c03-45ed-bd6a-429c26f118f5/rendering/17.obj", "0.244904251099")</f>
        <v>0.244904251099</v>
      </c>
      <c r="U674" s="30" t="str">
        <f>HYPERLINK(AB2 &amp; "/bulb/3dw_f17acfbe-5c03-45ed-bd6a-429c26f118f5/rendering/18.obj", "0.238091526031")</f>
        <v>0.238091526031</v>
      </c>
      <c r="V674" s="13" t="str">
        <f>HYPERLINK(AB2 &amp; "/bulb/3dw_f17acfbe-5c03-45ed-bd6a-429c26f118f5/rendering/19.obj", "0.237621326447")</f>
        <v>0.237621326447</v>
      </c>
      <c r="W674" s="12" t="s">
        <v>31</v>
      </c>
      <c r="X674" s="13">
        <v>0.23706478118896479</v>
      </c>
      <c r="Y674" s="13">
        <v>7.2746219370913813E-3</v>
      </c>
      <c r="Z674" s="69">
        <v>3.0686219608861962E-2</v>
      </c>
    </row>
    <row r="675" spans="1:26" x14ac:dyDescent="0.2">
      <c r="A675" s="1">
        <v>673</v>
      </c>
      <c r="B675" s="2" t="s">
        <v>167</v>
      </c>
      <c r="C675" s="13" t="str">
        <f>HYPERLINK(AB2 &amp; "/bulb/3dw_f17acfbe-5c03-45ed-bd6a-429c26f118f5/rendering/00.obj", "2.37087845802")</f>
        <v>2.37087845802</v>
      </c>
      <c r="D675" s="25" t="str">
        <f>HYPERLINK(AB2 &amp; "/bulb/3dw_f17acfbe-5c03-45ed-bd6a-429c26f118f5/rendering/01.obj", "2.34079408646")</f>
        <v>2.34079408646</v>
      </c>
      <c r="E675" s="47" t="str">
        <f>HYPERLINK(AB2 &amp; "/bulb/3dw_f17acfbe-5c03-45ed-bd6a-429c26f118f5/rendering/02.obj", "2.39048290253")</f>
        <v>2.39048290253</v>
      </c>
      <c r="F675" s="25" t="str">
        <f>HYPERLINK(AB2 &amp; "/bulb/3dw_f17acfbe-5c03-45ed-bd6a-429c26f118f5/rendering/03.obj", "2.34244847298")</f>
        <v>2.34244847298</v>
      </c>
      <c r="G675" s="47" t="str">
        <f>HYPERLINK(AB2 &amp; "/bulb/3dw_f17acfbe-5c03-45ed-bd6a-429c26f118f5/rendering/04.obj", "2.38640284538")</f>
        <v>2.38640284538</v>
      </c>
      <c r="H675" s="73" t="str">
        <f>HYPERLINK(AB2 &amp; "/bulb/3dw_f17acfbe-5c03-45ed-bd6a-429c26f118f5/rendering/05.obj", "2.45596718788")</f>
        <v>2.45596718788</v>
      </c>
      <c r="I675" s="30" t="str">
        <f>HYPERLINK(AB2 &amp; "/bulb/3dw_f17acfbe-5c03-45ed-bd6a-429c26f118f5/rendering/06.obj", "2.38297319412")</f>
        <v>2.38297319412</v>
      </c>
      <c r="J675" s="25" t="str">
        <f>HYPERLINK(AB2 &amp; "/bulb/3dw_f17acfbe-5c03-45ed-bd6a-429c26f118f5/rendering/07.obj", "2.3410089016")</f>
        <v>2.3410089016</v>
      </c>
      <c r="K675" s="48" t="str">
        <f>HYPERLINK(AB2 &amp; "/bulb/3dw_f17acfbe-5c03-45ed-bd6a-429c26f118f5/rendering/08.obj", "2.42293643951")</f>
        <v>2.42293643951</v>
      </c>
      <c r="L675" s="74" t="str">
        <f>HYPERLINK(AB2 &amp; "/bulb/3dw_f17acfbe-5c03-45ed-bd6a-429c26f118f5/rendering/09.obj", "2.334638834")</f>
        <v>2.334638834</v>
      </c>
      <c r="M675" s="30" t="str">
        <f>HYPERLINK(AB2 &amp; "/bulb/3dw_f17acfbe-5c03-45ed-bd6a-429c26f118f5/rendering/10.obj", "2.35726761818")</f>
        <v>2.35726761818</v>
      </c>
      <c r="N675" s="17" t="str">
        <f>HYPERLINK(AB2 &amp; "/bulb/3dw_f17acfbe-5c03-45ed-bd6a-429c26f118f5/rendering/11.obj", "2.41916513443")</f>
        <v>2.41916513443</v>
      </c>
      <c r="O675" s="46" t="str">
        <f>HYPERLINK(AB2 &amp; "/bulb/3dw_f17acfbe-5c03-45ed-bd6a-429c26f118f5/rendering/12.obj", "2.33086490631")</f>
        <v>2.33086490631</v>
      </c>
      <c r="P675" s="46" t="str">
        <f>HYPERLINK(AB2 &amp; "/bulb/3dw_f17acfbe-5c03-45ed-bd6a-429c26f118f5/rendering/13.obj", "2.32998633385")</f>
        <v>2.32998633385</v>
      </c>
      <c r="Q675" s="74" t="str">
        <f>HYPERLINK(AB2 &amp; "/bulb/3dw_f17acfbe-5c03-45ed-bd6a-429c26f118f5/rendering/14.obj", "2.33921980858")</f>
        <v>2.33921980858</v>
      </c>
      <c r="R675" s="13" t="str">
        <f>HYPERLINK(AB2 &amp; "/bulb/3dw_f17acfbe-5c03-45ed-bd6a-429c26f118f5/rendering/15.obj", "2.36539530754")</f>
        <v>2.36539530754</v>
      </c>
      <c r="S675" s="30" t="str">
        <f>HYPERLINK(AB2 &amp; "/bulb/3dw_f17acfbe-5c03-45ed-bd6a-429c26f118f5/rendering/16.obj", "2.36145377159")</f>
        <v>2.36145377159</v>
      </c>
      <c r="T675" s="47" t="str">
        <f>HYPERLINK(AB2 &amp; "/bulb/3dw_f17acfbe-5c03-45ed-bd6a-429c26f118f5/rendering/17.obj", "2.38824558258")</f>
        <v>2.38824558258</v>
      </c>
      <c r="U675" s="13" t="str">
        <f>HYPERLINK(AB2 &amp; "/bulb/3dw_f17acfbe-5c03-45ed-bd6a-429c26f118f5/rendering/18.obj", "2.37103581429")</f>
        <v>2.37103581429</v>
      </c>
      <c r="V675" s="13" t="str">
        <f>HYPERLINK(AB2 &amp; "/bulb/3dw_f17acfbe-5c03-45ed-bd6a-429c26f118f5/rendering/19.obj", "2.36813569069")</f>
        <v>2.36813569069</v>
      </c>
      <c r="W675" s="12" t="s">
        <v>32</v>
      </c>
      <c r="X675" s="13">
        <v>2.3699650645256041</v>
      </c>
      <c r="Y675" s="13">
        <v>3.3048698794874501E-2</v>
      </c>
      <c r="Z675" s="74">
        <v>1.394480420389229E-2</v>
      </c>
    </row>
    <row r="676" spans="1:26" x14ac:dyDescent="0.2">
      <c r="A676" s="1">
        <v>674</v>
      </c>
      <c r="B676" s="2" t="s">
        <v>167</v>
      </c>
      <c r="C676" s="13" t="str">
        <f>HYPERLINK(AC2 &amp; "/bulb/3dw_f17acfbe-5c03-45ed-bd6a-429c26f118f5/rendering/00.xyz", "0.0")</f>
        <v>0.0</v>
      </c>
      <c r="D676" s="13" t="str">
        <f>HYPERLINK(AC2 &amp; "/bulb/3dw_f17acfbe-5c03-45ed-bd6a-429c26f118f5/rendering/01.xyz", "0.0")</f>
        <v>0.0</v>
      </c>
      <c r="E676" s="13" t="str">
        <f>HYPERLINK(AC2 &amp; "/bulb/3dw_f17acfbe-5c03-45ed-bd6a-429c26f118f5/rendering/02.xyz", "0.0")</f>
        <v>0.0</v>
      </c>
      <c r="F676" s="13" t="str">
        <f>HYPERLINK(AC2 &amp; "/bulb/3dw_f17acfbe-5c03-45ed-bd6a-429c26f118f5/rendering/03.xyz", "0.0")</f>
        <v>0.0</v>
      </c>
      <c r="G676" s="13" t="str">
        <f>HYPERLINK(AC2 &amp; "/bulb/3dw_f17acfbe-5c03-45ed-bd6a-429c26f118f5/rendering/04.xyz", "0.0")</f>
        <v>0.0</v>
      </c>
      <c r="H676" s="13" t="str">
        <f>HYPERLINK(AC2 &amp; "/bulb/3dw_f17acfbe-5c03-45ed-bd6a-429c26f118f5/rendering/05.xyz", "0.0")</f>
        <v>0.0</v>
      </c>
      <c r="I676" s="13" t="str">
        <f>HYPERLINK(AC2 &amp; "/bulb/3dw_f17acfbe-5c03-45ed-bd6a-429c26f118f5/rendering/06.xyz", "0.0")</f>
        <v>0.0</v>
      </c>
      <c r="J676" s="13" t="str">
        <f>HYPERLINK(AC2 &amp; "/bulb/3dw_f17acfbe-5c03-45ed-bd6a-429c26f118f5/rendering/07.xyz", "0.0")</f>
        <v>0.0</v>
      </c>
      <c r="K676" s="13" t="str">
        <f>HYPERLINK(AC2 &amp; "/bulb/3dw_f17acfbe-5c03-45ed-bd6a-429c26f118f5/rendering/08.xyz", "0.0")</f>
        <v>0.0</v>
      </c>
      <c r="L676" s="13" t="str">
        <f>HYPERLINK(AC2 &amp; "/bulb/3dw_f17acfbe-5c03-45ed-bd6a-429c26f118f5/rendering/09.xyz", "0.0")</f>
        <v>0.0</v>
      </c>
      <c r="M676" s="13" t="str">
        <f>HYPERLINK(AC2 &amp; "/bulb/3dw_f17acfbe-5c03-45ed-bd6a-429c26f118f5/rendering/10.xyz", "0.0")</f>
        <v>0.0</v>
      </c>
      <c r="N676" s="13" t="str">
        <f>HYPERLINK(AC2 &amp; "/bulb/3dw_f17acfbe-5c03-45ed-bd6a-429c26f118f5/rendering/11.xyz", "0.0")</f>
        <v>0.0</v>
      </c>
      <c r="O676" s="13" t="str">
        <f>HYPERLINK(AC2 &amp; "/bulb/3dw_f17acfbe-5c03-45ed-bd6a-429c26f118f5/rendering/12.xyz", "0.0")</f>
        <v>0.0</v>
      </c>
      <c r="P676" s="13" t="str">
        <f>HYPERLINK(AC2 &amp; "/bulb/3dw_f17acfbe-5c03-45ed-bd6a-429c26f118f5/rendering/13.xyz", "0.0")</f>
        <v>0.0</v>
      </c>
      <c r="Q676" s="13" t="str">
        <f>HYPERLINK(AC2 &amp; "/bulb/3dw_f17acfbe-5c03-45ed-bd6a-429c26f118f5/rendering/14.xyz", "0.0")</f>
        <v>0.0</v>
      </c>
      <c r="R676" s="13" t="str">
        <f>HYPERLINK(AC2 &amp; "/bulb/3dw_f17acfbe-5c03-45ed-bd6a-429c26f118f5/rendering/15.xyz", "0.0")</f>
        <v>0.0</v>
      </c>
      <c r="S676" s="13" t="str">
        <f>HYPERLINK(AC2 &amp; "/bulb/3dw_f17acfbe-5c03-45ed-bd6a-429c26f118f5/rendering/16.xyz", "0.0")</f>
        <v>0.0</v>
      </c>
      <c r="T676" s="13" t="str">
        <f>HYPERLINK(AC2 &amp; "/bulb/3dw_f17acfbe-5c03-45ed-bd6a-429c26f118f5/rendering/17.xyz", "0.0")</f>
        <v>0.0</v>
      </c>
      <c r="U676" s="13" t="str">
        <f>HYPERLINK(AC2 &amp; "/bulb/3dw_f17acfbe-5c03-45ed-bd6a-429c26f118f5/rendering/18.xyz", "0.0")</f>
        <v>0.0</v>
      </c>
      <c r="V676" s="13" t="str">
        <f>HYPERLINK(AC2 &amp; "/bulb/3dw_f17acfbe-5c03-45ed-bd6a-429c26f118f5/rendering/19.xyz", "0.0")</f>
        <v>0.0</v>
      </c>
      <c r="W676" s="12" t="s">
        <v>33</v>
      </c>
      <c r="X676" s="13">
        <v>0</v>
      </c>
      <c r="Y676" s="13">
        <v>0</v>
      </c>
      <c r="Z676" s="13">
        <v>0</v>
      </c>
    </row>
    <row r="677" spans="1:26" x14ac:dyDescent="0.2">
      <c r="A677" s="1">
        <v>675</v>
      </c>
      <c r="B677" s="2" t="s">
        <v>168</v>
      </c>
      <c r="C677" s="74" t="str">
        <f>HYPERLINK(AA2 &amp; "/bulb/3dw_f26c16cb-cb71-4297-850a-64d3d4da0e5b/rendering/00.obj", "0.817154159546")</f>
        <v>0.817154159546</v>
      </c>
      <c r="D677" s="119" t="str">
        <f>HYPERLINK(AA2 &amp; "/bulb/3dw_f26c16cb-cb71-4297-850a-64d3d4da0e5b/rendering/01.obj", "1.01929626465")</f>
        <v>1.01929626465</v>
      </c>
      <c r="E677" s="5" t="str">
        <f>HYPERLINK(AA2 &amp; "/bulb/3dw_f26c16cb-cb71-4297-850a-64d3d4da0e5b/rendering/02.obj", "0.743794555664")</f>
        <v>0.743794555664</v>
      </c>
      <c r="F677" s="27" t="str">
        <f>HYPERLINK(AA2 &amp; "/bulb/3dw_f26c16cb-cb71-4297-850a-64d3d4da0e5b/rendering/03.obj", "0.861662750244")</f>
        <v>0.861662750244</v>
      </c>
      <c r="G677" s="94" t="str">
        <f>HYPERLINK(AA2 &amp; "/bulb/3dw_f26c16cb-cb71-4297-850a-64d3d4da0e5b/rendering/04.obj", "0.86536857605")</f>
        <v>0.86536857605</v>
      </c>
      <c r="H677" s="13" t="str">
        <f>HYPERLINK(AA2 &amp; "/bulb/3dw_f26c16cb-cb71-4297-850a-64d3d4da0e5b/rendering/05.obj", "0.805559844971")</f>
        <v>0.805559844971</v>
      </c>
      <c r="I677" s="27" t="str">
        <f>HYPERLINK(AA2 &amp; "/bulb/3dw_f26c16cb-cb71-4297-850a-64d3d4da0e5b/rendering/06.obj", "0.748495941162")</f>
        <v>0.748495941162</v>
      </c>
      <c r="J677" s="67" t="str">
        <f>HYPERLINK(AA2 &amp; "/bulb/3dw_f26c16cb-cb71-4297-850a-64d3d4da0e5b/rendering/07.obj", "0.730793762207")</f>
        <v>0.730793762207</v>
      </c>
      <c r="K677" s="23" t="str">
        <f>HYPERLINK(AA2 &amp; "/bulb/3dw_f26c16cb-cb71-4297-850a-64d3d4da0e5b/rendering/08.obj", "0.773809661865")</f>
        <v>0.773809661865</v>
      </c>
      <c r="L677" s="74" t="str">
        <f>HYPERLINK(AA2 &amp; "/bulb/3dw_f26c16cb-cb71-4297-850a-64d3d4da0e5b/rendering/09.obj", "0.816382141113")</f>
        <v>0.816382141113</v>
      </c>
      <c r="M677" s="91" t="str">
        <f>HYPERLINK(AA2 &amp; "/bulb/3dw_f26c16cb-cb71-4297-850a-64d3d4da0e5b/rendering/10.obj", "0.828555297852")</f>
        <v>0.828555297852</v>
      </c>
      <c r="N677" s="51" t="str">
        <f>HYPERLINK(AA2 &amp; "/bulb/3dw_f26c16cb-cb71-4297-850a-64d3d4da0e5b/rendering/11.obj", "0.741339416504")</f>
        <v>0.741339416504</v>
      </c>
      <c r="O677" s="48" t="str">
        <f>HYPERLINK(AA2 &amp; "/bulb/3dw_f26c16cb-cb71-4297-850a-64d3d4da0e5b/rendering/12.obj", "0.825238265991")</f>
        <v>0.825238265991</v>
      </c>
      <c r="P677" s="10" t="str">
        <f>HYPERLINK(AA2 &amp; "/bulb/3dw_f26c16cb-cb71-4297-850a-64d3d4da0e5b/rendering/13.obj", "0.851159362793")</f>
        <v>0.851159362793</v>
      </c>
      <c r="Q677" s="23" t="str">
        <f>HYPERLINK(AA2 &amp; "/bulb/3dw_f26c16cb-cb71-4297-850a-64d3d4da0e5b/rendering/14.obj", "0.774078521729")</f>
        <v>0.774078521729</v>
      </c>
      <c r="R677" s="5" t="str">
        <f>HYPERLINK(AA2 &amp; "/bulb/3dw_f26c16cb-cb71-4297-850a-64d3d4da0e5b/rendering/15.obj", "0.744885940552")</f>
        <v>0.744885940552</v>
      </c>
      <c r="S677" s="34" t="str">
        <f>HYPERLINK(AA2 &amp; "/bulb/3dw_f26c16cb-cb71-4297-850a-64d3d4da0e5b/rendering/16.obj", "0.845125656128")</f>
        <v>0.845125656128</v>
      </c>
      <c r="T677" s="74" t="str">
        <f>HYPERLINK(AA2 &amp; "/bulb/3dw_f26c16cb-cb71-4297-850a-64d3d4da0e5b/rendering/17.obj", "0.794882125854")</f>
        <v>0.794882125854</v>
      </c>
      <c r="U677" s="33" t="str">
        <f>HYPERLINK(AA2 &amp; "/bulb/3dw_f26c16cb-cb71-4297-850a-64d3d4da0e5b/rendering/18.obj", "0.718528747559")</f>
        <v>0.718528747559</v>
      </c>
      <c r="V677" s="30" t="str">
        <f>HYPERLINK(AA2 &amp; "/bulb/3dw_f26c16cb-cb71-4297-850a-64d3d4da0e5b/rendering/19.obj", "0.810240631104")</f>
        <v>0.810240631104</v>
      </c>
      <c r="W677" s="12" t="s">
        <v>29</v>
      </c>
      <c r="X677" s="13">
        <v>0.80581758117675784</v>
      </c>
      <c r="Y677" s="13">
        <v>6.6104151202723116E-2</v>
      </c>
      <c r="Z677" s="107">
        <v>8.2033642286867686E-2</v>
      </c>
    </row>
    <row r="678" spans="1:26" x14ac:dyDescent="0.2">
      <c r="A678" s="1">
        <v>676</v>
      </c>
      <c r="B678" s="2" t="s">
        <v>168</v>
      </c>
      <c r="C678" s="26" t="str">
        <f>HYPERLINK(AA2 &amp; "/bulb/3dw_f26c16cb-cb71-4297-850a-64d3d4da0e5b/rendering/00.obj", "3.15480065346")</f>
        <v>3.15480065346</v>
      </c>
      <c r="D678" s="54" t="str">
        <f>HYPERLINK(AA2 &amp; "/bulb/3dw_f26c16cb-cb71-4297-850a-64d3d4da0e5b/rendering/01.obj", "3.93434929848")</f>
        <v>3.93434929848</v>
      </c>
      <c r="E678" s="67" t="str">
        <f>HYPERLINK(AA2 &amp; "/bulb/3dw_f26c16cb-cb71-4297-850a-64d3d4da0e5b/rendering/02.obj", "2.68969607353")</f>
        <v>2.68969607353</v>
      </c>
      <c r="F678" s="71" t="str">
        <f>HYPERLINK(AA2 &amp; "/bulb/3dw_f26c16cb-cb71-4297-850a-64d3d4da0e5b/rendering/03.obj", "3.31229805946")</f>
        <v>3.31229805946</v>
      </c>
      <c r="G678" s="110" t="str">
        <f>HYPERLINK(AA2 &amp; "/bulb/3dw_f26c16cb-cb71-4297-850a-64d3d4da0e5b/rendering/04.obj", "3.25169944763")</f>
        <v>3.25169944763</v>
      </c>
      <c r="H678" s="68" t="str">
        <f>HYPERLINK(AA2 &amp; "/bulb/3dw_f26c16cb-cb71-4297-850a-64d3d4da0e5b/rendering/05.obj", "3.08218169212")</f>
        <v>3.08218169212</v>
      </c>
      <c r="I678" s="51" t="str">
        <f>HYPERLINK(AA2 &amp; "/bulb/3dw_f26c16cb-cb71-4297-850a-64d3d4da0e5b/rendering/06.obj", "2.71995782852")</f>
        <v>2.71995782852</v>
      </c>
      <c r="J678" s="28" t="str">
        <f>HYPERLINK(AA2 &amp; "/bulb/3dw_f26c16cb-cb71-4297-850a-64d3d4da0e5b/rendering/07.obj", "2.62786698341")</f>
        <v>2.62786698341</v>
      </c>
      <c r="K678" s="67" t="str">
        <f>HYPERLINK(AA2 &amp; "/bulb/3dw_f26c16cb-cb71-4297-850a-64d3d4da0e5b/rendering/08.obj", "2.68504548073")</f>
        <v>2.68504548073</v>
      </c>
      <c r="L678" s="91" t="str">
        <f>HYPERLINK(AA2 &amp; "/bulb/3dw_f26c16cb-cb71-4297-850a-64d3d4da0e5b/rendering/09.obj", "2.88033652306")</f>
        <v>2.88033652306</v>
      </c>
      <c r="M678" s="69" t="str">
        <f>HYPERLINK(AA2 &amp; "/bulb/3dw_f26c16cb-cb71-4297-850a-64d3d4da0e5b/rendering/10.obj", "3.0500433445")</f>
        <v>3.0500433445</v>
      </c>
      <c r="N678" s="107" t="str">
        <f>HYPERLINK(AA2 &amp; "/bulb/3dw_f26c16cb-cb71-4297-850a-64d3d4da0e5b/rendering/11.obj", "2.71840953827")</f>
        <v>2.71840953827</v>
      </c>
      <c r="O678" s="47" t="str">
        <f>HYPERLINK(AA2 &amp; "/bulb/3dw_f26c16cb-cb71-4297-850a-64d3d4da0e5b/rendering/12.obj", "2.93997263908")</f>
        <v>2.93997263908</v>
      </c>
      <c r="P678" s="6" t="str">
        <f>HYPERLINK(AA2 &amp; "/bulb/3dw_f26c16cb-cb71-4297-850a-64d3d4da0e5b/rendering/13.obj", "2.82653403282")</f>
        <v>2.82653403282</v>
      </c>
      <c r="Q678" s="10" t="str">
        <f>HYPERLINK(AA2 &amp; "/bulb/3dw_f26c16cb-cb71-4297-850a-64d3d4da0e5b/rendering/14.obj", "2.79459142685")</f>
        <v>2.79459142685</v>
      </c>
      <c r="R678" s="5" t="str">
        <f>HYPERLINK(AA2 &amp; "/bulb/3dw_f26c16cb-cb71-4297-850a-64d3d4da0e5b/rendering/15.obj", "2.7292239666")</f>
        <v>2.7292239666</v>
      </c>
      <c r="S678" s="27" t="str">
        <f>HYPERLINK(AA2 &amp; "/bulb/3dw_f26c16cb-cb71-4297-850a-64d3d4da0e5b/rendering/16.obj", "3.16718411446")</f>
        <v>3.16718411446</v>
      </c>
      <c r="T678" s="74" t="str">
        <f>HYPERLINK(AA2 &amp; "/bulb/3dw_f26c16cb-cb71-4297-850a-64d3d4da0e5b/rendering/17.obj", "3.00553631783")</f>
        <v>3.00553631783</v>
      </c>
      <c r="U678" s="5" t="str">
        <f>HYPERLINK(AA2 &amp; "/bulb/3dw_f26c16cb-cb71-4297-850a-64d3d4da0e5b/rendering/18.obj", "2.73118114471")</f>
        <v>2.73118114471</v>
      </c>
      <c r="V678" s="17" t="str">
        <f>HYPERLINK(AA2 &amp; "/bulb/3dw_f26c16cb-cb71-4297-850a-64d3d4da0e5b/rendering/19.obj", "2.89603757858")</f>
        <v>2.89603757858</v>
      </c>
      <c r="W678" s="12" t="s">
        <v>30</v>
      </c>
      <c r="X678" s="13">
        <v>2.9598473072051998</v>
      </c>
      <c r="Y678" s="13">
        <v>0.30009423157557868</v>
      </c>
      <c r="Z678" s="133">
        <v>0.1013884165054916</v>
      </c>
    </row>
    <row r="679" spans="1:26" x14ac:dyDescent="0.2">
      <c r="A679" s="1">
        <v>677</v>
      </c>
      <c r="B679" s="2" t="s">
        <v>168</v>
      </c>
      <c r="C679" s="133" t="str">
        <f>HYPERLINK(AB2 &amp; "/bulb/3dw_f26c16cb-cb71-4297-850a-64d3d4da0e5b/rendering/00.obj", "0.838437957764")</f>
        <v>0.838437957764</v>
      </c>
      <c r="D679" s="91" t="str">
        <f>HYPERLINK(AB2 &amp; "/bulb/3dw_f26c16cb-cb71-4297-850a-64d3d4da0e5b/rendering/01.obj", "0.90935218811")</f>
        <v>0.90935218811</v>
      </c>
      <c r="E679" s="26" t="str">
        <f>HYPERLINK(AB2 &amp; "/bulb/3dw_f26c16cb-cb71-4297-850a-64d3d4da0e5b/rendering/02.obj", "0.873894958496")</f>
        <v>0.873894958496</v>
      </c>
      <c r="F679" s="26" t="str">
        <f>HYPERLINK(AB2 &amp; "/bulb/3dw_f26c16cb-cb71-4297-850a-64d3d4da0e5b/rendering/03.obj", "0.874296340942")</f>
        <v>0.874296340942</v>
      </c>
      <c r="G679" s="72" t="str">
        <f>HYPERLINK(AB2 &amp; "/bulb/3dw_f26c16cb-cb71-4297-850a-64d3d4da0e5b/rendering/04.obj", "0.963985443115")</f>
        <v>0.963985443115</v>
      </c>
      <c r="H679" s="25" t="str">
        <f>HYPERLINK(AB2 &amp; "/bulb/3dw_f26c16cb-cb71-4297-850a-64d3d4da0e5b/rendering/05.obj", "0.92344329834")</f>
        <v>0.92344329834</v>
      </c>
      <c r="I679" s="38" t="str">
        <f>HYPERLINK(AB2 &amp; "/bulb/3dw_f26c16cb-cb71-4297-850a-64d3d4da0e5b/rendering/06.obj", "0.850848083496")</f>
        <v>0.850848083496</v>
      </c>
      <c r="J679" s="133" t="str">
        <f>HYPERLINK(AB2 &amp; "/bulb/3dw_f26c16cb-cb71-4297-850a-64d3d4da0e5b/rendering/07.obj", "0.838142089844")</f>
        <v>0.838142089844</v>
      </c>
      <c r="K679" s="67" t="str">
        <f>HYPERLINK(AB2 &amp; "/bulb/3dw_f26c16cb-cb71-4297-850a-64d3d4da0e5b/rendering/08.obj", "1.01855819702")</f>
        <v>1.01855819702</v>
      </c>
      <c r="L679" s="74" t="str">
        <f>HYPERLINK(AB2 &amp; "/bulb/3dw_f26c16cb-cb71-4297-850a-64d3d4da0e5b/rendering/09.obj", "0.947855529785")</f>
        <v>0.947855529785</v>
      </c>
      <c r="M679" s="60" t="str">
        <f>HYPERLINK(AB2 &amp; "/bulb/3dw_f26c16cb-cb71-4297-850a-64d3d4da0e5b/rendering/10.obj", "0.982117156982")</f>
        <v>0.982117156982</v>
      </c>
      <c r="N679" s="41" t="str">
        <f>HYPERLINK(AB2 &amp; "/bulb/3dw_f26c16cb-cb71-4297-850a-64d3d4da0e5b/rendering/11.obj", "0.871369247437")</f>
        <v>0.871369247437</v>
      </c>
      <c r="O679" s="28" t="str">
        <f>HYPERLINK(AB2 &amp; "/bulb/3dw_f26c16cb-cb71-4297-850a-64d3d4da0e5b/rendering/12.obj", "1.03886520386")</f>
        <v>1.03886520386</v>
      </c>
      <c r="P679" s="67" t="str">
        <f>HYPERLINK(AB2 &amp; "/bulb/3dw_f26c16cb-cb71-4297-850a-64d3d4da0e5b/rendering/13.obj", "1.0185345459")</f>
        <v>1.0185345459</v>
      </c>
      <c r="Q679" s="66" t="str">
        <f>HYPERLINK(AB2 &amp; "/bulb/3dw_f26c16cb-cb71-4297-850a-64d3d4da0e5b/rendering/14.obj", "1.08452850342")</f>
        <v>1.08452850342</v>
      </c>
      <c r="R679" s="27" t="str">
        <f>HYPERLINK(AB2 &amp; "/bulb/3dw_f26c16cb-cb71-4297-850a-64d3d4da0e5b/rendering/15.obj", "0.999815063477")</f>
        <v>0.999815063477</v>
      </c>
      <c r="S679" s="78" t="str">
        <f>HYPERLINK(AB2 &amp; "/bulb/3dw_f26c16cb-cb71-4297-850a-64d3d4da0e5b/rendering/16.obj", "0.992041168213")</f>
        <v>0.992041168213</v>
      </c>
      <c r="T679" s="107" t="str">
        <f>HYPERLINK(AB2 &amp; "/bulb/3dw_f26c16cb-cb71-4297-850a-64d3d4da0e5b/rendering/17.obj", "0.855516433716")</f>
        <v>0.855516433716</v>
      </c>
      <c r="U679" s="27" t="str">
        <f>HYPERLINK(AB2 &amp; "/bulb/3dw_f26c16cb-cb71-4297-850a-64d3d4da0e5b/rendering/18.obj", "0.866912536621")</f>
        <v>0.866912536621</v>
      </c>
      <c r="V679" s="25" t="str">
        <f>HYPERLINK(AB2 &amp; "/bulb/3dw_f26c16cb-cb71-4297-850a-64d3d4da0e5b/rendering/19.obj", "0.922893371582")</f>
        <v>0.922893371582</v>
      </c>
      <c r="W679" s="12" t="s">
        <v>31</v>
      </c>
      <c r="X679" s="13">
        <v>0.93357036590576159</v>
      </c>
      <c r="Y679" s="13">
        <v>7.3106888420089444E-2</v>
      </c>
      <c r="Z679" s="5">
        <v>7.8308921416073693E-2</v>
      </c>
    </row>
    <row r="680" spans="1:26" x14ac:dyDescent="0.2">
      <c r="A680" s="1">
        <v>678</v>
      </c>
      <c r="B680" s="2" t="s">
        <v>168</v>
      </c>
      <c r="C680" s="5" t="str">
        <f>HYPERLINK(AB2 &amp; "/bulb/3dw_f26c16cb-cb71-4297-850a-64d3d4da0e5b/rendering/00.obj", "2.82718706131")</f>
        <v>2.82718706131</v>
      </c>
      <c r="D680" s="13" t="str">
        <f>HYPERLINK(AB2 &amp; "/bulb/3dw_f26c16cb-cb71-4297-850a-64d3d4da0e5b/rendering/01.obj", "3.05925512314")</f>
        <v>3.05925512314</v>
      </c>
      <c r="E680" s="23" t="str">
        <f>HYPERLINK(AB2 &amp; "/bulb/3dw_f26c16cb-cb71-4297-850a-64d3d4da0e5b/rendering/02.obj", "2.94888114929")</f>
        <v>2.94888114929</v>
      </c>
      <c r="F680" s="26" t="str">
        <f>HYPERLINK(AB2 &amp; "/bulb/3dw_f26c16cb-cb71-4297-850a-64d3d4da0e5b/rendering/03.obj", "2.86332201958")</f>
        <v>2.86332201958</v>
      </c>
      <c r="G680" s="47" t="str">
        <f>HYPERLINK(AB2 &amp; "/bulb/3dw_f26c16cb-cb71-4297-850a-64d3d4da0e5b/rendering/04.obj", "3.09143257141")</f>
        <v>3.09143257141</v>
      </c>
      <c r="H680" s="13" t="str">
        <f>HYPERLINK(AB2 &amp; "/bulb/3dw_f26c16cb-cb71-4297-850a-64d3d4da0e5b/rendering/05.obj", "3.06091856956")</f>
        <v>3.06091856956</v>
      </c>
      <c r="I680" s="34" t="str">
        <f>HYPERLINK(AB2 &amp; "/bulb/3dw_f26c16cb-cb71-4297-850a-64d3d4da0e5b/rendering/06.obj", "2.91812610626")</f>
        <v>2.91812610626</v>
      </c>
      <c r="J680" s="27" t="str">
        <f>HYPERLINK(AB2 &amp; "/bulb/3dw_f26c16cb-cb71-4297-850a-64d3d4da0e5b/rendering/07.obj", "2.84869170189")</f>
        <v>2.84869170189</v>
      </c>
      <c r="K680" s="68" t="str">
        <f>HYPERLINK(AB2 &amp; "/bulb/3dw_f26c16cb-cb71-4297-850a-64d3d4da0e5b/rendering/08.obj", "3.19671607018")</f>
        <v>3.19671607018</v>
      </c>
      <c r="L680" s="48" t="str">
        <f>HYPERLINK(AB2 &amp; "/bulb/3dw_f26c16cb-cb71-4297-850a-64d3d4da0e5b/rendering/09.obj", "3.13537454605")</f>
        <v>3.13537454605</v>
      </c>
      <c r="M680" s="46" t="str">
        <f>HYPERLINK(AB2 &amp; "/bulb/3dw_f26c16cb-cb71-4297-850a-64d3d4da0e5b/rendering/10.obj", "3.12136316299")</f>
        <v>3.12136316299</v>
      </c>
      <c r="N680" s="73" t="str">
        <f>HYPERLINK(AB2 &amp; "/bulb/3dw_f26c16cb-cb71-4297-850a-64d3d4da0e5b/rendering/11.obj", "2.95090603828")</f>
        <v>2.95090603828</v>
      </c>
      <c r="O680" s="27" t="str">
        <f>HYPERLINK(AB2 &amp; "/bulb/3dw_f26c16cb-cb71-4297-850a-64d3d4da0e5b/rendering/12.obj", "3.28488326073")</f>
        <v>3.28488326073</v>
      </c>
      <c r="P680" s="94" t="str">
        <f>HYPERLINK(AB2 &amp; "/bulb/3dw_f26c16cb-cb71-4297-850a-64d3d4da0e5b/rendering/13.obj", "3.28759980202")</f>
        <v>3.28759980202</v>
      </c>
      <c r="Q680" s="71" t="str">
        <f>HYPERLINK(AB2 &amp; "/bulb/3dw_f26c16cb-cb71-4297-850a-64d3d4da0e5b/rendering/14.obj", "3.42411017418")</f>
        <v>3.42411017418</v>
      </c>
      <c r="R680" s="34" t="str">
        <f>HYPERLINK(AB2 &amp; "/bulb/3dw_f26c16cb-cb71-4297-850a-64d3d4da0e5b/rendering/15.obj", "3.21047735214")</f>
        <v>3.21047735214</v>
      </c>
      <c r="S680" s="72" t="str">
        <f>HYPERLINK(AB2 &amp; "/bulb/3dw_f26c16cb-cb71-4297-850a-64d3d4da0e5b/rendering/16.obj", "3.16730308533")</f>
        <v>3.16730308533</v>
      </c>
      <c r="T680" s="27" t="str">
        <f>HYPERLINK(AB2 &amp; "/bulb/3dw_f26c16cb-cb71-4297-850a-64d3d4da0e5b/rendering/17.obj", "2.85309815407")</f>
        <v>2.85309815407</v>
      </c>
      <c r="U680" s="69" t="str">
        <f>HYPERLINK(AB2 &amp; "/bulb/3dw_f26c16cb-cb71-4297-850a-64d3d4da0e5b/rendering/18.obj", "2.97532773018")</f>
        <v>2.97532773018</v>
      </c>
      <c r="V680" s="13" t="str">
        <f>HYPERLINK(AB2 &amp; "/bulb/3dw_f26c16cb-cb71-4297-850a-64d3d4da0e5b/rendering/19.obj", "3.07333827019")</f>
        <v>3.07333827019</v>
      </c>
      <c r="W680" s="12" t="s">
        <v>32</v>
      </c>
      <c r="X680" s="13">
        <v>3.0649155974388118</v>
      </c>
      <c r="Y680" s="13">
        <v>0.1627605605527469</v>
      </c>
      <c r="Z680" s="60">
        <v>5.3104418499732027E-2</v>
      </c>
    </row>
    <row r="681" spans="1:26" x14ac:dyDescent="0.2">
      <c r="A681" s="1">
        <v>679</v>
      </c>
      <c r="B681" s="2" t="s">
        <v>168</v>
      </c>
      <c r="C681" s="13" t="str">
        <f>HYPERLINK(AC2 &amp; "/bulb/3dw_f26c16cb-cb71-4297-850a-64d3d4da0e5b/rendering/00.xyz", "0.0")</f>
        <v>0.0</v>
      </c>
      <c r="D681" s="13" t="str">
        <f>HYPERLINK(AC2 &amp; "/bulb/3dw_f26c16cb-cb71-4297-850a-64d3d4da0e5b/rendering/01.xyz", "0.0")</f>
        <v>0.0</v>
      </c>
      <c r="E681" s="13" t="str">
        <f>HYPERLINK(AC2 &amp; "/bulb/3dw_f26c16cb-cb71-4297-850a-64d3d4da0e5b/rendering/02.xyz", "0.0")</f>
        <v>0.0</v>
      </c>
      <c r="F681" s="13" t="str">
        <f>HYPERLINK(AC2 &amp; "/bulb/3dw_f26c16cb-cb71-4297-850a-64d3d4da0e5b/rendering/03.xyz", "0.0")</f>
        <v>0.0</v>
      </c>
      <c r="G681" s="13" t="str">
        <f>HYPERLINK(AC2 &amp; "/bulb/3dw_f26c16cb-cb71-4297-850a-64d3d4da0e5b/rendering/04.xyz", "0.0")</f>
        <v>0.0</v>
      </c>
      <c r="H681" s="13" t="str">
        <f>HYPERLINK(AC2 &amp; "/bulb/3dw_f26c16cb-cb71-4297-850a-64d3d4da0e5b/rendering/05.xyz", "0.0")</f>
        <v>0.0</v>
      </c>
      <c r="I681" s="13" t="str">
        <f>HYPERLINK(AC2 &amp; "/bulb/3dw_f26c16cb-cb71-4297-850a-64d3d4da0e5b/rendering/06.xyz", "0.0")</f>
        <v>0.0</v>
      </c>
      <c r="J681" s="13" t="str">
        <f>HYPERLINK(AC2 &amp; "/bulb/3dw_f26c16cb-cb71-4297-850a-64d3d4da0e5b/rendering/07.xyz", "0.0")</f>
        <v>0.0</v>
      </c>
      <c r="K681" s="13" t="str">
        <f>HYPERLINK(AC2 &amp; "/bulb/3dw_f26c16cb-cb71-4297-850a-64d3d4da0e5b/rendering/08.xyz", "0.0")</f>
        <v>0.0</v>
      </c>
      <c r="L681" s="13" t="str">
        <f>HYPERLINK(AC2 &amp; "/bulb/3dw_f26c16cb-cb71-4297-850a-64d3d4da0e5b/rendering/09.xyz", "0.0")</f>
        <v>0.0</v>
      </c>
      <c r="M681" s="13" t="str">
        <f>HYPERLINK(AC2 &amp; "/bulb/3dw_f26c16cb-cb71-4297-850a-64d3d4da0e5b/rendering/10.xyz", "0.0")</f>
        <v>0.0</v>
      </c>
      <c r="N681" s="13" t="str">
        <f>HYPERLINK(AC2 &amp; "/bulb/3dw_f26c16cb-cb71-4297-850a-64d3d4da0e5b/rendering/11.xyz", "0.0")</f>
        <v>0.0</v>
      </c>
      <c r="O681" s="13" t="str">
        <f>HYPERLINK(AC2 &amp; "/bulb/3dw_f26c16cb-cb71-4297-850a-64d3d4da0e5b/rendering/12.xyz", "0.0")</f>
        <v>0.0</v>
      </c>
      <c r="P681" s="13" t="str">
        <f>HYPERLINK(AC2 &amp; "/bulb/3dw_f26c16cb-cb71-4297-850a-64d3d4da0e5b/rendering/13.xyz", "0.0")</f>
        <v>0.0</v>
      </c>
      <c r="Q681" s="13" t="str">
        <f>HYPERLINK(AC2 &amp; "/bulb/3dw_f26c16cb-cb71-4297-850a-64d3d4da0e5b/rendering/14.xyz", "0.0")</f>
        <v>0.0</v>
      </c>
      <c r="R681" s="13" t="str">
        <f>HYPERLINK(AC2 &amp; "/bulb/3dw_f26c16cb-cb71-4297-850a-64d3d4da0e5b/rendering/15.xyz", "0.0")</f>
        <v>0.0</v>
      </c>
      <c r="S681" s="13" t="str">
        <f>HYPERLINK(AC2 &amp; "/bulb/3dw_f26c16cb-cb71-4297-850a-64d3d4da0e5b/rendering/16.xyz", "0.0")</f>
        <v>0.0</v>
      </c>
      <c r="T681" s="13" t="str">
        <f>HYPERLINK(AC2 &amp; "/bulb/3dw_f26c16cb-cb71-4297-850a-64d3d4da0e5b/rendering/17.xyz", "0.0")</f>
        <v>0.0</v>
      </c>
      <c r="U681" s="13" t="str">
        <f>HYPERLINK(AC2 &amp; "/bulb/3dw_f26c16cb-cb71-4297-850a-64d3d4da0e5b/rendering/18.xyz", "0.0")</f>
        <v>0.0</v>
      </c>
      <c r="V681" s="13" t="str">
        <f>HYPERLINK(AC2 &amp; "/bulb/3dw_f26c16cb-cb71-4297-850a-64d3d4da0e5b/rendering/19.xyz", "0.0")</f>
        <v>0.0</v>
      </c>
      <c r="W681" s="12" t="s">
        <v>33</v>
      </c>
      <c r="X681" s="13">
        <v>0</v>
      </c>
      <c r="Y681" s="13">
        <v>0</v>
      </c>
      <c r="Z681" s="13">
        <v>0</v>
      </c>
    </row>
    <row r="682" spans="1:26" x14ac:dyDescent="0.2">
      <c r="A682" s="1">
        <v>680</v>
      </c>
      <c r="B682" s="2" t="s">
        <v>169</v>
      </c>
      <c r="C682" s="39" t="str">
        <f>HYPERLINK(AA2 &amp; "/bulb/3dw_f2dcc24b-dd51-4ee9-938e-b03b2202737a/rendering/00.obj", "0.944766387939")</f>
        <v>0.944766387939</v>
      </c>
      <c r="D682" s="78" t="str">
        <f>HYPERLINK(AA2 &amp; "/bulb/3dw_f2dcc24b-dd51-4ee9-938e-b03b2202737a/rendering/01.obj", "0.81501411438")</f>
        <v>0.81501411438</v>
      </c>
      <c r="E682" s="44" t="str">
        <f>HYPERLINK(AA2 &amp; "/bulb/3dw_f2dcc24b-dd51-4ee9-938e-b03b2202737a/rendering/02.obj", "1.0381111908")</f>
        <v>1.0381111908</v>
      </c>
      <c r="F682" s="106" t="str">
        <f>HYPERLINK(AA2 &amp; "/bulb/3dw_f2dcc24b-dd51-4ee9-938e-b03b2202737a/rendering/03.obj", "0.968897857666")</f>
        <v>0.968897857666</v>
      </c>
      <c r="G682" s="72" t="str">
        <f>HYPERLINK(AA2 &amp; "/bulb/3dw_f2dcc24b-dd51-4ee9-938e-b03b2202737a/rendering/04.obj", "0.839150543213")</f>
        <v>0.839150543213</v>
      </c>
      <c r="H682" s="35" t="str">
        <f>HYPERLINK(AA2 &amp; "/bulb/3dw_f2dcc24b-dd51-4ee9-938e-b03b2202737a/rendering/05.obj", "0.817951049805")</f>
        <v>0.817951049805</v>
      </c>
      <c r="I682" s="13" t="str">
        <f>HYPERLINK(AA2 &amp; "/bulb/3dw_f2dcc24b-dd51-4ee9-938e-b03b2202737a/rendering/06.obj", "0.868477401733")</f>
        <v>0.868477401733</v>
      </c>
      <c r="J682" s="5" t="str">
        <f>HYPERLINK(AA2 &amp; "/bulb/3dw_f2dcc24b-dd51-4ee9-938e-b03b2202737a/rendering/07.obj", "0.80255569458")</f>
        <v>0.80255569458</v>
      </c>
      <c r="K682" s="6" t="str">
        <f>HYPERLINK(AA2 &amp; "/bulb/3dw_f2dcc24b-dd51-4ee9-938e-b03b2202737a/rendering/08.obj", "0.830611038208")</f>
        <v>0.830611038208</v>
      </c>
      <c r="L682" s="35" t="str">
        <f>HYPERLINK(AA2 &amp; "/bulb/3dw_f2dcc24b-dd51-4ee9-938e-b03b2202737a/rendering/09.obj", "0.81901725769")</f>
        <v>0.81901725769</v>
      </c>
      <c r="M682" s="27" t="str">
        <f>HYPERLINK(AA2 &amp; "/bulb/3dw_f2dcc24b-dd51-4ee9-938e-b03b2202737a/rendering/10.obj", "0.806353149414")</f>
        <v>0.806353149414</v>
      </c>
      <c r="N682" s="107" t="str">
        <f>HYPERLINK(AA2 &amp; "/bulb/3dw_f2dcc24b-dd51-4ee9-938e-b03b2202737a/rendering/11.obj", "0.941162414551")</f>
        <v>0.941162414551</v>
      </c>
      <c r="O682" s="39" t="str">
        <f>HYPERLINK(AA2 &amp; "/bulb/3dw_f2dcc24b-dd51-4ee9-938e-b03b2202737a/rendering/12.obj", "0.792969360352")</f>
        <v>0.792969360352</v>
      </c>
      <c r="P682" s="42" t="str">
        <f>HYPERLINK(AA2 &amp; "/bulb/3dw_f2dcc24b-dd51-4ee9-938e-b03b2202737a/rendering/13.obj", "0.986519088745")</f>
        <v>0.986519088745</v>
      </c>
      <c r="Q682" s="35" t="str">
        <f>HYPERLINK(AA2 &amp; "/bulb/3dw_f2dcc24b-dd51-4ee9-938e-b03b2202737a/rendering/14.obj", "0.817892150879")</f>
        <v>0.817892150879</v>
      </c>
      <c r="R682" s="69" t="str">
        <f>HYPERLINK(AA2 &amp; "/bulb/3dw_f2dcc24b-dd51-4ee9-938e-b03b2202737a/rendering/15.obj", "0.8956640625")</f>
        <v>0.8956640625</v>
      </c>
      <c r="S682" s="35" t="str">
        <f>HYPERLINK(AA2 &amp; "/bulb/3dw_f2dcc24b-dd51-4ee9-938e-b03b2202737a/rendering/16.obj", "0.819626083374")</f>
        <v>0.819626083374</v>
      </c>
      <c r="T682" s="35" t="str">
        <f>HYPERLINK(AA2 &amp; "/bulb/3dw_f2dcc24b-dd51-4ee9-938e-b03b2202737a/rendering/17.obj", "0.817130432129")</f>
        <v>0.817130432129</v>
      </c>
      <c r="U682" s="60" t="str">
        <f>HYPERLINK(AA2 &amp; "/bulb/3dw_f2dcc24b-dd51-4ee9-938e-b03b2202737a/rendering/18.obj", "0.824644241333")</f>
        <v>0.824644241333</v>
      </c>
      <c r="V682" s="27" t="str">
        <f>HYPERLINK(AA2 &amp; "/bulb/3dw_f2dcc24b-dd51-4ee9-938e-b03b2202737a/rendering/19.obj", "0.929463424683")</f>
        <v>0.929463424683</v>
      </c>
      <c r="W682" s="12" t="s">
        <v>29</v>
      </c>
      <c r="X682" s="13">
        <v>0.86879884719848621</v>
      </c>
      <c r="Y682" s="13">
        <v>7.1384310487275629E-2</v>
      </c>
      <c r="Z682" s="107">
        <v>8.2164370633617034E-2</v>
      </c>
    </row>
    <row r="683" spans="1:26" x14ac:dyDescent="0.2">
      <c r="A683" s="1">
        <v>681</v>
      </c>
      <c r="B683" s="2" t="s">
        <v>169</v>
      </c>
      <c r="C683" s="38" t="str">
        <f>HYPERLINK(AA2 &amp; "/bulb/3dw_f2dcc24b-dd51-4ee9-938e-b03b2202737a/rendering/00.obj", "2.50744247437")</f>
        <v>2.50744247437</v>
      </c>
      <c r="D683" s="91" t="str">
        <f>HYPERLINK(AA2 &amp; "/bulb/3dw_f2dcc24b-dd51-4ee9-938e-b03b2202737a/rendering/01.obj", "2.24000549316")</f>
        <v>2.24000549316</v>
      </c>
      <c r="E683" s="49" t="str">
        <f>HYPERLINK(AA2 &amp; "/bulb/3dw_f2dcc24b-dd51-4ee9-938e-b03b2202737a/rendering/02.obj", "2.78355646133")</f>
        <v>2.78355646133</v>
      </c>
      <c r="F683" s="29" t="str">
        <f>HYPERLINK(AA2 &amp; "/bulb/3dw_f2dcc24b-dd51-4ee9-938e-b03b2202737a/rendering/03.obj", "2.60090708733")</f>
        <v>2.60090708733</v>
      </c>
      <c r="G683" s="47" t="str">
        <f>HYPERLINK(AA2 &amp; "/bulb/3dw_f2dcc24b-dd51-4ee9-938e-b03b2202737a/rendering/04.obj", "2.28408837318")</f>
        <v>2.28408837318</v>
      </c>
      <c r="H683" s="13" t="str">
        <f>HYPERLINK(AA2 &amp; "/bulb/3dw_f2dcc24b-dd51-4ee9-938e-b03b2202737a/rendering/05.obj", "2.30382108688")</f>
        <v>2.30382108688</v>
      </c>
      <c r="I683" s="68" t="str">
        <f>HYPERLINK(AA2 &amp; "/bulb/3dw_f2dcc24b-dd51-4ee9-938e-b03b2202737a/rendering/06.obj", "2.20204496384")</f>
        <v>2.20204496384</v>
      </c>
      <c r="J683" s="51" t="str">
        <f>HYPERLINK(AA2 &amp; "/bulb/3dw_f2dcc24b-dd51-4ee9-938e-b03b2202737a/rendering/07.obj", "2.12135052681")</f>
        <v>2.12135052681</v>
      </c>
      <c r="K683" s="26" t="str">
        <f>HYPERLINK(AA2 &amp; "/bulb/3dw_f2dcc24b-dd51-4ee9-938e-b03b2202737a/rendering/08.obj", "2.15479254723")</f>
        <v>2.15479254723</v>
      </c>
      <c r="L683" s="46" t="str">
        <f>HYPERLINK(AA2 &amp; "/bulb/3dw_f2dcc24b-dd51-4ee9-938e-b03b2202737a/rendering/09.obj", "2.26027178764")</f>
        <v>2.26027178764</v>
      </c>
      <c r="M683" s="72" t="str">
        <f>HYPERLINK(AA2 &amp; "/bulb/3dw_f2dcc24b-dd51-4ee9-938e-b03b2202737a/rendering/10.obj", "2.23003959656")</f>
        <v>2.23003959656</v>
      </c>
      <c r="N683" s="34" t="str">
        <f>HYPERLINK(AA2 &amp; "/bulb/3dw_f2dcc24b-dd51-4ee9-938e-b03b2202737a/rendering/11.obj", "2.41779208183")</f>
        <v>2.41779208183</v>
      </c>
      <c r="O683" s="107" t="str">
        <f>HYPERLINK(AA2 &amp; "/bulb/3dw_f2dcc24b-dd51-4ee9-938e-b03b2202737a/rendering/12.obj", "2.1079583168")</f>
        <v>2.1079583168</v>
      </c>
      <c r="P683" s="65" t="str">
        <f>HYPERLINK(AA2 &amp; "/bulb/3dw_f2dcc24b-dd51-4ee9-938e-b03b2202737a/rendering/13.obj", "2.60796165466")</f>
        <v>2.60796165466</v>
      </c>
      <c r="Q683" s="27" t="str">
        <f>HYPERLINK(AA2 &amp; "/bulb/3dw_f2dcc24b-dd51-4ee9-938e-b03b2202737a/rendering/14.obj", "2.13758468628")</f>
        <v>2.13758468628</v>
      </c>
      <c r="R683" s="25" t="str">
        <f>HYPERLINK(AA2 &amp; "/bulb/3dw_f2dcc24b-dd51-4ee9-938e-b03b2202737a/rendering/15.obj", "2.27878141403")</f>
        <v>2.27878141403</v>
      </c>
      <c r="S683" s="78" t="str">
        <f>HYPERLINK(AA2 &amp; "/bulb/3dw_f2dcc24b-dd51-4ee9-938e-b03b2202737a/rendering/16.obj", "2.15867710114")</f>
        <v>2.15867710114</v>
      </c>
      <c r="T683" s="41" t="str">
        <f>HYPERLINK(AA2 &amp; "/bulb/3dw_f2dcc24b-dd51-4ee9-938e-b03b2202737a/rendering/17.obj", "2.15112614632")</f>
        <v>2.15112614632</v>
      </c>
      <c r="U683" s="5" t="str">
        <f>HYPERLINK(AA2 &amp; "/bulb/3dw_f2dcc24b-dd51-4ee9-938e-b03b2202737a/rendering/18.obj", "2.12945151329")</f>
        <v>2.12945151329</v>
      </c>
      <c r="V683" s="72" t="str">
        <f>HYPERLINK(AA2 &amp; "/bulb/3dw_f2dcc24b-dd51-4ee9-938e-b03b2202737a/rendering/19.obj", "2.38225412369")</f>
        <v>2.38225412369</v>
      </c>
      <c r="W683" s="12" t="s">
        <v>30</v>
      </c>
      <c r="X683" s="13">
        <v>2.3029953718185419</v>
      </c>
      <c r="Y683" s="13">
        <v>0.18581889554163139</v>
      </c>
      <c r="Z683" s="51">
        <v>8.0685744233563519E-2</v>
      </c>
    </row>
    <row r="684" spans="1:26" x14ac:dyDescent="0.2">
      <c r="A684" s="1">
        <v>682</v>
      </c>
      <c r="B684" s="2" t="s">
        <v>169</v>
      </c>
      <c r="C684" s="72" t="str">
        <f>HYPERLINK(AB2 &amp; "/bulb/3dw_f2dcc24b-dd51-4ee9-938e-b03b2202737a/rendering/00.obj", "0.971237106323")</f>
        <v>0.971237106323</v>
      </c>
      <c r="D684" s="72" t="str">
        <f>HYPERLINK(AB2 &amp; "/bulb/3dw_f2dcc24b-dd51-4ee9-938e-b03b2202737a/rendering/01.obj", "0.909247894287")</f>
        <v>0.909247894287</v>
      </c>
      <c r="E684" s="30" t="str">
        <f>HYPERLINK(AB2 &amp; "/bulb/3dw_f2dcc24b-dd51-4ee9-938e-b03b2202737a/rendering/02.obj", "0.936227111816")</f>
        <v>0.936227111816</v>
      </c>
      <c r="F684" s="17" t="str">
        <f>HYPERLINK(AB2 &amp; "/bulb/3dw_f2dcc24b-dd51-4ee9-938e-b03b2202737a/rendering/03.obj", "0.958865509033")</f>
        <v>0.958865509033</v>
      </c>
      <c r="G684" s="13" t="str">
        <f>HYPERLINK(AB2 &amp; "/bulb/3dw_f2dcc24b-dd51-4ee9-938e-b03b2202737a/rendering/04.obj", "0.941251296997")</f>
        <v>0.941251296997</v>
      </c>
      <c r="H684" s="91" t="str">
        <f>HYPERLINK(AB2 &amp; "/bulb/3dw_f2dcc24b-dd51-4ee9-938e-b03b2202737a/rendering/05.obj", "0.916379241943")</f>
        <v>0.916379241943</v>
      </c>
      <c r="I684" s="51" t="str">
        <f>HYPERLINK(AB2 &amp; "/bulb/3dw_f2dcc24b-dd51-4ee9-938e-b03b2202737a/rendering/06.obj", "1.01568809509")</f>
        <v>1.01568809509</v>
      </c>
      <c r="J684" s="32" t="str">
        <f>HYPERLINK(AB2 &amp; "/bulb/3dw_f2dcc24b-dd51-4ee9-938e-b03b2202737a/rendering/07.obj", "1.03835418701")</f>
        <v>1.03835418701</v>
      </c>
      <c r="K684" s="91" t="str">
        <f>HYPERLINK(AB2 &amp; "/bulb/3dw_f2dcc24b-dd51-4ee9-938e-b03b2202737a/rendering/08.obj", "0.964605255127")</f>
        <v>0.964605255127</v>
      </c>
      <c r="L684" s="41" t="str">
        <f>HYPERLINK(AB2 &amp; "/bulb/3dw_f2dcc24b-dd51-4ee9-938e-b03b2202737a/rendering/09.obj", "0.877534561157")</f>
        <v>0.877534561157</v>
      </c>
      <c r="M684" s="69" t="str">
        <f>HYPERLINK(AB2 &amp; "/bulb/3dw_f2dcc24b-dd51-4ee9-938e-b03b2202737a/rendering/10.obj", "0.911232299805")</f>
        <v>0.911232299805</v>
      </c>
      <c r="N684" s="60" t="str">
        <f>HYPERLINK(AB2 &amp; "/bulb/3dw_f2dcc24b-dd51-4ee9-938e-b03b2202737a/rendering/11.obj", "0.892384643555")</f>
        <v>0.892384643555</v>
      </c>
      <c r="O684" s="10" t="str">
        <f>HYPERLINK(AB2 &amp; "/bulb/3dw_f2dcc24b-dd51-4ee9-938e-b03b2202737a/rendering/12.obj", "0.889232635498")</f>
        <v>0.889232635498</v>
      </c>
      <c r="P684" s="17" t="str">
        <f>HYPERLINK(AB2 &amp; "/bulb/3dw_f2dcc24b-dd51-4ee9-938e-b03b2202737a/rendering/13.obj", "0.921059417725")</f>
        <v>0.921059417725</v>
      </c>
      <c r="Q684" s="60" t="str">
        <f>HYPERLINK(AB2 &amp; "/bulb/3dw_f2dcc24b-dd51-4ee9-938e-b03b2202737a/rendering/14.obj", "0.990068511963")</f>
        <v>0.990068511963</v>
      </c>
      <c r="R684" s="51" t="str">
        <f>HYPERLINK(AB2 &amp; "/bulb/3dw_f2dcc24b-dd51-4ee9-938e-b03b2202737a/rendering/15.obj", "0.86421005249")</f>
        <v>0.86421005249</v>
      </c>
      <c r="S684" s="17" t="str">
        <f>HYPERLINK(AB2 &amp; "/bulb/3dw_f2dcc24b-dd51-4ee9-938e-b03b2202737a/rendering/16.obj", "0.921075973511")</f>
        <v>0.921075973511</v>
      </c>
      <c r="T684" s="91" t="str">
        <f>HYPERLINK(AB2 &amp; "/bulb/3dw_f2dcc24b-dd51-4ee9-938e-b03b2202737a/rendering/17.obj", "0.966549377441")</f>
        <v>0.966549377441</v>
      </c>
      <c r="U684" s="27" t="str">
        <f>HYPERLINK(AB2 &amp; "/bulb/3dw_f2dcc24b-dd51-4ee9-938e-b03b2202737a/rendering/18.obj", "1.0054133606")</f>
        <v>1.0054133606</v>
      </c>
      <c r="V684" s="69" t="str">
        <f>HYPERLINK(AB2 &amp; "/bulb/3dw_f2dcc24b-dd51-4ee9-938e-b03b2202737a/rendering/19.obj", "0.911695556641")</f>
        <v>0.911695556641</v>
      </c>
      <c r="W684" s="12" t="s">
        <v>31</v>
      </c>
      <c r="X684" s="13">
        <v>0.94011560440063491</v>
      </c>
      <c r="Y684" s="13">
        <v>4.6467890142010769E-2</v>
      </c>
      <c r="Z684" s="34">
        <v>4.9427846878082722E-2</v>
      </c>
    </row>
    <row r="685" spans="1:26" x14ac:dyDescent="0.2">
      <c r="A685" s="1">
        <v>683</v>
      </c>
      <c r="B685" s="2" t="s">
        <v>169</v>
      </c>
      <c r="C685" s="47" t="str">
        <f>HYPERLINK(AB2 &amp; "/bulb/3dw_f2dcc24b-dd51-4ee9-938e-b03b2202737a/rendering/00.obj", "2.52899360657")</f>
        <v>2.52899360657</v>
      </c>
      <c r="D685" s="47" t="str">
        <f>HYPERLINK(AB2 &amp; "/bulb/3dw_f2dcc24b-dd51-4ee9-938e-b03b2202737a/rendering/01.obj", "2.56824469566")</f>
        <v>2.56824469566</v>
      </c>
      <c r="E685" s="48" t="str">
        <f>HYPERLINK(AB2 &amp; "/bulb/3dw_f2dcc24b-dd51-4ee9-938e-b03b2202737a/rendering/02.obj", "2.60220098495")</f>
        <v>2.60220098495</v>
      </c>
      <c r="F685" s="74" t="str">
        <f>HYPERLINK(AB2 &amp; "/bulb/3dw_f2dcc24b-dd51-4ee9-938e-b03b2202737a/rendering/03.obj", "2.58452796936")</f>
        <v>2.58452796936</v>
      </c>
      <c r="G685" s="73" t="str">
        <f>HYPERLINK(AB2 &amp; "/bulb/3dw_f2dcc24b-dd51-4ee9-938e-b03b2202737a/rendering/04.obj", "2.45282030106")</f>
        <v>2.45282030106</v>
      </c>
      <c r="H685" s="74" t="str">
        <f>HYPERLINK(AB2 &amp; "/bulb/3dw_f2dcc24b-dd51-4ee9-938e-b03b2202737a/rendering/05.obj", "2.50870585442")</f>
        <v>2.50870585442</v>
      </c>
      <c r="I685" s="25" t="str">
        <f>HYPERLINK(AB2 &amp; "/bulb/3dw_f2dcc24b-dd51-4ee9-938e-b03b2202737a/rendering/06.obj", "2.57155609131")</f>
        <v>2.57155609131</v>
      </c>
      <c r="J685" s="48" t="str">
        <f>HYPERLINK(AB2 &amp; "/bulb/3dw_f2dcc24b-dd51-4ee9-938e-b03b2202737a/rendering/07.obj", "2.60381102562")</f>
        <v>2.60381102562</v>
      </c>
      <c r="K685" s="48" t="str">
        <f>HYPERLINK(AB2 &amp; "/bulb/3dw_f2dcc24b-dd51-4ee9-938e-b03b2202737a/rendering/08.obj", "2.60489583015")</f>
        <v>2.60489583015</v>
      </c>
      <c r="L685" s="48" t="str">
        <f>HYPERLINK(AB2 &amp; "/bulb/3dw_f2dcc24b-dd51-4ee9-938e-b03b2202737a/rendering/09.obj", "2.48279976845")</f>
        <v>2.48279976845</v>
      </c>
      <c r="M685" s="23" t="str">
        <f>HYPERLINK(AB2 &amp; "/bulb/3dw_f2dcc24b-dd51-4ee9-938e-b03b2202737a/rendering/10.obj", "2.44855046272")</f>
        <v>2.44855046272</v>
      </c>
      <c r="N685" s="13" t="str">
        <f>HYPERLINK(AB2 &amp; "/bulb/3dw_f2dcc24b-dd51-4ee9-938e-b03b2202737a/rendering/11.obj", "2.54252958298")</f>
        <v>2.54252958298</v>
      </c>
      <c r="O685" s="68" t="str">
        <f>HYPERLINK(AB2 &amp; "/bulb/3dw_f2dcc24b-dd51-4ee9-938e-b03b2202737a/rendering/12.obj", "2.43945169449")</f>
        <v>2.43945169449</v>
      </c>
      <c r="P685" s="69" t="str">
        <f>HYPERLINK(AB2 &amp; "/bulb/3dw_f2dcc24b-dd51-4ee9-938e-b03b2202737a/rendering/13.obj", "2.61984372139")</f>
        <v>2.61984372139</v>
      </c>
      <c r="Q685" s="30" t="str">
        <f>HYPERLINK(AB2 &amp; "/bulb/3dw_f2dcc24b-dd51-4ee9-938e-b03b2202737a/rendering/14.obj", "2.53041529655")</f>
        <v>2.53041529655</v>
      </c>
      <c r="R685" s="47" t="str">
        <f>HYPERLINK(AB2 &amp; "/bulb/3dw_f2dcc24b-dd51-4ee9-938e-b03b2202737a/rendering/15.obj", "2.56755614281")</f>
        <v>2.56755614281</v>
      </c>
      <c r="S685" s="46" t="str">
        <f>HYPERLINK(AB2 &amp; "/bulb/3dw_f2dcc24b-dd51-4ee9-938e-b03b2202737a/rendering/16.obj", "2.50169849396")</f>
        <v>2.50169849396</v>
      </c>
      <c r="T685" s="17" t="str">
        <f>HYPERLINK(AB2 &amp; "/bulb/3dw_f2dcc24b-dd51-4ee9-938e-b03b2202737a/rendering/17.obj", "2.49200105667")</f>
        <v>2.49200105667</v>
      </c>
      <c r="U685" s="69" t="str">
        <f>HYPERLINK(AB2 &amp; "/bulb/3dw_f2dcc24b-dd51-4ee9-938e-b03b2202737a/rendering/18.obj", "2.62216877937")</f>
        <v>2.62216877937</v>
      </c>
      <c r="V685" s="73" t="str">
        <f>HYPERLINK(AB2 &amp; "/bulb/3dw_f2dcc24b-dd51-4ee9-938e-b03b2202737a/rendering/19.obj", "2.63469076157")</f>
        <v>2.63469076157</v>
      </c>
      <c r="W685" s="12" t="s">
        <v>32</v>
      </c>
      <c r="X685" s="13">
        <v>2.545373106002808</v>
      </c>
      <c r="Y685" s="13">
        <v>6.0215592542500578E-2</v>
      </c>
      <c r="Z685" s="48">
        <v>2.365688252165974E-2</v>
      </c>
    </row>
    <row r="686" spans="1:26" x14ac:dyDescent="0.2">
      <c r="A686" s="1">
        <v>684</v>
      </c>
      <c r="B686" s="2" t="s">
        <v>169</v>
      </c>
      <c r="C686" s="13" t="str">
        <f>HYPERLINK(AC2 &amp; "/bulb/3dw_f2dcc24b-dd51-4ee9-938e-b03b2202737a/rendering/00.xyz", "0.0")</f>
        <v>0.0</v>
      </c>
      <c r="D686" s="13" t="str">
        <f>HYPERLINK(AC2 &amp; "/bulb/3dw_f2dcc24b-dd51-4ee9-938e-b03b2202737a/rendering/01.xyz", "0.0")</f>
        <v>0.0</v>
      </c>
      <c r="E686" s="13" t="str">
        <f>HYPERLINK(AC2 &amp; "/bulb/3dw_f2dcc24b-dd51-4ee9-938e-b03b2202737a/rendering/02.xyz", "0.0")</f>
        <v>0.0</v>
      </c>
      <c r="F686" s="13" t="str">
        <f>HYPERLINK(AC2 &amp; "/bulb/3dw_f2dcc24b-dd51-4ee9-938e-b03b2202737a/rendering/03.xyz", "0.0")</f>
        <v>0.0</v>
      </c>
      <c r="G686" s="13" t="str">
        <f>HYPERLINK(AC2 &amp; "/bulb/3dw_f2dcc24b-dd51-4ee9-938e-b03b2202737a/rendering/04.xyz", "0.0")</f>
        <v>0.0</v>
      </c>
      <c r="H686" s="13" t="str">
        <f>HYPERLINK(AC2 &amp; "/bulb/3dw_f2dcc24b-dd51-4ee9-938e-b03b2202737a/rendering/05.xyz", "0.0")</f>
        <v>0.0</v>
      </c>
      <c r="I686" s="13" t="str">
        <f>HYPERLINK(AC2 &amp; "/bulb/3dw_f2dcc24b-dd51-4ee9-938e-b03b2202737a/rendering/06.xyz", "0.0")</f>
        <v>0.0</v>
      </c>
      <c r="J686" s="13" t="str">
        <f>HYPERLINK(AC2 &amp; "/bulb/3dw_f2dcc24b-dd51-4ee9-938e-b03b2202737a/rendering/07.xyz", "0.0")</f>
        <v>0.0</v>
      </c>
      <c r="K686" s="13" t="str">
        <f>HYPERLINK(AC2 &amp; "/bulb/3dw_f2dcc24b-dd51-4ee9-938e-b03b2202737a/rendering/08.xyz", "0.0")</f>
        <v>0.0</v>
      </c>
      <c r="L686" s="13" t="str">
        <f>HYPERLINK(AC2 &amp; "/bulb/3dw_f2dcc24b-dd51-4ee9-938e-b03b2202737a/rendering/09.xyz", "0.0")</f>
        <v>0.0</v>
      </c>
      <c r="M686" s="13" t="str">
        <f>HYPERLINK(AC2 &amp; "/bulb/3dw_f2dcc24b-dd51-4ee9-938e-b03b2202737a/rendering/10.xyz", "0.0")</f>
        <v>0.0</v>
      </c>
      <c r="N686" s="13" t="str">
        <f>HYPERLINK(AC2 &amp; "/bulb/3dw_f2dcc24b-dd51-4ee9-938e-b03b2202737a/rendering/11.xyz", "0.0")</f>
        <v>0.0</v>
      </c>
      <c r="O686" s="13" t="str">
        <f>HYPERLINK(AC2 &amp; "/bulb/3dw_f2dcc24b-dd51-4ee9-938e-b03b2202737a/rendering/12.xyz", "0.0")</f>
        <v>0.0</v>
      </c>
      <c r="P686" s="13" t="str">
        <f>HYPERLINK(AC2 &amp; "/bulb/3dw_f2dcc24b-dd51-4ee9-938e-b03b2202737a/rendering/13.xyz", "0.0")</f>
        <v>0.0</v>
      </c>
      <c r="Q686" s="13" t="str">
        <f>HYPERLINK(AC2 &amp; "/bulb/3dw_f2dcc24b-dd51-4ee9-938e-b03b2202737a/rendering/14.xyz", "0.0")</f>
        <v>0.0</v>
      </c>
      <c r="R686" s="13" t="str">
        <f>HYPERLINK(AC2 &amp; "/bulb/3dw_f2dcc24b-dd51-4ee9-938e-b03b2202737a/rendering/15.xyz", "0.0")</f>
        <v>0.0</v>
      </c>
      <c r="S686" s="13" t="str">
        <f>HYPERLINK(AC2 &amp; "/bulb/3dw_f2dcc24b-dd51-4ee9-938e-b03b2202737a/rendering/16.xyz", "0.0")</f>
        <v>0.0</v>
      </c>
      <c r="T686" s="13" t="str">
        <f>HYPERLINK(AC2 &amp; "/bulb/3dw_f2dcc24b-dd51-4ee9-938e-b03b2202737a/rendering/17.xyz", "0.0")</f>
        <v>0.0</v>
      </c>
      <c r="U686" s="13" t="str">
        <f>HYPERLINK(AC2 &amp; "/bulb/3dw_f2dcc24b-dd51-4ee9-938e-b03b2202737a/rendering/18.xyz", "0.0")</f>
        <v>0.0</v>
      </c>
      <c r="V686" s="13" t="str">
        <f>HYPERLINK(AC2 &amp; "/bulb/3dw_f2dcc24b-dd51-4ee9-938e-b03b2202737a/rendering/19.xyz", "0.0")</f>
        <v>0.0</v>
      </c>
      <c r="W686" s="12" t="s">
        <v>33</v>
      </c>
      <c r="X686" s="13">
        <v>0</v>
      </c>
      <c r="Y686" s="13">
        <v>0</v>
      </c>
      <c r="Z686" s="13">
        <v>0</v>
      </c>
    </row>
    <row r="687" spans="1:26" x14ac:dyDescent="0.2">
      <c r="A687" s="1">
        <v>685</v>
      </c>
      <c r="B687" s="2" t="s">
        <v>170</v>
      </c>
      <c r="C687" s="117" t="str">
        <f>HYPERLINK(AA2 &amp; "/bulb/3dw_f306babb-40cf-4508-a8b5-bc08c288993c/rendering/00.obj", "4.1846496582")</f>
        <v>4.1846496582</v>
      </c>
      <c r="D687" s="71" t="str">
        <f>HYPERLINK(AA2 &amp; "/bulb/3dw_f306babb-40cf-4508-a8b5-bc08c288993c/rendering/01.obj", "3.13805725098")</f>
        <v>3.13805725098</v>
      </c>
      <c r="E687" s="94" t="str">
        <f>HYPERLINK(AA2 &amp; "/bulb/3dw_f306babb-40cf-4508-a8b5-bc08c288993c/rendering/02.obj", "3.29202728271")</f>
        <v>3.29202728271</v>
      </c>
      <c r="F687" s="48" t="str">
        <f>HYPERLINK(AA2 &amp; "/bulb/3dw_f306babb-40cf-4508-a8b5-bc08c288993c/rendering/03.obj", "3.64376464844")</f>
        <v>3.64376464844</v>
      </c>
      <c r="G687" s="10" t="str">
        <f>HYPERLINK(AA2 &amp; "/bulb/3dw_f306babb-40cf-4508-a8b5-bc08c288993c/rendering/04.obj", "3.75165679932")</f>
        <v>3.75165679932</v>
      </c>
      <c r="H687" s="26" t="str">
        <f>HYPERLINK(AA2 &amp; "/bulb/3dw_f306babb-40cf-4508-a8b5-bc08c288993c/rendering/05.obj", "3.32540313721")</f>
        <v>3.32540313721</v>
      </c>
      <c r="I687" s="55" t="str">
        <f>HYPERLINK(AA2 &amp; "/bulb/3dw_f306babb-40cf-4508-a8b5-bc08c288993c/rendering/06.obj", "4.23688568115")</f>
        <v>4.23688568115</v>
      </c>
      <c r="J687" s="17" t="str">
        <f>HYPERLINK(AA2 &amp; "/bulb/3dw_f306babb-40cf-4508-a8b5-bc08c288993c/rendering/07.obj", "3.48759521484")</f>
        <v>3.48759521484</v>
      </c>
      <c r="K687" s="8" t="str">
        <f>HYPERLINK(AA2 &amp; "/bulb/3dw_f306babb-40cf-4508-a8b5-bc08c288993c/rendering/08.obj", "3.04573425293")</f>
        <v>3.04573425293</v>
      </c>
      <c r="L687" s="25" t="str">
        <f>HYPERLINK(AA2 &amp; "/bulb/3dw_f306babb-40cf-4508-a8b5-bc08c288993c/rendering/09.obj", "3.5100994873")</f>
        <v>3.5100994873</v>
      </c>
      <c r="M687" s="73" t="str">
        <f>HYPERLINK(AA2 &amp; "/bulb/3dw_f306babb-40cf-4508-a8b5-bc08c288993c/rendering/10.obj", "3.68595672607")</f>
        <v>3.68595672607</v>
      </c>
      <c r="N687" s="109" t="str">
        <f>HYPERLINK(AA2 &amp; "/bulb/3dw_f306babb-40cf-4508-a8b5-bc08c288993c/rendering/11.obj", "2.88082580566")</f>
        <v>2.88082580566</v>
      </c>
      <c r="O687" s="6" t="str">
        <f>HYPERLINK(AA2 &amp; "/bulb/3dw_f306babb-40cf-4508-a8b5-bc08c288993c/rendering/12.obj", "3.39809265137")</f>
        <v>3.39809265137</v>
      </c>
      <c r="P687" s="77" t="str">
        <f>HYPERLINK(AA2 &amp; "/bulb/3dw_f306babb-40cf-4508-a8b5-bc08c288993c/rendering/13.obj", "2.89106689453")</f>
        <v>2.89106689453</v>
      </c>
      <c r="Q687" s="83" t="str">
        <f>HYPERLINK(AA2 &amp; "/bulb/3dw_f306babb-40cf-4508-a8b5-bc08c288993c/rendering/14.obj", "3.00986816406")</f>
        <v>3.00986816406</v>
      </c>
      <c r="R687" s="36" t="str">
        <f>HYPERLINK(AA2 &amp; "/bulb/3dw_f306babb-40cf-4508-a8b5-bc08c288993c/rendering/15.obj", "4.32115539551")</f>
        <v>4.32115539551</v>
      </c>
      <c r="S687" s="8" t="str">
        <f>HYPERLINK(AA2 &amp; "/bulb/3dw_f306babb-40cf-4508-a8b5-bc08c288993c/rendering/16.obj", "4.06524932861")</f>
        <v>4.06524932861</v>
      </c>
      <c r="T687" s="17" t="str">
        <f>HYPERLINK(AA2 &amp; "/bulb/3dw_f306babb-40cf-4508-a8b5-bc08c288993c/rendering/17.obj", "3.62403533936")</f>
        <v>3.62403533936</v>
      </c>
      <c r="U687" s="60" t="str">
        <f>HYPERLINK(AA2 &amp; "/bulb/3dw_f306babb-40cf-4508-a8b5-bc08c288993c/rendering/18.obj", "3.74009124756")</f>
        <v>3.74009124756</v>
      </c>
      <c r="V687" s="39" t="str">
        <f>HYPERLINK(AA2 &amp; "/bulb/3dw_f306babb-40cf-4508-a8b5-bc08c288993c/rendering/19.obj", "3.85992919922")</f>
        <v>3.85992919922</v>
      </c>
      <c r="W687" s="12" t="s">
        <v>29</v>
      </c>
      <c r="X687" s="13">
        <v>3.5546072082519542</v>
      </c>
      <c r="Y687" s="13">
        <v>0.42913923610036681</v>
      </c>
      <c r="Z687" s="63">
        <v>0.1207276109450654</v>
      </c>
    </row>
    <row r="688" spans="1:26" x14ac:dyDescent="0.2">
      <c r="A688" s="1">
        <v>686</v>
      </c>
      <c r="B688" s="2" t="s">
        <v>170</v>
      </c>
      <c r="C688" s="55" t="str">
        <f>HYPERLINK(AA2 &amp; "/bulb/3dw_f306babb-40cf-4508-a8b5-bc08c288993c/rendering/00.obj", "22.7427043915")</f>
        <v>22.7427043915</v>
      </c>
      <c r="D688" s="108" t="str">
        <f>HYPERLINK(AA2 &amp; "/bulb/3dw_f306babb-40cf-4508-a8b5-bc08c288993c/rendering/01.obj", "14.3658704758")</f>
        <v>14.3658704758</v>
      </c>
      <c r="E688" s="77" t="str">
        <f>HYPERLINK(AA2 &amp; "/bulb/3dw_f306babb-40cf-4508-a8b5-bc08c288993c/rendering/02.obj", "15.4736833572")</f>
        <v>15.4736833572</v>
      </c>
      <c r="F688" s="90" t="str">
        <f>HYPERLINK(AA2 &amp; "/bulb/3dw_f306babb-40cf-4508-a8b5-bc08c288993c/rendering/03.obj", "17.2227325439")</f>
        <v>17.2227325439</v>
      </c>
      <c r="G688" s="30" t="str">
        <f>HYPERLINK(AA2 &amp; "/bulb/3dw_f306babb-40cf-4508-a8b5-bc08c288993c/rendering/04.obj", "18.9712219238")</f>
        <v>18.9712219238</v>
      </c>
      <c r="H688" s="11" t="str">
        <f>HYPERLINK(AA2 &amp; "/bulb/3dw_f306babb-40cf-4508-a8b5-bc08c288993c/rendering/05.obj", "14.7740736008")</f>
        <v>14.7740736008</v>
      </c>
      <c r="I688" s="36" t="str">
        <f>HYPERLINK(AA2 &amp; "/bulb/3dw_f306babb-40cf-4508-a8b5-bc08c288993c/rendering/06.obj", "23.1323814392")</f>
        <v>23.1323814392</v>
      </c>
      <c r="J688" s="74" t="str">
        <f>HYPERLINK(AA2 &amp; "/bulb/3dw_f306babb-40cf-4508-a8b5-bc08c288993c/rendering/07.obj", "18.7750377655")</f>
        <v>18.7750377655</v>
      </c>
      <c r="K688" s="51" t="str">
        <f>HYPERLINK(AA2 &amp; "/bulb/3dw_f306babb-40cf-4508-a8b5-bc08c288993c/rendering/08.obj", "17.5066986084")</f>
        <v>17.5066986084</v>
      </c>
      <c r="L688" s="13" t="str">
        <f>HYPERLINK(AA2 &amp; "/bulb/3dw_f306babb-40cf-4508-a8b5-bc08c288993c/rendering/09.obj", "19.0032310486")</f>
        <v>19.0032310486</v>
      </c>
      <c r="M688" s="106" t="str">
        <f>HYPERLINK(AA2 &amp; "/bulb/3dw_f306babb-40cf-4508-a8b5-bc08c288993c/rendering/10.obj", "21.2549476624")</f>
        <v>21.2549476624</v>
      </c>
      <c r="N688" s="44" t="str">
        <f>HYPERLINK(AA2 &amp; "/bulb/3dw_f306babb-40cf-4508-a8b5-bc08c288993c/rendering/11.obj", "15.3205823898")</f>
        <v>15.3205823898</v>
      </c>
      <c r="O688" s="13" t="str">
        <f>HYPERLINK(AA2 &amp; "/bulb/3dw_f306babb-40cf-4508-a8b5-bc08c288993c/rendering/12.obj", "19.0201873779")</f>
        <v>19.0201873779</v>
      </c>
      <c r="P688" s="77" t="str">
        <f>HYPERLINK(AA2 &amp; "/bulb/3dw_f306babb-40cf-4508-a8b5-bc08c288993c/rendering/13.obj", "15.522064209")</f>
        <v>15.522064209</v>
      </c>
      <c r="Q688" s="76" t="str">
        <f>HYPERLINK(AA2 &amp; "/bulb/3dw_f306babb-40cf-4508-a8b5-bc08c288993c/rendering/14.obj", "15.585477829")</f>
        <v>15.585477829</v>
      </c>
      <c r="R688" s="123" t="str">
        <f>HYPERLINK(AA2 &amp; "/bulb/3dw_f306babb-40cf-4508-a8b5-bc08c288993c/rendering/15.obj", "26.1093921661")</f>
        <v>26.1093921661</v>
      </c>
      <c r="S688" s="134" t="str">
        <f>HYPERLINK(AA2 &amp; "/bulb/3dw_f306babb-40cf-4508-a8b5-bc08c288993c/rendering/16.obj", "22.4881381989")</f>
        <v>22.4881381989</v>
      </c>
      <c r="T688" s="84" t="str">
        <f>HYPERLINK(AA2 &amp; "/bulb/3dw_f306babb-40cf-4508-a8b5-bc08c288993c/rendering/17.obj", "21.8255119324")</f>
        <v>21.8255119324</v>
      </c>
      <c r="U688" s="46" t="str">
        <f>HYPERLINK(AA2 &amp; "/bulb/3dw_f306babb-40cf-4508-a8b5-bc08c288993c/rendering/18.obj", "18.7291240692")</f>
        <v>18.7291240692</v>
      </c>
      <c r="V688" s="75" t="str">
        <f>HYPERLINK(AA2 &amp; "/bulb/3dw_f306babb-40cf-4508-a8b5-bc08c288993c/rendering/19.obj", "23.2976989746")</f>
        <v>23.2976989746</v>
      </c>
      <c r="W688" s="12" t="s">
        <v>30</v>
      </c>
      <c r="X688" s="13">
        <v>19.056037998199461</v>
      </c>
      <c r="Y688" s="13">
        <v>3.3154651600991869</v>
      </c>
      <c r="Z688" s="37">
        <v>0.17398502041255651</v>
      </c>
    </row>
    <row r="689" spans="1:26" x14ac:dyDescent="0.2">
      <c r="A689" s="1">
        <v>687</v>
      </c>
      <c r="B689" s="2" t="s">
        <v>170</v>
      </c>
      <c r="C689" s="68" t="str">
        <f>HYPERLINK(AB2 &amp; "/bulb/3dw_f306babb-40cf-4508-a8b5-bc08c288993c/rendering/00.obj", "2.44516311646")</f>
        <v>2.44516311646</v>
      </c>
      <c r="D689" s="48" t="str">
        <f>HYPERLINK(AB2 &amp; "/bulb/3dw_f306babb-40cf-4508-a8b5-bc08c288993c/rendering/01.obj", "2.50030426025")</f>
        <v>2.50030426025</v>
      </c>
      <c r="E689" s="60" t="str">
        <f>HYPERLINK(AB2 &amp; "/bulb/3dw_f306babb-40cf-4508-a8b5-bc08c288993c/rendering/02.obj", "2.42713973999")</f>
        <v>2.42713973999</v>
      </c>
      <c r="F689" s="23" t="str">
        <f>HYPERLINK(AB2 &amp; "/bulb/3dw_f306babb-40cf-4508-a8b5-bc08c288993c/rendering/03.obj", "2.45734832764")</f>
        <v>2.45734832764</v>
      </c>
      <c r="G689" s="35" t="str">
        <f>HYPERLINK(AB2 &amp; "/bulb/3dw_f306babb-40cf-4508-a8b5-bc08c288993c/rendering/04.obj", "2.40531707764")</f>
        <v>2.40531707764</v>
      </c>
      <c r="H689" s="91" t="str">
        <f>HYPERLINK(AB2 &amp; "/bulb/3dw_f306babb-40cf-4508-a8b5-bc08c288993c/rendering/05.obj", "2.49231826782")</f>
        <v>2.49231826782</v>
      </c>
      <c r="I689" s="47" t="str">
        <f>HYPERLINK(AB2 &amp; "/bulb/3dw_f306babb-40cf-4508-a8b5-bc08c288993c/rendering/06.obj", "2.5330921936")</f>
        <v>2.5330921936</v>
      </c>
      <c r="J689" s="60" t="str">
        <f>HYPERLINK(AB2 &amp; "/bulb/3dw_f306babb-40cf-4508-a8b5-bc08c288993c/rendering/07.obj", "2.68930267334")</f>
        <v>2.68930267334</v>
      </c>
      <c r="K689" s="32" t="str">
        <f>HYPERLINK(AB2 &amp; "/bulb/3dw_f306babb-40cf-4508-a8b5-bc08c288993c/rendering/08.obj", "2.8240032959")</f>
        <v>2.8240032959</v>
      </c>
      <c r="L689" s="78" t="str">
        <f>HYPERLINK(AB2 &amp; "/bulb/3dw_f306babb-40cf-4508-a8b5-bc08c288993c/rendering/09.obj", "2.71410888672")</f>
        <v>2.71410888672</v>
      </c>
      <c r="M689" s="30" t="str">
        <f>HYPERLINK(AB2 &amp; "/bulb/3dw_f306babb-40cf-4508-a8b5-bc08c288993c/rendering/10.obj", "2.57154296875")</f>
        <v>2.57154296875</v>
      </c>
      <c r="N689" s="35" t="str">
        <f>HYPERLINK(AB2 &amp; "/bulb/3dw_f306babb-40cf-4508-a8b5-bc08c288993c/rendering/11.obj", "2.70616424561")</f>
        <v>2.70616424561</v>
      </c>
      <c r="O689" s="107" t="str">
        <f>HYPERLINK(AB2 &amp; "/bulb/3dw_f306babb-40cf-4508-a8b5-bc08c288993c/rendering/12.obj", "2.7683581543")</f>
        <v>2.7683581543</v>
      </c>
      <c r="P689" s="72" t="str">
        <f>HYPERLINK(AB2 &amp; "/bulb/3dw_f306babb-40cf-4508-a8b5-bc08c288993c/rendering/13.obj", "2.64261047363")</f>
        <v>2.64261047363</v>
      </c>
      <c r="Q689" s="10" t="str">
        <f>HYPERLINK(AB2 &amp; "/bulb/3dw_f306babb-40cf-4508-a8b5-bc08c288993c/rendering/14.obj", "2.69463378906")</f>
        <v>2.69463378906</v>
      </c>
      <c r="R689" s="23" t="str">
        <f>HYPERLINK(AB2 &amp; "/bulb/3dw_f306babb-40cf-4508-a8b5-bc08c288993c/rendering/15.obj", "2.45334655762")</f>
        <v>2.45334655762</v>
      </c>
      <c r="S689" s="35" t="str">
        <f>HYPERLINK(AB2 &amp; "/bulb/3dw_f306babb-40cf-4508-a8b5-bc08c288993c/rendering/16.obj", "2.41028961182")</f>
        <v>2.41028961182</v>
      </c>
      <c r="T689" s="46" t="str">
        <f>HYPERLINK(AB2 &amp; "/bulb/3dw_f306babb-40cf-4508-a8b5-bc08c288993c/rendering/17.obj", "2.60135375977")</f>
        <v>2.60135375977</v>
      </c>
      <c r="U689" s="107" t="str">
        <f>HYPERLINK(AB2 &amp; "/bulb/3dw_f306babb-40cf-4508-a8b5-bc08c288993c/rendering/18.obj", "2.34474884033")</f>
        <v>2.34474884033</v>
      </c>
      <c r="V689" s="23" t="str">
        <f>HYPERLINK(AB2 &amp; "/bulb/3dw_f306babb-40cf-4508-a8b5-bc08c288993c/rendering/19.obj", "2.45798583984")</f>
        <v>2.45798583984</v>
      </c>
      <c r="W689" s="12" t="s">
        <v>31</v>
      </c>
      <c r="X689" s="13">
        <v>2.556956604003906</v>
      </c>
      <c r="Y689" s="13">
        <v>0.13532415164990519</v>
      </c>
      <c r="Z689" s="60">
        <v>5.292391409302874E-2</v>
      </c>
    </row>
    <row r="690" spans="1:26" x14ac:dyDescent="0.2">
      <c r="A690" s="1">
        <v>688</v>
      </c>
      <c r="B690" s="2" t="s">
        <v>170</v>
      </c>
      <c r="C690" s="91" t="str">
        <f>HYPERLINK(AB2 &amp; "/bulb/3dw_f306babb-40cf-4508-a8b5-bc08c288993c/rendering/00.obj", "14.4147958755")</f>
        <v>14.4147958755</v>
      </c>
      <c r="D690" s="30" t="str">
        <f>HYPERLINK(AB2 &amp; "/bulb/3dw_f306babb-40cf-4508-a8b5-bc08c288993c/rendering/01.obj", "14.8850812912")</f>
        <v>14.8850812912</v>
      </c>
      <c r="E690" s="34" t="str">
        <f>HYPERLINK(AB2 &amp; "/bulb/3dw_f306babb-40cf-4508-a8b5-bc08c288993c/rendering/02.obj", "14.0967636108")</f>
        <v>14.0967636108</v>
      </c>
      <c r="F690" s="73" t="str">
        <f>HYPERLINK(AB2 &amp; "/bulb/3dw_f306babb-40cf-4508-a8b5-bc08c288993c/rendering/03.obj", "14.2777767181")</f>
        <v>14.2777767181</v>
      </c>
      <c r="G690" s="69" t="str">
        <f>HYPERLINK(AB2 &amp; "/bulb/3dw_f306babb-40cf-4508-a8b5-bc08c288993c/rendering/04.obj", "14.3692960739")</f>
        <v>14.3692960739</v>
      </c>
      <c r="H690" s="46" t="str">
        <f>HYPERLINK(AB2 &amp; "/bulb/3dw_f306babb-40cf-4508-a8b5-bc08c288993c/rendering/05.obj", "15.069685936")</f>
        <v>15.069685936</v>
      </c>
      <c r="I690" s="30" t="str">
        <f>HYPERLINK(AB2 &amp; "/bulb/3dw_f306babb-40cf-4508-a8b5-bc08c288993c/rendering/06.obj", "14.7550592422")</f>
        <v>14.7550592422</v>
      </c>
      <c r="J690" s="10" t="str">
        <f>HYPERLINK(AB2 &amp; "/bulb/3dw_f306babb-40cf-4508-a8b5-bc08c288993c/rendering/07.obj", "15.6257534027")</f>
        <v>15.6257534027</v>
      </c>
      <c r="K690" s="13" t="str">
        <f>HYPERLINK(AB2 &amp; "/bulb/3dw_f306babb-40cf-4508-a8b5-bc08c288993c/rendering/08.obj", "14.8558330536")</f>
        <v>14.8558330536</v>
      </c>
      <c r="L690" s="47" t="str">
        <f>HYPERLINK(AB2 &amp; "/bulb/3dw_f306babb-40cf-4508-a8b5-bc08c288993c/rendering/09.obj", "14.9399499893")</f>
        <v>14.9399499893</v>
      </c>
      <c r="M690" s="46" t="str">
        <f>HYPERLINK(AB2 &amp; "/bulb/3dw_f306babb-40cf-4508-a8b5-bc08c288993c/rendering/10.obj", "15.0950756073")</f>
        <v>15.0950756073</v>
      </c>
      <c r="N690" s="72" t="str">
        <f>HYPERLINK(AB2 &amp; "/bulb/3dw_f306babb-40cf-4508-a8b5-bc08c288993c/rendering/11.obj", "15.3191432953")</f>
        <v>15.3191432953</v>
      </c>
      <c r="O690" s="46" t="str">
        <f>HYPERLINK(AB2 &amp; "/bulb/3dw_f306babb-40cf-4508-a8b5-bc08c288993c/rendering/12.obj", "15.0888671875")</f>
        <v>15.0888671875</v>
      </c>
      <c r="P690" s="10" t="str">
        <f>HYPERLINK(AB2 &amp; "/bulb/3dw_f306babb-40cf-4508-a8b5-bc08c288993c/rendering/13.obj", "15.6530885696")</f>
        <v>15.6530885696</v>
      </c>
      <c r="Q690" s="74" t="str">
        <f>HYPERLINK(AB2 &amp; "/bulb/3dw_f306babb-40cf-4508-a8b5-bc08c288993c/rendering/14.obj", "15.0302381516")</f>
        <v>15.0302381516</v>
      </c>
      <c r="R690" s="30" t="str">
        <f>HYPERLINK(AB2 &amp; "/bulb/3dw_f306babb-40cf-4508-a8b5-bc08c288993c/rendering/15.obj", "14.7690076828")</f>
        <v>14.7690076828</v>
      </c>
      <c r="S690" s="72" t="str">
        <f>HYPERLINK(AB2 &amp; "/bulb/3dw_f306babb-40cf-4508-a8b5-bc08c288993c/rendering/16.obj", "14.3248958588")</f>
        <v>14.3248958588</v>
      </c>
      <c r="T690" s="6" t="str">
        <f>HYPERLINK(AB2 &amp; "/bulb/3dw_f306babb-40cf-4508-a8b5-bc08c288993c/rendering/17.obj", "15.4991779327")</f>
        <v>15.4991779327</v>
      </c>
      <c r="U690" s="94" t="str">
        <f>HYPERLINK(AB2 &amp; "/bulb/3dw_f306babb-40cf-4508-a8b5-bc08c288993c/rendering/18.obj", "13.7290849686")</f>
        <v>13.7290849686</v>
      </c>
      <c r="V690" s="47" t="str">
        <f>HYPERLINK(AB2 &amp; "/bulb/3dw_f306babb-40cf-4508-a8b5-bc08c288993c/rendering/19.obj", "14.7035303116")</f>
        <v>14.7035303116</v>
      </c>
      <c r="W690" s="12" t="s">
        <v>32</v>
      </c>
      <c r="X690" s="13">
        <v>14.82510523796082</v>
      </c>
      <c r="Y690" s="13">
        <v>0.49837712705112852</v>
      </c>
      <c r="Z690" s="72">
        <v>3.3617105514704593E-2</v>
      </c>
    </row>
    <row r="691" spans="1:26" x14ac:dyDescent="0.2">
      <c r="A691" s="1">
        <v>689</v>
      </c>
      <c r="B691" s="2" t="s">
        <v>170</v>
      </c>
      <c r="C691" s="13" t="str">
        <f>HYPERLINK(AC2 &amp; "/bulb/3dw_f306babb-40cf-4508-a8b5-bc08c288993c/rendering/00.xyz", "0.0")</f>
        <v>0.0</v>
      </c>
      <c r="D691" s="13" t="str">
        <f>HYPERLINK(AC2 &amp; "/bulb/3dw_f306babb-40cf-4508-a8b5-bc08c288993c/rendering/01.xyz", "0.0")</f>
        <v>0.0</v>
      </c>
      <c r="E691" s="13" t="str">
        <f>HYPERLINK(AC2 &amp; "/bulb/3dw_f306babb-40cf-4508-a8b5-bc08c288993c/rendering/02.xyz", "0.0")</f>
        <v>0.0</v>
      </c>
      <c r="F691" s="13" t="str">
        <f>HYPERLINK(AC2 &amp; "/bulb/3dw_f306babb-40cf-4508-a8b5-bc08c288993c/rendering/03.xyz", "0.0")</f>
        <v>0.0</v>
      </c>
      <c r="G691" s="13" t="str">
        <f>HYPERLINK(AC2 &amp; "/bulb/3dw_f306babb-40cf-4508-a8b5-bc08c288993c/rendering/04.xyz", "0.0")</f>
        <v>0.0</v>
      </c>
      <c r="H691" s="13" t="str">
        <f>HYPERLINK(AC2 &amp; "/bulb/3dw_f306babb-40cf-4508-a8b5-bc08c288993c/rendering/05.xyz", "0.0")</f>
        <v>0.0</v>
      </c>
      <c r="I691" s="13" t="str">
        <f>HYPERLINK(AC2 &amp; "/bulb/3dw_f306babb-40cf-4508-a8b5-bc08c288993c/rendering/06.xyz", "0.0")</f>
        <v>0.0</v>
      </c>
      <c r="J691" s="13" t="str">
        <f>HYPERLINK(AC2 &amp; "/bulb/3dw_f306babb-40cf-4508-a8b5-bc08c288993c/rendering/07.xyz", "0.0")</f>
        <v>0.0</v>
      </c>
      <c r="K691" s="13" t="str">
        <f>HYPERLINK(AC2 &amp; "/bulb/3dw_f306babb-40cf-4508-a8b5-bc08c288993c/rendering/08.xyz", "0.0")</f>
        <v>0.0</v>
      </c>
      <c r="L691" s="13" t="str">
        <f>HYPERLINK(AC2 &amp; "/bulb/3dw_f306babb-40cf-4508-a8b5-bc08c288993c/rendering/09.xyz", "0.0")</f>
        <v>0.0</v>
      </c>
      <c r="M691" s="13" t="str">
        <f>HYPERLINK(AC2 &amp; "/bulb/3dw_f306babb-40cf-4508-a8b5-bc08c288993c/rendering/10.xyz", "0.0")</f>
        <v>0.0</v>
      </c>
      <c r="N691" s="13" t="str">
        <f>HYPERLINK(AC2 &amp; "/bulb/3dw_f306babb-40cf-4508-a8b5-bc08c288993c/rendering/11.xyz", "0.0")</f>
        <v>0.0</v>
      </c>
      <c r="O691" s="13" t="str">
        <f>HYPERLINK(AC2 &amp; "/bulb/3dw_f306babb-40cf-4508-a8b5-bc08c288993c/rendering/12.xyz", "0.0")</f>
        <v>0.0</v>
      </c>
      <c r="P691" s="13" t="str">
        <f>HYPERLINK(AC2 &amp; "/bulb/3dw_f306babb-40cf-4508-a8b5-bc08c288993c/rendering/13.xyz", "0.0")</f>
        <v>0.0</v>
      </c>
      <c r="Q691" s="13" t="str">
        <f>HYPERLINK(AC2 &amp; "/bulb/3dw_f306babb-40cf-4508-a8b5-bc08c288993c/rendering/14.xyz", "0.0")</f>
        <v>0.0</v>
      </c>
      <c r="R691" s="13" t="str">
        <f>HYPERLINK(AC2 &amp; "/bulb/3dw_f306babb-40cf-4508-a8b5-bc08c288993c/rendering/15.xyz", "0.0")</f>
        <v>0.0</v>
      </c>
      <c r="S691" s="13" t="str">
        <f>HYPERLINK(AC2 &amp; "/bulb/3dw_f306babb-40cf-4508-a8b5-bc08c288993c/rendering/16.xyz", "0.0")</f>
        <v>0.0</v>
      </c>
      <c r="T691" s="13" t="str">
        <f>HYPERLINK(AC2 &amp; "/bulb/3dw_f306babb-40cf-4508-a8b5-bc08c288993c/rendering/17.xyz", "0.0")</f>
        <v>0.0</v>
      </c>
      <c r="U691" s="13" t="str">
        <f>HYPERLINK(AC2 &amp; "/bulb/3dw_f306babb-40cf-4508-a8b5-bc08c288993c/rendering/18.xyz", "0.0")</f>
        <v>0.0</v>
      </c>
      <c r="V691" s="13" t="str">
        <f>HYPERLINK(AC2 &amp; "/bulb/3dw_f306babb-40cf-4508-a8b5-bc08c288993c/rendering/19.xyz", "0.0")</f>
        <v>0.0</v>
      </c>
      <c r="W691" s="12" t="s">
        <v>33</v>
      </c>
      <c r="X691" s="13">
        <v>0</v>
      </c>
      <c r="Y691" s="13">
        <v>0</v>
      </c>
      <c r="Z691" s="13">
        <v>0</v>
      </c>
    </row>
    <row r="692" spans="1:26" x14ac:dyDescent="0.2">
      <c r="A692" s="1">
        <v>690</v>
      </c>
      <c r="B692" s="2" t="s">
        <v>171</v>
      </c>
      <c r="C692" s="90" t="str">
        <f>HYPERLINK(AA2 &amp; "/bulb/3dw_f40a9fd7-b18a-435b-a0ca-7960923931fa/rendering/00.obj", "1.74114227295")</f>
        <v>1.74114227295</v>
      </c>
      <c r="D692" s="17" t="str">
        <f>HYPERLINK(AA2 &amp; "/bulb/3dw_f40a9fd7-b18a-435b-a0ca-7960923931fa/rendering/01.obj", "1.96457946777")</f>
        <v>1.96457946777</v>
      </c>
      <c r="E692" s="30" t="str">
        <f>HYPERLINK(AA2 &amp; "/bulb/3dw_f40a9fd7-b18a-435b-a0ca-7960923931fa/rendering/02.obj", "1.91901763916")</f>
        <v>1.91901763916</v>
      </c>
      <c r="F692" s="13" t="str">
        <f>HYPERLINK(AA2 &amp; "/bulb/3dw_f40a9fd7-b18a-435b-a0ca-7960923931fa/rendering/03.obj", "1.9243927002")</f>
        <v>1.9243927002</v>
      </c>
      <c r="G692" s="73" t="str">
        <f>HYPERLINK(AA2 &amp; "/bulb/3dw_f40a9fd7-b18a-435b-a0ca-7960923931fa/rendering/04.obj", "1.99619766235")</f>
        <v>1.99619766235</v>
      </c>
      <c r="H692" s="30" t="str">
        <f>HYPERLINK(AA2 &amp; "/bulb/3dw_f40a9fd7-b18a-435b-a0ca-7960923931fa/rendering/05.obj", "1.91861495972")</f>
        <v>1.91861495972</v>
      </c>
      <c r="I692" s="69" t="str">
        <f>HYPERLINK(AA2 &amp; "/bulb/3dw_f40a9fd7-b18a-435b-a0ca-7960923931fa/rendering/06.obj", "1.86934356689")</f>
        <v>1.86934356689</v>
      </c>
      <c r="J692" s="30" t="str">
        <f>HYPERLINK(AA2 &amp; "/bulb/3dw_f40a9fd7-b18a-435b-a0ca-7960923931fa/rendering/07.obj", "1.9356048584")</f>
        <v>1.9356048584</v>
      </c>
      <c r="K692" s="47" t="str">
        <f>HYPERLINK(AA2 &amp; "/bulb/3dw_f40a9fd7-b18a-435b-a0ca-7960923931fa/rendering/08.obj", "1.94488769531")</f>
        <v>1.94488769531</v>
      </c>
      <c r="L692" s="91" t="str">
        <f>HYPERLINK(AA2 &amp; "/bulb/3dw_f40a9fd7-b18a-435b-a0ca-7960923931fa/rendering/09.obj", "1.87492858887")</f>
        <v>1.87492858887</v>
      </c>
      <c r="M692" s="91" t="str">
        <f>HYPERLINK(AA2 &amp; "/bulb/3dw_f40a9fd7-b18a-435b-a0ca-7960923931fa/rendering/10.obj", "1.98065826416")</f>
        <v>1.98065826416</v>
      </c>
      <c r="N692" s="13" t="str">
        <f>HYPERLINK(AA2 &amp; "/bulb/3dw_f40a9fd7-b18a-435b-a0ca-7960923931fa/rendering/11.obj", "1.92618591309")</f>
        <v>1.92618591309</v>
      </c>
      <c r="O692" s="74" t="str">
        <f>HYPERLINK(AA2 &amp; "/bulb/3dw_f40a9fd7-b18a-435b-a0ca-7960923931fa/rendering/12.obj", "1.9512109375")</f>
        <v>1.9512109375</v>
      </c>
      <c r="P692" s="30" t="str">
        <f>HYPERLINK(AA2 &amp; "/bulb/3dw_f40a9fd7-b18a-435b-a0ca-7960923931fa/rendering/13.obj", "1.93523773193")</f>
        <v>1.93523773193</v>
      </c>
      <c r="Q692" s="13" t="str">
        <f>HYPERLINK(AA2 &amp; "/bulb/3dw_f40a9fd7-b18a-435b-a0ca-7960923931fa/rendering/14.obj", "1.9270880127")</f>
        <v>1.9270880127</v>
      </c>
      <c r="R692" s="30" t="str">
        <f>HYPERLINK(AA2 &amp; "/bulb/3dw_f40a9fd7-b18a-435b-a0ca-7960923931fa/rendering/15.obj", "1.92021087646")</f>
        <v>1.92021087646</v>
      </c>
      <c r="S692" s="25" t="str">
        <f>HYPERLINK(AA2 &amp; "/bulb/3dw_f40a9fd7-b18a-435b-a0ca-7960923931fa/rendering/16.obj", "1.94997711182")</f>
        <v>1.94997711182</v>
      </c>
      <c r="T692" s="6" t="str">
        <f>HYPERLINK(AA2 &amp; "/bulb/3dw_f40a9fd7-b18a-435b-a0ca-7960923931fa/rendering/17.obj", "1.83649108887")</f>
        <v>1.83649108887</v>
      </c>
      <c r="U692" s="94" t="str">
        <f>HYPERLINK(AA2 &amp; "/bulb/3dw_f40a9fd7-b18a-435b-a0ca-7960923931fa/rendering/18.obj", "2.06842315674")</f>
        <v>2.06842315674</v>
      </c>
      <c r="V692" s="74" t="str">
        <f>HYPERLINK(AA2 &amp; "/bulb/3dw_f40a9fd7-b18a-435b-a0ca-7960923931fa/rendering/19.obj", "1.95277252197")</f>
        <v>1.95277252197</v>
      </c>
      <c r="W692" s="12" t="s">
        <v>29</v>
      </c>
      <c r="X692" s="13">
        <v>1.9268482513427729</v>
      </c>
      <c r="Y692" s="13">
        <v>6.3355444090828938E-2</v>
      </c>
      <c r="Z692" s="72">
        <v>3.2880349579515709E-2</v>
      </c>
    </row>
    <row r="693" spans="1:26" x14ac:dyDescent="0.2">
      <c r="A693" s="1">
        <v>691</v>
      </c>
      <c r="B693" s="2" t="s">
        <v>171</v>
      </c>
      <c r="C693" s="140" t="str">
        <f>HYPERLINK(AA2 &amp; "/bulb/3dw_f40a9fd7-b18a-435b-a0ca-7960923931fa/rendering/00.obj", "1.24879908562")</f>
        <v>1.24879908562</v>
      </c>
      <c r="D693" s="4" t="str">
        <f>HYPERLINK(AA2 &amp; "/bulb/3dw_f40a9fd7-b18a-435b-a0ca-7960923931fa/rendering/01.obj", "2.45040941238")</f>
        <v>2.45040941238</v>
      </c>
      <c r="E693" s="25" t="str">
        <f>HYPERLINK(AA2 &amp; "/bulb/3dw_f40a9fd7-b18a-435b-a0ca-7960923931fa/rendering/02.obj", "1.88913464546")</f>
        <v>1.88913464546</v>
      </c>
      <c r="F693" s="72" t="str">
        <f>HYPERLINK(AA2 &amp; "/bulb/3dw_f40a9fd7-b18a-435b-a0ca-7960923931fa/rendering/03.obj", "1.85051333904")</f>
        <v>1.85051333904</v>
      </c>
      <c r="G693" s="57" t="str">
        <f>HYPERLINK(AA2 &amp; "/bulb/3dw_f40a9fd7-b18a-435b-a0ca-7960923931fa/rendering/04.obj", "2.51053333282")</f>
        <v>2.51053333282</v>
      </c>
      <c r="H693" s="32" t="str">
        <f>HYPERLINK(AA2 &amp; "/bulb/3dw_f40a9fd7-b18a-435b-a0ca-7960923931fa/rendering/05.obj", "1.71243047714")</f>
        <v>1.71243047714</v>
      </c>
      <c r="I693" s="40" t="str">
        <f>HYPERLINK(AA2 &amp; "/bulb/3dw_f40a9fd7-b18a-435b-a0ca-7960923931fa/rendering/06.obj", "1.58396363258")</f>
        <v>1.58396363258</v>
      </c>
      <c r="J693" s="46" t="str">
        <f>HYPERLINK(AA2 &amp; "/bulb/3dw_f40a9fd7-b18a-435b-a0ca-7960923931fa/rendering/07.obj", "1.8754234314")</f>
        <v>1.8754234314</v>
      </c>
      <c r="K693" s="8" t="str">
        <f>HYPERLINK(AA2 &amp; "/bulb/3dw_f40a9fd7-b18a-435b-a0ca-7960923931fa/rendering/08.obj", "1.63945031166")</f>
        <v>1.63945031166</v>
      </c>
      <c r="L693" s="26" t="str">
        <f>HYPERLINK(AA2 &amp; "/bulb/3dw_f40a9fd7-b18a-435b-a0ca-7960923931fa/rendering/09.obj", "1.7862610817")</f>
        <v>1.7862610817</v>
      </c>
      <c r="M693" s="40" t="str">
        <f>HYPERLINK(AA2 &amp; "/bulb/3dw_f40a9fd7-b18a-435b-a0ca-7960923931fa/rendering/10.obj", "2.23478937149")</f>
        <v>2.23478937149</v>
      </c>
      <c r="N693" s="46" t="str">
        <f>HYPERLINK(AA2 &amp; "/bulb/3dw_f40a9fd7-b18a-435b-a0ca-7960923931fa/rendering/11.obj", "1.94631099701")</f>
        <v>1.94631099701</v>
      </c>
      <c r="O693" s="29" t="str">
        <f>HYPERLINK(AA2 &amp; "/bulb/3dw_f40a9fd7-b18a-435b-a0ca-7960923931fa/rendering/12.obj", "1.66268396378")</f>
        <v>1.66268396378</v>
      </c>
      <c r="P693" s="93" t="str">
        <f>HYPERLINK(AA2 &amp; "/bulb/3dw_f40a9fd7-b18a-435b-a0ca-7960923931fa/rendering/13.obj", "1.64341628551")</f>
        <v>1.64341628551</v>
      </c>
      <c r="Q693" s="10" t="str">
        <f>HYPERLINK(AA2 &amp; "/bulb/3dw_f40a9fd7-b18a-435b-a0ca-7960923931fa/rendering/14.obj", "1.80894374847")</f>
        <v>1.80894374847</v>
      </c>
      <c r="R693" s="6" t="str">
        <f>HYPERLINK(AA2 &amp; "/bulb/3dw_f40a9fd7-b18a-435b-a0ca-7960923931fa/rendering/15.obj", "1.82239019871")</f>
        <v>1.82239019871</v>
      </c>
      <c r="S693" s="80" t="str">
        <f>HYPERLINK(AA2 &amp; "/bulb/3dw_f40a9fd7-b18a-435b-a0ca-7960923931fa/rendering/16.obj", "1.62907230854")</f>
        <v>1.62907230854</v>
      </c>
      <c r="T693" s="76" t="str">
        <f>HYPERLINK(AA2 &amp; "/bulb/3dw_f40a9fd7-b18a-435b-a0ca-7960923931fa/rendering/17.obj", "1.56203114986")</f>
        <v>1.56203114986</v>
      </c>
      <c r="U693" s="20" t="str">
        <f>HYPERLINK(AA2 &amp; "/bulb/3dw_f40a9fd7-b18a-435b-a0ca-7960923931fa/rendering/18.obj", "3.73133206367")</f>
        <v>3.73133206367</v>
      </c>
      <c r="V693" s="84" t="str">
        <f>HYPERLINK(AA2 &amp; "/bulb/3dw_f40a9fd7-b18a-435b-a0ca-7960923931fa/rendering/19.obj", "1.62934720516")</f>
        <v>1.62934720516</v>
      </c>
      <c r="W693" s="12" t="s">
        <v>30</v>
      </c>
      <c r="X693" s="13">
        <v>1.910861802101135</v>
      </c>
      <c r="Y693" s="13">
        <v>0.50900941012968148</v>
      </c>
      <c r="Z693" s="119">
        <v>0.26637688270809939</v>
      </c>
    </row>
    <row r="694" spans="1:26" x14ac:dyDescent="0.2">
      <c r="A694" s="1">
        <v>692</v>
      </c>
      <c r="B694" s="2" t="s">
        <v>171</v>
      </c>
      <c r="C694" s="10" t="str">
        <f>HYPERLINK(AB2 &amp; "/bulb/3dw_f40a9fd7-b18a-435b-a0ca-7960923931fa/rendering/00.obj", "1.70337768555")</f>
        <v>1.70337768555</v>
      </c>
      <c r="D694" s="30" t="str">
        <f>HYPERLINK(AB2 &amp; "/bulb/3dw_f40a9fd7-b18a-435b-a0ca-7960923931fa/rendering/01.obj", "1.60609771729")</f>
        <v>1.60609771729</v>
      </c>
      <c r="E694" s="25" t="str">
        <f>HYPERLINK(AB2 &amp; "/bulb/3dw_f40a9fd7-b18a-435b-a0ca-7960923931fa/rendering/02.obj", "1.59650558472")</f>
        <v>1.59650558472</v>
      </c>
      <c r="F694" s="74" t="str">
        <f>HYPERLINK(AB2 &amp; "/bulb/3dw_f40a9fd7-b18a-435b-a0ca-7960923931fa/rendering/03.obj", "1.59003860474")</f>
        <v>1.59003860474</v>
      </c>
      <c r="G694" s="73" t="str">
        <f>HYPERLINK(AB2 &amp; "/bulb/3dw_f40a9fd7-b18a-435b-a0ca-7960923931fa/rendering/04.obj", "1.55701187134")</f>
        <v>1.55701187134</v>
      </c>
      <c r="H694" s="47" t="str">
        <f>HYPERLINK(AB2 &amp; "/bulb/3dw_f40a9fd7-b18a-435b-a0ca-7960923931fa/rendering/05.obj", "1.6246774292")</f>
        <v>1.6246774292</v>
      </c>
      <c r="I694" s="10" t="str">
        <f>HYPERLINK(AB2 &amp; "/bulb/3dw_f40a9fd7-b18a-435b-a0ca-7960923931fa/rendering/06.obj", "1.7046282959")</f>
        <v>1.7046282959</v>
      </c>
      <c r="J694" s="72" t="str">
        <f>HYPERLINK(AB2 &amp; "/bulb/3dw_f40a9fd7-b18a-435b-a0ca-7960923931fa/rendering/07.obj", "1.56209899902")</f>
        <v>1.56209899902</v>
      </c>
      <c r="K694" s="91" t="str">
        <f>HYPERLINK(AB2 &amp; "/bulb/3dw_f40a9fd7-b18a-435b-a0ca-7960923931fa/rendering/08.obj", "1.57171691895")</f>
        <v>1.57171691895</v>
      </c>
      <c r="L694" s="5" t="str">
        <f>HYPERLINK(AB2 &amp; "/bulb/3dw_f40a9fd7-b18a-435b-a0ca-7960923931fa/rendering/09.obj", "1.7386920166")</f>
        <v>1.7386920166</v>
      </c>
      <c r="M694" s="35" t="str">
        <f>HYPERLINK(AB2 &amp; "/bulb/3dw_f40a9fd7-b18a-435b-a0ca-7960923931fa/rendering/10.obj", "1.70635665894")</f>
        <v>1.70635665894</v>
      </c>
      <c r="N694" s="34" t="str">
        <f>HYPERLINK(AB2 &amp; "/bulb/3dw_f40a9fd7-b18a-435b-a0ca-7960923931fa/rendering/11.obj", "1.53636322021")</f>
        <v>1.53636322021</v>
      </c>
      <c r="O694" s="17" t="str">
        <f>HYPERLINK(AB2 &amp; "/bulb/3dw_f40a9fd7-b18a-435b-a0ca-7960923931fa/rendering/12.obj", "1.58127059937")</f>
        <v>1.58127059937</v>
      </c>
      <c r="P694" s="5" t="str">
        <f>HYPERLINK(AB2 &amp; "/bulb/3dw_f40a9fd7-b18a-435b-a0ca-7960923931fa/rendering/13.obj", "1.48934020996")</f>
        <v>1.48934020996</v>
      </c>
      <c r="Q694" s="91" t="str">
        <f>HYPERLINK(AB2 &amp; "/bulb/3dw_f40a9fd7-b18a-435b-a0ca-7960923931fa/rendering/14.obj", "1.57105194092")</f>
        <v>1.57105194092</v>
      </c>
      <c r="R694" s="74" t="str">
        <f>HYPERLINK(AB2 &amp; "/bulb/3dw_f40a9fd7-b18a-435b-a0ca-7960923931fa/rendering/15.obj", "1.59104492188")</f>
        <v>1.59104492188</v>
      </c>
      <c r="S694" s="74" t="str">
        <f>HYPERLINK(AB2 &amp; "/bulb/3dw_f40a9fd7-b18a-435b-a0ca-7960923931fa/rendering/16.obj", "1.63854507446")</f>
        <v>1.63854507446</v>
      </c>
      <c r="T694" s="91" t="str">
        <f>HYPERLINK(AB2 &amp; "/bulb/3dw_f40a9fd7-b18a-435b-a0ca-7960923931fa/rendering/17.obj", "1.65679748535")</f>
        <v>1.65679748535</v>
      </c>
      <c r="U694" s="91" t="str">
        <f>HYPERLINK(AB2 &amp; "/bulb/3dw_f40a9fd7-b18a-435b-a0ca-7960923931fa/rendering/18.obj", "1.65751647949")</f>
        <v>1.65751647949</v>
      </c>
      <c r="V694" s="30" t="str">
        <f>HYPERLINK(AB2 &amp; "/bulb/3dw_f40a9fd7-b18a-435b-a0ca-7960923931fa/rendering/19.obj", "1.60537536621")</f>
        <v>1.60537536621</v>
      </c>
      <c r="W694" s="12" t="s">
        <v>31</v>
      </c>
      <c r="X694" s="13">
        <v>1.614425354003906</v>
      </c>
      <c r="Y694" s="13">
        <v>6.2639579934329254E-2</v>
      </c>
      <c r="Z694" s="23">
        <v>3.8799923315734612E-2</v>
      </c>
    </row>
    <row r="695" spans="1:26" x14ac:dyDescent="0.2">
      <c r="A695" s="1">
        <v>693</v>
      </c>
      <c r="B695" s="2" t="s">
        <v>171</v>
      </c>
      <c r="C695" s="58" t="str">
        <f>HYPERLINK(AB2 &amp; "/bulb/3dw_f40a9fd7-b18a-435b-a0ca-7960923931fa/rendering/00.obj", "2.9040312767")</f>
        <v>2.9040312767</v>
      </c>
      <c r="D695" s="73" t="str">
        <f>HYPERLINK(AB2 &amp; "/bulb/3dw_f40a9fd7-b18a-435b-a0ca-7960923931fa/rendering/01.obj", "2.41641783714")</f>
        <v>2.41641783714</v>
      </c>
      <c r="E695" s="133" t="str">
        <f>HYPERLINK(AB2 &amp; "/bulb/3dw_f40a9fd7-b18a-435b-a0ca-7960923931fa/rendering/02.obj", "2.10004043579")</f>
        <v>2.10004043579</v>
      </c>
      <c r="F695" s="66" t="str">
        <f>HYPERLINK(AB2 &amp; "/bulb/3dw_f40a9fd7-b18a-435b-a0ca-7960923931fa/rendering/03.obj", "1.95446789265")</f>
        <v>1.95446789265</v>
      </c>
      <c r="G695" s="94" t="str">
        <f>HYPERLINK(AB2 &amp; "/bulb/3dw_f40a9fd7-b18a-435b-a0ca-7960923931fa/rendering/04.obj", "2.15971088409")</f>
        <v>2.15971088409</v>
      </c>
      <c r="H695" s="23" t="str">
        <f>HYPERLINK(AB2 &amp; "/bulb/3dw_f40a9fd7-b18a-435b-a0ca-7960923931fa/rendering/05.obj", "2.24136590958")</f>
        <v>2.24136590958</v>
      </c>
      <c r="I695" s="85" t="str">
        <f>HYPERLINK(AB2 &amp; "/bulb/3dw_f40a9fd7-b18a-435b-a0ca-7960923931fa/rendering/06.obj", "3.02668499947")</f>
        <v>3.02668499947</v>
      </c>
      <c r="J695" s="106" t="str">
        <f>HYPERLINK(AB2 &amp; "/bulb/3dw_f40a9fd7-b18a-435b-a0ca-7960923931fa/rendering/07.obj", "2.06522107124")</f>
        <v>2.06522107124</v>
      </c>
      <c r="K695" s="166" t="str">
        <f>HYPERLINK(AB2 &amp; "/bulb/3dw_f40a9fd7-b18a-435b-a0ca-7960923931fa/rendering/08.obj", "1.66385495663")</f>
        <v>1.66385495663</v>
      </c>
      <c r="L695" s="97" t="str">
        <f>HYPERLINK(AB2 &amp; "/bulb/3dw_f40a9fd7-b18a-435b-a0ca-7960923931fa/rendering/09.obj", "3.3504679203")</f>
        <v>3.3504679203</v>
      </c>
      <c r="M695" s="170" t="str">
        <f>HYPERLINK(AB2 &amp; "/bulb/3dw_f40a9fd7-b18a-435b-a0ca-7960923931fa/rendering/10.obj", "2.92327332497")</f>
        <v>2.92327332497</v>
      </c>
      <c r="N695" s="187" t="str">
        <f>HYPERLINK(AB2 &amp; "/bulb/3dw_f40a9fd7-b18a-435b-a0ca-7960923931fa/rendering/11.obj", "1.51571702957")</f>
        <v>1.51571702957</v>
      </c>
      <c r="O695" s="107" t="str">
        <f>HYPERLINK(AB2 &amp; "/bulb/3dw_f40a9fd7-b18a-435b-a0ca-7960923931fa/rendering/12.obj", "2.1389901638")</f>
        <v>2.1389901638</v>
      </c>
      <c r="P695" s="37" t="str">
        <f>HYPERLINK(AB2 &amp; "/bulb/3dw_f40a9fd7-b18a-435b-a0ca-7960923931fa/rendering/13.obj", "1.93219351768")</f>
        <v>1.93219351768</v>
      </c>
      <c r="Q695" s="26" t="str">
        <f>HYPERLINK(AB2 &amp; "/bulb/3dw_f40a9fd7-b18a-435b-a0ca-7960923931fa/rendering/14.obj", "2.18300795555")</f>
        <v>2.18300795555</v>
      </c>
      <c r="R695" s="10" t="str">
        <f>HYPERLINK(AB2 &amp; "/bulb/3dw_f40a9fd7-b18a-435b-a0ca-7960923931fa/rendering/15.obj", "2.20746421814")</f>
        <v>2.20746421814</v>
      </c>
      <c r="S695" s="25" t="str">
        <f>HYPERLINK(AB2 &amp; "/bulb/3dw_f40a9fd7-b18a-435b-a0ca-7960923931fa/rendering/16.obj", "2.36368727684")</f>
        <v>2.36368727684</v>
      </c>
      <c r="T695" s="70" t="str">
        <f>HYPERLINK(AB2 &amp; "/bulb/3dw_f40a9fd7-b18a-435b-a0ca-7960923931fa/rendering/17.obj", "2.03981018066")</f>
        <v>2.03981018066</v>
      </c>
      <c r="U695" s="61" t="str">
        <f>HYPERLINK(AB2 &amp; "/bulb/3dw_f40a9fd7-b18a-435b-a0ca-7960923931fa/rendering/18.obj", "3.04605031013")</f>
        <v>3.04605031013</v>
      </c>
      <c r="V695" s="78" t="str">
        <f>HYPERLINK(AB2 &amp; "/bulb/3dw_f40a9fd7-b18a-435b-a0ca-7960923931fa/rendering/19.obj", "2.47605276108")</f>
        <v>2.47605276108</v>
      </c>
      <c r="W695" s="12" t="s">
        <v>32</v>
      </c>
      <c r="X695" s="13">
        <v>2.335425496101379</v>
      </c>
      <c r="Y695" s="13">
        <v>0.47294418756704459</v>
      </c>
      <c r="Z695" s="88">
        <v>0.20250878837991171</v>
      </c>
    </row>
    <row r="696" spans="1:26" x14ac:dyDescent="0.2">
      <c r="A696" s="1">
        <v>694</v>
      </c>
      <c r="B696" s="2" t="s">
        <v>171</v>
      </c>
      <c r="C696" s="13" t="str">
        <f>HYPERLINK(AC2 &amp; "/bulb/3dw_f40a9fd7-b18a-435b-a0ca-7960923931fa/rendering/00.xyz", "0.0")</f>
        <v>0.0</v>
      </c>
      <c r="D696" s="13" t="str">
        <f>HYPERLINK(AC2 &amp; "/bulb/3dw_f40a9fd7-b18a-435b-a0ca-7960923931fa/rendering/01.xyz", "0.0")</f>
        <v>0.0</v>
      </c>
      <c r="E696" s="13" t="str">
        <f>HYPERLINK(AC2 &amp; "/bulb/3dw_f40a9fd7-b18a-435b-a0ca-7960923931fa/rendering/02.xyz", "0.0")</f>
        <v>0.0</v>
      </c>
      <c r="F696" s="13" t="str">
        <f>HYPERLINK(AC2 &amp; "/bulb/3dw_f40a9fd7-b18a-435b-a0ca-7960923931fa/rendering/03.xyz", "0.0")</f>
        <v>0.0</v>
      </c>
      <c r="G696" s="13" t="str">
        <f>HYPERLINK(AC2 &amp; "/bulb/3dw_f40a9fd7-b18a-435b-a0ca-7960923931fa/rendering/04.xyz", "0.0")</f>
        <v>0.0</v>
      </c>
      <c r="H696" s="13" t="str">
        <f>HYPERLINK(AC2 &amp; "/bulb/3dw_f40a9fd7-b18a-435b-a0ca-7960923931fa/rendering/05.xyz", "0.0")</f>
        <v>0.0</v>
      </c>
      <c r="I696" s="13" t="str">
        <f>HYPERLINK(AC2 &amp; "/bulb/3dw_f40a9fd7-b18a-435b-a0ca-7960923931fa/rendering/06.xyz", "0.0")</f>
        <v>0.0</v>
      </c>
      <c r="J696" s="13" t="str">
        <f>HYPERLINK(AC2 &amp; "/bulb/3dw_f40a9fd7-b18a-435b-a0ca-7960923931fa/rendering/07.xyz", "0.0")</f>
        <v>0.0</v>
      </c>
      <c r="K696" s="13" t="str">
        <f>HYPERLINK(AC2 &amp; "/bulb/3dw_f40a9fd7-b18a-435b-a0ca-7960923931fa/rendering/08.xyz", "0.0")</f>
        <v>0.0</v>
      </c>
      <c r="L696" s="13" t="str">
        <f>HYPERLINK(AC2 &amp; "/bulb/3dw_f40a9fd7-b18a-435b-a0ca-7960923931fa/rendering/09.xyz", "0.0")</f>
        <v>0.0</v>
      </c>
      <c r="M696" s="13" t="str">
        <f>HYPERLINK(AC2 &amp; "/bulb/3dw_f40a9fd7-b18a-435b-a0ca-7960923931fa/rendering/10.xyz", "0.0")</f>
        <v>0.0</v>
      </c>
      <c r="N696" s="13" t="str">
        <f>HYPERLINK(AC2 &amp; "/bulb/3dw_f40a9fd7-b18a-435b-a0ca-7960923931fa/rendering/11.xyz", "0.0")</f>
        <v>0.0</v>
      </c>
      <c r="O696" s="13" t="str">
        <f>HYPERLINK(AC2 &amp; "/bulb/3dw_f40a9fd7-b18a-435b-a0ca-7960923931fa/rendering/12.xyz", "0.0")</f>
        <v>0.0</v>
      </c>
      <c r="P696" s="13" t="str">
        <f>HYPERLINK(AC2 &amp; "/bulb/3dw_f40a9fd7-b18a-435b-a0ca-7960923931fa/rendering/13.xyz", "0.0")</f>
        <v>0.0</v>
      </c>
      <c r="Q696" s="13" t="str">
        <f>HYPERLINK(AC2 &amp; "/bulb/3dw_f40a9fd7-b18a-435b-a0ca-7960923931fa/rendering/14.xyz", "0.0")</f>
        <v>0.0</v>
      </c>
      <c r="R696" s="13" t="str">
        <f>HYPERLINK(AC2 &amp; "/bulb/3dw_f40a9fd7-b18a-435b-a0ca-7960923931fa/rendering/15.xyz", "0.0")</f>
        <v>0.0</v>
      </c>
      <c r="S696" s="13" t="str">
        <f>HYPERLINK(AC2 &amp; "/bulb/3dw_f40a9fd7-b18a-435b-a0ca-7960923931fa/rendering/16.xyz", "0.0")</f>
        <v>0.0</v>
      </c>
      <c r="T696" s="13" t="str">
        <f>HYPERLINK(AC2 &amp; "/bulb/3dw_f40a9fd7-b18a-435b-a0ca-7960923931fa/rendering/17.xyz", "0.0")</f>
        <v>0.0</v>
      </c>
      <c r="U696" s="13" t="str">
        <f>HYPERLINK(AC2 &amp; "/bulb/3dw_f40a9fd7-b18a-435b-a0ca-7960923931fa/rendering/18.xyz", "0.0")</f>
        <v>0.0</v>
      </c>
      <c r="V696" s="13" t="str">
        <f>HYPERLINK(AC2 &amp; "/bulb/3dw_f40a9fd7-b18a-435b-a0ca-7960923931fa/rendering/19.xyz", "0.0")</f>
        <v>0.0</v>
      </c>
      <c r="W696" s="12" t="s">
        <v>33</v>
      </c>
      <c r="X696" s="13">
        <v>0</v>
      </c>
      <c r="Y696" s="13">
        <v>0</v>
      </c>
      <c r="Z696" s="13">
        <v>0</v>
      </c>
    </row>
    <row r="697" spans="1:26" x14ac:dyDescent="0.2">
      <c r="A697" s="1">
        <v>695</v>
      </c>
      <c r="B697" s="2" t="s">
        <v>172</v>
      </c>
      <c r="C697" s="139" t="str">
        <f>HYPERLINK(AA2 &amp; "/bulb/3dw_f41dfdc7-f7ad-4e66-b1b4-b1558fc0f219/rendering/00.obj", "7.30907104492")</f>
        <v>7.30907104492</v>
      </c>
      <c r="D697" s="129" t="str">
        <f>HYPERLINK(AA2 &amp; "/bulb/3dw_f41dfdc7-f7ad-4e66-b1b4-b1558fc0f219/rendering/01.obj", "3.70848327637")</f>
        <v>3.70848327637</v>
      </c>
      <c r="E697" s="225" t="str">
        <f>HYPERLINK(AA2 &amp; "/bulb/3dw_f41dfdc7-f7ad-4e66-b1b4-b1558fc0f219/rendering/02.obj", "7.74626708984")</f>
        <v>7.74626708984</v>
      </c>
      <c r="F697" s="20" t="str">
        <f>HYPERLINK(AA2 &amp; "/bulb/3dw_f41dfdc7-f7ad-4e66-b1b4-b1558fc0f219/rendering/03.obj", "9.07060668945")</f>
        <v>9.07060668945</v>
      </c>
      <c r="G697" s="90" t="str">
        <f>HYPERLINK(AA2 &amp; "/bulb/3dw_f41dfdc7-f7ad-4e66-b1b4-b1558fc0f219/rendering/04.obj", "4.45893737793")</f>
        <v>4.45893737793</v>
      </c>
      <c r="H697" s="14" t="str">
        <f>HYPERLINK(AA2 &amp; "/bulb/3dw_f41dfdc7-f7ad-4e66-b1b4-b1558fc0f219/rendering/05.obj", "3.49906494141")</f>
        <v>3.49906494141</v>
      </c>
      <c r="I697" s="4" t="str">
        <f>HYPERLINK(AA2 &amp; "/bulb/3dw_f41dfdc7-f7ad-4e66-b1b4-b1558fc0f219/rendering/06.obj", "3.52979919434")</f>
        <v>3.52979919434</v>
      </c>
      <c r="J697" s="134" t="str">
        <f>HYPERLINK(AA2 &amp; "/bulb/3dw_f41dfdc7-f7ad-4e66-b1b4-b1558fc0f219/rendering/07.obj", "4.03998748779")</f>
        <v>4.03998748779</v>
      </c>
      <c r="K697" s="59" t="str">
        <f>HYPERLINK(AA2 &amp; "/bulb/3dw_f41dfdc7-f7ad-4e66-b1b4-b1558fc0f219/rendering/08.obj", "3.74301452637")</f>
        <v>3.74301452637</v>
      </c>
      <c r="L697" s="99" t="str">
        <f>HYPERLINK(AA2 &amp; "/bulb/3dw_f41dfdc7-f7ad-4e66-b1b4-b1558fc0f219/rendering/09.obj", "3.60234619141")</f>
        <v>3.60234619141</v>
      </c>
      <c r="M697" s="57" t="str">
        <f>HYPERLINK(AA2 &amp; "/bulb/3dw_f41dfdc7-f7ad-4e66-b1b4-b1558fc0f219/rendering/10.obj", "3.37550262451")</f>
        <v>3.37550262451</v>
      </c>
      <c r="N697" s="60" t="str">
        <f>HYPERLINK(AA2 &amp; "/bulb/3dw_f41dfdc7-f7ad-4e66-b1b4-b1558fc0f219/rendering/11.obj", "4.68253601074")</f>
        <v>4.68253601074</v>
      </c>
      <c r="O697" s="60" t="str">
        <f>HYPERLINK(AA2 &amp; "/bulb/3dw_f41dfdc7-f7ad-4e66-b1b4-b1558fc0f219/rendering/12.obj", "4.68309509277")</f>
        <v>4.68309509277</v>
      </c>
      <c r="P697" s="193" t="str">
        <f>HYPERLINK(AA2 &amp; "/bulb/3dw_f41dfdc7-f7ad-4e66-b1b4-b1558fc0f219/rendering/13.obj", "3.30182678223")</f>
        <v>3.30182678223</v>
      </c>
      <c r="Q697" s="31" t="str">
        <f>HYPERLINK(AA2 &amp; "/bulb/3dw_f41dfdc7-f7ad-4e66-b1b4-b1558fc0f219/rendering/14.obj", "5.70403991699")</f>
        <v>5.70403991699</v>
      </c>
      <c r="R697" s="151" t="str">
        <f>HYPERLINK(AA2 &amp; "/bulb/3dw_f41dfdc7-f7ad-4e66-b1b4-b1558fc0f219/rendering/15.obj", "3.16855804443")</f>
        <v>3.16855804443</v>
      </c>
      <c r="S697" s="68" t="str">
        <f>HYPERLINK(AA2 &amp; "/bulb/3dw_f41dfdc7-f7ad-4e66-b1b4-b1558fc0f219/rendering/16.obj", "5.14904907227")</f>
        <v>5.14904907227</v>
      </c>
      <c r="T697" s="93" t="str">
        <f>HYPERLINK(AA2 &amp; "/bulb/3dw_f41dfdc7-f7ad-4e66-b1b4-b1558fc0f219/rendering/17.obj", "4.24827148438")</f>
        <v>4.24827148438</v>
      </c>
      <c r="U697" s="20" t="str">
        <f>HYPERLINK(AA2 &amp; "/bulb/3dw_f41dfdc7-f7ad-4e66-b1b4-b1558fc0f219/rendering/18.obj", "9.31892333984")</f>
        <v>9.31892333984</v>
      </c>
      <c r="V697" s="71" t="str">
        <f>HYPERLINK(AA2 &amp; "/bulb/3dw_f41dfdc7-f7ad-4e66-b1b4-b1558fc0f219/rendering/19.obj", "4.34616119385")</f>
        <v>4.34616119385</v>
      </c>
      <c r="W697" s="12" t="s">
        <v>29</v>
      </c>
      <c r="X697" s="13">
        <v>4.9342770690917961</v>
      </c>
      <c r="Y697" s="13">
        <v>1.863184604928164</v>
      </c>
      <c r="Z697" s="101">
        <v>0.37760032094652962</v>
      </c>
    </row>
    <row r="698" spans="1:26" x14ac:dyDescent="0.2">
      <c r="A698" s="1">
        <v>696</v>
      </c>
      <c r="B698" s="2" t="s">
        <v>172</v>
      </c>
      <c r="C698" s="218" t="str">
        <f>HYPERLINK(AA2 &amp; "/bulb/3dw_f41dfdc7-f7ad-4e66-b1b4-b1558fc0f219/rendering/00.obj", "38.9751625061")</f>
        <v>38.9751625061</v>
      </c>
      <c r="D698" s="162" t="str">
        <f>HYPERLINK(AA2 &amp; "/bulb/3dw_f41dfdc7-f7ad-4e66-b1b4-b1558fc0f219/rendering/01.obj", "14.7952613831")</f>
        <v>14.7952613831</v>
      </c>
      <c r="E698" s="246" t="str">
        <f>HYPERLINK(AA2 &amp; "/bulb/3dw_f41dfdc7-f7ad-4e66-b1b4-b1558fc0f219/rendering/02.obj", "41.4188423157")</f>
        <v>41.4188423157</v>
      </c>
      <c r="F698" s="20" t="str">
        <f>HYPERLINK(AA2 &amp; "/bulb/3dw_f41dfdc7-f7ad-4e66-b1b4-b1558fc0f219/rendering/03.obj", "52.3766517639")</f>
        <v>52.3766517639</v>
      </c>
      <c r="G698" s="5" t="str">
        <f>HYPERLINK(AA2 &amp; "/bulb/3dw_f41dfdc7-f7ad-4e66-b1b4-b1558fc0f219/rendering/04.obj", "23.7204742432")</f>
        <v>23.7204742432</v>
      </c>
      <c r="H698" s="182" t="str">
        <f>HYPERLINK(AA2 &amp; "/bulb/3dw_f41dfdc7-f7ad-4e66-b1b4-b1558fc0f219/rendering/05.obj", "17.1548614502")</f>
        <v>17.1548614502</v>
      </c>
      <c r="I698" s="163" t="str">
        <f>HYPERLINK(AA2 &amp; "/bulb/3dw_f41dfdc7-f7ad-4e66-b1b4-b1558fc0f219/rendering/06.obj", "14.3926954269")</f>
        <v>14.3926954269</v>
      </c>
      <c r="J698" s="135" t="str">
        <f>HYPERLINK(AA2 &amp; "/bulb/3dw_f41dfdc7-f7ad-4e66-b1b4-b1558fc0f219/rendering/07.obj", "19.1335754395")</f>
        <v>19.1335754395</v>
      </c>
      <c r="K698" s="96" t="str">
        <f>HYPERLINK(AA2 &amp; "/bulb/3dw_f41dfdc7-f7ad-4e66-b1b4-b1558fc0f219/rendering/08.obj", "16.4423007965")</f>
        <v>16.4423007965</v>
      </c>
      <c r="L698" s="67" t="str">
        <f>HYPERLINK(AA2 &amp; "/bulb/3dw_f41dfdc7-f7ad-4e66-b1b4-b1558fc0f219/rendering/09.obj", "23.3817005157")</f>
        <v>23.3817005157</v>
      </c>
      <c r="M698" s="128" t="str">
        <f>HYPERLINK(AA2 &amp; "/bulb/3dw_f41dfdc7-f7ad-4e66-b1b4-b1558fc0f219/rendering/10.obj", "15.7075452805")</f>
        <v>15.7075452805</v>
      </c>
      <c r="N698" s="91" t="str">
        <f>HYPERLINK(AA2 &amp; "/bulb/3dw_f41dfdc7-f7ad-4e66-b1b4-b1558fc0f219/rendering/11.obj", "26.4039077759")</f>
        <v>26.4039077759</v>
      </c>
      <c r="O698" s="23" t="str">
        <f>HYPERLINK(AA2 &amp; "/bulb/3dw_f41dfdc7-f7ad-4e66-b1b4-b1558fc0f219/rendering/12.obj", "26.7291374207")</f>
        <v>26.7291374207</v>
      </c>
      <c r="P698" s="213" t="str">
        <f>HYPERLINK(AA2 &amp; "/bulb/3dw_f41dfdc7-f7ad-4e66-b1b4-b1558fc0f219/rendering/13.obj", "13.006111145")</f>
        <v>13.006111145</v>
      </c>
      <c r="Q698" s="170" t="str">
        <f>HYPERLINK(AA2 &amp; "/bulb/3dw_f41dfdc7-f7ad-4e66-b1b4-b1558fc0f219/rendering/14.obj", "32.2246055603")</f>
        <v>32.2246055603</v>
      </c>
      <c r="R698" s="147" t="str">
        <f>HYPERLINK(AA2 &amp; "/bulb/3dw_f41dfdc7-f7ad-4e66-b1b4-b1558fc0f219/rendering/15.obj", "13.2034635544")</f>
        <v>13.2034635544</v>
      </c>
      <c r="S698" s="93" t="str">
        <f>HYPERLINK(AA2 &amp; "/bulb/3dw_f41dfdc7-f7ad-4e66-b1b4-b1558fc0f219/rendering/16.obj", "29.3148918152")</f>
        <v>29.3148918152</v>
      </c>
      <c r="T698" s="129" t="str">
        <f>HYPERLINK(AA2 &amp; "/bulb/3dw_f41dfdc7-f7ad-4e66-b1b4-b1558fc0f219/rendering/17.obj", "19.2784996033")</f>
        <v>19.2784996033</v>
      </c>
      <c r="U698" s="20" t="str">
        <f>HYPERLINK(AA2 &amp; "/bulb/3dw_f41dfdc7-f7ad-4e66-b1b4-b1558fc0f219/rendering/18.obj", "55.46692276")</f>
        <v>55.46692276</v>
      </c>
      <c r="V698" s="64" t="str">
        <f>HYPERLINK(AA2 &amp; "/bulb/3dw_f41dfdc7-f7ad-4e66-b1b4-b1558fc0f219/rendering/19.obj", "21.532579422")</f>
        <v>21.532579422</v>
      </c>
      <c r="W698" s="12" t="s">
        <v>30</v>
      </c>
      <c r="X698" s="13">
        <v>25.73295950889587</v>
      </c>
      <c r="Y698" s="13">
        <v>12.27161450697937</v>
      </c>
      <c r="Z698" s="200">
        <v>0.47688313902398521</v>
      </c>
    </row>
    <row r="699" spans="1:26" x14ac:dyDescent="0.2">
      <c r="A699" s="1">
        <v>697</v>
      </c>
      <c r="B699" s="2" t="s">
        <v>172</v>
      </c>
      <c r="C699" s="48" t="str">
        <f>HYPERLINK(AB2 &amp; "/bulb/3dw_f41dfdc7-f7ad-4e66-b1b4-b1558fc0f219/rendering/00.obj", "2.88681976318")</f>
        <v>2.88681976318</v>
      </c>
      <c r="D699" s="90" t="str">
        <f>HYPERLINK(AB2 &amp; "/bulb/3dw_f41dfdc7-f7ad-4e66-b1b4-b1558fc0f219/rendering/01.obj", "2.54964294434")</f>
        <v>2.54964294434</v>
      </c>
      <c r="E699" s="91" t="str">
        <f>HYPERLINK(AB2 &amp; "/bulb/3dw_f41dfdc7-f7ad-4e66-b1b4-b1558fc0f219/rendering/02.obj", "2.74259277344")</f>
        <v>2.74259277344</v>
      </c>
      <c r="F699" s="94" t="str">
        <f>HYPERLINK(AB2 &amp; "/bulb/3dw_f41dfdc7-f7ad-4e66-b1b4-b1558fc0f219/rendering/03.obj", "2.60810211182")</f>
        <v>2.60810211182</v>
      </c>
      <c r="G699" s="76" t="str">
        <f>HYPERLINK(AB2 &amp; "/bulb/3dw_f41dfdc7-f7ad-4e66-b1b4-b1558fc0f219/rendering/04.obj", "3.33789611816")</f>
        <v>3.33789611816</v>
      </c>
      <c r="H699" s="84" t="str">
        <f>HYPERLINK(AB2 &amp; "/bulb/3dw_f41dfdc7-f7ad-4e66-b1b4-b1558fc0f219/rendering/05.obj", "2.40951660156")</f>
        <v>2.40951660156</v>
      </c>
      <c r="I699" s="39" t="str">
        <f>HYPERLINK(AB2 &amp; "/bulb/3dw_f41dfdc7-f7ad-4e66-b1b4-b1558fc0f219/rendering/06.obj", "2.57624633789")</f>
        <v>2.57624633789</v>
      </c>
      <c r="J699" s="25" t="str">
        <f>HYPERLINK(AB2 &amp; "/bulb/3dw_f41dfdc7-f7ad-4e66-b1b4-b1558fc0f219/rendering/07.obj", "2.85092193604")</f>
        <v>2.85092193604</v>
      </c>
      <c r="K699" s="28" t="str">
        <f>HYPERLINK(AB2 &amp; "/bulb/3dw_f41dfdc7-f7ad-4e66-b1b4-b1558fc0f219/rendering/08.obj", "3.13347900391")</f>
        <v>3.13347900391</v>
      </c>
      <c r="L699" s="51" t="str">
        <f>HYPERLINK(AB2 &amp; "/bulb/3dw_f41dfdc7-f7ad-4e66-b1b4-b1558fc0f219/rendering/09.obj", "2.59602386475")</f>
        <v>2.59602386475</v>
      </c>
      <c r="M699" s="93" t="str">
        <f>HYPERLINK(AB2 &amp; "/bulb/3dw_f41dfdc7-f7ad-4e66-b1b4-b1558fc0f219/rendering/10.obj", "2.42722381592")</f>
        <v>2.42722381592</v>
      </c>
      <c r="N699" s="33" t="str">
        <f>HYPERLINK(AB2 &amp; "/bulb/3dw_f41dfdc7-f7ad-4e66-b1b4-b1558fc0f219/rendering/11.obj", "2.51156112671")</f>
        <v>2.51156112671</v>
      </c>
      <c r="O699" s="58" t="str">
        <f>HYPERLINK(AB2 &amp; "/bulb/3dw_f41dfdc7-f7ad-4e66-b1b4-b1558fc0f219/rendering/12.obj", "3.50369873047")</f>
        <v>3.50369873047</v>
      </c>
      <c r="P699" s="60" t="str">
        <f>HYPERLINK(AB2 &amp; "/bulb/3dw_f41dfdc7-f7ad-4e66-b1b4-b1558fc0f219/rendering/13.obj", "2.66927093506")</f>
        <v>2.66927093506</v>
      </c>
      <c r="Q699" s="50" t="str">
        <f>HYPERLINK(AB2 &amp; "/bulb/3dw_f41dfdc7-f7ad-4e66-b1b4-b1558fc0f219/rendering/14.obj", "3.37619354248")</f>
        <v>3.37619354248</v>
      </c>
      <c r="R699" s="25" t="str">
        <f>HYPERLINK(AB2 &amp; "/bulb/3dw_f41dfdc7-f7ad-4e66-b1b4-b1558fc0f219/rendering/15.obj", "2.78684082031")</f>
        <v>2.78684082031</v>
      </c>
      <c r="S699" s="33" t="str">
        <f>HYPERLINK(AB2 &amp; "/bulb/3dw_f41dfdc7-f7ad-4e66-b1b4-b1558fc0f219/rendering/16.obj", "3.12334594727")</f>
        <v>3.12334594727</v>
      </c>
      <c r="T699" s="63" t="str">
        <f>HYPERLINK(AB2 &amp; "/bulb/3dw_f41dfdc7-f7ad-4e66-b1b4-b1558fc0f219/rendering/17.obj", "3.15835510254")</f>
        <v>3.15835510254</v>
      </c>
      <c r="U699" s="51" t="str">
        <f>HYPERLINK(AB2 &amp; "/bulb/3dw_f41dfdc7-f7ad-4e66-b1b4-b1558fc0f219/rendering/18.obj", "2.59649200439")</f>
        <v>2.59649200439</v>
      </c>
      <c r="V699" s="32" t="str">
        <f>HYPERLINK(AB2 &amp; "/bulb/3dw_f41dfdc7-f7ad-4e66-b1b4-b1558fc0f219/rendering/19.obj", "2.52281005859")</f>
        <v>2.52281005859</v>
      </c>
      <c r="W699" s="12" t="s">
        <v>31</v>
      </c>
      <c r="X699" s="13">
        <v>2.8183516769409178</v>
      </c>
      <c r="Y699" s="13">
        <v>0.32929605054137162</v>
      </c>
      <c r="Z699" s="71">
        <v>0.1168399434448133</v>
      </c>
    </row>
    <row r="700" spans="1:26" x14ac:dyDescent="0.2">
      <c r="A700" s="1">
        <v>698</v>
      </c>
      <c r="B700" s="2" t="s">
        <v>172</v>
      </c>
      <c r="C700" s="59" t="str">
        <f>HYPERLINK(AB2 &amp; "/bulb/3dw_f41dfdc7-f7ad-4e66-b1b4-b1558fc0f219/rendering/00.obj", "7.30912876129")</f>
        <v>7.30912876129</v>
      </c>
      <c r="D700" s="23" t="str">
        <f>HYPERLINK(AB2 &amp; "/bulb/3dw_f41dfdc7-f7ad-4e66-b1b4-b1558fc0f219/rendering/01.obj", "9.99003887177")</f>
        <v>9.99003887177</v>
      </c>
      <c r="E700" s="11" t="str">
        <f>HYPERLINK(AB2 &amp; "/bulb/3dw_f41dfdc7-f7ad-4e66-b1b4-b1558fc0f219/rendering/02.obj", "7.45273542404")</f>
        <v>7.45273542404</v>
      </c>
      <c r="F700" s="117" t="str">
        <f>HYPERLINK(AB2 &amp; "/bulb/3dw_f41dfdc7-f7ad-4e66-b1b4-b1558fc0f219/rendering/03.obj", "7.89576911926")</f>
        <v>7.89576911926</v>
      </c>
      <c r="G700" s="19" t="str">
        <f>HYPERLINK(AB2 &amp; "/bulb/3dw_f41dfdc7-f7ad-4e66-b1b4-b1558fc0f219/rendering/04.obj", "12.1323194504")</f>
        <v>12.1323194504</v>
      </c>
      <c r="H700" s="60" t="str">
        <f>HYPERLINK(AB2 &amp; "/bulb/3dw_f41dfdc7-f7ad-4e66-b1b4-b1558fc0f219/rendering/05.obj", "9.1283454895")</f>
        <v>9.1283454895</v>
      </c>
      <c r="I700" s="46" t="str">
        <f>HYPERLINK(AB2 &amp; "/bulb/3dw_f41dfdc7-f7ad-4e66-b1b4-b1558fc0f219/rendering/06.obj", "9.7701921463")</f>
        <v>9.7701921463</v>
      </c>
      <c r="J700" s="90" t="str">
        <f>HYPERLINK(AB2 &amp; "/bulb/3dw_f41dfdc7-f7ad-4e66-b1b4-b1558fc0f219/rendering/07.obj", "8.68311786652")</f>
        <v>8.68311786652</v>
      </c>
      <c r="K700" s="84" t="str">
        <f>HYPERLINK(AB2 &amp; "/bulb/3dw_f41dfdc7-f7ad-4e66-b1b4-b1558fc0f219/rendering/08.obj", "8.20368671417")</f>
        <v>8.20368671417</v>
      </c>
      <c r="L700" s="92" t="str">
        <f>HYPERLINK(AB2 &amp; "/bulb/3dw_f41dfdc7-f7ad-4e66-b1b4-b1558fc0f219/rendering/09.obj", "8.42417621613")</f>
        <v>8.42417621613</v>
      </c>
      <c r="M700" s="48" t="str">
        <f>HYPERLINK(AB2 &amp; "/bulb/3dw_f41dfdc7-f7ad-4e66-b1b4-b1558fc0f219/rendering/10.obj", "9.37630271912")</f>
        <v>9.37630271912</v>
      </c>
      <c r="N700" s="8" t="str">
        <f>HYPERLINK(AB2 &amp; "/bulb/3dw_f41dfdc7-f7ad-4e66-b1b4-b1558fc0f219/rendering/11.obj", "8.2540063858")</f>
        <v>8.2540063858</v>
      </c>
      <c r="O700" s="8" t="str">
        <f>HYPERLINK(AB2 &amp; "/bulb/3dw_f41dfdc7-f7ad-4e66-b1b4-b1558fc0f219/rendering/12.obj", "8.22714138031")</f>
        <v>8.22714138031</v>
      </c>
      <c r="P700" s="91" t="str">
        <f>HYPERLINK(AB2 &amp; "/bulb/3dw_f41dfdc7-f7ad-4e66-b1b4-b1558fc0f219/rendering/13.obj", "9.86459827423")</f>
        <v>9.86459827423</v>
      </c>
      <c r="Q700" s="167" t="str">
        <f>HYPERLINK(AB2 &amp; "/bulb/3dw_f41dfdc7-f7ad-4e66-b1b4-b1558fc0f219/rendering/14.obj", "15.4239492416")</f>
        <v>15.4239492416</v>
      </c>
      <c r="R700" s="69" t="str">
        <f>HYPERLINK(AB2 &amp; "/bulb/3dw_f41dfdc7-f7ad-4e66-b1b4-b1558fc0f219/rendering/15.obj", "9.88515853882")</f>
        <v>9.88515853882</v>
      </c>
      <c r="S700" s="116" t="str">
        <f>HYPERLINK(AB2 &amp; "/bulb/3dw_f41dfdc7-f7ad-4e66-b1b4-b1558fc0f219/rendering/16.obj", "13.8179454803")</f>
        <v>13.8179454803</v>
      </c>
      <c r="T700" s="81" t="str">
        <f>HYPERLINK(AB2 &amp; "/bulb/3dw_f41dfdc7-f7ad-4e66-b1b4-b1558fc0f219/rendering/17.obj", "11.7104673386")</f>
        <v>11.7104673386</v>
      </c>
      <c r="U700" s="129" t="str">
        <f>HYPERLINK(AB2 &amp; "/bulb/3dw_f41dfdc7-f7ad-4e66-b1b4-b1558fc0f219/rendering/18.obj", "7.21130657196")</f>
        <v>7.21130657196</v>
      </c>
      <c r="V700" s="25" t="str">
        <f>HYPERLINK(AB2 &amp; "/bulb/3dw_f41dfdc7-f7ad-4e66-b1b4-b1558fc0f219/rendering/19.obj", "9.50489521027")</f>
        <v>9.50489521027</v>
      </c>
      <c r="W700" s="12" t="s">
        <v>32</v>
      </c>
      <c r="X700" s="13">
        <v>9.6132640600204464</v>
      </c>
      <c r="Y700" s="13">
        <v>2.1157158506242539</v>
      </c>
      <c r="Z700" s="75">
        <v>0.22008298507299651</v>
      </c>
    </row>
    <row r="701" spans="1:26" x14ac:dyDescent="0.2">
      <c r="A701" s="1">
        <v>699</v>
      </c>
      <c r="B701" s="2" t="s">
        <v>172</v>
      </c>
      <c r="C701" s="13" t="str">
        <f>HYPERLINK(AC2 &amp; "/bulb/3dw_f41dfdc7-f7ad-4e66-b1b4-b1558fc0f219/rendering/00.xyz", "0.0")</f>
        <v>0.0</v>
      </c>
      <c r="D701" s="13" t="str">
        <f>HYPERLINK(AC2 &amp; "/bulb/3dw_f41dfdc7-f7ad-4e66-b1b4-b1558fc0f219/rendering/01.xyz", "0.0")</f>
        <v>0.0</v>
      </c>
      <c r="E701" s="13" t="str">
        <f>HYPERLINK(AC2 &amp; "/bulb/3dw_f41dfdc7-f7ad-4e66-b1b4-b1558fc0f219/rendering/02.xyz", "0.0")</f>
        <v>0.0</v>
      </c>
      <c r="F701" s="13" t="str">
        <f>HYPERLINK(AC2 &amp; "/bulb/3dw_f41dfdc7-f7ad-4e66-b1b4-b1558fc0f219/rendering/03.xyz", "0.0")</f>
        <v>0.0</v>
      </c>
      <c r="G701" s="13" t="str">
        <f>HYPERLINK(AC2 &amp; "/bulb/3dw_f41dfdc7-f7ad-4e66-b1b4-b1558fc0f219/rendering/04.xyz", "0.0")</f>
        <v>0.0</v>
      </c>
      <c r="H701" s="13" t="str">
        <f>HYPERLINK(AC2 &amp; "/bulb/3dw_f41dfdc7-f7ad-4e66-b1b4-b1558fc0f219/rendering/05.xyz", "0.0")</f>
        <v>0.0</v>
      </c>
      <c r="I701" s="13" t="str">
        <f>HYPERLINK(AC2 &amp; "/bulb/3dw_f41dfdc7-f7ad-4e66-b1b4-b1558fc0f219/rendering/06.xyz", "0.0")</f>
        <v>0.0</v>
      </c>
      <c r="J701" s="13" t="str">
        <f>HYPERLINK(AC2 &amp; "/bulb/3dw_f41dfdc7-f7ad-4e66-b1b4-b1558fc0f219/rendering/07.xyz", "0.0")</f>
        <v>0.0</v>
      </c>
      <c r="K701" s="13" t="str">
        <f>HYPERLINK(AC2 &amp; "/bulb/3dw_f41dfdc7-f7ad-4e66-b1b4-b1558fc0f219/rendering/08.xyz", "0.0")</f>
        <v>0.0</v>
      </c>
      <c r="L701" s="13" t="str">
        <f>HYPERLINK(AC2 &amp; "/bulb/3dw_f41dfdc7-f7ad-4e66-b1b4-b1558fc0f219/rendering/09.xyz", "0.0")</f>
        <v>0.0</v>
      </c>
      <c r="M701" s="13" t="str">
        <f>HYPERLINK(AC2 &amp; "/bulb/3dw_f41dfdc7-f7ad-4e66-b1b4-b1558fc0f219/rendering/10.xyz", "0.0")</f>
        <v>0.0</v>
      </c>
      <c r="N701" s="13" t="str">
        <f>HYPERLINK(AC2 &amp; "/bulb/3dw_f41dfdc7-f7ad-4e66-b1b4-b1558fc0f219/rendering/11.xyz", "0.0")</f>
        <v>0.0</v>
      </c>
      <c r="O701" s="13" t="str">
        <f>HYPERLINK(AC2 &amp; "/bulb/3dw_f41dfdc7-f7ad-4e66-b1b4-b1558fc0f219/rendering/12.xyz", "0.0")</f>
        <v>0.0</v>
      </c>
      <c r="P701" s="13" t="str">
        <f>HYPERLINK(AC2 &amp; "/bulb/3dw_f41dfdc7-f7ad-4e66-b1b4-b1558fc0f219/rendering/13.xyz", "0.0")</f>
        <v>0.0</v>
      </c>
      <c r="Q701" s="13" t="str">
        <f>HYPERLINK(AC2 &amp; "/bulb/3dw_f41dfdc7-f7ad-4e66-b1b4-b1558fc0f219/rendering/14.xyz", "0.0")</f>
        <v>0.0</v>
      </c>
      <c r="R701" s="13" t="str">
        <f>HYPERLINK(AC2 &amp; "/bulb/3dw_f41dfdc7-f7ad-4e66-b1b4-b1558fc0f219/rendering/15.xyz", "0.0")</f>
        <v>0.0</v>
      </c>
      <c r="S701" s="13" t="str">
        <f>HYPERLINK(AC2 &amp; "/bulb/3dw_f41dfdc7-f7ad-4e66-b1b4-b1558fc0f219/rendering/16.xyz", "0.0")</f>
        <v>0.0</v>
      </c>
      <c r="T701" s="13" t="str">
        <f>HYPERLINK(AC2 &amp; "/bulb/3dw_f41dfdc7-f7ad-4e66-b1b4-b1558fc0f219/rendering/17.xyz", "0.0")</f>
        <v>0.0</v>
      </c>
      <c r="U701" s="13" t="str">
        <f>HYPERLINK(AC2 &amp; "/bulb/3dw_f41dfdc7-f7ad-4e66-b1b4-b1558fc0f219/rendering/18.xyz", "0.0")</f>
        <v>0.0</v>
      </c>
      <c r="V701" s="13" t="str">
        <f>HYPERLINK(AC2 &amp; "/bulb/3dw_f41dfdc7-f7ad-4e66-b1b4-b1558fc0f219/rendering/19.xyz", "0.0")</f>
        <v>0.0</v>
      </c>
      <c r="W701" s="12" t="s">
        <v>33</v>
      </c>
      <c r="X701" s="13">
        <v>0</v>
      </c>
      <c r="Y701" s="13">
        <v>0</v>
      </c>
      <c r="Z701" s="13">
        <v>0</v>
      </c>
    </row>
    <row r="702" spans="1:26" x14ac:dyDescent="0.2">
      <c r="A702" s="1">
        <v>700</v>
      </c>
      <c r="B702" s="2" t="s">
        <v>173</v>
      </c>
      <c r="C702" s="20" t="str">
        <f>HYPERLINK(AA2 &amp; "/bulb/3dw_f515ab1e-e1ce-4fc4-a34e-f62482297d38/rendering/00.obj", "6.19804931641")</f>
        <v>6.19804931641</v>
      </c>
      <c r="D702" s="11" t="str">
        <f>HYPERLINK(AA2 &amp; "/bulb/3dw_f515ab1e-e1ce-4fc4-a34e-f62482297d38/rendering/01.obj", "1.84274871826")</f>
        <v>1.84274871826</v>
      </c>
      <c r="E702" s="170" t="str">
        <f>HYPERLINK(AA2 &amp; "/bulb/3dw_f515ab1e-e1ce-4fc4-a34e-f62482297d38/rendering/02.obj", "1.77008026123")</f>
        <v>1.77008026123</v>
      </c>
      <c r="F702" s="75" t="str">
        <f>HYPERLINK(AA2 &amp; "/bulb/3dw_f515ab1e-e1ce-4fc4-a34e-f62482297d38/rendering/03.obj", "1.84377868652")</f>
        <v>1.84377868652</v>
      </c>
      <c r="G702" s="11" t="str">
        <f>HYPERLINK(AA2 &amp; "/bulb/3dw_f515ab1e-e1ce-4fc4-a34e-f62482297d38/rendering/04.obj", "1.83668426514")</f>
        <v>1.83668426514</v>
      </c>
      <c r="H702" s="109" t="str">
        <f>HYPERLINK(AA2 &amp; "/bulb/3dw_f515ab1e-e1ce-4fc4-a34e-f62482297d38/rendering/05.obj", "1.92139373779")</f>
        <v>1.92139373779</v>
      </c>
      <c r="I702" s="135" t="str">
        <f>HYPERLINK(AA2 &amp; "/bulb/3dw_f515ab1e-e1ce-4fc4-a34e-f62482297d38/rendering/06.obj", "2.97508575439")</f>
        <v>2.97508575439</v>
      </c>
      <c r="J702" s="44" t="str">
        <f>HYPERLINK(AA2 &amp; "/bulb/3dw_f515ab1e-e1ce-4fc4-a34e-f62482297d38/rendering/07.obj", "1.9038848877")</f>
        <v>1.9038848877</v>
      </c>
      <c r="K702" s="44" t="str">
        <f>HYPERLINK(AA2 &amp; "/bulb/3dw_f515ab1e-e1ce-4fc4-a34e-f62482297d38/rendering/08.obj", "1.90815719604")</f>
        <v>1.90815719604</v>
      </c>
      <c r="L702" s="87" t="str">
        <f>HYPERLINK(AA2 &amp; "/bulb/3dw_f515ab1e-e1ce-4fc4-a34e-f62482297d38/rendering/09.obj", "1.8313381958")</f>
        <v>1.8313381958</v>
      </c>
      <c r="M702" s="20" t="str">
        <f>HYPERLINK(AA2 &amp; "/bulb/3dw_f515ab1e-e1ce-4fc4-a34e-f62482297d38/rendering/10.obj", "4.83930969238")</f>
        <v>4.83930969238</v>
      </c>
      <c r="N702" s="50" t="str">
        <f>HYPERLINK(AA2 &amp; "/bulb/3dw_f515ab1e-e1ce-4fc4-a34e-f62482297d38/rendering/11.obj", "1.90197753906")</f>
        <v>1.90197753906</v>
      </c>
      <c r="O702" s="13" t="str">
        <f>HYPERLINK(AA2 &amp; "/bulb/3dw_f515ab1e-e1ce-4fc4-a34e-f62482297d38/rendering/12.obj", "2.37726318359")</f>
        <v>2.37726318359</v>
      </c>
      <c r="P702" s="77" t="str">
        <f>HYPERLINK(AA2 &amp; "/bulb/3dw_f515ab1e-e1ce-4fc4-a34e-f62482297d38/rendering/13.obj", "1.92718200684")</f>
        <v>1.92718200684</v>
      </c>
      <c r="Q702" s="11" t="str">
        <f>HYPERLINK(AA2 &amp; "/bulb/3dw_f515ab1e-e1ce-4fc4-a34e-f62482297d38/rendering/14.obj", "1.84120910645")</f>
        <v>1.84120910645</v>
      </c>
      <c r="R702" s="90" t="str">
        <f>HYPERLINK(AA2 &amp; "/bulb/3dw_f515ab1e-e1ce-4fc4-a34e-f62482297d38/rendering/15.obj", "2.1469392395")</f>
        <v>2.1469392395</v>
      </c>
      <c r="S702" s="134" t="str">
        <f>HYPERLINK(AA2 &amp; "/bulb/3dw_f515ab1e-e1ce-4fc4-a34e-f62482297d38/rendering/16.obj", "2.80197021484")</f>
        <v>2.80197021484</v>
      </c>
      <c r="T702" s="136" t="str">
        <f>HYPERLINK(AA2 &amp; "/bulb/3dw_f515ab1e-e1ce-4fc4-a34e-f62482297d38/rendering/17.obj", "1.80761932373")</f>
        <v>1.80761932373</v>
      </c>
      <c r="U702" s="64" t="str">
        <f>HYPERLINK(AA2 &amp; "/bulb/3dw_f515ab1e-e1ce-4fc4-a34e-f62482297d38/rendering/18.obj", "1.98296463013")</f>
        <v>1.98296463013</v>
      </c>
      <c r="V702" s="129" t="str">
        <f>HYPERLINK(AA2 &amp; "/bulb/3dw_f515ab1e-e1ce-4fc4-a34e-f62482297d38/rendering/19.obj", "1.77797912598")</f>
        <v>1.77797912598</v>
      </c>
      <c r="W702" s="12" t="s">
        <v>29</v>
      </c>
      <c r="X702" s="13">
        <v>2.3717807540893561</v>
      </c>
      <c r="Y702" s="13">
        <v>1.117730568284341</v>
      </c>
      <c r="Z702" s="143">
        <v>0.47126217984406132</v>
      </c>
    </row>
    <row r="703" spans="1:26" x14ac:dyDescent="0.2">
      <c r="A703" s="1">
        <v>701</v>
      </c>
      <c r="B703" s="2" t="s">
        <v>173</v>
      </c>
      <c r="C703" s="20" t="str">
        <f>HYPERLINK(AA2 &amp; "/bulb/3dw_f515ab1e-e1ce-4fc4-a34e-f62482297d38/rendering/00.obj", "36.4977836609")</f>
        <v>36.4977836609</v>
      </c>
      <c r="D703" s="75" t="str">
        <f>HYPERLINK(AA2 &amp; "/bulb/3dw_f515ab1e-e1ce-4fc4-a34e-f62482297d38/rendering/01.obj", "6.96796703339")</f>
        <v>6.96796703339</v>
      </c>
      <c r="E703" s="103" t="str">
        <f>HYPERLINK(AA2 &amp; "/bulb/3dw_f515ab1e-e1ce-4fc4-a34e-f62482297d38/rendering/02.obj", "6.03109693527")</f>
        <v>6.03109693527</v>
      </c>
      <c r="F703" s="137" t="str">
        <f>HYPERLINK(AA2 &amp; "/bulb/3dw_f515ab1e-e1ce-4fc4-a34e-f62482297d38/rendering/03.obj", "5.67813920975")</f>
        <v>5.67813920975</v>
      </c>
      <c r="G703" s="111" t="str">
        <f>HYPERLINK(AA2 &amp; "/bulb/3dw_f515ab1e-e1ce-4fc4-a34e-f62482297d38/rendering/04.obj", "5.15947532654")</f>
        <v>5.15947532654</v>
      </c>
      <c r="H703" s="52" t="str">
        <f>HYPERLINK(AA2 &amp; "/bulb/3dw_f515ab1e-e1ce-4fc4-a34e-f62482297d38/rendering/05.obj", "5.35596561432")</f>
        <v>5.35596561432</v>
      </c>
      <c r="I703" s="76" t="str">
        <f>HYPERLINK(AA2 &amp; "/bulb/3dw_f515ab1e-e1ce-4fc4-a34e-f62482297d38/rendering/06.obj", "10.6028623581")</f>
        <v>10.6028623581</v>
      </c>
      <c r="J703" s="169" t="str">
        <f>HYPERLINK(AA2 &amp; "/bulb/3dw_f515ab1e-e1ce-4fc4-a34e-f62482297d38/rendering/07.obj", "6.15907621384")</f>
        <v>6.15907621384</v>
      </c>
      <c r="K703" s="14" t="str">
        <f>HYPERLINK(AA2 &amp; "/bulb/3dw_f515ab1e-e1ce-4fc4-a34e-f62482297d38/rendering/08.obj", "6.35226726532")</f>
        <v>6.35226726532</v>
      </c>
      <c r="L703" s="169" t="str">
        <f>HYPERLINK(AA2 &amp; "/bulb/3dw_f515ab1e-e1ce-4fc4-a34e-f62482297d38/rendering/09.obj", "6.14512586594")</f>
        <v>6.14512586594</v>
      </c>
      <c r="M703" s="20" t="str">
        <f>HYPERLINK(AA2 &amp; "/bulb/3dw_f515ab1e-e1ce-4fc4-a34e-f62482297d38/rendering/10.obj", "24.9398040771")</f>
        <v>24.9398040771</v>
      </c>
      <c r="N703" s="61" t="str">
        <f>HYPERLINK(AA2 &amp; "/bulb/3dw_f515ab1e-e1ce-4fc4-a34e-f62482297d38/rendering/11.obj", "6.24172258377")</f>
        <v>6.24172258377</v>
      </c>
      <c r="O703" s="187" t="str">
        <f>HYPERLINK(AA2 &amp; "/bulb/3dw_f515ab1e-e1ce-4fc4-a34e-f62482297d38/rendering/12.obj", "5.80878257751")</f>
        <v>5.80878257751</v>
      </c>
      <c r="P703" s="54" t="str">
        <f>HYPERLINK(AA2 &amp; "/bulb/3dw_f515ab1e-e1ce-4fc4-a34e-f62482297d38/rendering/13.obj", "6.01364421844")</f>
        <v>6.01364421844</v>
      </c>
      <c r="Q703" s="54" t="str">
        <f>HYPERLINK(AA2 &amp; "/bulb/3dw_f515ab1e-e1ce-4fc4-a34e-f62482297d38/rendering/14.obj", "6.00402116776")</f>
        <v>6.00402116776</v>
      </c>
      <c r="R703" s="11" t="str">
        <f>HYPERLINK(AA2 &amp; "/bulb/3dw_f515ab1e-e1ce-4fc4-a34e-f62482297d38/rendering/15.obj", "6.95124340057")</f>
        <v>6.95124340057</v>
      </c>
      <c r="S703" s="37" t="str">
        <f>HYPERLINK(AA2 &amp; "/bulb/3dw_f515ab1e-e1ce-4fc4-a34e-f62482297d38/rendering/16.obj", "10.5081548691")</f>
        <v>10.5081548691</v>
      </c>
      <c r="T703" s="101" t="str">
        <f>HYPERLINK(AA2 &amp; "/bulb/3dw_f515ab1e-e1ce-4fc4-a34e-f62482297d38/rendering/17.obj", "5.559466362")</f>
        <v>5.559466362</v>
      </c>
      <c r="U703" s="7" t="str">
        <f>HYPERLINK(AA2 &amp; "/bulb/3dw_f515ab1e-e1ce-4fc4-a34e-f62482297d38/rendering/18.obj", "6.46249771118")</f>
        <v>6.46249771118</v>
      </c>
      <c r="V703" s="172" t="str">
        <f>HYPERLINK(AA2 &amp; "/bulb/3dw_f515ab1e-e1ce-4fc4-a34e-f62482297d38/rendering/19.obj", "5.49982452393")</f>
        <v>5.49982452393</v>
      </c>
      <c r="W703" s="12" t="s">
        <v>30</v>
      </c>
      <c r="X703" s="13">
        <v>8.9469460487365726</v>
      </c>
      <c r="Y703" s="13">
        <v>7.6178816641496869</v>
      </c>
      <c r="Z703" s="20">
        <v>0.85145049748292967</v>
      </c>
    </row>
    <row r="704" spans="1:26" x14ac:dyDescent="0.2">
      <c r="A704" s="1">
        <v>702</v>
      </c>
      <c r="B704" s="2" t="s">
        <v>173</v>
      </c>
      <c r="C704" s="90" t="str">
        <f>HYPERLINK(AB2 &amp; "/bulb/3dw_f515ab1e-e1ce-4fc4-a34e-f62482297d38/rendering/00.obj", "1.73567642212")</f>
        <v>1.73567642212</v>
      </c>
      <c r="D704" s="13" t="str">
        <f>HYPERLINK(AB2 &amp; "/bulb/3dw_f515ab1e-e1ce-4fc4-a34e-f62482297d38/rendering/01.obj", "1.91821685791")</f>
        <v>1.91821685791</v>
      </c>
      <c r="E704" s="23" t="str">
        <f>HYPERLINK(AB2 &amp; "/bulb/3dw_f515ab1e-e1ce-4fc4-a34e-f62482297d38/rendering/02.obj", "1.99477539063")</f>
        <v>1.99477539063</v>
      </c>
      <c r="F704" s="11" t="str">
        <f>HYPERLINK(AB2 &amp; "/bulb/3dw_f515ab1e-e1ce-4fc4-a34e-f62482297d38/rendering/03.obj", "2.35018371582")</f>
        <v>2.35018371582</v>
      </c>
      <c r="G704" s="106" t="str">
        <f>HYPERLINK(AB2 &amp; "/bulb/3dw_f515ab1e-e1ce-4fc4-a34e-f62482297d38/rendering/04.obj", "2.14063369751")</f>
        <v>2.14063369751</v>
      </c>
      <c r="H704" s="39" t="str">
        <f>HYPERLINK(AB2 &amp; "/bulb/3dw_f515ab1e-e1ce-4fc4-a34e-f62482297d38/rendering/05.obj", "2.08684707642")</f>
        <v>2.08684707642</v>
      </c>
      <c r="I704" s="26" t="str">
        <f>HYPERLINK(AB2 &amp; "/bulb/3dw_f515ab1e-e1ce-4fc4-a34e-f62482297d38/rendering/06.obj", "1.79415557861")</f>
        <v>1.79415557861</v>
      </c>
      <c r="J704" s="107" t="str">
        <f>HYPERLINK(AB2 &amp; "/bulb/3dw_f515ab1e-e1ce-4fc4-a34e-f62482297d38/rendering/07.obj", "1.76006393433")</f>
        <v>1.76006393433</v>
      </c>
      <c r="K704" s="27" t="str">
        <f>HYPERLINK(AB2 &amp; "/bulb/3dw_f515ab1e-e1ce-4fc4-a34e-f62482297d38/rendering/08.obj", "1.78478729248")</f>
        <v>1.78478729248</v>
      </c>
      <c r="L704" s="63" t="str">
        <f>HYPERLINK(AB2 &amp; "/bulb/3dw_f515ab1e-e1ce-4fc4-a34e-f62482297d38/rendering/09.obj", "2.15255905151")</f>
        <v>2.15255905151</v>
      </c>
      <c r="M704" s="27" t="str">
        <f>HYPERLINK(AB2 &amp; "/bulb/3dw_f515ab1e-e1ce-4fc4-a34e-f62482297d38/rendering/10.obj", "1.78149795532")</f>
        <v>1.78149795532</v>
      </c>
      <c r="N704" s="8" t="str">
        <f>HYPERLINK(AB2 &amp; "/bulb/3dw_f515ab1e-e1ce-4fc4-a34e-f62482297d38/rendering/11.obj", "1.64867248535")</f>
        <v>1.64867248535</v>
      </c>
      <c r="O704" s="13" t="str">
        <f>HYPERLINK(AB2 &amp; "/bulb/3dw_f515ab1e-e1ce-4fc4-a34e-f62482297d38/rendering/12.obj", "1.91498352051")</f>
        <v>1.91498352051</v>
      </c>
      <c r="P704" s="42" t="str">
        <f>HYPERLINK(AB2 &amp; "/bulb/3dw_f515ab1e-e1ce-4fc4-a34e-f62482297d38/rendering/13.obj", "2.18348602295")</f>
        <v>2.18348602295</v>
      </c>
      <c r="Q704" s="27" t="str">
        <f>HYPERLINK(AB2 &amp; "/bulb/3dw_f515ab1e-e1ce-4fc4-a34e-f62482297d38/rendering/14.obj", "2.05535980225")</f>
        <v>2.05535980225</v>
      </c>
      <c r="R704" s="38" t="str">
        <f>HYPERLINK(AB2 &amp; "/bulb/3dw_f515ab1e-e1ce-4fc4-a34e-f62482297d38/rendering/15.obj", "1.74797210693")</f>
        <v>1.74797210693</v>
      </c>
      <c r="S704" s="17" t="str">
        <f>HYPERLINK(AB2 &amp; "/bulb/3dw_f515ab1e-e1ce-4fc4-a34e-f62482297d38/rendering/16.obj", "1.87867324829")</f>
        <v>1.87867324829</v>
      </c>
      <c r="T704" s="30" t="str">
        <f>HYPERLINK(AB2 &amp; "/bulb/3dw_f515ab1e-e1ce-4fc4-a34e-f62482297d38/rendering/17.obj", "1.91043243408")</f>
        <v>1.91043243408</v>
      </c>
      <c r="U704" s="27" t="str">
        <f>HYPERLINK(AB2 &amp; "/bulb/3dw_f515ab1e-e1ce-4fc4-a34e-f62482297d38/rendering/18.obj", "1.78554092407")</f>
        <v>1.78554092407</v>
      </c>
      <c r="V704" s="5" t="str">
        <f>HYPERLINK(AB2 &amp; "/bulb/3dw_f515ab1e-e1ce-4fc4-a34e-f62482297d38/rendering/19.obj", "1.77144714355")</f>
        <v>1.77144714355</v>
      </c>
      <c r="W704" s="12" t="s">
        <v>31</v>
      </c>
      <c r="X704" s="13">
        <v>1.919798233032227</v>
      </c>
      <c r="Y704" s="13">
        <v>0.18262538894400601</v>
      </c>
      <c r="Z704" s="90">
        <v>9.5127386723113216E-2</v>
      </c>
    </row>
    <row r="705" spans="1:26" x14ac:dyDescent="0.2">
      <c r="A705" s="1">
        <v>703</v>
      </c>
      <c r="B705" s="2" t="s">
        <v>173</v>
      </c>
      <c r="C705" s="33" t="str">
        <f>HYPERLINK(AB2 &amp; "/bulb/3dw_f515ab1e-e1ce-4fc4-a34e-f62482297d38/rendering/00.obj", "5.2427406311")</f>
        <v>5.2427406311</v>
      </c>
      <c r="D705" s="23" t="str">
        <f>HYPERLINK(AB2 &amp; "/bulb/3dw_f515ab1e-e1ce-4fc4-a34e-f62482297d38/rendering/01.obj", "5.64313697815")</f>
        <v>5.64313697815</v>
      </c>
      <c r="E705" s="27" t="str">
        <f>HYPERLINK(AB2 &amp; "/bulb/3dw_f515ab1e-e1ce-4fc4-a34e-f62482297d38/rendering/02.obj", "5.46717071533")</f>
        <v>5.46717071533</v>
      </c>
      <c r="F705" s="121" t="str">
        <f>HYPERLINK(AB2 &amp; "/bulb/3dw_f515ab1e-e1ce-4fc4-a34e-f62482297d38/rendering/03.obj", "7.94745111465")</f>
        <v>7.94745111465</v>
      </c>
      <c r="G705" s="107" t="str">
        <f>HYPERLINK(AB2 &amp; "/bulb/3dw_f515ab1e-e1ce-4fc4-a34e-f62482297d38/rendering/04.obj", "5.37694406509")</f>
        <v>5.37694406509</v>
      </c>
      <c r="H705" s="83" t="str">
        <f>HYPERLINK(AB2 &amp; "/bulb/3dw_f515ab1e-e1ce-4fc4-a34e-f62482297d38/rendering/05.obj", "6.77470636368")</f>
        <v>6.77470636368</v>
      </c>
      <c r="I705" s="8" t="str">
        <f>HYPERLINK(AB2 &amp; "/bulb/3dw_f515ab1e-e1ce-4fc4-a34e-f62482297d38/rendering/06.obj", "5.0387005806")</f>
        <v>5.0387005806</v>
      </c>
      <c r="J705" s="83" t="str">
        <f>HYPERLINK(AB2 &amp; "/bulb/3dw_f515ab1e-e1ce-4fc4-a34e-f62482297d38/rendering/07.obj", "4.97773933411")</f>
        <v>4.97773933411</v>
      </c>
      <c r="K705" s="8" t="str">
        <f>HYPERLINK(AB2 &amp; "/bulb/3dw_f515ab1e-e1ce-4fc4-a34e-f62482297d38/rendering/08.obj", "5.02694368362")</f>
        <v>5.02694368362</v>
      </c>
      <c r="L705" s="118" t="str">
        <f>HYPERLINK(AB2 &amp; "/bulb/3dw_f515ab1e-e1ce-4fc4-a34e-f62482297d38/rendering/09.obj", "7.59417772293")</f>
        <v>7.59417772293</v>
      </c>
      <c r="M705" s="34" t="str">
        <f>HYPERLINK(AB2 &amp; "/bulb/3dw_f515ab1e-e1ce-4fc4-a34e-f62482297d38/rendering/10.obj", "5.58456850052")</f>
        <v>5.58456850052</v>
      </c>
      <c r="N705" s="40" t="str">
        <f>HYPERLINK(AB2 &amp; "/bulb/3dw_f515ab1e-e1ce-4fc4-a34e-f62482297d38/rendering/11.obj", "4.87086391449")</f>
        <v>4.87086391449</v>
      </c>
      <c r="O705" s="51" t="str">
        <f>HYPERLINK(AB2 &amp; "/bulb/3dw_f515ab1e-e1ce-4fc4-a34e-f62482297d38/rendering/12.obj", "6.34487247467")</f>
        <v>6.34487247467</v>
      </c>
      <c r="P705" s="81" t="str">
        <f>HYPERLINK(AB2 &amp; "/bulb/3dw_f515ab1e-e1ce-4fc4-a34e-f62482297d38/rendering/13.obj", "7.15149879456")</f>
        <v>7.15149879456</v>
      </c>
      <c r="Q705" s="119" t="str">
        <f>HYPERLINK(AB2 &amp; "/bulb/3dw_f515ab1e-e1ce-4fc4-a34e-f62482297d38/rendering/14.obj", "7.42625141144")</f>
        <v>7.42625141144</v>
      </c>
      <c r="R705" s="74" t="str">
        <f>HYPERLINK(AB2 &amp; "/bulb/3dw_f515ab1e-e1ce-4fc4-a34e-f62482297d38/rendering/15.obj", "5.94949960709")</f>
        <v>5.94949960709</v>
      </c>
      <c r="S705" s="26" t="str">
        <f>HYPERLINK(AB2 &amp; "/bulb/3dw_f515ab1e-e1ce-4fc4-a34e-f62482297d38/rendering/16.obj", "5.48913764954")</f>
        <v>5.48913764954</v>
      </c>
      <c r="T705" s="73" t="str">
        <f>HYPERLINK(AB2 &amp; "/bulb/3dw_f515ab1e-e1ce-4fc4-a34e-f62482297d38/rendering/17.obj", "5.66292285919")</f>
        <v>5.66292285919</v>
      </c>
      <c r="U705" s="84" t="str">
        <f>HYPERLINK(AB2 &amp; "/bulb/3dw_f515ab1e-e1ce-4fc4-a34e-f62482297d38/rendering/18.obj", "5.02284383774")</f>
        <v>5.02284383774</v>
      </c>
      <c r="V705" s="40" t="str">
        <f>HYPERLINK(AB2 &amp; "/bulb/3dw_f515ab1e-e1ce-4fc4-a34e-f62482297d38/rendering/19.obj", "4.87291002274")</f>
        <v>4.87291002274</v>
      </c>
      <c r="W705" s="12" t="s">
        <v>32</v>
      </c>
      <c r="X705" s="13">
        <v>5.8732540130615236</v>
      </c>
      <c r="Y705" s="13">
        <v>0.95996424623687715</v>
      </c>
      <c r="Z705" s="64">
        <v>0.16344674419019059</v>
      </c>
    </row>
    <row r="706" spans="1:26" x14ac:dyDescent="0.2">
      <c r="A706" s="1">
        <v>704</v>
      </c>
      <c r="B706" s="2" t="s">
        <v>173</v>
      </c>
      <c r="C706" s="13" t="str">
        <f>HYPERLINK(AC2 &amp; "/bulb/3dw_f515ab1e-e1ce-4fc4-a34e-f62482297d38/rendering/00.xyz", "0.0")</f>
        <v>0.0</v>
      </c>
      <c r="D706" s="13" t="str">
        <f>HYPERLINK(AC2 &amp; "/bulb/3dw_f515ab1e-e1ce-4fc4-a34e-f62482297d38/rendering/01.xyz", "0.0")</f>
        <v>0.0</v>
      </c>
      <c r="E706" s="13" t="str">
        <f>HYPERLINK(AC2 &amp; "/bulb/3dw_f515ab1e-e1ce-4fc4-a34e-f62482297d38/rendering/02.xyz", "0.0")</f>
        <v>0.0</v>
      </c>
      <c r="F706" s="13" t="str">
        <f>HYPERLINK(AC2 &amp; "/bulb/3dw_f515ab1e-e1ce-4fc4-a34e-f62482297d38/rendering/03.xyz", "0.0")</f>
        <v>0.0</v>
      </c>
      <c r="G706" s="13" t="str">
        <f>HYPERLINK(AC2 &amp; "/bulb/3dw_f515ab1e-e1ce-4fc4-a34e-f62482297d38/rendering/04.xyz", "0.0")</f>
        <v>0.0</v>
      </c>
      <c r="H706" s="13" t="str">
        <f>HYPERLINK(AC2 &amp; "/bulb/3dw_f515ab1e-e1ce-4fc4-a34e-f62482297d38/rendering/05.xyz", "0.0")</f>
        <v>0.0</v>
      </c>
      <c r="I706" s="13" t="str">
        <f>HYPERLINK(AC2 &amp; "/bulb/3dw_f515ab1e-e1ce-4fc4-a34e-f62482297d38/rendering/06.xyz", "0.0")</f>
        <v>0.0</v>
      </c>
      <c r="J706" s="13" t="str">
        <f>HYPERLINK(AC2 &amp; "/bulb/3dw_f515ab1e-e1ce-4fc4-a34e-f62482297d38/rendering/07.xyz", "0.0")</f>
        <v>0.0</v>
      </c>
      <c r="K706" s="13" t="str">
        <f>HYPERLINK(AC2 &amp; "/bulb/3dw_f515ab1e-e1ce-4fc4-a34e-f62482297d38/rendering/08.xyz", "0.0")</f>
        <v>0.0</v>
      </c>
      <c r="L706" s="13" t="str">
        <f>HYPERLINK(AC2 &amp; "/bulb/3dw_f515ab1e-e1ce-4fc4-a34e-f62482297d38/rendering/09.xyz", "0.0")</f>
        <v>0.0</v>
      </c>
      <c r="M706" s="13" t="str">
        <f>HYPERLINK(AC2 &amp; "/bulb/3dw_f515ab1e-e1ce-4fc4-a34e-f62482297d38/rendering/10.xyz", "0.0")</f>
        <v>0.0</v>
      </c>
      <c r="N706" s="13" t="str">
        <f>HYPERLINK(AC2 &amp; "/bulb/3dw_f515ab1e-e1ce-4fc4-a34e-f62482297d38/rendering/11.xyz", "0.0")</f>
        <v>0.0</v>
      </c>
      <c r="O706" s="13" t="str">
        <f>HYPERLINK(AC2 &amp; "/bulb/3dw_f515ab1e-e1ce-4fc4-a34e-f62482297d38/rendering/12.xyz", "0.0")</f>
        <v>0.0</v>
      </c>
      <c r="P706" s="13" t="str">
        <f>HYPERLINK(AC2 &amp; "/bulb/3dw_f515ab1e-e1ce-4fc4-a34e-f62482297d38/rendering/13.xyz", "0.0")</f>
        <v>0.0</v>
      </c>
      <c r="Q706" s="13" t="str">
        <f>HYPERLINK(AC2 &amp; "/bulb/3dw_f515ab1e-e1ce-4fc4-a34e-f62482297d38/rendering/14.xyz", "0.0")</f>
        <v>0.0</v>
      </c>
      <c r="R706" s="13" t="str">
        <f>HYPERLINK(AC2 &amp; "/bulb/3dw_f515ab1e-e1ce-4fc4-a34e-f62482297d38/rendering/15.xyz", "0.0")</f>
        <v>0.0</v>
      </c>
      <c r="S706" s="13" t="str">
        <f>HYPERLINK(AC2 &amp; "/bulb/3dw_f515ab1e-e1ce-4fc4-a34e-f62482297d38/rendering/16.xyz", "0.0")</f>
        <v>0.0</v>
      </c>
      <c r="T706" s="13" t="str">
        <f>HYPERLINK(AC2 &amp; "/bulb/3dw_f515ab1e-e1ce-4fc4-a34e-f62482297d38/rendering/17.xyz", "0.0")</f>
        <v>0.0</v>
      </c>
      <c r="U706" s="13" t="str">
        <f>HYPERLINK(AC2 &amp; "/bulb/3dw_f515ab1e-e1ce-4fc4-a34e-f62482297d38/rendering/18.xyz", "0.0")</f>
        <v>0.0</v>
      </c>
      <c r="V706" s="13" t="str">
        <f>HYPERLINK(AC2 &amp; "/bulb/3dw_f515ab1e-e1ce-4fc4-a34e-f62482297d38/rendering/19.xyz", "0.0")</f>
        <v>0.0</v>
      </c>
      <c r="W706" s="12" t="s">
        <v>33</v>
      </c>
      <c r="X706" s="13">
        <v>0</v>
      </c>
      <c r="Y706" s="13">
        <v>0</v>
      </c>
      <c r="Z706" s="13">
        <v>0</v>
      </c>
    </row>
    <row r="707" spans="1:26" x14ac:dyDescent="0.2">
      <c r="A707" s="1">
        <v>705</v>
      </c>
      <c r="B707" s="2" t="s">
        <v>174</v>
      </c>
      <c r="C707" s="25" t="str">
        <f>HYPERLINK(AA2 &amp; "/bulb/3dw_f6f5f009-b1cc-4ed2-b19d-8a50f757b322/rendering/00.obj", "0.848413009644")</f>
        <v>0.848413009644</v>
      </c>
      <c r="D707" s="60" t="str">
        <f>HYPERLINK(AA2 &amp; "/bulb/3dw_f6f5f009-b1cc-4ed2-b19d-8a50f757b322/rendering/01.obj", "0.813001708984")</f>
        <v>0.813001708984</v>
      </c>
      <c r="E707" s="41" t="str">
        <f>HYPERLINK(AA2 &amp; "/bulb/3dw_f6f5f009-b1cc-4ed2-b19d-8a50f757b322/rendering/02.obj", "0.8008152771")</f>
        <v>0.8008152771</v>
      </c>
      <c r="F707" s="90" t="str">
        <f>HYPERLINK(AA2 &amp; "/bulb/3dw_f6f5f009-b1cc-4ed2-b19d-8a50f757b322/rendering/03.obj", "0.774825286865")</f>
        <v>0.774825286865</v>
      </c>
      <c r="G707" s="63" t="str">
        <f>HYPERLINK(AA2 &amp; "/bulb/3dw_f6f5f009-b1cc-4ed2-b19d-8a50f757b322/rendering/04.obj", "0.755161590576")</f>
        <v>0.755161590576</v>
      </c>
      <c r="H707" s="36" t="str">
        <f>HYPERLINK(AA2 &amp; "/bulb/3dw_f6f5f009-b1cc-4ed2-b19d-8a50f757b322/rendering/05.obj", "1.041197052")</f>
        <v>1.041197052</v>
      </c>
      <c r="I707" s="74" t="str">
        <f>HYPERLINK(AA2 &amp; "/bulb/3dw_f6f5f009-b1cc-4ed2-b19d-8a50f757b322/rendering/06.obj", "0.844773330688")</f>
        <v>0.844773330688</v>
      </c>
      <c r="J707" s="73" t="str">
        <f>HYPERLINK(AA2 &amp; "/bulb/3dw_f6f5f009-b1cc-4ed2-b19d-8a50f757b322/rendering/07.obj", "0.826579818726")</f>
        <v>0.826579818726</v>
      </c>
      <c r="K707" s="78" t="str">
        <f>HYPERLINK(AA2 &amp; "/bulb/3dw_f6f5f009-b1cc-4ed2-b19d-8a50f757b322/rendering/08.obj", "0.911391220093")</f>
        <v>0.911391220093</v>
      </c>
      <c r="L707" s="67" t="str">
        <f>HYPERLINK(AA2 &amp; "/bulb/3dw_f6f5f009-b1cc-4ed2-b19d-8a50f757b322/rendering/09.obj", "0.777587661743")</f>
        <v>0.777587661743</v>
      </c>
      <c r="M707" s="26" t="str">
        <f>HYPERLINK(AA2 &amp; "/bulb/3dw_f6f5f009-b1cc-4ed2-b19d-8a50f757b322/rendering/10.obj", "0.803457946777")</f>
        <v>0.803457946777</v>
      </c>
      <c r="N707" s="13" t="str">
        <f>HYPERLINK(AA2 &amp; "/bulb/3dw_f6f5f009-b1cc-4ed2-b19d-8a50f757b322/rendering/11.obj", "0.857171020508")</f>
        <v>0.857171020508</v>
      </c>
      <c r="O707" s="17" t="str">
        <f>HYPERLINK(AA2 &amp; "/bulb/3dw_f6f5f009-b1cc-4ed2-b19d-8a50f757b322/rendering/12.obj", "0.875741424561")</f>
        <v>0.875741424561</v>
      </c>
      <c r="P707" s="69" t="str">
        <f>HYPERLINK(AA2 &amp; "/bulb/3dw_f6f5f009-b1cc-4ed2-b19d-8a50f757b322/rendering/13.obj", "0.831933898926")</f>
        <v>0.831933898926</v>
      </c>
      <c r="Q707" s="89" t="str">
        <f>HYPERLINK(AA2 &amp; "/bulb/3dw_f6f5f009-b1cc-4ed2-b19d-8a50f757b322/rendering/14.obj", "1.07964126587")</f>
        <v>1.07964126587</v>
      </c>
      <c r="R707" s="60" t="str">
        <f>HYPERLINK(AA2 &amp; "/bulb/3dw_f6f5f009-b1cc-4ed2-b19d-8a50f757b322/rendering/15.obj", "0.901904830933")</f>
        <v>0.901904830933</v>
      </c>
      <c r="S707" s="74" t="str">
        <f>HYPERLINK(AA2 &amp; "/bulb/3dw_f6f5f009-b1cc-4ed2-b19d-8a50f757b322/rendering/16.obj", "0.870848464966")</f>
        <v>0.870848464966</v>
      </c>
      <c r="T707" s="69" t="str">
        <f>HYPERLINK(AA2 &amp; "/bulb/3dw_f6f5f009-b1cc-4ed2-b19d-8a50f757b322/rendering/17.obj", "0.883183135986")</f>
        <v>0.883183135986</v>
      </c>
      <c r="U707" s="72" t="str">
        <f>HYPERLINK(AA2 &amp; "/bulb/3dw_f6f5f009-b1cc-4ed2-b19d-8a50f757b322/rendering/18.obj", "0.886783905029")</f>
        <v>0.886783905029</v>
      </c>
      <c r="V707" s="110" t="str">
        <f>HYPERLINK(AA2 &amp; "/bulb/3dw_f6f5f009-b1cc-4ed2-b19d-8a50f757b322/rendering/19.obj", "0.774091186523")</f>
        <v>0.774091186523</v>
      </c>
      <c r="W707" s="12" t="s">
        <v>29</v>
      </c>
      <c r="X707" s="13">
        <v>0.85792515182495133</v>
      </c>
      <c r="Y707" s="13">
        <v>8.0811908282932193E-2</v>
      </c>
      <c r="Z707" s="90">
        <v>9.4194590415063187E-2</v>
      </c>
    </row>
    <row r="708" spans="1:26" x14ac:dyDescent="0.2">
      <c r="A708" s="1">
        <v>706</v>
      </c>
      <c r="B708" s="2" t="s">
        <v>174</v>
      </c>
      <c r="C708" s="6" t="str">
        <f>HYPERLINK(AA2 &amp; "/bulb/3dw_f6f5f009-b1cc-4ed2-b19d-8a50f757b322/rendering/00.obj", "2.66104865074")</f>
        <v>2.66104865074</v>
      </c>
      <c r="D708" s="39" t="str">
        <f>HYPERLINK(AA2 &amp; "/bulb/3dw_f6f5f009-b1cc-4ed2-b19d-8a50f757b322/rendering/01.obj", "2.32145094872")</f>
        <v>2.32145094872</v>
      </c>
      <c r="E708" s="13" t="str">
        <f>HYPERLINK(AA2 &amp; "/bulb/3dw_f6f5f009-b1cc-4ed2-b19d-8a50f757b322/rendering/02.obj", "2.54119539261")</f>
        <v>2.54119539261</v>
      </c>
      <c r="F708" s="90" t="str">
        <f>HYPERLINK(AA2 &amp; "/bulb/3dw_f6f5f009-b1cc-4ed2-b19d-8a50f757b322/rendering/03.obj", "2.29690814018")</f>
        <v>2.29690814018</v>
      </c>
      <c r="G708" s="93" t="str">
        <f>HYPERLINK(AA2 &amp; "/bulb/3dw_f6f5f009-b1cc-4ed2-b19d-8a50f757b322/rendering/04.obj", "2.18533396721")</f>
        <v>2.18533396721</v>
      </c>
      <c r="H708" s="82" t="str">
        <f>HYPERLINK(AA2 &amp; "/bulb/3dw_f6f5f009-b1cc-4ed2-b19d-8a50f757b322/rendering/05.obj", "3.06003785133")</f>
        <v>3.06003785133</v>
      </c>
      <c r="I708" s="26" t="str">
        <f>HYPERLINK(AA2 &amp; "/bulb/3dw_f6f5f009-b1cc-4ed2-b19d-8a50f757b322/rendering/06.obj", "2.70747900009")</f>
        <v>2.70747900009</v>
      </c>
      <c r="J708" s="27" t="str">
        <f>HYPERLINK(AA2 &amp; "/bulb/3dw_f6f5f009-b1cc-4ed2-b19d-8a50f757b322/rendering/07.obj", "2.36577224731")</f>
        <v>2.36577224731</v>
      </c>
      <c r="K708" s="91" t="str">
        <f>HYPERLINK(AA2 &amp; "/bulb/3dw_f6f5f009-b1cc-4ed2-b19d-8a50f757b322/rendering/08.obj", "2.6108288765")</f>
        <v>2.6108288765</v>
      </c>
      <c r="L708" s="71" t="str">
        <f>HYPERLINK(AA2 &amp; "/bulb/3dw_f6f5f009-b1cc-4ed2-b19d-8a50f757b322/rendering/09.obj", "2.23900008202")</f>
        <v>2.23900008202</v>
      </c>
      <c r="M708" s="35" t="str">
        <f>HYPERLINK(AA2 &amp; "/bulb/3dw_f6f5f009-b1cc-4ed2-b19d-8a50f757b322/rendering/10.obj", "2.39747166634")</f>
        <v>2.39747166634</v>
      </c>
      <c r="N708" s="17" t="str">
        <f>HYPERLINK(AA2 &amp; "/bulb/3dw_f6f5f009-b1cc-4ed2-b19d-8a50f757b322/rendering/11.obj", "2.49032878876")</f>
        <v>2.49032878876</v>
      </c>
      <c r="O708" s="68" t="str">
        <f>HYPERLINK(AA2 &amp; "/bulb/3dw_f6f5f009-b1cc-4ed2-b19d-8a50f757b322/rendering/12.obj", "2.43258357048")</f>
        <v>2.43258357048</v>
      </c>
      <c r="P708" s="73" t="str">
        <f>HYPERLINK(AA2 &amp; "/bulb/3dw_f6f5f009-b1cc-4ed2-b19d-8a50f757b322/rendering/13.obj", "2.44904565811")</f>
        <v>2.44904565811</v>
      </c>
      <c r="Q708" s="88" t="str">
        <f>HYPERLINK(AA2 &amp; "/bulb/3dw_f6f5f009-b1cc-4ed2-b19d-8a50f757b322/rendering/14.obj", "3.05374073982")</f>
        <v>3.05374073982</v>
      </c>
      <c r="R708" s="17" t="str">
        <f>HYPERLINK(AA2 &amp; "/bulb/3dw_f6f5f009-b1cc-4ed2-b19d-8a50f757b322/rendering/15.obj", "2.49042320251")</f>
        <v>2.49042320251</v>
      </c>
      <c r="S708" s="10" t="str">
        <f>HYPERLINK(AA2 &amp; "/bulb/3dw_f6f5f009-b1cc-4ed2-b19d-8a50f757b322/rendering/16.obj", "2.67857241631")</f>
        <v>2.67857241631</v>
      </c>
      <c r="T708" s="90" t="str">
        <f>HYPERLINK(AA2 &amp; "/bulb/3dw_f6f5f009-b1cc-4ed2-b19d-8a50f757b322/rendering/17.obj", "2.78710246086")</f>
        <v>2.78710246086</v>
      </c>
      <c r="U708" s="94" t="str">
        <f>HYPERLINK(AA2 &amp; "/bulb/3dw_f6f5f009-b1cc-4ed2-b19d-8a50f757b322/rendering/18.obj", "2.72707295418")</f>
        <v>2.72707295418</v>
      </c>
      <c r="V708" s="51" t="str">
        <f>HYPERLINK(AA2 &amp; "/bulb/3dw_f6f5f009-b1cc-4ed2-b19d-8a50f757b322/rendering/19.obj", "2.33493900299")</f>
        <v>2.33493900299</v>
      </c>
      <c r="W708" s="12" t="s">
        <v>30</v>
      </c>
      <c r="X708" s="13">
        <v>2.541516780853271</v>
      </c>
      <c r="Y708" s="13">
        <v>0.23853755328113441</v>
      </c>
      <c r="Z708" s="67">
        <v>9.3856375483403046E-2</v>
      </c>
    </row>
    <row r="709" spans="1:26" x14ac:dyDescent="0.2">
      <c r="A709" s="1">
        <v>707</v>
      </c>
      <c r="B709" s="2" t="s">
        <v>174</v>
      </c>
      <c r="C709" s="23" t="str">
        <f>HYPERLINK(AB2 &amp; "/bulb/3dw_f6f5f009-b1cc-4ed2-b19d-8a50f757b322/rendering/00.obj", "0.892178039551")</f>
        <v>0.892178039551</v>
      </c>
      <c r="D709" s="34" t="str">
        <f>HYPERLINK(AB2 &amp; "/bulb/3dw_f6f5f009-b1cc-4ed2-b19d-8a50f757b322/rendering/01.obj", "0.900065231323")</f>
        <v>0.900065231323</v>
      </c>
      <c r="E709" s="60" t="str">
        <f>HYPERLINK(AB2 &amp; "/bulb/3dw_f6f5f009-b1cc-4ed2-b19d-8a50f757b322/rendering/02.obj", "0.904331512451")</f>
        <v>0.904331512451</v>
      </c>
      <c r="F709" s="17" t="str">
        <f>HYPERLINK(AB2 &amp; "/bulb/3dw_f6f5f009-b1cc-4ed2-b19d-8a50f757b322/rendering/03.obj", "0.87772644043")</f>
        <v>0.87772644043</v>
      </c>
      <c r="G709" s="30" t="str">
        <f>HYPERLINK(AB2 &amp; "/bulb/3dw_f6f5f009-b1cc-4ed2-b19d-8a50f757b322/rendering/04.obj", "0.854021987915")</f>
        <v>0.854021987915</v>
      </c>
      <c r="H709" s="68" t="str">
        <f>HYPERLINK(AB2 &amp; "/bulb/3dw_f6f5f009-b1cc-4ed2-b19d-8a50f757b322/rendering/05.obj", "0.82418258667")</f>
        <v>0.82418258667</v>
      </c>
      <c r="I709" s="47" t="str">
        <f>HYPERLINK(AB2 &amp; "/bulb/3dw_f6f5f009-b1cc-4ed2-b19d-8a50f757b322/rendering/06.obj", "0.866217880249")</f>
        <v>0.866217880249</v>
      </c>
      <c r="J709" s="69" t="str">
        <f>HYPERLINK(AB2 &amp; "/bulb/3dw_f6f5f009-b1cc-4ed2-b19d-8a50f757b322/rendering/07.obj", "0.883759307861")</f>
        <v>0.883759307861</v>
      </c>
      <c r="K709" s="30" t="str">
        <f>HYPERLINK(AB2 &amp; "/bulb/3dw_f6f5f009-b1cc-4ed2-b19d-8a50f757b322/rendering/08.obj", "0.855561676025")</f>
        <v>0.855561676025</v>
      </c>
      <c r="L709" s="6" t="str">
        <f>HYPERLINK(AB2 &amp; "/bulb/3dw_f6f5f009-b1cc-4ed2-b19d-8a50f757b322/rendering/09.obj", "0.82096496582")</f>
        <v>0.82096496582</v>
      </c>
      <c r="M709" s="47" t="str">
        <f>HYPERLINK(AB2 &amp; "/bulb/3dw_f6f5f009-b1cc-4ed2-b19d-8a50f757b322/rendering/10.obj", "0.851339263916")</f>
        <v>0.851339263916</v>
      </c>
      <c r="N709" s="68" t="str">
        <f>HYPERLINK(AB2 &amp; "/bulb/3dw_f6f5f009-b1cc-4ed2-b19d-8a50f757b322/rendering/11.obj", "0.822962036133")</f>
        <v>0.822962036133</v>
      </c>
      <c r="O709" s="23" t="str">
        <f>HYPERLINK(AB2 &amp; "/bulb/3dw_f6f5f009-b1cc-4ed2-b19d-8a50f757b322/rendering/12.obj", "0.824542999268")</f>
        <v>0.824542999268</v>
      </c>
      <c r="P709" s="26" t="str">
        <f>HYPERLINK(AB2 &amp; "/bulb/3dw_f6f5f009-b1cc-4ed2-b19d-8a50f757b322/rendering/13.obj", "0.91426902771")</f>
        <v>0.91426902771</v>
      </c>
      <c r="Q709" s="46" t="str">
        <f>HYPERLINK(AB2 &amp; "/bulb/3dw_f6f5f009-b1cc-4ed2-b19d-8a50f757b322/rendering/14.obj", "0.873307647705")</f>
        <v>0.873307647705</v>
      </c>
      <c r="R709" s="25" t="str">
        <f>HYPERLINK(AB2 &amp; "/bulb/3dw_f6f5f009-b1cc-4ed2-b19d-8a50f757b322/rendering/15.obj", "0.869319229126")</f>
        <v>0.869319229126</v>
      </c>
      <c r="S709" s="46" t="str">
        <f>HYPERLINK(AB2 &amp; "/bulb/3dw_f6f5f009-b1cc-4ed2-b19d-8a50f757b322/rendering/16.obj", "0.844726638794")</f>
        <v>0.844726638794</v>
      </c>
      <c r="T709" s="73" t="str">
        <f>HYPERLINK(AB2 &amp; "/bulb/3dw_f6f5f009-b1cc-4ed2-b19d-8a50f757b322/rendering/17.obj", "0.829133758545")</f>
        <v>0.829133758545</v>
      </c>
      <c r="U709" s="47" t="str">
        <f>HYPERLINK(AB2 &amp; "/bulb/3dw_f6f5f009-b1cc-4ed2-b19d-8a50f757b322/rendering/18.obj", "0.853457641602")</f>
        <v>0.853457641602</v>
      </c>
      <c r="V709" s="23" t="str">
        <f>HYPERLINK(AB2 &amp; "/bulb/3dw_f6f5f009-b1cc-4ed2-b19d-8a50f757b322/rendering/19.obj", "0.824861602783")</f>
        <v>0.824861602783</v>
      </c>
      <c r="W709" s="12" t="s">
        <v>31</v>
      </c>
      <c r="X709" s="13">
        <v>0.85934647369384753</v>
      </c>
      <c r="Y709" s="13">
        <v>2.8942560849171069E-2</v>
      </c>
      <c r="Z709" s="72">
        <v>3.3679734234276039E-2</v>
      </c>
    </row>
    <row r="710" spans="1:26" x14ac:dyDescent="0.2">
      <c r="A710" s="1">
        <v>708</v>
      </c>
      <c r="B710" s="2" t="s">
        <v>174</v>
      </c>
      <c r="C710" s="74" t="str">
        <f>HYPERLINK(AB2 &amp; "/bulb/3dw_f6f5f009-b1cc-4ed2-b19d-8a50f757b322/rendering/00.obj", "2.50571370125")</f>
        <v>2.50571370125</v>
      </c>
      <c r="D710" s="30" t="str">
        <f>HYPERLINK(AB2 &amp; "/bulb/3dw_f6f5f009-b1cc-4ed2-b19d-8a50f757b322/rendering/01.obj", "2.48616743088")</f>
        <v>2.48616743088</v>
      </c>
      <c r="E710" s="30" t="str">
        <f>HYPERLINK(AB2 &amp; "/bulb/3dw_f6f5f009-b1cc-4ed2-b19d-8a50f757b322/rendering/02.obj", "2.48589920998")</f>
        <v>2.48589920998</v>
      </c>
      <c r="F710" s="6" t="str">
        <f>HYPERLINK(AB2 &amp; "/bulb/3dw_f6f5f009-b1cc-4ed2-b19d-8a50f757b322/rendering/03.obj", "2.58316063881")</f>
        <v>2.58316063881</v>
      </c>
      <c r="G710" s="13" t="str">
        <f>HYPERLINK(AB2 &amp; "/bulb/3dw_f6f5f009-b1cc-4ed2-b19d-8a50f757b322/rendering/04.obj", "2.47790288925")</f>
        <v>2.47790288925</v>
      </c>
      <c r="H710" s="91" t="str">
        <f>HYPERLINK(AB2 &amp; "/bulb/3dw_f6f5f009-b1cc-4ed2-b19d-8a50f757b322/rendering/05.obj", "2.40638542175")</f>
        <v>2.40638542175</v>
      </c>
      <c r="I710" s="73" t="str">
        <f>HYPERLINK(AB2 &amp; "/bulb/3dw_f6f5f009-b1cc-4ed2-b19d-8a50f757b322/rendering/06.obj", "2.56234550476")</f>
        <v>2.56234550476</v>
      </c>
      <c r="J710" s="72" t="str">
        <f>HYPERLINK(AB2 &amp; "/bulb/3dw_f6f5f009-b1cc-4ed2-b19d-8a50f757b322/rendering/07.obj", "2.38776993752")</f>
        <v>2.38776993752</v>
      </c>
      <c r="K710" s="74" t="str">
        <f>HYPERLINK(AB2 &amp; "/bulb/3dw_f6f5f009-b1cc-4ed2-b19d-8a50f757b322/rendering/08.obj", "2.43458151817")</f>
        <v>2.43458151817</v>
      </c>
      <c r="L710" s="13" t="str">
        <f>HYPERLINK(AB2 &amp; "/bulb/3dw_f6f5f009-b1cc-4ed2-b19d-8a50f757b322/rendering/09.obj", "2.47531700134")</f>
        <v>2.47531700134</v>
      </c>
      <c r="M710" s="46" t="str">
        <f>HYPERLINK(AB2 &amp; "/bulb/3dw_f6f5f009-b1cc-4ed2-b19d-8a50f757b322/rendering/10.obj", "2.51550984383")</f>
        <v>2.51550984383</v>
      </c>
      <c r="N710" s="17" t="str">
        <f>HYPERLINK(AB2 &amp; "/bulb/3dw_f6f5f009-b1cc-4ed2-b19d-8a50f757b322/rendering/11.obj", "2.42441749573")</f>
        <v>2.42441749573</v>
      </c>
      <c r="O710" s="74" t="str">
        <f>HYPERLINK(AB2 &amp; "/bulb/3dw_f6f5f009-b1cc-4ed2-b19d-8a50f757b322/rendering/12.obj", "2.44004869461")</f>
        <v>2.44004869461</v>
      </c>
      <c r="P710" s="13" t="str">
        <f>HYPERLINK(AB2 &amp; "/bulb/3dw_f6f5f009-b1cc-4ed2-b19d-8a50f757b322/rendering/13.obj", "2.47781276703")</f>
        <v>2.47781276703</v>
      </c>
      <c r="Q710" s="13" t="str">
        <f>HYPERLINK(AB2 &amp; "/bulb/3dw_f6f5f009-b1cc-4ed2-b19d-8a50f757b322/rendering/14.obj", "2.47744393349")</f>
        <v>2.47744393349</v>
      </c>
      <c r="R710" s="13" t="str">
        <f>HYPERLINK(AB2 &amp; "/bulb/3dw_f6f5f009-b1cc-4ed2-b19d-8a50f757b322/rendering/15.obj", "2.47861051559")</f>
        <v>2.47861051559</v>
      </c>
      <c r="S710" s="48" t="str">
        <f>HYPERLINK(AB2 &amp; "/bulb/3dw_f6f5f009-b1cc-4ed2-b19d-8a50f757b322/rendering/16.obj", "2.52620410919")</f>
        <v>2.52620410919</v>
      </c>
      <c r="T710" s="69" t="str">
        <f>HYPERLINK(AB2 &amp; "/bulb/3dw_f6f5f009-b1cc-4ed2-b19d-8a50f757b322/rendering/17.obj", "2.39538097382")</f>
        <v>2.39538097382</v>
      </c>
      <c r="U710" s="25" t="str">
        <f>HYPERLINK(AB2 &amp; "/bulb/3dw_f6f5f009-b1cc-4ed2-b19d-8a50f757b322/rendering/18.obj", "2.44629693031")</f>
        <v>2.44629693031</v>
      </c>
      <c r="V710" s="25" t="str">
        <f>HYPERLINK(AB2 &amp; "/bulb/3dw_f6f5f009-b1cc-4ed2-b19d-8a50f757b322/rendering/19.obj", "2.44261479378")</f>
        <v>2.44261479378</v>
      </c>
      <c r="W710" s="12" t="s">
        <v>32</v>
      </c>
      <c r="X710" s="13">
        <v>2.471479165554046</v>
      </c>
      <c r="Y710" s="13">
        <v>5.0253340906170008E-2</v>
      </c>
      <c r="Z710" s="17">
        <v>2.0333305498411679E-2</v>
      </c>
    </row>
    <row r="711" spans="1:26" x14ac:dyDescent="0.2">
      <c r="A711" s="1">
        <v>709</v>
      </c>
      <c r="B711" s="2" t="s">
        <v>174</v>
      </c>
      <c r="C711" s="13" t="str">
        <f>HYPERLINK(AC2 &amp; "/bulb/3dw_f6f5f009-b1cc-4ed2-b19d-8a50f757b322/rendering/00.xyz", "0.0")</f>
        <v>0.0</v>
      </c>
      <c r="D711" s="13" t="str">
        <f>HYPERLINK(AC2 &amp; "/bulb/3dw_f6f5f009-b1cc-4ed2-b19d-8a50f757b322/rendering/01.xyz", "0.0")</f>
        <v>0.0</v>
      </c>
      <c r="E711" s="13" t="str">
        <f>HYPERLINK(AC2 &amp; "/bulb/3dw_f6f5f009-b1cc-4ed2-b19d-8a50f757b322/rendering/02.xyz", "0.0")</f>
        <v>0.0</v>
      </c>
      <c r="F711" s="13" t="str">
        <f>HYPERLINK(AC2 &amp; "/bulb/3dw_f6f5f009-b1cc-4ed2-b19d-8a50f757b322/rendering/03.xyz", "0.0")</f>
        <v>0.0</v>
      </c>
      <c r="G711" s="13" t="str">
        <f>HYPERLINK(AC2 &amp; "/bulb/3dw_f6f5f009-b1cc-4ed2-b19d-8a50f757b322/rendering/04.xyz", "0.0")</f>
        <v>0.0</v>
      </c>
      <c r="H711" s="13" t="str">
        <f>HYPERLINK(AC2 &amp; "/bulb/3dw_f6f5f009-b1cc-4ed2-b19d-8a50f757b322/rendering/05.xyz", "0.0")</f>
        <v>0.0</v>
      </c>
      <c r="I711" s="13" t="str">
        <f>HYPERLINK(AC2 &amp; "/bulb/3dw_f6f5f009-b1cc-4ed2-b19d-8a50f757b322/rendering/06.xyz", "0.0")</f>
        <v>0.0</v>
      </c>
      <c r="J711" s="13" t="str">
        <f>HYPERLINK(AC2 &amp; "/bulb/3dw_f6f5f009-b1cc-4ed2-b19d-8a50f757b322/rendering/07.xyz", "0.0")</f>
        <v>0.0</v>
      </c>
      <c r="K711" s="13" t="str">
        <f>HYPERLINK(AC2 &amp; "/bulb/3dw_f6f5f009-b1cc-4ed2-b19d-8a50f757b322/rendering/08.xyz", "0.0")</f>
        <v>0.0</v>
      </c>
      <c r="L711" s="13" t="str">
        <f>HYPERLINK(AC2 &amp; "/bulb/3dw_f6f5f009-b1cc-4ed2-b19d-8a50f757b322/rendering/09.xyz", "0.0")</f>
        <v>0.0</v>
      </c>
      <c r="M711" s="13" t="str">
        <f>HYPERLINK(AC2 &amp; "/bulb/3dw_f6f5f009-b1cc-4ed2-b19d-8a50f757b322/rendering/10.xyz", "0.0")</f>
        <v>0.0</v>
      </c>
      <c r="N711" s="13" t="str">
        <f>HYPERLINK(AC2 &amp; "/bulb/3dw_f6f5f009-b1cc-4ed2-b19d-8a50f757b322/rendering/11.xyz", "0.0")</f>
        <v>0.0</v>
      </c>
      <c r="O711" s="13" t="str">
        <f>HYPERLINK(AC2 &amp; "/bulb/3dw_f6f5f009-b1cc-4ed2-b19d-8a50f757b322/rendering/12.xyz", "0.0")</f>
        <v>0.0</v>
      </c>
      <c r="P711" s="13" t="str">
        <f>HYPERLINK(AC2 &amp; "/bulb/3dw_f6f5f009-b1cc-4ed2-b19d-8a50f757b322/rendering/13.xyz", "0.0")</f>
        <v>0.0</v>
      </c>
      <c r="Q711" s="13" t="str">
        <f>HYPERLINK(AC2 &amp; "/bulb/3dw_f6f5f009-b1cc-4ed2-b19d-8a50f757b322/rendering/14.xyz", "0.0")</f>
        <v>0.0</v>
      </c>
      <c r="R711" s="13" t="str">
        <f>HYPERLINK(AC2 &amp; "/bulb/3dw_f6f5f009-b1cc-4ed2-b19d-8a50f757b322/rendering/15.xyz", "0.0")</f>
        <v>0.0</v>
      </c>
      <c r="S711" s="13" t="str">
        <f>HYPERLINK(AC2 &amp; "/bulb/3dw_f6f5f009-b1cc-4ed2-b19d-8a50f757b322/rendering/16.xyz", "0.0")</f>
        <v>0.0</v>
      </c>
      <c r="T711" s="13" t="str">
        <f>HYPERLINK(AC2 &amp; "/bulb/3dw_f6f5f009-b1cc-4ed2-b19d-8a50f757b322/rendering/17.xyz", "0.0")</f>
        <v>0.0</v>
      </c>
      <c r="U711" s="13" t="str">
        <f>HYPERLINK(AC2 &amp; "/bulb/3dw_f6f5f009-b1cc-4ed2-b19d-8a50f757b322/rendering/18.xyz", "0.0")</f>
        <v>0.0</v>
      </c>
      <c r="V711" s="13" t="str">
        <f>HYPERLINK(AC2 &amp; "/bulb/3dw_f6f5f009-b1cc-4ed2-b19d-8a50f757b322/rendering/19.xyz", "0.0")</f>
        <v>0.0</v>
      </c>
      <c r="W711" s="12" t="s">
        <v>33</v>
      </c>
      <c r="X711" s="13">
        <v>0</v>
      </c>
      <c r="Y711" s="13">
        <v>0</v>
      </c>
      <c r="Z711" s="13">
        <v>0</v>
      </c>
    </row>
    <row r="712" spans="1:26" x14ac:dyDescent="0.2">
      <c r="A712" s="1">
        <v>710</v>
      </c>
      <c r="B712" s="2" t="s">
        <v>175</v>
      </c>
      <c r="C712" s="109" t="str">
        <f>HYPERLINK(AA2 &amp; "/bulb/3dw_fc8de186-eebe-4494-8929-541d0720f6f9/rendering/00.obj", "5.30979858398")</f>
        <v>5.30979858398</v>
      </c>
      <c r="D712" s="139" t="str">
        <f>HYPERLINK(AA2 &amp; "/bulb/3dw_fc8de186-eebe-4494-8929-541d0720f6f9/rendering/01.obj", "2.31330963135")</f>
        <v>2.31330963135</v>
      </c>
      <c r="E712" s="86" t="str">
        <f>HYPERLINK(AA2 &amp; "/bulb/3dw_fc8de186-eebe-4494-8929-541d0720f6f9/rendering/02.obj", "3.2657144165")</f>
        <v>3.2657144165</v>
      </c>
      <c r="F712" s="29" t="str">
        <f>HYPERLINK(AA2 &amp; "/bulb/3dw_fc8de186-eebe-4494-8929-541d0720f6f9/rendering/03.obj", "5.04077148438")</f>
        <v>5.04077148438</v>
      </c>
      <c r="G712" s="92" t="str">
        <f>HYPERLINK(AA2 &amp; "/bulb/3dw_fc8de186-eebe-4494-8929-541d0720f6f9/rendering/04.obj", "5.01335357666")</f>
        <v>5.01335357666</v>
      </c>
      <c r="H712" s="86" t="str">
        <f>HYPERLINK(AA2 &amp; "/bulb/3dw_fc8de186-eebe-4494-8929-541d0720f6f9/rendering/05.obj", "3.26494689941")</f>
        <v>3.26494689941</v>
      </c>
      <c r="I712" s="59" t="str">
        <f>HYPERLINK(AA2 &amp; "/bulb/3dw_fc8de186-eebe-4494-8929-541d0720f6f9/rendering/06.obj", "3.39072235107")</f>
        <v>3.39072235107</v>
      </c>
      <c r="J712" s="83" t="str">
        <f>HYPERLINK(AA2 &amp; "/bulb/3dw_fc8de186-eebe-4494-8929-541d0720f6f9/rendering/07.obj", "3.77552185059")</f>
        <v>3.77552185059</v>
      </c>
      <c r="K712" s="169" t="str">
        <f>HYPERLINK(AA2 &amp; "/bulb/3dw_fc8de186-eebe-4494-8929-541d0720f6f9/rendering/08.obj", "3.06210510254")</f>
        <v>3.06210510254</v>
      </c>
      <c r="L712" s="15" t="str">
        <f>HYPERLINK(AA2 &amp; "/bulb/3dw_fc8de186-eebe-4494-8929-541d0720f6f9/rendering/09.obj", "6.71783081055")</f>
        <v>6.71783081055</v>
      </c>
      <c r="M712" s="131" t="str">
        <f>HYPERLINK(AA2 &amp; "/bulb/3dw_fc8de186-eebe-4494-8929-541d0720f6f9/rendering/10.obj", "2.39901657104")</f>
        <v>2.39901657104</v>
      </c>
      <c r="N712" s="231" t="str">
        <f>HYPERLINK(AA2 &amp; "/bulb/3dw_fc8de186-eebe-4494-8929-541d0720f6f9/rendering/11.obj", "7.02382324219")</f>
        <v>7.02382324219</v>
      </c>
      <c r="O712" s="35" t="str">
        <f>HYPERLINK(AA2 &amp; "/bulb/3dw_fc8de186-eebe-4494-8929-541d0720f6f9/rendering/12.obj", "4.71083251953")</f>
        <v>4.71083251953</v>
      </c>
      <c r="P712" s="160" t="str">
        <f>HYPERLINK(AA2 &amp; "/bulb/3dw_fc8de186-eebe-4494-8929-541d0720f6f9/rendering/13.obj", "2.10616027832")</f>
        <v>2.10616027832</v>
      </c>
      <c r="Q712" s="4" t="str">
        <f>HYPERLINK(AA2 &amp; "/bulb/3dw_fc8de186-eebe-4494-8929-541d0720f6f9/rendering/14.obj", "3.1954309082")</f>
        <v>3.1954309082</v>
      </c>
      <c r="R712" s="192" t="str">
        <f>HYPERLINK(AA2 &amp; "/bulb/3dw_fc8de186-eebe-4494-8929-541d0720f6f9/rendering/15.obj", "6.10909545898")</f>
        <v>6.10909545898</v>
      </c>
      <c r="S712" s="20" t="str">
        <f>HYPERLINK(AA2 &amp; "/bulb/3dw_fc8de186-eebe-4494-8929-541d0720f6f9/rendering/16.obj", "8.36596435547")</f>
        <v>8.36596435547</v>
      </c>
      <c r="T712" s="14" t="str">
        <f>HYPERLINK(AA2 &amp; "/bulb/3dw_fc8de186-eebe-4494-8929-541d0720f6f9/rendering/17.obj", "3.17079284668")</f>
        <v>3.17079284668</v>
      </c>
      <c r="U712" s="61" t="str">
        <f>HYPERLINK(AA2 &amp; "/bulb/3dw_fc8de186-eebe-4494-8929-541d0720f6f9/rendering/18.obj", "3.11007385254")</f>
        <v>3.11007385254</v>
      </c>
      <c r="V712" s="183" t="str">
        <f>HYPERLINK(AA2 &amp; "/bulb/3dw_fc8de186-eebe-4494-8929-541d0720f6f9/rendering/19.obj", "7.80816894531")</f>
        <v>7.80816894531</v>
      </c>
      <c r="W712" s="12" t="s">
        <v>29</v>
      </c>
      <c r="X712" s="13">
        <v>4.4576716842651374</v>
      </c>
      <c r="Y712" s="13">
        <v>1.8464315530095401</v>
      </c>
      <c r="Z712" s="157">
        <v>0.41421434412209979</v>
      </c>
    </row>
    <row r="713" spans="1:26" x14ac:dyDescent="0.2">
      <c r="A713" s="1">
        <v>711</v>
      </c>
      <c r="B713" s="2" t="s">
        <v>175</v>
      </c>
      <c r="C713" s="32" t="str">
        <f>HYPERLINK(AA2 &amp; "/bulb/3dw_fc8de186-eebe-4494-8929-541d0720f6f9/rendering/00.obj", "20.7314586639")</f>
        <v>20.7314586639</v>
      </c>
      <c r="D713" s="239" t="str">
        <f>HYPERLINK(AA2 &amp; "/bulb/3dw_fc8de186-eebe-4494-8929-541d0720f6f9/rendering/01.obj", "9.13428974152")</f>
        <v>9.13428974152</v>
      </c>
      <c r="E713" s="98" t="str">
        <f>HYPERLINK(AA2 &amp; "/bulb/3dw_fc8de186-eebe-4494-8929-541d0720f6f9/rendering/02.obj", "17.7969322205")</f>
        <v>17.7969322205</v>
      </c>
      <c r="F713" s="30" t="str">
        <f>HYPERLINK(AA2 &amp; "/bulb/3dw_fc8de186-eebe-4494-8929-541d0720f6f9/rendering/03.obj", "23.2644195557")</f>
        <v>23.2644195557</v>
      </c>
      <c r="G713" s="38" t="str">
        <f>HYPERLINK(AA2 &amp; "/bulb/3dw_fc8de186-eebe-4494-8929-541d0720f6f9/rendering/04.obj", "25.2403793335")</f>
        <v>25.2403793335</v>
      </c>
      <c r="H713" s="56" t="str">
        <f>HYPERLINK(AA2 &amp; "/bulb/3dw_fc8de186-eebe-4494-8929-541d0720f6f9/rendering/05.obj", "15.9806489944")</f>
        <v>15.9806489944</v>
      </c>
      <c r="I713" s="213" t="str">
        <f>HYPERLINK(AA2 &amp; "/bulb/3dw_fc8de186-eebe-4494-8929-541d0720f6f9/rendering/06.obj", "11.6863651276")</f>
        <v>11.6863651276</v>
      </c>
      <c r="J713" s="110" t="str">
        <f>HYPERLINK(AA2 &amp; "/bulb/3dw_fc8de186-eebe-4494-8929-541d0720f6f9/rendering/07.obj", "20.8614444733")</f>
        <v>20.8614444733</v>
      </c>
      <c r="K713" s="181" t="str">
        <f>HYPERLINK(AA2 &amp; "/bulb/3dw_fc8de186-eebe-4494-8929-541d0720f6f9/rendering/08.obj", "12.896818161")</f>
        <v>12.896818161</v>
      </c>
      <c r="L713" s="20" t="str">
        <f>HYPERLINK(AA2 &amp; "/bulb/3dw_fc8de186-eebe-4494-8929-541d0720f6f9/rendering/09.obj", "43.2498130798")</f>
        <v>43.2498130798</v>
      </c>
      <c r="M713" s="102" t="str">
        <f>HYPERLINK(AA2 &amp; "/bulb/3dw_fc8de186-eebe-4494-8929-541d0720f6f9/rendering/10.obj", "11.648850441")</f>
        <v>11.648850441</v>
      </c>
      <c r="N713" s="206" t="str">
        <f>HYPERLINK(AA2 &amp; "/bulb/3dw_fc8de186-eebe-4494-8929-541d0720f6f9/rendering/11.obj", "36.8280410767")</f>
        <v>36.8280410767</v>
      </c>
      <c r="O713" s="72" t="str">
        <f>HYPERLINK(AA2 &amp; "/bulb/3dw_fc8de186-eebe-4494-8929-541d0720f6f9/rendering/12.obj", "23.9473838806")</f>
        <v>23.9473838806</v>
      </c>
      <c r="P713" s="223" t="str">
        <f>HYPERLINK(AA2 &amp; "/bulb/3dw_fc8de186-eebe-4494-8929-541d0720f6f9/rendering/13.obj", "10.1763877869")</f>
        <v>10.1763877869</v>
      </c>
      <c r="Q713" s="85" t="str">
        <f>HYPERLINK(AA2 &amp; "/bulb/3dw_fc8de186-eebe-4494-8929-541d0720f6f9/rendering/14.obj", "16.3259925842")</f>
        <v>16.3259925842</v>
      </c>
      <c r="R713" s="197" t="str">
        <f>HYPERLINK(AA2 &amp; "/bulb/3dw_fc8de186-eebe-4494-8929-541d0720f6f9/rendering/15.obj", "36.2819290161")</f>
        <v>36.2819290161</v>
      </c>
      <c r="S713" s="20" t="str">
        <f>HYPERLINK(AA2 &amp; "/bulb/3dw_fc8de186-eebe-4494-8929-541d0720f6f9/rendering/16.obj", "52.5323181152")</f>
        <v>52.5323181152</v>
      </c>
      <c r="T713" s="131" t="str">
        <f>HYPERLINK(AA2 &amp; "/bulb/3dw_fc8de186-eebe-4494-8929-541d0720f6f9/rendering/17.obj", "12.4066429138")</f>
        <v>12.4066429138</v>
      </c>
      <c r="U713" s="103" t="str">
        <f>HYPERLINK(AA2 &amp; "/bulb/3dw_fc8de186-eebe-4494-8929-541d0720f6f9/rendering/18.obj", "15.6482715607")</f>
        <v>15.6482715607</v>
      </c>
      <c r="V713" s="20" t="str">
        <f>HYPERLINK(AA2 &amp; "/bulb/3dw_fc8de186-eebe-4494-8929-541d0720f6f9/rendering/19.obj", "46.5653686523")</f>
        <v>46.5653686523</v>
      </c>
      <c r="W713" s="12" t="s">
        <v>30</v>
      </c>
      <c r="X713" s="13">
        <v>23.160187768936161</v>
      </c>
      <c r="Y713" s="13">
        <v>12.694750528780171</v>
      </c>
      <c r="Z713" s="195">
        <v>0.54812813503209723</v>
      </c>
    </row>
    <row r="714" spans="1:26" x14ac:dyDescent="0.2">
      <c r="A714" s="1">
        <v>712</v>
      </c>
      <c r="B714" s="2" t="s">
        <v>175</v>
      </c>
      <c r="C714" s="63" t="str">
        <f>HYPERLINK(AB2 &amp; "/bulb/3dw_fc8de186-eebe-4494-8929-541d0720f6f9/rendering/00.obj", "2.86091125488")</f>
        <v>2.86091125488</v>
      </c>
      <c r="D714" s="35" t="str">
        <f>HYPERLINK(AB2 &amp; "/bulb/3dw_fc8de186-eebe-4494-8929-541d0720f6f9/rendering/01.obj", "2.7055456543")</f>
        <v>2.7055456543</v>
      </c>
      <c r="E714" s="62" t="str">
        <f>HYPERLINK(AB2 &amp; "/bulb/3dw_fc8de186-eebe-4494-8929-541d0720f6f9/rendering/02.obj", "4.0784375")</f>
        <v>4.0784375</v>
      </c>
      <c r="F714" s="51" t="str">
        <f>HYPERLINK(AB2 &amp; "/bulb/3dw_fc8de186-eebe-4494-8929-541d0720f6f9/rendering/03.obj", "2.35371612549")</f>
        <v>2.35371612549</v>
      </c>
      <c r="G714" s="107" t="str">
        <f>HYPERLINK(AB2 &amp; "/bulb/3dw_fc8de186-eebe-4494-8929-541d0720f6f9/rendering/04.obj", "2.34654418945")</f>
        <v>2.34654418945</v>
      </c>
      <c r="H714" s="74" t="str">
        <f>HYPERLINK(AB2 &amp; "/bulb/3dw_fc8de186-eebe-4494-8929-541d0720f6f9/rendering/05.obj", "2.59042694092")</f>
        <v>2.59042694092</v>
      </c>
      <c r="I714" s="28" t="str">
        <f>HYPERLINK(AB2 &amp; "/bulb/3dw_fc8de186-eebe-4494-8929-541d0720f6f9/rendering/06.obj", "2.26856872559")</f>
        <v>2.26856872559</v>
      </c>
      <c r="J714" s="50" t="str">
        <f>HYPERLINK(AB2 &amp; "/bulb/3dw_fc8de186-eebe-4494-8929-541d0720f6f9/rendering/07.obj", "3.0628805542")</f>
        <v>3.0628805542</v>
      </c>
      <c r="K714" s="28" t="str">
        <f>HYPERLINK(AB2 &amp; "/bulb/3dw_fc8de186-eebe-4494-8929-541d0720f6f9/rendering/08.obj", "2.27330841064")</f>
        <v>2.27330841064</v>
      </c>
      <c r="L714" s="89" t="str">
        <f>HYPERLINK(AB2 &amp; "/bulb/3dw_fc8de186-eebe-4494-8929-541d0720f6f9/rendering/09.obj", "1.89344970703")</f>
        <v>1.89344970703</v>
      </c>
      <c r="M714" s="68" t="str">
        <f>HYPERLINK(AB2 &amp; "/bulb/3dw_fc8de186-eebe-4494-8929-541d0720f6f9/rendering/10.obj", "2.44467285156")</f>
        <v>2.44467285156</v>
      </c>
      <c r="N714" s="34" t="str">
        <f>HYPERLINK(AB2 &amp; "/bulb/3dw_fc8de186-eebe-4494-8929-541d0720f6f9/rendering/11.obj", "2.42929092407")</f>
        <v>2.42929092407</v>
      </c>
      <c r="O714" s="121" t="str">
        <f>HYPERLINK(AB2 &amp; "/bulb/3dw_fc8de186-eebe-4494-8929-541d0720f6f9/rendering/12.obj", "1.6557623291")</f>
        <v>1.6557623291</v>
      </c>
      <c r="P714" s="120" t="str">
        <f>HYPERLINK(AB2 &amp; "/bulb/3dw_fc8de186-eebe-4494-8929-541d0720f6f9/rendering/13.obj", "2.01331939697")</f>
        <v>2.01331939697</v>
      </c>
      <c r="Q714" s="109" t="str">
        <f>HYPERLINK(AB2 &amp; "/bulb/3dw_fc8de186-eebe-4494-8929-541d0720f6f9/rendering/14.obj", "3.04337646484")</f>
        <v>3.04337646484</v>
      </c>
      <c r="R714" s="71" t="str">
        <f>HYPERLINK(AB2 &amp; "/bulb/3dw_fc8de186-eebe-4494-8929-541d0720f6f9/rendering/15.obj", "2.25082000732")</f>
        <v>2.25082000732</v>
      </c>
      <c r="S714" s="27" t="str">
        <f>HYPERLINK(AB2 &amp; "/bulb/3dw_fc8de186-eebe-4494-8929-541d0720f6f9/rendering/16.obj", "2.7314630127")</f>
        <v>2.7314630127</v>
      </c>
      <c r="T714" s="33" t="str">
        <f>HYPERLINK(AB2 &amp; "/bulb/3dw_fc8de186-eebe-4494-8929-541d0720f6f9/rendering/17.obj", "2.28211029053")</f>
        <v>2.28211029053</v>
      </c>
      <c r="U714" s="55" t="str">
        <f>HYPERLINK(AB2 &amp; "/bulb/3dw_fc8de186-eebe-4494-8929-541d0720f6f9/rendering/18.obj", "3.0462600708")</f>
        <v>3.0462600708</v>
      </c>
      <c r="V714" s="107" t="str">
        <f>HYPERLINK(AB2 &amp; "/bulb/3dw_fc8de186-eebe-4494-8929-541d0720f6f9/rendering/19.obj", "2.771328125")</f>
        <v>2.771328125</v>
      </c>
      <c r="W714" s="12" t="s">
        <v>31</v>
      </c>
      <c r="X714" s="13">
        <v>2.5551096267700202</v>
      </c>
      <c r="Y714" s="13">
        <v>0.51157190548300824</v>
      </c>
      <c r="Z714" s="50">
        <v>0.20021524717501049</v>
      </c>
    </row>
    <row r="715" spans="1:26" x14ac:dyDescent="0.2">
      <c r="A715" s="1">
        <v>713</v>
      </c>
      <c r="B715" s="2" t="s">
        <v>175</v>
      </c>
      <c r="C715" s="68" t="str">
        <f>HYPERLINK(AB2 &amp; "/bulb/3dw_fc8de186-eebe-4494-8929-541d0720f6f9/rendering/00.obj", "8.96439647675")</f>
        <v>8.96439647675</v>
      </c>
      <c r="D715" s="30" t="str">
        <f>HYPERLINK(AB2 &amp; "/bulb/3dw_fc8de186-eebe-4494-8929-541d0720f6f9/rendering/01.obj", "8.64046001434")</f>
        <v>8.64046001434</v>
      </c>
      <c r="E715" s="20" t="str">
        <f>HYPERLINK(AB2 &amp; "/bulb/3dw_fc8de186-eebe-4494-8929-541d0720f6f9/rendering/02.obj", "17.1413211823")</f>
        <v>17.1413211823</v>
      </c>
      <c r="F715" s="17" t="str">
        <f>HYPERLINK(AB2 &amp; "/bulb/3dw_fc8de186-eebe-4494-8929-541d0720f6f9/rendering/03.obj", "8.7754535675")</f>
        <v>8.7754535675</v>
      </c>
      <c r="G715" s="30" t="str">
        <f>HYPERLINK(AB2 &amp; "/bulb/3dw_fc8de186-eebe-4494-8929-541d0720f6f9/rendering/04.obj", "8.64106178284")</f>
        <v>8.64106178284</v>
      </c>
      <c r="H715" s="65" t="str">
        <f>HYPERLINK(AB2 &amp; "/bulb/3dw_fc8de186-eebe-4494-8929-541d0720f6f9/rendering/05.obj", "7.46196269989")</f>
        <v>7.46196269989</v>
      </c>
      <c r="I715" s="17" t="str">
        <f>HYPERLINK(AB2 &amp; "/bulb/3dw_fc8de186-eebe-4494-8929-541d0720f6f9/rendering/06.obj", "8.42011451721")</f>
        <v>8.42011451721</v>
      </c>
      <c r="J715" s="55" t="str">
        <f>HYPERLINK(AB2 &amp; "/bulb/3dw_fc8de186-eebe-4494-8929-541d0720f6f9/rendering/07.obj", "10.2738485336")</f>
        <v>10.2738485336</v>
      </c>
      <c r="K715" s="34" t="str">
        <f>HYPERLINK(AB2 &amp; "/bulb/3dw_fc8de186-eebe-4494-8929-541d0720f6f9/rendering/08.obj", "9.03400230408")</f>
        <v>9.03400230408</v>
      </c>
      <c r="L715" s="98" t="str">
        <f>HYPERLINK(AB2 &amp; "/bulb/3dw_fc8de186-eebe-4494-8929-541d0720f6f9/rendering/09.obj", "6.625187397")</f>
        <v>6.625187397</v>
      </c>
      <c r="M715" s="94" t="str">
        <f>HYPERLINK(AB2 &amp; "/bulb/3dw_fc8de186-eebe-4494-8929-541d0720f6f9/rendering/10.obj", "7.97686243057")</f>
        <v>7.97686243057</v>
      </c>
      <c r="N715" s="73" t="str">
        <f>HYPERLINK(AB2 &amp; "/bulb/3dw_fc8de186-eebe-4494-8929-541d0720f6f9/rendering/11.obj", "8.30213928223")</f>
        <v>8.30213928223</v>
      </c>
      <c r="O715" s="142" t="str">
        <f>HYPERLINK(AB2 &amp; "/bulb/3dw_fc8de186-eebe-4494-8929-541d0720f6f9/rendering/12.obj", "5.22811937332")</f>
        <v>5.22811937332</v>
      </c>
      <c r="P715" s="13" t="str">
        <f>HYPERLINK(AB2 &amp; "/bulb/3dw_fc8de186-eebe-4494-8929-541d0720f6f9/rendering/13.obj", "8.62000656128")</f>
        <v>8.62000656128</v>
      </c>
      <c r="Q715" s="27" t="str">
        <f>HYPERLINK(AB2 &amp; "/bulb/3dw_fc8de186-eebe-4494-8929-541d0720f6f9/rendering/14.obj", "7.98828172684")</f>
        <v>7.98828172684</v>
      </c>
      <c r="R715" s="35" t="str">
        <f>HYPERLINK(AB2 &amp; "/bulb/3dw_fc8de186-eebe-4494-8929-541d0720f6f9/rendering/15.obj", "8.10869884491")</f>
        <v>8.10869884491</v>
      </c>
      <c r="S715" s="57" t="str">
        <f>HYPERLINK(AB2 &amp; "/bulb/3dw_fc8de186-eebe-4494-8929-541d0720f6f9/rendering/16.obj", "11.3284740448")</f>
        <v>11.3284740448</v>
      </c>
      <c r="T715" s="80" t="str">
        <f>HYPERLINK(AB2 &amp; "/bulb/3dw_fc8de186-eebe-4494-8929-541d0720f6f9/rendering/17.obj", "7.33345890045")</f>
        <v>7.33345890045</v>
      </c>
      <c r="U715" s="27" t="str">
        <f>HYPERLINK(AB2 &amp; "/bulb/3dw_fc8de186-eebe-4494-8929-541d0720f6f9/rendering/18.obj", "8.00871372223")</f>
        <v>8.00871372223</v>
      </c>
      <c r="V715" s="198" t="str">
        <f>HYPERLINK(AB2 &amp; "/bulb/3dw_fc8de186-eebe-4494-8929-541d0720f6f9/rendering/19.obj", "5.26646661758")</f>
        <v>5.26646661758</v>
      </c>
      <c r="W715" s="12" t="s">
        <v>32</v>
      </c>
      <c r="X715" s="13">
        <v>8.6069514989852909</v>
      </c>
      <c r="Y715" s="13">
        <v>2.390720919410517</v>
      </c>
      <c r="Z715" s="7">
        <v>0.27776628225363759</v>
      </c>
    </row>
    <row r="716" spans="1:26" x14ac:dyDescent="0.2">
      <c r="A716" s="1">
        <v>714</v>
      </c>
      <c r="B716" s="2" t="s">
        <v>175</v>
      </c>
      <c r="C716" s="13" t="str">
        <f>HYPERLINK(AC2 &amp; "/bulb/3dw_fc8de186-eebe-4494-8929-541d0720f6f9/rendering/00.xyz", "0.0")</f>
        <v>0.0</v>
      </c>
      <c r="D716" s="13" t="str">
        <f>HYPERLINK(AC2 &amp; "/bulb/3dw_fc8de186-eebe-4494-8929-541d0720f6f9/rendering/01.xyz", "0.0")</f>
        <v>0.0</v>
      </c>
      <c r="E716" s="13" t="str">
        <f>HYPERLINK(AC2 &amp; "/bulb/3dw_fc8de186-eebe-4494-8929-541d0720f6f9/rendering/02.xyz", "0.0")</f>
        <v>0.0</v>
      </c>
      <c r="F716" s="13" t="str">
        <f>HYPERLINK(AC2 &amp; "/bulb/3dw_fc8de186-eebe-4494-8929-541d0720f6f9/rendering/03.xyz", "0.0")</f>
        <v>0.0</v>
      </c>
      <c r="G716" s="13" t="str">
        <f>HYPERLINK(AC2 &amp; "/bulb/3dw_fc8de186-eebe-4494-8929-541d0720f6f9/rendering/04.xyz", "0.0")</f>
        <v>0.0</v>
      </c>
      <c r="H716" s="13" t="str">
        <f>HYPERLINK(AC2 &amp; "/bulb/3dw_fc8de186-eebe-4494-8929-541d0720f6f9/rendering/05.xyz", "0.0")</f>
        <v>0.0</v>
      </c>
      <c r="I716" s="13" t="str">
        <f>HYPERLINK(AC2 &amp; "/bulb/3dw_fc8de186-eebe-4494-8929-541d0720f6f9/rendering/06.xyz", "0.0")</f>
        <v>0.0</v>
      </c>
      <c r="J716" s="13" t="str">
        <f>HYPERLINK(AC2 &amp; "/bulb/3dw_fc8de186-eebe-4494-8929-541d0720f6f9/rendering/07.xyz", "0.0")</f>
        <v>0.0</v>
      </c>
      <c r="K716" s="13" t="str">
        <f>HYPERLINK(AC2 &amp; "/bulb/3dw_fc8de186-eebe-4494-8929-541d0720f6f9/rendering/08.xyz", "0.0")</f>
        <v>0.0</v>
      </c>
      <c r="L716" s="13" t="str">
        <f>HYPERLINK(AC2 &amp; "/bulb/3dw_fc8de186-eebe-4494-8929-541d0720f6f9/rendering/09.xyz", "0.0")</f>
        <v>0.0</v>
      </c>
      <c r="M716" s="13" t="str">
        <f>HYPERLINK(AC2 &amp; "/bulb/3dw_fc8de186-eebe-4494-8929-541d0720f6f9/rendering/10.xyz", "0.0")</f>
        <v>0.0</v>
      </c>
      <c r="N716" s="13" t="str">
        <f>HYPERLINK(AC2 &amp; "/bulb/3dw_fc8de186-eebe-4494-8929-541d0720f6f9/rendering/11.xyz", "0.0")</f>
        <v>0.0</v>
      </c>
      <c r="O716" s="13" t="str">
        <f>HYPERLINK(AC2 &amp; "/bulb/3dw_fc8de186-eebe-4494-8929-541d0720f6f9/rendering/12.xyz", "0.0")</f>
        <v>0.0</v>
      </c>
      <c r="P716" s="13" t="str">
        <f>HYPERLINK(AC2 &amp; "/bulb/3dw_fc8de186-eebe-4494-8929-541d0720f6f9/rendering/13.xyz", "0.0")</f>
        <v>0.0</v>
      </c>
      <c r="Q716" s="13" t="str">
        <f>HYPERLINK(AC2 &amp; "/bulb/3dw_fc8de186-eebe-4494-8929-541d0720f6f9/rendering/14.xyz", "0.0")</f>
        <v>0.0</v>
      </c>
      <c r="R716" s="13" t="str">
        <f>HYPERLINK(AC2 &amp; "/bulb/3dw_fc8de186-eebe-4494-8929-541d0720f6f9/rendering/15.xyz", "0.0")</f>
        <v>0.0</v>
      </c>
      <c r="S716" s="13" t="str">
        <f>HYPERLINK(AC2 &amp; "/bulb/3dw_fc8de186-eebe-4494-8929-541d0720f6f9/rendering/16.xyz", "0.0")</f>
        <v>0.0</v>
      </c>
      <c r="T716" s="13" t="str">
        <f>HYPERLINK(AC2 &amp; "/bulb/3dw_fc8de186-eebe-4494-8929-541d0720f6f9/rendering/17.xyz", "0.0")</f>
        <v>0.0</v>
      </c>
      <c r="U716" s="13" t="str">
        <f>HYPERLINK(AC2 &amp; "/bulb/3dw_fc8de186-eebe-4494-8929-541d0720f6f9/rendering/18.xyz", "0.0")</f>
        <v>0.0</v>
      </c>
      <c r="V716" s="13" t="str">
        <f>HYPERLINK(AC2 &amp; "/bulb/3dw_fc8de186-eebe-4494-8929-541d0720f6f9/rendering/19.xyz", "0.0")</f>
        <v>0.0</v>
      </c>
      <c r="W716" s="12" t="s">
        <v>33</v>
      </c>
      <c r="X716" s="13">
        <v>0</v>
      </c>
      <c r="Y716" s="13">
        <v>0</v>
      </c>
      <c r="Z716" s="13">
        <v>0</v>
      </c>
    </row>
    <row r="717" spans="1:26" x14ac:dyDescent="0.2">
      <c r="A717" s="1">
        <v>715</v>
      </c>
      <c r="B717" s="2" t="s">
        <v>176</v>
      </c>
      <c r="C717" s="81" t="str">
        <f>HYPERLINK(AA2 &amp; "/bulb/3dw_fd60dcfa-7555-4ed4-a639-7b42e0116b1a/rendering/00.obj", "1.41947052002")</f>
        <v>1.41947052002</v>
      </c>
      <c r="D717" s="38" t="str">
        <f>HYPERLINK(AA2 &amp; "/bulb/3dw_fd60dcfa-7555-4ed4-a639-7b42e0116b1a/rendering/01.obj", "1.65736572266")</f>
        <v>1.65736572266</v>
      </c>
      <c r="E717" s="133" t="str">
        <f>HYPERLINK(AA2 &amp; "/bulb/3dw_fd60dcfa-7555-4ed4-a639-7b42e0116b1a/rendering/02.obj", "1.63318008423")</f>
        <v>1.63318008423</v>
      </c>
      <c r="F717" s="175" t="str">
        <f>HYPERLINK(AA2 &amp; "/bulb/3dw_fd60dcfa-7555-4ed4-a639-7b42e0116b1a/rendering/03.obj", "2.24018035889")</f>
        <v>2.24018035889</v>
      </c>
      <c r="G717" s="27" t="str">
        <f>HYPERLINK(AA2 &amp; "/bulb/3dw_fd60dcfa-7555-4ed4-a639-7b42e0116b1a/rendering/04.obj", "1.94400421143")</f>
        <v>1.94400421143</v>
      </c>
      <c r="H717" s="30" t="str">
        <f>HYPERLINK(AA2 &amp; "/bulb/3dw_fd60dcfa-7555-4ed4-a639-7b42e0116b1a/rendering/05.obj", "1.80890258789")</f>
        <v>1.80890258789</v>
      </c>
      <c r="I717" s="39" t="str">
        <f>HYPERLINK(AA2 &amp; "/bulb/3dw_fd60dcfa-7555-4ed4-a639-7b42e0116b1a/rendering/06.obj", "1.97239624023")</f>
        <v>1.97239624023</v>
      </c>
      <c r="J717" s="197" t="str">
        <f>HYPERLINK(AA2 &amp; "/bulb/3dw_fd60dcfa-7555-4ed4-a639-7b42e0116b1a/rendering/07.obj", "2.84927185059")</f>
        <v>2.84927185059</v>
      </c>
      <c r="K717" s="49" t="str">
        <f>HYPERLINK(AA2 &amp; "/bulb/3dw_fd60dcfa-7555-4ed4-a639-7b42e0116b1a/rendering/08.obj", "2.19989013672")</f>
        <v>2.19989013672</v>
      </c>
      <c r="L717" s="83" t="str">
        <f>HYPERLINK(AA2 &amp; "/bulb/3dw_fd60dcfa-7555-4ed4-a639-7b42e0116b1a/rendering/09.obj", "1.53914245605")</f>
        <v>1.53914245605</v>
      </c>
      <c r="M717" s="83" t="str">
        <f>HYPERLINK(AA2 &amp; "/bulb/3dw_fd60dcfa-7555-4ed4-a639-7b42e0116b1a/rendering/10.obj", "1.54196731567")</f>
        <v>1.54196731567</v>
      </c>
      <c r="N717" s="72" t="str">
        <f>HYPERLINK(AA2 &amp; "/bulb/3dw_fd60dcfa-7555-4ed4-a639-7b42e0116b1a/rendering/11.obj", "1.87892379761")</f>
        <v>1.87892379761</v>
      </c>
      <c r="O717" s="31" t="str">
        <f>HYPERLINK(AA2 &amp; "/bulb/3dw_fd60dcfa-7555-4ed4-a639-7b42e0116b1a/rendering/12.obj", "1.53329406738")</f>
        <v>1.53329406738</v>
      </c>
      <c r="P717" s="73" t="str">
        <f>HYPERLINK(AA2 &amp; "/bulb/3dw_fd60dcfa-7555-4ed4-a639-7b42e0116b1a/rendering/13.obj", "1.88618438721")</f>
        <v>1.88618438721</v>
      </c>
      <c r="Q717" s="66" t="str">
        <f>HYPERLINK(AA2 &amp; "/bulb/3dw_fd60dcfa-7555-4ed4-a639-7b42e0116b1a/rendering/14.obj", "1.52581054688")</f>
        <v>1.52581054688</v>
      </c>
      <c r="R717" s="84" t="str">
        <f>HYPERLINK(AA2 &amp; "/bulb/3dw_fd60dcfa-7555-4ed4-a639-7b42e0116b1a/rendering/15.obj", "1.55527313232")</f>
        <v>1.55527313232</v>
      </c>
      <c r="S717" s="8" t="str">
        <f>HYPERLINK(AA2 &amp; "/bulb/3dw_fd60dcfa-7555-4ed4-a639-7b42e0116b1a/rendering/16.obj", "2.0780645752")</f>
        <v>2.0780645752</v>
      </c>
      <c r="T717" s="34" t="str">
        <f>HYPERLINK(AA2 &amp; "/bulb/3dw_fd60dcfa-7555-4ed4-a639-7b42e0116b1a/rendering/17.obj", "1.73155975342")</f>
        <v>1.73155975342</v>
      </c>
      <c r="U717" s="29" t="str">
        <f>HYPERLINK(AA2 &amp; "/bulb/3dw_fd60dcfa-7555-4ed4-a639-7b42e0116b1a/rendering/18.obj", "1.58120513916")</f>
        <v>1.58120513916</v>
      </c>
      <c r="V717" s="46" t="str">
        <f>HYPERLINK(AA2 &amp; "/bulb/3dw_fd60dcfa-7555-4ed4-a639-7b42e0116b1a/rendering/19.obj", "1.78574234009")</f>
        <v>1.78574234009</v>
      </c>
      <c r="W717" s="12" t="s">
        <v>29</v>
      </c>
      <c r="X717" s="13">
        <v>1.818091461181641</v>
      </c>
      <c r="Y717" s="13">
        <v>0.32986172425981403</v>
      </c>
      <c r="Z717" s="134">
        <v>0.18143296489904059</v>
      </c>
    </row>
    <row r="718" spans="1:26" x14ac:dyDescent="0.2">
      <c r="A718" s="1">
        <v>716</v>
      </c>
      <c r="B718" s="2" t="s">
        <v>176</v>
      </c>
      <c r="C718" s="98" t="str">
        <f>HYPERLINK(AA2 &amp; "/bulb/3dw_fd60dcfa-7555-4ed4-a639-7b42e0116b1a/rendering/00.obj", "5.80786991119")</f>
        <v>5.80786991119</v>
      </c>
      <c r="D718" s="64" t="str">
        <f>HYPERLINK(AA2 &amp; "/bulb/3dw_fd60dcfa-7555-4ed4-a639-7b42e0116b1a/rendering/01.obj", "6.31338882446")</f>
        <v>6.31338882446</v>
      </c>
      <c r="E718" s="84" t="str">
        <f>HYPERLINK(AA2 &amp; "/bulb/3dw_fd60dcfa-7555-4ed4-a639-7b42e0116b1a/rendering/02.obj", "6.44007587433")</f>
        <v>6.44007587433</v>
      </c>
      <c r="F718" s="77" t="str">
        <f>HYPERLINK(AA2 &amp; "/bulb/3dw_fd60dcfa-7555-4ed4-a639-7b42e0116b1a/rendering/03.obj", "8.96595954895")</f>
        <v>8.96595954895</v>
      </c>
      <c r="G718" s="6" t="str">
        <f>HYPERLINK(AA2 &amp; "/bulb/3dw_fd60dcfa-7555-4ed4-a639-7b42e0116b1a/rendering/04.obj", "7.20376348495")</f>
        <v>7.20376348495</v>
      </c>
      <c r="H718" s="70" t="str">
        <f>HYPERLINK(AA2 &amp; "/bulb/3dw_fd60dcfa-7555-4ed4-a639-7b42e0116b1a/rendering/05.obj", "6.57889842987")</f>
        <v>6.57889842987</v>
      </c>
      <c r="I718" s="212" t="str">
        <f>HYPERLINK(AA2 &amp; "/bulb/3dw_fd60dcfa-7555-4ed4-a639-7b42e0116b1a/rendering/06.obj", "10.8047819138")</f>
        <v>10.8047819138</v>
      </c>
      <c r="J718" s="213" t="str">
        <f>HYPERLINK(AA2 &amp; "/bulb/3dw_fd60dcfa-7555-4ed4-a639-7b42e0116b1a/rendering/07.obj", "11.2809848785")</f>
        <v>11.2809848785</v>
      </c>
      <c r="K718" s="24" t="str">
        <f>HYPERLINK(AA2 &amp; "/bulb/3dw_fd60dcfa-7555-4ed4-a639-7b42e0116b1a/rendering/08.obj", "8.81776428223")</f>
        <v>8.81776428223</v>
      </c>
      <c r="L718" s="32" t="str">
        <f>HYPERLINK(AA2 &amp; "/bulb/3dw_fd60dcfa-7555-4ed4-a639-7b42e0116b1a/rendering/09.obj", "6.76593732834")</f>
        <v>6.76593732834</v>
      </c>
      <c r="M718" s="29" t="str">
        <f>HYPERLINK(AA2 &amp; "/bulb/3dw_fd60dcfa-7555-4ed4-a639-7b42e0116b1a/rendering/10.obj", "6.56183481216")</f>
        <v>6.56183481216</v>
      </c>
      <c r="N718" s="23" t="str">
        <f>HYPERLINK(AA2 &amp; "/bulb/3dw_fd60dcfa-7555-4ed4-a639-7b42e0116b1a/rendering/11.obj", "7.83389091492")</f>
        <v>7.83389091492</v>
      </c>
      <c r="O718" s="8" t="str">
        <f>HYPERLINK(AA2 &amp; "/bulb/3dw_fd60dcfa-7555-4ed4-a639-7b42e0116b1a/rendering/12.obj", "6.47289609909")</f>
        <v>6.47289609909</v>
      </c>
      <c r="P718" s="63" t="str">
        <f>HYPERLINK(AA2 &amp; "/bulb/3dw_fd60dcfa-7555-4ed4-a639-7b42e0116b1a/rendering/13.obj", "8.46175575256")</f>
        <v>8.46175575256</v>
      </c>
      <c r="Q718" s="92" t="str">
        <f>HYPERLINK(AA2 &amp; "/bulb/3dw_fd60dcfa-7555-4ed4-a639-7b42e0116b1a/rendering/14.obj", "6.6020822525")</f>
        <v>6.6020822525</v>
      </c>
      <c r="R718" s="34" t="str">
        <f>HYPERLINK(AA2 &amp; "/bulb/3dw_fd60dcfa-7555-4ed4-a639-7b42e0116b1a/rendering/15.obj", "7.18945455551")</f>
        <v>7.18945455551</v>
      </c>
      <c r="S718" s="34" t="str">
        <f>HYPERLINK(AA2 &amp; "/bulb/3dw_fd60dcfa-7555-4ed4-a639-7b42e0116b1a/rendering/16.obj", "7.91850566864")</f>
        <v>7.91850566864</v>
      </c>
      <c r="T718" s="39" t="str">
        <f>HYPERLINK(AA2 &amp; "/bulb/3dw_fd60dcfa-7555-4ed4-a639-7b42e0116b1a/rendering/17.obj", "6.89104270935")</f>
        <v>6.89104270935</v>
      </c>
      <c r="U718" s="28" t="str">
        <f>HYPERLINK(AA2 &amp; "/bulb/3dw_fd60dcfa-7555-4ed4-a639-7b42e0116b1a/rendering/18.obj", "6.71579170227")</f>
        <v>6.71579170227</v>
      </c>
      <c r="V718" s="91" t="str">
        <f>HYPERLINK(AA2 &amp; "/bulb/3dw_fd60dcfa-7555-4ed4-a639-7b42e0116b1a/rendering/19.obj", "7.3432507515")</f>
        <v>7.3432507515</v>
      </c>
      <c r="W718" s="12" t="s">
        <v>30</v>
      </c>
      <c r="X718" s="13">
        <v>7.5484964847564697</v>
      </c>
      <c r="Y718" s="13">
        <v>1.4315294452026219</v>
      </c>
      <c r="Z718" s="109">
        <v>0.18964431500941559</v>
      </c>
    </row>
    <row r="719" spans="1:26" x14ac:dyDescent="0.2">
      <c r="A719" s="1">
        <v>717</v>
      </c>
      <c r="B719" s="2" t="s">
        <v>176</v>
      </c>
      <c r="C719" s="30" t="str">
        <f>HYPERLINK(AB2 &amp; "/bulb/3dw_fd60dcfa-7555-4ed4-a639-7b42e0116b1a/rendering/00.obj", "1.82652160645")</f>
        <v>1.82652160645</v>
      </c>
      <c r="D719" s="17" t="str">
        <f>HYPERLINK(AB2 &amp; "/bulb/3dw_fd60dcfa-7555-4ed4-a639-7b42e0116b1a/rendering/01.obj", "1.87263671875")</f>
        <v>1.87263671875</v>
      </c>
      <c r="E719" s="69" t="str">
        <f>HYPERLINK(AB2 &amp; "/bulb/3dw_fd60dcfa-7555-4ed4-a639-7b42e0116b1a/rendering/02.obj", "1.88849456787")</f>
        <v>1.88849456787</v>
      </c>
      <c r="F719" s="34" t="str">
        <f>HYPERLINK(AB2 &amp; "/bulb/3dw_fd60dcfa-7555-4ed4-a639-7b42e0116b1a/rendering/03.obj", "1.74355300903")</f>
        <v>1.74355300903</v>
      </c>
      <c r="G719" s="107" t="str">
        <f>HYPERLINK(AB2 &amp; "/bulb/3dw_fd60dcfa-7555-4ed4-a639-7b42e0116b1a/rendering/04.obj", "1.98645599365")</f>
        <v>1.98645599365</v>
      </c>
      <c r="H719" s="30" t="str">
        <f>HYPERLINK(AB2 &amp; "/bulb/3dw_fd60dcfa-7555-4ed4-a639-7b42e0116b1a/rendering/05.obj", "1.82176116943")</f>
        <v>1.82176116943</v>
      </c>
      <c r="I719" s="26" t="str">
        <f>HYPERLINK(AB2 &amp; "/bulb/3dw_fd60dcfa-7555-4ed4-a639-7b42e0116b1a/rendering/06.obj", "1.94804763794")</f>
        <v>1.94804763794</v>
      </c>
      <c r="J719" s="38" t="str">
        <f>HYPERLINK(AB2 &amp; "/bulb/3dw_fd60dcfa-7555-4ed4-a639-7b42e0116b1a/rendering/07.obj", "1.67113586426")</f>
        <v>1.67113586426</v>
      </c>
      <c r="K719" s="38" t="str">
        <f>HYPERLINK(AB2 &amp; "/bulb/3dw_fd60dcfa-7555-4ed4-a639-7b42e0116b1a/rendering/08.obj", "1.6715222168")</f>
        <v>1.6715222168</v>
      </c>
      <c r="L719" s="13" t="str">
        <f>HYPERLINK(AB2 &amp; "/bulb/3dw_fd60dcfa-7555-4ed4-a639-7b42e0116b1a/rendering/09.obj", "1.83499389648")</f>
        <v>1.83499389648</v>
      </c>
      <c r="M719" s="91" t="str">
        <f>HYPERLINK(AB2 &amp; "/bulb/3dw_fd60dcfa-7555-4ed4-a639-7b42e0116b1a/rendering/10.obj", "1.88051757813")</f>
        <v>1.88051757813</v>
      </c>
      <c r="N719" s="47" t="str">
        <f>HYPERLINK(AB2 &amp; "/bulb/3dw_fd60dcfa-7555-4ed4-a639-7b42e0116b1a/rendering/11.obj", "1.81893554688")</f>
        <v>1.81893554688</v>
      </c>
      <c r="O719" s="69" t="str">
        <f>HYPERLINK(AB2 &amp; "/bulb/3dw_fd60dcfa-7555-4ed4-a639-7b42e0116b1a/rendering/12.obj", "1.78040039063")</f>
        <v>1.78040039063</v>
      </c>
      <c r="P719" s="74" t="str">
        <f>HYPERLINK(AB2 &amp; "/bulb/3dw_fd60dcfa-7555-4ed4-a639-7b42e0116b1a/rendering/13.obj", "1.85876800537")</f>
        <v>1.85876800537</v>
      </c>
      <c r="Q719" s="78" t="str">
        <f>HYPERLINK(AB2 &amp; "/bulb/3dw_fd60dcfa-7555-4ed4-a639-7b42e0116b1a/rendering/14.obj", "1.94666320801")</f>
        <v>1.94666320801</v>
      </c>
      <c r="R719" s="25" t="str">
        <f>HYPERLINK(AB2 &amp; "/bulb/3dw_fd60dcfa-7555-4ed4-a639-7b42e0116b1a/rendering/15.obj", "1.81543823242")</f>
        <v>1.81543823242</v>
      </c>
      <c r="S719" s="47" t="str">
        <f>HYPERLINK(AB2 &amp; "/bulb/3dw_fd60dcfa-7555-4ed4-a639-7b42e0116b1a/rendering/16.obj", "1.84453643799")</f>
        <v>1.84453643799</v>
      </c>
      <c r="T719" s="69" t="str">
        <f>HYPERLINK(AB2 &amp; "/bulb/3dw_fd60dcfa-7555-4ed4-a639-7b42e0116b1a/rendering/17.obj", "1.77562744141")</f>
        <v>1.77562744141</v>
      </c>
      <c r="U719" s="46" t="str">
        <f>HYPERLINK(AB2 &amp; "/bulb/3dw_fd60dcfa-7555-4ed4-a639-7b42e0116b1a/rendering/18.obj", "1.80151062012")</f>
        <v>1.80151062012</v>
      </c>
      <c r="V719" s="17" t="str">
        <f>HYPERLINK(AB2 &amp; "/bulb/3dw_fd60dcfa-7555-4ed4-a639-7b42e0116b1a/rendering/19.obj", "1.86758392334")</f>
        <v>1.86758392334</v>
      </c>
      <c r="W719" s="12" t="s">
        <v>31</v>
      </c>
      <c r="X719" s="13">
        <v>1.83275520324707</v>
      </c>
      <c r="Y719" s="13">
        <v>7.9564068499906548E-2</v>
      </c>
      <c r="Z719" s="68">
        <v>4.3412272604079288E-2</v>
      </c>
    </row>
    <row r="720" spans="1:26" x14ac:dyDescent="0.2">
      <c r="A720" s="1">
        <v>718</v>
      </c>
      <c r="B720" s="2" t="s">
        <v>176</v>
      </c>
      <c r="C720" s="25" t="str">
        <f>HYPERLINK(AB2 &amp; "/bulb/3dw_fd60dcfa-7555-4ed4-a639-7b42e0116b1a/rendering/00.obj", "8.39443874359")</f>
        <v>8.39443874359</v>
      </c>
      <c r="D720" s="51" t="str">
        <f>HYPERLINK(AB2 &amp; "/bulb/3dw_fd60dcfa-7555-4ed4-a639-7b42e0116b1a/rendering/01.obj", "7.62777423859")</f>
        <v>7.62777423859</v>
      </c>
      <c r="E720" s="13" t="str">
        <f>HYPERLINK(AB2 &amp; "/bulb/3dw_fd60dcfa-7555-4ed4-a639-7b42e0116b1a/rendering/02.obj", "8.30300235748")</f>
        <v>8.30300235748</v>
      </c>
      <c r="F720" s="91" t="str">
        <f>HYPERLINK(AB2 &amp; "/bulb/3dw_fd60dcfa-7555-4ed4-a639-7b42e0116b1a/rendering/03.obj", "8.06443977356")</f>
        <v>8.06443977356</v>
      </c>
      <c r="G720" s="92" t="str">
        <f>HYPERLINK(AB2 &amp; "/bulb/3dw_fd60dcfa-7555-4ed4-a639-7b42e0116b1a/rendering/04.obj", "9.31760692596")</f>
        <v>9.31760692596</v>
      </c>
      <c r="H720" s="17" t="str">
        <f>HYPERLINK(AB2 &amp; "/bulb/3dw_fd60dcfa-7555-4ed4-a639-7b42e0116b1a/rendering/05.obj", "8.11787223816")</f>
        <v>8.11787223816</v>
      </c>
      <c r="I720" s="30" t="str">
        <f>HYPERLINK(AB2 &amp; "/bulb/3dw_fd60dcfa-7555-4ed4-a639-7b42e0116b1a/rendering/06.obj", "8.25434684753")</f>
        <v>8.25434684753</v>
      </c>
      <c r="J720" s="73" t="str">
        <f>HYPERLINK(AB2 &amp; "/bulb/3dw_fd60dcfa-7555-4ed4-a639-7b42e0116b1a/rendering/07.obj", "8.00468826294")</f>
        <v>8.00468826294</v>
      </c>
      <c r="K720" s="48" t="str">
        <f>HYPERLINK(AB2 &amp; "/bulb/3dw_fd60dcfa-7555-4ed4-a639-7b42e0116b1a/rendering/08.obj", "8.09150505066")</f>
        <v>8.09150505066</v>
      </c>
      <c r="L720" s="34" t="str">
        <f>HYPERLINK(AB2 &amp; "/bulb/3dw_fd60dcfa-7555-4ed4-a639-7b42e0116b1a/rendering/09.obj", "8.68844985962")</f>
        <v>8.68844985962</v>
      </c>
      <c r="M720" s="25" t="str">
        <f>HYPERLINK(AB2 &amp; "/bulb/3dw_fd60dcfa-7555-4ed4-a639-7b42e0116b1a/rendering/10.obj", "8.2058429718")</f>
        <v>8.2058429718</v>
      </c>
      <c r="N720" s="60" t="str">
        <f>HYPERLINK(AB2 &amp; "/bulb/3dw_fd60dcfa-7555-4ed4-a639-7b42e0116b1a/rendering/11.obj", "7.86253023148")</f>
        <v>7.86253023148</v>
      </c>
      <c r="O720" s="6" t="str">
        <f>HYPERLINK(AB2 &amp; "/bulb/3dw_fd60dcfa-7555-4ed4-a639-7b42e0116b1a/rendering/12.obj", "7.92995929718")</f>
        <v>7.92995929718</v>
      </c>
      <c r="P720" s="47" t="str">
        <f>HYPERLINK(AB2 &amp; "/bulb/3dw_fd60dcfa-7555-4ed4-a639-7b42e0116b1a/rendering/13.obj", "8.36022472382")</f>
        <v>8.36022472382</v>
      </c>
      <c r="Q720" s="94" t="str">
        <f>HYPERLINK(AB2 &amp; "/bulb/3dw_fd60dcfa-7555-4ed4-a639-7b42e0116b1a/rendering/14.obj", "8.91462612152")</f>
        <v>8.91462612152</v>
      </c>
      <c r="R720" s="5" t="str">
        <f>HYPERLINK(AB2 &amp; "/bulb/3dw_fd60dcfa-7555-4ed4-a639-7b42e0116b1a/rendering/15.obj", "8.92302703857")</f>
        <v>8.92302703857</v>
      </c>
      <c r="S720" s="23" t="str">
        <f>HYPERLINK(AB2 &amp; "/bulb/3dw_fd60dcfa-7555-4ed4-a639-7b42e0116b1a/rendering/16.obj", "8.60747528076")</f>
        <v>8.60747528076</v>
      </c>
      <c r="T720" s="60" t="str">
        <f>HYPERLINK(AB2 &amp; "/bulb/3dw_fd60dcfa-7555-4ed4-a639-7b42e0116b1a/rendering/17.obj", "7.87183761597")</f>
        <v>7.87183761597</v>
      </c>
      <c r="U720" s="46" t="str">
        <f>HYPERLINK(AB2 &amp; "/bulb/3dw_fd60dcfa-7555-4ed4-a639-7b42e0116b1a/rendering/18.obj", "8.44995975494")</f>
        <v>8.44995975494</v>
      </c>
      <c r="V720" s="34" t="str">
        <f>HYPERLINK(AB2 &amp; "/bulb/3dw_fd60dcfa-7555-4ed4-a639-7b42e0116b1a/rendering/19.obj", "7.90421533585")</f>
        <v>7.90421533585</v>
      </c>
      <c r="W720" s="12" t="s">
        <v>32</v>
      </c>
      <c r="X720" s="13">
        <v>8.2946911334991462</v>
      </c>
      <c r="Y720" s="13">
        <v>0.41423538587530689</v>
      </c>
      <c r="Z720" s="34">
        <v>4.9939820447607211E-2</v>
      </c>
    </row>
    <row r="721" spans="1:26" x14ac:dyDescent="0.2">
      <c r="A721" s="1">
        <v>719</v>
      </c>
      <c r="B721" s="2" t="s">
        <v>176</v>
      </c>
      <c r="C721" s="13" t="str">
        <f>HYPERLINK(AC2 &amp; "/bulb/3dw_fd60dcfa-7555-4ed4-a639-7b42e0116b1a/rendering/00.xyz", "0.0")</f>
        <v>0.0</v>
      </c>
      <c r="D721" s="13" t="str">
        <f>HYPERLINK(AC2 &amp; "/bulb/3dw_fd60dcfa-7555-4ed4-a639-7b42e0116b1a/rendering/01.xyz", "0.0")</f>
        <v>0.0</v>
      </c>
      <c r="E721" s="13" t="str">
        <f>HYPERLINK(AC2 &amp; "/bulb/3dw_fd60dcfa-7555-4ed4-a639-7b42e0116b1a/rendering/02.xyz", "0.0")</f>
        <v>0.0</v>
      </c>
      <c r="F721" s="13" t="str">
        <f>HYPERLINK(AC2 &amp; "/bulb/3dw_fd60dcfa-7555-4ed4-a639-7b42e0116b1a/rendering/03.xyz", "0.0")</f>
        <v>0.0</v>
      </c>
      <c r="G721" s="13" t="str">
        <f>HYPERLINK(AC2 &amp; "/bulb/3dw_fd60dcfa-7555-4ed4-a639-7b42e0116b1a/rendering/04.xyz", "0.0")</f>
        <v>0.0</v>
      </c>
      <c r="H721" s="13" t="str">
        <f>HYPERLINK(AC2 &amp; "/bulb/3dw_fd60dcfa-7555-4ed4-a639-7b42e0116b1a/rendering/05.xyz", "0.0")</f>
        <v>0.0</v>
      </c>
      <c r="I721" s="13" t="str">
        <f>HYPERLINK(AC2 &amp; "/bulb/3dw_fd60dcfa-7555-4ed4-a639-7b42e0116b1a/rendering/06.xyz", "0.0")</f>
        <v>0.0</v>
      </c>
      <c r="J721" s="13" t="str">
        <f>HYPERLINK(AC2 &amp; "/bulb/3dw_fd60dcfa-7555-4ed4-a639-7b42e0116b1a/rendering/07.xyz", "0.0")</f>
        <v>0.0</v>
      </c>
      <c r="K721" s="13" t="str">
        <f>HYPERLINK(AC2 &amp; "/bulb/3dw_fd60dcfa-7555-4ed4-a639-7b42e0116b1a/rendering/08.xyz", "0.0")</f>
        <v>0.0</v>
      </c>
      <c r="L721" s="13" t="str">
        <f>HYPERLINK(AC2 &amp; "/bulb/3dw_fd60dcfa-7555-4ed4-a639-7b42e0116b1a/rendering/09.xyz", "0.0")</f>
        <v>0.0</v>
      </c>
      <c r="M721" s="13" t="str">
        <f>HYPERLINK(AC2 &amp; "/bulb/3dw_fd60dcfa-7555-4ed4-a639-7b42e0116b1a/rendering/10.xyz", "0.0")</f>
        <v>0.0</v>
      </c>
      <c r="N721" s="13" t="str">
        <f>HYPERLINK(AC2 &amp; "/bulb/3dw_fd60dcfa-7555-4ed4-a639-7b42e0116b1a/rendering/11.xyz", "0.0")</f>
        <v>0.0</v>
      </c>
      <c r="O721" s="13" t="str">
        <f>HYPERLINK(AC2 &amp; "/bulb/3dw_fd60dcfa-7555-4ed4-a639-7b42e0116b1a/rendering/12.xyz", "0.0")</f>
        <v>0.0</v>
      </c>
      <c r="P721" s="13" t="str">
        <f>HYPERLINK(AC2 &amp; "/bulb/3dw_fd60dcfa-7555-4ed4-a639-7b42e0116b1a/rendering/13.xyz", "0.0")</f>
        <v>0.0</v>
      </c>
      <c r="Q721" s="13" t="str">
        <f>HYPERLINK(AC2 &amp; "/bulb/3dw_fd60dcfa-7555-4ed4-a639-7b42e0116b1a/rendering/14.xyz", "0.0")</f>
        <v>0.0</v>
      </c>
      <c r="R721" s="13" t="str">
        <f>HYPERLINK(AC2 &amp; "/bulb/3dw_fd60dcfa-7555-4ed4-a639-7b42e0116b1a/rendering/15.xyz", "0.0")</f>
        <v>0.0</v>
      </c>
      <c r="S721" s="13" t="str">
        <f>HYPERLINK(AC2 &amp; "/bulb/3dw_fd60dcfa-7555-4ed4-a639-7b42e0116b1a/rendering/16.xyz", "0.0")</f>
        <v>0.0</v>
      </c>
      <c r="T721" s="13" t="str">
        <f>HYPERLINK(AC2 &amp; "/bulb/3dw_fd60dcfa-7555-4ed4-a639-7b42e0116b1a/rendering/17.xyz", "0.0")</f>
        <v>0.0</v>
      </c>
      <c r="U721" s="13" t="str">
        <f>HYPERLINK(AC2 &amp; "/bulb/3dw_fd60dcfa-7555-4ed4-a639-7b42e0116b1a/rendering/18.xyz", "0.0")</f>
        <v>0.0</v>
      </c>
      <c r="V721" s="13" t="str">
        <f>HYPERLINK(AC2 &amp; "/bulb/3dw_fd60dcfa-7555-4ed4-a639-7b42e0116b1a/rendering/19.xyz", "0.0")</f>
        <v>0.0</v>
      </c>
      <c r="W721" s="12" t="s">
        <v>33</v>
      </c>
      <c r="X721" s="13">
        <v>0</v>
      </c>
      <c r="Y721" s="13">
        <v>0</v>
      </c>
      <c r="Z721" s="13">
        <v>0</v>
      </c>
    </row>
    <row r="722" spans="1:26" x14ac:dyDescent="0.2">
      <c r="A722" s="1">
        <v>720</v>
      </c>
      <c r="B722" s="2" t="s">
        <v>177</v>
      </c>
      <c r="C722" s="71" t="str">
        <f>HYPERLINK(AA2 &amp; "/bulb/3dw_fe56277a-437f-4bcc-bbe9-5dd3a91de658/rendering/00.obj", "4.93163269043")</f>
        <v>4.93163269043</v>
      </c>
      <c r="D722" s="74" t="str">
        <f>HYPERLINK(AA2 &amp; "/bulb/3dw_fe56277a-437f-4bcc-bbe9-5dd3a91de658/rendering/01.obj", "5.50519714355")</f>
        <v>5.50519714355</v>
      </c>
      <c r="E722" s="6" t="str">
        <f>HYPERLINK(AA2 &amp; "/bulb/3dw_fe56277a-437f-4bcc-bbe9-5dd3a91de658/rendering/02.obj", "5.34382324219")</f>
        <v>5.34382324219</v>
      </c>
      <c r="F722" s="24" t="str">
        <f>HYPERLINK(AA2 &amp; "/bulb/3dw_fe56277a-437f-4bcc-bbe9-5dd3a91de658/rendering/03.obj", "4.65381896973")</f>
        <v>4.65381896973</v>
      </c>
      <c r="G722" s="67" t="str">
        <f>HYPERLINK(AA2 &amp; "/bulb/3dw_fe56277a-437f-4bcc-bbe9-5dd3a91de658/rendering/04.obj", "6.10849121094")</f>
        <v>6.10849121094</v>
      </c>
      <c r="H722" s="93" t="str">
        <f>HYPERLINK(AA2 &amp; "/bulb/3dw_fe56277a-437f-4bcc-bbe9-5dd3a91de658/rendering/05.obj", "6.38073669434")</f>
        <v>6.38073669434</v>
      </c>
      <c r="I722" s="8" t="str">
        <f>HYPERLINK(AA2 &amp; "/bulb/3dw_fe56277a-437f-4bcc-bbe9-5dd3a91de658/rendering/06.obj", "6.38319580078")</f>
        <v>6.38319580078</v>
      </c>
      <c r="J722" s="36" t="str">
        <f>HYPERLINK(AA2 &amp; "/bulb/3dw_fe56277a-437f-4bcc-bbe9-5dd3a91de658/rendering/07.obj", "6.80152770996")</f>
        <v>6.80152770996</v>
      </c>
      <c r="K722" s="83" t="str">
        <f>HYPERLINK(AA2 &amp; "/bulb/3dw_fe56277a-437f-4bcc-bbe9-5dd3a91de658/rendering/08.obj", "6.44029663086")</f>
        <v>6.44029663086</v>
      </c>
      <c r="L722" s="79" t="str">
        <f>HYPERLINK(AA2 &amp; "/bulb/3dw_fe56277a-437f-4bcc-bbe9-5dd3a91de658/rendering/09.obj", "4.70589263916")</f>
        <v>4.70589263916</v>
      </c>
      <c r="M722" s="51" t="str">
        <f>HYPERLINK(AA2 &amp; "/bulb/3dw_fe56277a-437f-4bcc-bbe9-5dd3a91de658/rendering/10.obj", "5.14742004395")</f>
        <v>5.14742004395</v>
      </c>
      <c r="N722" s="6" t="str">
        <f>HYPERLINK(AA2 &amp; "/bulb/3dw_fe56277a-437f-4bcc-bbe9-5dd3a91de658/rendering/11.obj", "5.3375177002")</f>
        <v>5.3375177002</v>
      </c>
      <c r="O722" s="48" t="str">
        <f>HYPERLINK(AA2 &amp; "/bulb/3dw_fe56277a-437f-4bcc-bbe9-5dd3a91de658/rendering/12.obj", "5.72614990234")</f>
        <v>5.72614990234</v>
      </c>
      <c r="P722" s="44" t="str">
        <f>HYPERLINK(AA2 &amp; "/bulb/3dw_fe56277a-437f-4bcc-bbe9-5dd3a91de658/rendering/13.obj", "4.4964855957")</f>
        <v>4.4964855957</v>
      </c>
      <c r="Q722" s="64" t="str">
        <f>HYPERLINK(AA2 &amp; "/bulb/3dw_fe56277a-437f-4bcc-bbe9-5dd3a91de658/rendering/14.obj", "4.67375366211")</f>
        <v>4.67375366211</v>
      </c>
      <c r="R722" s="136" t="str">
        <f>HYPERLINK(AA2 &amp; "/bulb/3dw_fe56277a-437f-4bcc-bbe9-5dd3a91de658/rendering/15.obj", "6.91210571289")</f>
        <v>6.91210571289</v>
      </c>
      <c r="S722" s="13" t="str">
        <f>HYPERLINK(AA2 &amp; "/bulb/3dw_fe56277a-437f-4bcc-bbe9-5dd3a91de658/rendering/16.obj", "5.59893188477")</f>
        <v>5.59893188477</v>
      </c>
      <c r="T722" s="24" t="str">
        <f>HYPERLINK(AA2 &amp; "/bulb/3dw_fe56277a-437f-4bcc-bbe9-5dd3a91de658/rendering/17.obj", "4.65670562744")</f>
        <v>4.65670562744</v>
      </c>
      <c r="U722" s="80" t="str">
        <f>HYPERLINK(AA2 &amp; "/bulb/3dw_fe56277a-437f-4bcc-bbe9-5dd3a91de658/rendering/18.obj", "6.42213745117")</f>
        <v>6.42213745117</v>
      </c>
      <c r="V722" s="30" t="str">
        <f>HYPERLINK(AA2 &amp; "/bulb/3dw_fe56277a-437f-4bcc-bbe9-5dd3a91de658/rendering/19.obj", "5.61791931152")</f>
        <v>5.61791931152</v>
      </c>
      <c r="W722" s="12" t="s">
        <v>29</v>
      </c>
      <c r="X722" s="13">
        <v>5.5921869812011717</v>
      </c>
      <c r="Y722" s="13">
        <v>0.75825603346683967</v>
      </c>
      <c r="Z722" s="42">
        <v>0.13559203868107611</v>
      </c>
    </row>
    <row r="723" spans="1:26" x14ac:dyDescent="0.2">
      <c r="A723" s="1">
        <v>721</v>
      </c>
      <c r="B723" s="2" t="s">
        <v>177</v>
      </c>
      <c r="C723" s="32" t="str">
        <f>HYPERLINK(AA2 &amp; "/bulb/3dw_fe56277a-437f-4bcc-bbe9-5dd3a91de658/rendering/00.obj", "12.3089752197")</f>
        <v>12.3089752197</v>
      </c>
      <c r="D723" s="55" t="str">
        <f>HYPERLINK(AA2 &amp; "/bulb/3dw_fe56277a-437f-4bcc-bbe9-5dd3a91de658/rendering/01.obj", "16.365983963")</f>
        <v>16.365983963</v>
      </c>
      <c r="E723" s="41" t="str">
        <f>HYPERLINK(AA2 &amp; "/bulb/3dw_fe56277a-437f-4bcc-bbe9-5dd3a91de658/rendering/02.obj", "14.6605472565")</f>
        <v>14.6605472565</v>
      </c>
      <c r="F723" s="79" t="str">
        <f>HYPERLINK(AA2 &amp; "/bulb/3dw_fe56277a-437f-4bcc-bbe9-5dd3a91de658/rendering/03.obj", "11.5440044403")</f>
        <v>11.5440044403</v>
      </c>
      <c r="G723" s="87" t="str">
        <f>HYPERLINK(AA2 &amp; "/bulb/3dw_fe56277a-437f-4bcc-bbe9-5dd3a91de658/rendering/04.obj", "16.8654556274")</f>
        <v>16.8654556274</v>
      </c>
      <c r="H723" s="67" t="str">
        <f>HYPERLINK(AA2 &amp; "/bulb/3dw_fe56277a-437f-4bcc-bbe9-5dd3a91de658/rendering/05.obj", "12.4642744064")</f>
        <v>12.4642744064</v>
      </c>
      <c r="I723" s="64" t="str">
        <f>HYPERLINK(AA2 &amp; "/bulb/3dw_fe56277a-437f-4bcc-bbe9-5dd3a91de658/rendering/06.obj", "11.4519586563")</f>
        <v>11.4519586563</v>
      </c>
      <c r="J723" s="149" t="str">
        <f>HYPERLINK(AA2 &amp; "/bulb/3dw_fe56277a-437f-4bcc-bbe9-5dd3a91de658/rendering/07.obj", "18.4356079102")</f>
        <v>18.4356079102</v>
      </c>
      <c r="K723" s="51" t="str">
        <f>HYPERLINK(AA2 &amp; "/bulb/3dw_fe56277a-437f-4bcc-bbe9-5dd3a91de658/rendering/08.obj", "14.8377580643")</f>
        <v>14.8377580643</v>
      </c>
      <c r="L723" s="26" t="str">
        <f>HYPERLINK(AA2 &amp; "/bulb/3dw_fe56277a-437f-4bcc-bbe9-5dd3a91de658/rendering/09.obj", "12.8655157089")</f>
        <v>12.8655157089</v>
      </c>
      <c r="M723" s="63" t="str">
        <f>HYPERLINK(AA2 &amp; "/bulb/3dw_fe56277a-437f-4bcc-bbe9-5dd3a91de658/rendering/10.obj", "12.0790071487")</f>
        <v>12.0790071487</v>
      </c>
      <c r="N723" s="133" t="str">
        <f>HYPERLINK(AA2 &amp; "/bulb/3dw_fe56277a-437f-4bcc-bbe9-5dd3a91de658/rendering/11.obj", "12.3149356842")</f>
        <v>12.3149356842</v>
      </c>
      <c r="O723" s="91" t="str">
        <f>HYPERLINK(AA2 &amp; "/bulb/3dw_fe56277a-437f-4bcc-bbe9-5dd3a91de658/rendering/12.obj", "14.1071310043")</f>
        <v>14.1071310043</v>
      </c>
      <c r="P723" s="149" t="str">
        <f>HYPERLINK(AA2 &amp; "/bulb/3dw_fe56277a-437f-4bcc-bbe9-5dd3a91de658/rendering/13.obj", "9.03197574615")</f>
        <v>9.03197574615</v>
      </c>
      <c r="Q723" s="108" t="str">
        <f>HYPERLINK(AA2 &amp; "/bulb/3dw_fe56277a-437f-4bcc-bbe9-5dd3a91de658/rendering/14.obj", "10.3580188751")</f>
        <v>10.3580188751</v>
      </c>
      <c r="R723" s="21" t="str">
        <f>HYPERLINK(AA2 &amp; "/bulb/3dw_fe56277a-437f-4bcc-bbe9-5dd3a91de658/rendering/15.obj", "21.3216571808")</f>
        <v>21.3216571808</v>
      </c>
      <c r="S723" s="90" t="str">
        <f>HYPERLINK(AA2 &amp; "/bulb/3dw_fe56277a-437f-4bcc-bbe9-5dd3a91de658/rendering/16.obj", "12.4054079056")</f>
        <v>12.4054079056</v>
      </c>
      <c r="T723" s="108" t="str">
        <f>HYPERLINK(AA2 &amp; "/bulb/3dw_fe56277a-437f-4bcc-bbe9-5dd3a91de658/rendering/17.obj", "10.3609552383")</f>
        <v>10.3609552383</v>
      </c>
      <c r="U723" s="110" t="str">
        <f>HYPERLINK(AA2 &amp; "/bulb/3dw_fe56277a-437f-4bcc-bbe9-5dd3a91de658/rendering/18.obj", "15.0904893875")</f>
        <v>15.0904893875</v>
      </c>
      <c r="V723" s="83" t="str">
        <f>HYPERLINK(AA2 &amp; "/bulb/3dw_fe56277a-437f-4bcc-bbe9-5dd3a91de658/rendering/19.obj", "15.8033761978")</f>
        <v>15.8033761978</v>
      </c>
      <c r="W723" s="12" t="s">
        <v>30</v>
      </c>
      <c r="X723" s="13">
        <v>13.73365178108215</v>
      </c>
      <c r="Y723" s="13">
        <v>2.9202051299241529</v>
      </c>
      <c r="Z723" s="120">
        <v>0.21263136538430949</v>
      </c>
    </row>
    <row r="724" spans="1:26" x14ac:dyDescent="0.2">
      <c r="A724" s="1">
        <v>722</v>
      </c>
      <c r="B724" s="2" t="s">
        <v>177</v>
      </c>
      <c r="C724" s="69" t="str">
        <f>HYPERLINK(AB2 &amp; "/bulb/3dw_fe56277a-437f-4bcc-bbe9-5dd3a91de658/rendering/00.obj", "4.6414666748")</f>
        <v>4.6414666748</v>
      </c>
      <c r="D724" s="42" t="str">
        <f>HYPERLINK(AB2 &amp; "/bulb/3dw_fe56277a-437f-4bcc-bbe9-5dd3a91de658/rendering/01.obj", "4.12522827148")</f>
        <v>4.12522827148</v>
      </c>
      <c r="E724" s="32" t="str">
        <f>HYPERLINK(AB2 &amp; "/bulb/3dw_fe56277a-437f-4bcc-bbe9-5dd3a91de658/rendering/02.obj", "4.28239501953")</f>
        <v>4.28239501953</v>
      </c>
      <c r="F724" s="38" t="str">
        <f>HYPERLINK(AB2 &amp; "/bulb/3dw_fe56277a-437f-4bcc-bbe9-5dd3a91de658/rendering/03.obj", "5.2024230957")</f>
        <v>5.2024230957</v>
      </c>
      <c r="G724" s="48" t="str">
        <f>HYPERLINK(AB2 &amp; "/bulb/3dw_fe56277a-437f-4bcc-bbe9-5dd3a91de658/rendering/04.obj", "4.66553100586")</f>
        <v>4.66553100586</v>
      </c>
      <c r="H724" s="6" t="str">
        <f>HYPERLINK(AB2 &amp; "/bulb/3dw_fe56277a-437f-4bcc-bbe9-5dd3a91de658/rendering/05.obj", "4.56533996582")</f>
        <v>4.56533996582</v>
      </c>
      <c r="I724" s="92" t="str">
        <f>HYPERLINK(AB2 &amp; "/bulb/3dw_fe56277a-437f-4bcc-bbe9-5dd3a91de658/rendering/06.obj", "4.18981933594")</f>
        <v>4.18981933594</v>
      </c>
      <c r="J724" s="69" t="str">
        <f>HYPERLINK(AB2 &amp; "/bulb/3dw_fe56277a-437f-4bcc-bbe9-5dd3a91de658/rendering/07.obj", "4.62777099609")</f>
        <v>4.62777099609</v>
      </c>
      <c r="K724" s="60" t="str">
        <f>HYPERLINK(AB2 &amp; "/bulb/3dw_fe56277a-437f-4bcc-bbe9-5dd3a91de658/rendering/08.obj", "5.02131256104")</f>
        <v>5.02131256104</v>
      </c>
      <c r="L724" s="72" t="str">
        <f>HYPERLINK(AB2 &amp; "/bulb/3dw_fe56277a-437f-4bcc-bbe9-5dd3a91de658/rendering/09.obj", "4.93417114258")</f>
        <v>4.93417114258</v>
      </c>
      <c r="M724" s="63" t="str">
        <f>HYPERLINK(AB2 &amp; "/bulb/3dw_fe56277a-437f-4bcc-bbe9-5dd3a91de658/rendering/10.obj", "5.36100830078")</f>
        <v>5.36100830078</v>
      </c>
      <c r="N724" s="10" t="str">
        <f>HYPERLINK(AB2 &amp; "/bulb/3dw_fe56277a-437f-4bcc-bbe9-5dd3a91de658/rendering/11.obj", "5.04174377441")</f>
        <v>5.04174377441</v>
      </c>
      <c r="O724" s="13" t="str">
        <f>HYPERLINK(AB2 &amp; "/bulb/3dw_fe56277a-437f-4bcc-bbe9-5dd3a91de658/rendering/12.obj", "4.77765838623")</f>
        <v>4.77765838623</v>
      </c>
      <c r="P724" s="67" t="str">
        <f>HYPERLINK(AB2 &amp; "/bulb/3dw_fe56277a-437f-4bcc-bbe9-5dd3a91de658/rendering/13.obj", "4.33571655273")</f>
        <v>4.33571655273</v>
      </c>
      <c r="Q724" s="13" t="str">
        <f>HYPERLINK(AB2 &amp; "/bulb/3dw_fe56277a-437f-4bcc-bbe9-5dd3a91de658/rendering/14.obj", "4.79011230469")</f>
        <v>4.79011230469</v>
      </c>
      <c r="R724" s="33" t="str">
        <f>HYPERLINK(AB2 &amp; "/bulb/3dw_fe56277a-437f-4bcc-bbe9-5dd3a91de658/rendering/15.obj", "5.29782592773")</f>
        <v>5.29782592773</v>
      </c>
      <c r="S724" s="38" t="str">
        <f>HYPERLINK(AB2 &amp; "/bulb/3dw_fe56277a-437f-4bcc-bbe9-5dd3a91de658/rendering/16.obj", "5.20169128418")</f>
        <v>5.20169128418</v>
      </c>
      <c r="T724" s="17" t="str">
        <f>HYPERLINK(AB2 &amp; "/bulb/3dw_fe56277a-437f-4bcc-bbe9-5dd3a91de658/rendering/17.obj", "4.68663330078")</f>
        <v>4.68663330078</v>
      </c>
      <c r="U724" s="73" t="str">
        <f>HYPERLINK(AB2 &amp; "/bulb/3dw_fe56277a-437f-4bcc-bbe9-5dd3a91de658/rendering/18.obj", "4.6063458252")</f>
        <v>4.6063458252</v>
      </c>
      <c r="V724" s="39" t="str">
        <f>HYPERLINK(AB2 &amp; "/bulb/3dw_fe56277a-437f-4bcc-bbe9-5dd3a91de658/rendering/19.obj", "5.18552429199")</f>
        <v>5.18552429199</v>
      </c>
      <c r="W724" s="12" t="s">
        <v>31</v>
      </c>
      <c r="X724" s="13">
        <v>4.7769859008789073</v>
      </c>
      <c r="Y724" s="13">
        <v>0.36327149066210529</v>
      </c>
      <c r="Z724" s="5">
        <v>7.6046171833010393E-2</v>
      </c>
    </row>
    <row r="725" spans="1:26" x14ac:dyDescent="0.2">
      <c r="A725" s="1">
        <v>723</v>
      </c>
      <c r="B725" s="2" t="s">
        <v>177</v>
      </c>
      <c r="C725" s="166" t="str">
        <f>HYPERLINK(AB2 &amp; "/bulb/3dw_fe56277a-437f-4bcc-bbe9-5dd3a91de658/rendering/00.obj", "9.28894996643")</f>
        <v>9.28894996643</v>
      </c>
      <c r="D725" s="28" t="str">
        <f>HYPERLINK(AB2 &amp; "/bulb/3dw_fe56277a-437f-4bcc-bbe9-5dd3a91de658/rendering/01.obj", "11.5924453735")</f>
        <v>11.5924453735</v>
      </c>
      <c r="E725" s="60" t="str">
        <f>HYPERLINK(AB2 &amp; "/bulb/3dw_fe56277a-437f-4bcc-bbe9-5dd3a91de658/rendering/02.obj", "12.3824281693")</f>
        <v>12.3824281693</v>
      </c>
      <c r="F725" s="5" t="str">
        <f>HYPERLINK(AB2 &amp; "/bulb/3dw_fe56277a-437f-4bcc-bbe9-5dd3a91de658/rendering/03.obj", "12.0290670395")</f>
        <v>12.0290670395</v>
      </c>
      <c r="G725" s="64" t="str">
        <f>HYPERLINK(AB2 &amp; "/bulb/3dw_fe56277a-437f-4bcc-bbe9-5dd3a91de658/rendering/04.obj", "15.2016716003")</f>
        <v>15.2016716003</v>
      </c>
      <c r="H725" s="106" t="str">
        <f>HYPERLINK(AB2 &amp; "/bulb/3dw_fe56277a-437f-4bcc-bbe9-5dd3a91de658/rendering/05.obj", "11.5543737411")</f>
        <v>11.5543737411</v>
      </c>
      <c r="I725" s="55" t="str">
        <f>HYPERLINK(AB2 &amp; "/bulb/3dw_fe56277a-437f-4bcc-bbe9-5dd3a91de658/rendering/06.obj", "10.5175008774")</f>
        <v>10.5175008774</v>
      </c>
      <c r="J725" s="70" t="str">
        <f>HYPERLINK(AB2 &amp; "/bulb/3dw_fe56277a-437f-4bcc-bbe9-5dd3a91de658/rendering/07.obj", "14.693406105")</f>
        <v>14.693406105</v>
      </c>
      <c r="K725" s="52" t="str">
        <f>HYPERLINK(AB2 &amp; "/bulb/3dw_fe56277a-437f-4bcc-bbe9-5dd3a91de658/rendering/08.obj", "18.2480945587")</f>
        <v>18.2480945587</v>
      </c>
      <c r="L725" s="75" t="str">
        <f>HYPERLINK(AB2 &amp; "/bulb/3dw_fe56277a-437f-4bcc-bbe9-5dd3a91de658/rendering/09.obj", "10.1569337845")</f>
        <v>10.1569337845</v>
      </c>
      <c r="M725" s="35" t="str">
        <f>HYPERLINK(AB2 &amp; "/bulb/3dw_fe56277a-437f-4bcc-bbe9-5dd3a91de658/rendering/10.obj", "13.8050928116")</f>
        <v>13.8050928116</v>
      </c>
      <c r="N725" s="63" t="str">
        <f>HYPERLINK(AB2 &amp; "/bulb/3dw_fe56277a-437f-4bcc-bbe9-5dd3a91de658/rendering/11.obj", "14.6415243149")</f>
        <v>14.6415243149</v>
      </c>
      <c r="O725" s="49" t="str">
        <f>HYPERLINK(AB2 &amp; "/bulb/3dw_fe56277a-437f-4bcc-bbe9-5dd3a91de658/rendering/12.obj", "10.327038765")</f>
        <v>10.327038765</v>
      </c>
      <c r="P725" s="84" t="str">
        <f>HYPERLINK(AB2 &amp; "/bulb/3dw_fe56277a-437f-4bcc-bbe9-5dd3a91de658/rendering/13.obj", "11.1487531662")</f>
        <v>11.1487531662</v>
      </c>
      <c r="Q725" s="44" t="str">
        <f>HYPERLINK(AB2 &amp; "/bulb/3dw_fe56277a-437f-4bcc-bbe9-5dd3a91de658/rendering/14.obj", "10.4985265732")</f>
        <v>10.4985265732</v>
      </c>
      <c r="R725" s="105" t="str">
        <f>HYPERLINK(AB2 &amp; "/bulb/3dw_fe56277a-437f-4bcc-bbe9-5dd3a91de658/rendering/15.obj", "19.7211055756")</f>
        <v>19.7211055756</v>
      </c>
      <c r="S725" s="92" t="str">
        <f>HYPERLINK(AB2 &amp; "/bulb/3dw_fe56277a-437f-4bcc-bbe9-5dd3a91de658/rendering/16.obj", "14.6548728943")</f>
        <v>14.6548728943</v>
      </c>
      <c r="T725" s="79" t="str">
        <f>HYPERLINK(AB2 &amp; "/bulb/3dw_fe56277a-437f-4bcc-bbe9-5dd3a91de658/rendering/17.obj", "10.9856157303")</f>
        <v>10.9856157303</v>
      </c>
      <c r="U725" s="92" t="str">
        <f>HYPERLINK(AB2 &amp; "/bulb/3dw_fe56277a-437f-4bcc-bbe9-5dd3a91de658/rendering/18.obj", "11.4449176788")</f>
        <v>11.4449176788</v>
      </c>
      <c r="V725" s="172" t="str">
        <f>HYPERLINK(AB2 &amp; "/bulb/3dw_fe56277a-437f-4bcc-bbe9-5dd3a91de658/rendering/19.obj", "18.0714855194")</f>
        <v>18.0714855194</v>
      </c>
      <c r="W725" s="12" t="s">
        <v>32</v>
      </c>
      <c r="X725" s="13">
        <v>13.048190212249761</v>
      </c>
      <c r="Y725" s="13">
        <v>2.9060603979972068</v>
      </c>
      <c r="Z725" s="75">
        <v>0.222717507234756</v>
      </c>
    </row>
    <row r="726" spans="1:26" x14ac:dyDescent="0.2">
      <c r="A726" s="1">
        <v>724</v>
      </c>
      <c r="B726" s="2" t="s">
        <v>177</v>
      </c>
      <c r="C726" s="13" t="str">
        <f>HYPERLINK(AC2 &amp; "/bulb/3dw_fe56277a-437f-4bcc-bbe9-5dd3a91de658/rendering/00.xyz", "0.0")</f>
        <v>0.0</v>
      </c>
      <c r="D726" s="13" t="str">
        <f>HYPERLINK(AC2 &amp; "/bulb/3dw_fe56277a-437f-4bcc-bbe9-5dd3a91de658/rendering/01.xyz", "0.0")</f>
        <v>0.0</v>
      </c>
      <c r="E726" s="13" t="str">
        <f>HYPERLINK(AC2 &amp; "/bulb/3dw_fe56277a-437f-4bcc-bbe9-5dd3a91de658/rendering/02.xyz", "0.0")</f>
        <v>0.0</v>
      </c>
      <c r="F726" s="13" t="str">
        <f>HYPERLINK(AC2 &amp; "/bulb/3dw_fe56277a-437f-4bcc-bbe9-5dd3a91de658/rendering/03.xyz", "0.0")</f>
        <v>0.0</v>
      </c>
      <c r="G726" s="13" t="str">
        <f>HYPERLINK(AC2 &amp; "/bulb/3dw_fe56277a-437f-4bcc-bbe9-5dd3a91de658/rendering/04.xyz", "0.0")</f>
        <v>0.0</v>
      </c>
      <c r="H726" s="13" t="str">
        <f>HYPERLINK(AC2 &amp; "/bulb/3dw_fe56277a-437f-4bcc-bbe9-5dd3a91de658/rendering/05.xyz", "0.0")</f>
        <v>0.0</v>
      </c>
      <c r="I726" s="13" t="str">
        <f>HYPERLINK(AC2 &amp; "/bulb/3dw_fe56277a-437f-4bcc-bbe9-5dd3a91de658/rendering/06.xyz", "0.0")</f>
        <v>0.0</v>
      </c>
      <c r="J726" s="13" t="str">
        <f>HYPERLINK(AC2 &amp; "/bulb/3dw_fe56277a-437f-4bcc-bbe9-5dd3a91de658/rendering/07.xyz", "0.0")</f>
        <v>0.0</v>
      </c>
      <c r="K726" s="13" t="str">
        <f>HYPERLINK(AC2 &amp; "/bulb/3dw_fe56277a-437f-4bcc-bbe9-5dd3a91de658/rendering/08.xyz", "0.0")</f>
        <v>0.0</v>
      </c>
      <c r="L726" s="13" t="str">
        <f>HYPERLINK(AC2 &amp; "/bulb/3dw_fe56277a-437f-4bcc-bbe9-5dd3a91de658/rendering/09.xyz", "0.0")</f>
        <v>0.0</v>
      </c>
      <c r="M726" s="13" t="str">
        <f>HYPERLINK(AC2 &amp; "/bulb/3dw_fe56277a-437f-4bcc-bbe9-5dd3a91de658/rendering/10.xyz", "0.0")</f>
        <v>0.0</v>
      </c>
      <c r="N726" s="13" t="str">
        <f>HYPERLINK(AC2 &amp; "/bulb/3dw_fe56277a-437f-4bcc-bbe9-5dd3a91de658/rendering/11.xyz", "0.0")</f>
        <v>0.0</v>
      </c>
      <c r="O726" s="13" t="str">
        <f>HYPERLINK(AC2 &amp; "/bulb/3dw_fe56277a-437f-4bcc-bbe9-5dd3a91de658/rendering/12.xyz", "0.0")</f>
        <v>0.0</v>
      </c>
      <c r="P726" s="13" t="str">
        <f>HYPERLINK(AC2 &amp; "/bulb/3dw_fe56277a-437f-4bcc-bbe9-5dd3a91de658/rendering/13.xyz", "0.0")</f>
        <v>0.0</v>
      </c>
      <c r="Q726" s="13" t="str">
        <f>HYPERLINK(AC2 &amp; "/bulb/3dw_fe56277a-437f-4bcc-bbe9-5dd3a91de658/rendering/14.xyz", "0.0")</f>
        <v>0.0</v>
      </c>
      <c r="R726" s="13" t="str">
        <f>HYPERLINK(AC2 &amp; "/bulb/3dw_fe56277a-437f-4bcc-bbe9-5dd3a91de658/rendering/15.xyz", "0.0")</f>
        <v>0.0</v>
      </c>
      <c r="S726" s="13" t="str">
        <f>HYPERLINK(AC2 &amp; "/bulb/3dw_fe56277a-437f-4bcc-bbe9-5dd3a91de658/rendering/16.xyz", "0.0")</f>
        <v>0.0</v>
      </c>
      <c r="T726" s="13" t="str">
        <f>HYPERLINK(AC2 &amp; "/bulb/3dw_fe56277a-437f-4bcc-bbe9-5dd3a91de658/rendering/17.xyz", "0.0")</f>
        <v>0.0</v>
      </c>
      <c r="U726" s="13" t="str">
        <f>HYPERLINK(AC2 &amp; "/bulb/3dw_fe56277a-437f-4bcc-bbe9-5dd3a91de658/rendering/18.xyz", "0.0")</f>
        <v>0.0</v>
      </c>
      <c r="V726" s="13" t="str">
        <f>HYPERLINK(AC2 &amp; "/bulb/3dw_fe56277a-437f-4bcc-bbe9-5dd3a91de658/rendering/19.xyz", "0.0")</f>
        <v>0.0</v>
      </c>
      <c r="W726" s="12" t="s">
        <v>33</v>
      </c>
      <c r="X726" s="13">
        <v>0</v>
      </c>
      <c r="Y726" s="13">
        <v>0</v>
      </c>
      <c r="Z726" s="13">
        <v>0</v>
      </c>
    </row>
    <row r="727" spans="1:26" x14ac:dyDescent="0.2">
      <c r="A727" s="1">
        <v>725</v>
      </c>
      <c r="B727" s="2" t="s">
        <v>178</v>
      </c>
      <c r="C727" s="47" t="str">
        <f>HYPERLINK(AA2 &amp; "/bulb/sn_186e89f88407d9417bc3beccfe5f4397/rendering/00.obj", "7.28138061523")</f>
        <v>7.28138061523</v>
      </c>
      <c r="D727" s="51" t="str">
        <f>HYPERLINK(AA2 &amp; "/bulb/sn_186e89f88407d9417bc3beccfe5f4397/rendering/01.obj", "7.80698486328")</f>
        <v>7.80698486328</v>
      </c>
      <c r="E727" s="69" t="str">
        <f>HYPERLINK(AA2 &amp; "/bulb/sn_186e89f88407d9417bc3beccfe5f4397/rendering/02.obj", "7.43553710937")</f>
        <v>7.43553710937</v>
      </c>
      <c r="F727" s="10" t="str">
        <f>HYPERLINK(AA2 &amp; "/bulb/sn_186e89f88407d9417bc3beccfe5f4397/rendering/03.obj", "6.8376171875")</f>
        <v>6.8376171875</v>
      </c>
      <c r="G727" s="67" t="str">
        <f>HYPERLINK(AA2 &amp; "/bulb/sn_186e89f88407d9417bc3beccfe5f4397/rendering/04.obj", "7.88817016602")</f>
        <v>7.88817016602</v>
      </c>
      <c r="H727" s="51" t="str">
        <f>HYPERLINK(AA2 &amp; "/bulb/sn_186e89f88407d9417bc3beccfe5f4397/rendering/05.obj", "7.80433288574")</f>
        <v>7.80433288574</v>
      </c>
      <c r="I727" s="72" t="str">
        <f>HYPERLINK(AA2 &amp; "/bulb/sn_186e89f88407d9417bc3beccfe5f4397/rendering/06.obj", "6.98311035156")</f>
        <v>6.98311035156</v>
      </c>
      <c r="J727" s="93" t="str">
        <f>HYPERLINK(AA2 &amp; "/bulb/sn_186e89f88407d9417bc3beccfe5f4397/rendering/07.obj", "6.21227661133")</f>
        <v>6.21227661133</v>
      </c>
      <c r="K727" s="34" t="str">
        <f>HYPERLINK(AA2 &amp; "/bulb/sn_186e89f88407d9417bc3beccfe5f4397/rendering/08.obj", "7.58198791504")</f>
        <v>7.58198791504</v>
      </c>
      <c r="L727" s="47" t="str">
        <f>HYPERLINK(AA2 &amp; "/bulb/sn_186e89f88407d9417bc3beccfe5f4397/rendering/09.obj", "7.28730041504")</f>
        <v>7.28730041504</v>
      </c>
      <c r="M727" s="17" t="str">
        <f>HYPERLINK(AA2 &amp; "/bulb/sn_186e89f88407d9417bc3beccfe5f4397/rendering/10.obj", "7.37062011719")</f>
        <v>7.37062011719</v>
      </c>
      <c r="N727" s="38" t="str">
        <f>HYPERLINK(AA2 &amp; "/bulb/sn_186e89f88407d9417bc3beccfe5f4397/rendering/11.obj", "6.56840576172")</f>
        <v>6.56840576172</v>
      </c>
      <c r="O727" s="6" t="str">
        <f>HYPERLINK(AA2 &amp; "/bulb/sn_186e89f88407d9417bc3beccfe5f4397/rendering/12.obj", "6.90040039063")</f>
        <v>6.90040039063</v>
      </c>
      <c r="P727" s="17" t="str">
        <f>HYPERLINK(AA2 &amp; "/bulb/sn_186e89f88407d9417bc3beccfe5f4397/rendering/13.obj", "7.3684161377")</f>
        <v>7.3684161377</v>
      </c>
      <c r="Q727" s="5" t="str">
        <f>HYPERLINK(AA2 &amp; "/bulb/sn_186e89f88407d9417bc3beccfe5f4397/rendering/14.obj", "6.67462768555")</f>
        <v>6.67462768555</v>
      </c>
      <c r="R727" s="5" t="str">
        <f>HYPERLINK(AA2 &amp; "/bulb/sn_186e89f88407d9417bc3beccfe5f4397/rendering/15.obj", "6.67269042969")</f>
        <v>6.67269042969</v>
      </c>
      <c r="S727" s="39" t="str">
        <f>HYPERLINK(AA2 &amp; "/bulb/sn_186e89f88407d9417bc3beccfe5f4397/rendering/16.obj", "6.59355834961")</f>
        <v>6.59355834961</v>
      </c>
      <c r="T727" s="90" t="str">
        <f>HYPERLINK(AA2 &amp; "/bulb/sn_186e89f88407d9417bc3beccfe5f4397/rendering/17.obj", "7.91683105469")</f>
        <v>7.91683105469</v>
      </c>
      <c r="U727" s="94" t="str">
        <f>HYPERLINK(AA2 &amp; "/bulb/sn_186e89f88407d9417bc3beccfe5f4397/rendering/18.obj", "7.75579956055")</f>
        <v>7.75579956055</v>
      </c>
      <c r="V727" s="68" t="str">
        <f>HYPERLINK(AA2 &amp; "/bulb/sn_186e89f88407d9417bc3beccfe5f4397/rendering/19.obj", "7.53747680664")</f>
        <v>7.53747680664</v>
      </c>
      <c r="W727" s="12" t="s">
        <v>29</v>
      </c>
      <c r="X727" s="13">
        <v>7.2238762207031257</v>
      </c>
      <c r="Y727" s="13">
        <v>0.49850085262398558</v>
      </c>
      <c r="Z727" s="41">
        <v>6.9007391238974577E-2</v>
      </c>
    </row>
    <row r="728" spans="1:26" x14ac:dyDescent="0.2">
      <c r="A728" s="1">
        <v>726</v>
      </c>
      <c r="B728" s="2" t="s">
        <v>178</v>
      </c>
      <c r="C728" s="39" t="str">
        <f>HYPERLINK(AA2 &amp; "/bulb/sn_186e89f88407d9417bc3beccfe5f4397/rendering/00.obj", "17.9998874664")</f>
        <v>17.9998874664</v>
      </c>
      <c r="D728" s="65" t="str">
        <f>HYPERLINK(AA2 &amp; "/bulb/sn_186e89f88407d9417bc3beccfe5f4397/rendering/01.obj", "14.3589334488")</f>
        <v>14.3589334488</v>
      </c>
      <c r="E728" s="47" t="str">
        <f>HYPERLINK(AA2 &amp; "/bulb/sn_186e89f88407d9417bc3beccfe5f4397/rendering/02.obj", "16.4186553955")</f>
        <v>16.4186553955</v>
      </c>
      <c r="F728" s="28" t="str">
        <f>HYPERLINK(AA2 &amp; "/bulb/sn_186e89f88407d9417bc3beccfe5f4397/rendering/03.obj", "14.7246437073")</f>
        <v>14.7246437073</v>
      </c>
      <c r="G728" s="42" t="str">
        <f>HYPERLINK(AA2 &amp; "/bulb/sn_186e89f88407d9417bc3beccfe5f4397/rendering/04.obj", "14.302113533")</f>
        <v>14.302113533</v>
      </c>
      <c r="H728" s="76" t="str">
        <f>HYPERLINK(AA2 &amp; "/bulb/sn_186e89f88407d9417bc3beccfe5f4397/rendering/05.obj", "19.6156597137")</f>
        <v>19.6156597137</v>
      </c>
      <c r="I728" s="42" t="str">
        <f>HYPERLINK(AA2 &amp; "/bulb/sn_186e89f88407d9417bc3beccfe5f4397/rendering/06.obj", "18.8195533752")</f>
        <v>18.8195533752</v>
      </c>
      <c r="J728" s="40" t="str">
        <f>HYPERLINK(AA2 &amp; "/bulb/sn_186e89f88407d9417bc3beccfe5f4397/rendering/07.obj", "13.7633476257")</f>
        <v>13.7633476257</v>
      </c>
      <c r="K728" s="94" t="str">
        <f>HYPERLINK(AA2 &amp; "/bulb/sn_186e89f88407d9417bc3beccfe5f4397/rendering/08.obj", "17.7846279144")</f>
        <v>17.7846279144</v>
      </c>
      <c r="L728" s="35" t="str">
        <f>HYPERLINK(AA2 &amp; "/bulb/sn_186e89f88407d9417bc3beccfe5f4397/rendering/09.obj", "17.5385513306")</f>
        <v>17.5385513306</v>
      </c>
      <c r="M728" s="74" t="str">
        <f>HYPERLINK(AA2 &amp; "/bulb/sn_186e89f88407d9417bc3beccfe5f4397/rendering/10.obj", "16.8297672272")</f>
        <v>16.8297672272</v>
      </c>
      <c r="N728" s="17" t="str">
        <f>HYPERLINK(AA2 &amp; "/bulb/sn_186e89f88407d9417bc3beccfe5f4397/rendering/11.obj", "16.2362155914")</f>
        <v>16.2362155914</v>
      </c>
      <c r="O728" s="31" t="str">
        <f>HYPERLINK(AA2 &amp; "/bulb/sn_186e89f88407d9417bc3beccfe5f4397/rendering/12.obj", "19.1633396149")</f>
        <v>19.1633396149</v>
      </c>
      <c r="P728" s="56" t="str">
        <f>HYPERLINK(AA2 &amp; "/bulb/sn_186e89f88407d9417bc3beccfe5f4397/rendering/13.obj", "21.7211437225")</f>
        <v>21.7211437225</v>
      </c>
      <c r="Q728" s="88" t="str">
        <f>HYPERLINK(AA2 &amp; "/bulb/sn_186e89f88407d9417bc3beccfe5f4397/rendering/14.obj", "13.2401332855")</f>
        <v>13.2401332855</v>
      </c>
      <c r="R728" s="69" t="str">
        <f>HYPERLINK(AA2 &amp; "/bulb/sn_186e89f88407d9417bc3beccfe5f4397/rendering/15.obj", "16.0828094482")</f>
        <v>16.0828094482</v>
      </c>
      <c r="S728" s="24" t="str">
        <f>HYPERLINK(AA2 &amp; "/bulb/sn_186e89f88407d9417bc3beccfe5f4397/rendering/16.obj", "13.7896690369")</f>
        <v>13.7896690369</v>
      </c>
      <c r="T728" s="47" t="str">
        <f>HYPERLINK(AA2 &amp; "/bulb/sn_186e89f88407d9417bc3beccfe5f4397/rendering/17.obj", "16.6986808777")</f>
        <v>16.6986808777</v>
      </c>
      <c r="U728" s="23" t="str">
        <f>HYPERLINK(AA2 &amp; "/bulb/sn_186e89f88407d9417bc3beccfe5f4397/rendering/18.obj", "15.909740448")</f>
        <v>15.909740448</v>
      </c>
      <c r="V728" s="30" t="str">
        <f>HYPERLINK(AA2 &amp; "/bulb/sn_186e89f88407d9417bc3beccfe5f4397/rendering/19.obj", "16.4946708679")</f>
        <v>16.4946708679</v>
      </c>
      <c r="W728" s="12" t="s">
        <v>30</v>
      </c>
      <c r="X728" s="13">
        <v>16.574607181549069</v>
      </c>
      <c r="Y728" s="13">
        <v>2.1573610371344389</v>
      </c>
      <c r="Z728" s="29">
        <v>0.13016061337103799</v>
      </c>
    </row>
    <row r="729" spans="1:26" x14ac:dyDescent="0.2">
      <c r="A729" s="1">
        <v>727</v>
      </c>
      <c r="B729" s="2" t="s">
        <v>178</v>
      </c>
      <c r="C729" s="91" t="str">
        <f>HYPERLINK(AB2 &amp; "/bulb/sn_186e89f88407d9417bc3beccfe5f4397/rendering/00.obj", "7.92580688477")</f>
        <v>7.92580688477</v>
      </c>
      <c r="D729" s="34" t="str">
        <f>HYPERLINK(AB2 &amp; "/bulb/sn_186e89f88407d9417bc3beccfe5f4397/rendering/01.obj", "7.35656311035")</f>
        <v>7.35656311035</v>
      </c>
      <c r="E729" s="17" t="str">
        <f>HYPERLINK(AB2 &amp; "/bulb/sn_186e89f88407d9417bc3beccfe5f4397/rendering/02.obj", "7.87304382324")</f>
        <v>7.87304382324</v>
      </c>
      <c r="F729" s="46" t="str">
        <f>HYPERLINK(AB2 &amp; "/bulb/sn_186e89f88407d9417bc3beccfe5f4397/rendering/03.obj", "7.84508911133")</f>
        <v>7.84508911133</v>
      </c>
      <c r="G729" s="27" t="str">
        <f>HYPERLINK(AB2 &amp; "/bulb/sn_186e89f88407d9417bc3beccfe5f4397/rendering/04.obj", "7.17821655273")</f>
        <v>7.17821655273</v>
      </c>
      <c r="H729" s="110" t="str">
        <f>HYPERLINK(AB2 &amp; "/bulb/sn_186e89f88407d9417bc3beccfe5f4397/rendering/05.obj", "8.49102905273")</f>
        <v>8.49102905273</v>
      </c>
      <c r="I729" s="107" t="str">
        <f>HYPERLINK(AB2 &amp; "/bulb/sn_186e89f88407d9417bc3beccfe5f4397/rendering/06.obj", "7.09105041504")</f>
        <v>7.09105041504</v>
      </c>
      <c r="J729" s="6" t="str">
        <f>HYPERLINK(AB2 &amp; "/bulb/sn_186e89f88407d9417bc3beccfe5f4397/rendering/07.obj", "7.37534851074")</f>
        <v>7.37534851074</v>
      </c>
      <c r="K729" s="41" t="str">
        <f>HYPERLINK(AB2 &amp; "/bulb/sn_186e89f88407d9417bc3beccfe5f4397/rendering/08.obj", "8.23623046875")</f>
        <v>8.23623046875</v>
      </c>
      <c r="L729" s="25" t="str">
        <f>HYPERLINK(AB2 &amp; "/bulb/sn_186e89f88407d9417bc3beccfe5f4397/rendering/09.obj", "7.64603393555")</f>
        <v>7.64603393555</v>
      </c>
      <c r="M729" s="74" t="str">
        <f>HYPERLINK(AB2 &amp; "/bulb/sn_186e89f88407d9417bc3beccfe5f4397/rendering/10.obj", "7.81886657715")</f>
        <v>7.81886657715</v>
      </c>
      <c r="N729" s="69" t="str">
        <f>HYPERLINK(AB2 &amp; "/bulb/sn_186e89f88407d9417bc3beccfe5f4397/rendering/11.obj", "7.96303344727")</f>
        <v>7.96303344727</v>
      </c>
      <c r="O729" s="39" t="str">
        <f>HYPERLINK(AB2 &amp; "/bulb/sn_186e89f88407d9417bc3beccfe5f4397/rendering/12.obj", "8.39571044922")</f>
        <v>8.39571044922</v>
      </c>
      <c r="P729" s="46" t="str">
        <f>HYPERLINK(AB2 &amp; "/bulb/sn_186e89f88407d9417bc3beccfe5f4397/rendering/13.obj", "7.86600830078")</f>
        <v>7.86600830078</v>
      </c>
      <c r="Q729" s="34" t="str">
        <f>HYPERLINK(AB2 &amp; "/bulb/sn_186e89f88407d9417bc3beccfe5f4397/rendering/14.obj", "7.35105895996")</f>
        <v>7.35105895996</v>
      </c>
      <c r="R729" s="91" t="str">
        <f>HYPERLINK(AB2 &amp; "/bulb/sn_186e89f88407d9417bc3beccfe5f4397/rendering/15.obj", "7.92679992676")</f>
        <v>7.92679992676</v>
      </c>
      <c r="S729" s="30" t="str">
        <f>HYPERLINK(AB2 &amp; "/bulb/sn_186e89f88407d9417bc3beccfe5f4397/rendering/16.obj", "7.69297607422")</f>
        <v>7.69297607422</v>
      </c>
      <c r="T729" s="28" t="str">
        <f>HYPERLINK(AB2 &amp; "/bulb/sn_186e89f88407d9417bc3beccfe5f4397/rendering/17.obj", "6.85618347168")</f>
        <v>6.85618347168</v>
      </c>
      <c r="U729" s="6" t="str">
        <f>HYPERLINK(AB2 &amp; "/bulb/sn_186e89f88407d9417bc3beccfe5f4397/rendering/18.obj", "8.07197265625")</f>
        <v>8.07197265625</v>
      </c>
      <c r="V729" s="72" t="str">
        <f>HYPERLINK(AB2 &amp; "/bulb/sn_186e89f88407d9417bc3beccfe5f4397/rendering/19.obj", "7.47342163086")</f>
        <v>7.47342163086</v>
      </c>
      <c r="W729" s="12" t="s">
        <v>31</v>
      </c>
      <c r="X729" s="13">
        <v>7.7217221679687524</v>
      </c>
      <c r="Y729" s="13">
        <v>0.42101169569661551</v>
      </c>
      <c r="Z729" s="10">
        <v>5.4523030813392423E-2</v>
      </c>
    </row>
    <row r="730" spans="1:26" x14ac:dyDescent="0.2">
      <c r="A730" s="1">
        <v>728</v>
      </c>
      <c r="B730" s="2" t="s">
        <v>178</v>
      </c>
      <c r="C730" s="48" t="str">
        <f>HYPERLINK(AB2 &amp; "/bulb/sn_186e89f88407d9417bc3beccfe5f4397/rendering/00.obj", "17.6319122314")</f>
        <v>17.6319122314</v>
      </c>
      <c r="D730" s="30" t="str">
        <f>HYPERLINK(AB2 &amp; "/bulb/sn_186e89f88407d9417bc3beccfe5f4397/rendering/01.obj", "17.9895458221")</f>
        <v>17.9895458221</v>
      </c>
      <c r="E730" s="23" t="str">
        <f>HYPERLINK(AB2 &amp; "/bulb/sn_186e89f88407d9417bc3beccfe5f4397/rendering/02.obj", "17.3207149506")</f>
        <v>17.3207149506</v>
      </c>
      <c r="F730" s="47" t="str">
        <f>HYPERLINK(AB2 &amp; "/bulb/sn_186e89f88407d9417bc3beccfe5f4397/rendering/03.obj", "18.2145748138")</f>
        <v>18.2145748138</v>
      </c>
      <c r="G730" s="73" t="str">
        <f>HYPERLINK(AB2 &amp; "/bulb/sn_186e89f88407d9417bc3beccfe5f4397/rendering/04.obj", "17.3779678345")</f>
        <v>17.3779678345</v>
      </c>
      <c r="H730" s="10" t="str">
        <f>HYPERLINK(AB2 &amp; "/bulb/sn_186e89f88407d9417bc3beccfe5f4397/rendering/05.obj", "19.0493412018")</f>
        <v>19.0493412018</v>
      </c>
      <c r="I730" s="63" t="str">
        <f>HYPERLINK(AB2 &amp; "/bulb/sn_186e89f88407d9417bc3beccfe5f4397/rendering/06.obj", "15.8492765427")</f>
        <v>15.8492765427</v>
      </c>
      <c r="J730" s="60" t="str">
        <f>HYPERLINK(AB2 &amp; "/bulb/sn_186e89f88407d9417bc3beccfe5f4397/rendering/07.obj", "17.1048278809")</f>
        <v>17.1048278809</v>
      </c>
      <c r="K730" s="41" t="str">
        <f>HYPERLINK(AB2 &amp; "/bulb/sn_186e89f88407d9417bc3beccfe5f4397/rendering/08.obj", "19.2961292267")</f>
        <v>19.2961292267</v>
      </c>
      <c r="L730" s="72" t="str">
        <f>HYPERLINK(AB2 &amp; "/bulb/sn_186e89f88407d9417bc3beccfe5f4397/rendering/09.obj", "18.6702404022")</f>
        <v>18.6702404022</v>
      </c>
      <c r="M730" s="17" t="str">
        <f>HYPERLINK(AB2 &amp; "/bulb/sn_186e89f88407d9417bc3beccfe5f4397/rendering/10.obj", "18.4090442657")</f>
        <v>18.4090442657</v>
      </c>
      <c r="N730" s="51" t="str">
        <f>HYPERLINK(AB2 &amp; "/bulb/sn_186e89f88407d9417bc3beccfe5f4397/rendering/11.obj", "19.5107536316")</f>
        <v>19.5107536316</v>
      </c>
      <c r="O730" s="63" t="str">
        <f>HYPERLINK(AB2 &amp; "/bulb/sn_186e89f88407d9417bc3beccfe5f4397/rendering/12.obj", "20.2197322845")</f>
        <v>20.2197322845</v>
      </c>
      <c r="P730" s="23" t="str">
        <f>HYPERLINK(AB2 &amp; "/bulb/sn_186e89f88407d9417bc3beccfe5f4397/rendering/13.obj", "18.7467536926")</f>
        <v>18.7467536926</v>
      </c>
      <c r="Q730" s="91" t="str">
        <f>HYPERLINK(AB2 &amp; "/bulb/sn_186e89f88407d9417bc3beccfe5f4397/rendering/14.obj", "17.5580120087")</f>
        <v>17.5580120087</v>
      </c>
      <c r="R730" s="6" t="str">
        <f>HYPERLINK(AB2 &amp; "/bulb/sn_186e89f88407d9417bc3beccfe5f4397/rendering/15.obj", "18.8520946503")</f>
        <v>18.8520946503</v>
      </c>
      <c r="S730" s="25" t="str">
        <f>HYPERLINK(AB2 &amp; "/bulb/sn_186e89f88407d9417bc3beccfe5f4397/rendering/16.obj", "17.8821468353")</f>
        <v>17.8821468353</v>
      </c>
      <c r="T730" s="110" t="str">
        <f>HYPERLINK(AB2 &amp; "/bulb/sn_186e89f88407d9417bc3beccfe5f4397/rendering/17.obj", "16.2656860352")</f>
        <v>16.2656860352</v>
      </c>
      <c r="U730" s="74" t="str">
        <f>HYPERLINK(AB2 &amp; "/bulb/sn_186e89f88407d9417bc3beccfe5f4397/rendering/18.obj", "18.3130340576")</f>
        <v>18.3130340576</v>
      </c>
      <c r="V730" s="41" t="str">
        <f>HYPERLINK(AB2 &amp; "/bulb/sn_186e89f88407d9417bc3beccfe5f4397/rendering/19.obj", "16.8418445587")</f>
        <v>16.8418445587</v>
      </c>
      <c r="W730" s="12" t="s">
        <v>32</v>
      </c>
      <c r="X730" s="13">
        <v>18.055181646347041</v>
      </c>
      <c r="Y730" s="13">
        <v>1.0710588302752579</v>
      </c>
      <c r="Z730" s="35">
        <v>5.9321409845353529E-2</v>
      </c>
    </row>
    <row r="731" spans="1:26" x14ac:dyDescent="0.2">
      <c r="A731" s="1">
        <v>729</v>
      </c>
      <c r="B731" s="2" t="s">
        <v>178</v>
      </c>
      <c r="C731" s="13" t="str">
        <f>HYPERLINK(AC2 &amp; "/bulb/sn_186e89f88407d9417bc3beccfe5f4397/rendering/00.xyz", "0.0")</f>
        <v>0.0</v>
      </c>
      <c r="D731" s="13" t="str">
        <f>HYPERLINK(AC2 &amp; "/bulb/sn_186e89f88407d9417bc3beccfe5f4397/rendering/01.xyz", "0.0")</f>
        <v>0.0</v>
      </c>
      <c r="E731" s="13" t="str">
        <f>HYPERLINK(AC2 &amp; "/bulb/sn_186e89f88407d9417bc3beccfe5f4397/rendering/02.xyz", "0.0")</f>
        <v>0.0</v>
      </c>
      <c r="F731" s="13" t="str">
        <f>HYPERLINK(AC2 &amp; "/bulb/sn_186e89f88407d9417bc3beccfe5f4397/rendering/03.xyz", "0.0")</f>
        <v>0.0</v>
      </c>
      <c r="G731" s="13" t="str">
        <f>HYPERLINK(AC2 &amp; "/bulb/sn_186e89f88407d9417bc3beccfe5f4397/rendering/04.xyz", "0.0")</f>
        <v>0.0</v>
      </c>
      <c r="H731" s="13" t="str">
        <f>HYPERLINK(AC2 &amp; "/bulb/sn_186e89f88407d9417bc3beccfe5f4397/rendering/05.xyz", "0.0")</f>
        <v>0.0</v>
      </c>
      <c r="I731" s="13" t="str">
        <f>HYPERLINK(AC2 &amp; "/bulb/sn_186e89f88407d9417bc3beccfe5f4397/rendering/06.xyz", "0.0")</f>
        <v>0.0</v>
      </c>
      <c r="J731" s="13" t="str">
        <f>HYPERLINK(AC2 &amp; "/bulb/sn_186e89f88407d9417bc3beccfe5f4397/rendering/07.xyz", "0.0")</f>
        <v>0.0</v>
      </c>
      <c r="K731" s="13" t="str">
        <f>HYPERLINK(AC2 &amp; "/bulb/sn_186e89f88407d9417bc3beccfe5f4397/rendering/08.xyz", "0.0")</f>
        <v>0.0</v>
      </c>
      <c r="L731" s="13" t="str">
        <f>HYPERLINK(AC2 &amp; "/bulb/sn_186e89f88407d9417bc3beccfe5f4397/rendering/09.xyz", "0.0")</f>
        <v>0.0</v>
      </c>
      <c r="M731" s="13" t="str">
        <f>HYPERLINK(AC2 &amp; "/bulb/sn_186e89f88407d9417bc3beccfe5f4397/rendering/10.xyz", "0.0")</f>
        <v>0.0</v>
      </c>
      <c r="N731" s="13" t="str">
        <f>HYPERLINK(AC2 &amp; "/bulb/sn_186e89f88407d9417bc3beccfe5f4397/rendering/11.xyz", "0.0")</f>
        <v>0.0</v>
      </c>
      <c r="O731" s="13" t="str">
        <f>HYPERLINK(AC2 &amp; "/bulb/sn_186e89f88407d9417bc3beccfe5f4397/rendering/12.xyz", "0.0")</f>
        <v>0.0</v>
      </c>
      <c r="P731" s="13" t="str">
        <f>HYPERLINK(AC2 &amp; "/bulb/sn_186e89f88407d9417bc3beccfe5f4397/rendering/13.xyz", "0.0")</f>
        <v>0.0</v>
      </c>
      <c r="Q731" s="13" t="str">
        <f>HYPERLINK(AC2 &amp; "/bulb/sn_186e89f88407d9417bc3beccfe5f4397/rendering/14.xyz", "0.0")</f>
        <v>0.0</v>
      </c>
      <c r="R731" s="13" t="str">
        <f>HYPERLINK(AC2 &amp; "/bulb/sn_186e89f88407d9417bc3beccfe5f4397/rendering/15.xyz", "0.0")</f>
        <v>0.0</v>
      </c>
      <c r="S731" s="13" t="str">
        <f>HYPERLINK(AC2 &amp; "/bulb/sn_186e89f88407d9417bc3beccfe5f4397/rendering/16.xyz", "0.0")</f>
        <v>0.0</v>
      </c>
      <c r="T731" s="13" t="str">
        <f>HYPERLINK(AC2 &amp; "/bulb/sn_186e89f88407d9417bc3beccfe5f4397/rendering/17.xyz", "0.0")</f>
        <v>0.0</v>
      </c>
      <c r="U731" s="13" t="str">
        <f>HYPERLINK(AC2 &amp; "/bulb/sn_186e89f88407d9417bc3beccfe5f4397/rendering/18.xyz", "0.0")</f>
        <v>0.0</v>
      </c>
      <c r="V731" s="13" t="str">
        <f>HYPERLINK(AC2 &amp; "/bulb/sn_186e89f88407d9417bc3beccfe5f4397/rendering/19.xyz", "0.0")</f>
        <v>0.0</v>
      </c>
      <c r="W731" s="12" t="s">
        <v>33</v>
      </c>
      <c r="X731" s="13">
        <v>0</v>
      </c>
      <c r="Y731" s="13">
        <v>0</v>
      </c>
      <c r="Z731" s="13">
        <v>0</v>
      </c>
    </row>
    <row r="732" spans="1:26" x14ac:dyDescent="0.2">
      <c r="A732" s="1">
        <v>730</v>
      </c>
      <c r="B732" s="2" t="s">
        <v>179</v>
      </c>
      <c r="C732" s="90" t="str">
        <f>HYPERLINK(AA2 &amp; "/bulb/sn_2ea1283bf6afe1fc9c48f338871146f5/rendering/00.obj", "1.92151199341")</f>
        <v>1.92151199341</v>
      </c>
      <c r="D732" s="107" t="str">
        <f>HYPERLINK(AA2 &amp; "/bulb/sn_2ea1283bf6afe1fc9c48f338871146f5/rendering/01.obj", "1.95057159424")</f>
        <v>1.95057159424</v>
      </c>
      <c r="E732" s="46" t="str">
        <f>HYPERLINK(AA2 &amp; "/bulb/sn_2ea1283bf6afe1fc9c48f338871146f5/rendering/02.obj", "2.08801223755")</f>
        <v>2.08801223755</v>
      </c>
      <c r="F732" s="60" t="str">
        <f>HYPERLINK(AA2 &amp; "/bulb/sn_2ea1283bf6afe1fc9c48f338871146f5/rendering/03.obj", "2.23697601318")</f>
        <v>2.23697601318</v>
      </c>
      <c r="G732" s="91" t="str">
        <f>HYPERLINK(AA2 &amp; "/bulb/sn_2ea1283bf6afe1fc9c48f338871146f5/rendering/04.obj", "2.06637619019")</f>
        <v>2.06637619019</v>
      </c>
      <c r="H732" s="67" t="str">
        <f>HYPERLINK(AA2 &amp; "/bulb/sn_2ea1283bf6afe1fc9c48f338871146f5/rendering/05.obj", "1.9287600708")</f>
        <v>1.9287600708</v>
      </c>
      <c r="I732" s="26" t="str">
        <f>HYPERLINK(AA2 &amp; "/bulb/sn_2ea1283bf6afe1fc9c48f338871146f5/rendering/06.obj", "1.98747619629")</f>
        <v>1.98747619629</v>
      </c>
      <c r="J732" s="73" t="str">
        <f>HYPERLINK(AA2 &amp; "/bulb/sn_2ea1283bf6afe1fc9c48f338871146f5/rendering/07.obj", "2.20420532227")</f>
        <v>2.20420532227</v>
      </c>
      <c r="K732" s="38" t="str">
        <f>HYPERLINK(AA2 &amp; "/bulb/sn_2ea1283bf6afe1fc9c48f338871146f5/rendering/08.obj", "1.93584335327")</f>
        <v>1.93584335327</v>
      </c>
      <c r="L732" s="47" t="str">
        <f>HYPERLINK(AA2 &amp; "/bulb/sn_2ea1283bf6afe1fc9c48f338871146f5/rendering/09.obj", "2.10963806152")</f>
        <v>2.10963806152</v>
      </c>
      <c r="M732" s="51" t="str">
        <f>HYPERLINK(AA2 &amp; "/bulb/sn_2ea1283bf6afe1fc9c48f338871146f5/rendering/10.obj", "1.95671569824")</f>
        <v>1.95671569824</v>
      </c>
      <c r="N732" s="73" t="str">
        <f>HYPERLINK(AA2 &amp; "/bulb/sn_2ea1283bf6afe1fc9c48f338871146f5/rendering/11.obj", "2.051015625")</f>
        <v>2.051015625</v>
      </c>
      <c r="O732" s="24" t="str">
        <f>HYPERLINK(AA2 &amp; "/bulb/sn_2ea1283bf6afe1fc9c48f338871146f5/rendering/12.obj", "2.47820709229")</f>
        <v>2.47820709229</v>
      </c>
      <c r="P732" s="17" t="str">
        <f>HYPERLINK(AA2 &amp; "/bulb/sn_2ea1283bf6afe1fc9c48f338871146f5/rendering/13.obj", "2.16976623535")</f>
        <v>2.16976623535</v>
      </c>
      <c r="Q732" s="68" t="str">
        <f>HYPERLINK(AA2 &amp; "/bulb/sn_2ea1283bf6afe1fc9c48f338871146f5/rendering/14.obj", "2.21164031982")</f>
        <v>2.21164031982</v>
      </c>
      <c r="R732" s="91" t="str">
        <f>HYPERLINK(AA2 &amp; "/bulb/sn_2ea1283bf6afe1fc9c48f338871146f5/rendering/15.obj", "2.06844467163")</f>
        <v>2.06844467163</v>
      </c>
      <c r="S732" s="10" t="str">
        <f>HYPERLINK(AA2 &amp; "/bulb/sn_2ea1283bf6afe1fc9c48f338871146f5/rendering/16.obj", "2.23865219116")</f>
        <v>2.23865219116</v>
      </c>
      <c r="T732" s="41" t="str">
        <f>HYPERLINK(AA2 &amp; "/bulb/sn_2ea1283bf6afe1fc9c48f338871146f5/rendering/17.obj", "2.26725799561")</f>
        <v>2.26725799561</v>
      </c>
      <c r="U732" s="133" t="str">
        <f>HYPERLINK(AA2 &amp; "/bulb/sn_2ea1283bf6afe1fc9c48f338871146f5/rendering/18.obj", "2.34093383789")</f>
        <v>2.34093383789</v>
      </c>
      <c r="V732" s="94" t="str">
        <f>HYPERLINK(AA2 &amp; "/bulb/sn_2ea1283bf6afe1fc9c48f338871146f5/rendering/19.obj", "2.28384353638")</f>
        <v>2.28384353638</v>
      </c>
      <c r="W732" s="12" t="s">
        <v>29</v>
      </c>
      <c r="X732" s="13">
        <v>2.124792411804199</v>
      </c>
      <c r="Y732" s="13">
        <v>0.15250546281916269</v>
      </c>
      <c r="Z732" s="27">
        <v>7.1774288147832571E-2</v>
      </c>
    </row>
    <row r="733" spans="1:26" x14ac:dyDescent="0.2">
      <c r="A733" s="1">
        <v>731</v>
      </c>
      <c r="B733" s="2" t="s">
        <v>179</v>
      </c>
      <c r="C733" s="32" t="str">
        <f>HYPERLINK(AA2 &amp; "/bulb/sn_2ea1283bf6afe1fc9c48f338871146f5/rendering/00.obj", "2.96168589592")</f>
        <v>2.96168589592</v>
      </c>
      <c r="D733" s="134" t="str">
        <f>HYPERLINK(AA2 &amp; "/bulb/sn_2ea1283bf6afe1fc9c48f338871146f5/rendering/01.obj", "2.71534180641")</f>
        <v>2.71534180641</v>
      </c>
      <c r="E733" s="10" t="str">
        <f>HYPERLINK(AA2 &amp; "/bulb/sn_2ea1283bf6afe1fc9c48f338871146f5/rendering/02.obj", "3.12316966057")</f>
        <v>3.12316966057</v>
      </c>
      <c r="F733" s="90" t="str">
        <f>HYPERLINK(AA2 &amp; "/bulb/sn_2ea1283bf6afe1fc9c48f338871146f5/rendering/03.obj", "2.99270606041")</f>
        <v>2.99270606041</v>
      </c>
      <c r="G733" s="70" t="str">
        <f>HYPERLINK(AA2 &amp; "/bulb/sn_2ea1283bf6afe1fc9c48f338871146f5/rendering/04.obj", "2.89358186722")</f>
        <v>2.89358186722</v>
      </c>
      <c r="H733" s="42" t="str">
        <f>HYPERLINK(AA2 &amp; "/bulb/sn_2ea1283bf6afe1fc9c48f338871146f5/rendering/05.obj", "2.8531472683")</f>
        <v>2.8531472683</v>
      </c>
      <c r="I733" s="26" t="str">
        <f>HYPERLINK(AA2 &amp; "/bulb/sn_2ea1283bf6afe1fc9c48f338871146f5/rendering/06.obj", "3.51820349693")</f>
        <v>3.51820349693</v>
      </c>
      <c r="J733" s="35" t="str">
        <f>HYPERLINK(AA2 &amp; "/bulb/sn_2ea1283bf6afe1fc9c48f338871146f5/rendering/07.obj", "3.11441636086")</f>
        <v>3.11441636086</v>
      </c>
      <c r="K733" s="92" t="str">
        <f>HYPERLINK(AA2 &amp; "/bulb/sn_2ea1283bf6afe1fc9c48f338871146f5/rendering/08.obj", "2.89560484886")</f>
        <v>2.89560484886</v>
      </c>
      <c r="L733" s="63" t="str">
        <f>HYPERLINK(AA2 &amp; "/bulb/sn_2ea1283bf6afe1fc9c48f338871146f5/rendering/09.obj", "3.70827698708")</f>
        <v>3.70827698708</v>
      </c>
      <c r="M733" s="117" t="str">
        <f>HYPERLINK(AA2 &amp; "/bulb/sn_2ea1283bf6afe1fc9c48f338871146f5/rendering/10.obj", "2.72313332558")</f>
        <v>2.72313332558</v>
      </c>
      <c r="N733" s="29" t="str">
        <f>HYPERLINK(AA2 &amp; "/bulb/sn_2ea1283bf6afe1fc9c48f338871146f5/rendering/11.obj", "2.87811136246")</f>
        <v>2.87811136246</v>
      </c>
      <c r="O733" s="140" t="str">
        <f>HYPERLINK(AA2 &amp; "/bulb/sn_2ea1283bf6afe1fc9c48f338871146f5/rendering/12.obj", "4.46079301834")</f>
        <v>4.46079301834</v>
      </c>
      <c r="P733" s="71" t="str">
        <f>HYPERLINK(AA2 &amp; "/bulb/sn_2ea1283bf6afe1fc9c48f338871146f5/rendering/13.obj", "2.91790008545")</f>
        <v>2.91790008545</v>
      </c>
      <c r="Q733" s="42" t="str">
        <f>HYPERLINK(AA2 &amp; "/bulb/sn_2ea1283bf6afe1fc9c48f338871146f5/rendering/14.obj", "3.76433873177")</f>
        <v>3.76433873177</v>
      </c>
      <c r="R733" s="106" t="str">
        <f>HYPERLINK(AA2 &amp; "/bulb/sn_2ea1283bf6afe1fc9c48f338871146f5/rendering/15.obj", "2.92778944969")</f>
        <v>2.92778944969</v>
      </c>
      <c r="S733" s="119" t="str">
        <f>HYPERLINK(AA2 &amp; "/bulb/sn_2ea1283bf6afe1fc9c48f338871146f5/rendering/16.obj", "4.18352794647")</f>
        <v>4.18352794647</v>
      </c>
      <c r="T733" s="95" t="str">
        <f>HYPERLINK(AA2 &amp; "/bulb/sn_2ea1283bf6afe1fc9c48f338871146f5/rendering/17.obj", "4.23628425598")</f>
        <v>4.23628425598</v>
      </c>
      <c r="U733" s="166" t="str">
        <f>HYPERLINK(AA2 &amp; "/bulb/sn_2ea1283bf6afe1fc9c48f338871146f5/rendering/18.obj", "4.25656318665")</f>
        <v>4.25656318665</v>
      </c>
      <c r="V733" s="27" t="str">
        <f>HYPERLINK(AA2 &amp; "/bulb/sn_2ea1283bf6afe1fc9c48f338871146f5/rendering/19.obj", "3.07373023033")</f>
        <v>3.07373023033</v>
      </c>
      <c r="W733" s="12" t="s">
        <v>30</v>
      </c>
      <c r="X733" s="13">
        <v>3.3099152922630308</v>
      </c>
      <c r="Y733" s="13">
        <v>0.56298155615745693</v>
      </c>
      <c r="Z733" s="40">
        <v>0.17008941511990761</v>
      </c>
    </row>
    <row r="734" spans="1:26" x14ac:dyDescent="0.2">
      <c r="A734" s="1">
        <v>732</v>
      </c>
      <c r="B734" s="2" t="s">
        <v>179</v>
      </c>
      <c r="C734" s="46" t="str">
        <f>HYPERLINK(AB2 &amp; "/bulb/sn_2ea1283bf6afe1fc9c48f338871146f5/rendering/00.obj", "2.92880371094")</f>
        <v>2.92880371094</v>
      </c>
      <c r="D734" s="25" t="str">
        <f>HYPERLINK(AB2 &amp; "/bulb/sn_2ea1283bf6afe1fc9c48f338871146f5/rendering/01.obj", "3.01264770508")</f>
        <v>3.01264770508</v>
      </c>
      <c r="E734" s="72" t="str">
        <f>HYPERLINK(AB2 &amp; "/bulb/sn_2ea1283bf6afe1fc9c48f338871146f5/rendering/02.obj", "2.8817074585")</f>
        <v>2.8817074585</v>
      </c>
      <c r="F734" s="69" t="str">
        <f>HYPERLINK(AB2 &amp; "/bulb/sn_2ea1283bf6afe1fc9c48f338871146f5/rendering/03.obj", "3.06321289063")</f>
        <v>3.06321289063</v>
      </c>
      <c r="G734" s="17" t="str">
        <f>HYPERLINK(AB2 &amp; "/bulb/sn_2ea1283bf6afe1fc9c48f338871146f5/rendering/04.obj", "3.03408325195")</f>
        <v>3.03408325195</v>
      </c>
      <c r="H734" s="25" t="str">
        <f>HYPERLINK(AB2 &amp; "/bulb/sn_2ea1283bf6afe1fc9c48f338871146f5/rendering/05.obj", "3.00798217773")</f>
        <v>3.00798217773</v>
      </c>
      <c r="I734" s="17" t="str">
        <f>HYPERLINK(AB2 &amp; "/bulb/sn_2ea1283bf6afe1fc9c48f338871146f5/rendering/06.obj", "2.91342132568")</f>
        <v>2.91342132568</v>
      </c>
      <c r="J734" s="72" t="str">
        <f>HYPERLINK(AB2 &amp; "/bulb/sn_2ea1283bf6afe1fc9c48f338871146f5/rendering/07.obj", "2.88090454102")</f>
        <v>2.88090454102</v>
      </c>
      <c r="K734" s="25" t="str">
        <f>HYPERLINK(AB2 &amp; "/bulb/sn_2ea1283bf6afe1fc9c48f338871146f5/rendering/08.obj", "2.94501037598")</f>
        <v>2.94501037598</v>
      </c>
      <c r="L734" s="23" t="str">
        <f>HYPERLINK(AB2 &amp; "/bulb/sn_2ea1283bf6afe1fc9c48f338871146f5/rendering/09.obj", "2.86096679688")</f>
        <v>2.86096679688</v>
      </c>
      <c r="M734" s="48" t="str">
        <f>HYPERLINK(AB2 &amp; "/bulb/sn_2ea1283bf6afe1fc9c48f338871146f5/rendering/10.obj", "3.04302032471")</f>
        <v>3.04302032471</v>
      </c>
      <c r="N734" s="13" t="str">
        <f>HYPERLINK(AB2 &amp; "/bulb/sn_2ea1283bf6afe1fc9c48f338871146f5/rendering/11.obj", "2.96759185791")</f>
        <v>2.96759185791</v>
      </c>
      <c r="O734" s="17" t="str">
        <f>HYPERLINK(AB2 &amp; "/bulb/sn_2ea1283bf6afe1fc9c48f338871146f5/rendering/12.obj", "2.91258209229")</f>
        <v>2.91258209229</v>
      </c>
      <c r="P734" s="17" t="str">
        <f>HYPERLINK(AB2 &amp; "/bulb/sn_2ea1283bf6afe1fc9c48f338871146f5/rendering/13.obj", "3.03399841309")</f>
        <v>3.03399841309</v>
      </c>
      <c r="Q734" s="48" t="str">
        <f>HYPERLINK(AB2 &amp; "/bulb/sn_2ea1283bf6afe1fc9c48f338871146f5/rendering/14.obj", "2.90869384766")</f>
        <v>2.90869384766</v>
      </c>
      <c r="R734" s="25" t="str">
        <f>HYPERLINK(AB2 &amp; "/bulb/sn_2ea1283bf6afe1fc9c48f338871146f5/rendering/15.obj", "3.01277404785")</f>
        <v>3.01277404785</v>
      </c>
      <c r="S734" s="30" t="str">
        <f>HYPERLINK(AB2 &amp; "/bulb/sn_2ea1283bf6afe1fc9c48f338871146f5/rendering/16.obj", "2.99201904297")</f>
        <v>2.99201904297</v>
      </c>
      <c r="T734" s="69" t="str">
        <f>HYPERLINK(AB2 &amp; "/bulb/sn_2ea1283bf6afe1fc9c48f338871146f5/rendering/17.obj", "3.06438842773")</f>
        <v>3.06438842773</v>
      </c>
      <c r="U734" s="74" t="str">
        <f>HYPERLINK(AB2 &amp; "/bulb/sn_2ea1283bf6afe1fc9c48f338871146f5/rendering/18.obj", "2.93408172607")</f>
        <v>2.93408172607</v>
      </c>
      <c r="V734" s="34" t="str">
        <f>HYPERLINK(AB2 &amp; "/bulb/sn_2ea1283bf6afe1fc9c48f338871146f5/rendering/19.obj", "3.11679718018")</f>
        <v>3.11679718018</v>
      </c>
      <c r="W734" s="12" t="s">
        <v>31</v>
      </c>
      <c r="X734" s="13">
        <v>2.9757343597412111</v>
      </c>
      <c r="Y734" s="13">
        <v>7.0390229300670848E-2</v>
      </c>
      <c r="Z734" s="48">
        <v>2.3654742255552821E-2</v>
      </c>
    </row>
    <row r="735" spans="1:26" x14ac:dyDescent="0.2">
      <c r="A735" s="1">
        <v>733</v>
      </c>
      <c r="B735" s="2" t="s">
        <v>179</v>
      </c>
      <c r="C735" s="73" t="str">
        <f>HYPERLINK(AB2 &amp; "/bulb/sn_2ea1283bf6afe1fc9c48f338871146f5/rendering/00.obj", "3.15439033508")</f>
        <v>3.15439033508</v>
      </c>
      <c r="D735" s="48" t="str">
        <f>HYPERLINK(AB2 &amp; "/bulb/sn_2ea1283bf6afe1fc9c48f338871146f5/rendering/01.obj", "3.19533848763")</f>
        <v>3.19533848763</v>
      </c>
      <c r="E735" s="13" t="str">
        <f>HYPERLINK(AB2 &amp; "/bulb/sn_2ea1283bf6afe1fc9c48f338871146f5/rendering/02.obj", "3.26858901978")</f>
        <v>3.26858901978</v>
      </c>
      <c r="F735" s="91" t="str">
        <f>HYPERLINK(AB2 &amp; "/bulb/sn_2ea1283bf6afe1fc9c48f338871146f5/rendering/03.obj", "3.35942435265")</f>
        <v>3.35942435265</v>
      </c>
      <c r="G735" s="72" t="str">
        <f>HYPERLINK(AB2 &amp; "/bulb/sn_2ea1283bf6afe1fc9c48f338871146f5/rendering/04.obj", "3.38316369057")</f>
        <v>3.38316369057</v>
      </c>
      <c r="H735" s="91" t="str">
        <f>HYPERLINK(AB2 &amp; "/bulb/sn_2ea1283bf6afe1fc9c48f338871146f5/rendering/05.obj", "3.18675279617")</f>
        <v>3.18675279617</v>
      </c>
      <c r="I735" s="23" t="str">
        <f>HYPERLINK(AB2 &amp; "/bulb/sn_2ea1283bf6afe1fc9c48f338871146f5/rendering/06.obj", "3.14181208611")</f>
        <v>3.14181208611</v>
      </c>
      <c r="J735" s="74" t="str">
        <f>HYPERLINK(AB2 &amp; "/bulb/sn_2ea1283bf6afe1fc9c48f338871146f5/rendering/07.obj", "3.2318546772")</f>
        <v>3.2318546772</v>
      </c>
      <c r="K735" s="17" t="str">
        <f>HYPERLINK(AB2 &amp; "/bulb/sn_2ea1283bf6afe1fc9c48f338871146f5/rendering/08.obj", "3.20637965202")</f>
        <v>3.20637965202</v>
      </c>
      <c r="L735" s="107" t="str">
        <f>HYPERLINK(AB2 &amp; "/bulb/sn_2ea1283bf6afe1fc9c48f338871146f5/rendering/09.obj", "2.99692344666")</f>
        <v>2.99692344666</v>
      </c>
      <c r="M735" s="91" t="str">
        <f>HYPERLINK(AB2 &amp; "/bulb/sn_2ea1283bf6afe1fc9c48f338871146f5/rendering/10.obj", "3.18439006805")</f>
        <v>3.18439006805</v>
      </c>
      <c r="N735" s="6" t="str">
        <f>HYPERLINK(AB2 &amp; "/bulb/sn_2ea1283bf6afe1fc9c48f338871146f5/rendering/11.obj", "3.12232136726")</f>
        <v>3.12232136726</v>
      </c>
      <c r="O735" s="25" t="str">
        <f>HYPERLINK(AB2 &amp; "/bulb/sn_2ea1283bf6afe1fc9c48f338871146f5/rendering/12.obj", "3.23516225815")</f>
        <v>3.23516225815</v>
      </c>
      <c r="P735" s="34" t="str">
        <f>HYPERLINK(AB2 &amp; "/bulb/sn_2ea1283bf6afe1fc9c48f338871146f5/rendering/13.obj", "3.43597340584")</f>
        <v>3.43597340584</v>
      </c>
      <c r="Q735" s="73" t="str">
        <f>HYPERLINK(AB2 &amp; "/bulb/sn_2ea1283bf6afe1fc9c48f338871146f5/rendering/14.obj", "3.15819597244")</f>
        <v>3.15819597244</v>
      </c>
      <c r="R735" s="78" t="str">
        <f>HYPERLINK(AB2 &amp; "/bulb/sn_2ea1283bf6afe1fc9c48f338871146f5/rendering/15.obj", "3.47573184967")</f>
        <v>3.47573184967</v>
      </c>
      <c r="S735" s="74" t="str">
        <f>HYPERLINK(AB2 &amp; "/bulb/sn_2ea1283bf6afe1fc9c48f338871146f5/rendering/16.obj", "3.31797099113")</f>
        <v>3.31797099113</v>
      </c>
      <c r="T735" s="94" t="str">
        <f>HYPERLINK(AB2 &amp; "/bulb/sn_2ea1283bf6afe1fc9c48f338871146f5/rendering/17.obj", "3.5151386261")</f>
        <v>3.5151386261</v>
      </c>
      <c r="U735" s="74" t="str">
        <f>HYPERLINK(AB2 &amp; "/bulb/sn_2ea1283bf6afe1fc9c48f338871146f5/rendering/18.obj", "3.23163461685")</f>
        <v>3.23163461685</v>
      </c>
      <c r="V735" s="92" t="str">
        <f>HYPERLINK(AB2 &amp; "/bulb/sn_2ea1283bf6afe1fc9c48f338871146f5/rendering/19.obj", "3.67480349541")</f>
        <v>3.67480349541</v>
      </c>
      <c r="W735" s="12" t="s">
        <v>32</v>
      </c>
      <c r="X735" s="13">
        <v>3.273797559738159</v>
      </c>
      <c r="Y735" s="13">
        <v>0.15545874657504921</v>
      </c>
      <c r="Z735" s="34">
        <v>4.7485754307753487E-2</v>
      </c>
    </row>
    <row r="736" spans="1:26" x14ac:dyDescent="0.2">
      <c r="A736" s="1">
        <v>734</v>
      </c>
      <c r="B736" s="2" t="s">
        <v>179</v>
      </c>
      <c r="C736" s="13" t="str">
        <f>HYPERLINK(AC2 &amp; "/bulb/sn_2ea1283bf6afe1fc9c48f338871146f5/rendering/00.xyz", "0.0")</f>
        <v>0.0</v>
      </c>
      <c r="D736" s="13" t="str">
        <f>HYPERLINK(AC2 &amp; "/bulb/sn_2ea1283bf6afe1fc9c48f338871146f5/rendering/01.xyz", "0.0")</f>
        <v>0.0</v>
      </c>
      <c r="E736" s="13" t="str">
        <f>HYPERLINK(AC2 &amp; "/bulb/sn_2ea1283bf6afe1fc9c48f338871146f5/rendering/02.xyz", "0.0")</f>
        <v>0.0</v>
      </c>
      <c r="F736" s="13" t="str">
        <f>HYPERLINK(AC2 &amp; "/bulb/sn_2ea1283bf6afe1fc9c48f338871146f5/rendering/03.xyz", "0.0")</f>
        <v>0.0</v>
      </c>
      <c r="G736" s="13" t="str">
        <f>HYPERLINK(AC2 &amp; "/bulb/sn_2ea1283bf6afe1fc9c48f338871146f5/rendering/04.xyz", "0.0")</f>
        <v>0.0</v>
      </c>
      <c r="H736" s="13" t="str">
        <f>HYPERLINK(AC2 &amp; "/bulb/sn_2ea1283bf6afe1fc9c48f338871146f5/rendering/05.xyz", "0.0")</f>
        <v>0.0</v>
      </c>
      <c r="I736" s="13" t="str">
        <f>HYPERLINK(AC2 &amp; "/bulb/sn_2ea1283bf6afe1fc9c48f338871146f5/rendering/06.xyz", "0.0")</f>
        <v>0.0</v>
      </c>
      <c r="J736" s="13" t="str">
        <f>HYPERLINK(AC2 &amp; "/bulb/sn_2ea1283bf6afe1fc9c48f338871146f5/rendering/07.xyz", "0.0")</f>
        <v>0.0</v>
      </c>
      <c r="K736" s="13" t="str">
        <f>HYPERLINK(AC2 &amp; "/bulb/sn_2ea1283bf6afe1fc9c48f338871146f5/rendering/08.xyz", "0.0")</f>
        <v>0.0</v>
      </c>
      <c r="L736" s="13" t="str">
        <f>HYPERLINK(AC2 &amp; "/bulb/sn_2ea1283bf6afe1fc9c48f338871146f5/rendering/09.xyz", "0.0")</f>
        <v>0.0</v>
      </c>
      <c r="M736" s="13" t="str">
        <f>HYPERLINK(AC2 &amp; "/bulb/sn_2ea1283bf6afe1fc9c48f338871146f5/rendering/10.xyz", "0.0")</f>
        <v>0.0</v>
      </c>
      <c r="N736" s="13" t="str">
        <f>HYPERLINK(AC2 &amp; "/bulb/sn_2ea1283bf6afe1fc9c48f338871146f5/rendering/11.xyz", "0.0")</f>
        <v>0.0</v>
      </c>
      <c r="O736" s="13" t="str">
        <f>HYPERLINK(AC2 &amp; "/bulb/sn_2ea1283bf6afe1fc9c48f338871146f5/rendering/12.xyz", "0.0")</f>
        <v>0.0</v>
      </c>
      <c r="P736" s="13" t="str">
        <f>HYPERLINK(AC2 &amp; "/bulb/sn_2ea1283bf6afe1fc9c48f338871146f5/rendering/13.xyz", "0.0")</f>
        <v>0.0</v>
      </c>
      <c r="Q736" s="13" t="str">
        <f>HYPERLINK(AC2 &amp; "/bulb/sn_2ea1283bf6afe1fc9c48f338871146f5/rendering/14.xyz", "0.0")</f>
        <v>0.0</v>
      </c>
      <c r="R736" s="13" t="str">
        <f>HYPERLINK(AC2 &amp; "/bulb/sn_2ea1283bf6afe1fc9c48f338871146f5/rendering/15.xyz", "0.0")</f>
        <v>0.0</v>
      </c>
      <c r="S736" s="13" t="str">
        <f>HYPERLINK(AC2 &amp; "/bulb/sn_2ea1283bf6afe1fc9c48f338871146f5/rendering/16.xyz", "0.0")</f>
        <v>0.0</v>
      </c>
      <c r="T736" s="13" t="str">
        <f>HYPERLINK(AC2 &amp; "/bulb/sn_2ea1283bf6afe1fc9c48f338871146f5/rendering/17.xyz", "0.0")</f>
        <v>0.0</v>
      </c>
      <c r="U736" s="13" t="str">
        <f>HYPERLINK(AC2 &amp; "/bulb/sn_2ea1283bf6afe1fc9c48f338871146f5/rendering/18.xyz", "0.0")</f>
        <v>0.0</v>
      </c>
      <c r="V736" s="13" t="str">
        <f>HYPERLINK(AC2 &amp; "/bulb/sn_2ea1283bf6afe1fc9c48f338871146f5/rendering/19.xyz", "0.0")</f>
        <v>0.0</v>
      </c>
      <c r="W736" s="12" t="s">
        <v>33</v>
      </c>
      <c r="X736" s="13">
        <v>0</v>
      </c>
      <c r="Y736" s="13">
        <v>0</v>
      </c>
      <c r="Z736" s="13">
        <v>0</v>
      </c>
    </row>
    <row r="737" spans="1:26" x14ac:dyDescent="0.2">
      <c r="A737" s="1">
        <v>735</v>
      </c>
      <c r="B737" s="2" t="s">
        <v>180</v>
      </c>
      <c r="C737" s="13" t="str">
        <f>HYPERLINK(AA2 &amp; "/bulb/sn_5a17096ecad75d6ac2b3b4fc401ea349/rendering/00.obj", "2.05089050293")</f>
        <v>2.05089050293</v>
      </c>
      <c r="D737" s="35" t="str">
        <f>HYPERLINK(AA2 &amp; "/bulb/sn_5a17096ecad75d6ac2b3b4fc401ea349/rendering/01.obj", "1.92787704468")</f>
        <v>1.92787704468</v>
      </c>
      <c r="E737" s="72" t="str">
        <f>HYPERLINK(AA2 &amp; "/bulb/sn_5a17096ecad75d6ac2b3b4fc401ea349/rendering/02.obj", "2.1158164978")</f>
        <v>2.1158164978</v>
      </c>
      <c r="F737" s="72" t="str">
        <f>HYPERLINK(AA2 &amp; "/bulb/sn_5a17096ecad75d6ac2b3b4fc401ea349/rendering/03.obj", "2.1140536499")</f>
        <v>2.1140536499</v>
      </c>
      <c r="G737" s="25" t="str">
        <f>HYPERLINK(AA2 &amp; "/bulb/sn_5a17096ecad75d6ac2b3b4fc401ea349/rendering/04.obj", "2.06702331543")</f>
        <v>2.06702331543</v>
      </c>
      <c r="H737" s="91" t="str">
        <f>HYPERLINK(AA2 &amp; "/bulb/sn_5a17096ecad75d6ac2b3b4fc401ea349/rendering/05.obj", "2.10099975586")</f>
        <v>2.10099975586</v>
      </c>
      <c r="I737" s="69" t="str">
        <f>HYPERLINK(AA2 &amp; "/bulb/sn_5a17096ecad75d6ac2b3b4fc401ea349/rendering/06.obj", "1.98667922974")</f>
        <v>1.98667922974</v>
      </c>
      <c r="J737" s="23" t="str">
        <f>HYPERLINK(AA2 &amp; "/bulb/sn_5a17096ecad75d6ac2b3b4fc401ea349/rendering/07.obj", "2.12403594971")</f>
        <v>2.12403594971</v>
      </c>
      <c r="K737" s="26" t="str">
        <f>HYPERLINK(AA2 &amp; "/bulb/sn_5a17096ecad75d6ac2b3b4fc401ea349/rendering/08.obj", "1.9164050293")</f>
        <v>1.9164050293</v>
      </c>
      <c r="L737" s="46" t="str">
        <f>HYPERLINK(AA2 &amp; "/bulb/sn_5a17096ecad75d6ac2b3b4fc401ea349/rendering/09.obj", "2.07955154419")</f>
        <v>2.07955154419</v>
      </c>
      <c r="M737" s="67" t="str">
        <f>HYPERLINK(AA2 &amp; "/bulb/sn_5a17096ecad75d6ac2b3b4fc401ea349/rendering/10.obj", "2.23614501953")</f>
        <v>2.23614501953</v>
      </c>
      <c r="N737" s="30" t="str">
        <f>HYPERLINK(AA2 &amp; "/bulb/sn_5a17096ecad75d6ac2b3b4fc401ea349/rendering/11.obj", "2.05927215576")</f>
        <v>2.05927215576</v>
      </c>
      <c r="O737" s="10" t="str">
        <f>HYPERLINK(AA2 &amp; "/bulb/sn_5a17096ecad75d6ac2b3b4fc401ea349/rendering/12.obj", "1.93480697632")</f>
        <v>1.93480697632</v>
      </c>
      <c r="P737" s="74" t="str">
        <f>HYPERLINK(AA2 &amp; "/bulb/sn_5a17096ecad75d6ac2b3b4fc401ea349/rendering/13.obj", "2.07774703979")</f>
        <v>2.07774703979</v>
      </c>
      <c r="Q737" s="48" t="str">
        <f>HYPERLINK(AA2 &amp; "/bulb/sn_5a17096ecad75d6ac2b3b4fc401ea349/rendering/14.obj", "2.09652511597")</f>
        <v>2.09652511597</v>
      </c>
      <c r="R737" s="72" t="str">
        <f>HYPERLINK(AA2 &amp; "/bulb/sn_5a17096ecad75d6ac2b3b4fc401ea349/rendering/15.obj", "1.98078552246")</f>
        <v>1.98078552246</v>
      </c>
      <c r="S737" s="73" t="str">
        <f>HYPERLINK(AA2 &amp; "/bulb/sn_5a17096ecad75d6ac2b3b4fc401ea349/rendering/16.obj", "1.97608856201")</f>
        <v>1.97608856201</v>
      </c>
      <c r="T737" s="35" t="str">
        <f>HYPERLINK(AA2 &amp; "/bulb/sn_5a17096ecad75d6ac2b3b4fc401ea349/rendering/17.obj", "1.93075866699")</f>
        <v>1.93075866699</v>
      </c>
      <c r="U737" s="91" t="str">
        <f>HYPERLINK(AA2 &amp; "/bulb/sn_5a17096ecad75d6ac2b3b4fc401ea349/rendering/18.obj", "2.09976455688")</f>
        <v>2.09976455688</v>
      </c>
      <c r="V737" s="47" t="str">
        <f>HYPERLINK(AA2 &amp; "/bulb/sn_5a17096ecad75d6ac2b3b4fc401ea349/rendering/19.obj", "2.06137664795")</f>
        <v>2.06137664795</v>
      </c>
      <c r="W737" s="12" t="s">
        <v>29</v>
      </c>
      <c r="X737" s="13">
        <v>2.0468301391601562</v>
      </c>
      <c r="Y737" s="13">
        <v>8.1323086586840246E-2</v>
      </c>
      <c r="Z737" s="23">
        <v>3.9731233692019148E-2</v>
      </c>
    </row>
    <row r="738" spans="1:26" x14ac:dyDescent="0.2">
      <c r="A738" s="1">
        <v>736</v>
      </c>
      <c r="B738" s="2" t="s">
        <v>180</v>
      </c>
      <c r="C738" s="17" t="str">
        <f>HYPERLINK(AA2 &amp; "/bulb/sn_5a17096ecad75d6ac2b3b4fc401ea349/rendering/00.obj", "2.45316696167")</f>
        <v>2.45316696167</v>
      </c>
      <c r="D738" s="72" t="str">
        <f>HYPERLINK(AA2 &amp; "/bulb/sn_5a17096ecad75d6ac2b3b4fc401ea349/rendering/01.obj", "2.42208147049")</f>
        <v>2.42208147049</v>
      </c>
      <c r="E738" s="13" t="str">
        <f>HYPERLINK(AA2 &amp; "/bulb/sn_5a17096ecad75d6ac2b3b4fc401ea349/rendering/02.obj", "2.51051950455")</f>
        <v>2.51051950455</v>
      </c>
      <c r="F738" s="46" t="str">
        <f>HYPERLINK(AA2 &amp; "/bulb/sn_5a17096ecad75d6ac2b3b4fc401ea349/rendering/03.obj", "2.54728364944")</f>
        <v>2.54728364944</v>
      </c>
      <c r="G738" s="48" t="str">
        <f>HYPERLINK(AA2 &amp; "/bulb/sn_5a17096ecad75d6ac2b3b4fc401ea349/rendering/04.obj", "2.55961990356")</f>
        <v>2.55961990356</v>
      </c>
      <c r="H738" s="74" t="str">
        <f>HYPERLINK(AA2 &amp; "/bulb/sn_5a17096ecad75d6ac2b3b4fc401ea349/rendering/05.obj", "2.53703784943")</f>
        <v>2.53703784943</v>
      </c>
      <c r="I738" s="48" t="str">
        <f>HYPERLINK(AA2 &amp; "/bulb/sn_5a17096ecad75d6ac2b3b4fc401ea349/rendering/06.obj", "2.44691371918")</f>
        <v>2.44691371918</v>
      </c>
      <c r="J738" s="35" t="str">
        <f>HYPERLINK(AA2 &amp; "/bulb/sn_5a17096ecad75d6ac2b3b4fc401ea349/rendering/07.obj", "2.64777565002")</f>
        <v>2.64777565002</v>
      </c>
      <c r="K738" s="47" t="str">
        <f>HYPERLINK(AA2 &amp; "/bulb/sn_5a17096ecad75d6ac2b3b4fc401ea349/rendering/08.obj", "2.48770856857")</f>
        <v>2.48770856857</v>
      </c>
      <c r="L738" s="47" t="str">
        <f>HYPERLINK(AA2 &amp; "/bulb/sn_5a17096ecad75d6ac2b3b4fc401ea349/rendering/09.obj", "2.5225584507")</f>
        <v>2.5225584507</v>
      </c>
      <c r="M738" s="34" t="str">
        <f>HYPERLINK(AA2 &amp; "/bulb/sn_5a17096ecad75d6ac2b3b4fc401ea349/rendering/10.obj", "2.62151861191")</f>
        <v>2.62151861191</v>
      </c>
      <c r="N738" s="13" t="str">
        <f>HYPERLINK(AA2 &amp; "/bulb/sn_5a17096ecad75d6ac2b3b4fc401ea349/rendering/11.obj", "2.49922895432")</f>
        <v>2.49922895432</v>
      </c>
      <c r="O738" s="17" t="str">
        <f>HYPERLINK(AA2 &amp; "/bulb/sn_5a17096ecad75d6ac2b3b4fc401ea349/rendering/12.obj", "2.44907927513")</f>
        <v>2.44907927513</v>
      </c>
      <c r="P738" s="47" t="str">
        <f>HYPERLINK(AA2 &amp; "/bulb/sn_5a17096ecad75d6ac2b3b4fc401ea349/rendering/13.obj", "2.48048043251")</f>
        <v>2.48048043251</v>
      </c>
      <c r="Q738" s="73" t="str">
        <f>HYPERLINK(AA2 &amp; "/bulb/sn_5a17096ecad75d6ac2b3b4fc401ea349/rendering/14.obj", "2.59312558174")</f>
        <v>2.59312558174</v>
      </c>
      <c r="R738" s="13" t="str">
        <f>HYPERLINK(AA2 &amp; "/bulb/sn_5a17096ecad75d6ac2b3b4fc401ea349/rendering/15.obj", "2.50011396408")</f>
        <v>2.50011396408</v>
      </c>
      <c r="S738" s="74" t="str">
        <f>HYPERLINK(AA2 &amp; "/bulb/sn_5a17096ecad75d6ac2b3b4fc401ea349/rendering/16.obj", "2.46832799911")</f>
        <v>2.46832799911</v>
      </c>
      <c r="T738" s="72" t="str">
        <f>HYPERLINK(AA2 &amp; "/bulb/sn_5a17096ecad75d6ac2b3b4fc401ea349/rendering/17.obj", "2.417958498")</f>
        <v>2.417958498</v>
      </c>
      <c r="U738" s="17" t="str">
        <f>HYPERLINK(AA2 &amp; "/bulb/sn_5a17096ecad75d6ac2b3b4fc401ea349/rendering/18.obj", "2.44978427887")</f>
        <v>2.44978427887</v>
      </c>
      <c r="V738" s="17" t="str">
        <f>HYPERLINK(AA2 &amp; "/bulb/sn_5a17096ecad75d6ac2b3b4fc401ea349/rendering/19.obj", "2.45493483543")</f>
        <v>2.45493483543</v>
      </c>
      <c r="W738" s="12" t="s">
        <v>30</v>
      </c>
      <c r="X738" s="13">
        <v>2.5034609079360961</v>
      </c>
      <c r="Y738" s="13">
        <v>6.2973673189646362E-2</v>
      </c>
      <c r="Z738" s="91">
        <v>2.5154646110117671E-2</v>
      </c>
    </row>
    <row r="739" spans="1:26" x14ac:dyDescent="0.2">
      <c r="A739" s="1">
        <v>737</v>
      </c>
      <c r="B739" s="2" t="s">
        <v>180</v>
      </c>
      <c r="C739" s="47" t="str">
        <f>HYPERLINK(AB2 &amp; "/bulb/sn_5a17096ecad75d6ac2b3b4fc401ea349/rendering/00.obj", "2.91024688721")</f>
        <v>2.91024688721</v>
      </c>
      <c r="D739" s="47" t="str">
        <f>HYPERLINK(AB2 &amp; "/bulb/sn_5a17096ecad75d6ac2b3b4fc401ea349/rendering/01.obj", "2.90746337891")</f>
        <v>2.90746337891</v>
      </c>
      <c r="E739" s="6" t="str">
        <f>HYPERLINK(AB2 &amp; "/bulb/sn_5a17096ecad75d6ac2b3b4fc401ea349/rendering/02.obj", "2.75600463867")</f>
        <v>2.75600463867</v>
      </c>
      <c r="F739" s="74" t="str">
        <f>HYPERLINK(AB2 &amp; "/bulb/sn_5a17096ecad75d6ac2b3b4fc401ea349/rendering/03.obj", "2.84125488281")</f>
        <v>2.84125488281</v>
      </c>
      <c r="G739" s="46" t="str">
        <f>HYPERLINK(AB2 &amp; "/bulb/sn_5a17096ecad75d6ac2b3b4fc401ea349/rendering/04.obj", "2.83512695313")</f>
        <v>2.83512695313</v>
      </c>
      <c r="H739" s="13" t="str">
        <f>HYPERLINK(AB2 &amp; "/bulb/sn_5a17096ecad75d6ac2b3b4fc401ea349/rendering/05.obj", "2.88744018555")</f>
        <v>2.88744018555</v>
      </c>
      <c r="I739" s="25" t="str">
        <f>HYPERLINK(AB2 &amp; "/bulb/sn_5a17096ecad75d6ac2b3b4fc401ea349/rendering/06.obj", "2.91652313232")</f>
        <v>2.91652313232</v>
      </c>
      <c r="J739" s="23" t="str">
        <f>HYPERLINK(AB2 &amp; "/bulb/sn_5a17096ecad75d6ac2b3b4fc401ea349/rendering/07.obj", "2.77340576172")</f>
        <v>2.77340576172</v>
      </c>
      <c r="K739" s="48" t="str">
        <f>HYPERLINK(AB2 &amp; "/bulb/sn_5a17096ecad75d6ac2b3b4fc401ea349/rendering/08.obj", "2.81259643555")</f>
        <v>2.81259643555</v>
      </c>
      <c r="L739" s="48" t="str">
        <f>HYPERLINK(AB2 &amp; "/bulb/sn_5a17096ecad75d6ac2b3b4fc401ea349/rendering/09.obj", "2.81803466797")</f>
        <v>2.81803466797</v>
      </c>
      <c r="M739" s="48" t="str">
        <f>HYPERLINK(AB2 &amp; "/bulb/sn_5a17096ecad75d6ac2b3b4fc401ea349/rendering/10.obj", "2.95061798096")</f>
        <v>2.95061798096</v>
      </c>
      <c r="N739" s="69" t="str">
        <f>HYPERLINK(AB2 &amp; "/bulb/sn_5a17096ecad75d6ac2b3b4fc401ea349/rendering/11.obj", "2.80268798828")</f>
        <v>2.80268798828</v>
      </c>
      <c r="O739" s="48" t="str">
        <f>HYPERLINK(AB2 &amp; "/bulb/sn_5a17096ecad75d6ac2b3b4fc401ea349/rendering/12.obj", "2.95164703369")</f>
        <v>2.95164703369</v>
      </c>
      <c r="P739" s="23" t="str">
        <f>HYPERLINK(AB2 &amp; "/bulb/sn_5a17096ecad75d6ac2b3b4fc401ea349/rendering/13.obj", "2.99565948486")</f>
        <v>2.99565948486</v>
      </c>
      <c r="Q739" s="23" t="str">
        <f>HYPERLINK(AB2 &amp; "/bulb/sn_5a17096ecad75d6ac2b3b4fc401ea349/rendering/14.obj", "2.77358581543")</f>
        <v>2.77358581543</v>
      </c>
      <c r="R739" s="74" t="str">
        <f>HYPERLINK(AB2 &amp; "/bulb/sn_5a17096ecad75d6ac2b3b4fc401ea349/rendering/15.obj", "2.92576782227")</f>
        <v>2.92576782227</v>
      </c>
      <c r="S739" s="13" t="str">
        <f>HYPERLINK(AB2 &amp; "/bulb/sn_5a17096ecad75d6ac2b3b4fc401ea349/rendering/16.obj", "2.87742553711")</f>
        <v>2.87742553711</v>
      </c>
      <c r="T739" s="68" t="str">
        <f>HYPERLINK(AB2 &amp; "/bulb/sn_5a17096ecad75d6ac2b3b4fc401ea349/rendering/17.obj", "3.00557647705")</f>
        <v>3.00557647705</v>
      </c>
      <c r="U739" s="69" t="str">
        <f>HYPERLINK(AB2 &amp; "/bulb/sn_5a17096ecad75d6ac2b3b4fc401ea349/rendering/18.obj", "2.97203613281")</f>
        <v>2.97203613281</v>
      </c>
      <c r="V739" s="72" t="str">
        <f>HYPERLINK(AB2 &amp; "/bulb/sn_5a17096ecad75d6ac2b3b4fc401ea349/rendering/19.obj", "2.97664978027")</f>
        <v>2.97664978027</v>
      </c>
      <c r="W739" s="12" t="s">
        <v>31</v>
      </c>
      <c r="X739" s="13">
        <v>2.8844875488281252</v>
      </c>
      <c r="Y739" s="13">
        <v>7.673707882478456E-2</v>
      </c>
      <c r="Z739" s="91">
        <v>2.6603366291513501E-2</v>
      </c>
    </row>
    <row r="740" spans="1:26" x14ac:dyDescent="0.2">
      <c r="A740" s="1">
        <v>738</v>
      </c>
      <c r="B740" s="2" t="s">
        <v>180</v>
      </c>
      <c r="C740" s="47" t="str">
        <f>HYPERLINK(AB2 &amp; "/bulb/sn_5a17096ecad75d6ac2b3b4fc401ea349/rendering/00.obj", "2.75493073463")</f>
        <v>2.75493073463</v>
      </c>
      <c r="D740" s="47" t="str">
        <f>HYPERLINK(AB2 &amp; "/bulb/sn_5a17096ecad75d6ac2b3b4fc401ea349/rendering/01.obj", "2.70617747307")</f>
        <v>2.70617747307</v>
      </c>
      <c r="E740" s="25" t="str">
        <f>HYPERLINK(AB2 &amp; "/bulb/sn_5a17096ecad75d6ac2b3b4fc401ea349/rendering/02.obj", "2.70484995842")</f>
        <v>2.70484995842</v>
      </c>
      <c r="F740" s="74" t="str">
        <f>HYPERLINK(AB2 &amp; "/bulb/sn_5a17096ecad75d6ac2b3b4fc401ea349/rendering/03.obj", "2.69196486473")</f>
        <v>2.69196486473</v>
      </c>
      <c r="G740" s="13" t="str">
        <f>HYPERLINK(AB2 &amp; "/bulb/sn_5a17096ecad75d6ac2b3b4fc401ea349/rendering/04.obj", "2.72602891922")</f>
        <v>2.72602891922</v>
      </c>
      <c r="H740" s="13" t="str">
        <f>HYPERLINK(AB2 &amp; "/bulb/sn_5a17096ecad75d6ac2b3b4fc401ea349/rendering/05.obj", "2.73241281509")</f>
        <v>2.73241281509</v>
      </c>
      <c r="I740" s="46" t="str">
        <f>HYPERLINK(AB2 &amp; "/bulb/sn_5a17096ecad75d6ac2b3b4fc401ea349/rendering/06.obj", "2.78018045425")</f>
        <v>2.78018045425</v>
      </c>
      <c r="J740" s="30" t="str">
        <f>HYPERLINK(AB2 &amp; "/bulb/sn_5a17096ecad75d6ac2b3b4fc401ea349/rendering/07.obj", "2.72164297104")</f>
        <v>2.72164297104</v>
      </c>
      <c r="K740" s="68" t="str">
        <f>HYPERLINK(AB2 &amp; "/bulb/sn_5a17096ecad75d6ac2b3b4fc401ea349/rendering/08.obj", "2.61683487892")</f>
        <v>2.61683487892</v>
      </c>
      <c r="L740" s="13" t="str">
        <f>HYPERLINK(AB2 &amp; "/bulb/sn_5a17096ecad75d6ac2b3b4fc401ea349/rendering/09.obj", "2.7335870266")</f>
        <v>2.7335870266</v>
      </c>
      <c r="M740" s="17" t="str">
        <f>HYPERLINK(AB2 &amp; "/bulb/sn_5a17096ecad75d6ac2b3b4fc401ea349/rendering/10.obj", "2.78829073906")</f>
        <v>2.78829073906</v>
      </c>
      <c r="N740" s="25" t="str">
        <f>HYPERLINK(AB2 &amp; "/bulb/sn_5a17096ecad75d6ac2b3b4fc401ea349/rendering/11.obj", "2.69824194908")</f>
        <v>2.69824194908</v>
      </c>
      <c r="O740" s="47" t="str">
        <f>HYPERLINK(AB2 &amp; "/bulb/sn_5a17096ecad75d6ac2b3b4fc401ea349/rendering/12.obj", "2.75369048119")</f>
        <v>2.75369048119</v>
      </c>
      <c r="P740" s="34" t="str">
        <f>HYPERLINK(AB2 &amp; "/bulb/sn_5a17096ecad75d6ac2b3b4fc401ea349/rendering/13.obj", "2.86794257164")</f>
        <v>2.86794257164</v>
      </c>
      <c r="Q740" s="91" t="str">
        <f>HYPERLINK(AB2 &amp; "/bulb/sn_5a17096ecad75d6ac2b3b4fc401ea349/rendering/14.obj", "2.65403604507")</f>
        <v>2.65403604507</v>
      </c>
      <c r="R740" s="46" t="str">
        <f>HYPERLINK(AB2 &amp; "/bulb/sn_5a17096ecad75d6ac2b3b4fc401ea349/rendering/15.obj", "2.68265342712")</f>
        <v>2.68265342712</v>
      </c>
      <c r="S740" s="91" t="str">
        <f>HYPERLINK(AB2 &amp; "/bulb/sn_5a17096ecad75d6ac2b3b4fc401ea349/rendering/16.obj", "2.66070842743")</f>
        <v>2.66070842743</v>
      </c>
      <c r="T740" s="69" t="str">
        <f>HYPERLINK(AB2 &amp; "/bulb/sn_5a17096ecad75d6ac2b3b4fc401ea349/rendering/17.obj", "2.80903124809")</f>
        <v>2.80903124809</v>
      </c>
      <c r="U740" s="74" t="str">
        <f>HYPERLINK(AB2 &amp; "/bulb/sn_5a17096ecad75d6ac2b3b4fc401ea349/rendering/18.obj", "2.7710108757")</f>
        <v>2.7710108757</v>
      </c>
      <c r="V740" s="74" t="str">
        <f>HYPERLINK(AB2 &amp; "/bulb/sn_5a17096ecad75d6ac2b3b4fc401ea349/rendering/19.obj", "2.76810383797")</f>
        <v>2.76810383797</v>
      </c>
      <c r="W740" s="12" t="s">
        <v>32</v>
      </c>
      <c r="X740" s="13">
        <v>2.7311159849166868</v>
      </c>
      <c r="Y740" s="13">
        <v>5.6947832919851643E-2</v>
      </c>
      <c r="Z740" s="17">
        <v>2.0851488268664231E-2</v>
      </c>
    </row>
    <row r="741" spans="1:26" x14ac:dyDescent="0.2">
      <c r="A741" s="1">
        <v>739</v>
      </c>
      <c r="B741" s="2" t="s">
        <v>180</v>
      </c>
      <c r="C741" s="13" t="str">
        <f>HYPERLINK(AC2 &amp; "/bulb/sn_5a17096ecad75d6ac2b3b4fc401ea349/rendering/00.xyz", "0.0")</f>
        <v>0.0</v>
      </c>
      <c r="D741" s="13" t="str">
        <f>HYPERLINK(AC2 &amp; "/bulb/sn_5a17096ecad75d6ac2b3b4fc401ea349/rendering/01.xyz", "0.0")</f>
        <v>0.0</v>
      </c>
      <c r="E741" s="13" t="str">
        <f>HYPERLINK(AC2 &amp; "/bulb/sn_5a17096ecad75d6ac2b3b4fc401ea349/rendering/02.xyz", "0.0")</f>
        <v>0.0</v>
      </c>
      <c r="F741" s="13" t="str">
        <f>HYPERLINK(AC2 &amp; "/bulb/sn_5a17096ecad75d6ac2b3b4fc401ea349/rendering/03.xyz", "0.0")</f>
        <v>0.0</v>
      </c>
      <c r="G741" s="13" t="str">
        <f>HYPERLINK(AC2 &amp; "/bulb/sn_5a17096ecad75d6ac2b3b4fc401ea349/rendering/04.xyz", "0.0")</f>
        <v>0.0</v>
      </c>
      <c r="H741" s="13" t="str">
        <f>HYPERLINK(AC2 &amp; "/bulb/sn_5a17096ecad75d6ac2b3b4fc401ea349/rendering/05.xyz", "0.0")</f>
        <v>0.0</v>
      </c>
      <c r="I741" s="13" t="str">
        <f>HYPERLINK(AC2 &amp; "/bulb/sn_5a17096ecad75d6ac2b3b4fc401ea349/rendering/06.xyz", "0.0")</f>
        <v>0.0</v>
      </c>
      <c r="J741" s="13" t="str">
        <f>HYPERLINK(AC2 &amp; "/bulb/sn_5a17096ecad75d6ac2b3b4fc401ea349/rendering/07.xyz", "0.0")</f>
        <v>0.0</v>
      </c>
      <c r="K741" s="13" t="str">
        <f>HYPERLINK(AC2 &amp; "/bulb/sn_5a17096ecad75d6ac2b3b4fc401ea349/rendering/08.xyz", "0.0")</f>
        <v>0.0</v>
      </c>
      <c r="L741" s="13" t="str">
        <f>HYPERLINK(AC2 &amp; "/bulb/sn_5a17096ecad75d6ac2b3b4fc401ea349/rendering/09.xyz", "0.0")</f>
        <v>0.0</v>
      </c>
      <c r="M741" s="13" t="str">
        <f>HYPERLINK(AC2 &amp; "/bulb/sn_5a17096ecad75d6ac2b3b4fc401ea349/rendering/10.xyz", "0.0")</f>
        <v>0.0</v>
      </c>
      <c r="N741" s="13" t="str">
        <f>HYPERLINK(AC2 &amp; "/bulb/sn_5a17096ecad75d6ac2b3b4fc401ea349/rendering/11.xyz", "0.0")</f>
        <v>0.0</v>
      </c>
      <c r="O741" s="13" t="str">
        <f>HYPERLINK(AC2 &amp; "/bulb/sn_5a17096ecad75d6ac2b3b4fc401ea349/rendering/12.xyz", "0.0")</f>
        <v>0.0</v>
      </c>
      <c r="P741" s="13" t="str">
        <f>HYPERLINK(AC2 &amp; "/bulb/sn_5a17096ecad75d6ac2b3b4fc401ea349/rendering/13.xyz", "0.0")</f>
        <v>0.0</v>
      </c>
      <c r="Q741" s="13" t="str">
        <f>HYPERLINK(AC2 &amp; "/bulb/sn_5a17096ecad75d6ac2b3b4fc401ea349/rendering/14.xyz", "0.0")</f>
        <v>0.0</v>
      </c>
      <c r="R741" s="13" t="str">
        <f>HYPERLINK(AC2 &amp; "/bulb/sn_5a17096ecad75d6ac2b3b4fc401ea349/rendering/15.xyz", "0.0")</f>
        <v>0.0</v>
      </c>
      <c r="S741" s="13" t="str">
        <f>HYPERLINK(AC2 &amp; "/bulb/sn_5a17096ecad75d6ac2b3b4fc401ea349/rendering/16.xyz", "0.0")</f>
        <v>0.0</v>
      </c>
      <c r="T741" s="13" t="str">
        <f>HYPERLINK(AC2 &amp; "/bulb/sn_5a17096ecad75d6ac2b3b4fc401ea349/rendering/17.xyz", "0.0")</f>
        <v>0.0</v>
      </c>
      <c r="U741" s="13" t="str">
        <f>HYPERLINK(AC2 &amp; "/bulb/sn_5a17096ecad75d6ac2b3b4fc401ea349/rendering/18.xyz", "0.0")</f>
        <v>0.0</v>
      </c>
      <c r="V741" s="13" t="str">
        <f>HYPERLINK(AC2 &amp; "/bulb/sn_5a17096ecad75d6ac2b3b4fc401ea349/rendering/19.xyz", "0.0")</f>
        <v>0.0</v>
      </c>
      <c r="W741" s="12" t="s">
        <v>33</v>
      </c>
      <c r="X741" s="13">
        <v>0</v>
      </c>
      <c r="Y741" s="13">
        <v>0</v>
      </c>
      <c r="Z741" s="13">
        <v>0</v>
      </c>
    </row>
    <row r="742" spans="1:26" x14ac:dyDescent="0.2">
      <c r="A742" s="1">
        <v>740</v>
      </c>
      <c r="B742" s="2" t="s">
        <v>181</v>
      </c>
      <c r="C742" s="35" t="str">
        <f>HYPERLINK(AA2 &amp; "/bulb/sn_6733c64dff411880af3558495e8545c8/rendering/00.obj", "2.26682327271")</f>
        <v>2.26682327271</v>
      </c>
      <c r="D742" s="10" t="str">
        <f>HYPERLINK(AA2 &amp; "/bulb/sn_6733c64dff411880af3558495e8545c8/rendering/01.obj", "2.27139801025")</f>
        <v>2.27139801025</v>
      </c>
      <c r="E742" s="6" t="str">
        <f>HYPERLINK(AA2 &amp; "/bulb/sn_6733c64dff411880af3558495e8545c8/rendering/02.obj", "2.50964172363")</f>
        <v>2.50964172363</v>
      </c>
      <c r="F742" s="46" t="str">
        <f>HYPERLINK(AA2 &amp; "/bulb/sn_6733c64dff411880af3558495e8545c8/rendering/03.obj", "2.36353393555")</f>
        <v>2.36353393555</v>
      </c>
      <c r="G742" s="83" t="str">
        <f>HYPERLINK(AA2 &amp; "/bulb/sn_6733c64dff411880af3558495e8545c8/rendering/04.obj", "2.76622558594")</f>
        <v>2.76622558594</v>
      </c>
      <c r="H742" s="46" t="str">
        <f>HYPERLINK(AA2 &amp; "/bulb/sn_6733c64dff411880af3558495e8545c8/rendering/05.obj", "2.3613973999")</f>
        <v>2.3613973999</v>
      </c>
      <c r="I742" s="68" t="str">
        <f>HYPERLINK(AA2 &amp; "/bulb/sn_6733c64dff411880af3558495e8545c8/rendering/06.obj", "2.50791610718")</f>
        <v>2.50791610718</v>
      </c>
      <c r="J742" s="27" t="str">
        <f>HYPERLINK(AA2 &amp; "/bulb/sn_6733c64dff411880af3558495e8545c8/rendering/07.obj", "2.23240386963")</f>
        <v>2.23240386963</v>
      </c>
      <c r="K742" s="72" t="str">
        <f>HYPERLINK(AA2 &amp; "/bulb/sn_6733c64dff411880af3558495e8545c8/rendering/08.obj", "2.32152297974")</f>
        <v>2.32152297974</v>
      </c>
      <c r="L742" s="6" t="str">
        <f>HYPERLINK(AA2 &amp; "/bulb/sn_6733c64dff411880af3558495e8545c8/rendering/09.obj", "2.2976272583")</f>
        <v>2.2976272583</v>
      </c>
      <c r="M742" s="72" t="str">
        <f>HYPERLINK(AA2 &amp; "/bulb/sn_6733c64dff411880af3558495e8545c8/rendering/10.obj", "2.32119720459")</f>
        <v>2.32119720459</v>
      </c>
      <c r="N742" s="48" t="str">
        <f>HYPERLINK(AA2 &amp; "/bulb/sn_6733c64dff411880af3558495e8545c8/rendering/11.obj", "2.34380233765")</f>
        <v>2.34380233765</v>
      </c>
      <c r="O742" s="34" t="str">
        <f>HYPERLINK(AA2 &amp; "/bulb/sn_6733c64dff411880af3558495e8545c8/rendering/12.obj", "2.52156738281")</f>
        <v>2.52156738281</v>
      </c>
      <c r="P742" s="41" t="str">
        <f>HYPERLINK(AA2 &amp; "/bulb/sn_6733c64dff411880af3558495e8545c8/rendering/13.obj", "2.56943237305")</f>
        <v>2.56943237305</v>
      </c>
      <c r="Q742" s="23" t="str">
        <f>HYPERLINK(AA2 &amp; "/bulb/sn_6733c64dff411880af3558495e8545c8/rendering/14.obj", "2.31104263306")</f>
        <v>2.31104263306</v>
      </c>
      <c r="R742" s="68" t="str">
        <f>HYPERLINK(AA2 &amp; "/bulb/sn_6733c64dff411880af3558495e8545c8/rendering/15.obj", "2.30368713379")</f>
        <v>2.30368713379</v>
      </c>
      <c r="S742" s="64" t="str">
        <f>HYPERLINK(AA2 &amp; "/bulb/sn_6733c64dff411880af3558495e8545c8/rendering/16.obj", "2.7962210083")</f>
        <v>2.7962210083</v>
      </c>
      <c r="T742" s="13" t="str">
        <f>HYPERLINK(AA2 &amp; "/bulb/sn_6733c64dff411880af3558495e8545c8/rendering/17.obj", "2.40303070068")</f>
        <v>2.40303070068</v>
      </c>
      <c r="U742" s="23" t="str">
        <f>HYPERLINK(AA2 &amp; "/bulb/sn_6733c64dff411880af3558495e8545c8/rendering/18.obj", "2.31112869263")</f>
        <v>2.31112869263</v>
      </c>
      <c r="V742" s="68" t="str">
        <f>HYPERLINK(AA2 &amp; "/bulb/sn_6733c64dff411880af3558495e8545c8/rendering/19.obj", "2.30035995483")</f>
        <v>2.30035995483</v>
      </c>
      <c r="W742" s="12" t="s">
        <v>29</v>
      </c>
      <c r="X742" s="13">
        <v>2.403997978210449</v>
      </c>
      <c r="Y742" s="13">
        <v>0.15558929028988289</v>
      </c>
      <c r="Z742" s="26">
        <v>6.472105704752068E-2</v>
      </c>
    </row>
    <row r="743" spans="1:26" x14ac:dyDescent="0.2">
      <c r="A743" s="1">
        <v>741</v>
      </c>
      <c r="B743" s="2" t="s">
        <v>181</v>
      </c>
      <c r="C743" s="110" t="str">
        <f>HYPERLINK(AA2 &amp; "/bulb/sn_6733c64dff411880af3558495e8545c8/rendering/00.obj", "2.87946414948")</f>
        <v>2.87946414948</v>
      </c>
      <c r="D743" s="8" t="str">
        <f>HYPERLINK(AA2 &amp; "/bulb/sn_6733c64dff411880af3558495e8545c8/rendering/01.obj", "2.73789143562")</f>
        <v>2.73789143562</v>
      </c>
      <c r="E743" s="40" t="str">
        <f>HYPERLINK(AA2 &amp; "/bulb/sn_6733c64dff411880af3558495e8545c8/rendering/02.obj", "3.7354953289")</f>
        <v>3.7354953289</v>
      </c>
      <c r="F743" s="91" t="str">
        <f>HYPERLINK(AA2 &amp; "/bulb/sn_6733c64dff411880af3558495e8545c8/rendering/03.obj", "3.10889911652")</f>
        <v>3.10889911652</v>
      </c>
      <c r="G743" s="63" t="str">
        <f>HYPERLINK(AA2 &amp; "/bulb/sn_6733c64dff411880af3558495e8545c8/rendering/04.obj", "3.57435512543")</f>
        <v>3.57435512543</v>
      </c>
      <c r="H743" s="30" t="str">
        <f>HYPERLINK(AA2 &amp; "/bulb/sn_6733c64dff411880af3558495e8545c8/rendering/05.obj", "3.20987296104")</f>
        <v>3.20987296104</v>
      </c>
      <c r="I743" s="26" t="str">
        <f>HYPERLINK(AA2 &amp; "/bulb/sn_6733c64dff411880af3558495e8545c8/rendering/06.obj", "3.40286612511")</f>
        <v>3.40286612511</v>
      </c>
      <c r="J743" s="71" t="str">
        <f>HYPERLINK(AA2 &amp; "/bulb/sn_6733c64dff411880af3558495e8545c8/rendering/07.obj", "2.81603884697")</f>
        <v>2.81603884697</v>
      </c>
      <c r="K743" s="39" t="str">
        <f>HYPERLINK(AA2 &amp; "/bulb/sn_6733c64dff411880af3558495e8545c8/rendering/08.obj", "2.92172908783")</f>
        <v>2.92172908783</v>
      </c>
      <c r="L743" s="110" t="str">
        <f>HYPERLINK(AA2 &amp; "/bulb/sn_6733c64dff411880af3558495e8545c8/rendering/09.obj", "2.87721323967")</f>
        <v>2.87721323967</v>
      </c>
      <c r="M743" s="10" t="str">
        <f>HYPERLINK(AA2 &amp; "/bulb/sn_6733c64dff411880af3558495e8545c8/rendering/10.obj", "3.01690840721")</f>
        <v>3.01690840721</v>
      </c>
      <c r="N743" s="60" t="str">
        <f>HYPERLINK(AA2 &amp; "/bulb/sn_6733c64dff411880af3558495e8545c8/rendering/11.obj", "3.02413797379")</f>
        <v>3.02413797379</v>
      </c>
      <c r="O743" s="40" t="str">
        <f>HYPERLINK(AA2 &amp; "/bulb/sn_6733c64dff411880af3558495e8545c8/rendering/12.obj", "3.7408144474")</f>
        <v>3.7408144474</v>
      </c>
      <c r="P743" s="117" t="str">
        <f>HYPERLINK(AA2 &amp; "/bulb/sn_6733c64dff411880af3558495e8545c8/rendering/13.obj", "3.75757193565")</f>
        <v>3.75757193565</v>
      </c>
      <c r="Q743" s="69" t="str">
        <f>HYPERLINK(AA2 &amp; "/bulb/sn_6733c64dff411880af3558495e8545c8/rendering/14.obj", "3.09651684761")</f>
        <v>3.09651684761</v>
      </c>
      <c r="R743" s="6" t="str">
        <f>HYPERLINK(AA2 &amp; "/bulb/sn_6733c64dff411880af3558495e8545c8/rendering/15.obj", "3.04797196388")</f>
        <v>3.04797196388</v>
      </c>
      <c r="S743" s="23" t="str">
        <f>HYPERLINK(AA2 &amp; "/bulb/sn_6733c64dff411880af3558495e8545c8/rendering/16.obj", "3.32000732422")</f>
        <v>3.32000732422</v>
      </c>
      <c r="T743" s="42" t="str">
        <f>HYPERLINK(AA2 &amp; "/bulb/sn_6733c64dff411880af3558495e8545c8/rendering/17.obj", "3.62755417824")</f>
        <v>3.62755417824</v>
      </c>
      <c r="U743" s="51" t="str">
        <f>HYPERLINK(AA2 &amp; "/bulb/sn_6733c64dff411880af3558495e8545c8/rendering/18.obj", "2.93427467346")</f>
        <v>2.93427467346</v>
      </c>
      <c r="V743" s="34" t="str">
        <f>HYPERLINK(AA2 &amp; "/bulb/sn_6733c64dff411880af3558495e8545c8/rendering/19.obj", "3.03910541534")</f>
        <v>3.03910541534</v>
      </c>
      <c r="W743" s="12" t="s">
        <v>30</v>
      </c>
      <c r="X743" s="13">
        <v>3.1934344291687009</v>
      </c>
      <c r="Y743" s="13">
        <v>0.32528952109784542</v>
      </c>
      <c r="Z743" s="133">
        <v>0.1018619697109369</v>
      </c>
    </row>
    <row r="744" spans="1:26" x14ac:dyDescent="0.2">
      <c r="A744" s="1">
        <v>742</v>
      </c>
      <c r="B744" s="2" t="s">
        <v>181</v>
      </c>
      <c r="C744" s="13" t="str">
        <f>HYPERLINK(AB2 &amp; "/bulb/sn_6733c64dff411880af3558495e8545c8/rendering/00.obj", "3.00953674316")</f>
        <v>3.00953674316</v>
      </c>
      <c r="D744" s="17" t="str">
        <f>HYPERLINK(AB2 &amp; "/bulb/sn_6733c64dff411880af3558495e8545c8/rendering/01.obj", "3.06000762939")</f>
        <v>3.06000762939</v>
      </c>
      <c r="E744" s="69" t="str">
        <f>HYPERLINK(AB2 &amp; "/bulb/sn_6733c64dff411880af3558495e8545c8/rendering/02.obj", "2.9113848877")</f>
        <v>2.9113848877</v>
      </c>
      <c r="F744" s="72" t="str">
        <f>HYPERLINK(AB2 &amp; "/bulb/sn_6733c64dff411880af3558495e8545c8/rendering/03.obj", "2.90339874268")</f>
        <v>2.90339874268</v>
      </c>
      <c r="G744" s="73" t="str">
        <f>HYPERLINK(AB2 &amp; "/bulb/sn_6733c64dff411880af3558495e8545c8/rendering/04.obj", "2.89711151123")</f>
        <v>2.89711151123</v>
      </c>
      <c r="H744" s="74" t="str">
        <f>HYPERLINK(AB2 &amp; "/bulb/sn_6733c64dff411880af3558495e8545c8/rendering/05.obj", "3.04098083496")</f>
        <v>3.04098083496</v>
      </c>
      <c r="I744" s="30" t="str">
        <f>HYPERLINK(AB2 &amp; "/bulb/sn_6733c64dff411880af3558495e8545c8/rendering/06.obj", "3.01207550049")</f>
        <v>3.01207550049</v>
      </c>
      <c r="J744" s="13" t="str">
        <f>HYPERLINK(AB2 &amp; "/bulb/sn_6733c64dff411880af3558495e8545c8/rendering/07.obj", "3.00336578369")</f>
        <v>3.00336578369</v>
      </c>
      <c r="K744" s="25" t="str">
        <f>HYPERLINK(AB2 &amp; "/bulb/sn_6733c64dff411880af3558495e8545c8/rendering/08.obj", "2.9735144043")</f>
        <v>2.9735144043</v>
      </c>
      <c r="L744" s="30" t="str">
        <f>HYPERLINK(AB2 &amp; "/bulb/sn_6733c64dff411880af3558495e8545c8/rendering/09.obj", "3.01403961182")</f>
        <v>3.01403961182</v>
      </c>
      <c r="M744" s="25" t="str">
        <f>HYPERLINK(AB2 &amp; "/bulb/sn_6733c64dff411880af3558495e8545c8/rendering/10.obj", "2.96866088867")</f>
        <v>2.96866088867</v>
      </c>
      <c r="N744" s="91" t="str">
        <f>HYPERLINK(AB2 &amp; "/bulb/sn_6733c64dff411880af3558495e8545c8/rendering/11.obj", "3.08257263184")</f>
        <v>3.08257263184</v>
      </c>
      <c r="O744" s="69" t="str">
        <f>HYPERLINK(AB2 &amp; "/bulb/sn_6733c64dff411880af3558495e8545c8/rendering/12.obj", "2.91657348633")</f>
        <v>2.91657348633</v>
      </c>
      <c r="P744" s="30" t="str">
        <f>HYPERLINK(AB2 &amp; "/bulb/sn_6733c64dff411880af3558495e8545c8/rendering/13.obj", "2.98993621826")</f>
        <v>2.98993621826</v>
      </c>
      <c r="Q744" s="46" t="str">
        <f>HYPERLINK(AB2 &amp; "/bulb/sn_6733c64dff411880af3558495e8545c8/rendering/14.obj", "3.05059631348")</f>
        <v>3.05059631348</v>
      </c>
      <c r="R744" s="6" t="str">
        <f>HYPERLINK(AB2 &amp; "/bulb/sn_6733c64dff411880af3558495e8545c8/rendering/15.obj", "3.14341552734")</f>
        <v>3.14341552734</v>
      </c>
      <c r="S744" s="30" t="str">
        <f>HYPERLINK(AB2 &amp; "/bulb/sn_6733c64dff411880af3558495e8545c8/rendering/16.obj", "2.99113037109")</f>
        <v>2.99113037109</v>
      </c>
      <c r="T744" s="25" t="str">
        <f>HYPERLINK(AB2 &amp; "/bulb/sn_6733c64dff411880af3558495e8545c8/rendering/17.obj", "3.03471618652")</f>
        <v>3.03471618652</v>
      </c>
      <c r="U744" s="46" t="str">
        <f>HYPERLINK(AB2 &amp; "/bulb/sn_6733c64dff411880af3558495e8545c8/rendering/18.obj", "3.05023406982")</f>
        <v>3.05023406982</v>
      </c>
      <c r="V744" s="13" t="str">
        <f>HYPERLINK(AB2 &amp; "/bulb/sn_6733c64dff411880af3558495e8545c8/rendering/19.obj", "2.99792480469")</f>
        <v>2.99792480469</v>
      </c>
      <c r="W744" s="12" t="s">
        <v>31</v>
      </c>
      <c r="X744" s="13">
        <v>3.002558807373048</v>
      </c>
      <c r="Y744" s="13">
        <v>6.1590528780478868E-2</v>
      </c>
      <c r="Z744" s="17">
        <v>2.0512680260995359E-2</v>
      </c>
    </row>
    <row r="745" spans="1:26" x14ac:dyDescent="0.2">
      <c r="A745" s="1">
        <v>743</v>
      </c>
      <c r="B745" s="2" t="s">
        <v>181</v>
      </c>
      <c r="C745" s="5" t="str">
        <f>HYPERLINK(AB2 &amp; "/bulb/sn_6733c64dff411880af3558495e8545c8/rendering/00.obj", "3.756295681")</f>
        <v>3.756295681</v>
      </c>
      <c r="D745" s="107" t="str">
        <f>HYPERLINK(AB2 &amp; "/bulb/sn_6733c64dff411880af3558495e8545c8/rendering/01.obj", "3.20634937286")</f>
        <v>3.20634937286</v>
      </c>
      <c r="E745" s="30" t="str">
        <f>HYPERLINK(AB2 &amp; "/bulb/sn_6733c64dff411880af3558495e8545c8/rendering/02.obj", "3.50259304047")</f>
        <v>3.50259304047</v>
      </c>
      <c r="F745" s="41" t="str">
        <f>HYPERLINK(AB2 &amp; "/bulb/sn_6733c64dff411880af3558495e8545c8/rendering/03.obj", "3.25545334816")</f>
        <v>3.25545334816</v>
      </c>
      <c r="G745" s="60" t="str">
        <f>HYPERLINK(AB2 &amp; "/bulb/sn_6733c64dff411880af3558495e8545c8/rendering/04.obj", "3.3062441349")</f>
        <v>3.3062441349</v>
      </c>
      <c r="H745" s="48" t="str">
        <f>HYPERLINK(AB2 &amp; "/bulb/sn_6733c64dff411880af3558495e8545c8/rendering/05.obj", "3.57690048218")</f>
        <v>3.57690048218</v>
      </c>
      <c r="I745" s="60" t="str">
        <f>HYPERLINK(AB2 &amp; "/bulb/sn_6733c64dff411880af3558495e8545c8/rendering/06.obj", "3.66982460022")</f>
        <v>3.66982460022</v>
      </c>
      <c r="J745" s="78" t="str">
        <f>HYPERLINK(AB2 &amp; "/bulb/sn_6733c64dff411880af3558495e8545c8/rendering/07.obj", "3.7050716877")</f>
        <v>3.7050716877</v>
      </c>
      <c r="K745" s="70" t="str">
        <f>HYPERLINK(AB2 &amp; "/bulb/sn_6733c64dff411880af3558495e8545c8/rendering/08.obj", "3.04374313354")</f>
        <v>3.04374313354</v>
      </c>
      <c r="L745" s="6" t="str">
        <f>HYPERLINK(AB2 &amp; "/bulb/sn_6733c64dff411880af3558495e8545c8/rendering/09.obj", "3.32860374451")</f>
        <v>3.32860374451</v>
      </c>
      <c r="M745" s="6" t="str">
        <f>HYPERLINK(AB2 &amp; "/bulb/sn_6733c64dff411880af3558495e8545c8/rendering/10.obj", "3.33368659019")</f>
        <v>3.33368659019</v>
      </c>
      <c r="N745" s="23" t="str">
        <f>HYPERLINK(AB2 &amp; "/bulb/sn_6733c64dff411880af3558495e8545c8/rendering/11.obj", "3.35121655464")</f>
        <v>3.35121655464</v>
      </c>
      <c r="O745" s="30" t="str">
        <f>HYPERLINK(AB2 &amp; "/bulb/sn_6733c64dff411880af3558495e8545c8/rendering/12.obj", "3.51099538803")</f>
        <v>3.51099538803</v>
      </c>
      <c r="P745" s="30" t="str">
        <f>HYPERLINK(AB2 &amp; "/bulb/sn_6733c64dff411880af3558495e8545c8/rendering/13.obj", "3.50601530075")</f>
        <v>3.50601530075</v>
      </c>
      <c r="Q745" s="41" t="str">
        <f>HYPERLINK(AB2 &amp; "/bulb/sn_6733c64dff411880af3558495e8545c8/rendering/14.obj", "3.72723817825")</f>
        <v>3.72723817825</v>
      </c>
      <c r="R745" s="30" t="str">
        <f>HYPERLINK(AB2 &amp; "/bulb/sn_6733c64dff411880af3558495e8545c8/rendering/15.obj", "3.50752615929")</f>
        <v>3.50752615929</v>
      </c>
      <c r="S745" s="69" t="str">
        <f>HYPERLINK(AB2 &amp; "/bulb/sn_6733c64dff411880af3558495e8545c8/rendering/16.obj", "3.3823928833")</f>
        <v>3.3823928833</v>
      </c>
      <c r="T745" s="5" t="str">
        <f>HYPERLINK(AB2 &amp; "/bulb/sn_6733c64dff411880af3558495e8545c8/rendering/17.obj", "3.76448535919")</f>
        <v>3.76448535919</v>
      </c>
      <c r="U745" s="27" t="str">
        <f>HYPERLINK(AB2 &amp; "/bulb/sn_6733c64dff411880af3558495e8545c8/rendering/18.obj", "3.73272943497")</f>
        <v>3.73272943497</v>
      </c>
      <c r="V745" s="34" t="str">
        <f>HYPERLINK(AB2 &amp; "/bulb/sn_6733c64dff411880af3558495e8545c8/rendering/19.obj", "3.65774917603")</f>
        <v>3.65774917603</v>
      </c>
      <c r="W745" s="12" t="s">
        <v>32</v>
      </c>
      <c r="X745" s="13">
        <v>3.491255712509155</v>
      </c>
      <c r="Y745" s="13">
        <v>0.20329471598542359</v>
      </c>
      <c r="Z745" s="35">
        <v>5.8229683737292433E-2</v>
      </c>
    </row>
    <row r="746" spans="1:26" x14ac:dyDescent="0.2">
      <c r="A746" s="1">
        <v>744</v>
      </c>
      <c r="B746" s="2" t="s">
        <v>181</v>
      </c>
      <c r="C746" s="13" t="str">
        <f>HYPERLINK(AC2 &amp; "/bulb/sn_6733c64dff411880af3558495e8545c8/rendering/00.xyz", "0.0")</f>
        <v>0.0</v>
      </c>
      <c r="D746" s="13" t="str">
        <f>HYPERLINK(AC2 &amp; "/bulb/sn_6733c64dff411880af3558495e8545c8/rendering/01.xyz", "0.0")</f>
        <v>0.0</v>
      </c>
      <c r="E746" s="13" t="str">
        <f>HYPERLINK(AC2 &amp; "/bulb/sn_6733c64dff411880af3558495e8545c8/rendering/02.xyz", "0.0")</f>
        <v>0.0</v>
      </c>
      <c r="F746" s="13" t="str">
        <f>HYPERLINK(AC2 &amp; "/bulb/sn_6733c64dff411880af3558495e8545c8/rendering/03.xyz", "0.0")</f>
        <v>0.0</v>
      </c>
      <c r="G746" s="13" t="str">
        <f>HYPERLINK(AC2 &amp; "/bulb/sn_6733c64dff411880af3558495e8545c8/rendering/04.xyz", "0.0")</f>
        <v>0.0</v>
      </c>
      <c r="H746" s="13" t="str">
        <f>HYPERLINK(AC2 &amp; "/bulb/sn_6733c64dff411880af3558495e8545c8/rendering/05.xyz", "0.0")</f>
        <v>0.0</v>
      </c>
      <c r="I746" s="13" t="str">
        <f>HYPERLINK(AC2 &amp; "/bulb/sn_6733c64dff411880af3558495e8545c8/rendering/06.xyz", "0.0")</f>
        <v>0.0</v>
      </c>
      <c r="J746" s="13" t="str">
        <f>HYPERLINK(AC2 &amp; "/bulb/sn_6733c64dff411880af3558495e8545c8/rendering/07.xyz", "0.0")</f>
        <v>0.0</v>
      </c>
      <c r="K746" s="13" t="str">
        <f>HYPERLINK(AC2 &amp; "/bulb/sn_6733c64dff411880af3558495e8545c8/rendering/08.xyz", "0.0")</f>
        <v>0.0</v>
      </c>
      <c r="L746" s="13" t="str">
        <f>HYPERLINK(AC2 &amp; "/bulb/sn_6733c64dff411880af3558495e8545c8/rendering/09.xyz", "0.0")</f>
        <v>0.0</v>
      </c>
      <c r="M746" s="13" t="str">
        <f>HYPERLINK(AC2 &amp; "/bulb/sn_6733c64dff411880af3558495e8545c8/rendering/10.xyz", "0.0")</f>
        <v>0.0</v>
      </c>
      <c r="N746" s="13" t="str">
        <f>HYPERLINK(AC2 &amp; "/bulb/sn_6733c64dff411880af3558495e8545c8/rendering/11.xyz", "0.0")</f>
        <v>0.0</v>
      </c>
      <c r="O746" s="13" t="str">
        <f>HYPERLINK(AC2 &amp; "/bulb/sn_6733c64dff411880af3558495e8545c8/rendering/12.xyz", "0.0")</f>
        <v>0.0</v>
      </c>
      <c r="P746" s="13" t="str">
        <f>HYPERLINK(AC2 &amp; "/bulb/sn_6733c64dff411880af3558495e8545c8/rendering/13.xyz", "0.0")</f>
        <v>0.0</v>
      </c>
      <c r="Q746" s="13" t="str">
        <f>HYPERLINK(AC2 &amp; "/bulb/sn_6733c64dff411880af3558495e8545c8/rendering/14.xyz", "0.0")</f>
        <v>0.0</v>
      </c>
      <c r="R746" s="13" t="str">
        <f>HYPERLINK(AC2 &amp; "/bulb/sn_6733c64dff411880af3558495e8545c8/rendering/15.xyz", "0.0")</f>
        <v>0.0</v>
      </c>
      <c r="S746" s="13" t="str">
        <f>HYPERLINK(AC2 &amp; "/bulb/sn_6733c64dff411880af3558495e8545c8/rendering/16.xyz", "0.0")</f>
        <v>0.0</v>
      </c>
      <c r="T746" s="13" t="str">
        <f>HYPERLINK(AC2 &amp; "/bulb/sn_6733c64dff411880af3558495e8545c8/rendering/17.xyz", "0.0")</f>
        <v>0.0</v>
      </c>
      <c r="U746" s="13" t="str">
        <f>HYPERLINK(AC2 &amp; "/bulb/sn_6733c64dff411880af3558495e8545c8/rendering/18.xyz", "0.0")</f>
        <v>0.0</v>
      </c>
      <c r="V746" s="13" t="str">
        <f>HYPERLINK(AC2 &amp; "/bulb/sn_6733c64dff411880af3558495e8545c8/rendering/19.xyz", "0.0")</f>
        <v>0.0</v>
      </c>
      <c r="W746" s="12" t="s">
        <v>33</v>
      </c>
      <c r="X746" s="13">
        <v>0</v>
      </c>
      <c r="Y746" s="13">
        <v>0</v>
      </c>
      <c r="Z746" s="13">
        <v>0</v>
      </c>
    </row>
    <row r="747" spans="1:26" x14ac:dyDescent="0.2">
      <c r="A747" s="1">
        <v>745</v>
      </c>
      <c r="B747" s="2" t="s">
        <v>182</v>
      </c>
      <c r="C747" s="82" t="str">
        <f>HYPERLINK(AA2 &amp; "/bulb/sn_87e6e36cc066e1535b10869efcc15957/rendering/00.obj", "10.2932836914")</f>
        <v>10.2932836914</v>
      </c>
      <c r="D747" s="6" t="str">
        <f>HYPERLINK(AA2 &amp; "/bulb/sn_87e6e36cc066e1535b10869efcc15957/rendering/01.obj", "8.15578979492")</f>
        <v>8.15578979492</v>
      </c>
      <c r="E747" s="86" t="str">
        <f>HYPERLINK(AA2 &amp; "/bulb/sn_87e6e36cc066e1535b10869efcc15957/rendering/02.obj", "10.8309265137")</f>
        <v>10.8309265137</v>
      </c>
      <c r="F747" s="49" t="str">
        <f>HYPERLINK(AA2 &amp; "/bulb/sn_87e6e36cc066e1535b10869efcc15957/rendering/03.obj", "6.75579711914")</f>
        <v>6.75579711914</v>
      </c>
      <c r="G747" s="119" t="str">
        <f>HYPERLINK(AA2 &amp; "/bulb/sn_87e6e36cc066e1535b10869efcc15957/rendering/04.obj", "10.8069482422")</f>
        <v>10.8069482422</v>
      </c>
      <c r="H747" s="14" t="str">
        <f>HYPERLINK(AA2 &amp; "/bulb/sn_87e6e36cc066e1535b10869efcc15957/rendering/05.obj", "6.06105957031")</f>
        <v>6.06105957031</v>
      </c>
      <c r="I747" s="135" t="str">
        <f>HYPERLINK(AA2 &amp; "/bulb/sn_87e6e36cc066e1535b10869efcc15957/rendering/06.obj", "10.7191625977")</f>
        <v>10.7191625977</v>
      </c>
      <c r="J747" s="103" t="str">
        <f>HYPERLINK(AA2 &amp; "/bulb/sn_87e6e36cc066e1535b10869efcc15957/rendering/07.obj", "11.3346411133")</f>
        <v>11.3346411133</v>
      </c>
      <c r="K747" s="179" t="str">
        <f>HYPERLINK(AA2 &amp; "/bulb/sn_87e6e36cc066e1535b10869efcc15957/rendering/08.obj", "4.8775982666")</f>
        <v>4.8775982666</v>
      </c>
      <c r="L747" s="95" t="str">
        <f>HYPERLINK(AA2 &amp; "/bulb/sn_87e6e36cc066e1535b10869efcc15957/rendering/09.obj", "10.9504699707")</f>
        <v>10.9504699707</v>
      </c>
      <c r="M747" s="136" t="str">
        <f>HYPERLINK(AA2 &amp; "/bulb/sn_87e6e36cc066e1535b10869efcc15957/rendering/10.obj", "6.51620239258")</f>
        <v>6.51620239258</v>
      </c>
      <c r="N747" s="135" t="str">
        <f>HYPERLINK(AA2 &amp; "/bulb/sn_87e6e36cc066e1535b10869efcc15957/rendering/11.obj", "10.7305285645")</f>
        <v>10.7305285645</v>
      </c>
      <c r="O747" s="58" t="str">
        <f>HYPERLINK(AA2 &amp; "/bulb/sn_87e6e36cc066e1535b10869efcc15957/rendering/12.obj", "6.47434997559")</f>
        <v>6.47434997559</v>
      </c>
      <c r="P747" s="19" t="str">
        <f>HYPERLINK(AA2 &amp; "/bulb/sn_87e6e36cc066e1535b10869efcc15957/rendering/13.obj", "6.2971484375")</f>
        <v>6.2971484375</v>
      </c>
      <c r="Q747" s="49" t="str">
        <f>HYPERLINK(AA2 &amp; "/bulb/sn_87e6e36cc066e1535b10869efcc15957/rendering/14.obj", "10.34171875")</f>
        <v>10.34171875</v>
      </c>
      <c r="R747" s="41" t="str">
        <f>HYPERLINK(AA2 &amp; "/bulb/sn_87e6e36cc066e1535b10869efcc15957/rendering/15.obj", "7.97088500977")</f>
        <v>7.97088500977</v>
      </c>
      <c r="S747" s="163" t="str">
        <f>HYPERLINK(AA2 &amp; "/bulb/sn_87e6e36cc066e1535b10869efcc15957/rendering/16.obj", "4.77096252441")</f>
        <v>4.77096252441</v>
      </c>
      <c r="T747" s="122" t="str">
        <f>HYPERLINK(AA2 &amp; "/bulb/sn_87e6e36cc066e1535b10869efcc15957/rendering/17.obj", "5.11333374023")</f>
        <v>5.11333374023</v>
      </c>
      <c r="U747" s="61" t="str">
        <f>HYPERLINK(AA2 &amp; "/bulb/sn_87e6e36cc066e1535b10869efcc15957/rendering/18.obj", "11.1372070312")</f>
        <v>11.1372070312</v>
      </c>
      <c r="V747" s="19" t="str">
        <f>HYPERLINK(AA2 &amp; "/bulb/sn_87e6e36cc066e1535b10869efcc15957/rendering/19.obj", "10.7888208008")</f>
        <v>10.7888208008</v>
      </c>
      <c r="W747" s="12" t="s">
        <v>29</v>
      </c>
      <c r="X747" s="13">
        <v>8.5463417053222663</v>
      </c>
      <c r="Y747" s="13">
        <v>2.3898846592137648</v>
      </c>
      <c r="Z747" s="95">
        <v>0.27963832264341298</v>
      </c>
    </row>
    <row r="748" spans="1:26" x14ac:dyDescent="0.2">
      <c r="A748" s="1">
        <v>746</v>
      </c>
      <c r="B748" s="2" t="s">
        <v>182</v>
      </c>
      <c r="C748" s="29" t="str">
        <f>HYPERLINK(AA2 &amp; "/bulb/sn_87e6e36cc066e1535b10869efcc15957/rendering/00.obj", "36.0792007446")</f>
        <v>36.0792007446</v>
      </c>
      <c r="D748" s="74" t="str">
        <f>HYPERLINK(AA2 &amp; "/bulb/sn_87e6e36cc066e1535b10869efcc15957/rendering/01.obj", "31.5198020935")</f>
        <v>31.5198020935</v>
      </c>
      <c r="E748" s="108" t="str">
        <f>HYPERLINK(AA2 &amp; "/bulb/sn_87e6e36cc066e1535b10869efcc15957/rendering/02.obj", "39.8394813538")</f>
        <v>39.8394813538</v>
      </c>
      <c r="F748" s="81" t="str">
        <f>HYPERLINK(AA2 &amp; "/bulb/sn_87e6e36cc066e1535b10869efcc15957/rendering/03.obj", "24.9547481537")</f>
        <v>24.9547481537</v>
      </c>
      <c r="G748" s="230" t="str">
        <f>HYPERLINK(AA2 &amp; "/bulb/sn_87e6e36cc066e1535b10869efcc15957/rendering/04.obj", "46.5152816772")</f>
        <v>46.5152816772</v>
      </c>
      <c r="H748" s="82" t="str">
        <f>HYPERLINK(AA2 &amp; "/bulb/sn_87e6e36cc066e1535b10869efcc15957/rendering/05.obj", "25.380191803")</f>
        <v>25.380191803</v>
      </c>
      <c r="I748" s="140" t="str">
        <f>HYPERLINK(AA2 &amp; "/bulb/sn_87e6e36cc066e1535b10869efcc15957/rendering/06.obj", "43.0035514832")</f>
        <v>43.0035514832</v>
      </c>
      <c r="J748" s="111" t="str">
        <f>HYPERLINK(AA2 &amp; "/bulb/sn_87e6e36cc066e1535b10869efcc15957/rendering/07.obj", "45.4469032288")</f>
        <v>45.4469032288</v>
      </c>
      <c r="K748" s="240" t="str">
        <f>HYPERLINK(AA2 &amp; "/bulb/sn_87e6e36cc066e1535b10869efcc15957/rendering/08.obj", "11.0388507843")</f>
        <v>11.0388507843</v>
      </c>
      <c r="L748" s="116" t="str">
        <f>HYPERLINK(AA2 &amp; "/bulb/sn_87e6e36cc066e1535b10869efcc15957/rendering/09.obj", "45.929058075")</f>
        <v>45.929058075</v>
      </c>
      <c r="M748" s="181" t="str">
        <f>HYPERLINK(AA2 &amp; "/bulb/sn_87e6e36cc066e1535b10869efcc15957/rendering/10.obj", "17.7225074768")</f>
        <v>17.7225074768</v>
      </c>
      <c r="N748" s="86" t="str">
        <f>HYPERLINK(AA2 &amp; "/bulb/sn_87e6e36cc066e1535b10869efcc15957/rendering/11.obj", "40.513458252")</f>
        <v>40.513458252</v>
      </c>
      <c r="O748" s="80" t="str">
        <f>HYPERLINK(AA2 &amp; "/bulb/sn_87e6e36cc066e1535b10869efcc15957/rendering/12.obj", "27.1737689972")</f>
        <v>27.1737689972</v>
      </c>
      <c r="P748" s="55" t="str">
        <f>HYPERLINK(AA2 &amp; "/bulb/sn_87e6e36cc066e1535b10869efcc15957/rendering/13.obj", "25.7808818817")</f>
        <v>25.7808818817</v>
      </c>
      <c r="Q748" s="24" t="str">
        <f>HYPERLINK(AA2 &amp; "/bulb/sn_87e6e36cc066e1535b10869efcc15957/rendering/14.obj", "37.3345870972")</f>
        <v>37.3345870972</v>
      </c>
      <c r="R748" s="94" t="str">
        <f>HYPERLINK(AA2 &amp; "/bulb/sn_87e6e36cc066e1535b10869efcc15957/rendering/15.obj", "29.6322727203")</f>
        <v>29.6322727203</v>
      </c>
      <c r="S748" s="115" t="str">
        <f>HYPERLINK(AA2 &amp; "/bulb/sn_87e6e36cc066e1535b10869efcc15957/rendering/16.obj", "11.5205564499")</f>
        <v>11.5205564499</v>
      </c>
      <c r="T748" s="231" t="str">
        <f>HYPERLINK(AA2 &amp; "/bulb/sn_87e6e36cc066e1535b10869efcc15957/rendering/17.obj", "13.5300645828")</f>
        <v>13.5300645828</v>
      </c>
      <c r="U748" s="97" t="str">
        <f>HYPERLINK(AA2 &amp; "/bulb/sn_87e6e36cc066e1535b10869efcc15957/rendering/18.obj", "45.8094863892")</f>
        <v>45.8094863892</v>
      </c>
      <c r="V748" s="89" t="str">
        <f>HYPERLINK(AA2 &amp; "/bulb/sn_87e6e36cc066e1535b10869efcc15957/rendering/19.obj", "40.2534332275")</f>
        <v>40.2534332275</v>
      </c>
      <c r="W748" s="12" t="s">
        <v>30</v>
      </c>
      <c r="X748" s="13">
        <v>31.948904323577882</v>
      </c>
      <c r="Y748" s="13">
        <v>11.63924222914158</v>
      </c>
      <c r="Z748" s="137">
        <v>0.36430802481548552</v>
      </c>
    </row>
    <row r="749" spans="1:26" x14ac:dyDescent="0.2">
      <c r="A749" s="1">
        <v>747</v>
      </c>
      <c r="B749" s="2" t="s">
        <v>182</v>
      </c>
      <c r="C749" s="30" t="str">
        <f>HYPERLINK(AB2 &amp; "/bulb/sn_87e6e36cc066e1535b10869efcc15957/rendering/00.obj", "3.37980224609")</f>
        <v>3.37980224609</v>
      </c>
      <c r="D749" s="30" t="str">
        <f>HYPERLINK(AB2 &amp; "/bulb/sn_87e6e36cc066e1535b10869efcc15957/rendering/01.obj", "3.35302185059")</f>
        <v>3.35302185059</v>
      </c>
      <c r="E749" s="74" t="str">
        <f>HYPERLINK(AB2 &amp; "/bulb/sn_87e6e36cc066e1535b10869efcc15957/rendering/02.obj", "3.41140869141")</f>
        <v>3.41140869141</v>
      </c>
      <c r="F749" s="23" t="str">
        <f>HYPERLINK(AB2 &amp; "/bulb/sn_87e6e36cc066e1535b10869efcc15957/rendering/03.obj", "3.4948059082")</f>
        <v>3.4948059082</v>
      </c>
      <c r="G749" s="35" t="str">
        <f>HYPERLINK(AB2 &amp; "/bulb/sn_87e6e36cc066e1535b10869efcc15957/rendering/04.obj", "3.56023742676")</f>
        <v>3.56023742676</v>
      </c>
      <c r="H749" s="34" t="str">
        <f>HYPERLINK(AB2 &amp; "/bulb/sn_87e6e36cc066e1535b10869efcc15957/rendering/05.obj", "3.53570068359")</f>
        <v>3.53570068359</v>
      </c>
      <c r="I749" s="48" t="str">
        <f>HYPERLINK(AB2 &amp; "/bulb/sn_87e6e36cc066e1535b10869efcc15957/rendering/06.obj", "3.44936096191")</f>
        <v>3.44936096191</v>
      </c>
      <c r="J749" s="48" t="str">
        <f>HYPERLINK(AB2 &amp; "/bulb/sn_87e6e36cc066e1535b10869efcc15957/rendering/07.obj", "3.4516619873")</f>
        <v>3.4516619873</v>
      </c>
      <c r="K749" s="65" t="str">
        <f>HYPERLINK(AB2 &amp; "/bulb/sn_87e6e36cc066e1535b10869efcc15957/rendering/08.obj", "2.92281982422")</f>
        <v>2.92281982422</v>
      </c>
      <c r="L749" s="23" t="str">
        <f>HYPERLINK(AB2 &amp; "/bulb/sn_87e6e36cc066e1535b10869efcc15957/rendering/09.obj", "3.49709960938")</f>
        <v>3.49709960938</v>
      </c>
      <c r="M749" s="78" t="str">
        <f>HYPERLINK(AB2 &amp; "/bulb/sn_87e6e36cc066e1535b10869efcc15957/rendering/10.obj", "3.15710998535")</f>
        <v>3.15710998535</v>
      </c>
      <c r="N749" s="30" t="str">
        <f>HYPERLINK(AB2 &amp; "/bulb/sn_87e6e36cc066e1535b10869efcc15957/rendering/11.obj", "3.35317382813")</f>
        <v>3.35317382813</v>
      </c>
      <c r="O749" s="78" t="str">
        <f>HYPERLINK(AB2 &amp; "/bulb/sn_87e6e36cc066e1535b10869efcc15957/rendering/12.obj", "3.57782348633")</f>
        <v>3.57782348633</v>
      </c>
      <c r="P749" s="23" t="str">
        <f>HYPERLINK(AB2 &amp; "/bulb/sn_87e6e36cc066e1535b10869efcc15957/rendering/13.obj", "3.50334960938")</f>
        <v>3.50334960938</v>
      </c>
      <c r="Q749" s="30" t="str">
        <f>HYPERLINK(AB2 &amp; "/bulb/sn_87e6e36cc066e1535b10869efcc15957/rendering/14.obj", "3.3526159668")</f>
        <v>3.3526159668</v>
      </c>
      <c r="R749" s="73" t="str">
        <f>HYPERLINK(AB2 &amp; "/bulb/sn_87e6e36cc066e1535b10869efcc15957/rendering/15.obj", "3.48565429687")</f>
        <v>3.48565429687</v>
      </c>
      <c r="S749" s="110" t="str">
        <f>HYPERLINK(AB2 &amp; "/bulb/sn_87e6e36cc066e1535b10869efcc15957/rendering/16.obj", "3.03241271973")</f>
        <v>3.03241271973</v>
      </c>
      <c r="T749" s="38" t="str">
        <f>HYPERLINK(AB2 &amp; "/bulb/sn_87e6e36cc066e1535b10869efcc15957/rendering/17.obj", "3.07027435303")</f>
        <v>3.07027435303</v>
      </c>
      <c r="U749" s="30" t="str">
        <f>HYPERLINK(AB2 &amp; "/bulb/sn_87e6e36cc066e1535b10869efcc15957/rendering/18.obj", "3.34712097168")</f>
        <v>3.34712097168</v>
      </c>
      <c r="V749" s="74" t="str">
        <f>HYPERLINK(AB2 &amp; "/bulb/sn_87e6e36cc066e1535b10869efcc15957/rendering/19.obj", "3.41872772217")</f>
        <v>3.41872772217</v>
      </c>
      <c r="W749" s="12" t="s">
        <v>31</v>
      </c>
      <c r="X749" s="13">
        <v>3.3677091064453131</v>
      </c>
      <c r="Y749" s="13">
        <v>0.17850258055479501</v>
      </c>
      <c r="Z749" s="60">
        <v>5.3004156508994968E-2</v>
      </c>
    </row>
    <row r="750" spans="1:26" x14ac:dyDescent="0.2">
      <c r="A750" s="1">
        <v>748</v>
      </c>
      <c r="B750" s="2" t="s">
        <v>182</v>
      </c>
      <c r="C750" s="17" t="str">
        <f>HYPERLINK(AB2 &amp; "/bulb/sn_87e6e36cc066e1535b10869efcc15957/rendering/00.obj", "6.72501993179")</f>
        <v>6.72501993179</v>
      </c>
      <c r="D750" s="17" t="str">
        <f>HYPERLINK(AB2 &amp; "/bulb/sn_87e6e36cc066e1535b10869efcc15957/rendering/01.obj", "6.47182178497")</f>
        <v>6.47182178497</v>
      </c>
      <c r="E750" s="34" t="str">
        <f>HYPERLINK(AB2 &amp; "/bulb/sn_87e6e36cc066e1535b10869efcc15957/rendering/02.obj", "6.91057252884")</f>
        <v>6.91057252884</v>
      </c>
      <c r="F750" s="133" t="str">
        <f>HYPERLINK(AB2 &amp; "/bulb/sn_87e6e36cc066e1535b10869efcc15957/rendering/03.obj", "5.92102241516")</f>
        <v>5.92102241516</v>
      </c>
      <c r="G750" s="27" t="str">
        <f>HYPERLINK(AB2 &amp; "/bulb/sn_87e6e36cc066e1535b10869efcc15957/rendering/04.obj", "7.05767297745")</f>
        <v>7.05767297745</v>
      </c>
      <c r="H750" s="107" t="str">
        <f>HYPERLINK(AB2 &amp; "/bulb/sn_87e6e36cc066e1535b10869efcc15957/rendering/05.obj", "6.03886032104")</f>
        <v>6.03886032104</v>
      </c>
      <c r="I750" s="28" t="str">
        <f>HYPERLINK(AB2 &amp; "/bulb/sn_87e6e36cc066e1535b10869efcc15957/rendering/06.obj", "7.33004808426")</f>
        <v>7.33004808426</v>
      </c>
      <c r="J750" s="90" t="str">
        <f>HYPERLINK(AB2 &amp; "/bulb/sn_87e6e36cc066e1535b10869efcc15957/rendering/07.obj", "7.23833942413")</f>
        <v>7.23833942413</v>
      </c>
      <c r="K750" s="5" t="str">
        <f>HYPERLINK(AB2 &amp; "/bulb/sn_87e6e36cc066e1535b10869efcc15957/rendering/08.obj", "6.08527374268")</f>
        <v>6.08527374268</v>
      </c>
      <c r="L750" s="32" t="str">
        <f>HYPERLINK(AB2 &amp; "/bulb/sn_87e6e36cc066e1535b10869efcc15957/rendering/09.obj", "7.2928686142")</f>
        <v>7.2928686142</v>
      </c>
      <c r="M750" s="65" t="str">
        <f>HYPERLINK(AB2 &amp; "/bulb/sn_87e6e36cc066e1535b10869efcc15957/rendering/10.obj", "5.70753765106")</f>
        <v>5.70753765106</v>
      </c>
      <c r="N750" s="25" t="str">
        <f>HYPERLINK(AB2 &amp; "/bulb/sn_87e6e36cc066e1535b10869efcc15957/rendering/11.obj", "6.66405010223")</f>
        <v>6.66405010223</v>
      </c>
      <c r="O750" s="72" t="str">
        <f>HYPERLINK(AB2 &amp; "/bulb/sn_87e6e36cc066e1535b10869efcc15957/rendering/12.obj", "6.38088512421")</f>
        <v>6.38088512421</v>
      </c>
      <c r="P750" s="35" t="str">
        <f>HYPERLINK(AB2 &amp; "/bulb/sn_87e6e36cc066e1535b10869efcc15957/rendering/13.obj", "6.21565008163")</f>
        <v>6.21565008163</v>
      </c>
      <c r="Q750" s="30" t="str">
        <f>HYPERLINK(AB2 &amp; "/bulb/sn_87e6e36cc066e1535b10869efcc15957/rendering/14.obj", "6.62353658676")</f>
        <v>6.62353658676</v>
      </c>
      <c r="R750" s="46" t="str">
        <f>HYPERLINK(AB2 &amp; "/bulb/sn_87e6e36cc066e1535b10869efcc15957/rendering/15.obj", "6.71806287766")</f>
        <v>6.71806287766</v>
      </c>
      <c r="S750" s="92" t="str">
        <f>HYPERLINK(AB2 &amp; "/bulb/sn_87e6e36cc066e1535b10869efcc15957/rendering/16.obj", "5.78332138062")</f>
        <v>5.78332138062</v>
      </c>
      <c r="T750" s="60" t="str">
        <f>HYPERLINK(AB2 &amp; "/bulb/sn_87e6e36cc066e1535b10869efcc15957/rendering/17.obj", "6.26495790482")</f>
        <v>6.26495790482</v>
      </c>
      <c r="U750" s="39" t="str">
        <f>HYPERLINK(AB2 &amp; "/bulb/sn_87e6e36cc066e1535b10869efcc15957/rendering/18.obj", "7.1727309227")</f>
        <v>7.1727309227</v>
      </c>
      <c r="V750" s="28" t="str">
        <f>HYPERLINK(AB2 &amp; "/bulb/sn_87e6e36cc066e1535b10869efcc15957/rendering/19.obj", "7.34122753143")</f>
        <v>7.34122753143</v>
      </c>
      <c r="W750" s="12" t="s">
        <v>32</v>
      </c>
      <c r="X750" s="13">
        <v>6.5971729993820194</v>
      </c>
      <c r="Y750" s="13">
        <v>0.52281172568156853</v>
      </c>
      <c r="Z750" s="51">
        <v>7.9247842330425797E-2</v>
      </c>
    </row>
    <row r="751" spans="1:26" x14ac:dyDescent="0.2">
      <c r="A751" s="1">
        <v>749</v>
      </c>
      <c r="B751" s="2" t="s">
        <v>182</v>
      </c>
      <c r="C751" s="13" t="str">
        <f>HYPERLINK(AC2 &amp; "/bulb/sn_87e6e36cc066e1535b10869efcc15957/rendering/00.xyz", "0.0")</f>
        <v>0.0</v>
      </c>
      <c r="D751" s="13" t="str">
        <f>HYPERLINK(AC2 &amp; "/bulb/sn_87e6e36cc066e1535b10869efcc15957/rendering/01.xyz", "0.0")</f>
        <v>0.0</v>
      </c>
      <c r="E751" s="13" t="str">
        <f>HYPERLINK(AC2 &amp; "/bulb/sn_87e6e36cc066e1535b10869efcc15957/rendering/02.xyz", "0.0")</f>
        <v>0.0</v>
      </c>
      <c r="F751" s="13" t="str">
        <f>HYPERLINK(AC2 &amp; "/bulb/sn_87e6e36cc066e1535b10869efcc15957/rendering/03.xyz", "0.0")</f>
        <v>0.0</v>
      </c>
      <c r="G751" s="13" t="str">
        <f>HYPERLINK(AC2 &amp; "/bulb/sn_87e6e36cc066e1535b10869efcc15957/rendering/04.xyz", "0.0")</f>
        <v>0.0</v>
      </c>
      <c r="H751" s="13" t="str">
        <f>HYPERLINK(AC2 &amp; "/bulb/sn_87e6e36cc066e1535b10869efcc15957/rendering/05.xyz", "0.0")</f>
        <v>0.0</v>
      </c>
      <c r="I751" s="13" t="str">
        <f>HYPERLINK(AC2 &amp; "/bulb/sn_87e6e36cc066e1535b10869efcc15957/rendering/06.xyz", "0.0")</f>
        <v>0.0</v>
      </c>
      <c r="J751" s="13" t="str">
        <f>HYPERLINK(AC2 &amp; "/bulb/sn_87e6e36cc066e1535b10869efcc15957/rendering/07.xyz", "0.0")</f>
        <v>0.0</v>
      </c>
      <c r="K751" s="13" t="str">
        <f>HYPERLINK(AC2 &amp; "/bulb/sn_87e6e36cc066e1535b10869efcc15957/rendering/08.xyz", "0.0")</f>
        <v>0.0</v>
      </c>
      <c r="L751" s="13" t="str">
        <f>HYPERLINK(AC2 &amp; "/bulb/sn_87e6e36cc066e1535b10869efcc15957/rendering/09.xyz", "0.0")</f>
        <v>0.0</v>
      </c>
      <c r="M751" s="13" t="str">
        <f>HYPERLINK(AC2 &amp; "/bulb/sn_87e6e36cc066e1535b10869efcc15957/rendering/10.xyz", "0.0")</f>
        <v>0.0</v>
      </c>
      <c r="N751" s="13" t="str">
        <f>HYPERLINK(AC2 &amp; "/bulb/sn_87e6e36cc066e1535b10869efcc15957/rendering/11.xyz", "0.0")</f>
        <v>0.0</v>
      </c>
      <c r="O751" s="13" t="str">
        <f>HYPERLINK(AC2 &amp; "/bulb/sn_87e6e36cc066e1535b10869efcc15957/rendering/12.xyz", "0.0")</f>
        <v>0.0</v>
      </c>
      <c r="P751" s="13" t="str">
        <f>HYPERLINK(AC2 &amp; "/bulb/sn_87e6e36cc066e1535b10869efcc15957/rendering/13.xyz", "0.0")</f>
        <v>0.0</v>
      </c>
      <c r="Q751" s="13" t="str">
        <f>HYPERLINK(AC2 &amp; "/bulb/sn_87e6e36cc066e1535b10869efcc15957/rendering/14.xyz", "0.0")</f>
        <v>0.0</v>
      </c>
      <c r="R751" s="13" t="str">
        <f>HYPERLINK(AC2 &amp; "/bulb/sn_87e6e36cc066e1535b10869efcc15957/rendering/15.xyz", "0.0")</f>
        <v>0.0</v>
      </c>
      <c r="S751" s="13" t="str">
        <f>HYPERLINK(AC2 &amp; "/bulb/sn_87e6e36cc066e1535b10869efcc15957/rendering/16.xyz", "0.0")</f>
        <v>0.0</v>
      </c>
      <c r="T751" s="13" t="str">
        <f>HYPERLINK(AC2 &amp; "/bulb/sn_87e6e36cc066e1535b10869efcc15957/rendering/17.xyz", "0.0")</f>
        <v>0.0</v>
      </c>
      <c r="U751" s="13" t="str">
        <f>HYPERLINK(AC2 &amp; "/bulb/sn_87e6e36cc066e1535b10869efcc15957/rendering/18.xyz", "0.0")</f>
        <v>0.0</v>
      </c>
      <c r="V751" s="13" t="str">
        <f>HYPERLINK(AC2 &amp; "/bulb/sn_87e6e36cc066e1535b10869efcc15957/rendering/19.xyz", "0.0")</f>
        <v>0.0</v>
      </c>
      <c r="W751" s="12" t="s">
        <v>33</v>
      </c>
      <c r="X751" s="13">
        <v>0</v>
      </c>
      <c r="Y751" s="13">
        <v>0</v>
      </c>
      <c r="Z751" s="13">
        <v>0</v>
      </c>
    </row>
    <row r="752" spans="1:26" x14ac:dyDescent="0.2">
      <c r="A752" s="1">
        <v>750</v>
      </c>
      <c r="B752" s="2" t="s">
        <v>183</v>
      </c>
      <c r="C752" s="3" t="str">
        <f>HYPERLINK(AA2 &amp; "/calculator/sn_410eb6a2d59b39135363df90cf6685fe/rendering/00.obj", "nan")</f>
        <v>nan</v>
      </c>
      <c r="D752" s="3" t="str">
        <f>HYPERLINK(AA2 &amp; "/calculator/sn_410eb6a2d59b39135363df90cf6685fe/rendering/01.obj", "nan")</f>
        <v>nan</v>
      </c>
      <c r="E752" s="3" t="str">
        <f>HYPERLINK(AA2 &amp; "/calculator/sn_410eb6a2d59b39135363df90cf6685fe/rendering/02.obj", "nan")</f>
        <v>nan</v>
      </c>
      <c r="F752" s="3" t="str">
        <f>HYPERLINK(AA2 &amp; "/calculator/sn_410eb6a2d59b39135363df90cf6685fe/rendering/03.obj", "nan")</f>
        <v>nan</v>
      </c>
      <c r="G752" s="3" t="str">
        <f>HYPERLINK(AA2 &amp; "/calculator/sn_410eb6a2d59b39135363df90cf6685fe/rendering/04.obj", "nan")</f>
        <v>nan</v>
      </c>
      <c r="H752" s="3" t="str">
        <f>HYPERLINK(AA2 &amp; "/calculator/sn_410eb6a2d59b39135363df90cf6685fe/rendering/05.obj", "nan")</f>
        <v>nan</v>
      </c>
      <c r="I752" s="3" t="str">
        <f>HYPERLINK(AA2 &amp; "/calculator/sn_410eb6a2d59b39135363df90cf6685fe/rendering/06.obj", "nan")</f>
        <v>nan</v>
      </c>
      <c r="J752" s="3" t="str">
        <f>HYPERLINK(AA2 &amp; "/calculator/sn_410eb6a2d59b39135363df90cf6685fe/rendering/07.obj", "nan")</f>
        <v>nan</v>
      </c>
      <c r="K752" s="3" t="str">
        <f>HYPERLINK(AA2 &amp; "/calculator/sn_410eb6a2d59b39135363df90cf6685fe/rendering/08.obj", "nan")</f>
        <v>nan</v>
      </c>
      <c r="L752" s="3" t="str">
        <f>HYPERLINK(AA2 &amp; "/calculator/sn_410eb6a2d59b39135363df90cf6685fe/rendering/09.obj", "nan")</f>
        <v>nan</v>
      </c>
      <c r="M752" s="3" t="str">
        <f>HYPERLINK(AA2 &amp; "/calculator/sn_410eb6a2d59b39135363df90cf6685fe/rendering/10.obj", "nan")</f>
        <v>nan</v>
      </c>
      <c r="N752" s="3" t="str">
        <f>HYPERLINK(AA2 &amp; "/calculator/sn_410eb6a2d59b39135363df90cf6685fe/rendering/11.obj", "nan")</f>
        <v>nan</v>
      </c>
      <c r="O752" s="3" t="str">
        <f>HYPERLINK(AA2 &amp; "/calculator/sn_410eb6a2d59b39135363df90cf6685fe/rendering/12.obj", "nan")</f>
        <v>nan</v>
      </c>
      <c r="P752" s="3" t="str">
        <f>HYPERLINK(AA2 &amp; "/calculator/sn_410eb6a2d59b39135363df90cf6685fe/rendering/13.obj", "nan")</f>
        <v>nan</v>
      </c>
      <c r="Q752" s="3" t="str">
        <f>HYPERLINK(AA2 &amp; "/calculator/sn_410eb6a2d59b39135363df90cf6685fe/rendering/14.obj", "nan")</f>
        <v>nan</v>
      </c>
      <c r="R752" s="3" t="str">
        <f>HYPERLINK(AA2 &amp; "/calculator/sn_410eb6a2d59b39135363df90cf6685fe/rendering/15.obj", "nan")</f>
        <v>nan</v>
      </c>
      <c r="S752" s="36" t="str">
        <f>HYPERLINK(AA2 &amp; "/calculator/sn_410eb6a2d59b39135363df90cf6685fe/rendering/16.obj", "1.94586730957")</f>
        <v>1.94586730957</v>
      </c>
      <c r="T752" s="129" t="str">
        <f>HYPERLINK(AA2 &amp; "/calculator/sn_410eb6a2d59b39135363df90cf6685fe/rendering/17.obj", "3.09813934326")</f>
        <v>3.09813934326</v>
      </c>
      <c r="U752" s="38" t="str">
        <f>HYPERLINK(AA2 &amp; "/calculator/sn_410eb6a2d59b39135363df90cf6685fe/rendering/18.obj", "2.69588745117")</f>
        <v>2.69588745117</v>
      </c>
      <c r="V752" s="92" t="str">
        <f>HYPERLINK(AA2 &amp; "/calculator/sn_410eb6a2d59b39135363df90cf6685fe/rendering/19.obj", "2.17286026001")</f>
        <v>2.17286026001</v>
      </c>
      <c r="W752" s="12" t="s">
        <v>29</v>
      </c>
      <c r="X752" s="13">
        <v>2.478188591003418</v>
      </c>
      <c r="Y752" s="13">
        <v>0.44953394346762943</v>
      </c>
      <c r="Z752" s="134">
        <v>0.18139617989509549</v>
      </c>
    </row>
    <row r="753" spans="1:26" x14ac:dyDescent="0.2">
      <c r="A753" s="1">
        <v>751</v>
      </c>
      <c r="B753" s="2" t="s">
        <v>183</v>
      </c>
      <c r="C753" s="3" t="str">
        <f>HYPERLINK(AA2 &amp; "/calculator/sn_410eb6a2d59b39135363df90cf6685fe/rendering/00.obj", "nan")</f>
        <v>nan</v>
      </c>
      <c r="D753" s="3" t="str">
        <f>HYPERLINK(AA2 &amp; "/calculator/sn_410eb6a2d59b39135363df90cf6685fe/rendering/01.obj", "nan")</f>
        <v>nan</v>
      </c>
      <c r="E753" s="3" t="str">
        <f>HYPERLINK(AA2 &amp; "/calculator/sn_410eb6a2d59b39135363df90cf6685fe/rendering/02.obj", "nan")</f>
        <v>nan</v>
      </c>
      <c r="F753" s="3" t="str">
        <f>HYPERLINK(AA2 &amp; "/calculator/sn_410eb6a2d59b39135363df90cf6685fe/rendering/03.obj", "nan")</f>
        <v>nan</v>
      </c>
      <c r="G753" s="3" t="str">
        <f>HYPERLINK(AA2 &amp; "/calculator/sn_410eb6a2d59b39135363df90cf6685fe/rendering/04.obj", "nan")</f>
        <v>nan</v>
      </c>
      <c r="H753" s="3" t="str">
        <f>HYPERLINK(AA2 &amp; "/calculator/sn_410eb6a2d59b39135363df90cf6685fe/rendering/05.obj", "nan")</f>
        <v>nan</v>
      </c>
      <c r="I753" s="3" t="str">
        <f>HYPERLINK(AA2 &amp; "/calculator/sn_410eb6a2d59b39135363df90cf6685fe/rendering/06.obj", "nan")</f>
        <v>nan</v>
      </c>
      <c r="J753" s="3" t="str">
        <f>HYPERLINK(AA2 &amp; "/calculator/sn_410eb6a2d59b39135363df90cf6685fe/rendering/07.obj", "nan")</f>
        <v>nan</v>
      </c>
      <c r="K753" s="3" t="str">
        <f>HYPERLINK(AA2 &amp; "/calculator/sn_410eb6a2d59b39135363df90cf6685fe/rendering/08.obj", "nan")</f>
        <v>nan</v>
      </c>
      <c r="L753" s="3" t="str">
        <f>HYPERLINK(AA2 &amp; "/calculator/sn_410eb6a2d59b39135363df90cf6685fe/rendering/09.obj", "nan")</f>
        <v>nan</v>
      </c>
      <c r="M753" s="3" t="str">
        <f>HYPERLINK(AA2 &amp; "/calculator/sn_410eb6a2d59b39135363df90cf6685fe/rendering/10.obj", "nan")</f>
        <v>nan</v>
      </c>
      <c r="N753" s="3" t="str">
        <f>HYPERLINK(AA2 &amp; "/calculator/sn_410eb6a2d59b39135363df90cf6685fe/rendering/11.obj", "nan")</f>
        <v>nan</v>
      </c>
      <c r="O753" s="3" t="str">
        <f>HYPERLINK(AA2 &amp; "/calculator/sn_410eb6a2d59b39135363df90cf6685fe/rendering/12.obj", "nan")</f>
        <v>nan</v>
      </c>
      <c r="P753" s="3" t="str">
        <f>HYPERLINK(AA2 &amp; "/calculator/sn_410eb6a2d59b39135363df90cf6685fe/rendering/13.obj", "nan")</f>
        <v>nan</v>
      </c>
      <c r="Q753" s="3" t="str">
        <f>HYPERLINK(AA2 &amp; "/calculator/sn_410eb6a2d59b39135363df90cf6685fe/rendering/14.obj", "nan")</f>
        <v>nan</v>
      </c>
      <c r="R753" s="3" t="str">
        <f>HYPERLINK(AA2 &amp; "/calculator/sn_410eb6a2d59b39135363df90cf6685fe/rendering/15.obj", "nan")</f>
        <v>nan</v>
      </c>
      <c r="S753" s="42" t="str">
        <f>HYPERLINK(AA2 &amp; "/calculator/sn_410eb6a2d59b39135363df90cf6685fe/rendering/16.obj", "3.06697559357")</f>
        <v>3.06697559357</v>
      </c>
      <c r="T753" s="153" t="str">
        <f>HYPERLINK(AA2 &amp; "/calculator/sn_410eb6a2d59b39135363df90cf6685fe/rendering/17.obj", "4.80743932724")</f>
        <v>4.80743932724</v>
      </c>
      <c r="U753" s="72" t="str">
        <f>HYPERLINK(AA2 &amp; "/calculator/sn_410eb6a2d59b39135363df90cf6685fe/rendering/18.obj", "3.43573856354")</f>
        <v>3.43573856354</v>
      </c>
      <c r="V753" s="77" t="str">
        <f>HYPERLINK(AA2 &amp; "/calculator/sn_410eb6a2d59b39135363df90cf6685fe/rendering/19.obj", "2.88231110573")</f>
        <v>2.88231110573</v>
      </c>
      <c r="W753" s="12" t="s">
        <v>30</v>
      </c>
      <c r="X753" s="13">
        <v>3.548116147518158</v>
      </c>
      <c r="Y753" s="13">
        <v>0.75387601412558847</v>
      </c>
      <c r="Z753" s="120">
        <v>0.21247219165948411</v>
      </c>
    </row>
    <row r="754" spans="1:26" x14ac:dyDescent="0.2">
      <c r="A754" s="1">
        <v>752</v>
      </c>
      <c r="B754" s="2" t="s">
        <v>183</v>
      </c>
      <c r="C754" s="3" t="str">
        <f>HYPERLINK(AB2 &amp; "/calculator/sn_410eb6a2d59b39135363df90cf6685fe/rendering/00.obj", "nan")</f>
        <v>nan</v>
      </c>
      <c r="D754" s="3" t="str">
        <f>HYPERLINK(AB2 &amp; "/calculator/sn_410eb6a2d59b39135363df90cf6685fe/rendering/01.obj", "nan")</f>
        <v>nan</v>
      </c>
      <c r="E754" s="3" t="str">
        <f>HYPERLINK(AB2 &amp; "/calculator/sn_410eb6a2d59b39135363df90cf6685fe/rendering/02.obj", "nan")</f>
        <v>nan</v>
      </c>
      <c r="F754" s="3" t="str">
        <f>HYPERLINK(AB2 &amp; "/calculator/sn_410eb6a2d59b39135363df90cf6685fe/rendering/03.obj", "nan")</f>
        <v>nan</v>
      </c>
      <c r="G754" s="3" t="str">
        <f>HYPERLINK(AB2 &amp; "/calculator/sn_410eb6a2d59b39135363df90cf6685fe/rendering/04.obj", "nan")</f>
        <v>nan</v>
      </c>
      <c r="H754" s="3" t="str">
        <f>HYPERLINK(AB2 &amp; "/calculator/sn_410eb6a2d59b39135363df90cf6685fe/rendering/05.obj", "nan")</f>
        <v>nan</v>
      </c>
      <c r="I754" s="3" t="str">
        <f>HYPERLINK(AB2 &amp; "/calculator/sn_410eb6a2d59b39135363df90cf6685fe/rendering/06.obj", "nan")</f>
        <v>nan</v>
      </c>
      <c r="J754" s="3" t="str">
        <f>HYPERLINK(AB2 &amp; "/calculator/sn_410eb6a2d59b39135363df90cf6685fe/rendering/07.obj", "nan")</f>
        <v>nan</v>
      </c>
      <c r="K754" s="3" t="str">
        <f>HYPERLINK(AB2 &amp; "/calculator/sn_410eb6a2d59b39135363df90cf6685fe/rendering/08.obj", "nan")</f>
        <v>nan</v>
      </c>
      <c r="L754" s="3" t="str">
        <f>HYPERLINK(AB2 &amp; "/calculator/sn_410eb6a2d59b39135363df90cf6685fe/rendering/09.obj", "nan")</f>
        <v>nan</v>
      </c>
      <c r="M754" s="3" t="str">
        <f>HYPERLINK(AB2 &amp; "/calculator/sn_410eb6a2d59b39135363df90cf6685fe/rendering/10.obj", "nan")</f>
        <v>nan</v>
      </c>
      <c r="N754" s="3" t="str">
        <f>HYPERLINK(AB2 &amp; "/calculator/sn_410eb6a2d59b39135363df90cf6685fe/rendering/11.obj", "nan")</f>
        <v>nan</v>
      </c>
      <c r="O754" s="3" t="str">
        <f>HYPERLINK(AB2 &amp; "/calculator/sn_410eb6a2d59b39135363df90cf6685fe/rendering/12.obj", "nan")</f>
        <v>nan</v>
      </c>
      <c r="P754" s="3" t="str">
        <f>HYPERLINK(AB2 &amp; "/calculator/sn_410eb6a2d59b39135363df90cf6685fe/rendering/13.obj", "nan")</f>
        <v>nan</v>
      </c>
      <c r="Q754" s="3" t="str">
        <f>HYPERLINK(AB2 &amp; "/calculator/sn_410eb6a2d59b39135363df90cf6685fe/rendering/14.obj", "nan")</f>
        <v>nan</v>
      </c>
      <c r="R754" s="3" t="str">
        <f>HYPERLINK(AB2 &amp; "/calculator/sn_410eb6a2d59b39135363df90cf6685fe/rendering/15.obj", "nan")</f>
        <v>nan</v>
      </c>
      <c r="S754" s="47" t="str">
        <f>HYPERLINK(AB2 &amp; "/calculator/sn_410eb6a2d59b39135363df90cf6685fe/rendering/16.obj", "3.1816998291")</f>
        <v>3.1816998291</v>
      </c>
      <c r="T754" s="38" t="str">
        <f>HYPERLINK(AB2 &amp; "/calculator/sn_410eb6a2d59b39135363df90cf6685fe/rendering/17.obj", "3.50132202148")</f>
        <v>3.50132202148</v>
      </c>
      <c r="U754" s="8" t="str">
        <f>HYPERLINK(AB2 &amp; "/calculator/sn_410eb6a2d59b39135363df90cf6685fe/rendering/18.obj", "2.74775695801")</f>
        <v>2.74775695801</v>
      </c>
      <c r="V754" s="78" t="str">
        <f>HYPERLINK(AB2 &amp; "/calculator/sn_410eb6a2d59b39135363df90cf6685fe/rendering/19.obj", "3.41044555664")</f>
        <v>3.41044555664</v>
      </c>
      <c r="W754" s="12" t="s">
        <v>31</v>
      </c>
      <c r="X754" s="13">
        <v>3.2103060913085941</v>
      </c>
      <c r="Y754" s="13">
        <v>0.29134004880647107</v>
      </c>
      <c r="Z754" s="38">
        <v>9.0751486157419431E-2</v>
      </c>
    </row>
    <row r="755" spans="1:26" x14ac:dyDescent="0.2">
      <c r="A755" s="1">
        <v>753</v>
      </c>
      <c r="B755" s="2" t="s">
        <v>183</v>
      </c>
      <c r="C755" s="3" t="str">
        <f>HYPERLINK(AB2 &amp; "/calculator/sn_410eb6a2d59b39135363df90cf6685fe/rendering/00.obj", "nan")</f>
        <v>nan</v>
      </c>
      <c r="D755" s="3" t="str">
        <f>HYPERLINK(AB2 &amp; "/calculator/sn_410eb6a2d59b39135363df90cf6685fe/rendering/01.obj", "nan")</f>
        <v>nan</v>
      </c>
      <c r="E755" s="3" t="str">
        <f>HYPERLINK(AB2 &amp; "/calculator/sn_410eb6a2d59b39135363df90cf6685fe/rendering/02.obj", "nan")</f>
        <v>nan</v>
      </c>
      <c r="F755" s="3" t="str">
        <f>HYPERLINK(AB2 &amp; "/calculator/sn_410eb6a2d59b39135363df90cf6685fe/rendering/03.obj", "nan")</f>
        <v>nan</v>
      </c>
      <c r="G755" s="3" t="str">
        <f>HYPERLINK(AB2 &amp; "/calculator/sn_410eb6a2d59b39135363df90cf6685fe/rendering/04.obj", "nan")</f>
        <v>nan</v>
      </c>
      <c r="H755" s="3" t="str">
        <f>HYPERLINK(AB2 &amp; "/calculator/sn_410eb6a2d59b39135363df90cf6685fe/rendering/05.obj", "nan")</f>
        <v>nan</v>
      </c>
      <c r="I755" s="3" t="str">
        <f>HYPERLINK(AB2 &amp; "/calculator/sn_410eb6a2d59b39135363df90cf6685fe/rendering/06.obj", "nan")</f>
        <v>nan</v>
      </c>
      <c r="J755" s="3" t="str">
        <f>HYPERLINK(AB2 &amp; "/calculator/sn_410eb6a2d59b39135363df90cf6685fe/rendering/07.obj", "nan")</f>
        <v>nan</v>
      </c>
      <c r="K755" s="3" t="str">
        <f>HYPERLINK(AB2 &amp; "/calculator/sn_410eb6a2d59b39135363df90cf6685fe/rendering/08.obj", "nan")</f>
        <v>nan</v>
      </c>
      <c r="L755" s="3" t="str">
        <f>HYPERLINK(AB2 &amp; "/calculator/sn_410eb6a2d59b39135363df90cf6685fe/rendering/09.obj", "nan")</f>
        <v>nan</v>
      </c>
      <c r="M755" s="3" t="str">
        <f>HYPERLINK(AB2 &amp; "/calculator/sn_410eb6a2d59b39135363df90cf6685fe/rendering/10.obj", "nan")</f>
        <v>nan</v>
      </c>
      <c r="N755" s="3" t="str">
        <f>HYPERLINK(AB2 &amp; "/calculator/sn_410eb6a2d59b39135363df90cf6685fe/rendering/11.obj", "nan")</f>
        <v>nan</v>
      </c>
      <c r="O755" s="3" t="str">
        <f>HYPERLINK(AB2 &amp; "/calculator/sn_410eb6a2d59b39135363df90cf6685fe/rendering/12.obj", "nan")</f>
        <v>nan</v>
      </c>
      <c r="P755" s="3" t="str">
        <f>HYPERLINK(AB2 &amp; "/calculator/sn_410eb6a2d59b39135363df90cf6685fe/rendering/13.obj", "nan")</f>
        <v>nan</v>
      </c>
      <c r="Q755" s="3" t="str">
        <f>HYPERLINK(AB2 &amp; "/calculator/sn_410eb6a2d59b39135363df90cf6685fe/rendering/14.obj", "nan")</f>
        <v>nan</v>
      </c>
      <c r="R755" s="3" t="str">
        <f>HYPERLINK(AB2 &amp; "/calculator/sn_410eb6a2d59b39135363df90cf6685fe/rendering/15.obj", "nan")</f>
        <v>nan</v>
      </c>
      <c r="S755" s="17" t="str">
        <f>HYPERLINK(AB2 &amp; "/calculator/sn_410eb6a2d59b39135363df90cf6685fe/rendering/16.obj", "3.46080160141")</f>
        <v>3.46080160141</v>
      </c>
      <c r="T755" s="93" t="str">
        <f>HYPERLINK(AB2 &amp; "/calculator/sn_410eb6a2d59b39135363df90cf6685fe/rendering/17.obj", "2.92529654503")</f>
        <v>2.92529654503</v>
      </c>
      <c r="U755" s="6" t="str">
        <f>HYPERLINK(AB2 &amp; "/calculator/sn_410eb6a2d59b39135363df90cf6685fe/rendering/18.obj", "3.55398392677")</f>
        <v>3.55398392677</v>
      </c>
      <c r="V755" s="27" t="str">
        <f>HYPERLINK(AB2 &amp; "/calculator/sn_410eb6a2d59b39135363df90cf6685fe/rendering/19.obj", "3.63884782791")</f>
        <v>3.63884782791</v>
      </c>
      <c r="W755" s="12" t="s">
        <v>32</v>
      </c>
      <c r="X755" s="13">
        <v>3.3947324752807622</v>
      </c>
      <c r="Y755" s="13">
        <v>0.27824833882319849</v>
      </c>
      <c r="Z755" s="107">
        <v>8.1964732375615523E-2</v>
      </c>
    </row>
    <row r="756" spans="1:26" x14ac:dyDescent="0.2">
      <c r="A756" s="1">
        <v>754</v>
      </c>
      <c r="B756" s="2" t="s">
        <v>183</v>
      </c>
      <c r="C756" s="13" t="str">
        <f>HYPERLINK(AC2 &amp; "/calculator/sn_410eb6a2d59b39135363df90cf6685fe/rendering/00.xyz", "0.0")</f>
        <v>0.0</v>
      </c>
      <c r="D756" s="13" t="str">
        <f>HYPERLINK(AC2 &amp; "/calculator/sn_410eb6a2d59b39135363df90cf6685fe/rendering/01.xyz", "0.0")</f>
        <v>0.0</v>
      </c>
      <c r="E756" s="13" t="str">
        <f>HYPERLINK(AC2 &amp; "/calculator/sn_410eb6a2d59b39135363df90cf6685fe/rendering/02.xyz", "0.0")</f>
        <v>0.0</v>
      </c>
      <c r="F756" s="13" t="str">
        <f>HYPERLINK(AC2 &amp; "/calculator/sn_410eb6a2d59b39135363df90cf6685fe/rendering/03.xyz", "0.0")</f>
        <v>0.0</v>
      </c>
      <c r="G756" s="13" t="str">
        <f>HYPERLINK(AC2 &amp; "/calculator/sn_410eb6a2d59b39135363df90cf6685fe/rendering/04.xyz", "0.0")</f>
        <v>0.0</v>
      </c>
      <c r="H756" s="13" t="str">
        <f>HYPERLINK(AC2 &amp; "/calculator/sn_410eb6a2d59b39135363df90cf6685fe/rendering/05.xyz", "0.0")</f>
        <v>0.0</v>
      </c>
      <c r="I756" s="13" t="str">
        <f>HYPERLINK(AC2 &amp; "/calculator/sn_410eb6a2d59b39135363df90cf6685fe/rendering/06.xyz", "0.0")</f>
        <v>0.0</v>
      </c>
      <c r="J756" s="13" t="str">
        <f>HYPERLINK(AC2 &amp; "/calculator/sn_410eb6a2d59b39135363df90cf6685fe/rendering/07.xyz", "0.0")</f>
        <v>0.0</v>
      </c>
      <c r="K756" s="13" t="str">
        <f>HYPERLINK(AC2 &amp; "/calculator/sn_410eb6a2d59b39135363df90cf6685fe/rendering/08.xyz", "0.0")</f>
        <v>0.0</v>
      </c>
      <c r="L756" s="13" t="str">
        <f>HYPERLINK(AC2 &amp; "/calculator/sn_410eb6a2d59b39135363df90cf6685fe/rendering/09.xyz", "0.0")</f>
        <v>0.0</v>
      </c>
      <c r="M756" s="13" t="str">
        <f>HYPERLINK(AC2 &amp; "/calculator/sn_410eb6a2d59b39135363df90cf6685fe/rendering/10.xyz", "0.0")</f>
        <v>0.0</v>
      </c>
      <c r="N756" s="13" t="str">
        <f>HYPERLINK(AC2 &amp; "/calculator/sn_410eb6a2d59b39135363df90cf6685fe/rendering/11.xyz", "0.0")</f>
        <v>0.0</v>
      </c>
      <c r="O756" s="13" t="str">
        <f>HYPERLINK(AC2 &amp; "/calculator/sn_410eb6a2d59b39135363df90cf6685fe/rendering/12.xyz", "0.0")</f>
        <v>0.0</v>
      </c>
      <c r="P756" s="13" t="str">
        <f>HYPERLINK(AC2 &amp; "/calculator/sn_410eb6a2d59b39135363df90cf6685fe/rendering/13.xyz", "0.0")</f>
        <v>0.0</v>
      </c>
      <c r="Q756" s="13" t="str">
        <f>HYPERLINK(AC2 &amp; "/calculator/sn_410eb6a2d59b39135363df90cf6685fe/rendering/14.xyz", "0.0")</f>
        <v>0.0</v>
      </c>
      <c r="R756" s="13" t="str">
        <f>HYPERLINK(AC2 &amp; "/calculator/sn_410eb6a2d59b39135363df90cf6685fe/rendering/15.xyz", "0.0")</f>
        <v>0.0</v>
      </c>
      <c r="S756" s="13" t="str">
        <f>HYPERLINK(AC2 &amp; "/calculator/sn_410eb6a2d59b39135363df90cf6685fe/rendering/16.xyz", "0.0")</f>
        <v>0.0</v>
      </c>
      <c r="T756" s="13" t="str">
        <f>HYPERLINK(AC2 &amp; "/calculator/sn_410eb6a2d59b39135363df90cf6685fe/rendering/17.xyz", "0.0")</f>
        <v>0.0</v>
      </c>
      <c r="U756" s="13" t="str">
        <f>HYPERLINK(AC2 &amp; "/calculator/sn_410eb6a2d59b39135363df90cf6685fe/rendering/18.xyz", "0.0")</f>
        <v>0.0</v>
      </c>
      <c r="V756" s="13" t="str">
        <f>HYPERLINK(AC2 &amp; "/calculator/sn_410eb6a2d59b39135363df90cf6685fe/rendering/19.xyz", "0.0")</f>
        <v>0.0</v>
      </c>
      <c r="W756" s="12" t="s">
        <v>33</v>
      </c>
      <c r="X756" s="13">
        <v>0</v>
      </c>
      <c r="Y756" s="13">
        <v>0</v>
      </c>
      <c r="Z756" s="13">
        <v>0</v>
      </c>
    </row>
    <row r="757" spans="1:26" x14ac:dyDescent="0.2">
      <c r="A757" s="1">
        <v>755</v>
      </c>
      <c r="B757" s="2" t="s">
        <v>184</v>
      </c>
      <c r="C757" s="160" t="str">
        <f>HYPERLINK(AA2 &amp; "/calculator/sn_44c9501229c33d7a1954957ed3a8319b/rendering/00.obj", "4.45502868652")</f>
        <v>4.45502868652</v>
      </c>
      <c r="D757" s="99" t="str">
        <f>HYPERLINK(AA2 &amp; "/calculator/sn_44c9501229c33d7a1954957ed3a8319b/rendering/01.obj", "2.1186769104")</f>
        <v>2.1186769104</v>
      </c>
      <c r="E757" s="11" t="str">
        <f>HYPERLINK(AA2 &amp; "/calculator/sn_44c9501229c33d7a1954957ed3a8319b/rendering/02.obj", "2.26079193115")</f>
        <v>2.26079193115</v>
      </c>
      <c r="F757" s="63" t="str">
        <f>HYPERLINK(AA2 &amp; "/calculator/sn_44c9501229c33d7a1954957ed3a8319b/rendering/03.obj", "2.5587550354")</f>
        <v>2.5587550354</v>
      </c>
      <c r="G757" s="20" t="str">
        <f>HYPERLINK(AA2 &amp; "/calculator/sn_44c9501229c33d7a1954957ed3a8319b/rendering/04.obj", "8.62859924316")</f>
        <v>8.62859924316</v>
      </c>
      <c r="H757" s="20" t="str">
        <f>HYPERLINK(AA2 &amp; "/calculator/sn_44c9501229c33d7a1954957ed3a8319b/rendering/05.obj", "6.52326904297")</f>
        <v>6.52326904297</v>
      </c>
      <c r="I757" s="113" t="str">
        <f>HYPERLINK(AA2 &amp; "/calculator/sn_44c9501229c33d7a1954957ed3a8319b/rendering/06.obj", "3.71251037598")</f>
        <v>3.71251037598</v>
      </c>
      <c r="J757" s="118" t="str">
        <f>HYPERLINK(AA2 &amp; "/calculator/sn_44c9501229c33d7a1954957ed3a8319b/rendering/07.obj", "2.05534011841")</f>
        <v>2.05534011841</v>
      </c>
      <c r="K757" s="108" t="str">
        <f>HYPERLINK(AA2 &amp; "/calculator/sn_44c9501229c33d7a1954957ed3a8319b/rendering/08.obj", "2.19982330322")</f>
        <v>2.19982330322</v>
      </c>
      <c r="L757" s="168" t="str">
        <f>HYPERLINK(AA2 &amp; "/calculator/sn_44c9501229c33d7a1954957ed3a8319b/rendering/09.obj", "1.97673309326")</f>
        <v>1.97673309326</v>
      </c>
      <c r="M757" s="137" t="str">
        <f>HYPERLINK(AA2 &amp; "/calculator/sn_44c9501229c33d7a1954957ed3a8319b/rendering/10.obj", "1.84491485596")</f>
        <v>1.84491485596</v>
      </c>
      <c r="N757" s="97" t="str">
        <f>HYPERLINK(AA2 &amp; "/calculator/sn_44c9501229c33d7a1954957ed3a8319b/rendering/11.obj", "1.64503646851")</f>
        <v>1.64503646851</v>
      </c>
      <c r="O757" s="24" t="str">
        <f>HYPERLINK(AA2 &amp; "/calculator/sn_44c9501229c33d7a1954957ed3a8319b/rendering/12.obj", "2.41977325439")</f>
        <v>2.41977325439</v>
      </c>
      <c r="P757" s="81" t="str">
        <f>HYPERLINK(AA2 &amp; "/calculator/sn_44c9501229c33d7a1954957ed3a8319b/rendering/13.obj", "2.27554168701")</f>
        <v>2.27554168701</v>
      </c>
      <c r="Q757" s="123" t="str">
        <f>HYPERLINK(AA2 &amp; "/calculator/sn_44c9501229c33d7a1954957ed3a8319b/rendering/14.obj", "1.83919723511")</f>
        <v>1.83919723511</v>
      </c>
      <c r="R757" s="123" t="str">
        <f>HYPERLINK(AA2 &amp; "/calculator/sn_44c9501229c33d7a1954957ed3a8319b/rendering/15.obj", "1.83531341553")</f>
        <v>1.83531341553</v>
      </c>
      <c r="S757" s="132" t="str">
        <f>HYPERLINK(AA2 &amp; "/calculator/sn_44c9501229c33d7a1954957ed3a8319b/rendering/16.obj", "1.69198730469")</f>
        <v>1.69198730469</v>
      </c>
      <c r="T757" s="172" t="str">
        <f>HYPERLINK(AA2 &amp; "/calculator/sn_44c9501229c33d7a1954957ed3a8319b/rendering/17.obj", "1.79353851318")</f>
        <v>1.79353851318</v>
      </c>
      <c r="U757" s="230" t="str">
        <f>HYPERLINK(AA2 &amp; "/calculator/sn_44c9501229c33d7a1954957ed3a8319b/rendering/18.obj", "4.24610717773")</f>
        <v>4.24610717773</v>
      </c>
      <c r="V757" s="129" t="str">
        <f>HYPERLINK(AA2 &amp; "/calculator/sn_44c9501229c33d7a1954957ed3a8319b/rendering/19.obj", "2.18381011963")</f>
        <v>2.18381011963</v>
      </c>
      <c r="W757" s="12" t="s">
        <v>29</v>
      </c>
      <c r="X757" s="13">
        <v>2.91323738861084</v>
      </c>
      <c r="Y757" s="13">
        <v>1.7718264474731911</v>
      </c>
      <c r="Z757" s="239">
        <v>0.60819844424627389</v>
      </c>
    </row>
    <row r="758" spans="1:26" x14ac:dyDescent="0.2">
      <c r="A758" s="1">
        <v>756</v>
      </c>
      <c r="B758" s="2" t="s">
        <v>184</v>
      </c>
      <c r="C758" s="171" t="str">
        <f>HYPERLINK(AA2 &amp; "/calculator/sn_44c9501229c33d7a1954957ed3a8319b/rendering/00.obj", "5.42331266403")</f>
        <v>5.42331266403</v>
      </c>
      <c r="D758" s="87" t="str">
        <f>HYPERLINK(AA2 &amp; "/calculator/sn_44c9501229c33d7a1954957ed3a8319b/rendering/01.obj", "3.20988821983")</f>
        <v>3.20988821983</v>
      </c>
      <c r="E758" s="58" t="str">
        <f>HYPERLINK(AA2 &amp; "/calculator/sn_44c9501229c33d7a1954957ed3a8319b/rendering/02.obj", "3.14357757568")</f>
        <v>3.14357757568</v>
      </c>
      <c r="F758" s="82" t="str">
        <f>HYPERLINK(AA2 &amp; "/calculator/sn_44c9501229c33d7a1954957ed3a8319b/rendering/03.obj", "3.29481768608")</f>
        <v>3.29481768608</v>
      </c>
      <c r="G758" s="20" t="str">
        <f>HYPERLINK(AA2 &amp; "/calculator/sn_44c9501229c33d7a1954957ed3a8319b/rendering/04.obj", "13.1263313293")</f>
        <v>13.1263313293</v>
      </c>
      <c r="H758" s="255" t="str">
        <f>HYPERLINK(AA2 &amp; "/calculator/sn_44c9501229c33d7a1954957ed3a8319b/rendering/05.obj", "7.15164709091")</f>
        <v>7.15164709091</v>
      </c>
      <c r="I758" s="8" t="str">
        <f>HYPERLINK(AA2 &amp; "/calculator/sn_44c9501229c33d7a1954957ed3a8319b/rendering/06.obj", "4.74240064621")</f>
        <v>4.74240064621</v>
      </c>
      <c r="J758" s="59" t="str">
        <f>HYPERLINK(AA2 &amp; "/calculator/sn_44c9501229c33d7a1954957ed3a8319b/rendering/07.obj", "3.16146421432")</f>
        <v>3.16146421432</v>
      </c>
      <c r="K758" s="73" t="str">
        <f>HYPERLINK(AA2 &amp; "/calculator/sn_44c9501229c33d7a1954957ed3a8319b/rendering/08.obj", "4.00446128845")</f>
        <v>4.00446128845</v>
      </c>
      <c r="L758" s="100" t="str">
        <f>HYPERLINK(AA2 &amp; "/calculator/sn_44c9501229c33d7a1954957ed3a8319b/rendering/09.obj", "2.9032022953")</f>
        <v>2.9032022953</v>
      </c>
      <c r="M758" s="103" t="str">
        <f>HYPERLINK(AA2 &amp; "/calculator/sn_44c9501229c33d7a1954957ed3a8319b/rendering/10.obj", "2.79962682724")</f>
        <v>2.79962682724</v>
      </c>
      <c r="N758" s="153" t="str">
        <f>HYPERLINK(AA2 &amp; "/calculator/sn_44c9501229c33d7a1954957ed3a8319b/rendering/11.obj", "2.67025184631")</f>
        <v>2.67025184631</v>
      </c>
      <c r="O758" s="23" t="str">
        <f>HYPERLINK(AA2 &amp; "/calculator/sn_44c9501229c33d7a1954957ed3a8319b/rendering/12.obj", "3.98517727852")</f>
        <v>3.98517727852</v>
      </c>
      <c r="P758" s="136" t="str">
        <f>HYPERLINK(AA2 &amp; "/calculator/sn_44c9501229c33d7a1954957ed3a8319b/rendering/13.obj", "3.16760134697")</f>
        <v>3.16760134697</v>
      </c>
      <c r="Q758" s="56" t="str">
        <f>HYPERLINK(AA2 &amp; "/calculator/sn_44c9501229c33d7a1954957ed3a8319b/rendering/14.obj", "2.86700296402")</f>
        <v>2.86700296402</v>
      </c>
      <c r="R758" s="56" t="str">
        <f>HYPERLINK(AA2 &amp; "/calculator/sn_44c9501229c33d7a1954957ed3a8319b/rendering/15.obj", "2.87047123909")</f>
        <v>2.87047123909</v>
      </c>
      <c r="S758" s="100" t="str">
        <f>HYPERLINK(AA2 &amp; "/calculator/sn_44c9501229c33d7a1954957ed3a8319b/rendering/16.obj", "2.90290737152")</f>
        <v>2.90290737152</v>
      </c>
      <c r="T758" s="168" t="str">
        <f>HYPERLINK(AA2 &amp; "/calculator/sn_44c9501229c33d7a1954957ed3a8319b/rendering/17.obj", "2.82091093063")</f>
        <v>2.82091093063</v>
      </c>
      <c r="U758" s="153" t="str">
        <f>HYPERLINK(AA2 &amp; "/calculator/sn_44c9501229c33d7a1954957ed3a8319b/rendering/18.obj", "5.63704442978")</f>
        <v>5.63704442978</v>
      </c>
      <c r="V758" s="98" t="str">
        <f>HYPERLINK(AA2 &amp; "/calculator/sn_44c9501229c33d7a1954957ed3a8319b/rendering/19.obj", "3.1893055439")</f>
        <v>3.1893055439</v>
      </c>
      <c r="W758" s="12" t="s">
        <v>30</v>
      </c>
      <c r="X758" s="13">
        <v>4.1535701394081119</v>
      </c>
      <c r="Y758" s="13">
        <v>2.360953241409665</v>
      </c>
      <c r="Z758" s="225">
        <v>0.56841540221254172</v>
      </c>
    </row>
    <row r="759" spans="1:26" x14ac:dyDescent="0.2">
      <c r="A759" s="1">
        <v>757</v>
      </c>
      <c r="B759" s="2" t="s">
        <v>184</v>
      </c>
      <c r="C759" s="28" t="str">
        <f>HYPERLINK(AB2 &amp; "/calculator/sn_44c9501229c33d7a1954957ed3a8319b/rendering/00.obj", "1.855597229")</f>
        <v>1.855597229</v>
      </c>
      <c r="D759" s="65" t="str">
        <f>HYPERLINK(AB2 &amp; "/calculator/sn_44c9501229c33d7a1954957ed3a8319b/rendering/01.obj", "1.80702575684")</f>
        <v>1.80702575684</v>
      </c>
      <c r="E759" s="41" t="str">
        <f>HYPERLINK(AB2 &amp; "/calculator/sn_44c9501229c33d7a1954957ed3a8319b/rendering/02.obj", "1.94601379395")</f>
        <v>1.94601379395</v>
      </c>
      <c r="F759" s="110" t="str">
        <f>HYPERLINK(AB2 &amp; "/calculator/sn_44c9501229c33d7a1954957ed3a8319b/rendering/03.obj", "2.29127487183")</f>
        <v>2.29127487183</v>
      </c>
      <c r="G759" s="60" t="str">
        <f>HYPERLINK(AB2 &amp; "/calculator/sn_44c9501229c33d7a1954957ed3a8319b/rendering/04.obj", "1.98081619263")</f>
        <v>1.98081619263</v>
      </c>
      <c r="H759" s="24" t="str">
        <f>HYPERLINK(AB2 &amp; "/calculator/sn_44c9501229c33d7a1954957ed3a8319b/rendering/05.obj", "1.73916488647")</f>
        <v>1.73916488647</v>
      </c>
      <c r="I759" s="78" t="str">
        <f>HYPERLINK(AB2 &amp; "/calculator/sn_44c9501229c33d7a1954957ed3a8319b/rendering/06.obj", "2.21415252686")</f>
        <v>2.21415252686</v>
      </c>
      <c r="J759" s="69" t="str">
        <f>HYPERLINK(AB2 &amp; "/calculator/sn_44c9501229c33d7a1954957ed3a8319b/rendering/07.obj", "2.02270355225")</f>
        <v>2.02270355225</v>
      </c>
      <c r="K759" s="10" t="str">
        <f>HYPERLINK(AB2 &amp; "/calculator/sn_44c9501229c33d7a1954957ed3a8319b/rendering/08.obj", "2.20022232056")</f>
        <v>2.20022232056</v>
      </c>
      <c r="L759" s="106" t="str">
        <f>HYPERLINK(AB2 &amp; "/calculator/sn_44c9501229c33d7a1954957ed3a8319b/rendering/09.obj", "1.84872375488")</f>
        <v>1.84872375488</v>
      </c>
      <c r="M759" s="74" t="str">
        <f>HYPERLINK(AB2 &amp; "/calculator/sn_44c9501229c33d7a1954957ed3a8319b/rendering/10.obj", "2.05867156982")</f>
        <v>2.05867156982</v>
      </c>
      <c r="N759" s="83" t="str">
        <f>HYPERLINK(AB2 &amp; "/calculator/sn_44c9501229c33d7a1954957ed3a8319b/rendering/11.obj", "2.40521148682")</f>
        <v>2.40521148682</v>
      </c>
      <c r="O759" s="32" t="str">
        <f>HYPERLINK(AB2 &amp; "/calculator/sn_44c9501229c33d7a1954957ed3a8319b/rendering/12.obj", "2.30719329834")</f>
        <v>2.30719329834</v>
      </c>
      <c r="P759" s="23" t="str">
        <f>HYPERLINK(AB2 &amp; "/calculator/sn_44c9501229c33d7a1954957ed3a8319b/rendering/13.obj", "2.0054826355")</f>
        <v>2.0054826355</v>
      </c>
      <c r="Q759" s="47" t="str">
        <f>HYPERLINK(AB2 &amp; "/calculator/sn_44c9501229c33d7a1954957ed3a8319b/rendering/14.obj", "2.0688583374")</f>
        <v>2.0688583374</v>
      </c>
      <c r="R759" s="107" t="str">
        <f>HYPERLINK(AB2 &amp; "/calculator/sn_44c9501229c33d7a1954957ed3a8319b/rendering/15.obj", "1.91201828003")</f>
        <v>1.91201828003</v>
      </c>
      <c r="S759" s="33" t="str">
        <f>HYPERLINK(AB2 &amp; "/calculator/sn_44c9501229c33d7a1954957ed3a8319b/rendering/16.obj", "2.31311981201")</f>
        <v>2.31311981201</v>
      </c>
      <c r="T759" s="39" t="str">
        <f>HYPERLINK(AB2 &amp; "/calculator/sn_44c9501229c33d7a1954957ed3a8319b/rendering/17.obj", "1.90570220947")</f>
        <v>1.90570220947</v>
      </c>
      <c r="U759" s="85" t="str">
        <f>HYPERLINK(AB2 &amp; "/calculator/sn_44c9501229c33d7a1954957ed3a8319b/rendering/18.obj", "2.7047857666")</f>
        <v>2.7047857666</v>
      </c>
      <c r="V759" s="91" t="str">
        <f>HYPERLINK(AB2 &amp; "/calculator/sn_44c9501229c33d7a1954957ed3a8319b/rendering/19.obj", "2.13972442627")</f>
        <v>2.13972442627</v>
      </c>
      <c r="W759" s="12" t="s">
        <v>31</v>
      </c>
      <c r="X759" s="13">
        <v>2.0863231353759759</v>
      </c>
      <c r="Y759" s="13">
        <v>0.23154557184919519</v>
      </c>
      <c r="Z759" s="28">
        <v>0.1109826028015877</v>
      </c>
    </row>
    <row r="760" spans="1:26" x14ac:dyDescent="0.2">
      <c r="A760" s="1">
        <v>758</v>
      </c>
      <c r="B760" s="2" t="s">
        <v>184</v>
      </c>
      <c r="C760" s="34" t="str">
        <f>HYPERLINK(AB2 &amp; "/calculator/sn_44c9501229c33d7a1954957ed3a8319b/rendering/00.obj", "2.66438245773")</f>
        <v>2.66438245773</v>
      </c>
      <c r="D760" s="74" t="str">
        <f>HYPERLINK(AB2 &amp; "/calculator/sn_44c9501229c33d7a1954957ed3a8319b/rendering/01.obj", "2.75523662567")</f>
        <v>2.75523662567</v>
      </c>
      <c r="E760" s="26" t="str">
        <f>HYPERLINK(AB2 &amp; "/calculator/sn_44c9501229c33d7a1954957ed3a8319b/rendering/02.obj", "2.62133812904")</f>
        <v>2.62133812904</v>
      </c>
      <c r="F760" s="10" t="str">
        <f>HYPERLINK(AB2 &amp; "/calculator/sn_44c9501229c33d7a1954957ed3a8319b/rendering/03.obj", "2.95108914375")</f>
        <v>2.95108914375</v>
      </c>
      <c r="G760" s="133" t="str">
        <f>HYPERLINK(AB2 &amp; "/calculator/sn_44c9501229c33d7a1954957ed3a8319b/rendering/04.obj", "3.08353424072")</f>
        <v>3.08353424072</v>
      </c>
      <c r="H760" s="38" t="str">
        <f>HYPERLINK(AB2 &amp; "/calculator/sn_44c9501229c33d7a1954957ed3a8319b/rendering/05.obj", "2.54552221298")</f>
        <v>2.54552221298</v>
      </c>
      <c r="I760" s="25" t="str">
        <f>HYPERLINK(AB2 &amp; "/calculator/sn_44c9501229c33d7a1954957ed3a8319b/rendering/06.obj", "2.77214097977")</f>
        <v>2.77214097977</v>
      </c>
      <c r="J760" s="17" t="str">
        <f>HYPERLINK(AB2 &amp; "/calculator/sn_44c9501229c33d7a1954957ed3a8319b/rendering/07.obj", "2.74272847176")</f>
        <v>2.74272847176</v>
      </c>
      <c r="K760" s="25" t="str">
        <f>HYPERLINK(AB2 &amp; "/calculator/sn_44c9501229c33d7a1954957ed3a8319b/rendering/08.obj", "2.82833886147")</f>
        <v>2.82833886147</v>
      </c>
      <c r="L760" s="78" t="str">
        <f>HYPERLINK(AB2 &amp; "/calculator/sn_44c9501229c33d7a1954957ed3a8319b/rendering/09.obj", "2.62612581253")</f>
        <v>2.62612581253</v>
      </c>
      <c r="M760" s="30" t="str">
        <f>HYPERLINK(AB2 &amp; "/calculator/sn_44c9501229c33d7a1954957ed3a8319b/rendering/10.obj", "2.78505516052")</f>
        <v>2.78505516052</v>
      </c>
      <c r="N760" s="30" t="str">
        <f>HYPERLINK(AB2 &amp; "/calculator/sn_44c9501229c33d7a1954957ed3a8319b/rendering/11.obj", "2.78262400627")</f>
        <v>2.78262400627</v>
      </c>
      <c r="O760" s="74" t="str">
        <f>HYPERLINK(AB2 &amp; "/calculator/sn_44c9501229c33d7a1954957ed3a8319b/rendering/12.obj", "2.7550508976")</f>
        <v>2.7550508976</v>
      </c>
      <c r="P760" s="46" t="str">
        <f>HYPERLINK(AB2 &amp; "/calculator/sn_44c9501229c33d7a1954957ed3a8319b/rendering/13.obj", "2.75177502632")</f>
        <v>2.75177502632</v>
      </c>
      <c r="Q760" s="72" t="str">
        <f>HYPERLINK(AB2 &amp; "/calculator/sn_44c9501229c33d7a1954957ed3a8319b/rendering/14.obj", "2.71033406258")</f>
        <v>2.71033406258</v>
      </c>
      <c r="R760" s="17" t="str">
        <f>HYPERLINK(AB2 &amp; "/calculator/sn_44c9501229c33d7a1954957ed3a8319b/rendering/15.obj", "2.73881959915")</f>
        <v>2.73881959915</v>
      </c>
      <c r="S760" s="41" t="str">
        <f>HYPERLINK(AB2 &amp; "/calculator/sn_44c9501229c33d7a1954957ed3a8319b/rendering/16.obj", "2.98731899261")</f>
        <v>2.98731899261</v>
      </c>
      <c r="T760" s="25" t="str">
        <f>HYPERLINK(AB2 &amp; "/calculator/sn_44c9501229c33d7a1954957ed3a8319b/rendering/17.obj", "2.77228927612")</f>
        <v>2.77228927612</v>
      </c>
      <c r="U760" s="134" t="str">
        <f>HYPERLINK(AB2 &amp; "/calculator/sn_44c9501229c33d7a1954957ed3a8319b/rendering/18.obj", "3.30714440346")</f>
        <v>3.30714440346</v>
      </c>
      <c r="V760" s="13" t="str">
        <f>HYPERLINK(AB2 &amp; "/calculator/sn_44c9501229c33d7a1954957ed3a8319b/rendering/19.obj", "2.79697990417")</f>
        <v>2.79697990417</v>
      </c>
      <c r="W760" s="12" t="s">
        <v>32</v>
      </c>
      <c r="X760" s="13">
        <v>2.7988914132118219</v>
      </c>
      <c r="Y760" s="13">
        <v>0.1680887562721243</v>
      </c>
      <c r="Z760" s="78">
        <v>6.0055476064088099E-2</v>
      </c>
    </row>
    <row r="761" spans="1:26" x14ac:dyDescent="0.2">
      <c r="A761" s="1">
        <v>759</v>
      </c>
      <c r="B761" s="2" t="s">
        <v>184</v>
      </c>
      <c r="C761" s="13" t="str">
        <f>HYPERLINK(AC2 &amp; "/calculator/sn_44c9501229c33d7a1954957ed3a8319b/rendering/00.xyz", "0.0")</f>
        <v>0.0</v>
      </c>
      <c r="D761" s="13" t="str">
        <f>HYPERLINK(AC2 &amp; "/calculator/sn_44c9501229c33d7a1954957ed3a8319b/rendering/01.xyz", "0.0")</f>
        <v>0.0</v>
      </c>
      <c r="E761" s="13" t="str">
        <f>HYPERLINK(AC2 &amp; "/calculator/sn_44c9501229c33d7a1954957ed3a8319b/rendering/02.xyz", "0.0")</f>
        <v>0.0</v>
      </c>
      <c r="F761" s="13" t="str">
        <f>HYPERLINK(AC2 &amp; "/calculator/sn_44c9501229c33d7a1954957ed3a8319b/rendering/03.xyz", "0.0")</f>
        <v>0.0</v>
      </c>
      <c r="G761" s="13" t="str">
        <f>HYPERLINK(AC2 &amp; "/calculator/sn_44c9501229c33d7a1954957ed3a8319b/rendering/04.xyz", "0.0")</f>
        <v>0.0</v>
      </c>
      <c r="H761" s="13" t="str">
        <f>HYPERLINK(AC2 &amp; "/calculator/sn_44c9501229c33d7a1954957ed3a8319b/rendering/05.xyz", "0.0")</f>
        <v>0.0</v>
      </c>
      <c r="I761" s="13" t="str">
        <f>HYPERLINK(AC2 &amp; "/calculator/sn_44c9501229c33d7a1954957ed3a8319b/rendering/06.xyz", "0.0")</f>
        <v>0.0</v>
      </c>
      <c r="J761" s="13" t="str">
        <f>HYPERLINK(AC2 &amp; "/calculator/sn_44c9501229c33d7a1954957ed3a8319b/rendering/07.xyz", "0.0")</f>
        <v>0.0</v>
      </c>
      <c r="K761" s="13" t="str">
        <f>HYPERLINK(AC2 &amp; "/calculator/sn_44c9501229c33d7a1954957ed3a8319b/rendering/08.xyz", "0.0")</f>
        <v>0.0</v>
      </c>
      <c r="L761" s="13" t="str">
        <f>HYPERLINK(AC2 &amp; "/calculator/sn_44c9501229c33d7a1954957ed3a8319b/rendering/09.xyz", "0.0")</f>
        <v>0.0</v>
      </c>
      <c r="M761" s="13" t="str">
        <f>HYPERLINK(AC2 &amp; "/calculator/sn_44c9501229c33d7a1954957ed3a8319b/rendering/10.xyz", "0.0")</f>
        <v>0.0</v>
      </c>
      <c r="N761" s="13" t="str">
        <f>HYPERLINK(AC2 &amp; "/calculator/sn_44c9501229c33d7a1954957ed3a8319b/rendering/11.xyz", "0.0")</f>
        <v>0.0</v>
      </c>
      <c r="O761" s="13" t="str">
        <f>HYPERLINK(AC2 &amp; "/calculator/sn_44c9501229c33d7a1954957ed3a8319b/rendering/12.xyz", "0.0")</f>
        <v>0.0</v>
      </c>
      <c r="P761" s="13" t="str">
        <f>HYPERLINK(AC2 &amp; "/calculator/sn_44c9501229c33d7a1954957ed3a8319b/rendering/13.xyz", "0.0")</f>
        <v>0.0</v>
      </c>
      <c r="Q761" s="13" t="str">
        <f>HYPERLINK(AC2 &amp; "/calculator/sn_44c9501229c33d7a1954957ed3a8319b/rendering/14.xyz", "0.0")</f>
        <v>0.0</v>
      </c>
      <c r="R761" s="13" t="str">
        <f>HYPERLINK(AC2 &amp; "/calculator/sn_44c9501229c33d7a1954957ed3a8319b/rendering/15.xyz", "0.0")</f>
        <v>0.0</v>
      </c>
      <c r="S761" s="13" t="str">
        <f>HYPERLINK(AC2 &amp; "/calculator/sn_44c9501229c33d7a1954957ed3a8319b/rendering/16.xyz", "0.0")</f>
        <v>0.0</v>
      </c>
      <c r="T761" s="13" t="str">
        <f>HYPERLINK(AC2 &amp; "/calculator/sn_44c9501229c33d7a1954957ed3a8319b/rendering/17.xyz", "0.0")</f>
        <v>0.0</v>
      </c>
      <c r="U761" s="13" t="str">
        <f>HYPERLINK(AC2 &amp; "/calculator/sn_44c9501229c33d7a1954957ed3a8319b/rendering/18.xyz", "0.0")</f>
        <v>0.0</v>
      </c>
      <c r="V761" s="13" t="str">
        <f>HYPERLINK(AC2 &amp; "/calculator/sn_44c9501229c33d7a1954957ed3a8319b/rendering/19.xyz", "0.0")</f>
        <v>0.0</v>
      </c>
      <c r="W761" s="12" t="s">
        <v>33</v>
      </c>
      <c r="X761" s="13">
        <v>0</v>
      </c>
      <c r="Y761" s="13">
        <v>0</v>
      </c>
      <c r="Z761" s="13">
        <v>0</v>
      </c>
    </row>
    <row r="762" spans="1:26" x14ac:dyDescent="0.2">
      <c r="A762" s="1">
        <v>760</v>
      </c>
      <c r="B762" s="2" t="s">
        <v>185</v>
      </c>
      <c r="C762" s="4" t="str">
        <f>HYPERLINK(AA2 &amp; "/calculator/sn_469e6fc6d12a716431703fa9beda6e04/rendering/00.obj", "6.58581237793")</f>
        <v>6.58581237793</v>
      </c>
      <c r="D762" s="172" t="str">
        <f>HYPERLINK(AA2 &amp; "/calculator/sn_469e6fc6d12a716431703fa9beda6e04/rendering/01.obj", "7.09174560547")</f>
        <v>7.09174560547</v>
      </c>
      <c r="E762" s="151" t="str">
        <f>HYPERLINK(AA2 &amp; "/calculator/sn_469e6fc6d12a716431703fa9beda6e04/rendering/02.obj", "3.28519317627")</f>
        <v>3.28519317627</v>
      </c>
      <c r="F762" s="118" t="str">
        <f>HYPERLINK(AA2 &amp; "/calculator/sn_469e6fc6d12a716431703fa9beda6e04/rendering/03.obj", "3.62997283936")</f>
        <v>3.62997283936</v>
      </c>
      <c r="G762" s="106" t="str">
        <f>HYPERLINK(AA2 &amp; "/calculator/sn_469e6fc6d12a716431703fa9beda6e04/rendering/04.obj", "5.71474121094")</f>
        <v>5.71474121094</v>
      </c>
      <c r="H762" s="130" t="str">
        <f>HYPERLINK(AA2 &amp; "/calculator/sn_469e6fc6d12a716431703fa9beda6e04/rendering/05.obj", "2.82403686523")</f>
        <v>2.82403686523</v>
      </c>
      <c r="I762" s="120" t="str">
        <f>HYPERLINK(AA2 &amp; "/calculator/sn_469e6fc6d12a716431703fa9beda6e04/rendering/06.obj", "4.04179626465")</f>
        <v>4.04179626465</v>
      </c>
      <c r="J762" s="31" t="str">
        <f>HYPERLINK(AA2 &amp; "/calculator/sn_469e6fc6d12a716431703fa9beda6e04/rendering/07.obj", "4.32434326172")</f>
        <v>4.32434326172</v>
      </c>
      <c r="K762" s="4" t="str">
        <f>HYPERLINK(AA2 &amp; "/calculator/sn_469e6fc6d12a716431703fa9beda6e04/rendering/08.obj", "3.67249725342")</f>
        <v>3.67249725342</v>
      </c>
      <c r="L762" s="38" t="str">
        <f>HYPERLINK(AA2 &amp; "/calculator/sn_469e6fc6d12a716431703fa9beda6e04/rendering/09.obj", "5.58627258301")</f>
        <v>5.58627258301</v>
      </c>
      <c r="M762" s="13" t="str">
        <f>HYPERLINK(AA2 &amp; "/calculator/sn_469e6fc6d12a716431703fa9beda6e04/rendering/10.obj", "5.1227947998")</f>
        <v>5.1227947998</v>
      </c>
      <c r="N762" s="111" t="str">
        <f>HYPERLINK(AA2 &amp; "/calculator/sn_469e6fc6d12a716431703fa9beda6e04/rendering/11.obj", "2.95899139404")</f>
        <v>2.95899139404</v>
      </c>
      <c r="O762" s="26" t="str">
        <f>HYPERLINK(AA2 &amp; "/calculator/sn_469e6fc6d12a716431703fa9beda6e04/rendering/12.obj", "4.79685882568")</f>
        <v>4.79685882568</v>
      </c>
      <c r="P762" s="20" t="str">
        <f>HYPERLINK(AA2 &amp; "/calculator/sn_469e6fc6d12a716431703fa9beda6e04/rendering/13.obj", "13.2345507813")</f>
        <v>13.2345507813</v>
      </c>
      <c r="Q762" s="50" t="str">
        <f>HYPERLINK(AA2 &amp; "/calculator/sn_469e6fc6d12a716431703fa9beda6e04/rendering/14.obj", "4.11103210449")</f>
        <v>4.11103210449</v>
      </c>
      <c r="R762" s="176" t="str">
        <f>HYPERLINK(AA2 &amp; "/calculator/sn_469e6fc6d12a716431703fa9beda6e04/rendering/15.obj", "3.50231445312")</f>
        <v>3.50231445312</v>
      </c>
      <c r="S762" s="7" t="str">
        <f>HYPERLINK(AA2 &amp; "/calculator/sn_469e6fc6d12a716431703fa9beda6e04/rendering/16.obj", "3.71140625")</f>
        <v>3.71140625</v>
      </c>
      <c r="T762" s="50" t="str">
        <f>HYPERLINK(AA2 &amp; "/calculator/sn_469e6fc6d12a716431703fa9beda6e04/rendering/17.obj", "6.15189941406")</f>
        <v>6.15189941406</v>
      </c>
      <c r="U762" s="22" t="str">
        <f>HYPERLINK(AA2 &amp; "/calculator/sn_469e6fc6d12a716431703fa9beda6e04/rendering/18.obj", "7.80948974609")</f>
        <v>7.80948974609</v>
      </c>
      <c r="V762" s="8" t="str">
        <f>HYPERLINK(AA2 &amp; "/calculator/sn_469e6fc6d12a716431703fa9beda6e04/rendering/19.obj", "4.40185546875")</f>
        <v>4.40185546875</v>
      </c>
      <c r="W762" s="12" t="s">
        <v>29</v>
      </c>
      <c r="X762" s="13">
        <v>5.1278802337646479</v>
      </c>
      <c r="Y762" s="13">
        <v>2.3066052498157181</v>
      </c>
      <c r="Z762" s="130">
        <v>0.44981652157704888</v>
      </c>
    </row>
    <row r="763" spans="1:26" x14ac:dyDescent="0.2">
      <c r="A763" s="1">
        <v>761</v>
      </c>
      <c r="B763" s="2" t="s">
        <v>185</v>
      </c>
      <c r="C763" s="160" t="str">
        <f>HYPERLINK(AA2 &amp; "/calculator/sn_469e6fc6d12a716431703fa9beda6e04/rendering/00.obj", "9.98794078827")</f>
        <v>9.98794078827</v>
      </c>
      <c r="D763" s="123" t="str">
        <f>HYPERLINK(AA2 &amp; "/calculator/sn_469e6fc6d12a716431703fa9beda6e04/rendering/01.obj", "8.93122768402")</f>
        <v>8.93122768402</v>
      </c>
      <c r="E763" s="104" t="str">
        <f>HYPERLINK(AA2 &amp; "/calculator/sn_469e6fc6d12a716431703fa9beda6e04/rendering/02.obj", "3.43128633499")</f>
        <v>3.43128633499</v>
      </c>
      <c r="F763" s="168" t="str">
        <f>HYPERLINK(AA2 &amp; "/calculator/sn_469e6fc6d12a716431703fa9beda6e04/rendering/03.obj", "4.42844963074")</f>
        <v>4.42844963074</v>
      </c>
      <c r="G763" s="50" t="str">
        <f>HYPERLINK(AA2 &amp; "/calculator/sn_469e6fc6d12a716431703fa9beda6e04/rendering/04.obj", "7.83514308929")</f>
        <v>7.83514308929</v>
      </c>
      <c r="H763" s="141" t="str">
        <f>HYPERLINK(AA2 &amp; "/calculator/sn_469e6fc6d12a716431703fa9beda6e04/rendering/05.obj", "2.92851281166")</f>
        <v>2.92851281166</v>
      </c>
      <c r="I763" s="56" t="str">
        <f>HYPERLINK(AA2 &amp; "/calculator/sn_469e6fc6d12a716431703fa9beda6e04/rendering/06.obj", "4.50481653214")</f>
        <v>4.50481653214</v>
      </c>
      <c r="J763" s="27" t="str">
        <f>HYPERLINK(AA2 &amp; "/calculator/sn_469e6fc6d12a716431703fa9beda6e04/rendering/07.obj", "6.07587909698")</f>
        <v>6.07587909698</v>
      </c>
      <c r="K763" s="122" t="str">
        <f>HYPERLINK(AA2 &amp; "/calculator/sn_469e6fc6d12a716431703fa9beda6e04/rendering/08.obj", "3.89073753357")</f>
        <v>3.89073753357</v>
      </c>
      <c r="L763" s="192" t="str">
        <f>HYPERLINK(AA2 &amp; "/calculator/sn_469e6fc6d12a716431703fa9beda6e04/rendering/09.obj", "8.96301364899")</f>
        <v>8.96301364899</v>
      </c>
      <c r="M763" s="32" t="str">
        <f>HYPERLINK(AA2 &amp; "/calculator/sn_469e6fc6d12a716431703fa9beda6e04/rendering/10.obj", "5.83879184723")</f>
        <v>5.83879184723</v>
      </c>
      <c r="N763" s="249" t="str">
        <f>HYPERLINK(AA2 &amp; "/calculator/sn_469e6fc6d12a716431703fa9beda6e04/rendering/11.obj", "2.79349851608")</f>
        <v>2.79349851608</v>
      </c>
      <c r="O763" s="36" t="str">
        <f>HYPERLINK(AA2 &amp; "/calculator/sn_469e6fc6d12a716431703fa9beda6e04/rendering/12.obj", "5.13754558563")</f>
        <v>5.13754558563</v>
      </c>
      <c r="P763" s="20" t="str">
        <f>HYPERLINK(AA2 &amp; "/calculator/sn_469e6fc6d12a716431703fa9beda6e04/rendering/13.obj", "22.1356201172")</f>
        <v>22.1356201172</v>
      </c>
      <c r="Q763" s="109" t="str">
        <f>HYPERLINK(AA2 &amp; "/calculator/sn_469e6fc6d12a716431703fa9beda6e04/rendering/14.obj", "5.29498052597")</f>
        <v>5.29498052597</v>
      </c>
      <c r="R763" s="15" t="str">
        <f>HYPERLINK(AA2 &amp; "/calculator/sn_469e6fc6d12a716431703fa9beda6e04/rendering/15.obj", "3.21859002113")</f>
        <v>3.21859002113</v>
      </c>
      <c r="S763" s="162" t="str">
        <f>HYPERLINK(AA2 &amp; "/calculator/sn_469e6fc6d12a716431703fa9beda6e04/rendering/16.obj", "3.75181126595")</f>
        <v>3.75181126595</v>
      </c>
      <c r="T763" s="4" t="str">
        <f>HYPERLINK(AA2 &amp; "/calculator/sn_469e6fc6d12a716431703fa9beda6e04/rendering/17.obj", "8.37709236145")</f>
        <v>8.37709236145</v>
      </c>
      <c r="U763" s="7" t="str">
        <f>HYPERLINK(AA2 &amp; "/calculator/sn_469e6fc6d12a716431703fa9beda6e04/rendering/18.obj", "8.3416633606")</f>
        <v>8.3416633606</v>
      </c>
      <c r="V763" s="99" t="str">
        <f>HYPERLINK(AA2 &amp; "/calculator/sn_469e6fc6d12a716431703fa9beda6e04/rendering/19.obj", "4.7646522522")</f>
        <v>4.7646522522</v>
      </c>
      <c r="W763" s="12" t="s">
        <v>30</v>
      </c>
      <c r="X763" s="13">
        <v>6.5315626502037052</v>
      </c>
      <c r="Y763" s="13">
        <v>4.2044119318961988</v>
      </c>
      <c r="Z763" s="252">
        <v>0.64370689788378166</v>
      </c>
    </row>
    <row r="764" spans="1:26" x14ac:dyDescent="0.2">
      <c r="A764" s="1">
        <v>762</v>
      </c>
      <c r="B764" s="2" t="s">
        <v>185</v>
      </c>
      <c r="C764" s="23" t="str">
        <f>HYPERLINK(AB2 &amp; "/calculator/sn_469e6fc6d12a716431703fa9beda6e04/rendering/00.obj", "3.04799377441")</f>
        <v>3.04799377441</v>
      </c>
      <c r="D764" s="26" t="str">
        <f>HYPERLINK(AB2 &amp; "/calculator/sn_469e6fc6d12a716431703fa9beda6e04/rendering/01.obj", "3.11753051758")</f>
        <v>3.11753051758</v>
      </c>
      <c r="E764" s="33" t="str">
        <f>HYPERLINK(AB2 &amp; "/calculator/sn_469e6fc6d12a716431703fa9beda6e04/rendering/02.obj", "3.25314758301")</f>
        <v>3.25314758301</v>
      </c>
      <c r="F764" s="67" t="str">
        <f>HYPERLINK(AB2 &amp; "/calculator/sn_469e6fc6d12a716431703fa9beda6e04/rendering/03.obj", "2.65917633057")</f>
        <v>2.65917633057</v>
      </c>
      <c r="G764" s="32" t="str">
        <f>HYPERLINK(AB2 &amp; "/calculator/sn_469e6fc6d12a716431703fa9beda6e04/rendering/04.obj", "3.23563415527")</f>
        <v>3.23563415527</v>
      </c>
      <c r="H764" s="74" t="str">
        <f>HYPERLINK(AB2 &amp; "/calculator/sn_469e6fc6d12a716431703fa9beda6e04/rendering/05.obj", "2.97281494141")</f>
        <v>2.97281494141</v>
      </c>
      <c r="I764" s="33" t="str">
        <f>HYPERLINK(AB2 &amp; "/calculator/sn_469e6fc6d12a716431703fa9beda6e04/rendering/06.obj", "2.61239990234")</f>
        <v>2.61239990234</v>
      </c>
      <c r="J764" s="35" t="str">
        <f>HYPERLINK(AB2 &amp; "/calculator/sn_469e6fc6d12a716431703fa9beda6e04/rendering/07.obj", "2.76131408691")</f>
        <v>2.76131408691</v>
      </c>
      <c r="K764" s="38" t="str">
        <f>HYPERLINK(AB2 &amp; "/calculator/sn_469e6fc6d12a716431703fa9beda6e04/rendering/08.obj", "3.19821990967")</f>
        <v>3.19821990967</v>
      </c>
      <c r="L764" s="107" t="str">
        <f>HYPERLINK(AB2 &amp; "/calculator/sn_469e6fc6d12a716431703fa9beda6e04/rendering/09.obj", "2.68427246094")</f>
        <v>2.68427246094</v>
      </c>
      <c r="M764" s="23" t="str">
        <f>HYPERLINK(AB2 &amp; "/calculator/sn_469e6fc6d12a716431703fa9beda6e04/rendering/10.obj", "2.81619567871")</f>
        <v>2.81619567871</v>
      </c>
      <c r="N764" s="35" t="str">
        <f>HYPERLINK(AB2 &amp; "/calculator/sn_469e6fc6d12a716431703fa9beda6e04/rendering/11.obj", "3.09954193115")</f>
        <v>3.09954193115</v>
      </c>
      <c r="O764" s="92" t="str">
        <f>HYPERLINK(AB2 &amp; "/calculator/sn_469e6fc6d12a716431703fa9beda6e04/rendering/12.obj", "3.29894042969")</f>
        <v>3.29894042969</v>
      </c>
      <c r="P764" s="84" t="str">
        <f>HYPERLINK(AB2 &amp; "/calculator/sn_469e6fc6d12a716431703fa9beda6e04/rendering/13.obj", "2.50447692871")</f>
        <v>2.50447692871</v>
      </c>
      <c r="Q764" s="30" t="str">
        <f>HYPERLINK(AB2 &amp; "/calculator/sn_469e6fc6d12a716431703fa9beda6e04/rendering/14.obj", "2.91927368164")</f>
        <v>2.91927368164</v>
      </c>
      <c r="R764" s="48" t="str">
        <f>HYPERLINK(AB2 &amp; "/calculator/sn_469e6fc6d12a716431703fa9beda6e04/rendering/15.obj", "3.00049743652")</f>
        <v>3.00049743652</v>
      </c>
      <c r="S764" s="46" t="str">
        <f>HYPERLINK(AB2 &amp; "/calculator/sn_469e6fc6d12a716431703fa9beda6e04/rendering/16.obj", "2.88541137695")</f>
        <v>2.88541137695</v>
      </c>
      <c r="T764" s="106" t="str">
        <f>HYPERLINK(AB2 &amp; "/calculator/sn_469e6fc6d12a716431703fa9beda6e04/rendering/17.obj", "3.26283966064")</f>
        <v>3.26283966064</v>
      </c>
      <c r="U764" s="33" t="str">
        <f>HYPERLINK(AB2 &amp; "/calculator/sn_469e6fc6d12a716431703fa9beda6e04/rendering/18.obj", "2.61147460938")</f>
        <v>2.61147460938</v>
      </c>
      <c r="V764" s="107" t="str">
        <f>HYPERLINK(AB2 &amp; "/calculator/sn_469e6fc6d12a716431703fa9beda6e04/rendering/19.obj", "2.69130737305")</f>
        <v>2.69130737305</v>
      </c>
      <c r="W764" s="12" t="s">
        <v>31</v>
      </c>
      <c r="X764" s="13">
        <v>2.9316231384277338</v>
      </c>
      <c r="Y764" s="13">
        <v>0.2468675910568138</v>
      </c>
      <c r="Z764" s="107">
        <v>8.4208501365974311E-2</v>
      </c>
    </row>
    <row r="765" spans="1:26" x14ac:dyDescent="0.2">
      <c r="A765" s="1">
        <v>763</v>
      </c>
      <c r="B765" s="2" t="s">
        <v>185</v>
      </c>
      <c r="C765" s="47" t="str">
        <f>HYPERLINK(AB2 &amp; "/calculator/sn_469e6fc6d12a716431703fa9beda6e04/rendering/00.obj", "3.0111374855")</f>
        <v>3.0111374855</v>
      </c>
      <c r="D765" s="94" t="str">
        <f>HYPERLINK(AB2 &amp; "/calculator/sn_469e6fc6d12a716431703fa9beda6e04/rendering/01.obj", "3.20641207695")</f>
        <v>3.20641207695</v>
      </c>
      <c r="E765" s="37" t="str">
        <f>HYPERLINK(AB2 &amp; "/calculator/sn_469e6fc6d12a716431703fa9beda6e04/rendering/02.obj", "3.50507879257")</f>
        <v>3.50507879257</v>
      </c>
      <c r="F765" s="106" t="str">
        <f>HYPERLINK(AB2 &amp; "/calculator/sn_469e6fc6d12a716431703fa9beda6e04/rendering/03.obj", "2.64218020439")</f>
        <v>2.64218020439</v>
      </c>
      <c r="G765" s="41" t="str">
        <f>HYPERLINK(AB2 &amp; "/calculator/sn_469e6fc6d12a716431703fa9beda6e04/rendering/04.obj", "3.18443465233")</f>
        <v>3.18443465233</v>
      </c>
      <c r="H765" s="51" t="str">
        <f>HYPERLINK(AB2 &amp; "/calculator/sn_469e6fc6d12a716431703fa9beda6e04/rendering/05.obj", "3.22844696045")</f>
        <v>3.22844696045</v>
      </c>
      <c r="I765" s="51" t="str">
        <f>HYPERLINK(AB2 &amp; "/calculator/sn_469e6fc6d12a716431703fa9beda6e04/rendering/06.obj", "2.75232648849")</f>
        <v>2.75232648849</v>
      </c>
      <c r="J765" s="23" t="str">
        <f>HYPERLINK(AB2 &amp; "/calculator/sn_469e6fc6d12a716431703fa9beda6e04/rendering/07.obj", "2.87033057213")</f>
        <v>2.87033057213</v>
      </c>
      <c r="K765" s="80" t="str">
        <f>HYPERLINK(AB2 &amp; "/calculator/sn_469e6fc6d12a716431703fa9beda6e04/rendering/08.obj", "3.42917871475")</f>
        <v>3.42917871475</v>
      </c>
      <c r="L765" s="28" t="str">
        <f>HYPERLINK(AB2 &amp; "/calculator/sn_469e6fc6d12a716431703fa9beda6e04/rendering/09.obj", "2.65425372124")</f>
        <v>2.65425372124</v>
      </c>
      <c r="M765" s="78" t="str">
        <f>HYPERLINK(AB2 &amp; "/calculator/sn_469e6fc6d12a716431703fa9beda6e04/rendering/10.obj", "2.80010151863")</f>
        <v>2.80010151863</v>
      </c>
      <c r="N765" s="6" t="str">
        <f>HYPERLINK(AB2 &amp; "/calculator/sn_469e6fc6d12a716431703fa9beda6e04/rendering/11.obj", "3.11907577515")</f>
        <v>3.11907577515</v>
      </c>
      <c r="O765" s="64" t="str">
        <f>HYPERLINK(AB2 &amp; "/calculator/sn_469e6fc6d12a716431703fa9beda6e04/rendering/12.obj", "3.47589802742")</f>
        <v>3.47589802742</v>
      </c>
      <c r="P765" s="68" t="str">
        <f>HYPERLINK(AB2 &amp; "/calculator/sn_469e6fc6d12a716431703fa9beda6e04/rendering/13.obj", "3.1128115654")</f>
        <v>3.1128115654</v>
      </c>
      <c r="Q765" s="48" t="str">
        <f>HYPERLINK(AB2 &amp; "/calculator/sn_469e6fc6d12a716431703fa9beda6e04/rendering/14.obj", "3.06097650528")</f>
        <v>3.06097650528</v>
      </c>
      <c r="R765" s="94" t="str">
        <f>HYPERLINK(AB2 &amp; "/calculator/sn_469e6fc6d12a716431703fa9beda6e04/rendering/15.obj", "2.76832652092")</f>
        <v>2.76832652092</v>
      </c>
      <c r="S765" s="92" t="str">
        <f>HYPERLINK(AB2 &amp; "/calculator/sn_469e6fc6d12a716431703fa9beda6e04/rendering/16.obj", "2.61490988731")</f>
        <v>2.61490988731</v>
      </c>
      <c r="T765" s="68" t="str">
        <f>HYPERLINK(AB2 &amp; "/calculator/sn_469e6fc6d12a716431703fa9beda6e04/rendering/17.obj", "3.11760187149")</f>
        <v>3.11760187149</v>
      </c>
      <c r="U765" s="63" t="str">
        <f>HYPERLINK(AB2 &amp; "/calculator/sn_469e6fc6d12a716431703fa9beda6e04/rendering/18.obj", "2.6293118")</f>
        <v>2.6293118</v>
      </c>
      <c r="V765" s="8" t="str">
        <f>HYPERLINK(AB2 &amp; "/calculator/sn_469e6fc6d12a716431703fa9beda6e04/rendering/19.obj", "2.56548380852")</f>
        <v>2.56548380852</v>
      </c>
      <c r="W765" s="12" t="s">
        <v>32</v>
      </c>
      <c r="X765" s="13">
        <v>2.987413847446442</v>
      </c>
      <c r="Y765" s="13">
        <v>0.29409776576386459</v>
      </c>
      <c r="Z765" s="110">
        <v>9.8445605725250032E-2</v>
      </c>
    </row>
    <row r="766" spans="1:26" x14ac:dyDescent="0.2">
      <c r="A766" s="1">
        <v>764</v>
      </c>
      <c r="B766" s="2" t="s">
        <v>185</v>
      </c>
      <c r="C766" s="13" t="str">
        <f>HYPERLINK(AC2 &amp; "/calculator/sn_469e6fc6d12a716431703fa9beda6e04/rendering/00.xyz", "0.0")</f>
        <v>0.0</v>
      </c>
      <c r="D766" s="13" t="str">
        <f>HYPERLINK(AC2 &amp; "/calculator/sn_469e6fc6d12a716431703fa9beda6e04/rendering/01.xyz", "0.0")</f>
        <v>0.0</v>
      </c>
      <c r="E766" s="13" t="str">
        <f>HYPERLINK(AC2 &amp; "/calculator/sn_469e6fc6d12a716431703fa9beda6e04/rendering/02.xyz", "0.0")</f>
        <v>0.0</v>
      </c>
      <c r="F766" s="13" t="str">
        <f>HYPERLINK(AC2 &amp; "/calculator/sn_469e6fc6d12a716431703fa9beda6e04/rendering/03.xyz", "0.0")</f>
        <v>0.0</v>
      </c>
      <c r="G766" s="13" t="str">
        <f>HYPERLINK(AC2 &amp; "/calculator/sn_469e6fc6d12a716431703fa9beda6e04/rendering/04.xyz", "0.0")</f>
        <v>0.0</v>
      </c>
      <c r="H766" s="13" t="str">
        <f>HYPERLINK(AC2 &amp; "/calculator/sn_469e6fc6d12a716431703fa9beda6e04/rendering/05.xyz", "0.0")</f>
        <v>0.0</v>
      </c>
      <c r="I766" s="13" t="str">
        <f>HYPERLINK(AC2 &amp; "/calculator/sn_469e6fc6d12a716431703fa9beda6e04/rendering/06.xyz", "0.0")</f>
        <v>0.0</v>
      </c>
      <c r="J766" s="13" t="str">
        <f>HYPERLINK(AC2 &amp; "/calculator/sn_469e6fc6d12a716431703fa9beda6e04/rendering/07.xyz", "0.0")</f>
        <v>0.0</v>
      </c>
      <c r="K766" s="13" t="str">
        <f>HYPERLINK(AC2 &amp; "/calculator/sn_469e6fc6d12a716431703fa9beda6e04/rendering/08.xyz", "0.0")</f>
        <v>0.0</v>
      </c>
      <c r="L766" s="13" t="str">
        <f>HYPERLINK(AC2 &amp; "/calculator/sn_469e6fc6d12a716431703fa9beda6e04/rendering/09.xyz", "0.0")</f>
        <v>0.0</v>
      </c>
      <c r="M766" s="13" t="str">
        <f>HYPERLINK(AC2 &amp; "/calculator/sn_469e6fc6d12a716431703fa9beda6e04/rendering/10.xyz", "0.0")</f>
        <v>0.0</v>
      </c>
      <c r="N766" s="13" t="str">
        <f>HYPERLINK(AC2 &amp; "/calculator/sn_469e6fc6d12a716431703fa9beda6e04/rendering/11.xyz", "0.0")</f>
        <v>0.0</v>
      </c>
      <c r="O766" s="13" t="str">
        <f>HYPERLINK(AC2 &amp; "/calculator/sn_469e6fc6d12a716431703fa9beda6e04/rendering/12.xyz", "0.0")</f>
        <v>0.0</v>
      </c>
      <c r="P766" s="13" t="str">
        <f>HYPERLINK(AC2 &amp; "/calculator/sn_469e6fc6d12a716431703fa9beda6e04/rendering/13.xyz", "0.0")</f>
        <v>0.0</v>
      </c>
      <c r="Q766" s="13" t="str">
        <f>HYPERLINK(AC2 &amp; "/calculator/sn_469e6fc6d12a716431703fa9beda6e04/rendering/14.xyz", "0.0")</f>
        <v>0.0</v>
      </c>
      <c r="R766" s="13" t="str">
        <f>HYPERLINK(AC2 &amp; "/calculator/sn_469e6fc6d12a716431703fa9beda6e04/rendering/15.xyz", "0.0")</f>
        <v>0.0</v>
      </c>
      <c r="S766" s="13" t="str">
        <f>HYPERLINK(AC2 &amp; "/calculator/sn_469e6fc6d12a716431703fa9beda6e04/rendering/16.xyz", "0.0")</f>
        <v>0.0</v>
      </c>
      <c r="T766" s="13" t="str">
        <f>HYPERLINK(AC2 &amp; "/calculator/sn_469e6fc6d12a716431703fa9beda6e04/rendering/17.xyz", "0.0")</f>
        <v>0.0</v>
      </c>
      <c r="U766" s="13" t="str">
        <f>HYPERLINK(AC2 &amp; "/calculator/sn_469e6fc6d12a716431703fa9beda6e04/rendering/18.xyz", "0.0")</f>
        <v>0.0</v>
      </c>
      <c r="V766" s="13" t="str">
        <f>HYPERLINK(AC2 &amp; "/calculator/sn_469e6fc6d12a716431703fa9beda6e04/rendering/19.xyz", "0.0")</f>
        <v>0.0</v>
      </c>
      <c r="W766" s="12" t="s">
        <v>33</v>
      </c>
      <c r="X766" s="13">
        <v>0</v>
      </c>
      <c r="Y766" s="13">
        <v>0</v>
      </c>
      <c r="Z766" s="13">
        <v>0</v>
      </c>
    </row>
    <row r="767" spans="1:26" x14ac:dyDescent="0.2">
      <c r="A767" s="1">
        <v>765</v>
      </c>
      <c r="B767" s="2" t="s">
        <v>186</v>
      </c>
      <c r="C767" s="63" t="str">
        <f>HYPERLINK(AA2 &amp; "/calculator/sn_473ea02038078433988af32f989056a2/rendering/00.obj", "3.36831085205")</f>
        <v>3.36831085205</v>
      </c>
      <c r="D767" s="121" t="str">
        <f>HYPERLINK(AA2 &amp; "/calculator/sn_473ea02038078433988af32f989056a2/rendering/01.obj", "5.19199462891")</f>
        <v>5.19199462891</v>
      </c>
      <c r="E767" s="74" t="str">
        <f>HYPERLINK(AA2 &amp; "/calculator/sn_473ea02038078433988af32f989056a2/rendering/02.obj", "3.78229736328")</f>
        <v>3.78229736328</v>
      </c>
      <c r="F767" s="134" t="str">
        <f>HYPERLINK(AA2 &amp; "/calculator/sn_473ea02038078433988af32f989056a2/rendering/03.obj", "4.52912750244")</f>
        <v>4.52912750244</v>
      </c>
      <c r="G767" s="35" t="str">
        <f>HYPERLINK(AA2 &amp; "/calculator/sn_473ea02038078433988af32f989056a2/rendering/04.obj", "3.61970611572")</f>
        <v>3.61970611572</v>
      </c>
      <c r="H767" s="148" t="str">
        <f>HYPERLINK(AA2 &amp; "/calculator/sn_473ea02038078433988af32f989056a2/rendering/05.obj", "1.97266998291")</f>
        <v>1.97266998291</v>
      </c>
      <c r="I767" s="192" t="str">
        <f>HYPERLINK(AA2 &amp; "/calculator/sn_473ea02038078433988af32f989056a2/rendering/06.obj", "2.40483078003")</f>
        <v>2.40483078003</v>
      </c>
      <c r="J767" s="4" t="str">
        <f>HYPERLINK(AA2 &amp; "/calculator/sn_473ea02038078433988af32f989056a2/rendering/07.obj", "4.93114379883")</f>
        <v>4.93114379883</v>
      </c>
      <c r="K767" s="14" t="str">
        <f>HYPERLINK(AA2 &amp; "/calculator/sn_473ea02038078433988af32f989056a2/rendering/08.obj", "2.71773620605")</f>
        <v>2.71773620605</v>
      </c>
      <c r="L767" s="221" t="str">
        <f>HYPERLINK(AA2 &amp; "/calculator/sn_473ea02038078433988af32f989056a2/rendering/09.obj", "5.97245178223")</f>
        <v>5.97245178223</v>
      </c>
      <c r="M767" s="72" t="str">
        <f>HYPERLINK(AA2 &amp; "/calculator/sn_473ea02038078433988af32f989056a2/rendering/10.obj", "3.9618637085")</f>
        <v>3.9618637085</v>
      </c>
      <c r="N767" s="158" t="str">
        <f>HYPERLINK(AA2 &amp; "/calculator/sn_473ea02038078433988af32f989056a2/rendering/11.obj", "5.40562194824")</f>
        <v>5.40562194824</v>
      </c>
      <c r="O767" s="119" t="str">
        <f>HYPERLINK(AA2 &amp; "/calculator/sn_473ea02038078433988af32f989056a2/rendering/12.obj", "2.81500671387")</f>
        <v>2.81500671387</v>
      </c>
      <c r="P767" s="174" t="str">
        <f>HYPERLINK(AA2 &amp; "/calculator/sn_473ea02038078433988af32f989056a2/rendering/13.obj", "5.85498596191")</f>
        <v>5.85498596191</v>
      </c>
      <c r="Q767" s="34" t="str">
        <f>HYPERLINK(AA2 &amp; "/calculator/sn_473ea02038078433988af32f989056a2/rendering/14.obj", "3.65157440186")</f>
        <v>3.65157440186</v>
      </c>
      <c r="R767" s="182" t="str">
        <f>HYPERLINK(AA2 &amp; "/calculator/sn_473ea02038078433988af32f989056a2/rendering/15.obj", "5.11992584229")</f>
        <v>5.11992584229</v>
      </c>
      <c r="S767" s="123" t="str">
        <f>HYPERLINK(AA2 &amp; "/calculator/sn_473ea02038078433988af32f989056a2/rendering/16.obj", "2.42280761719")</f>
        <v>2.42280761719</v>
      </c>
      <c r="T767" s="139" t="str">
        <f>HYPERLINK(AA2 &amp; "/calculator/sn_473ea02038078433988af32f989056a2/rendering/17.obj", "1.99252471924")</f>
        <v>1.99252471924</v>
      </c>
      <c r="U767" s="56" t="str">
        <f>HYPERLINK(AA2 &amp; "/calculator/sn_473ea02038078433988af32f989056a2/rendering/18.obj", "2.64633666992")</f>
        <v>2.64633666992</v>
      </c>
      <c r="V767" s="93" t="str">
        <f>HYPERLINK(AA2 &amp; "/calculator/sn_473ea02038078433988af32f989056a2/rendering/19.obj", "4.376953125")</f>
        <v>4.376953125</v>
      </c>
      <c r="W767" s="12" t="s">
        <v>29</v>
      </c>
      <c r="X767" s="13">
        <v>3.8368934860229489</v>
      </c>
      <c r="Y767" s="13">
        <v>1.255114798934831</v>
      </c>
      <c r="Z767" s="54">
        <v>0.32711744631613271</v>
      </c>
    </row>
    <row r="768" spans="1:26" x14ac:dyDescent="0.2">
      <c r="A768" s="1">
        <v>766</v>
      </c>
      <c r="B768" s="2" t="s">
        <v>186</v>
      </c>
      <c r="C768" s="6" t="str">
        <f>HYPERLINK(AA2 &amp; "/calculator/sn_473ea02038078433988af32f989056a2/rendering/00.obj", "3.47591996193")</f>
        <v>3.47591996193</v>
      </c>
      <c r="D768" s="124" t="str">
        <f>HYPERLINK(AA2 &amp; "/calculator/sn_473ea02038078433988af32f989056a2/rendering/01.obj", "5.03210830688")</f>
        <v>5.03210830688</v>
      </c>
      <c r="E768" s="13" t="str">
        <f>HYPERLINK(AA2 &amp; "/calculator/sn_473ea02038078433988af32f989056a2/rendering/02.obj", "3.64190864563")</f>
        <v>3.64190864563</v>
      </c>
      <c r="F768" s="203" t="str">
        <f>HYPERLINK(AA2 &amp; "/calculator/sn_473ea02038078433988af32f989056a2/rendering/03.obj", "5.34238815308")</f>
        <v>5.34238815308</v>
      </c>
      <c r="G768" s="59" t="str">
        <f>HYPERLINK(AA2 &amp; "/calculator/sn_473ea02038078433988af32f989056a2/rendering/04.obj", "2.7730345726")</f>
        <v>2.7730345726</v>
      </c>
      <c r="H768" s="52" t="str">
        <f>HYPERLINK(AA2 &amp; "/calculator/sn_473ea02038078433988af32f989056a2/rendering/05.obj", "2.1857984066")</f>
        <v>2.1857984066</v>
      </c>
      <c r="I768" s="132" t="str">
        <f>HYPERLINK(AA2 &amp; "/calculator/sn_473ea02038078433988af32f989056a2/rendering/06.obj", "2.11950397491")</f>
        <v>2.11950397491</v>
      </c>
      <c r="J768" s="28" t="str">
        <f>HYPERLINK(AA2 &amp; "/calculator/sn_473ea02038078433988af32f989056a2/rendering/07.obj", "4.04350852966")</f>
        <v>4.04350852966</v>
      </c>
      <c r="K768" s="100" t="str">
        <f>HYPERLINK(AA2 &amp; "/calculator/sn_473ea02038078433988af32f989056a2/rendering/08.obj", "2.54528474808")</f>
        <v>2.54528474808</v>
      </c>
      <c r="L768" s="207" t="str">
        <f>HYPERLINK(AA2 &amp; "/calculator/sn_473ea02038078433988af32f989056a2/rendering/09.obj", "6.30353975296")</f>
        <v>6.30353975296</v>
      </c>
      <c r="M768" s="25" t="str">
        <f>HYPERLINK(AA2 &amp; "/calculator/sn_473ea02038078433988af32f989056a2/rendering/10.obj", "3.67932200432")</f>
        <v>3.67932200432</v>
      </c>
      <c r="N768" s="218" t="str">
        <f>HYPERLINK(AA2 &amp; "/calculator/sn_473ea02038078433988af32f989056a2/rendering/11.obj", "5.52155303955")</f>
        <v>5.52155303955</v>
      </c>
      <c r="O768" s="113" t="str">
        <f>HYPERLINK(AA2 &amp; "/calculator/sn_473ea02038078433988af32f989056a2/rendering/12.obj", "2.63868761063")</f>
        <v>2.63868761063</v>
      </c>
      <c r="P768" s="33" t="str">
        <f>HYPERLINK(AA2 &amp; "/calculator/sn_473ea02038078433988af32f989056a2/rendering/13.obj", "4.03660011292")</f>
        <v>4.03660011292</v>
      </c>
      <c r="Q768" s="64" t="str">
        <f>HYPERLINK(AA2 &amp; "/calculator/sn_473ea02038078433988af32f989056a2/rendering/14.obj", "3.03951740265")</f>
        <v>3.03951740265</v>
      </c>
      <c r="R768" s="203" t="str">
        <f>HYPERLINK(AA2 &amp; "/calculator/sn_473ea02038078433988af32f989056a2/rendering/15.obj", "5.33967113495")</f>
        <v>5.33967113495</v>
      </c>
      <c r="S768" s="152" t="str">
        <f>HYPERLINK(AA2 &amp; "/calculator/sn_473ea02038078433988af32f989056a2/rendering/16.obj", "2.16592693329")</f>
        <v>2.16592693329</v>
      </c>
      <c r="T768" s="53" t="str">
        <f>HYPERLINK(AA2 &amp; "/calculator/sn_473ea02038078433988af32f989056a2/rendering/17.obj", "2.13559913635")</f>
        <v>2.13559913635</v>
      </c>
      <c r="U768" s="87" t="str">
        <f>HYPERLINK(AA2 &amp; "/calculator/sn_473ea02038078433988af32f989056a2/rendering/18.obj", "2.8120265007")</f>
        <v>2.8120265007</v>
      </c>
      <c r="V768" s="133" t="str">
        <f>HYPERLINK(AA2 &amp; "/calculator/sn_473ea02038078433988af32f989056a2/rendering/19.obj", "4.0085105896")</f>
        <v>4.0085105896</v>
      </c>
      <c r="W768" s="12" t="s">
        <v>30</v>
      </c>
      <c r="X768" s="13">
        <v>3.642020475864411</v>
      </c>
      <c r="Y768" s="13">
        <v>1.259076256640719</v>
      </c>
      <c r="Z768" s="140">
        <v>0.34570817626770339</v>
      </c>
    </row>
    <row r="769" spans="1:26" x14ac:dyDescent="0.2">
      <c r="A769" s="1">
        <v>767</v>
      </c>
      <c r="B769" s="2" t="s">
        <v>186</v>
      </c>
      <c r="C769" s="25" t="str">
        <f>HYPERLINK(AB2 &amp; "/calculator/sn_473ea02038078433988af32f989056a2/rendering/00.obj", "3.80313842773")</f>
        <v>3.80313842773</v>
      </c>
      <c r="D769" s="28" t="str">
        <f>HYPERLINK(AB2 &amp; "/calculator/sn_473ea02038078433988af32f989056a2/rendering/01.obj", "4.27599365234")</f>
        <v>4.27599365234</v>
      </c>
      <c r="E769" s="90" t="str">
        <f>HYPERLINK(AB2 &amp; "/calculator/sn_473ea02038078433988af32f989056a2/rendering/02.obj", "4.21883117676")</f>
        <v>4.21883117676</v>
      </c>
      <c r="F769" s="73" t="str">
        <f>HYPERLINK(AB2 &amp; "/calculator/sn_473ea02038078433988af32f989056a2/rendering/03.obj", "3.9858996582")</f>
        <v>3.9858996582</v>
      </c>
      <c r="G769" s="69" t="str">
        <f>HYPERLINK(AB2 &amp; "/calculator/sn_473ea02038078433988af32f989056a2/rendering/04.obj", "3.7271496582")</f>
        <v>3.7271496582</v>
      </c>
      <c r="H769" s="50" t="str">
        <f>HYPERLINK(AB2 &amp; "/calculator/sn_473ea02038078433988af32f989056a2/rendering/05.obj", "3.08509643555")</f>
        <v>3.08509643555</v>
      </c>
      <c r="I769" s="65" t="str">
        <f>HYPERLINK(AB2 &amp; "/calculator/sn_473ea02038078433988af32f989056a2/rendering/06.obj", "3.33398529053")</f>
        <v>3.33398529053</v>
      </c>
      <c r="J769" s="71" t="str">
        <f>HYPERLINK(AB2 &amp; "/calculator/sn_473ea02038078433988af32f989056a2/rendering/07.obj", "3.39027435303")</f>
        <v>3.39027435303</v>
      </c>
      <c r="K769" s="34" t="str">
        <f>HYPERLINK(AB2 &amp; "/calculator/sn_473ea02038078433988af32f989056a2/rendering/08.obj", "3.65494995117")</f>
        <v>3.65494995117</v>
      </c>
      <c r="L769" s="40" t="str">
        <f>HYPERLINK(AB2 &amp; "/calculator/sn_473ea02038078433988af32f989056a2/rendering/09.obj", "4.50356933594")</f>
        <v>4.50356933594</v>
      </c>
      <c r="M769" s="91" t="str">
        <f>HYPERLINK(AB2 &amp; "/calculator/sn_473ea02038078433988af32f989056a2/rendering/10.obj", "3.74193359375")</f>
        <v>3.74193359375</v>
      </c>
      <c r="N769" s="17" t="str">
        <f>HYPERLINK(AB2 &amp; "/calculator/sn_473ea02038078433988af32f989056a2/rendering/11.obj", "3.91840667725")</f>
        <v>3.91840667725</v>
      </c>
      <c r="O769" s="109" t="str">
        <f>HYPERLINK(AB2 &amp; "/calculator/sn_473ea02038078433988af32f989056a2/rendering/12.obj", "4.57201293945")</f>
        <v>4.57201293945</v>
      </c>
      <c r="P769" s="13" t="str">
        <f>HYPERLINK(AB2 &amp; "/calculator/sn_473ea02038078433988af32f989056a2/rendering/13.obj", "3.8500604248")</f>
        <v>3.8500604248</v>
      </c>
      <c r="Q769" s="109" t="str">
        <f>HYPERLINK(AB2 &amp; "/calculator/sn_473ea02038078433988af32f989056a2/rendering/14.obj", "3.11398864746")</f>
        <v>3.11398864746</v>
      </c>
      <c r="R769" s="182" t="str">
        <f>HYPERLINK(AB2 &amp; "/calculator/sn_473ea02038078433988af32f989056a2/rendering/15.obj", "5.12837524414")</f>
        <v>5.12837524414</v>
      </c>
      <c r="S769" s="74" t="str">
        <f>HYPERLINK(AB2 &amp; "/calculator/sn_473ea02038078433988af32f989056a2/rendering/16.obj", "3.79362365723")</f>
        <v>3.79362365723</v>
      </c>
      <c r="T769" s="80" t="str">
        <f>HYPERLINK(AB2 &amp; "/calculator/sn_473ea02038078433988af32f989056a2/rendering/17.obj", "3.26748718262")</f>
        <v>3.26748718262</v>
      </c>
      <c r="U769" s="5" t="str">
        <f>HYPERLINK(AB2 &amp; "/calculator/sn_473ea02038078433988af32f989056a2/rendering/18.obj", "3.5479888916")</f>
        <v>3.5479888916</v>
      </c>
      <c r="V769" s="23" t="str">
        <f>HYPERLINK(AB2 &amp; "/calculator/sn_473ea02038078433988af32f989056a2/rendering/19.obj", "3.99453918457")</f>
        <v>3.99453918457</v>
      </c>
      <c r="W769" s="12" t="s">
        <v>31</v>
      </c>
      <c r="X769" s="13">
        <v>3.845365219116212</v>
      </c>
      <c r="Y769" s="13">
        <v>0.50244135446384952</v>
      </c>
      <c r="Z769" s="29">
        <v>0.13066154339933589</v>
      </c>
    </row>
    <row r="770" spans="1:26" x14ac:dyDescent="0.2">
      <c r="A770" s="1">
        <v>768</v>
      </c>
      <c r="B770" s="2" t="s">
        <v>186</v>
      </c>
      <c r="C770" s="47" t="str">
        <f>HYPERLINK(AB2 &amp; "/calculator/sn_473ea02038078433988af32f989056a2/rendering/00.obj", "3.10067915916")</f>
        <v>3.10067915916</v>
      </c>
      <c r="D770" s="78" t="str">
        <f>HYPERLINK(AB2 &amp; "/calculator/sn_473ea02038078433988af32f989056a2/rendering/01.obj", "3.3153321743")</f>
        <v>3.3153321743</v>
      </c>
      <c r="E770" s="175" t="str">
        <f>HYPERLINK(AB2 &amp; "/calculator/sn_473ea02038078433988af32f989056a2/rendering/02.obj", "3.8578517437")</f>
        <v>3.8578517437</v>
      </c>
      <c r="F770" s="25" t="str">
        <f>HYPERLINK(AB2 &amp; "/calculator/sn_473ea02038078433988af32f989056a2/rendering/03.obj", "3.16149091721")</f>
        <v>3.16149091721</v>
      </c>
      <c r="G770" s="92" t="str">
        <f>HYPERLINK(AB2 &amp; "/calculator/sn_473ea02038078433988af32f989056a2/rendering/04.obj", "2.73661541939")</f>
        <v>2.73661541939</v>
      </c>
      <c r="H770" s="103" t="str">
        <f>HYPERLINK(AB2 &amp; "/calculator/sn_473ea02038078433988af32f989056a2/rendering/05.obj", "2.11588859558")</f>
        <v>2.11588859558</v>
      </c>
      <c r="I770" s="94" t="str">
        <f>HYPERLINK(AB2 &amp; "/calculator/sn_473ea02038078433988af32f989056a2/rendering/06.obj", "2.89617347717")</f>
        <v>2.89617347717</v>
      </c>
      <c r="J770" s="80" t="str">
        <f>HYPERLINK(AB2 &amp; "/calculator/sn_473ea02038078433988af32f989056a2/rendering/07.obj", "2.65787172318")</f>
        <v>2.65787172318</v>
      </c>
      <c r="K770" s="13" t="str">
        <f>HYPERLINK(AB2 &amp; "/calculator/sn_473ea02038078433988af32f989056a2/rendering/08.obj", "3.12169075012")</f>
        <v>3.12169075012</v>
      </c>
      <c r="L770" s="65" t="str">
        <f>HYPERLINK(AB2 &amp; "/calculator/sn_473ea02038078433988af32f989056a2/rendering/09.obj", "3.5453774929")</f>
        <v>3.5453774929</v>
      </c>
      <c r="M770" s="39" t="str">
        <f>HYPERLINK(AB2 &amp; "/calculator/sn_473ea02038078433988af32f989056a2/rendering/10.obj", "3.39572715759")</f>
        <v>3.39572715759</v>
      </c>
      <c r="N770" s="10" t="str">
        <f>HYPERLINK(AB2 &amp; "/calculator/sn_473ea02038078433988af32f989056a2/rendering/11.obj", "2.95447325706")</f>
        <v>2.95447325706</v>
      </c>
      <c r="O770" s="129" t="str">
        <f>HYPERLINK(AB2 &amp; "/calculator/sn_473ea02038078433988af32f989056a2/rendering/12.obj", "3.90435147285")</f>
        <v>3.90435147285</v>
      </c>
      <c r="P770" s="70" t="str">
        <f>HYPERLINK(AB2 &amp; "/calculator/sn_473ea02038078433988af32f989056a2/rendering/13.obj", "2.72855758667")</f>
        <v>2.72855758667</v>
      </c>
      <c r="Q770" s="149" t="str">
        <f>HYPERLINK(AB2 &amp; "/calculator/sn_473ea02038078433988af32f989056a2/rendering/14.obj", "2.05479955673")</f>
        <v>2.05479955673</v>
      </c>
      <c r="R770" s="158" t="str">
        <f>HYPERLINK(AB2 &amp; "/calculator/sn_473ea02038078433988af32f989056a2/rendering/15.obj", "4.41031122208")</f>
        <v>4.41031122208</v>
      </c>
      <c r="S770" s="42" t="str">
        <f>HYPERLINK(AB2 &amp; "/calculator/sn_473ea02038078433988af32f989056a2/rendering/16.obj", "3.54915046692")</f>
        <v>3.54915046692</v>
      </c>
      <c r="T770" s="63" t="str">
        <f>HYPERLINK(AB2 &amp; "/calculator/sn_473ea02038078433988af32f989056a2/rendering/17.obj", "2.75184726715")</f>
        <v>2.75184726715</v>
      </c>
      <c r="U770" s="38" t="str">
        <f>HYPERLINK(AB2 &amp; "/calculator/sn_473ea02038078433988af32f989056a2/rendering/18.obj", "2.84641957283")</f>
        <v>2.84641957283</v>
      </c>
      <c r="V770" s="90" t="str">
        <f>HYPERLINK(AB2 &amp; "/calculator/sn_473ea02038078433988af32f989056a2/rendering/19.obj", "3.42075133324")</f>
        <v>3.42075133324</v>
      </c>
      <c r="W770" s="12" t="s">
        <v>32</v>
      </c>
      <c r="X770" s="13">
        <v>3.126268017292023</v>
      </c>
      <c r="Y770" s="13">
        <v>0.56303375701452174</v>
      </c>
      <c r="Z770" s="134">
        <v>0.18009772479527281</v>
      </c>
    </row>
    <row r="771" spans="1:26" x14ac:dyDescent="0.2">
      <c r="A771" s="1">
        <v>769</v>
      </c>
      <c r="B771" s="2" t="s">
        <v>186</v>
      </c>
      <c r="C771" s="13" t="str">
        <f>HYPERLINK(AC2 &amp; "/calculator/sn_473ea02038078433988af32f989056a2/rendering/00.xyz", "0.0")</f>
        <v>0.0</v>
      </c>
      <c r="D771" s="13" t="str">
        <f>HYPERLINK(AC2 &amp; "/calculator/sn_473ea02038078433988af32f989056a2/rendering/01.xyz", "0.0")</f>
        <v>0.0</v>
      </c>
      <c r="E771" s="13" t="str">
        <f>HYPERLINK(AC2 &amp; "/calculator/sn_473ea02038078433988af32f989056a2/rendering/02.xyz", "0.0")</f>
        <v>0.0</v>
      </c>
      <c r="F771" s="13" t="str">
        <f>HYPERLINK(AC2 &amp; "/calculator/sn_473ea02038078433988af32f989056a2/rendering/03.xyz", "0.0")</f>
        <v>0.0</v>
      </c>
      <c r="G771" s="13" t="str">
        <f>HYPERLINK(AC2 &amp; "/calculator/sn_473ea02038078433988af32f989056a2/rendering/04.xyz", "0.0")</f>
        <v>0.0</v>
      </c>
      <c r="H771" s="13" t="str">
        <f>HYPERLINK(AC2 &amp; "/calculator/sn_473ea02038078433988af32f989056a2/rendering/05.xyz", "0.0")</f>
        <v>0.0</v>
      </c>
      <c r="I771" s="13" t="str">
        <f>HYPERLINK(AC2 &amp; "/calculator/sn_473ea02038078433988af32f989056a2/rendering/06.xyz", "0.0")</f>
        <v>0.0</v>
      </c>
      <c r="J771" s="13" t="str">
        <f>HYPERLINK(AC2 &amp; "/calculator/sn_473ea02038078433988af32f989056a2/rendering/07.xyz", "0.0")</f>
        <v>0.0</v>
      </c>
      <c r="K771" s="13" t="str">
        <f>HYPERLINK(AC2 &amp; "/calculator/sn_473ea02038078433988af32f989056a2/rendering/08.xyz", "0.0")</f>
        <v>0.0</v>
      </c>
      <c r="L771" s="13" t="str">
        <f>HYPERLINK(AC2 &amp; "/calculator/sn_473ea02038078433988af32f989056a2/rendering/09.xyz", "0.0")</f>
        <v>0.0</v>
      </c>
      <c r="M771" s="13" t="str">
        <f>HYPERLINK(AC2 &amp; "/calculator/sn_473ea02038078433988af32f989056a2/rendering/10.xyz", "0.0")</f>
        <v>0.0</v>
      </c>
      <c r="N771" s="13" t="str">
        <f>HYPERLINK(AC2 &amp; "/calculator/sn_473ea02038078433988af32f989056a2/rendering/11.xyz", "0.0")</f>
        <v>0.0</v>
      </c>
      <c r="O771" s="13" t="str">
        <f>HYPERLINK(AC2 &amp; "/calculator/sn_473ea02038078433988af32f989056a2/rendering/12.xyz", "0.0")</f>
        <v>0.0</v>
      </c>
      <c r="P771" s="13" t="str">
        <f>HYPERLINK(AC2 &amp; "/calculator/sn_473ea02038078433988af32f989056a2/rendering/13.xyz", "0.0")</f>
        <v>0.0</v>
      </c>
      <c r="Q771" s="13" t="str">
        <f>HYPERLINK(AC2 &amp; "/calculator/sn_473ea02038078433988af32f989056a2/rendering/14.xyz", "0.0")</f>
        <v>0.0</v>
      </c>
      <c r="R771" s="13" t="str">
        <f>HYPERLINK(AC2 &amp; "/calculator/sn_473ea02038078433988af32f989056a2/rendering/15.xyz", "0.0")</f>
        <v>0.0</v>
      </c>
      <c r="S771" s="13" t="str">
        <f>HYPERLINK(AC2 &amp; "/calculator/sn_473ea02038078433988af32f989056a2/rendering/16.xyz", "0.0")</f>
        <v>0.0</v>
      </c>
      <c r="T771" s="13" t="str">
        <f>HYPERLINK(AC2 &amp; "/calculator/sn_473ea02038078433988af32f989056a2/rendering/17.xyz", "0.0")</f>
        <v>0.0</v>
      </c>
      <c r="U771" s="13" t="str">
        <f>HYPERLINK(AC2 &amp; "/calculator/sn_473ea02038078433988af32f989056a2/rendering/18.xyz", "0.0")</f>
        <v>0.0</v>
      </c>
      <c r="V771" s="13" t="str">
        <f>HYPERLINK(AC2 &amp; "/calculator/sn_473ea02038078433988af32f989056a2/rendering/19.xyz", "0.0")</f>
        <v>0.0</v>
      </c>
      <c r="W771" s="12" t="s">
        <v>33</v>
      </c>
      <c r="X771" s="13">
        <v>0</v>
      </c>
      <c r="Y771" s="13">
        <v>0</v>
      </c>
      <c r="Z771" s="13">
        <v>0</v>
      </c>
    </row>
    <row r="772" spans="1:26" x14ac:dyDescent="0.2">
      <c r="A772" s="1">
        <v>770</v>
      </c>
      <c r="B772" s="2" t="s">
        <v>187</v>
      </c>
      <c r="C772" s="137" t="str">
        <f>HYPERLINK(AA2 &amp; "/calculator/sn_5e82ba29356e199ba701d7974c476044/rendering/00.obj", "2.03327804565")</f>
        <v>2.03327804565</v>
      </c>
      <c r="D772" s="90" t="str">
        <f>HYPERLINK(AA2 &amp; "/calculator/sn_5e82ba29356e199ba701d7974c476044/rendering/01.obj", "2.8908013916")</f>
        <v>2.8908013916</v>
      </c>
      <c r="E772" s="72" t="str">
        <f>HYPERLINK(AA2 &amp; "/calculator/sn_5e82ba29356e199ba701d7974c476044/rendering/02.obj", "3.30821594238")</f>
        <v>3.30821594238</v>
      </c>
      <c r="F772" s="249" t="str">
        <f>HYPERLINK(AA2 &amp; "/calculator/sn_5e82ba29356e199ba701d7974c476044/rendering/03.obj", "5.03412719727")</f>
        <v>5.03412719727</v>
      </c>
      <c r="G772" s="171" t="str">
        <f>HYPERLINK(AA2 &amp; "/calculator/sn_5e82ba29356e199ba701d7974c476044/rendering/04.obj", "2.21930114746")</f>
        <v>2.21930114746</v>
      </c>
      <c r="H772" s="117" t="str">
        <f>HYPERLINK(AA2 &amp; "/calculator/sn_5e82ba29356e199ba701d7974c476044/rendering/05.obj", "2.63474456787")</f>
        <v>2.63474456787</v>
      </c>
      <c r="I772" s="169" t="str">
        <f>HYPERLINK(AA2 &amp; "/calculator/sn_5e82ba29356e199ba701d7974c476044/rendering/06.obj", "2.1966595459")</f>
        <v>2.1966595459</v>
      </c>
      <c r="J772" s="59" t="str">
        <f>HYPERLINK(AA2 &amp; "/calculator/sn_5e82ba29356e199ba701d7974c476044/rendering/07.obj", "3.96647857666")</f>
        <v>3.96647857666</v>
      </c>
      <c r="K772" s="59" t="str">
        <f>HYPERLINK(AA2 &amp; "/calculator/sn_5e82ba29356e199ba701d7974c476044/rendering/08.obj", "3.96550994873")</f>
        <v>3.96550994873</v>
      </c>
      <c r="L772" s="129" t="str">
        <f>HYPERLINK(AA2 &amp; "/calculator/sn_5e82ba29356e199ba701d7974c476044/rendering/09.obj", "4.00222198486")</f>
        <v>4.00222198486</v>
      </c>
      <c r="M772" s="120" t="str">
        <f>HYPERLINK(AA2 &amp; "/calculator/sn_5e82ba29356e199ba701d7974c476044/rendering/10.obj", "2.52610733032")</f>
        <v>2.52610733032</v>
      </c>
      <c r="N772" s="153" t="str">
        <f>HYPERLINK(AA2 &amp; "/calculator/sn_5e82ba29356e199ba701d7974c476044/rendering/11.obj", "2.0617388916")</f>
        <v>2.0617388916</v>
      </c>
      <c r="O772" s="198" t="str">
        <f>HYPERLINK(AA2 &amp; "/calculator/sn_5e82ba29356e199ba701d7974c476044/rendering/12.obj", "1.95826660156")</f>
        <v>1.95826660156</v>
      </c>
      <c r="P772" s="169" t="str">
        <f>HYPERLINK(AA2 &amp; "/calculator/sn_5e82ba29356e199ba701d7974c476044/rendering/13.obj", "2.20340148926")</f>
        <v>2.20340148926</v>
      </c>
      <c r="Q772" s="50" t="str">
        <f>HYPERLINK(AA2 &amp; "/calculator/sn_5e82ba29356e199ba701d7974c476044/rendering/14.obj", "2.56670440674")</f>
        <v>2.56670440674</v>
      </c>
      <c r="R772" s="29" t="str">
        <f>HYPERLINK(AA2 &amp; "/calculator/sn_5e82ba29356e199ba701d7974c476044/rendering/15.obj", "2.77859008789")</f>
        <v>2.77859008789</v>
      </c>
      <c r="S772" s="78" t="str">
        <f>HYPERLINK(AA2 &amp; "/calculator/sn_5e82ba29356e199ba701d7974c476044/rendering/16.obj", "3.00698303223")</f>
        <v>3.00698303223</v>
      </c>
      <c r="T772" s="90" t="str">
        <f>HYPERLINK(AA2 &amp; "/calculator/sn_5e82ba29356e199ba701d7974c476044/rendering/17.obj", "2.89737121582")</f>
        <v>2.89737121582</v>
      </c>
      <c r="U772" s="199" t="str">
        <f>HYPERLINK(AA2 &amp; "/calculator/sn_5e82ba29356e199ba701d7974c476044/rendering/18.obj", "5.71822692871")</f>
        <v>5.71822692871</v>
      </c>
      <c r="V772" s="20" t="str">
        <f>HYPERLINK(AA2 &amp; "/calculator/sn_5e82ba29356e199ba701d7974c476044/rendering/19.obj", "6.01964538574")</f>
        <v>6.01964538574</v>
      </c>
      <c r="W772" s="12" t="s">
        <v>29</v>
      </c>
      <c r="X772" s="13">
        <v>3.199418685913086</v>
      </c>
      <c r="Y772" s="13">
        <v>1.187893889266699</v>
      </c>
      <c r="Z772" s="192">
        <v>0.37128428814176428</v>
      </c>
    </row>
    <row r="773" spans="1:26" x14ac:dyDescent="0.2">
      <c r="A773" s="1">
        <v>771</v>
      </c>
      <c r="B773" s="2" t="s">
        <v>187</v>
      </c>
      <c r="C773" s="19" t="str">
        <f>HYPERLINK(AA2 &amp; "/calculator/sn_5e82ba29356e199ba701d7974c476044/rendering/00.obj", "3.38384890556")</f>
        <v>3.38384890556</v>
      </c>
      <c r="D773" s="51" t="str">
        <f>HYPERLINK(AA2 &amp; "/calculator/sn_5e82ba29356e199ba701d7974c476044/rendering/01.obj", "4.22144317627")</f>
        <v>4.22144317627</v>
      </c>
      <c r="E773" s="17" t="str">
        <f>HYPERLINK(AA2 &amp; "/calculator/sn_5e82ba29356e199ba701d7974c476044/rendering/02.obj", "4.67172956467")</f>
        <v>4.67172956467</v>
      </c>
      <c r="F773" s="191" t="str">
        <f>HYPERLINK(AA2 &amp; "/calculator/sn_5e82ba29356e199ba701d7974c476044/rendering/03.obj", "6.65621614456")</f>
        <v>6.65621614456</v>
      </c>
      <c r="G773" s="98" t="str">
        <f>HYPERLINK(AA2 &amp; "/calculator/sn_5e82ba29356e199ba701d7974c476044/rendering/04.obj", "3.52275013924")</f>
        <v>3.52275013924</v>
      </c>
      <c r="H773" s="67" t="str">
        <f>HYPERLINK(AA2 &amp; "/calculator/sn_5e82ba29356e199ba701d7974c476044/rendering/05.obj", "4.16419506073")</f>
        <v>4.16419506073</v>
      </c>
      <c r="I773" s="86" t="str">
        <f>HYPERLINK(AA2 &amp; "/calculator/sn_5e82ba29356e199ba701d7974c476044/rendering/06.obj", "3.36108970642")</f>
        <v>3.36108970642</v>
      </c>
      <c r="J773" s="142" t="str">
        <f>HYPERLINK(AA2 &amp; "/calculator/sn_5e82ba29356e199ba701d7974c476044/rendering/07.obj", "6.39328956604")</f>
        <v>6.39328956604</v>
      </c>
      <c r="K773" s="65" t="str">
        <f>HYPERLINK(AA2 &amp; "/calculator/sn_5e82ba29356e199ba701d7974c476044/rendering/08.obj", "5.19076013565")</f>
        <v>5.19076013565</v>
      </c>
      <c r="L773" s="60" t="str">
        <f>HYPERLINK(AA2 &amp; "/calculator/sn_5e82ba29356e199ba701d7974c476044/rendering/09.obj", "4.35146474838")</f>
        <v>4.35146474838</v>
      </c>
      <c r="M773" s="80" t="str">
        <f>HYPERLINK(AA2 &amp; "/calculator/sn_5e82ba29356e199ba701d7974c476044/rendering/10.obj", "3.9018611908")</f>
        <v>3.9018611908</v>
      </c>
      <c r="N773" s="4" t="str">
        <f>HYPERLINK(AA2 &amp; "/calculator/sn_5e82ba29356e199ba701d7974c476044/rendering/11.obj", "3.28319072723")</f>
        <v>3.28319072723</v>
      </c>
      <c r="O773" s="168" t="str">
        <f>HYPERLINK(AA2 &amp; "/calculator/sn_5e82ba29356e199ba701d7974c476044/rendering/12.obj", "3.10509371758")</f>
        <v>3.10509371758</v>
      </c>
      <c r="P773" s="171" t="str">
        <f>HYPERLINK(AA2 &amp; "/calculator/sn_5e82ba29356e199ba701d7974c476044/rendering/13.obj", "3.18551468849")</f>
        <v>3.18551468849</v>
      </c>
      <c r="Q773" s="87" t="str">
        <f>HYPERLINK(AA2 &amp; "/calculator/sn_5e82ba29356e199ba701d7974c476044/rendering/14.obj", "3.54485559464")</f>
        <v>3.54485559464</v>
      </c>
      <c r="R773" s="8" t="str">
        <f>HYPERLINK(AA2 &amp; "/calculator/sn_5e82ba29356e199ba701d7974c476044/rendering/15.obj", "3.92911148071")</f>
        <v>3.92911148071</v>
      </c>
      <c r="S773" s="46" t="str">
        <f>HYPERLINK(AA2 &amp; "/calculator/sn_5e82ba29356e199ba701d7974c476044/rendering/16.obj", "4.66669750214")</f>
        <v>4.66669750214</v>
      </c>
      <c r="T773" s="78" t="str">
        <f>HYPERLINK(AA2 &amp; "/calculator/sn_5e82ba29356e199ba701d7974c476044/rendering/17.obj", "4.86244487762")</f>
        <v>4.86244487762</v>
      </c>
      <c r="U773" s="248" t="str">
        <f>HYPERLINK(AA2 &amp; "/calculator/sn_5e82ba29356e199ba701d7974c476044/rendering/18.obj", "7.61351156235")</f>
        <v>7.61351156235</v>
      </c>
      <c r="V773" s="237" t="str">
        <f>HYPERLINK(AA2 &amp; "/calculator/sn_5e82ba29356e199ba701d7974c476044/rendering/19.obj", "7.66419696808")</f>
        <v>7.66419696808</v>
      </c>
      <c r="W773" s="12" t="s">
        <v>30</v>
      </c>
      <c r="X773" s="13">
        <v>4.5836632728576658</v>
      </c>
      <c r="Y773" s="13">
        <v>1.395104074593001</v>
      </c>
      <c r="Z773" s="171">
        <v>0.30436443332435931</v>
      </c>
    </row>
    <row r="774" spans="1:26" x14ac:dyDescent="0.2">
      <c r="A774" s="1">
        <v>772</v>
      </c>
      <c r="B774" s="2" t="s">
        <v>187</v>
      </c>
      <c r="C774" s="94" t="str">
        <f>HYPERLINK(AB2 &amp; "/calculator/sn_5e82ba29356e199ba701d7974c476044/rendering/00.obj", "2.00857299805")</f>
        <v>2.00857299805</v>
      </c>
      <c r="D774" s="73" t="str">
        <f>HYPERLINK(AB2 &amp; "/calculator/sn_5e82ba29356e199ba701d7974c476044/rendering/01.obj", "2.08790603638")</f>
        <v>2.08790603638</v>
      </c>
      <c r="E774" s="63" t="str">
        <f>HYPERLINK(AB2 &amp; "/calculator/sn_5e82ba29356e199ba701d7974c476044/rendering/02.obj", "1.90515487671")</f>
        <v>1.90515487671</v>
      </c>
      <c r="F774" s="10" t="str">
        <f>HYPERLINK(AB2 &amp; "/calculator/sn_5e82ba29356e199ba701d7974c476044/rendering/03.obj", "2.04862030029")</f>
        <v>2.04862030029</v>
      </c>
      <c r="G774" s="68" t="str">
        <f>HYPERLINK(AB2 &amp; "/calculator/sn_5e82ba29356e199ba701d7974c476044/rendering/04.obj", "2.25494934082")</f>
        <v>2.25494934082</v>
      </c>
      <c r="H774" s="39" t="str">
        <f>HYPERLINK(AB2 &amp; "/calculator/sn_5e82ba29356e199ba701d7974c476044/rendering/05.obj", "1.98043701172")</f>
        <v>1.98043701172</v>
      </c>
      <c r="I774" s="30" t="str">
        <f>HYPERLINK(AB2 &amp; "/calculator/sn_5e82ba29356e199ba701d7974c476044/rendering/06.obj", "2.1563130188")</f>
        <v>2.1563130188</v>
      </c>
      <c r="J774" s="133" t="str">
        <f>HYPERLINK(AB2 &amp; "/calculator/sn_5e82ba29356e199ba701d7974c476044/rendering/07.obj", "2.38719604492")</f>
        <v>2.38719604492</v>
      </c>
      <c r="K774" s="39" t="str">
        <f>HYPERLINK(AB2 &amp; "/calculator/sn_5e82ba29356e199ba701d7974c476044/rendering/08.obj", "1.97966461182")</f>
        <v>1.97966461182</v>
      </c>
      <c r="L774" s="68" t="str">
        <f>HYPERLINK(AB2 &amp; "/calculator/sn_5e82ba29356e199ba701d7974c476044/rendering/09.obj", "2.25577255249")</f>
        <v>2.25577255249</v>
      </c>
      <c r="M774" s="26" t="str">
        <f>HYPERLINK(AB2 &amp; "/calculator/sn_5e82ba29356e199ba701d7974c476044/rendering/10.obj", "2.30647659302")</f>
        <v>2.30647659302</v>
      </c>
      <c r="N774" s="17" t="str">
        <f>HYPERLINK(AB2 &amp; "/calculator/sn_5e82ba29356e199ba701d7974c476044/rendering/11.obj", "2.20932739258")</f>
        <v>2.20932739258</v>
      </c>
      <c r="O774" s="84" t="str">
        <f>HYPERLINK(AB2 &amp; "/calculator/sn_5e82ba29356e199ba701d7974c476044/rendering/12.obj", "2.48367462158")</f>
        <v>2.48367462158</v>
      </c>
      <c r="P774" s="25" t="str">
        <f>HYPERLINK(AB2 &amp; "/calculator/sn_5e82ba29356e199ba701d7974c476044/rendering/13.obj", "2.19046173096")</f>
        <v>2.19046173096</v>
      </c>
      <c r="Q774" s="51" t="str">
        <f>HYPERLINK(AB2 &amp; "/calculator/sn_5e82ba29356e199ba701d7974c476044/rendering/14.obj", "1.98883789062")</f>
        <v>1.98883789062</v>
      </c>
      <c r="R774" s="67" t="str">
        <f>HYPERLINK(AB2 &amp; "/calculator/sn_5e82ba29356e199ba701d7974c476044/rendering/15.obj", "1.96201034546")</f>
        <v>1.96201034546</v>
      </c>
      <c r="S774" s="91" t="str">
        <f>HYPERLINK(AB2 &amp; "/calculator/sn_5e82ba29356e199ba701d7974c476044/rendering/16.obj", "2.10518585205")</f>
        <v>2.10518585205</v>
      </c>
      <c r="T774" s="54" t="str">
        <f>HYPERLINK(AB2 &amp; "/calculator/sn_5e82ba29356e199ba701d7974c476044/rendering/17.obj", "2.87233978271")</f>
        <v>2.87233978271</v>
      </c>
      <c r="U774" s="28" t="str">
        <f>HYPERLINK(AB2 &amp; "/calculator/sn_5e82ba29356e199ba701d7974c476044/rendering/18.obj", "1.92099273682")</f>
        <v>1.92099273682</v>
      </c>
      <c r="V774" s="46" t="str">
        <f>HYPERLINK(AB2 &amp; "/calculator/sn_5e82ba29356e199ba701d7974c476044/rendering/19.obj", "2.20539489746")</f>
        <v>2.20539489746</v>
      </c>
      <c r="W774" s="12" t="s">
        <v>31</v>
      </c>
      <c r="X774" s="13">
        <v>2.165464431762695</v>
      </c>
      <c r="Y774" s="13">
        <v>0.22440598515425811</v>
      </c>
      <c r="Z774" s="32">
        <v>0.1036294948384771</v>
      </c>
    </row>
    <row r="775" spans="1:26" x14ac:dyDescent="0.2">
      <c r="A775" s="1">
        <v>773</v>
      </c>
      <c r="B775" s="2" t="s">
        <v>187</v>
      </c>
      <c r="C775" s="5" t="str">
        <f>HYPERLINK(AB2 &amp; "/calculator/sn_5e82ba29356e199ba701d7974c476044/rendering/00.obj", "2.91487669945")</f>
        <v>2.91487669945</v>
      </c>
      <c r="D775" s="46" t="str">
        <f>HYPERLINK(AB2 &amp; "/calculator/sn_5e82ba29356e199ba701d7974c476044/rendering/01.obj", "3.21040391922")</f>
        <v>3.21040391922</v>
      </c>
      <c r="E775" s="67" t="str">
        <f>HYPERLINK(AB2 &amp; "/calculator/sn_5e82ba29356e199ba701d7974c476044/rendering/02.obj", "2.8638548851")</f>
        <v>2.8638548851</v>
      </c>
      <c r="F775" s="51" t="str">
        <f>HYPERLINK(AB2 &amp; "/calculator/sn_5e82ba29356e199ba701d7974c476044/rendering/03.obj", "2.90469861031")</f>
        <v>2.90469861031</v>
      </c>
      <c r="G775" s="33" t="str">
        <f>HYPERLINK(AB2 &amp; "/calculator/sn_5e82ba29356e199ba701d7974c476044/rendering/04.obj", "3.49769043922")</f>
        <v>3.49769043922</v>
      </c>
      <c r="H775" s="41" t="str">
        <f>HYPERLINK(AB2 &amp; "/calculator/sn_5e82ba29356e199ba701d7974c476044/rendering/05.obj", "2.94911909103")</f>
        <v>2.94911909103</v>
      </c>
      <c r="I775" s="74" t="str">
        <f>HYPERLINK(AB2 &amp; "/calculator/sn_5e82ba29356e199ba701d7974c476044/rendering/06.obj", "3.10982060432")</f>
        <v>3.10982060432</v>
      </c>
      <c r="J775" s="78" t="str">
        <f>HYPERLINK(AB2 &amp; "/calculator/sn_5e82ba29356e199ba701d7974c476044/rendering/07.obj", "3.35669732094")</f>
        <v>3.35669732094</v>
      </c>
      <c r="K775" s="69" t="str">
        <f>HYPERLINK(AB2 &amp; "/calculator/sn_5e82ba29356e199ba701d7974c476044/rendering/08.obj", "3.06628608704")</f>
        <v>3.06628608704</v>
      </c>
      <c r="L775" s="23" t="str">
        <f>HYPERLINK(AB2 &amp; "/calculator/sn_5e82ba29356e199ba701d7974c476044/rendering/09.obj", "3.03753662109")</f>
        <v>3.03753662109</v>
      </c>
      <c r="M775" s="13" t="str">
        <f>HYPERLINK(AB2 &amp; "/calculator/sn_5e82ba29356e199ba701d7974c476044/rendering/10.obj", "3.16792845726")</f>
        <v>3.16792845726</v>
      </c>
      <c r="N775" s="30" t="str">
        <f>HYPERLINK(AB2 &amp; "/calculator/sn_5e82ba29356e199ba701d7974c476044/rendering/11.obj", "3.14346218109")</f>
        <v>3.14346218109</v>
      </c>
      <c r="O775" s="6" t="str">
        <f>HYPERLINK(AB2 &amp; "/calculator/sn_5e82ba29356e199ba701d7974c476044/rendering/12.obj", "3.30128002167")</f>
        <v>3.30128002167</v>
      </c>
      <c r="P775" s="34" t="str">
        <f>HYPERLINK(AB2 &amp; "/calculator/sn_5e82ba29356e199ba701d7974c476044/rendering/13.obj", "3.0065882206")</f>
        <v>3.0065882206</v>
      </c>
      <c r="Q775" s="69" t="str">
        <f>HYPERLINK(AB2 &amp; "/calculator/sn_5e82ba29356e199ba701d7974c476044/rendering/14.obj", "3.06583237648")</f>
        <v>3.06583237648</v>
      </c>
      <c r="R775" s="69" t="str">
        <f>HYPERLINK(AB2 &amp; "/calculator/sn_5e82ba29356e199ba701d7974c476044/rendering/15.obj", "3.06901359558")</f>
        <v>3.06901359558</v>
      </c>
      <c r="S775" s="48" t="str">
        <f>HYPERLINK(AB2 &amp; "/calculator/sn_5e82ba29356e199ba701d7974c476044/rendering/16.obj", "3.23599338531")</f>
        <v>3.23599338531</v>
      </c>
      <c r="T775" s="99" t="str">
        <f>HYPERLINK(AB2 &amp; "/calculator/sn_5e82ba29356e199ba701d7974c476044/rendering/17.obj", "4.01787996292")</f>
        <v>4.01787996292</v>
      </c>
      <c r="U775" s="74" t="str">
        <f>HYPERLINK(AB2 &amp; "/calculator/sn_5e82ba29356e199ba701d7974c476044/rendering/18.obj", "3.11278700829")</f>
        <v>3.11278700829</v>
      </c>
      <c r="V775" s="30" t="str">
        <f>HYPERLINK(AB2 &amp; "/calculator/sn_5e82ba29356e199ba701d7974c476044/rendering/19.obj", "3.14455747604")</f>
        <v>3.14455747604</v>
      </c>
      <c r="W775" s="12" t="s">
        <v>32</v>
      </c>
      <c r="X775" s="13">
        <v>3.1588153481483459</v>
      </c>
      <c r="Y775" s="13">
        <v>0.24941429713333749</v>
      </c>
      <c r="Z775" s="51">
        <v>7.8958175658966817E-2</v>
      </c>
    </row>
    <row r="776" spans="1:26" x14ac:dyDescent="0.2">
      <c r="A776" s="1">
        <v>774</v>
      </c>
      <c r="B776" s="2" t="s">
        <v>187</v>
      </c>
      <c r="C776" s="13" t="str">
        <f>HYPERLINK(AC2 &amp; "/calculator/sn_5e82ba29356e199ba701d7974c476044/rendering/00.xyz", "0.0")</f>
        <v>0.0</v>
      </c>
      <c r="D776" s="13" t="str">
        <f>HYPERLINK(AC2 &amp; "/calculator/sn_5e82ba29356e199ba701d7974c476044/rendering/01.xyz", "0.0")</f>
        <v>0.0</v>
      </c>
      <c r="E776" s="13" t="str">
        <f>HYPERLINK(AC2 &amp; "/calculator/sn_5e82ba29356e199ba701d7974c476044/rendering/02.xyz", "0.0")</f>
        <v>0.0</v>
      </c>
      <c r="F776" s="13" t="str">
        <f>HYPERLINK(AC2 &amp; "/calculator/sn_5e82ba29356e199ba701d7974c476044/rendering/03.xyz", "0.0")</f>
        <v>0.0</v>
      </c>
      <c r="G776" s="13" t="str">
        <f>HYPERLINK(AC2 &amp; "/calculator/sn_5e82ba29356e199ba701d7974c476044/rendering/04.xyz", "0.0")</f>
        <v>0.0</v>
      </c>
      <c r="H776" s="13" t="str">
        <f>HYPERLINK(AC2 &amp; "/calculator/sn_5e82ba29356e199ba701d7974c476044/rendering/05.xyz", "0.0")</f>
        <v>0.0</v>
      </c>
      <c r="I776" s="13" t="str">
        <f>HYPERLINK(AC2 &amp; "/calculator/sn_5e82ba29356e199ba701d7974c476044/rendering/06.xyz", "0.0")</f>
        <v>0.0</v>
      </c>
      <c r="J776" s="13" t="str">
        <f>HYPERLINK(AC2 &amp; "/calculator/sn_5e82ba29356e199ba701d7974c476044/rendering/07.xyz", "0.0")</f>
        <v>0.0</v>
      </c>
      <c r="K776" s="13" t="str">
        <f>HYPERLINK(AC2 &amp; "/calculator/sn_5e82ba29356e199ba701d7974c476044/rendering/08.xyz", "0.0")</f>
        <v>0.0</v>
      </c>
      <c r="L776" s="13" t="str">
        <f>HYPERLINK(AC2 &amp; "/calculator/sn_5e82ba29356e199ba701d7974c476044/rendering/09.xyz", "0.0")</f>
        <v>0.0</v>
      </c>
      <c r="M776" s="13" t="str">
        <f>HYPERLINK(AC2 &amp; "/calculator/sn_5e82ba29356e199ba701d7974c476044/rendering/10.xyz", "0.0")</f>
        <v>0.0</v>
      </c>
      <c r="N776" s="13" t="str">
        <f>HYPERLINK(AC2 &amp; "/calculator/sn_5e82ba29356e199ba701d7974c476044/rendering/11.xyz", "0.0")</f>
        <v>0.0</v>
      </c>
      <c r="O776" s="13" t="str">
        <f>HYPERLINK(AC2 &amp; "/calculator/sn_5e82ba29356e199ba701d7974c476044/rendering/12.xyz", "0.0")</f>
        <v>0.0</v>
      </c>
      <c r="P776" s="13" t="str">
        <f>HYPERLINK(AC2 &amp; "/calculator/sn_5e82ba29356e199ba701d7974c476044/rendering/13.xyz", "0.0")</f>
        <v>0.0</v>
      </c>
      <c r="Q776" s="13" t="str">
        <f>HYPERLINK(AC2 &amp; "/calculator/sn_5e82ba29356e199ba701d7974c476044/rendering/14.xyz", "0.0")</f>
        <v>0.0</v>
      </c>
      <c r="R776" s="13" t="str">
        <f>HYPERLINK(AC2 &amp; "/calculator/sn_5e82ba29356e199ba701d7974c476044/rendering/15.xyz", "0.0")</f>
        <v>0.0</v>
      </c>
      <c r="S776" s="13" t="str">
        <f>HYPERLINK(AC2 &amp; "/calculator/sn_5e82ba29356e199ba701d7974c476044/rendering/16.xyz", "0.0")</f>
        <v>0.0</v>
      </c>
      <c r="T776" s="13" t="str">
        <f>HYPERLINK(AC2 &amp; "/calculator/sn_5e82ba29356e199ba701d7974c476044/rendering/17.xyz", "0.0")</f>
        <v>0.0</v>
      </c>
      <c r="U776" s="13" t="str">
        <f>HYPERLINK(AC2 &amp; "/calculator/sn_5e82ba29356e199ba701d7974c476044/rendering/18.xyz", "0.0")</f>
        <v>0.0</v>
      </c>
      <c r="V776" s="13" t="str">
        <f>HYPERLINK(AC2 &amp; "/calculator/sn_5e82ba29356e199ba701d7974c476044/rendering/19.xyz", "0.0")</f>
        <v>0.0</v>
      </c>
      <c r="W776" s="12" t="s">
        <v>33</v>
      </c>
      <c r="X776" s="13">
        <v>0</v>
      </c>
      <c r="Y776" s="13">
        <v>0</v>
      </c>
      <c r="Z776" s="13">
        <v>0</v>
      </c>
    </row>
    <row r="777" spans="1:26" x14ac:dyDescent="0.2">
      <c r="A777" s="1">
        <v>775</v>
      </c>
      <c r="B777" s="2" t="s">
        <v>188</v>
      </c>
      <c r="C777" s="20" t="str">
        <f>HYPERLINK(AA2 &amp; "/calculator/sn_6679ba12b3966188de86c9f6866913f8/rendering/00.obj", "8.18780334473")</f>
        <v>8.18780334473</v>
      </c>
      <c r="D777" s="147" t="str">
        <f>HYPERLINK(AA2 &amp; "/calculator/sn_6679ba12b3966188de86c9f6866913f8/rendering/01.obj", "2.22803314209")</f>
        <v>2.22803314209</v>
      </c>
      <c r="E777" s="95" t="str">
        <f>HYPERLINK(AA2 &amp; "/calculator/sn_6679ba12b3966188de86c9f6866913f8/rendering/02.obj", "3.1257635498")</f>
        <v>3.1257635498</v>
      </c>
      <c r="F777" s="100" t="str">
        <f>HYPERLINK(AA2 &amp; "/calculator/sn_6679ba12b3966188de86c9f6866913f8/rendering/03.obj", "3.04419006348")</f>
        <v>3.04419006348</v>
      </c>
      <c r="G777" s="6" t="str">
        <f>HYPERLINK(AA2 &amp; "/calculator/sn_6679ba12b3966188de86c9f6866913f8/rendering/04.obj", "4.14809112549")</f>
        <v>4.14809112549</v>
      </c>
      <c r="H777" s="112" t="str">
        <f>HYPERLINK(AA2 &amp; "/calculator/sn_6679ba12b3966188de86c9f6866913f8/rendering/05.obj", "6.93707824707")</f>
        <v>6.93707824707</v>
      </c>
      <c r="I777" s="139" t="str">
        <f>HYPERLINK(AA2 &amp; "/calculator/sn_6679ba12b3966188de86c9f6866913f8/rendering/06.obj", "2.25973358154")</f>
        <v>2.25973358154</v>
      </c>
      <c r="J777" s="110" t="str">
        <f>HYPERLINK(AA2 &amp; "/calculator/sn_6679ba12b3966188de86c9f6866913f8/rendering/07.obj", "3.92121185303")</f>
        <v>3.92121185303</v>
      </c>
      <c r="K777" s="121" t="str">
        <f>HYPERLINK(AA2 &amp; "/calculator/sn_6679ba12b3966188de86c9f6866913f8/rendering/08.obj", "2.8152154541")</f>
        <v>2.8152154541</v>
      </c>
      <c r="L777" s="193" t="str">
        <f>HYPERLINK(AA2 &amp; "/calculator/sn_6679ba12b3966188de86c9f6866913f8/rendering/09.obj", "2.9145916748")</f>
        <v>2.9145916748</v>
      </c>
      <c r="M777" s="89" t="str">
        <f>HYPERLINK(AA2 &amp; "/calculator/sn_6679ba12b3966188de86c9f6866913f8/rendering/10.obj", "3.22828948975")</f>
        <v>3.22828948975</v>
      </c>
      <c r="N777" s="96" t="str">
        <f>HYPERLINK(AA2 &amp; "/calculator/sn_6679ba12b3966188de86c9f6866913f8/rendering/11.obj", "2.77342407227")</f>
        <v>2.77342407227</v>
      </c>
      <c r="O777" s="220" t="str">
        <f>HYPERLINK(AA2 &amp; "/calculator/sn_6679ba12b3966188de86c9f6866913f8/rendering/12.obj", "7.30479858398")</f>
        <v>7.30479858398</v>
      </c>
      <c r="P777" s="20" t="str">
        <f>HYPERLINK(AA2 &amp; "/calculator/sn_6679ba12b3966188de86c9f6866913f8/rendering/13.obj", "9.75202880859")</f>
        <v>9.75202880859</v>
      </c>
      <c r="Q777" s="20" t="str">
        <f>HYPERLINK(AA2 &amp; "/calculator/sn_6679ba12b3966188de86c9f6866913f8/rendering/14.obj", "8.34569946289")</f>
        <v>8.34569946289</v>
      </c>
      <c r="R777" s="30" t="str">
        <f>HYPERLINK(AA2 &amp; "/calculator/sn_6679ba12b3966188de86c9f6866913f8/rendering/15.obj", "4.32180603027")</f>
        <v>4.32180603027</v>
      </c>
      <c r="S777" s="134" t="str">
        <f>HYPERLINK(AA2 &amp; "/calculator/sn_6679ba12b3966188de86c9f6866913f8/rendering/16.obj", "3.56809753418")</f>
        <v>3.56809753418</v>
      </c>
      <c r="T777" s="123" t="str">
        <f>HYPERLINK(AA2 &amp; "/calculator/sn_6679ba12b3966188de86c9f6866913f8/rendering/17.obj", "2.75149108887")</f>
        <v>2.75149108887</v>
      </c>
      <c r="U777" s="230" t="str">
        <f>HYPERLINK(AA2 &amp; "/calculator/sn_6679ba12b3966188de86c9f6866913f8/rendering/18.obj", "2.36558151245")</f>
        <v>2.36558151245</v>
      </c>
      <c r="V777" s="57" t="str">
        <f>HYPERLINK(AA2 &amp; "/calculator/sn_6679ba12b3966188de86c9f6866913f8/rendering/19.obj", "2.97366546631")</f>
        <v>2.97366546631</v>
      </c>
      <c r="W777" s="12" t="s">
        <v>29</v>
      </c>
      <c r="X777" s="13">
        <v>4.3483297042846676</v>
      </c>
      <c r="Y777" s="13">
        <v>2.2886665556121</v>
      </c>
      <c r="Z777" s="174">
        <v>0.52633234167062837</v>
      </c>
    </row>
    <row r="778" spans="1:26" x14ac:dyDescent="0.2">
      <c r="A778" s="1">
        <v>776</v>
      </c>
      <c r="B778" s="2" t="s">
        <v>188</v>
      </c>
      <c r="C778" s="20" t="str">
        <f>HYPERLINK(AA2 &amp; "/calculator/sn_6679ba12b3966188de86c9f6866913f8/rendering/00.obj", "8.60728263855")</f>
        <v>8.60728263855</v>
      </c>
      <c r="D778" s="148" t="str">
        <f>HYPERLINK(AA2 &amp; "/calculator/sn_6679ba12b3966188de86c9f6866913f8/rendering/01.obj", "2.32292938232")</f>
        <v>2.32292938232</v>
      </c>
      <c r="E778" s="142" t="str">
        <f>HYPERLINK(AA2 &amp; "/calculator/sn_6679ba12b3966188de86c9f6866913f8/rendering/02.obj", "2.73509478569")</f>
        <v>2.73509478569</v>
      </c>
      <c r="F778" s="157" t="str">
        <f>HYPERLINK(AA2 &amp; "/calculator/sn_6679ba12b3966188de86c9f6866913f8/rendering/03.obj", "2.64352655411")</f>
        <v>2.64352655411</v>
      </c>
      <c r="G778" s="34" t="str">
        <f>HYPERLINK(AA2 &amp; "/calculator/sn_6679ba12b3966188de86c9f6866913f8/rendering/04.obj", "4.29794740677")</f>
        <v>4.29794740677</v>
      </c>
      <c r="H778" s="236" t="str">
        <f>HYPERLINK(AA2 &amp; "/calculator/sn_6679ba12b3966188de86c9f6866913f8/rendering/05.obj", "7.85030555725")</f>
        <v>7.85030555725</v>
      </c>
      <c r="I778" s="227" t="str">
        <f>HYPERLINK(AA2 &amp; "/calculator/sn_6679ba12b3966188de86c9f6866913f8/rendering/06.obj", "2.20861339569")</f>
        <v>2.20861339569</v>
      </c>
      <c r="J778" s="30" t="str">
        <f>HYPERLINK(AA2 &amp; "/calculator/sn_6679ba12b3966188de86c9f6866913f8/rendering/07.obj", "4.48825407028")</f>
        <v>4.48825407028</v>
      </c>
      <c r="K778" s="196" t="str">
        <f>HYPERLINK(AA2 &amp; "/calculator/sn_6679ba12b3966188de86c9f6866913f8/rendering/08.obj", "2.71551251411")</f>
        <v>2.71551251411</v>
      </c>
      <c r="L778" s="131" t="str">
        <f>HYPERLINK(AA2 &amp; "/calculator/sn_6679ba12b3966188de86c9f6866913f8/rendering/09.obj", "2.41767787933")</f>
        <v>2.41767787933</v>
      </c>
      <c r="M778" s="82" t="str">
        <f>HYPERLINK(AA2 &amp; "/calculator/sn_6679ba12b3966188de86c9f6866913f8/rendering/10.obj", "3.5809109211")</f>
        <v>3.5809109211</v>
      </c>
      <c r="N778" s="127" t="str">
        <f>HYPERLINK(AA2 &amp; "/calculator/sn_6679ba12b3966188de86c9f6866913f8/rendering/11.obj", "2.17132687569")</f>
        <v>2.17132687569</v>
      </c>
      <c r="O778" s="20" t="str">
        <f>HYPERLINK(AA2 &amp; "/calculator/sn_6679ba12b3966188de86c9f6866913f8/rendering/12.obj", "8.35446643829")</f>
        <v>8.35446643829</v>
      </c>
      <c r="P778" s="20" t="str">
        <f>HYPERLINK(AA2 &amp; "/calculator/sn_6679ba12b3966188de86c9f6866913f8/rendering/13.obj", "10.7127923965")</f>
        <v>10.7127923965</v>
      </c>
      <c r="Q778" s="20" t="str">
        <f>HYPERLINK(AA2 &amp; "/calculator/sn_6679ba12b3966188de86c9f6866913f8/rendering/14.obj", "8.47617149353")</f>
        <v>8.47617149353</v>
      </c>
      <c r="R778" s="13" t="str">
        <f>HYPERLINK(AA2 &amp; "/calculator/sn_6679ba12b3966188de86c9f6866913f8/rendering/15.obj", "4.49833011627")</f>
        <v>4.49833011627</v>
      </c>
      <c r="S778" s="66" t="str">
        <f>HYPERLINK(AA2 &amp; "/calculator/sn_6679ba12b3966188de86c9f6866913f8/rendering/16.obj", "3.78597164154")</f>
        <v>3.78597164154</v>
      </c>
      <c r="T778" s="137" t="str">
        <f>HYPERLINK(AA2 &amp; "/calculator/sn_6679ba12b3966188de86c9f6866913f8/rendering/17.obj", "2.86682963371")</f>
        <v>2.86682963371</v>
      </c>
      <c r="U778" s="130" t="str">
        <f>HYPERLINK(AA2 &amp; "/calculator/sn_6679ba12b3966188de86c9f6866913f8/rendering/18.obj", "2.47687530518")</f>
        <v>2.47687530518</v>
      </c>
      <c r="V778" s="54" t="str">
        <f>HYPERLINK(AA2 &amp; "/calculator/sn_6679ba12b3966188de86c9f6866913f8/rendering/19.obj", "3.03668451309")</f>
        <v>3.03668451309</v>
      </c>
      <c r="W778" s="12" t="s">
        <v>30</v>
      </c>
      <c r="X778" s="13">
        <v>4.5123751759529114</v>
      </c>
      <c r="Y778" s="13">
        <v>2.6186699562707831</v>
      </c>
      <c r="Z778" s="18">
        <v>0.58033072476465331</v>
      </c>
    </row>
    <row r="779" spans="1:26" x14ac:dyDescent="0.2">
      <c r="A779" s="1">
        <v>777</v>
      </c>
      <c r="B779" s="2" t="s">
        <v>188</v>
      </c>
      <c r="C779" s="34" t="str">
        <f>HYPERLINK(AB2 &amp; "/calculator/sn_6679ba12b3966188de86c9f6866913f8/rendering/00.obj", "2.35904907227")</f>
        <v>2.35904907227</v>
      </c>
      <c r="D779" s="73" t="str">
        <f>HYPERLINK(AB2 &amp; "/calculator/sn_6679ba12b3966188de86c9f6866913f8/rendering/01.obj", "2.57089782715")</f>
        <v>2.57089782715</v>
      </c>
      <c r="E779" s="27" t="str">
        <f>HYPERLINK(AB2 &amp; "/calculator/sn_6679ba12b3966188de86c9f6866913f8/rendering/02.obj", "2.30136352539")</f>
        <v>2.30136352539</v>
      </c>
      <c r="F779" s="41" t="str">
        <f>HYPERLINK(AB2 &amp; "/calculator/sn_6679ba12b3966188de86c9f6866913f8/rendering/03.obj", "2.31540435791")</f>
        <v>2.31540435791</v>
      </c>
      <c r="G779" s="25" t="str">
        <f>HYPERLINK(AB2 &amp; "/calculator/sn_6679ba12b3966188de86c9f6866913f8/rendering/04.obj", "2.50909133911")</f>
        <v>2.50909133911</v>
      </c>
      <c r="H779" s="84" t="str">
        <f>HYPERLINK(AB2 &amp; "/calculator/sn_6679ba12b3966188de86c9f6866913f8/rendering/05.obj", "2.8379473877")</f>
        <v>2.8379473877</v>
      </c>
      <c r="I779" s="30" t="str">
        <f>HYPERLINK(AB2 &amp; "/calculator/sn_6679ba12b3966188de86c9f6866913f8/rendering/06.obj", "2.46657958984")</f>
        <v>2.46657958984</v>
      </c>
      <c r="J779" s="25" t="str">
        <f>HYPERLINK(AB2 &amp; "/calculator/sn_6679ba12b3966188de86c9f6866913f8/rendering/07.obj", "2.44914886475")</f>
        <v>2.44914886475</v>
      </c>
      <c r="K779" s="13" t="str">
        <f>HYPERLINK(AB2 &amp; "/calculator/sn_6679ba12b3966188de86c9f6866913f8/rendering/08.obj", "2.47406219482")</f>
        <v>2.47406219482</v>
      </c>
      <c r="L779" s="6" t="str">
        <f>HYPERLINK(AB2 &amp; "/calculator/sn_6679ba12b3966188de86c9f6866913f8/rendering/09.obj", "2.3701260376")</f>
        <v>2.3701260376</v>
      </c>
      <c r="M779" s="47" t="str">
        <f>HYPERLINK(AB2 &amp; "/calculator/sn_6679ba12b3966188de86c9f6866913f8/rendering/10.obj", "2.5004624939")</f>
        <v>2.5004624939</v>
      </c>
      <c r="N779" s="27" t="str">
        <f>HYPERLINK(AB2 &amp; "/calculator/sn_6679ba12b3966188de86c9f6866913f8/rendering/11.obj", "2.30177642822")</f>
        <v>2.30177642822</v>
      </c>
      <c r="O779" s="90" t="str">
        <f>HYPERLINK(AB2 &amp; "/calculator/sn_6679ba12b3966188de86c9f6866913f8/rendering/12.obj", "2.71674865723")</f>
        <v>2.71674865723</v>
      </c>
      <c r="P779" s="13" t="str">
        <f>HYPERLINK(AB2 &amp; "/calculator/sn_6679ba12b3966188de86c9f6866913f8/rendering/13.obj", "2.48555450439")</f>
        <v>2.48555450439</v>
      </c>
      <c r="Q779" s="5" t="str">
        <f>HYPERLINK(AB2 &amp; "/calculator/sn_6679ba12b3966188de86c9f6866913f8/rendering/14.obj", "2.67302490234")</f>
        <v>2.67302490234</v>
      </c>
      <c r="R779" s="34" t="str">
        <f>HYPERLINK(AB2 &amp; "/calculator/sn_6679ba12b3966188de86c9f6866913f8/rendering/15.obj", "2.60022064209")</f>
        <v>2.60022064209</v>
      </c>
      <c r="S779" s="23" t="str">
        <f>HYPERLINK(AB2 &amp; "/calculator/sn_6679ba12b3966188de86c9f6866913f8/rendering/16.obj", "2.57648193359")</f>
        <v>2.57648193359</v>
      </c>
      <c r="T779" s="10" t="str">
        <f>HYPERLINK(AB2 &amp; "/calculator/sn_6679ba12b3966188de86c9f6866913f8/rendering/17.obj", "2.344921875")</f>
        <v>2.344921875</v>
      </c>
      <c r="U779" s="27" t="str">
        <f>HYPERLINK(AB2 &amp; "/calculator/sn_6679ba12b3966188de86c9f6866913f8/rendering/18.obj", "2.30149505615")</f>
        <v>2.30149505615</v>
      </c>
      <c r="V779" s="17" t="str">
        <f>HYPERLINK(AB2 &amp; "/calculator/sn_6679ba12b3966188de86c9f6866913f8/rendering/19.obj", "2.4299798584")</f>
        <v>2.4299798584</v>
      </c>
      <c r="W779" s="12" t="s">
        <v>31</v>
      </c>
      <c r="X779" s="13">
        <v>2.4792168273925781</v>
      </c>
      <c r="Y779" s="13">
        <v>0.1459434336765249</v>
      </c>
      <c r="Z779" s="35">
        <v>5.8866748589317772E-2</v>
      </c>
    </row>
    <row r="780" spans="1:26" x14ac:dyDescent="0.2">
      <c r="A780" s="1">
        <v>778</v>
      </c>
      <c r="B780" s="2" t="s">
        <v>188</v>
      </c>
      <c r="C780" s="25" t="str">
        <f>HYPERLINK(AB2 &amp; "/calculator/sn_6679ba12b3966188de86c9f6866913f8/rendering/00.obj", "2.22089505196")</f>
        <v>2.22089505196</v>
      </c>
      <c r="D780" s="67" t="str">
        <f>HYPERLINK(AB2 &amp; "/calculator/sn_6679ba12b3966188de86c9f6866913f8/rendering/01.obj", "2.0376739502")</f>
        <v>2.0376739502</v>
      </c>
      <c r="E780" s="47" t="str">
        <f>HYPERLINK(AB2 &amp; "/calculator/sn_6679ba12b3966188de86c9f6866913f8/rendering/02.obj", "2.2606651783")</f>
        <v>2.2606651783</v>
      </c>
      <c r="F780" s="48" t="str">
        <f>HYPERLINK(AB2 &amp; "/calculator/sn_6679ba12b3966188de86c9f6866913f8/rendering/03.obj", "2.19111728668")</f>
        <v>2.19111728668</v>
      </c>
      <c r="G780" s="10" t="str">
        <f>HYPERLINK(AB2 &amp; "/calculator/sn_6679ba12b3966188de86c9f6866913f8/rendering/04.obj", "2.12128686905")</f>
        <v>2.12128686905</v>
      </c>
      <c r="H780" s="32" t="str">
        <f>HYPERLINK(AB2 &amp; "/calculator/sn_6679ba12b3966188de86c9f6866913f8/rendering/05.obj", "2.48361635208")</f>
        <v>2.48361635208</v>
      </c>
      <c r="I780" s="17" t="str">
        <f>HYPERLINK(AB2 &amp; "/calculator/sn_6679ba12b3966188de86c9f6866913f8/rendering/06.obj", "2.19997930527")</f>
        <v>2.19997930527</v>
      </c>
      <c r="J780" s="34" t="str">
        <f>HYPERLINK(AB2 &amp; "/calculator/sn_6679ba12b3966188de86c9f6866913f8/rendering/07.obj", "2.13680911064")</f>
        <v>2.13680911064</v>
      </c>
      <c r="K780" s="38" t="str">
        <f>HYPERLINK(AB2 &amp; "/calculator/sn_6679ba12b3966188de86c9f6866913f8/rendering/08.obj", "2.04049825668")</f>
        <v>2.04049825668</v>
      </c>
      <c r="L780" s="78" t="str">
        <f>HYPERLINK(AB2 &amp; "/calculator/sn_6679ba12b3966188de86c9f6866913f8/rendering/09.obj", "2.10820293427")</f>
        <v>2.10820293427</v>
      </c>
      <c r="M780" s="91" t="str">
        <f>HYPERLINK(AB2 &amp; "/calculator/sn_6679ba12b3966188de86c9f6866913f8/rendering/10.obj", "2.3069498539")</f>
        <v>2.3069498539</v>
      </c>
      <c r="N780" s="39" t="str">
        <f>HYPERLINK(AB2 &amp; "/calculator/sn_6679ba12b3966188de86c9f6866913f8/rendering/11.obj", "2.05356311798")</f>
        <v>2.05356311798</v>
      </c>
      <c r="O780" s="133" t="str">
        <f>HYPERLINK(AB2 &amp; "/calculator/sn_6679ba12b3966188de86c9f6866913f8/rendering/12.obj", "2.47639942169")</f>
        <v>2.47639942169</v>
      </c>
      <c r="P780" s="79" t="str">
        <f>HYPERLINK(AB2 &amp; "/calculator/sn_6679ba12b3966188de86c9f6866913f8/rendering/13.obj", "2.59672951698")</f>
        <v>2.59672951698</v>
      </c>
      <c r="Q780" s="168" t="str">
        <f>HYPERLINK(AB2 &amp; "/calculator/sn_6679ba12b3966188de86c9f6866913f8/rendering/14.obj", "2.96597313881")</f>
        <v>2.96597313881</v>
      </c>
      <c r="R780" s="26" t="str">
        <f>HYPERLINK(AB2 &amp; "/calculator/sn_6679ba12b3966188de86c9f6866913f8/rendering/15.obj", "2.097479105")</f>
        <v>2.097479105</v>
      </c>
      <c r="S780" s="94" t="str">
        <f>HYPERLINK(AB2 &amp; "/calculator/sn_6679ba12b3966188de86c9f6866913f8/rendering/16.obj", "2.08166098595")</f>
        <v>2.08166098595</v>
      </c>
      <c r="T780" s="27" t="str">
        <f>HYPERLINK(AB2 &amp; "/calculator/sn_6679ba12b3966188de86c9f6866913f8/rendering/17.obj", "2.08637595177")</f>
        <v>2.08637595177</v>
      </c>
      <c r="U780" s="78" t="str">
        <f>HYPERLINK(AB2 &amp; "/calculator/sn_6679ba12b3966188de86c9f6866913f8/rendering/18.obj", "2.10492300987")</f>
        <v>2.10492300987</v>
      </c>
      <c r="V780" s="72" t="str">
        <f>HYPERLINK(AB2 &amp; "/calculator/sn_6679ba12b3966188de86c9f6866913f8/rendering/19.obj", "2.31565713882")</f>
        <v>2.31565713882</v>
      </c>
      <c r="W780" s="12" t="s">
        <v>32</v>
      </c>
      <c r="X780" s="13">
        <v>2.244322776794434</v>
      </c>
      <c r="Y780" s="13">
        <v>0.22682361572646051</v>
      </c>
      <c r="Z780" s="133">
        <v>0.10106550540401001</v>
      </c>
    </row>
    <row r="781" spans="1:26" x14ac:dyDescent="0.2">
      <c r="A781" s="1">
        <v>779</v>
      </c>
      <c r="B781" s="2" t="s">
        <v>188</v>
      </c>
      <c r="C781" s="13" t="str">
        <f>HYPERLINK(AC2 &amp; "/calculator/sn_6679ba12b3966188de86c9f6866913f8/rendering/00.xyz", "0.0")</f>
        <v>0.0</v>
      </c>
      <c r="D781" s="13" t="str">
        <f>HYPERLINK(AC2 &amp; "/calculator/sn_6679ba12b3966188de86c9f6866913f8/rendering/01.xyz", "0.0")</f>
        <v>0.0</v>
      </c>
      <c r="E781" s="13" t="str">
        <f>HYPERLINK(AC2 &amp; "/calculator/sn_6679ba12b3966188de86c9f6866913f8/rendering/02.xyz", "0.0")</f>
        <v>0.0</v>
      </c>
      <c r="F781" s="13" t="str">
        <f>HYPERLINK(AC2 &amp; "/calculator/sn_6679ba12b3966188de86c9f6866913f8/rendering/03.xyz", "0.0")</f>
        <v>0.0</v>
      </c>
      <c r="G781" s="13" t="str">
        <f>HYPERLINK(AC2 &amp; "/calculator/sn_6679ba12b3966188de86c9f6866913f8/rendering/04.xyz", "0.0")</f>
        <v>0.0</v>
      </c>
      <c r="H781" s="13" t="str">
        <f>HYPERLINK(AC2 &amp; "/calculator/sn_6679ba12b3966188de86c9f6866913f8/rendering/05.xyz", "0.0")</f>
        <v>0.0</v>
      </c>
      <c r="I781" s="13" t="str">
        <f>HYPERLINK(AC2 &amp; "/calculator/sn_6679ba12b3966188de86c9f6866913f8/rendering/06.xyz", "0.0")</f>
        <v>0.0</v>
      </c>
      <c r="J781" s="13" t="str">
        <f>HYPERLINK(AC2 &amp; "/calculator/sn_6679ba12b3966188de86c9f6866913f8/rendering/07.xyz", "0.0")</f>
        <v>0.0</v>
      </c>
      <c r="K781" s="13" t="str">
        <f>HYPERLINK(AC2 &amp; "/calculator/sn_6679ba12b3966188de86c9f6866913f8/rendering/08.xyz", "0.0")</f>
        <v>0.0</v>
      </c>
      <c r="L781" s="13" t="str">
        <f>HYPERLINK(AC2 &amp; "/calculator/sn_6679ba12b3966188de86c9f6866913f8/rendering/09.xyz", "0.0")</f>
        <v>0.0</v>
      </c>
      <c r="M781" s="13" t="str">
        <f>HYPERLINK(AC2 &amp; "/calculator/sn_6679ba12b3966188de86c9f6866913f8/rendering/10.xyz", "0.0")</f>
        <v>0.0</v>
      </c>
      <c r="N781" s="13" t="str">
        <f>HYPERLINK(AC2 &amp; "/calculator/sn_6679ba12b3966188de86c9f6866913f8/rendering/11.xyz", "0.0")</f>
        <v>0.0</v>
      </c>
      <c r="O781" s="13" t="str">
        <f>HYPERLINK(AC2 &amp; "/calculator/sn_6679ba12b3966188de86c9f6866913f8/rendering/12.xyz", "0.0")</f>
        <v>0.0</v>
      </c>
      <c r="P781" s="13" t="str">
        <f>HYPERLINK(AC2 &amp; "/calculator/sn_6679ba12b3966188de86c9f6866913f8/rendering/13.xyz", "0.0")</f>
        <v>0.0</v>
      </c>
      <c r="Q781" s="13" t="str">
        <f>HYPERLINK(AC2 &amp; "/calculator/sn_6679ba12b3966188de86c9f6866913f8/rendering/14.xyz", "0.0")</f>
        <v>0.0</v>
      </c>
      <c r="R781" s="13" t="str">
        <f>HYPERLINK(AC2 &amp; "/calculator/sn_6679ba12b3966188de86c9f6866913f8/rendering/15.xyz", "0.0")</f>
        <v>0.0</v>
      </c>
      <c r="S781" s="13" t="str">
        <f>HYPERLINK(AC2 &amp; "/calculator/sn_6679ba12b3966188de86c9f6866913f8/rendering/16.xyz", "0.0")</f>
        <v>0.0</v>
      </c>
      <c r="T781" s="13" t="str">
        <f>HYPERLINK(AC2 &amp; "/calculator/sn_6679ba12b3966188de86c9f6866913f8/rendering/17.xyz", "0.0")</f>
        <v>0.0</v>
      </c>
      <c r="U781" s="13" t="str">
        <f>HYPERLINK(AC2 &amp; "/calculator/sn_6679ba12b3966188de86c9f6866913f8/rendering/18.xyz", "0.0")</f>
        <v>0.0</v>
      </c>
      <c r="V781" s="13" t="str">
        <f>HYPERLINK(AC2 &amp; "/calculator/sn_6679ba12b3966188de86c9f6866913f8/rendering/19.xyz", "0.0")</f>
        <v>0.0</v>
      </c>
      <c r="W781" s="12" t="s">
        <v>33</v>
      </c>
      <c r="X781" s="13">
        <v>0</v>
      </c>
      <c r="Y781" s="13">
        <v>0</v>
      </c>
      <c r="Z781" s="13">
        <v>0</v>
      </c>
    </row>
    <row r="782" spans="1:26" x14ac:dyDescent="0.2">
      <c r="A782" s="1">
        <v>780</v>
      </c>
      <c r="B782" s="2" t="s">
        <v>189</v>
      </c>
      <c r="C782" s="118" t="str">
        <f>HYPERLINK(AA2 &amp; "/calculator/sn_698600a3714c6633a4bd4f46ba404890/rendering/00.obj", "4.91924163818")</f>
        <v>4.91924163818</v>
      </c>
      <c r="D782" s="118" t="str">
        <f>HYPERLINK(AA2 &amp; "/calculator/sn_698600a3714c6633a4bd4f46ba404890/rendering/01.obj", "2.68663330078")</f>
        <v>2.68663330078</v>
      </c>
      <c r="E782" s="119" t="str">
        <f>HYPERLINK(AA2 &amp; "/calculator/sn_698600a3714c6633a4bd4f46ba404890/rendering/02.obj", "2.79116149902")</f>
        <v>2.79116149902</v>
      </c>
      <c r="F782" s="138" t="str">
        <f>HYPERLINK(AA2 &amp; "/calculator/sn_698600a3714c6633a4bd4f46ba404890/rendering/03.obj", "2.52264404297")</f>
        <v>2.52264404297</v>
      </c>
      <c r="G782" s="20" t="str">
        <f>HYPERLINK(AA2 &amp; "/calculator/sn_698600a3714c6633a4bd4f46ba404890/rendering/04.obj", "11.0532666016")</f>
        <v>11.0532666016</v>
      </c>
      <c r="H782" s="79" t="str">
        <f>HYPERLINK(AA2 &amp; "/calculator/sn_698600a3714c6633a4bd4f46ba404890/rendering/05.obj", "3.1978414917")</f>
        <v>3.1978414917</v>
      </c>
      <c r="I782" s="176" t="str">
        <f>HYPERLINK(AA2 &amp; "/calculator/sn_698600a3714c6633a4bd4f46ba404890/rendering/06.obj", "2.59540435791")</f>
        <v>2.59540435791</v>
      </c>
      <c r="J782" s="91" t="str">
        <f>HYPERLINK(AA2 &amp; "/calculator/sn_698600a3714c6633a4bd4f46ba404890/rendering/07.obj", "3.7042199707")</f>
        <v>3.7042199707</v>
      </c>
      <c r="K782" s="27" t="str">
        <f>HYPERLINK(AA2 &amp; "/calculator/sn_698600a3714c6633a4bd4f46ba404890/rendering/08.obj", "3.53465087891")</f>
        <v>3.53465087891</v>
      </c>
      <c r="L782" s="64" t="str">
        <f>HYPERLINK(AA2 &amp; "/calculator/sn_698600a3714c6633a4bd4f46ba404890/rendering/09.obj", "3.18136962891")</f>
        <v>3.18136962891</v>
      </c>
      <c r="M782" s="41" t="str">
        <f>HYPERLINK(AA2 &amp; "/calculator/sn_698600a3714c6633a4bd4f46ba404890/rendering/10.obj", "3.54980041504")</f>
        <v>3.54980041504</v>
      </c>
      <c r="N782" s="176" t="str">
        <f>HYPERLINK(AA2 &amp; "/calculator/sn_698600a3714c6633a4bd4f46ba404890/rendering/11.obj", "2.59512817383")</f>
        <v>2.59512817383</v>
      </c>
      <c r="O782" s="55" t="str">
        <f>HYPERLINK(AA2 &amp; "/calculator/sn_698600a3714c6633a4bd4f46ba404890/rendering/12.obj", "3.06574768066")</f>
        <v>3.06574768066</v>
      </c>
      <c r="P782" s="24" t="str">
        <f>HYPERLINK(AA2 &amp; "/calculator/sn_698600a3714c6633a4bd4f46ba404890/rendering/13.obj", "3.17026367187")</f>
        <v>3.17026367187</v>
      </c>
      <c r="Q782" s="81" t="str">
        <f>HYPERLINK(AA2 &amp; "/calculator/sn_698600a3714c6633a4bd4f46ba404890/rendering/14.obj", "4.62671081543")</f>
        <v>4.62671081543</v>
      </c>
      <c r="R782" s="68" t="str">
        <f>HYPERLINK(AA2 &amp; "/calculator/sn_698600a3714c6633a4bd4f46ba404890/rendering/15.obj", "3.96435119629")</f>
        <v>3.96435119629</v>
      </c>
      <c r="S782" s="33" t="str">
        <f>HYPERLINK(AA2 &amp; "/calculator/sn_698600a3714c6633a4bd4f46ba404890/rendering/16.obj", "3.38927886963")</f>
        <v>3.38927886963</v>
      </c>
      <c r="T782" s="81" t="str">
        <f>HYPERLINK(AA2 &amp; "/calculator/sn_698600a3714c6633a4bd4f46ba404890/rendering/17.obj", "2.97382202148")</f>
        <v>2.97382202148</v>
      </c>
      <c r="U782" s="46" t="str">
        <f>HYPERLINK(AA2 &amp; "/calculator/sn_698600a3714c6633a4bd4f46ba404890/rendering/18.obj", "3.74250488281")</f>
        <v>3.74250488281</v>
      </c>
      <c r="V782" s="89" t="str">
        <f>HYPERLINK(AA2 &amp; "/calculator/sn_698600a3714c6633a4bd4f46ba404890/rendering/19.obj", "4.78731323242")</f>
        <v>4.78731323242</v>
      </c>
      <c r="W782" s="12" t="s">
        <v>29</v>
      </c>
      <c r="X782" s="13">
        <v>3.80256771850586</v>
      </c>
      <c r="Y782" s="13">
        <v>1.8030139424776159</v>
      </c>
      <c r="Z782" s="104">
        <v>0.4741569581267242</v>
      </c>
    </row>
    <row r="783" spans="1:26" x14ac:dyDescent="0.2">
      <c r="A783" s="1">
        <v>781</v>
      </c>
      <c r="B783" s="2" t="s">
        <v>189</v>
      </c>
      <c r="C783" s="8" t="str">
        <f>HYPERLINK(AA2 &amp; "/calculator/sn_698600a3714c6633a4bd4f46ba404890/rendering/00.obj", "4.07188558578")</f>
        <v>4.07188558578</v>
      </c>
      <c r="D783" s="135" t="str">
        <f>HYPERLINK(AA2 &amp; "/calculator/sn_698600a3714c6633a4bd4f46ba404890/rendering/01.obj", "3.53738808632")</f>
        <v>3.53738808632</v>
      </c>
      <c r="E783" s="185" t="str">
        <f>HYPERLINK(AA2 &amp; "/calculator/sn_698600a3714c6633a4bd4f46ba404890/rendering/02.obj", "3.13259458542")</f>
        <v>3.13259458542</v>
      </c>
      <c r="F783" s="7" t="str">
        <f>HYPERLINK(AA2 &amp; "/calculator/sn_698600a3714c6633a4bd4f46ba404890/rendering/03.obj", "3.43787813187")</f>
        <v>3.43787813187</v>
      </c>
      <c r="G783" s="20" t="str">
        <f>HYPERLINK(AA2 &amp; "/calculator/sn_698600a3714c6633a4bd4f46ba404890/rendering/04.obj", "12.2960605621")</f>
        <v>12.2960605621</v>
      </c>
      <c r="H783" s="90" t="str">
        <f>HYPERLINK(AA2 &amp; "/calculator/sn_698600a3714c6633a4bd4f46ba404890/rendering/05.obj", "4.30747127533")</f>
        <v>4.30747127533</v>
      </c>
      <c r="I783" s="59" t="str">
        <f>HYPERLINK(AA2 &amp; "/calculator/sn_698600a3714c6633a4bd4f46ba404890/rendering/06.obj", "3.61511254311")</f>
        <v>3.61511254311</v>
      </c>
      <c r="J783" s="94" t="str">
        <f>HYPERLINK(AA2 &amp; "/calculator/sn_698600a3714c6633a4bd4f46ba404890/rendering/07.obj", "4.40031814575")</f>
        <v>4.40031814575</v>
      </c>
      <c r="K783" s="17" t="str">
        <f>HYPERLINK(AA2 &amp; "/calculator/sn_698600a3714c6633a4bd4f46ba404890/rendering/08.obj", "4.65485715866")</f>
        <v>4.65485715866</v>
      </c>
      <c r="L783" s="39" t="str">
        <f>HYPERLINK(AA2 &amp; "/calculator/sn_698600a3714c6633a4bd4f46ba404890/rendering/09.obj", "5.16915130615")</f>
        <v>5.16915130615</v>
      </c>
      <c r="M783" s="33" t="str">
        <f>HYPERLINK(AA2 &amp; "/calculator/sn_698600a3714c6633a4bd4f46ba404890/rendering/10.obj", "5.26755905151")</f>
        <v>5.26755905151</v>
      </c>
      <c r="N783" s="7" t="str">
        <f>HYPERLINK(AA2 &amp; "/calculator/sn_698600a3714c6633a4bd4f46ba404890/rendering/11.obj", "3.44254827499")</f>
        <v>3.44254827499</v>
      </c>
      <c r="O783" s="90" t="str">
        <f>HYPERLINK(AA2 &amp; "/calculator/sn_698600a3714c6633a4bd4f46ba404890/rendering/12.obj", "4.29788684845")</f>
        <v>4.29788684845</v>
      </c>
      <c r="P783" s="72" t="str">
        <f>HYPERLINK(AA2 &amp; "/calculator/sn_698600a3714c6633a4bd4f46ba404890/rendering/13.obj", "4.5975356102")</f>
        <v>4.5975356102</v>
      </c>
      <c r="Q783" s="83" t="str">
        <f>HYPERLINK(AA2 &amp; "/calculator/sn_698600a3714c6633a4bd4f46ba404890/rendering/14.obj", "5.47995376587")</f>
        <v>5.47995376587</v>
      </c>
      <c r="R783" s="87" t="str">
        <f>HYPERLINK(AA2 &amp; "/calculator/sn_698600a3714c6633a4bd4f46ba404890/rendering/15.obj", "5.84115028381")</f>
        <v>5.84115028381</v>
      </c>
      <c r="S783" s="175" t="str">
        <f>HYPERLINK(AA2 &amp; "/calculator/sn_698600a3714c6633a4bd4f46ba404890/rendering/16.obj", "3.65232014656")</f>
        <v>3.65232014656</v>
      </c>
      <c r="T783" s="120" t="str">
        <f>HYPERLINK(AA2 &amp; "/calculator/sn_698600a3714c6633a4bd4f46ba404890/rendering/17.obj", "3.74489808083")</f>
        <v>3.74489808083</v>
      </c>
      <c r="U783" s="70" t="str">
        <f>HYPERLINK(AA2 &amp; "/calculator/sn_698600a3714c6633a4bd4f46ba404890/rendering/18.obj", "4.15732622147")</f>
        <v>4.15732622147</v>
      </c>
      <c r="V783" s="113" t="str">
        <f>HYPERLINK(AA2 &amp; "/calculator/sn_698600a3714c6633a4bd4f46ba404890/rendering/19.obj", "6.06743860245")</f>
        <v>6.06743860245</v>
      </c>
      <c r="W783" s="12" t="s">
        <v>30</v>
      </c>
      <c r="X783" s="13">
        <v>4.7585667133331304</v>
      </c>
      <c r="Y783" s="13">
        <v>1.913514304040461</v>
      </c>
      <c r="Z783" s="122">
        <v>0.40211988594778841</v>
      </c>
    </row>
    <row r="784" spans="1:26" x14ac:dyDescent="0.2">
      <c r="A784" s="1">
        <v>782</v>
      </c>
      <c r="B784" s="2" t="s">
        <v>189</v>
      </c>
      <c r="C784" s="40" t="str">
        <f>HYPERLINK(AB2 &amp; "/calculator/sn_698600a3714c6633a4bd4f46ba404890/rendering/00.obj", "2.34566604614")</f>
        <v>2.34566604614</v>
      </c>
      <c r="D784" s="5" t="str">
        <f>HYPERLINK(AB2 &amp; "/calculator/sn_698600a3714c6633a4bd4f46ba404890/rendering/01.obj", "2.6080090332")</f>
        <v>2.6080090332</v>
      </c>
      <c r="E784" s="31" t="str">
        <f>HYPERLINK(AB2 &amp; "/calculator/sn_698600a3714c6633a4bd4f46ba404890/rendering/02.obj", "2.38858795166")</f>
        <v>2.38858795166</v>
      </c>
      <c r="F784" s="76" t="str">
        <f>HYPERLINK(AB2 &amp; "/calculator/sn_698600a3714c6633a4bd4f46ba404890/rendering/03.obj", "2.30584701538")</f>
        <v>2.30584701538</v>
      </c>
      <c r="G784" s="39" t="str">
        <f>HYPERLINK(AB2 &amp; "/calculator/sn_698600a3714c6633a4bd4f46ba404890/rendering/04.obj", "2.5824810791")</f>
        <v>2.5824810791</v>
      </c>
      <c r="H784" s="66" t="str">
        <f>HYPERLINK(AB2 &amp; "/calculator/sn_698600a3714c6633a4bd4f46ba404890/rendering/05.obj", "2.3675")</f>
        <v>2.3675</v>
      </c>
      <c r="I784" s="73" t="str">
        <f>HYPERLINK(AB2 &amp; "/calculator/sn_698600a3714c6633a4bd4f46ba404890/rendering/06.obj", "2.9215814209")</f>
        <v>2.9215814209</v>
      </c>
      <c r="J784" s="32" t="str">
        <f>HYPERLINK(AB2 &amp; "/calculator/sn_698600a3714c6633a4bd4f46ba404890/rendering/07.obj", "2.52917480469")</f>
        <v>2.52917480469</v>
      </c>
      <c r="K784" s="25" t="str">
        <f>HYPERLINK(AB2 &amp; "/calculator/sn_698600a3714c6633a4bd4f46ba404890/rendering/08.obj", "2.79447692871")</f>
        <v>2.79447692871</v>
      </c>
      <c r="L784" s="33" t="str">
        <f>HYPERLINK(AB2 &amp; "/calculator/sn_698600a3714c6633a4bd4f46ba404890/rendering/09.obj", "2.51778427124")</f>
        <v>2.51778427124</v>
      </c>
      <c r="M784" s="252" t="str">
        <f>HYPERLINK(AB2 &amp; "/calculator/sn_698600a3714c6633a4bd4f46ba404890/rendering/10.obj", "4.64483398438")</f>
        <v>4.64483398438</v>
      </c>
      <c r="N784" s="10" t="str">
        <f>HYPERLINK(AB2 &amp; "/calculator/sn_698600a3714c6633a4bd4f46ba404890/rendering/11.obj", "2.97558624268")</f>
        <v>2.97558624268</v>
      </c>
      <c r="O784" s="38" t="str">
        <f>HYPERLINK(AB2 &amp; "/calculator/sn_698600a3714c6633a4bd4f46ba404890/rendering/12.obj", "3.07784545898")</f>
        <v>3.07784545898</v>
      </c>
      <c r="P784" s="10" t="str">
        <f>HYPERLINK(AB2 &amp; "/calculator/sn_698600a3714c6633a4bd4f46ba404890/rendering/13.obj", "2.67120269775")</f>
        <v>2.67120269775</v>
      </c>
      <c r="Q784" s="47" t="str">
        <f>HYPERLINK(AB2 &amp; "/calculator/sn_698600a3714c6633a4bd4f46ba404890/rendering/14.obj", "2.80399841309")</f>
        <v>2.80399841309</v>
      </c>
      <c r="R784" s="190" t="str">
        <f>HYPERLINK(AB2 &amp; "/calculator/sn_698600a3714c6633a4bd4f46ba404890/rendering/15.obj", "4.78510742187")</f>
        <v>4.78510742187</v>
      </c>
      <c r="S784" s="120" t="str">
        <f>HYPERLINK(AB2 &amp; "/calculator/sn_698600a3714c6633a4bd4f46ba404890/rendering/16.obj", "2.22396118164")</f>
        <v>2.22396118164</v>
      </c>
      <c r="T784" s="44" t="str">
        <f>HYPERLINK(AB2 &amp; "/calculator/sn_698600a3714c6633a4bd4f46ba404890/rendering/17.obj", "2.2707472229")</f>
        <v>2.2707472229</v>
      </c>
      <c r="U784" s="26" t="str">
        <f>HYPERLINK(AB2 &amp; "/calculator/sn_698600a3714c6633a4bd4f46ba404890/rendering/18.obj", "3.00178466797")</f>
        <v>3.00178466797</v>
      </c>
      <c r="V784" s="10" t="str">
        <f>HYPERLINK(AB2 &amp; "/calculator/sn_698600a3714c6633a4bd4f46ba404890/rendering/19.obj", "2.66596588135")</f>
        <v>2.66596588135</v>
      </c>
      <c r="W784" s="12" t="s">
        <v>31</v>
      </c>
      <c r="X784" s="13">
        <v>2.8241070861816402</v>
      </c>
      <c r="Y784" s="13">
        <v>0.67773843972518988</v>
      </c>
      <c r="Z784" s="59">
        <v>0.23998326516772861</v>
      </c>
    </row>
    <row r="785" spans="1:26" x14ac:dyDescent="0.2">
      <c r="A785" s="1">
        <v>783</v>
      </c>
      <c r="B785" s="2" t="s">
        <v>189</v>
      </c>
      <c r="C785" s="8" t="str">
        <f>HYPERLINK(AB2 &amp; "/calculator/sn_698600a3714c6633a4bd4f46ba404890/rendering/00.obj", "2.66873908043")</f>
        <v>2.66873908043</v>
      </c>
      <c r="D785" s="42" t="str">
        <f>HYPERLINK(AB2 &amp; "/calculator/sn_698600a3714c6633a4bd4f46ba404890/rendering/01.obj", "2.68793821335")</f>
        <v>2.68793821335</v>
      </c>
      <c r="E785" s="51" t="str">
        <f>HYPERLINK(AB2 &amp; "/calculator/sn_698600a3714c6633a4bd4f46ba404890/rendering/02.obj", "2.86287760735")</f>
        <v>2.86287760735</v>
      </c>
      <c r="F785" s="39" t="str">
        <f>HYPERLINK(AB2 &amp; "/calculator/sn_698600a3714c6633a4bd4f46ba404890/rendering/03.obj", "2.84056353569")</f>
        <v>2.84056353569</v>
      </c>
      <c r="G785" s="71" t="str">
        <f>HYPERLINK(AB2 &amp; "/calculator/sn_698600a3714c6633a4bd4f46ba404890/rendering/04.obj", "3.47587609291")</f>
        <v>3.47587609291</v>
      </c>
      <c r="H785" s="69" t="str">
        <f>HYPERLINK(AB2 &amp; "/calculator/sn_698600a3714c6633a4bd4f46ba404890/rendering/05.obj", "3.01761007309")</f>
        <v>3.01761007309</v>
      </c>
      <c r="I785" s="38" t="str">
        <f>HYPERLINK(AB2 &amp; "/calculator/sn_698600a3714c6633a4bd4f46ba404890/rendering/06.obj", "2.83794212341")</f>
        <v>2.83794212341</v>
      </c>
      <c r="J785" s="41" t="str">
        <f>HYPERLINK(AB2 &amp; "/calculator/sn_698600a3714c6633a4bd4f46ba404890/rendering/07.obj", "2.90396618843")</f>
        <v>2.90396618843</v>
      </c>
      <c r="K785" s="70" t="str">
        <f>HYPERLINK(AB2 &amp; "/calculator/sn_698600a3714c6633a4bd4f46ba404890/rendering/08.obj", "2.71887111664")</f>
        <v>2.71887111664</v>
      </c>
      <c r="L785" s="31" t="str">
        <f>HYPERLINK(AB2 &amp; "/calculator/sn_698600a3714c6633a4bd4f46ba404890/rendering/09.obj", "2.6289794445")</f>
        <v>2.6289794445</v>
      </c>
      <c r="M785" s="20" t="str">
        <f>HYPERLINK(AB2 &amp; "/calculator/sn_698600a3714c6633a4bd4f46ba404890/rendering/10.obj", "5.81765127182")</f>
        <v>5.81765127182</v>
      </c>
      <c r="N785" s="42" t="str">
        <f>HYPERLINK(AB2 &amp; "/calculator/sn_698600a3714c6633a4bd4f46ba404890/rendering/11.obj", "2.68768882751")</f>
        <v>2.68768882751</v>
      </c>
      <c r="O785" s="31" t="str">
        <f>HYPERLINK(AB2 &amp; "/calculator/sn_698600a3714c6633a4bd4f46ba404890/rendering/12.obj", "2.63319325447")</f>
        <v>2.63319325447</v>
      </c>
      <c r="P785" s="26" t="str">
        <f>HYPERLINK(AB2 &amp; "/calculator/sn_698600a3714c6633a4bd4f46ba404890/rendering/13.obj", "2.90889191628")</f>
        <v>2.90889191628</v>
      </c>
      <c r="Q785" s="92" t="str">
        <f>HYPERLINK(AB2 &amp; "/calculator/sn_698600a3714c6633a4bd4f46ba404890/rendering/14.obj", "2.7262532711")</f>
        <v>2.7262532711</v>
      </c>
      <c r="R785" s="173" t="str">
        <f>HYPERLINK(AB2 &amp; "/calculator/sn_698600a3714c6633a4bd4f46ba404890/rendering/15.obj", "5.25879478455")</f>
        <v>5.25879478455</v>
      </c>
      <c r="S785" s="84" t="str">
        <f>HYPERLINK(AB2 &amp; "/calculator/sn_698600a3714c6633a4bd4f46ba404890/rendering/16.obj", "2.65606975555")</f>
        <v>2.65606975555</v>
      </c>
      <c r="T785" s="70" t="str">
        <f>HYPERLINK(AB2 &amp; "/calculator/sn_698600a3714c6633a4bd4f46ba404890/rendering/17.obj", "2.71243739128")</f>
        <v>2.71243739128</v>
      </c>
      <c r="U785" s="35" t="str">
        <f>HYPERLINK(AB2 &amp; "/calculator/sn_698600a3714c6633a4bd4f46ba404890/rendering/18.obj", "2.93230938911")</f>
        <v>2.93230938911</v>
      </c>
      <c r="V785" s="34" t="str">
        <f>HYPERLINK(AB2 &amp; "/calculator/sn_698600a3714c6633a4bd4f46ba404890/rendering/19.obj", "3.26697063446")</f>
        <v>3.26697063446</v>
      </c>
      <c r="W785" s="12" t="s">
        <v>32</v>
      </c>
      <c r="X785" s="13">
        <v>3.112181198596955</v>
      </c>
      <c r="Y785" s="13">
        <v>0.84000182058101613</v>
      </c>
      <c r="Z785" s="99">
        <v>0.26990774861043082</v>
      </c>
    </row>
    <row r="786" spans="1:26" x14ac:dyDescent="0.2">
      <c r="A786" s="1">
        <v>784</v>
      </c>
      <c r="B786" s="2" t="s">
        <v>189</v>
      </c>
      <c r="C786" s="13" t="str">
        <f>HYPERLINK(AC2 &amp; "/calculator/sn_698600a3714c6633a4bd4f46ba404890/rendering/00.xyz", "0.0")</f>
        <v>0.0</v>
      </c>
      <c r="D786" s="13" t="str">
        <f>HYPERLINK(AC2 &amp; "/calculator/sn_698600a3714c6633a4bd4f46ba404890/rendering/01.xyz", "0.0")</f>
        <v>0.0</v>
      </c>
      <c r="E786" s="13" t="str">
        <f>HYPERLINK(AC2 &amp; "/calculator/sn_698600a3714c6633a4bd4f46ba404890/rendering/02.xyz", "0.0")</f>
        <v>0.0</v>
      </c>
      <c r="F786" s="13" t="str">
        <f>HYPERLINK(AC2 &amp; "/calculator/sn_698600a3714c6633a4bd4f46ba404890/rendering/03.xyz", "0.0")</f>
        <v>0.0</v>
      </c>
      <c r="G786" s="13" t="str">
        <f>HYPERLINK(AC2 &amp; "/calculator/sn_698600a3714c6633a4bd4f46ba404890/rendering/04.xyz", "0.0")</f>
        <v>0.0</v>
      </c>
      <c r="H786" s="13" t="str">
        <f>HYPERLINK(AC2 &amp; "/calculator/sn_698600a3714c6633a4bd4f46ba404890/rendering/05.xyz", "0.0")</f>
        <v>0.0</v>
      </c>
      <c r="I786" s="13" t="str">
        <f>HYPERLINK(AC2 &amp; "/calculator/sn_698600a3714c6633a4bd4f46ba404890/rendering/06.xyz", "0.0")</f>
        <v>0.0</v>
      </c>
      <c r="J786" s="13" t="str">
        <f>HYPERLINK(AC2 &amp; "/calculator/sn_698600a3714c6633a4bd4f46ba404890/rendering/07.xyz", "0.0")</f>
        <v>0.0</v>
      </c>
      <c r="K786" s="13" t="str">
        <f>HYPERLINK(AC2 &amp; "/calculator/sn_698600a3714c6633a4bd4f46ba404890/rendering/08.xyz", "0.0")</f>
        <v>0.0</v>
      </c>
      <c r="L786" s="13" t="str">
        <f>HYPERLINK(AC2 &amp; "/calculator/sn_698600a3714c6633a4bd4f46ba404890/rendering/09.xyz", "0.0")</f>
        <v>0.0</v>
      </c>
      <c r="M786" s="13" t="str">
        <f>HYPERLINK(AC2 &amp; "/calculator/sn_698600a3714c6633a4bd4f46ba404890/rendering/10.xyz", "0.0")</f>
        <v>0.0</v>
      </c>
      <c r="N786" s="13" t="str">
        <f>HYPERLINK(AC2 &amp; "/calculator/sn_698600a3714c6633a4bd4f46ba404890/rendering/11.xyz", "0.0")</f>
        <v>0.0</v>
      </c>
      <c r="O786" s="13" t="str">
        <f>HYPERLINK(AC2 &amp; "/calculator/sn_698600a3714c6633a4bd4f46ba404890/rendering/12.xyz", "0.0")</f>
        <v>0.0</v>
      </c>
      <c r="P786" s="13" t="str">
        <f>HYPERLINK(AC2 &amp; "/calculator/sn_698600a3714c6633a4bd4f46ba404890/rendering/13.xyz", "0.0")</f>
        <v>0.0</v>
      </c>
      <c r="Q786" s="13" t="str">
        <f>HYPERLINK(AC2 &amp; "/calculator/sn_698600a3714c6633a4bd4f46ba404890/rendering/14.xyz", "0.0")</f>
        <v>0.0</v>
      </c>
      <c r="R786" s="13" t="str">
        <f>HYPERLINK(AC2 &amp; "/calculator/sn_698600a3714c6633a4bd4f46ba404890/rendering/15.xyz", "0.0")</f>
        <v>0.0</v>
      </c>
      <c r="S786" s="13" t="str">
        <f>HYPERLINK(AC2 &amp; "/calculator/sn_698600a3714c6633a4bd4f46ba404890/rendering/16.xyz", "0.0")</f>
        <v>0.0</v>
      </c>
      <c r="T786" s="13" t="str">
        <f>HYPERLINK(AC2 &amp; "/calculator/sn_698600a3714c6633a4bd4f46ba404890/rendering/17.xyz", "0.0")</f>
        <v>0.0</v>
      </c>
      <c r="U786" s="13" t="str">
        <f>HYPERLINK(AC2 &amp; "/calculator/sn_698600a3714c6633a4bd4f46ba404890/rendering/18.xyz", "0.0")</f>
        <v>0.0</v>
      </c>
      <c r="V786" s="13" t="str">
        <f>HYPERLINK(AC2 &amp; "/calculator/sn_698600a3714c6633a4bd4f46ba404890/rendering/19.xyz", "0.0")</f>
        <v>0.0</v>
      </c>
      <c r="W786" s="12" t="s">
        <v>33</v>
      </c>
      <c r="X786" s="13">
        <v>0</v>
      </c>
      <c r="Y786" s="13">
        <v>0</v>
      </c>
      <c r="Z786" s="13">
        <v>0</v>
      </c>
    </row>
    <row r="787" spans="1:26" x14ac:dyDescent="0.2">
      <c r="A787" s="1">
        <v>785</v>
      </c>
      <c r="B787" s="2" t="s">
        <v>190</v>
      </c>
      <c r="C787" s="168" t="str">
        <f>HYPERLINK(AA2 &amp; "/calculator/sn_6ba3f8a4a4750534cc2e054c56e9a85a/rendering/00.obj", "2.70638366699")</f>
        <v>2.70638366699</v>
      </c>
      <c r="D787" s="185" t="str">
        <f>HYPERLINK(AA2 &amp; "/calculator/sn_6ba3f8a4a4750534cc2e054c56e9a85a/rendering/01.obj", "5.35347045898")</f>
        <v>5.35347045898</v>
      </c>
      <c r="E787" s="106" t="str">
        <f>HYPERLINK(AA2 &amp; "/calculator/sn_6ba3f8a4a4750534cc2e054c56e9a85a/rendering/02.obj", "4.45862609863")</f>
        <v>4.45862609863</v>
      </c>
      <c r="F787" s="157" t="str">
        <f>HYPERLINK(AA2 &amp; "/calculator/sn_6ba3f8a4a4750534cc2e054c56e9a85a/rendering/03.obj", "2.33297119141")</f>
        <v>2.33297119141</v>
      </c>
      <c r="G787" s="64" t="str">
        <f>HYPERLINK(AA2 &amp; "/calculator/sn_6ba3f8a4a4750534cc2e054c56e9a85a/rendering/04.obj", "3.34506286621")</f>
        <v>3.34506286621</v>
      </c>
      <c r="H787" s="117" t="str">
        <f>HYPERLINK(AA2 &amp; "/calculator/sn_6ba3f8a4a4750534cc2e054c56e9a85a/rendering/05.obj", "3.28544372559")</f>
        <v>3.28544372559</v>
      </c>
      <c r="I787" s="91" t="str">
        <f>HYPERLINK(AA2 &amp; "/calculator/sn_6ba3f8a4a4750534cc2e054c56e9a85a/rendering/06.obj", "3.89226806641")</f>
        <v>3.89226806641</v>
      </c>
      <c r="J787" s="56" t="str">
        <f>HYPERLINK(AA2 &amp; "/calculator/sn_6ba3f8a4a4750534cc2e054c56e9a85a/rendering/07.obj", "2.75768096924")</f>
        <v>2.75768096924</v>
      </c>
      <c r="K787" s="56" t="str">
        <f>HYPERLINK(AA2 &amp; "/calculator/sn_6ba3f8a4a4750534cc2e054c56e9a85a/rendering/08.obj", "2.75817474365")</f>
        <v>2.75817474365</v>
      </c>
      <c r="L787" s="4" t="str">
        <f>HYPERLINK(AA2 &amp; "/calculator/sn_6ba3f8a4a4750534cc2e054c56e9a85a/rendering/09.obj", "2.85705627441")</f>
        <v>2.85705627441</v>
      </c>
      <c r="M787" s="91" t="str">
        <f>HYPERLINK(AA2 &amp; "/calculator/sn_6ba3f8a4a4750534cc2e054c56e9a85a/rendering/10.obj", "4.09898742676")</f>
        <v>4.09898742676</v>
      </c>
      <c r="N787" s="181" t="str">
        <f>HYPERLINK(AA2 &amp; "/calculator/sn_6ba3f8a4a4750534cc2e054c56e9a85a/rendering/11.obj", "5.77740478516")</f>
        <v>5.77740478516</v>
      </c>
      <c r="O787" s="55" t="str">
        <f>HYPERLINK(AA2 &amp; "/calculator/sn_6ba3f8a4a4750534cc2e054c56e9a85a/rendering/12.obj", "4.76597167969")</f>
        <v>4.76597167969</v>
      </c>
      <c r="P787" s="90" t="str">
        <f>HYPERLINK(AA2 &amp; "/calculator/sn_6ba3f8a4a4750534cc2e054c56e9a85a/rendering/13.obj", "4.38594024658")</f>
        <v>4.38594024658</v>
      </c>
      <c r="Q787" s="193" t="str">
        <f>HYPERLINK(AA2 &amp; "/calculator/sn_6ba3f8a4a4750534cc2e054c56e9a85a/rendering/14.obj", "5.31971557617")</f>
        <v>5.31971557617</v>
      </c>
      <c r="R787" s="62" t="str">
        <f>HYPERLINK(AA2 &amp; "/calculator/sn_6ba3f8a4a4750534cc2e054c56e9a85a/rendering/15.obj", "6.3917376709")</f>
        <v>6.3917376709</v>
      </c>
      <c r="S787" s="90" t="str">
        <f>HYPERLINK(AA2 &amp; "/calculator/sn_6ba3f8a4a4750534cc2e054c56e9a85a/rendering/16.obj", "4.38596313477")</f>
        <v>4.38596313477</v>
      </c>
      <c r="T787" s="13" t="str">
        <f>HYPERLINK(AA2 &amp; "/calculator/sn_6ba3f8a4a4750534cc2e054c56e9a85a/rendering/17.obj", "3.99992004395")</f>
        <v>3.99992004395</v>
      </c>
      <c r="U787" s="91" t="str">
        <f>HYPERLINK(AA2 &amp; "/calculator/sn_6ba3f8a4a4750534cc2e054c56e9a85a/rendering/18.obj", "4.10127349854")</f>
        <v>4.10127349854</v>
      </c>
      <c r="V787" s="135" t="str">
        <f>HYPERLINK(AA2 &amp; "/calculator/sn_6ba3f8a4a4750534cc2e054c56e9a85a/rendering/19.obj", "2.97766540527")</f>
        <v>2.97766540527</v>
      </c>
      <c r="W787" s="12" t="s">
        <v>29</v>
      </c>
      <c r="X787" s="13">
        <v>3.9975858764648442</v>
      </c>
      <c r="Y787" s="13">
        <v>1.104729768476439</v>
      </c>
      <c r="Z787" s="7">
        <v>0.27634922741256429</v>
      </c>
    </row>
    <row r="788" spans="1:26" x14ac:dyDescent="0.2">
      <c r="A788" s="1">
        <v>786</v>
      </c>
      <c r="B788" s="2" t="s">
        <v>190</v>
      </c>
      <c r="C788" s="49" t="str">
        <f>HYPERLINK(AA2 &amp; "/calculator/sn_6ba3f8a4a4750534cc2e054c56e9a85a/rendering/00.obj", "3.89571070671")</f>
        <v>3.89571070671</v>
      </c>
      <c r="D788" s="89" t="str">
        <f>HYPERLINK(AA2 &amp; "/calculator/sn_6ba3f8a4a4750534cc2e054c56e9a85a/rendering/01.obj", "6.21440267563")</f>
        <v>6.21440267563</v>
      </c>
      <c r="E788" s="48" t="str">
        <f>HYPERLINK(AA2 &amp; "/calculator/sn_6ba3f8a4a4750534cc2e054c56e9a85a/rendering/02.obj", "5.0474190712")</f>
        <v>5.0474190712</v>
      </c>
      <c r="F788" s="175" t="str">
        <f>HYPERLINK(AA2 &amp; "/calculator/sn_6ba3f8a4a4750534cc2e054c56e9a85a/rendering/03.obj", "3.77796435356")</f>
        <v>3.77796435356</v>
      </c>
      <c r="G788" s="29" t="str">
        <f>HYPERLINK(AA2 &amp; "/calculator/sn_6ba3f8a4a4750534cc2e054c56e9a85a/rendering/04.obj", "4.2951874733")</f>
        <v>4.2951874733</v>
      </c>
      <c r="H788" s="76" t="str">
        <f>HYPERLINK(AA2 &amp; "/calculator/sn_6ba3f8a4a4750534cc2e054c56e9a85a/rendering/05.obj", "4.02200222015")</f>
        <v>4.02200222015</v>
      </c>
      <c r="I788" s="110" t="str">
        <f>HYPERLINK(AA2 &amp; "/calculator/sn_6ba3f8a4a4750534cc2e054c56e9a85a/rendering/06.obj", "4.44605350494")</f>
        <v>4.44605350494</v>
      </c>
      <c r="J788" s="61" t="str">
        <f>HYPERLINK(AA2 &amp; "/calculator/sn_6ba3f8a4a4750534cc2e054c56e9a85a/rendering/07.obj", "3.43879985809")</f>
        <v>3.43879985809</v>
      </c>
      <c r="K788" s="31" t="str">
        <f>HYPERLINK(AA2 &amp; "/calculator/sn_6ba3f8a4a4750534cc2e054c56e9a85a/rendering/08.obj", "4.17325687408")</f>
        <v>4.17325687408</v>
      </c>
      <c r="L788" s="58" t="str">
        <f>HYPERLINK(AA2 &amp; "/calculator/sn_6ba3f8a4a4750534cc2e054c56e9a85a/rendering/09.obj", "3.73033165932")</f>
        <v>3.73033165932</v>
      </c>
      <c r="M788" s="78" t="str">
        <f>HYPERLINK(AA2 &amp; "/calculator/sn_6ba3f8a4a4750534cc2e054c56e9a85a/rendering/10.obj", "4.6331911087")</f>
        <v>4.6331911087</v>
      </c>
      <c r="N788" s="225" t="str">
        <f>HYPERLINK(AA2 &amp; "/calculator/sn_6ba3f8a4a4750534cc2e054c56e9a85a/rendering/11.obj", "7.74594783783")</f>
        <v>7.74594783783</v>
      </c>
      <c r="O788" s="10" t="str">
        <f>HYPERLINK(AA2 &amp; "/calculator/sn_6ba3f8a4a4750534cc2e054c56e9a85a/rendering/12.obj", "5.20833921432")</f>
        <v>5.20833921432</v>
      </c>
      <c r="P788" s="30" t="str">
        <f>HYPERLINK(AA2 &amp; "/calculator/sn_6ba3f8a4a4750534cc2e054c56e9a85a/rendering/13.obj", "4.90119695663")</f>
        <v>4.90119695663</v>
      </c>
      <c r="Q788" s="36" t="str">
        <f>HYPERLINK(AA2 &amp; "/calculator/sn_6ba3f8a4a4750534cc2e054c56e9a85a/rendering/14.obj", "5.98577928543")</f>
        <v>5.98577928543</v>
      </c>
      <c r="R788" s="174" t="str">
        <f>HYPERLINK(AA2 &amp; "/calculator/sn_6ba3f8a4a4750534cc2e054c56e9a85a/rendering/15.obj", "7.52099132538")</f>
        <v>7.52099132538</v>
      </c>
      <c r="S788" s="38" t="str">
        <f>HYPERLINK(AA2 &amp; "/calculator/sn_6ba3f8a4a4750534cc2e054c56e9a85a/rendering/16.obj", "4.49291324615")</f>
        <v>4.49291324615</v>
      </c>
      <c r="T788" s="23" t="str">
        <f>HYPERLINK(AA2 &amp; "/calculator/sn_6ba3f8a4a4750534cc2e054c56e9a85a/rendering/17.obj", "5.12241411209")</f>
        <v>5.12241411209</v>
      </c>
      <c r="U788" s="32" t="str">
        <f>HYPERLINK(AA2 &amp; "/calculator/sn_6ba3f8a4a4750534cc2e054c56e9a85a/rendering/18.obj", "5.44808530807")</f>
        <v>5.44808530807</v>
      </c>
      <c r="V788" s="51" t="str">
        <f>HYPERLINK(AA2 &amp; "/calculator/sn_6ba3f8a4a4750534cc2e054c56e9a85a/rendering/19.obj", "4.53674125671")</f>
        <v>4.53674125671</v>
      </c>
      <c r="W788" s="12" t="s">
        <v>30</v>
      </c>
      <c r="X788" s="13">
        <v>4.9318364024162289</v>
      </c>
      <c r="Y788" s="13">
        <v>1.1474437380498841</v>
      </c>
      <c r="Z788" s="175">
        <v>0.23266054354271021</v>
      </c>
    </row>
    <row r="789" spans="1:26" x14ac:dyDescent="0.2">
      <c r="A789" s="1">
        <v>787</v>
      </c>
      <c r="B789" s="2" t="s">
        <v>190</v>
      </c>
      <c r="C789" s="91" t="str">
        <f>HYPERLINK(AB2 &amp; "/calculator/sn_6ba3f8a4a4750534cc2e054c56e9a85a/rendering/00.obj", "3.20258605957")</f>
        <v>3.20258605957</v>
      </c>
      <c r="D789" s="51" t="str">
        <f>HYPERLINK(AB2 &amp; "/calculator/sn_6ba3f8a4a4750534cc2e054c56e9a85a/rendering/01.obj", "2.87356750488")</f>
        <v>2.87356750488</v>
      </c>
      <c r="E789" s="29" t="str">
        <f>HYPERLINK(AB2 &amp; "/calculator/sn_6ba3f8a4a4750534cc2e054c56e9a85a/rendering/02.obj", "3.52381774902")</f>
        <v>3.52381774902</v>
      </c>
      <c r="F789" s="25" t="str">
        <f>HYPERLINK(AB2 &amp; "/calculator/sn_6ba3f8a4a4750534cc2e054c56e9a85a/rendering/03.obj", "3.08698669434")</f>
        <v>3.08698669434</v>
      </c>
      <c r="G789" s="51" t="str">
        <f>HYPERLINK(AB2 &amp; "/calculator/sn_6ba3f8a4a4750534cc2e054c56e9a85a/rendering/04.obj", "2.87415649414")</f>
        <v>2.87415649414</v>
      </c>
      <c r="H789" s="133" t="str">
        <f>HYPERLINK(AB2 &amp; "/calculator/sn_6ba3f8a4a4750534cc2e054c56e9a85a/rendering/05.obj", "3.44325836182")</f>
        <v>3.44325836182</v>
      </c>
      <c r="I789" s="51" t="str">
        <f>HYPERLINK(AB2 &amp; "/calculator/sn_6ba3f8a4a4750534cc2e054c56e9a85a/rendering/06.obj", "2.8717098999")</f>
        <v>2.8717098999</v>
      </c>
      <c r="J789" s="30" t="str">
        <f>HYPERLINK(AB2 &amp; "/calculator/sn_6ba3f8a4a4750534cc2e054c56e9a85a/rendering/07.obj", "3.13334899902")</f>
        <v>3.13334899902</v>
      </c>
      <c r="K789" s="47" t="str">
        <f>HYPERLINK(AB2 &amp; "/calculator/sn_6ba3f8a4a4750534cc2e054c56e9a85a/rendering/08.obj", "3.14553222656")</f>
        <v>3.14553222656</v>
      </c>
      <c r="L789" s="26" t="str">
        <f>HYPERLINK(AB2 &amp; "/calculator/sn_6ba3f8a4a4750534cc2e054c56e9a85a/rendering/09.obj", "2.92022888184")</f>
        <v>2.92022888184</v>
      </c>
      <c r="M789" s="5" t="str">
        <f>HYPERLINK(AB2 &amp; "/calculator/sn_6ba3f8a4a4750534cc2e054c56e9a85a/rendering/10.obj", "2.87971496582")</f>
        <v>2.87971496582</v>
      </c>
      <c r="N789" s="25" t="str">
        <f>HYPERLINK(AB2 &amp; "/calculator/sn_6ba3f8a4a4750534cc2e054c56e9a85a/rendering/11.obj", "3.15563842773")</f>
        <v>3.15563842773</v>
      </c>
      <c r="O789" s="76" t="str">
        <f>HYPERLINK(AB2 &amp; "/calculator/sn_6ba3f8a4a4750534cc2e054c56e9a85a/rendering/12.obj", "2.54560470581")</f>
        <v>2.54560470581</v>
      </c>
      <c r="P789" s="145" t="str">
        <f>HYPERLINK(AB2 &amp; "/calculator/sn_6ba3f8a4a4750534cc2e054c56e9a85a/rendering/13.obj", "4.65093383789")</f>
        <v>4.65093383789</v>
      </c>
      <c r="Q789" s="23" t="str">
        <f>HYPERLINK(AB2 &amp; "/calculator/sn_6ba3f8a4a4750534cc2e054c56e9a85a/rendering/14.obj", "3.2457989502")</f>
        <v>3.2457989502</v>
      </c>
      <c r="R789" s="48" t="str">
        <f>HYPERLINK(AB2 &amp; "/calculator/sn_6ba3f8a4a4750534cc2e054c56e9a85a/rendering/15.obj", "3.05087646484")</f>
        <v>3.05087646484</v>
      </c>
      <c r="S789" s="166" t="str">
        <f>HYPERLINK(AB2 &amp; "/calculator/sn_6ba3f8a4a4750534cc2e054c56e9a85a/rendering/16.obj", "2.22567993164")</f>
        <v>2.22567993164</v>
      </c>
      <c r="T789" s="76" t="str">
        <f>HYPERLINK(AB2 &amp; "/calculator/sn_6ba3f8a4a4750534cc2e054c56e9a85a/rendering/17.obj", "2.54451477051")</f>
        <v>2.54451477051</v>
      </c>
      <c r="U789" s="109" t="str">
        <f>HYPERLINK(AB2 &amp; "/calculator/sn_6ba3f8a4a4750534cc2e054c56e9a85a/rendering/18.obj", "3.71458221436")</f>
        <v>3.71458221436</v>
      </c>
      <c r="V789" s="26" t="str">
        <f>HYPERLINK(AB2 &amp; "/calculator/sn_6ba3f8a4a4750534cc2e054c56e9a85a/rendering/19.obj", "3.32477355957")</f>
        <v>3.32477355957</v>
      </c>
      <c r="W789" s="12" t="s">
        <v>31</v>
      </c>
      <c r="X789" s="13">
        <v>3.1206655349731451</v>
      </c>
      <c r="Y789" s="13">
        <v>0.4888134330254334</v>
      </c>
      <c r="Z789" s="31">
        <v>0.15663755937550031</v>
      </c>
    </row>
    <row r="790" spans="1:26" x14ac:dyDescent="0.2">
      <c r="A790" s="1">
        <v>788</v>
      </c>
      <c r="B790" s="2" t="s">
        <v>190</v>
      </c>
      <c r="C790" s="33" t="str">
        <f>HYPERLINK(AB2 &amp; "/calculator/sn_6ba3f8a4a4750534cc2e054c56e9a85a/rendering/00.obj", "3.69125533104")</f>
        <v>3.69125533104</v>
      </c>
      <c r="D790" s="31" t="str">
        <f>HYPERLINK(AB2 &amp; "/calculator/sn_6ba3f8a4a4750534cc2e054c56e9a85a/rendering/01.obj", "3.49716258049")</f>
        <v>3.49716258049</v>
      </c>
      <c r="E790" s="168" t="str">
        <f>HYPERLINK(AB2 &amp; "/calculator/sn_6ba3f8a4a4750534cc2e054c56e9a85a/rendering/02.obj", "5.46654462814")</f>
        <v>5.46654462814</v>
      </c>
      <c r="F790" s="28" t="str">
        <f>HYPERLINK(AB2 &amp; "/calculator/sn_6ba3f8a4a4750534cc2e054c56e9a85a/rendering/03.obj", "3.67879986763")</f>
        <v>3.67879986763</v>
      </c>
      <c r="G790" s="46" t="str">
        <f>HYPERLINK(AB2 &amp; "/calculator/sn_6ba3f8a4a4750534cc2e054c56e9a85a/rendering/04.obj", "4.210460186")</f>
        <v>4.210460186</v>
      </c>
      <c r="H790" s="74" t="str">
        <f>HYPERLINK(AB2 &amp; "/calculator/sn_6ba3f8a4a4750534cc2e054c56e9a85a/rendering/05.obj", "4.08439588547")</f>
        <v>4.08439588547</v>
      </c>
      <c r="I790" s="67" t="str">
        <f>HYPERLINK(AB2 &amp; "/calculator/sn_6ba3f8a4a4750534cc2e054c56e9a85a/rendering/06.obj", "3.74952459335")</f>
        <v>3.74952459335</v>
      </c>
      <c r="J790" s="65" t="str">
        <f>HYPERLINK(AB2 &amp; "/calculator/sn_6ba3f8a4a4750534cc2e054c56e9a85a/rendering/07.obj", "3.58503890038")</f>
        <v>3.58503890038</v>
      </c>
      <c r="K790" s="47" t="str">
        <f>HYPERLINK(AB2 &amp; "/calculator/sn_6ba3f8a4a4750534cc2e054c56e9a85a/rendering/08.obj", "4.10140657425")</f>
        <v>4.10140657425</v>
      </c>
      <c r="L790" s="37" t="str">
        <f>HYPERLINK(AB2 &amp; "/calculator/sn_6ba3f8a4a4750534cc2e054c56e9a85a/rendering/09.obj", "3.41575956345")</f>
        <v>3.41575956345</v>
      </c>
      <c r="M790" s="42" t="str">
        <f>HYPERLINK(AB2 &amp; "/calculator/sn_6ba3f8a4a4750534cc2e054c56e9a85a/rendering/10.obj", "3.57366061211")</f>
        <v>3.57366061211</v>
      </c>
      <c r="N790" s="6" t="str">
        <f>HYPERLINK(AB2 &amp; "/calculator/sn_6ba3f8a4a4750534cc2e054c56e9a85a/rendering/11.obj", "4.32928037643")</f>
        <v>4.32928037643</v>
      </c>
      <c r="O790" s="109" t="str">
        <f>HYPERLINK(AB2 &amp; "/calculator/sn_6ba3f8a4a4750534cc2e054c56e9a85a/rendering/12.obj", "3.35820412636")</f>
        <v>3.35820412636</v>
      </c>
      <c r="P790" s="192" t="str">
        <f>HYPERLINK(AB2 &amp; "/calculator/sn_6ba3f8a4a4750534cc2e054c56e9a85a/rendering/13.obj", "5.68164873123")</f>
        <v>5.68164873123</v>
      </c>
      <c r="Q790" s="108" t="str">
        <f>HYPERLINK(AB2 &amp; "/calculator/sn_6ba3f8a4a4750534cc2e054c56e9a85a/rendering/14.obj", "5.15110683441")</f>
        <v>5.15110683441</v>
      </c>
      <c r="R790" s="120" t="str">
        <f>HYPERLINK(AB2 &amp; "/calculator/sn_6ba3f8a4a4750534cc2e054c56e9a85a/rendering/15.obj", "5.01045322418")</f>
        <v>5.01045322418</v>
      </c>
      <c r="S790" s="98" t="str">
        <f>HYPERLINK(AB2 &amp; "/calculator/sn_6ba3f8a4a4750534cc2e054c56e9a85a/rendering/16.obj", "3.18883156776")</f>
        <v>3.18883156776</v>
      </c>
      <c r="T790" s="88" t="str">
        <f>HYPERLINK(AB2 &amp; "/calculator/sn_6ba3f8a4a4750534cc2e054c56e9a85a/rendering/17.obj", "3.30539941788")</f>
        <v>3.30539941788</v>
      </c>
      <c r="U790" s="40" t="str">
        <f>HYPERLINK(AB2 &amp; "/calculator/sn_6ba3f8a4a4750534cc2e054c56e9a85a/rendering/18.obj", "4.84897375107")</f>
        <v>4.84897375107</v>
      </c>
      <c r="V790" s="64" t="str">
        <f>HYPERLINK(AB2 &amp; "/calculator/sn_6ba3f8a4a4750534cc2e054c56e9a85a/rendering/19.obj", "4.81569433212")</f>
        <v>4.81569433212</v>
      </c>
      <c r="W790" s="12" t="s">
        <v>32</v>
      </c>
      <c r="X790" s="13">
        <v>4.137180054187775</v>
      </c>
      <c r="Y790" s="13">
        <v>0.75054536224544588</v>
      </c>
      <c r="Z790" s="134">
        <v>0.1814147202720176</v>
      </c>
    </row>
    <row r="791" spans="1:26" x14ac:dyDescent="0.2">
      <c r="A791" s="1">
        <v>789</v>
      </c>
      <c r="B791" s="2" t="s">
        <v>190</v>
      </c>
      <c r="C791" s="13" t="str">
        <f>HYPERLINK(AC2 &amp; "/calculator/sn_6ba3f8a4a4750534cc2e054c56e9a85a/rendering/00.xyz", "0.0")</f>
        <v>0.0</v>
      </c>
      <c r="D791" s="13" t="str">
        <f>HYPERLINK(AC2 &amp; "/calculator/sn_6ba3f8a4a4750534cc2e054c56e9a85a/rendering/01.xyz", "0.0")</f>
        <v>0.0</v>
      </c>
      <c r="E791" s="13" t="str">
        <f>HYPERLINK(AC2 &amp; "/calculator/sn_6ba3f8a4a4750534cc2e054c56e9a85a/rendering/02.xyz", "0.0")</f>
        <v>0.0</v>
      </c>
      <c r="F791" s="13" t="str">
        <f>HYPERLINK(AC2 &amp; "/calculator/sn_6ba3f8a4a4750534cc2e054c56e9a85a/rendering/03.xyz", "0.0")</f>
        <v>0.0</v>
      </c>
      <c r="G791" s="13" t="str">
        <f>HYPERLINK(AC2 &amp; "/calculator/sn_6ba3f8a4a4750534cc2e054c56e9a85a/rendering/04.xyz", "0.0")</f>
        <v>0.0</v>
      </c>
      <c r="H791" s="13" t="str">
        <f>HYPERLINK(AC2 &amp; "/calculator/sn_6ba3f8a4a4750534cc2e054c56e9a85a/rendering/05.xyz", "0.0")</f>
        <v>0.0</v>
      </c>
      <c r="I791" s="13" t="str">
        <f>HYPERLINK(AC2 &amp; "/calculator/sn_6ba3f8a4a4750534cc2e054c56e9a85a/rendering/06.xyz", "0.0")</f>
        <v>0.0</v>
      </c>
      <c r="J791" s="13" t="str">
        <f>HYPERLINK(AC2 &amp; "/calculator/sn_6ba3f8a4a4750534cc2e054c56e9a85a/rendering/07.xyz", "0.0")</f>
        <v>0.0</v>
      </c>
      <c r="K791" s="13" t="str">
        <f>HYPERLINK(AC2 &amp; "/calculator/sn_6ba3f8a4a4750534cc2e054c56e9a85a/rendering/08.xyz", "0.0")</f>
        <v>0.0</v>
      </c>
      <c r="L791" s="13" t="str">
        <f>HYPERLINK(AC2 &amp; "/calculator/sn_6ba3f8a4a4750534cc2e054c56e9a85a/rendering/09.xyz", "0.0")</f>
        <v>0.0</v>
      </c>
      <c r="M791" s="13" t="str">
        <f>HYPERLINK(AC2 &amp; "/calculator/sn_6ba3f8a4a4750534cc2e054c56e9a85a/rendering/10.xyz", "0.0")</f>
        <v>0.0</v>
      </c>
      <c r="N791" s="13" t="str">
        <f>HYPERLINK(AC2 &amp; "/calculator/sn_6ba3f8a4a4750534cc2e054c56e9a85a/rendering/11.xyz", "0.0")</f>
        <v>0.0</v>
      </c>
      <c r="O791" s="13" t="str">
        <f>HYPERLINK(AC2 &amp; "/calculator/sn_6ba3f8a4a4750534cc2e054c56e9a85a/rendering/12.xyz", "0.0")</f>
        <v>0.0</v>
      </c>
      <c r="P791" s="13" t="str">
        <f>HYPERLINK(AC2 &amp; "/calculator/sn_6ba3f8a4a4750534cc2e054c56e9a85a/rendering/13.xyz", "0.0")</f>
        <v>0.0</v>
      </c>
      <c r="Q791" s="13" t="str">
        <f>HYPERLINK(AC2 &amp; "/calculator/sn_6ba3f8a4a4750534cc2e054c56e9a85a/rendering/14.xyz", "0.0")</f>
        <v>0.0</v>
      </c>
      <c r="R791" s="13" t="str">
        <f>HYPERLINK(AC2 &amp; "/calculator/sn_6ba3f8a4a4750534cc2e054c56e9a85a/rendering/15.xyz", "0.0")</f>
        <v>0.0</v>
      </c>
      <c r="S791" s="13" t="str">
        <f>HYPERLINK(AC2 &amp; "/calculator/sn_6ba3f8a4a4750534cc2e054c56e9a85a/rendering/16.xyz", "0.0")</f>
        <v>0.0</v>
      </c>
      <c r="T791" s="13" t="str">
        <f>HYPERLINK(AC2 &amp; "/calculator/sn_6ba3f8a4a4750534cc2e054c56e9a85a/rendering/17.xyz", "0.0")</f>
        <v>0.0</v>
      </c>
      <c r="U791" s="13" t="str">
        <f>HYPERLINK(AC2 &amp; "/calculator/sn_6ba3f8a4a4750534cc2e054c56e9a85a/rendering/18.xyz", "0.0")</f>
        <v>0.0</v>
      </c>
      <c r="V791" s="13" t="str">
        <f>HYPERLINK(AC2 &amp; "/calculator/sn_6ba3f8a4a4750534cc2e054c56e9a85a/rendering/19.xyz", "0.0")</f>
        <v>0.0</v>
      </c>
      <c r="W791" s="12" t="s">
        <v>33</v>
      </c>
      <c r="X791" s="13">
        <v>0</v>
      </c>
      <c r="Y791" s="13">
        <v>0</v>
      </c>
      <c r="Z791" s="13">
        <v>0</v>
      </c>
    </row>
    <row r="792" spans="1:26" x14ac:dyDescent="0.2">
      <c r="A792" s="1">
        <v>790</v>
      </c>
      <c r="B792" s="2" t="s">
        <v>191</v>
      </c>
      <c r="C792" s="20" t="str">
        <f>HYPERLINK(AA2 &amp; "/calculator/sn_7ef7f3a7f62c80732ed95309617d095d/rendering/00.obj", "5.99160888672")</f>
        <v>5.99160888672</v>
      </c>
      <c r="D792" s="91" t="str">
        <f>HYPERLINK(AA2 &amp; "/calculator/sn_7ef7f3a7f62c80732ed95309617d095d/rendering/01.obj", "2.91206359863")</f>
        <v>2.91206359863</v>
      </c>
      <c r="E792" s="46" t="str">
        <f>HYPERLINK(AA2 &amp; "/calculator/sn_7ef7f3a7f62c80732ed95309617d095d/rendering/02.obj", "2.7847845459")</f>
        <v>2.7847845459</v>
      </c>
      <c r="F792" s="87" t="str">
        <f>HYPERLINK(AA2 &amp; "/calculator/sn_7ef7f3a7f62c80732ed95309617d095d/rendering/03.obj", "2.19220565796")</f>
        <v>2.19220565796</v>
      </c>
      <c r="G792" s="76" t="str">
        <f>HYPERLINK(AA2 &amp; "/calculator/sn_7ef7f3a7f62c80732ed95309617d095d/rendering/04.obj", "2.3188494873")</f>
        <v>2.3188494873</v>
      </c>
      <c r="H792" s="26" t="str">
        <f>HYPERLINK(AA2 &amp; "/calculator/sn_7ef7f3a7f62c80732ed95309617d095d/rendering/05.obj", "2.65543640137")</f>
        <v>2.65543640137</v>
      </c>
      <c r="I792" s="44" t="str">
        <f>HYPERLINK(AA2 &amp; "/calculator/sn_7ef7f3a7f62c80732ed95309617d095d/rendering/06.obj", "2.28209991455")</f>
        <v>2.28209991455</v>
      </c>
      <c r="J792" s="49" t="str">
        <f>HYPERLINK(AA2 &amp; "/calculator/sn_7ef7f3a7f62c80732ed95309617d095d/rendering/07.obj", "2.241690979")</f>
        <v>2.241690979</v>
      </c>
      <c r="K792" s="149" t="str">
        <f>HYPERLINK(AA2 &amp; "/calculator/sn_7ef7f3a7f62c80732ed95309617d095d/rendering/08.obj", "1.86103485107")</f>
        <v>1.86103485107</v>
      </c>
      <c r="L792" s="85" t="str">
        <f>HYPERLINK(AA2 &amp; "/calculator/sn_7ef7f3a7f62c80732ed95309617d095d/rendering/09.obj", "1.99859283447")</f>
        <v>1.99859283447</v>
      </c>
      <c r="M792" s="116" t="str">
        <f>HYPERLINK(AA2 &amp; "/calculator/sn_7ef7f3a7f62c80732ed95309617d095d/rendering/10.obj", "4.07824035645")</f>
        <v>4.07824035645</v>
      </c>
      <c r="N792" s="48" t="str">
        <f>HYPERLINK(AA2 &amp; "/calculator/sn_7ef7f3a7f62c80732ed95309617d095d/rendering/11.obj", "2.90842041016")</f>
        <v>2.90842041016</v>
      </c>
      <c r="O792" s="214" t="str">
        <f>HYPERLINK(AA2 &amp; "/calculator/sn_7ef7f3a7f62c80732ed95309617d095d/rendering/12.obj", "4.59106170654")</f>
        <v>4.59106170654</v>
      </c>
      <c r="P792" s="35" t="str">
        <f>HYPERLINK(AA2 &amp; "/calculator/sn_7ef7f3a7f62c80732ed95309617d095d/rendering/13.obj", "3.00004577637")</f>
        <v>3.00004577637</v>
      </c>
      <c r="Q792" s="77" t="str">
        <f>HYPERLINK(AA2 &amp; "/calculator/sn_7ef7f3a7f62c80732ed95309617d095d/rendering/14.obj", "2.30756530762")</f>
        <v>2.30756530762</v>
      </c>
      <c r="R792" s="66" t="str">
        <f>HYPERLINK(AA2 &amp; "/calculator/sn_7ef7f3a7f62c80732ed95309617d095d/rendering/15.obj", "2.37832702637")</f>
        <v>2.37832702637</v>
      </c>
      <c r="S792" s="50" t="str">
        <f>HYPERLINK(AA2 &amp; "/calculator/sn_7ef7f3a7f62c80732ed95309617d095d/rendering/16.obj", "2.27564453125")</f>
        <v>2.27564453125</v>
      </c>
      <c r="T792" s="60" t="str">
        <f>HYPERLINK(AA2 &amp; "/calculator/sn_7ef7f3a7f62c80732ed95309617d095d/rendering/17.obj", "2.98357513428")</f>
        <v>2.98357513428</v>
      </c>
      <c r="U792" s="82" t="str">
        <f>HYPERLINK(AA2 &amp; "/calculator/sn_7ef7f3a7f62c80732ed95309617d095d/rendering/18.obj", "2.25830810547")</f>
        <v>2.25830810547</v>
      </c>
      <c r="V792" s="23" t="str">
        <f>HYPERLINK(AA2 &amp; "/calculator/sn_7ef7f3a7f62c80732ed95309617d095d/rendering/19.obj", "2.73009979248")</f>
        <v>2.73009979248</v>
      </c>
      <c r="W792" s="12" t="s">
        <v>29</v>
      </c>
      <c r="X792" s="13">
        <v>2.8374827651977541</v>
      </c>
      <c r="Y792" s="13">
        <v>0.96998848351979472</v>
      </c>
      <c r="Z792" s="185">
        <v>0.34184823795826402</v>
      </c>
    </row>
    <row r="793" spans="1:26" x14ac:dyDescent="0.2">
      <c r="A793" s="1">
        <v>791</v>
      </c>
      <c r="B793" s="2" t="s">
        <v>191</v>
      </c>
      <c r="C793" s="184" t="str">
        <f>HYPERLINK(AA2 &amp; "/calculator/sn_7ef7f3a7f62c80732ed95309617d095d/rendering/00.obj", "4.97710323334")</f>
        <v>4.97710323334</v>
      </c>
      <c r="D793" s="13" t="str">
        <f>HYPERLINK(AA2 &amp; "/calculator/sn_7ef7f3a7f62c80732ed95309617d095d/rendering/01.obj", "2.86609721184")</f>
        <v>2.86609721184</v>
      </c>
      <c r="E793" s="94" t="str">
        <f>HYPERLINK(AA2 &amp; "/calculator/sn_7ef7f3a7f62c80732ed95309617d095d/rendering/02.obj", "2.65213155746")</f>
        <v>2.65213155746</v>
      </c>
      <c r="F793" s="82" t="str">
        <f>HYPERLINK(AA2 &amp; "/calculator/sn_7ef7f3a7f62c80732ed95309617d095d/rendering/03.obj", "2.27485942841")</f>
        <v>2.27485942841</v>
      </c>
      <c r="G793" s="13" t="str">
        <f>HYPERLINK(AA2 &amp; "/calculator/sn_7ef7f3a7f62c80732ed95309617d095d/rendering/04.obj", "2.86236691475")</f>
        <v>2.86236691475</v>
      </c>
      <c r="H793" s="44" t="str">
        <f>HYPERLINK(AA2 &amp; "/calculator/sn_7ef7f3a7f62c80732ed95309617d095d/rendering/05.obj", "2.30406498909")</f>
        <v>2.30406498909</v>
      </c>
      <c r="I793" s="84" t="str">
        <f>HYPERLINK(AA2 &amp; "/calculator/sn_7ef7f3a7f62c80732ed95309617d095d/rendering/06.obj", "2.44547629356")</f>
        <v>2.44547629356</v>
      </c>
      <c r="J793" s="66" t="str">
        <f>HYPERLINK(AA2 &amp; "/calculator/sn_7ef7f3a7f62c80732ed95309617d095d/rendering/07.obj", "2.39978456497")</f>
        <v>2.39978456497</v>
      </c>
      <c r="K793" s="92" t="str">
        <f>HYPERLINK(AA2 &amp; "/calculator/sn_7ef7f3a7f62c80732ed95309617d095d/rendering/08.obj", "2.51325631142")</f>
        <v>2.51325631142</v>
      </c>
      <c r="L793" s="92" t="str">
        <f>HYPERLINK(AA2 &amp; "/calculator/sn_7ef7f3a7f62c80732ed95309617d095d/rendering/09.obj", "2.51468873024")</f>
        <v>2.51468873024</v>
      </c>
      <c r="M793" s="140" t="str">
        <f>HYPERLINK(AA2 &amp; "/calculator/sn_7ef7f3a7f62c80732ed95309617d095d/rendering/10.obj", "3.86105251312")</f>
        <v>3.86105251312</v>
      </c>
      <c r="N793" s="17" t="str">
        <f>HYPERLINK(AA2 &amp; "/calculator/sn_7ef7f3a7f62c80732ed95309617d095d/rendering/11.obj", "2.80396080017")</f>
        <v>2.80396080017</v>
      </c>
      <c r="O793" s="226" t="str">
        <f>HYPERLINK(AA2 &amp; "/calculator/sn_7ef7f3a7f62c80732ed95309617d095d/rendering/12.obj", "4.47675228119")</f>
        <v>4.47675228119</v>
      </c>
      <c r="P793" s="90" t="str">
        <f>HYPERLINK(AA2 &amp; "/calculator/sn_7ef7f3a7f62c80732ed95309617d095d/rendering/13.obj", "2.59334659576")</f>
        <v>2.59334659576</v>
      </c>
      <c r="Q793" s="77" t="str">
        <f>HYPERLINK(AA2 &amp; "/calculator/sn_7ef7f3a7f62c80732ed95309617d095d/rendering/14.obj", "2.33475351334")</f>
        <v>2.33475351334</v>
      </c>
      <c r="R793" s="66" t="str">
        <f>HYPERLINK(AA2 &amp; "/calculator/sn_7ef7f3a7f62c80732ed95309617d095d/rendering/15.obj", "2.39966797829")</f>
        <v>2.39966797829</v>
      </c>
      <c r="S793" s="92" t="str">
        <f>HYPERLINK(AA2 &amp; "/calculator/sn_7ef7f3a7f62c80732ed95309617d095d/rendering/16.obj", "2.50960206985")</f>
        <v>2.50960206985</v>
      </c>
      <c r="T793" s="51" t="str">
        <f>HYPERLINK(AA2 &amp; "/calculator/sn_7ef7f3a7f62c80732ed95309617d095d/rendering/17.obj", "3.09763026237")</f>
        <v>3.09763026237</v>
      </c>
      <c r="U793" s="72" t="str">
        <f>HYPERLINK(AA2 &amp; "/calculator/sn_7ef7f3a7f62c80732ed95309617d095d/rendering/18.obj", "2.96333885193")</f>
        <v>2.96333885193</v>
      </c>
      <c r="V793" s="65" t="str">
        <f>HYPERLINK(AA2 &amp; "/calculator/sn_7ef7f3a7f62c80732ed95309617d095d/rendering/19.obj", "2.48471450806")</f>
        <v>2.48471450806</v>
      </c>
      <c r="W793" s="12" t="s">
        <v>30</v>
      </c>
      <c r="X793" s="13">
        <v>2.866732430458069</v>
      </c>
      <c r="Y793" s="13">
        <v>0.71790727129846443</v>
      </c>
      <c r="Z793" s="129">
        <v>0.25042702404693962</v>
      </c>
    </row>
    <row r="794" spans="1:26" x14ac:dyDescent="0.2">
      <c r="A794" s="1">
        <v>792</v>
      </c>
      <c r="B794" s="2" t="s">
        <v>191</v>
      </c>
      <c r="C794" s="25" t="str">
        <f>HYPERLINK(AB2 &amp; "/calculator/sn_7ef7f3a7f62c80732ed95309617d095d/rendering/00.obj", "2.65009216309")</f>
        <v>2.65009216309</v>
      </c>
      <c r="D794" s="10" t="str">
        <f>HYPERLINK(AB2 &amp; "/calculator/sn_7ef7f3a7f62c80732ed95309617d095d/rendering/01.obj", "2.76783325195")</f>
        <v>2.76783325195</v>
      </c>
      <c r="E794" s="64" t="str">
        <f>HYPERLINK(AB2 &amp; "/calculator/sn_7ef7f3a7f62c80732ed95309617d095d/rendering/02.obj", "3.05018676758")</f>
        <v>3.05018676758</v>
      </c>
      <c r="F794" s="48" t="str">
        <f>HYPERLINK(AB2 &amp; "/calculator/sn_7ef7f3a7f62c80732ed95309617d095d/rendering/03.obj", "2.68526794434")</f>
        <v>2.68526794434</v>
      </c>
      <c r="G794" s="66" t="str">
        <f>HYPERLINK(AB2 &amp; "/calculator/sn_7ef7f3a7f62c80732ed95309617d095d/rendering/04.obj", "2.1996661377")</f>
        <v>2.1996661377</v>
      </c>
      <c r="H794" s="35" t="str">
        <f>HYPERLINK(AB2 &amp; "/calculator/sn_7ef7f3a7f62c80732ed95309617d095d/rendering/05.obj", "2.77209106445")</f>
        <v>2.77209106445</v>
      </c>
      <c r="I794" s="55" t="str">
        <f>HYPERLINK(AB2 &amp; "/calculator/sn_7ef7f3a7f62c80732ed95309617d095d/rendering/06.obj", "2.11374694824")</f>
        <v>2.11374694824</v>
      </c>
      <c r="J794" s="70" t="str">
        <f>HYPERLINK(AB2 &amp; "/calculator/sn_7ef7f3a7f62c80732ed95309617d095d/rendering/07.obj", "2.9550189209")</f>
        <v>2.9550189209</v>
      </c>
      <c r="K794" s="78" t="str">
        <f>HYPERLINK(AB2 &amp; "/calculator/sn_7ef7f3a7f62c80732ed95309617d095d/rendering/08.obj", "2.78150695801")</f>
        <v>2.78150695801</v>
      </c>
      <c r="L794" s="28" t="str">
        <f>HYPERLINK(AB2 &amp; "/calculator/sn_7ef7f3a7f62c80732ed95309617d095d/rendering/09.obj", "2.32738647461")</f>
        <v>2.32738647461</v>
      </c>
      <c r="M794" s="106" t="str">
        <f>HYPERLINK(AB2 &amp; "/calculator/sn_7ef7f3a7f62c80732ed95309617d095d/rendering/10.obj", "2.32175750732")</f>
        <v>2.32175750732</v>
      </c>
      <c r="N794" s="8" t="str">
        <f>HYPERLINK(AB2 &amp; "/calculator/sn_7ef7f3a7f62c80732ed95309617d095d/rendering/11.obj", "2.99767272949")</f>
        <v>2.99767272949</v>
      </c>
      <c r="O794" s="38" t="str">
        <f>HYPERLINK(AB2 &amp; "/calculator/sn_7ef7f3a7f62c80732ed95309617d095d/rendering/12.obj", "2.39015304565")</f>
        <v>2.39015304565</v>
      </c>
      <c r="P794" s="110" t="str">
        <f>HYPERLINK(AB2 &amp; "/calculator/sn_7ef7f3a7f62c80732ed95309617d095d/rendering/13.obj", "2.35834121704")</f>
        <v>2.35834121704</v>
      </c>
      <c r="Q794" s="71" t="str">
        <f>HYPERLINK(AB2 &amp; "/calculator/sn_7ef7f3a7f62c80732ed95309617d095d/rendering/14.obj", "2.31507080078")</f>
        <v>2.31507080078</v>
      </c>
      <c r="R794" s="39" t="str">
        <f>HYPERLINK(AB2 &amp; "/calculator/sn_7ef7f3a7f62c80732ed95309617d095d/rendering/15.obj", "2.39684967041")</f>
        <v>2.39684967041</v>
      </c>
      <c r="S794" s="61" t="str">
        <f>HYPERLINK(AB2 &amp; "/calculator/sn_7ef7f3a7f62c80732ed95309617d095d/rendering/16.obj", "3.41768920898")</f>
        <v>3.41768920898</v>
      </c>
      <c r="T794" s="133" t="str">
        <f>HYPERLINK(AB2 &amp; "/calculator/sn_7ef7f3a7f62c80732ed95309617d095d/rendering/17.obj", "2.3521786499")</f>
        <v>2.3521786499</v>
      </c>
      <c r="U794" s="44" t="str">
        <f>HYPERLINK(AB2 &amp; "/calculator/sn_7ef7f3a7f62c80732ed95309617d095d/rendering/18.obj", "3.13434936523")</f>
        <v>3.13434936523</v>
      </c>
      <c r="V794" s="27" t="str">
        <f>HYPERLINK(AB2 &amp; "/calculator/sn_7ef7f3a7f62c80732ed95309617d095d/rendering/19.obj", "2.43587661743")</f>
        <v>2.43587661743</v>
      </c>
      <c r="W794" s="12" t="s">
        <v>31</v>
      </c>
      <c r="X794" s="13">
        <v>2.6211367721557619</v>
      </c>
      <c r="Y794" s="13">
        <v>0.34599532618987111</v>
      </c>
      <c r="Z794" s="65">
        <v>0.13200201144227439</v>
      </c>
    </row>
    <row r="795" spans="1:26" x14ac:dyDescent="0.2">
      <c r="A795" s="1">
        <v>793</v>
      </c>
      <c r="B795" s="2" t="s">
        <v>191</v>
      </c>
      <c r="C795" s="72" t="str">
        <f>HYPERLINK(AB2 &amp; "/calculator/sn_7ef7f3a7f62c80732ed95309617d095d/rendering/00.obj", "2.37719082832")</f>
        <v>2.37719082832</v>
      </c>
      <c r="D795" s="106" t="str">
        <f>HYPERLINK(AB2 &amp; "/calculator/sn_7ef7f3a7f62c80732ed95309617d095d/rendering/01.obj", "2.17827582359")</f>
        <v>2.17827582359</v>
      </c>
      <c r="E795" s="133" t="str">
        <f>HYPERLINK(AB2 &amp; "/calculator/sn_7ef7f3a7f62c80732ed95309617d095d/rendering/02.obj", "2.71351480484")</f>
        <v>2.71351480484</v>
      </c>
      <c r="F795" s="6" t="str">
        <f>HYPERLINK(AB2 &amp; "/calculator/sn_7ef7f3a7f62c80732ed95309617d095d/rendering/03.obj", "2.34905695915")</f>
        <v>2.34905695915</v>
      </c>
      <c r="G795" s="34" t="str">
        <f>HYPERLINK(AB2 &amp; "/calculator/sn_7ef7f3a7f62c80732ed95309617d095d/rendering/04.obj", "2.33867788315")</f>
        <v>2.33867788315</v>
      </c>
      <c r="H795" s="84" t="str">
        <f>HYPERLINK(AB2 &amp; "/calculator/sn_7ef7f3a7f62c80732ed95309617d095d/rendering/05.obj", "2.81745648384")</f>
        <v>2.81745648384</v>
      </c>
      <c r="I795" s="30" t="str">
        <f>HYPERLINK(AB2 &amp; "/calculator/sn_7ef7f3a7f62c80732ed95309617d095d/rendering/06.obj", "2.44652223587")</f>
        <v>2.44652223587</v>
      </c>
      <c r="J795" s="90" t="str">
        <f>HYPERLINK(AB2 &amp; "/calculator/sn_7ef7f3a7f62c80732ed95309617d095d/rendering/07.obj", "2.22536492348")</f>
        <v>2.22536492348</v>
      </c>
      <c r="K795" s="38" t="str">
        <f>HYPERLINK(AB2 &amp; "/calculator/sn_7ef7f3a7f62c80732ed95309617d095d/rendering/08.obj", "2.24170923233")</f>
        <v>2.24170923233</v>
      </c>
      <c r="L795" s="47" t="str">
        <f>HYPERLINK(AB2 &amp; "/calculator/sn_7ef7f3a7f62c80732ed95309617d095d/rendering/09.obj", "2.44056582451")</f>
        <v>2.44056582451</v>
      </c>
      <c r="M795" s="28" t="str">
        <f>HYPERLINK(AB2 &amp; "/calculator/sn_7ef7f3a7f62c80732ed95309617d095d/rendering/10.obj", "2.18974661827")</f>
        <v>2.18974661827</v>
      </c>
      <c r="N795" s="81" t="str">
        <f>HYPERLINK(AB2 &amp; "/calculator/sn_7ef7f3a7f62c80732ed95309617d095d/rendering/11.obj", "2.99554538727")</f>
        <v>2.99554538727</v>
      </c>
      <c r="O795" s="30" t="str">
        <f>HYPERLINK(AB2 &amp; "/calculator/sn_7ef7f3a7f62c80732ed95309617d095d/rendering/12.obj", "2.47502613068")</f>
        <v>2.47502613068</v>
      </c>
      <c r="P795" s="17" t="str">
        <f>HYPERLINK(AB2 &amp; "/calculator/sn_7ef7f3a7f62c80732ed95309617d095d/rendering/13.obj", "2.41164278984")</f>
        <v>2.41164278984</v>
      </c>
      <c r="Q795" s="91" t="str">
        <f>HYPERLINK(AB2 &amp; "/calculator/sn_7ef7f3a7f62c80732ed95309617d095d/rendering/14.obj", "2.39288783073")</f>
        <v>2.39288783073</v>
      </c>
      <c r="R795" s="34" t="str">
        <f>HYPERLINK(AB2 &amp; "/calculator/sn_7ef7f3a7f62c80732ed95309617d095d/rendering/15.obj", "2.34217214584")</f>
        <v>2.34217214584</v>
      </c>
      <c r="S795" s="25" t="str">
        <f>HYPERLINK(AB2 &amp; "/calculator/sn_7ef7f3a7f62c80732ed95309617d095d/rendering/16.obj", "2.43112039566")</f>
        <v>2.43112039566</v>
      </c>
      <c r="T795" s="17" t="str">
        <f>HYPERLINK(AB2 &amp; "/calculator/sn_7ef7f3a7f62c80732ed95309617d095d/rendering/17.obj", "2.5104675293")</f>
        <v>2.5104675293</v>
      </c>
      <c r="U795" s="129" t="str">
        <f>HYPERLINK(AB2 &amp; "/calculator/sn_7ef7f3a7f62c80732ed95309617d095d/rendering/18.obj", "3.07406926155")</f>
        <v>3.07406926155</v>
      </c>
      <c r="V795" s="51" t="str">
        <f>HYPERLINK(AB2 &amp; "/calculator/sn_7ef7f3a7f62c80732ed95309617d095d/rendering/19.obj", "2.26155614853")</f>
        <v>2.26155614853</v>
      </c>
      <c r="W795" s="12" t="s">
        <v>32</v>
      </c>
      <c r="X795" s="13">
        <v>2.4606284618377692</v>
      </c>
      <c r="Y795" s="13">
        <v>0.24588549383764469</v>
      </c>
      <c r="Z795" s="110">
        <v>9.992792396378293E-2</v>
      </c>
    </row>
    <row r="796" spans="1:26" x14ac:dyDescent="0.2">
      <c r="A796" s="1">
        <v>794</v>
      </c>
      <c r="B796" s="2" t="s">
        <v>191</v>
      </c>
      <c r="C796" s="13" t="str">
        <f>HYPERLINK(AC2 &amp; "/calculator/sn_7ef7f3a7f62c80732ed95309617d095d/rendering/00.xyz", "0.0")</f>
        <v>0.0</v>
      </c>
      <c r="D796" s="13" t="str">
        <f>HYPERLINK(AC2 &amp; "/calculator/sn_7ef7f3a7f62c80732ed95309617d095d/rendering/01.xyz", "0.0")</f>
        <v>0.0</v>
      </c>
      <c r="E796" s="13" t="str">
        <f>HYPERLINK(AC2 &amp; "/calculator/sn_7ef7f3a7f62c80732ed95309617d095d/rendering/02.xyz", "0.0")</f>
        <v>0.0</v>
      </c>
      <c r="F796" s="13" t="str">
        <f>HYPERLINK(AC2 &amp; "/calculator/sn_7ef7f3a7f62c80732ed95309617d095d/rendering/03.xyz", "0.0")</f>
        <v>0.0</v>
      </c>
      <c r="G796" s="13" t="str">
        <f>HYPERLINK(AC2 &amp; "/calculator/sn_7ef7f3a7f62c80732ed95309617d095d/rendering/04.xyz", "0.0")</f>
        <v>0.0</v>
      </c>
      <c r="H796" s="13" t="str">
        <f>HYPERLINK(AC2 &amp; "/calculator/sn_7ef7f3a7f62c80732ed95309617d095d/rendering/05.xyz", "0.0")</f>
        <v>0.0</v>
      </c>
      <c r="I796" s="13" t="str">
        <f>HYPERLINK(AC2 &amp; "/calculator/sn_7ef7f3a7f62c80732ed95309617d095d/rendering/06.xyz", "0.0")</f>
        <v>0.0</v>
      </c>
      <c r="J796" s="13" t="str">
        <f>HYPERLINK(AC2 &amp; "/calculator/sn_7ef7f3a7f62c80732ed95309617d095d/rendering/07.xyz", "0.0")</f>
        <v>0.0</v>
      </c>
      <c r="K796" s="13" t="str">
        <f>HYPERLINK(AC2 &amp; "/calculator/sn_7ef7f3a7f62c80732ed95309617d095d/rendering/08.xyz", "0.0")</f>
        <v>0.0</v>
      </c>
      <c r="L796" s="13" t="str">
        <f>HYPERLINK(AC2 &amp; "/calculator/sn_7ef7f3a7f62c80732ed95309617d095d/rendering/09.xyz", "0.0")</f>
        <v>0.0</v>
      </c>
      <c r="M796" s="13" t="str">
        <f>HYPERLINK(AC2 &amp; "/calculator/sn_7ef7f3a7f62c80732ed95309617d095d/rendering/10.xyz", "0.0")</f>
        <v>0.0</v>
      </c>
      <c r="N796" s="13" t="str">
        <f>HYPERLINK(AC2 &amp; "/calculator/sn_7ef7f3a7f62c80732ed95309617d095d/rendering/11.xyz", "0.0")</f>
        <v>0.0</v>
      </c>
      <c r="O796" s="13" t="str">
        <f>HYPERLINK(AC2 &amp; "/calculator/sn_7ef7f3a7f62c80732ed95309617d095d/rendering/12.xyz", "0.0")</f>
        <v>0.0</v>
      </c>
      <c r="P796" s="13" t="str">
        <f>HYPERLINK(AC2 &amp; "/calculator/sn_7ef7f3a7f62c80732ed95309617d095d/rendering/13.xyz", "0.0")</f>
        <v>0.0</v>
      </c>
      <c r="Q796" s="13" t="str">
        <f>HYPERLINK(AC2 &amp; "/calculator/sn_7ef7f3a7f62c80732ed95309617d095d/rendering/14.xyz", "0.0")</f>
        <v>0.0</v>
      </c>
      <c r="R796" s="13" t="str">
        <f>HYPERLINK(AC2 &amp; "/calculator/sn_7ef7f3a7f62c80732ed95309617d095d/rendering/15.xyz", "0.0")</f>
        <v>0.0</v>
      </c>
      <c r="S796" s="13" t="str">
        <f>HYPERLINK(AC2 &amp; "/calculator/sn_7ef7f3a7f62c80732ed95309617d095d/rendering/16.xyz", "0.0")</f>
        <v>0.0</v>
      </c>
      <c r="T796" s="13" t="str">
        <f>HYPERLINK(AC2 &amp; "/calculator/sn_7ef7f3a7f62c80732ed95309617d095d/rendering/17.xyz", "0.0")</f>
        <v>0.0</v>
      </c>
      <c r="U796" s="13" t="str">
        <f>HYPERLINK(AC2 &amp; "/calculator/sn_7ef7f3a7f62c80732ed95309617d095d/rendering/18.xyz", "0.0")</f>
        <v>0.0</v>
      </c>
      <c r="V796" s="13" t="str">
        <f>HYPERLINK(AC2 &amp; "/calculator/sn_7ef7f3a7f62c80732ed95309617d095d/rendering/19.xyz", "0.0")</f>
        <v>0.0</v>
      </c>
      <c r="W796" s="12" t="s">
        <v>33</v>
      </c>
      <c r="X796" s="13">
        <v>0</v>
      </c>
      <c r="Y796" s="13">
        <v>0</v>
      </c>
      <c r="Z796" s="13">
        <v>0</v>
      </c>
    </row>
    <row r="797" spans="1:26" x14ac:dyDescent="0.2">
      <c r="A797" s="1">
        <v>795</v>
      </c>
      <c r="B797" s="2" t="s">
        <v>192</v>
      </c>
      <c r="C797" s="58" t="str">
        <f>HYPERLINK(AA2 &amp; "/calculator/sn_814d9e93488ca117feb02b5bb506946f/rendering/00.obj", "1.91336395264")</f>
        <v>1.91336395264</v>
      </c>
      <c r="D797" s="109" t="str">
        <f>HYPERLINK(AA2 &amp; "/calculator/sn_814d9e93488ca117feb02b5bb506946f/rendering/01.obj", "2.0556552124")</f>
        <v>2.0556552124</v>
      </c>
      <c r="E797" s="49" t="str">
        <f>HYPERLINK(AA2 &amp; "/calculator/sn_814d9e93488ca117feb02b5bb506946f/rendering/02.obj", "2.00447952271")</f>
        <v>2.00447952271</v>
      </c>
      <c r="F797" s="174" t="str">
        <f>HYPERLINK(AA2 &amp; "/calculator/sn_814d9e93488ca117feb02b5bb506946f/rendering/03.obj", "3.86085205078")</f>
        <v>3.86085205078</v>
      </c>
      <c r="G797" s="132" t="str">
        <f>HYPERLINK(AA2 &amp; "/calculator/sn_814d9e93488ca117feb02b5bb506946f/rendering/04.obj", "3.59169616699")</f>
        <v>3.59169616699</v>
      </c>
      <c r="H797" s="113" t="str">
        <f>HYPERLINK(AA2 &amp; "/calculator/sn_814d9e93488ca117feb02b5bb506946f/rendering/05.obj", "1.83590087891")</f>
        <v>1.83590087891</v>
      </c>
      <c r="I797" s="61" t="str">
        <f>HYPERLINK(AA2 &amp; "/calculator/sn_814d9e93488ca117feb02b5bb506946f/rendering/06.obj", "1.7637663269")</f>
        <v>1.7637663269</v>
      </c>
      <c r="J797" s="26" t="str">
        <f>HYPERLINK(AA2 &amp; "/calculator/sn_814d9e93488ca117feb02b5bb506946f/rendering/07.obj", "2.6978692627")</f>
        <v>2.6978692627</v>
      </c>
      <c r="K797" s="187" t="str">
        <f>HYPERLINK(AA2 &amp; "/calculator/sn_814d9e93488ca117feb02b5bb506946f/rendering/08.obj", "1.64912887573")</f>
        <v>1.64912887573</v>
      </c>
      <c r="L797" s="199" t="str">
        <f>HYPERLINK(AA2 &amp; "/calculator/sn_814d9e93488ca117feb02b5bb506946f/rendering/09.obj", "4.5245135498")</f>
        <v>4.5245135498</v>
      </c>
      <c r="M797" s="87" t="str">
        <f>HYPERLINK(AA2 &amp; "/calculator/sn_814d9e93488ca117feb02b5bb506946f/rendering/10.obj", "1.95551208496")</f>
        <v>1.95551208496</v>
      </c>
      <c r="N797" s="56" t="str">
        <f>HYPERLINK(AA2 &amp; "/calculator/sn_814d9e93488ca117feb02b5bb506946f/rendering/11.obj", "1.74779266357")</f>
        <v>1.74779266357</v>
      </c>
      <c r="O797" s="168" t="str">
        <f>HYPERLINK(AA2 &amp; "/calculator/sn_814d9e93488ca117feb02b5bb506946f/rendering/12.obj", "1.7165826416")</f>
        <v>1.7165826416</v>
      </c>
      <c r="P797" s="46" t="str">
        <f>HYPERLINK(AA2 &amp; "/calculator/sn_814d9e93488ca117feb02b5bb506946f/rendering/13.obj", "2.48978881836")</f>
        <v>2.48978881836</v>
      </c>
      <c r="Q797" s="32" t="str">
        <f>HYPERLINK(AA2 &amp; "/calculator/sn_814d9e93488ca117feb02b5bb506946f/rendering/14.obj", "2.80182250977")</f>
        <v>2.80182250977</v>
      </c>
      <c r="R797" s="26" t="str">
        <f>HYPERLINK(AA2 &amp; "/calculator/sn_814d9e93488ca117feb02b5bb506946f/rendering/15.obj", "2.36987640381")</f>
        <v>2.36987640381</v>
      </c>
      <c r="S797" s="121" t="str">
        <f>HYPERLINK(AA2 &amp; "/calculator/sn_814d9e93488ca117feb02b5bb506946f/rendering/16.obj", "1.63761764526")</f>
        <v>1.63761764526</v>
      </c>
      <c r="T797" s="33" t="str">
        <f>HYPERLINK(AA2 &amp; "/calculator/sn_814d9e93488ca117feb02b5bb506946f/rendering/17.obj", "2.25851165771")</f>
        <v>2.25851165771</v>
      </c>
      <c r="U797" s="133" t="str">
        <f>HYPERLINK(AA2 &amp; "/calculator/sn_814d9e93488ca117feb02b5bb506946f/rendering/18.obj", "2.79260406494")</f>
        <v>2.79260406494</v>
      </c>
      <c r="V797" s="20" t="str">
        <f>HYPERLINK(AA2 &amp; "/calculator/sn_814d9e93488ca117feb02b5bb506946f/rendering/19.obj", "4.99018951416")</f>
        <v>4.99018951416</v>
      </c>
      <c r="W797" s="12" t="s">
        <v>29</v>
      </c>
      <c r="X797" s="13">
        <v>2.5328761901855472</v>
      </c>
      <c r="Y797" s="13">
        <v>0.95725971387884456</v>
      </c>
      <c r="Z797" s="101">
        <v>0.37793387516849769</v>
      </c>
    </row>
    <row r="798" spans="1:26" x14ac:dyDescent="0.2">
      <c r="A798" s="1">
        <v>796</v>
      </c>
      <c r="B798" s="2" t="s">
        <v>192</v>
      </c>
      <c r="C798" s="95" t="str">
        <f>HYPERLINK(AA2 &amp; "/calculator/sn_814d9e93488ca117feb02b5bb506946f/rendering/00.obj", "3.08828616142")</f>
        <v>3.08828616142</v>
      </c>
      <c r="D798" s="64" t="str">
        <f>HYPERLINK(AA2 &amp; "/calculator/sn_814d9e93488ca117feb02b5bb506946f/rendering/01.obj", "3.58293151855")</f>
        <v>3.58293151855</v>
      </c>
      <c r="E798" s="37" t="str">
        <f>HYPERLINK(AA2 &amp; "/calculator/sn_814d9e93488ca117feb02b5bb506946f/rendering/02.obj", "3.54443383217")</f>
        <v>3.54443383217</v>
      </c>
      <c r="F798" s="42" t="str">
        <f>HYPERLINK(AA2 &amp; "/calculator/sn_814d9e93488ca117feb02b5bb506946f/rendering/03.obj", "4.87532520294")</f>
        <v>4.87532520294</v>
      </c>
      <c r="G798" s="214" t="str">
        <f>HYPERLINK(AA2 &amp; "/calculator/sn_814d9e93488ca117feb02b5bb506946f/rendering/04.obj", "6.93880414963")</f>
        <v>6.93880414963</v>
      </c>
      <c r="H798" s="175" t="str">
        <f>HYPERLINK(AA2 &amp; "/calculator/sn_814d9e93488ca117feb02b5bb506946f/rendering/05.obj", "3.29525184631")</f>
        <v>3.29525184631</v>
      </c>
      <c r="I798" s="4" t="str">
        <f>HYPERLINK(AA2 &amp; "/calculator/sn_814d9e93488ca117feb02b5bb506946f/rendering/06.obj", "3.06916332245")</f>
        <v>3.06916332245</v>
      </c>
      <c r="J798" s="63" t="str">
        <f>HYPERLINK(AA2 &amp; "/calculator/sn_814d9e93488ca117feb02b5bb506946f/rendering/07.obj", "3.77206993103")</f>
        <v>3.77206993103</v>
      </c>
      <c r="K798" s="86" t="str">
        <f>HYPERLINK(AA2 &amp; "/calculator/sn_814d9e93488ca117feb02b5bb506946f/rendering/08.obj", "3.14603757858")</f>
        <v>3.14603757858</v>
      </c>
      <c r="L798" s="20" t="str">
        <f>HYPERLINK(AA2 &amp; "/calculator/sn_814d9e93488ca117feb02b5bb506946f/rendering/09.obj", "8.74803256989")</f>
        <v>8.74803256989</v>
      </c>
      <c r="M798" s="58" t="str">
        <f>HYPERLINK(AA2 &amp; "/calculator/sn_814d9e93488ca117feb02b5bb506946f/rendering/10.obj", "3.24782013893")</f>
        <v>3.24782013893</v>
      </c>
      <c r="N798" s="89" t="str">
        <f>HYPERLINK(AA2 &amp; "/calculator/sn_814d9e93488ca117feb02b5bb506946f/rendering/11.obj", "3.18301939964")</f>
        <v>3.18301939964</v>
      </c>
      <c r="O798" s="103" t="str">
        <f>HYPERLINK(AA2 &amp; "/calculator/sn_814d9e93488ca117feb02b5bb506946f/rendering/12.obj", "2.90516901016")</f>
        <v>2.90516901016</v>
      </c>
      <c r="P798" s="71" t="str">
        <f>HYPERLINK(AA2 &amp; "/calculator/sn_814d9e93488ca117feb02b5bb506946f/rendering/13.obj", "4.80214166641")</f>
        <v>4.80214166641</v>
      </c>
      <c r="Q798" s="14" t="str">
        <f>HYPERLINK(AA2 &amp; "/calculator/sn_814d9e93488ca117feb02b5bb506946f/rendering/14.obj", "5.53960132599")</f>
        <v>5.53960132599</v>
      </c>
      <c r="R798" s="106" t="str">
        <f>HYPERLINK(AA2 &amp; "/calculator/sn_814d9e93488ca117feb02b5bb506946f/rendering/15.obj", "4.7805352211")</f>
        <v>4.7805352211</v>
      </c>
      <c r="S798" s="193" t="str">
        <f>HYPERLINK(AA2 &amp; "/calculator/sn_814d9e93488ca117feb02b5bb506946f/rendering/16.obj", "2.87481403351")</f>
        <v>2.87481403351</v>
      </c>
      <c r="T798" s="44" t="str">
        <f>HYPERLINK(AA2 &amp; "/calculator/sn_814d9e93488ca117feb02b5bb506946f/rendering/17.obj", "3.44960999489")</f>
        <v>3.44960999489</v>
      </c>
      <c r="U798" s="81" t="str">
        <f>HYPERLINK(AA2 &amp; "/calculator/sn_814d9e93488ca117feb02b5bb506946f/rendering/18.obj", "5.22868013382")</f>
        <v>5.22868013382</v>
      </c>
      <c r="V798" s="153" t="str">
        <f>HYPERLINK(AA2 &amp; "/calculator/sn_814d9e93488ca117feb02b5bb506946f/rendering/19.obj", "5.82311487198")</f>
        <v>5.82311487198</v>
      </c>
      <c r="W798" s="12" t="s">
        <v>30</v>
      </c>
      <c r="X798" s="13">
        <v>4.2947420954704283</v>
      </c>
      <c r="Y798" s="13">
        <v>1.51696176040313</v>
      </c>
      <c r="Z798" s="121">
        <v>0.35321370333344038</v>
      </c>
    </row>
    <row r="799" spans="1:26" x14ac:dyDescent="0.2">
      <c r="A799" s="1">
        <v>797</v>
      </c>
      <c r="B799" s="2" t="s">
        <v>192</v>
      </c>
      <c r="C799" s="48" t="str">
        <f>HYPERLINK(AB2 &amp; "/calculator/sn_814d9e93488ca117feb02b5bb506946f/rendering/00.obj", "1.91212188721")</f>
        <v>1.91212188721</v>
      </c>
      <c r="D799" s="103" t="str">
        <f>HYPERLINK(AB2 &amp; "/calculator/sn_814d9e93488ca117feb02b5bb506946f/rendering/01.obj", "2.5930569458")</f>
        <v>2.5930569458</v>
      </c>
      <c r="E799" s="93" t="str">
        <f>HYPERLINK(AB2 &amp; "/calculator/sn_814d9e93488ca117feb02b5bb506946f/rendering/02.obj", "1.68279418945")</f>
        <v>1.68279418945</v>
      </c>
      <c r="F799" s="41" t="str">
        <f>HYPERLINK(AB2 &amp; "/calculator/sn_814d9e93488ca117feb02b5bb506946f/rendering/03.obj", "1.82468414307")</f>
        <v>1.82468414307</v>
      </c>
      <c r="G799" s="41" t="str">
        <f>HYPERLINK(AB2 &amp; "/calculator/sn_814d9e93488ca117feb02b5bb506946f/rendering/04.obj", "1.82350418091")</f>
        <v>1.82350418091</v>
      </c>
      <c r="H799" s="41" t="str">
        <f>HYPERLINK(AB2 &amp; "/calculator/sn_814d9e93488ca117feb02b5bb506946f/rendering/05.obj", "1.82582244873")</f>
        <v>1.82582244873</v>
      </c>
      <c r="I799" s="47" t="str">
        <f>HYPERLINK(AB2 &amp; "/calculator/sn_814d9e93488ca117feb02b5bb506946f/rendering/06.obj", "1.94283721924")</f>
        <v>1.94283721924</v>
      </c>
      <c r="J799" s="80" t="str">
        <f>HYPERLINK(AB2 &amp; "/calculator/sn_814d9e93488ca117feb02b5bb506946f/rendering/07.obj", "1.66488449097")</f>
        <v>1.66488449097</v>
      </c>
      <c r="K799" s="76" t="str">
        <f>HYPERLINK(AB2 &amp; "/calculator/sn_814d9e93488ca117feb02b5bb506946f/rendering/08.obj", "2.31481323242")</f>
        <v>2.31481323242</v>
      </c>
      <c r="L799" s="90" t="str">
        <f>HYPERLINK(AB2 &amp; "/calculator/sn_814d9e93488ca117feb02b5bb506946f/rendering/09.obj", "1.7662727356")</f>
        <v>1.7662727356</v>
      </c>
      <c r="M799" s="78" t="str">
        <f>HYPERLINK(AB2 &amp; "/calculator/sn_814d9e93488ca117feb02b5bb506946f/rendering/10.obj", "1.83559570313")</f>
        <v>1.83559570313</v>
      </c>
      <c r="N799" s="74" t="str">
        <f>HYPERLINK(AB2 &amp; "/calculator/sn_814d9e93488ca117feb02b5bb506946f/rendering/11.obj", "1.9254574585")</f>
        <v>1.9254574585</v>
      </c>
      <c r="O799" s="6" t="str">
        <f>HYPERLINK(AB2 &amp; "/calculator/sn_814d9e93488ca117feb02b5bb506946f/rendering/12.obj", "1.86824569702")</f>
        <v>1.86824569702</v>
      </c>
      <c r="P799" s="71" t="str">
        <f>HYPERLINK(AB2 &amp; "/calculator/sn_814d9e93488ca117feb02b5bb506946f/rendering/13.obj", "2.18493545532")</f>
        <v>2.18493545532</v>
      </c>
      <c r="Q799" s="28" t="str">
        <f>HYPERLINK(AB2 &amp; "/calculator/sn_814d9e93488ca117feb02b5bb506946f/rendering/14.obj", "2.17258331299")</f>
        <v>2.17258331299</v>
      </c>
      <c r="R799" s="16" t="str">
        <f>HYPERLINK(AB2 &amp; "/calculator/sn_814d9e93488ca117feb02b5bb506946f/rendering/15.obj", "3.01765441895")</f>
        <v>3.01765441895</v>
      </c>
      <c r="S799" s="24" t="str">
        <f>HYPERLINK(AB2 &amp; "/calculator/sn_814d9e93488ca117feb02b5bb506946f/rendering/16.obj", "1.62733703613")</f>
        <v>1.62733703613</v>
      </c>
      <c r="T799" s="83" t="str">
        <f>HYPERLINK(AB2 &amp; "/calculator/sn_814d9e93488ca117feb02b5bb506946f/rendering/17.obj", "1.65484085083")</f>
        <v>1.65484085083</v>
      </c>
      <c r="U799" s="66" t="str">
        <f>HYPERLINK(AB2 &amp; "/calculator/sn_814d9e93488ca117feb02b5bb506946f/rendering/18.obj", "1.64070404053")</f>
        <v>1.64070404053</v>
      </c>
      <c r="V799" s="26" t="str">
        <f>HYPERLINK(AB2 &amp; "/calculator/sn_814d9e93488ca117feb02b5bb506946f/rendering/19.obj", "1.82809265137")</f>
        <v>1.82809265137</v>
      </c>
      <c r="W799" s="12" t="s">
        <v>31</v>
      </c>
      <c r="X799" s="13">
        <v>1.9553119049072269</v>
      </c>
      <c r="Y799" s="13">
        <v>0.3426264433854232</v>
      </c>
      <c r="Z799" s="37">
        <v>0.1752285364424658</v>
      </c>
    </row>
    <row r="800" spans="1:26" x14ac:dyDescent="0.2">
      <c r="A800" s="1">
        <v>798</v>
      </c>
      <c r="B800" s="2" t="s">
        <v>192</v>
      </c>
      <c r="C800" s="41" t="str">
        <f>HYPERLINK(AB2 &amp; "/calculator/sn_814d9e93488ca117feb02b5bb506946f/rendering/00.obj", "3.00550103188")</f>
        <v>3.00550103188</v>
      </c>
      <c r="D800" s="91" t="str">
        <f>HYPERLINK(AB2 &amp; "/calculator/sn_814d9e93488ca117feb02b5bb506946f/rendering/01.obj", "3.30503869057")</f>
        <v>3.30503869057</v>
      </c>
      <c r="E800" s="64" t="str">
        <f>HYPERLINK(AB2 &amp; "/calculator/sn_814d9e93488ca117feb02b5bb506946f/rendering/02.obj", "2.69158530235")</f>
        <v>2.69158530235</v>
      </c>
      <c r="F800" s="29" t="str">
        <f>HYPERLINK(AB2 &amp; "/calculator/sn_814d9e93488ca117feb02b5bb506946f/rendering/03.obj", "2.80025696754")</f>
        <v>2.80025696754</v>
      </c>
      <c r="G800" s="80" t="str">
        <f>HYPERLINK(AB2 &amp; "/calculator/sn_814d9e93488ca117feb02b5bb506946f/rendering/04.obj", "3.69827032089")</f>
        <v>3.69827032089</v>
      </c>
      <c r="H800" s="80" t="str">
        <f>HYPERLINK(AB2 &amp; "/calculator/sn_814d9e93488ca117feb02b5bb506946f/rendering/05.obj", "2.74302768707")</f>
        <v>2.74302768707</v>
      </c>
      <c r="I800" s="67" t="str">
        <f>HYPERLINK(AB2 &amp; "/calculator/sn_814d9e93488ca117feb02b5bb506946f/rendering/06.obj", "2.9259057045")</f>
        <v>2.9259057045</v>
      </c>
      <c r="J800" s="106" t="str">
        <f>HYPERLINK(AB2 &amp; "/calculator/sn_814d9e93488ca117feb02b5bb506946f/rendering/07.obj", "2.84774374962")</f>
        <v>2.84774374962</v>
      </c>
      <c r="K800" s="41" t="str">
        <f>HYPERLINK(AB2 &amp; "/calculator/sn_814d9e93488ca117feb02b5bb506946f/rendering/08.obj", "3.00733447075")</f>
        <v>3.00733447075</v>
      </c>
      <c r="L800" s="74" t="str">
        <f>HYPERLINK(AB2 &amp; "/calculator/sn_814d9e93488ca117feb02b5bb506946f/rendering/09.obj", "3.17373967171")</f>
        <v>3.17373967171</v>
      </c>
      <c r="M800" s="110" t="str">
        <f>HYPERLINK(AB2 &amp; "/calculator/sn_814d9e93488ca117feb02b5bb506946f/rendering/10.obj", "2.89730334282")</f>
        <v>2.89730334282</v>
      </c>
      <c r="N800" s="48" t="str">
        <f>HYPERLINK(AB2 &amp; "/calculator/sn_814d9e93488ca117feb02b5bb506946f/rendering/11.obj", "3.14784502983")</f>
        <v>3.14784502983</v>
      </c>
      <c r="O800" s="23" t="str">
        <f>HYPERLINK(AB2 &amp; "/calculator/sn_814d9e93488ca117feb02b5bb506946f/rendering/12.obj", "3.09476566315")</f>
        <v>3.09476566315</v>
      </c>
      <c r="P800" s="69" t="str">
        <f>HYPERLINK(AB2 &amp; "/calculator/sn_814d9e93488ca117feb02b5bb506946f/rendering/13.obj", "3.12005448341")</f>
        <v>3.12005448341</v>
      </c>
      <c r="Q800" s="203" t="str">
        <f>HYPERLINK(AB2 &amp; "/calculator/sn_814d9e93488ca117feb02b5bb506946f/rendering/14.obj", "4.72292375565")</f>
        <v>4.72292375565</v>
      </c>
      <c r="R800" s="20" t="str">
        <f>HYPERLINK(AB2 &amp; "/calculator/sn_814d9e93488ca117feb02b5bb506946f/rendering/15.obj", "5.80898666382")</f>
        <v>5.80898666382</v>
      </c>
      <c r="S800" s="133" t="str">
        <f>HYPERLINK(AB2 &amp; "/calculator/sn_814d9e93488ca117feb02b5bb506946f/rendering/16.obj", "2.89499974251")</f>
        <v>2.89499974251</v>
      </c>
      <c r="T800" s="93" t="str">
        <f>HYPERLINK(AB2 &amp; "/calculator/sn_814d9e93488ca117feb02b5bb506946f/rendering/17.obj", "2.76562833786")</f>
        <v>2.76562833786</v>
      </c>
      <c r="U800" s="80" t="str">
        <f>HYPERLINK(AB2 &amp; "/calculator/sn_814d9e93488ca117feb02b5bb506946f/rendering/18.obj", "2.74331092834")</f>
        <v>2.74331092834</v>
      </c>
      <c r="V800" s="41" t="str">
        <f>HYPERLINK(AB2 &amp; "/calculator/sn_814d9e93488ca117feb02b5bb506946f/rendering/19.obj", "3.0029129982")</f>
        <v>3.0029129982</v>
      </c>
      <c r="W800" s="12" t="s">
        <v>32</v>
      </c>
      <c r="X800" s="13">
        <v>3.2198567271232599</v>
      </c>
      <c r="Y800" s="13">
        <v>0.73893190400813202</v>
      </c>
      <c r="Z800" s="98">
        <v>0.2294921689476293</v>
      </c>
    </row>
    <row r="801" spans="1:26" x14ac:dyDescent="0.2">
      <c r="A801" s="1">
        <v>799</v>
      </c>
      <c r="B801" s="2" t="s">
        <v>192</v>
      </c>
      <c r="C801" s="13" t="str">
        <f>HYPERLINK(AC2 &amp; "/calculator/sn_814d9e93488ca117feb02b5bb506946f/rendering/00.xyz", "0.0")</f>
        <v>0.0</v>
      </c>
      <c r="D801" s="13" t="str">
        <f>HYPERLINK(AC2 &amp; "/calculator/sn_814d9e93488ca117feb02b5bb506946f/rendering/01.xyz", "0.0")</f>
        <v>0.0</v>
      </c>
      <c r="E801" s="13" t="str">
        <f>HYPERLINK(AC2 &amp; "/calculator/sn_814d9e93488ca117feb02b5bb506946f/rendering/02.xyz", "0.0")</f>
        <v>0.0</v>
      </c>
      <c r="F801" s="13" t="str">
        <f>HYPERLINK(AC2 &amp; "/calculator/sn_814d9e93488ca117feb02b5bb506946f/rendering/03.xyz", "0.0")</f>
        <v>0.0</v>
      </c>
      <c r="G801" s="13" t="str">
        <f>HYPERLINK(AC2 &amp; "/calculator/sn_814d9e93488ca117feb02b5bb506946f/rendering/04.xyz", "0.0")</f>
        <v>0.0</v>
      </c>
      <c r="H801" s="13" t="str">
        <f>HYPERLINK(AC2 &amp; "/calculator/sn_814d9e93488ca117feb02b5bb506946f/rendering/05.xyz", "0.0")</f>
        <v>0.0</v>
      </c>
      <c r="I801" s="13" t="str">
        <f>HYPERLINK(AC2 &amp; "/calculator/sn_814d9e93488ca117feb02b5bb506946f/rendering/06.xyz", "0.0")</f>
        <v>0.0</v>
      </c>
      <c r="J801" s="13" t="str">
        <f>HYPERLINK(AC2 &amp; "/calculator/sn_814d9e93488ca117feb02b5bb506946f/rendering/07.xyz", "0.0")</f>
        <v>0.0</v>
      </c>
      <c r="K801" s="13" t="str">
        <f>HYPERLINK(AC2 &amp; "/calculator/sn_814d9e93488ca117feb02b5bb506946f/rendering/08.xyz", "0.0")</f>
        <v>0.0</v>
      </c>
      <c r="L801" s="13" t="str">
        <f>HYPERLINK(AC2 &amp; "/calculator/sn_814d9e93488ca117feb02b5bb506946f/rendering/09.xyz", "0.0")</f>
        <v>0.0</v>
      </c>
      <c r="M801" s="13" t="str">
        <f>HYPERLINK(AC2 &amp; "/calculator/sn_814d9e93488ca117feb02b5bb506946f/rendering/10.xyz", "0.0")</f>
        <v>0.0</v>
      </c>
      <c r="N801" s="13" t="str">
        <f>HYPERLINK(AC2 &amp; "/calculator/sn_814d9e93488ca117feb02b5bb506946f/rendering/11.xyz", "0.0")</f>
        <v>0.0</v>
      </c>
      <c r="O801" s="13" t="str">
        <f>HYPERLINK(AC2 &amp; "/calculator/sn_814d9e93488ca117feb02b5bb506946f/rendering/12.xyz", "0.0")</f>
        <v>0.0</v>
      </c>
      <c r="P801" s="13" t="str">
        <f>HYPERLINK(AC2 &amp; "/calculator/sn_814d9e93488ca117feb02b5bb506946f/rendering/13.xyz", "0.0")</f>
        <v>0.0</v>
      </c>
      <c r="Q801" s="13" t="str">
        <f>HYPERLINK(AC2 &amp; "/calculator/sn_814d9e93488ca117feb02b5bb506946f/rendering/14.xyz", "0.0")</f>
        <v>0.0</v>
      </c>
      <c r="R801" s="13" t="str">
        <f>HYPERLINK(AC2 &amp; "/calculator/sn_814d9e93488ca117feb02b5bb506946f/rendering/15.xyz", "0.0")</f>
        <v>0.0</v>
      </c>
      <c r="S801" s="13" t="str">
        <f>HYPERLINK(AC2 &amp; "/calculator/sn_814d9e93488ca117feb02b5bb506946f/rendering/16.xyz", "0.0")</f>
        <v>0.0</v>
      </c>
      <c r="T801" s="13" t="str">
        <f>HYPERLINK(AC2 &amp; "/calculator/sn_814d9e93488ca117feb02b5bb506946f/rendering/17.xyz", "0.0")</f>
        <v>0.0</v>
      </c>
      <c r="U801" s="13" t="str">
        <f>HYPERLINK(AC2 &amp; "/calculator/sn_814d9e93488ca117feb02b5bb506946f/rendering/18.xyz", "0.0")</f>
        <v>0.0</v>
      </c>
      <c r="V801" s="13" t="str">
        <f>HYPERLINK(AC2 &amp; "/calculator/sn_814d9e93488ca117feb02b5bb506946f/rendering/19.xyz", "0.0")</f>
        <v>0.0</v>
      </c>
      <c r="W801" s="12" t="s">
        <v>33</v>
      </c>
      <c r="X801" s="13">
        <v>0</v>
      </c>
      <c r="Y801" s="13">
        <v>0</v>
      </c>
      <c r="Z801" s="13">
        <v>0</v>
      </c>
    </row>
    <row r="802" spans="1:26" x14ac:dyDescent="0.2">
      <c r="A802" s="1">
        <v>800</v>
      </c>
      <c r="B802" s="2" t="s">
        <v>193</v>
      </c>
      <c r="C802" s="20" t="str">
        <f>HYPERLINK(AA2 &amp; "/calculator/sn_8b9d1344161b4adb12060d1ff2024b3/rendering/00.obj", "8.51171630859")</f>
        <v>8.51171630859</v>
      </c>
      <c r="D802" s="59" t="str">
        <f>HYPERLINK(AA2 &amp; "/calculator/sn_8b9d1344161b4adb12060d1ff2024b3/rendering/01.obj", "2.69492126465")</f>
        <v>2.69492126465</v>
      </c>
      <c r="E802" s="77" t="str">
        <f>HYPERLINK(AA2 &amp; "/calculator/sn_8b9d1344161b4adb12060d1ff2024b3/rendering/02.obj", "4.20184112549")</f>
        <v>4.20184112549</v>
      </c>
      <c r="F802" s="121" t="str">
        <f>HYPERLINK(AA2 &amp; "/calculator/sn_8b9d1344161b4adb12060d1ff2024b3/rendering/03.obj", "2.29620651245")</f>
        <v>2.29620651245</v>
      </c>
      <c r="G802" s="135" t="str">
        <f>HYPERLINK(AA2 &amp; "/calculator/sn_8b9d1344161b4adb12060d1ff2024b3/rendering/04.obj", "2.63194091797")</f>
        <v>2.63194091797</v>
      </c>
      <c r="H802" s="47" t="str">
        <f>HYPERLINK(AA2 &amp; "/calculator/sn_8b9d1344161b4adb12060d1ff2024b3/rendering/05.obj", "3.5097479248")</f>
        <v>3.5097479248</v>
      </c>
      <c r="I802" s="39" t="str">
        <f>HYPERLINK(AA2 &amp; "/calculator/sn_8b9d1344161b4adb12060d1ff2024b3/rendering/06.obj", "3.24039672852")</f>
        <v>3.24039672852</v>
      </c>
      <c r="J802" s="121" t="str">
        <f>HYPERLINK(AA2 &amp; "/calculator/sn_8b9d1344161b4adb12060d1ff2024b3/rendering/07.obj", "2.29767486572")</f>
        <v>2.29767486572</v>
      </c>
      <c r="K802" s="100" t="str">
        <f>HYPERLINK(AA2 &amp; "/calculator/sn_8b9d1344161b4adb12060d1ff2024b3/rendering/08.obj", "2.47851928711")</f>
        <v>2.47851928711</v>
      </c>
      <c r="L802" s="171" t="str">
        <f>HYPERLINK(AA2 &amp; "/calculator/sn_8b9d1344161b4adb12060d1ff2024b3/rendering/09.obj", "2.46259246826")</f>
        <v>2.46259246826</v>
      </c>
      <c r="M802" s="42" t="str">
        <f>HYPERLINK(AA2 &amp; "/calculator/sn_8b9d1344161b4adb12060d1ff2024b3/rendering/10.obj", "4.03043762207")</f>
        <v>4.03043762207</v>
      </c>
      <c r="N802" s="136" t="str">
        <f>HYPERLINK(AA2 &amp; "/calculator/sn_8b9d1344161b4adb12060d1ff2024b3/rendering/11.obj", "4.38532684326")</f>
        <v>4.38532684326</v>
      </c>
      <c r="O802" s="81" t="str">
        <f>HYPERLINK(AA2 &amp; "/calculator/sn_8b9d1344161b4adb12060d1ff2024b3/rendering/12.obj", "2.76598907471")</f>
        <v>2.76598907471</v>
      </c>
      <c r="P802" s="46" t="str">
        <f>HYPERLINK(AA2 &amp; "/calculator/sn_8b9d1344161b4adb12060d1ff2024b3/rendering/13.obj", "3.59828308105")</f>
        <v>3.59828308105</v>
      </c>
      <c r="Q802" s="214" t="str">
        <f>HYPERLINK(AA2 &amp; "/calculator/sn_8b9d1344161b4adb12060d1ff2024b3/rendering/14.obj", "5.72083312988")</f>
        <v>5.72083312988</v>
      </c>
      <c r="R802" s="6" t="str">
        <f>HYPERLINK(AA2 &amp; "/calculator/sn_8b9d1344161b4adb12060d1ff2024b3/rendering/15.obj", "3.38357849121")</f>
        <v>3.38357849121</v>
      </c>
      <c r="S802" s="137" t="str">
        <f>HYPERLINK(AA2 &amp; "/calculator/sn_8b9d1344161b4adb12060d1ff2024b3/rendering/16.obj", "2.25142028809")</f>
        <v>2.25142028809</v>
      </c>
      <c r="T802" s="72" t="str">
        <f>HYPERLINK(AA2 &amp; "/calculator/sn_8b9d1344161b4adb12060d1ff2024b3/rendering/17.obj", "3.42032989502")</f>
        <v>3.42032989502</v>
      </c>
      <c r="U802" s="67" t="str">
        <f>HYPERLINK(AA2 &amp; "/calculator/sn_8b9d1344161b4adb12060d1ff2024b3/rendering/18.obj", "3.8669442749")</f>
        <v>3.8669442749</v>
      </c>
      <c r="V802" s="92" t="str">
        <f>HYPERLINK(AA2 &amp; "/calculator/sn_8b9d1344161b4adb12060d1ff2024b3/rendering/19.obj", "3.10165527344")</f>
        <v>3.10165527344</v>
      </c>
      <c r="W802" s="12" t="s">
        <v>29</v>
      </c>
      <c r="X802" s="13">
        <v>3.542517768859863</v>
      </c>
      <c r="Y802" s="13">
        <v>1.422587666004318</v>
      </c>
      <c r="Z802" s="122">
        <v>0.40157530853039819</v>
      </c>
    </row>
    <row r="803" spans="1:26" x14ac:dyDescent="0.2">
      <c r="A803" s="1">
        <v>801</v>
      </c>
      <c r="B803" s="2" t="s">
        <v>193</v>
      </c>
      <c r="C803" s="20" t="str">
        <f>HYPERLINK(AA2 &amp; "/calculator/sn_8b9d1344161b4adb12060d1ff2024b3/rendering/00.obj", "7.12513494492")</f>
        <v>7.12513494492</v>
      </c>
      <c r="D803" s="175" t="str">
        <f>HYPERLINK(AA2 &amp; "/calculator/sn_8b9d1344161b4adb12060d1ff2024b3/rendering/01.obj", "2.10940217972")</f>
        <v>2.10940217972</v>
      </c>
      <c r="E803" s="69" t="str">
        <f>HYPERLINK(AA2 &amp; "/calculator/sn_8b9d1344161b4adb12060d1ff2024b3/rendering/02.obj", "2.83978247643")</f>
        <v>2.83978247643</v>
      </c>
      <c r="F803" s="58" t="str">
        <f>HYPERLINK(AA2 &amp; "/calculator/sn_8b9d1344161b4adb12060d1ff2024b3/rendering/03.obj", "2.08865094185")</f>
        <v>2.08865094185</v>
      </c>
      <c r="G803" s="175" t="str">
        <f>HYPERLINK(AA2 &amp; "/calculator/sn_8b9d1344161b4adb12060d1ff2024b3/rendering/04.obj", "2.11567878723")</f>
        <v>2.11567878723</v>
      </c>
      <c r="H803" s="35" t="str">
        <f>HYPERLINK(AA2 &amp; "/calculator/sn_8b9d1344161b4adb12060d1ff2024b3/rendering/05.obj", "2.5977332592")</f>
        <v>2.5977332592</v>
      </c>
      <c r="I803" s="73" t="str">
        <f>HYPERLINK(AA2 &amp; "/calculator/sn_8b9d1344161b4adb12060d1ff2024b3/rendering/06.obj", "2.65976524353")</f>
        <v>2.65976524353</v>
      </c>
      <c r="J803" s="36" t="str">
        <f>HYPERLINK(AA2 &amp; "/calculator/sn_8b9d1344161b4adb12060d1ff2024b3/rendering/07.obj", "2.16641950607")</f>
        <v>2.16641950607</v>
      </c>
      <c r="K803" s="11" t="str">
        <f>HYPERLINK(AA2 &amp; "/calculator/sn_8b9d1344161b4adb12060d1ff2024b3/rendering/08.obj", "2.14323997498")</f>
        <v>2.14323997498</v>
      </c>
      <c r="L803" s="120" t="str">
        <f>HYPERLINK(AA2 &amp; "/calculator/sn_8b9d1344161b4adb12060d1ff2024b3/rendering/09.obj", "2.17508769035")</f>
        <v>2.17508769035</v>
      </c>
      <c r="M803" s="49" t="str">
        <f>HYPERLINK(AA2 &amp; "/calculator/sn_8b9d1344161b4adb12060d1ff2024b3/rendering/10.obj", "3.33059024811")</f>
        <v>3.33059024811</v>
      </c>
      <c r="N803" s="34" t="str">
        <f>HYPERLINK(AA2 &amp; "/calculator/sn_8b9d1344161b4adb12060d1ff2024b3/rendering/11.obj", "2.89143276215")</f>
        <v>2.89143276215</v>
      </c>
      <c r="O803" s="87" t="str">
        <f>HYPERLINK(AA2 &amp; "/calculator/sn_8b9d1344161b4adb12060d1ff2024b3/rendering/12.obj", "2.1267786026")</f>
        <v>2.1267786026</v>
      </c>
      <c r="P803" s="65" t="str">
        <f>HYPERLINK(AA2 &amp; "/calculator/sn_8b9d1344161b4adb12060d1ff2024b3/rendering/13.obj", "2.39332103729")</f>
        <v>2.39332103729</v>
      </c>
      <c r="Q803" s="197" t="str">
        <f>HYPERLINK(AA2 &amp; "/calculator/sn_8b9d1344161b4adb12060d1ff2024b3/rendering/14.obj", "4.31735229492")</f>
        <v>4.31735229492</v>
      </c>
      <c r="R803" s="34" t="str">
        <f>HYPERLINK(AA2 &amp; "/calculator/sn_8b9d1344161b4adb12060d1ff2024b3/rendering/15.obj", "2.62086701393")</f>
        <v>2.62086701393</v>
      </c>
      <c r="S803" s="120" t="str">
        <f>HYPERLINK(AA2 &amp; "/calculator/sn_8b9d1344161b4adb12060d1ff2024b3/rendering/16.obj", "2.17595911026")</f>
        <v>2.17595911026</v>
      </c>
      <c r="T803" s="91" t="str">
        <f>HYPERLINK(AA2 &amp; "/calculator/sn_8b9d1344161b4adb12060d1ff2024b3/rendering/17.obj", "2.68550348282")</f>
        <v>2.68550348282</v>
      </c>
      <c r="U803" s="5" t="str">
        <f>HYPERLINK(AA2 &amp; "/calculator/sn_8b9d1344161b4adb12060d1ff2024b3/rendering/18.obj", "2.54382896423")</f>
        <v>2.54382896423</v>
      </c>
      <c r="V803" s="170" t="str">
        <f>HYPERLINK(AA2 &amp; "/calculator/sn_8b9d1344161b4adb12060d1ff2024b3/rendering/19.obj", "2.06046247482")</f>
        <v>2.06046247482</v>
      </c>
      <c r="W803" s="12" t="s">
        <v>30</v>
      </c>
      <c r="X803" s="13">
        <v>2.758349549770355</v>
      </c>
      <c r="Y803" s="13">
        <v>1.1328458041349621</v>
      </c>
      <c r="Z803" s="158">
        <v>0.41069697066830302</v>
      </c>
    </row>
    <row r="804" spans="1:26" x14ac:dyDescent="0.2">
      <c r="A804" s="1">
        <v>802</v>
      </c>
      <c r="B804" s="2" t="s">
        <v>193</v>
      </c>
      <c r="C804" s="64" t="str">
        <f>HYPERLINK(AB2 &amp; "/calculator/sn_8b9d1344161b4adb12060d1ff2024b3/rendering/00.obj", "2.81413543701")</f>
        <v>2.81413543701</v>
      </c>
      <c r="D804" s="13" t="str">
        <f>HYPERLINK(AB2 &amp; "/calculator/sn_8b9d1344161b4adb12060d1ff2024b3/rendering/01.obj", "2.41892944336")</f>
        <v>2.41892944336</v>
      </c>
      <c r="E804" s="27" t="str">
        <f>HYPERLINK(AB2 &amp; "/calculator/sn_8b9d1344161b4adb12060d1ff2024b3/rendering/02.obj", "2.2424319458")</f>
        <v>2.2424319458</v>
      </c>
      <c r="F804" s="47" t="str">
        <f>HYPERLINK(AB2 &amp; "/calculator/sn_8b9d1344161b4adb12060d1ff2024b3/rendering/03.obj", "2.39637512207")</f>
        <v>2.39637512207</v>
      </c>
      <c r="G804" s="48" t="str">
        <f>HYPERLINK(AB2 &amp; "/calculator/sn_8b9d1344161b4adb12060d1ff2024b3/rendering/04.obj", "2.47308746338")</f>
        <v>2.47308746338</v>
      </c>
      <c r="H804" s="70" t="str">
        <f>HYPERLINK(AB2 &amp; "/calculator/sn_8b9d1344161b4adb12060d1ff2024b3/rendering/05.obj", "2.11159683228")</f>
        <v>2.11159683228</v>
      </c>
      <c r="I804" s="51" t="str">
        <f>HYPERLINK(AB2 &amp; "/calculator/sn_8b9d1344161b4adb12060d1ff2024b3/rendering/06.obj", "2.6070135498")</f>
        <v>2.6070135498</v>
      </c>
      <c r="J804" s="69" t="str">
        <f>HYPERLINK(AB2 &amp; "/calculator/sn_8b9d1344161b4adb12060d1ff2024b3/rendering/07.obj", "2.34495727539")</f>
        <v>2.34495727539</v>
      </c>
      <c r="K804" s="6" t="str">
        <f>HYPERLINK(AB2 &amp; "/calculator/sn_8b9d1344161b4adb12060d1ff2024b3/rendering/08.obj", "2.52755996704")</f>
        <v>2.52755996704</v>
      </c>
      <c r="L804" s="71" t="str">
        <f>HYPERLINK(AB2 &amp; "/calculator/sn_8b9d1344161b4adb12060d1ff2024b3/rendering/09.obj", "2.13072921753")</f>
        <v>2.13072921753</v>
      </c>
      <c r="M804" s="91" t="str">
        <f>HYPERLINK(AB2 &amp; "/calculator/sn_8b9d1344161b4adb12060d1ff2024b3/rendering/10.obj", "2.47643356323")</f>
        <v>2.47643356323</v>
      </c>
      <c r="N804" s="73" t="str">
        <f>HYPERLINK(AB2 &amp; "/calculator/sn_8b9d1344161b4adb12060d1ff2024b3/rendering/11.obj", "2.32692382812")</f>
        <v>2.32692382812</v>
      </c>
      <c r="O804" s="35" t="str">
        <f>HYPERLINK(AB2 &amp; "/calculator/sn_8b9d1344161b4adb12060d1ff2024b3/rendering/12.obj", "2.27423614502")</f>
        <v>2.27423614502</v>
      </c>
      <c r="P804" s="67" t="str">
        <f>HYPERLINK(AB2 &amp; "/calculator/sn_8b9d1344161b4adb12060d1ff2024b3/rendering/13.obj", "2.19395141602")</f>
        <v>2.19395141602</v>
      </c>
      <c r="Q804" s="48" t="str">
        <f>HYPERLINK(AB2 &amp; "/calculator/sn_8b9d1344161b4adb12060d1ff2024b3/rendering/14.obj", "2.47129089355")</f>
        <v>2.47129089355</v>
      </c>
      <c r="R804" s="26" t="str">
        <f>HYPERLINK(AB2 &amp; "/calculator/sn_8b9d1344161b4adb12060d1ff2024b3/rendering/15.obj", "2.57271575928")</f>
        <v>2.57271575928</v>
      </c>
      <c r="S804" s="38" t="str">
        <f>HYPERLINK(AB2 &amp; "/calculator/sn_8b9d1344161b4adb12060d1ff2024b3/rendering/16.obj", "2.63299346924")</f>
        <v>2.63299346924</v>
      </c>
      <c r="T804" s="38" t="str">
        <f>HYPERLINK(AB2 &amp; "/calculator/sn_8b9d1344161b4adb12060d1ff2024b3/rendering/17.obj", "2.62707122803")</f>
        <v>2.62707122803</v>
      </c>
      <c r="U804" s="48" t="str">
        <f>HYPERLINK(AB2 &amp; "/calculator/sn_8b9d1344161b4adb12060d1ff2024b3/rendering/18.obj", "2.46919937134")</f>
        <v>2.46919937134</v>
      </c>
      <c r="V804" s="90" t="str">
        <f>HYPERLINK(AB2 &amp; "/calculator/sn_8b9d1344161b4adb12060d1ff2024b3/rendering/19.obj", "2.18354888916")</f>
        <v>2.18354888916</v>
      </c>
      <c r="W804" s="12" t="s">
        <v>31</v>
      </c>
      <c r="X804" s="13">
        <v>2.4147590408325201</v>
      </c>
      <c r="Y804" s="13">
        <v>0.1840361850783829</v>
      </c>
      <c r="Z804" s="5">
        <v>7.6213063898472447E-2</v>
      </c>
    </row>
    <row r="805" spans="1:26" x14ac:dyDescent="0.2">
      <c r="A805" s="1">
        <v>803</v>
      </c>
      <c r="B805" s="2" t="s">
        <v>193</v>
      </c>
      <c r="C805" s="93" t="str">
        <f>HYPERLINK(AB2 &amp; "/calculator/sn_8b9d1344161b4adb12060d1ff2024b3/rendering/00.obj", "2.1445350647")</f>
        <v>2.1445350647</v>
      </c>
      <c r="D805" s="30" t="str">
        <f>HYPERLINK(AB2 &amp; "/calculator/sn_8b9d1344161b4adb12060d1ff2024b3/rendering/01.obj", "1.88909828663")</f>
        <v>1.88909828663</v>
      </c>
      <c r="E805" s="72" t="str">
        <f>HYPERLINK(AB2 &amp; "/calculator/sn_8b9d1344161b4adb12060d1ff2024b3/rendering/02.obj", "1.82084918022")</f>
        <v>1.82084918022</v>
      </c>
      <c r="F805" s="46" t="str">
        <f>HYPERLINK(AB2 &amp; "/calculator/sn_8b9d1344161b4adb12060d1ff2024b3/rendering/03.obj", "1.84630596638")</f>
        <v>1.84630596638</v>
      </c>
      <c r="G805" s="35" t="str">
        <f>HYPERLINK(AB2 &amp; "/calculator/sn_8b9d1344161b4adb12060d1ff2024b3/rendering/04.obj", "1.98962926865")</f>
        <v>1.98962926865</v>
      </c>
      <c r="H805" s="41" t="str">
        <f>HYPERLINK(AB2 &amp; "/calculator/sn_8b9d1344161b4adb12060d1ff2024b3/rendering/05.obj", "1.75501549244")</f>
        <v>1.75501549244</v>
      </c>
      <c r="I805" s="74" t="str">
        <f>HYPERLINK(AB2 &amp; "/calculator/sn_8b9d1344161b4adb12060d1ff2024b3/rendering/06.obj", "1.85541713238")</f>
        <v>1.85541713238</v>
      </c>
      <c r="J805" s="68" t="str">
        <f>HYPERLINK(AB2 &amp; "/calculator/sn_8b9d1344161b4adb12060d1ff2024b3/rendering/07.obj", "1.79815232754")</f>
        <v>1.79815232754</v>
      </c>
      <c r="K805" s="90" t="str">
        <f>HYPERLINK(AB2 &amp; "/calculator/sn_8b9d1344161b4adb12060d1ff2024b3/rendering/08.obj", "2.06272339821")</f>
        <v>2.06272339821</v>
      </c>
      <c r="L805" s="23" t="str">
        <f>HYPERLINK(AB2 &amp; "/calculator/sn_8b9d1344161b4adb12060d1ff2024b3/rendering/09.obj", "1.80897772312")</f>
        <v>1.80897772312</v>
      </c>
      <c r="M805" s="25" t="str">
        <f>HYPERLINK(AB2 &amp; "/calculator/sn_8b9d1344161b4adb12060d1ff2024b3/rendering/10.obj", "1.9003431797")</f>
        <v>1.9003431797</v>
      </c>
      <c r="N805" s="72" t="str">
        <f>HYPERLINK(AB2 &amp; "/calculator/sn_8b9d1344161b4adb12060d1ff2024b3/rendering/11.obj", "1.81581735611")</f>
        <v>1.81581735611</v>
      </c>
      <c r="O805" s="74" t="str">
        <f>HYPERLINK(AB2 &amp; "/calculator/sn_8b9d1344161b4adb12060d1ff2024b3/rendering/12.obj", "1.90415263176")</f>
        <v>1.90415263176</v>
      </c>
      <c r="P805" s="74" t="str">
        <f>HYPERLINK(AB2 &amp; "/calculator/sn_8b9d1344161b4adb12060d1ff2024b3/rendering/13.obj", "1.85343849659")</f>
        <v>1.85343849659</v>
      </c>
      <c r="Q805" s="48" t="str">
        <f>HYPERLINK(AB2 &amp; "/calculator/sn_8b9d1344161b4adb12060d1ff2024b3/rendering/14.obj", "1.83600699902")</f>
        <v>1.83600699902</v>
      </c>
      <c r="R805" s="91" t="str">
        <f>HYPERLINK(AB2 &amp; "/calculator/sn_8b9d1344161b4adb12060d1ff2024b3/rendering/15.obj", "1.93273365498")</f>
        <v>1.93273365498</v>
      </c>
      <c r="S805" s="30" t="str">
        <f>HYPERLINK(AB2 &amp; "/calculator/sn_8b9d1344161b4adb12060d1ff2024b3/rendering/16.obj", "1.87066686153")</f>
        <v>1.87066686153</v>
      </c>
      <c r="T805" s="68" t="str">
        <f>HYPERLINK(AB2 &amp; "/calculator/sn_8b9d1344161b4adb12060d1ff2024b3/rendering/17.obj", "1.96202015877")</f>
        <v>1.96202015877</v>
      </c>
      <c r="U805" s="10" t="str">
        <f>HYPERLINK(AB2 &amp; "/calculator/sn_8b9d1344161b4adb12060d1ff2024b3/rendering/18.obj", "1.77672600746")</f>
        <v>1.77672600746</v>
      </c>
      <c r="V805" s="34" t="str">
        <f>HYPERLINK(AB2 &amp; "/calculator/sn_8b9d1344161b4adb12060d1ff2024b3/rendering/19.obj", "1.7867307663")</f>
        <v>1.7867307663</v>
      </c>
      <c r="W805" s="12" t="s">
        <v>32</v>
      </c>
      <c r="X805" s="13">
        <v>1.880466997623444</v>
      </c>
      <c r="Y805" s="13">
        <v>9.6120709334999582E-2</v>
      </c>
      <c r="Z805" s="60">
        <v>5.1115339677047282E-2</v>
      </c>
    </row>
    <row r="806" spans="1:26" x14ac:dyDescent="0.2">
      <c r="A806" s="1">
        <v>804</v>
      </c>
      <c r="B806" s="2" t="s">
        <v>193</v>
      </c>
      <c r="C806" s="13" t="str">
        <f>HYPERLINK(AC2 &amp; "/calculator/sn_8b9d1344161b4adb12060d1ff2024b3/rendering/00.xyz", "0.0")</f>
        <v>0.0</v>
      </c>
      <c r="D806" s="13" t="str">
        <f>HYPERLINK(AC2 &amp; "/calculator/sn_8b9d1344161b4adb12060d1ff2024b3/rendering/01.xyz", "0.0")</f>
        <v>0.0</v>
      </c>
      <c r="E806" s="13" t="str">
        <f>HYPERLINK(AC2 &amp; "/calculator/sn_8b9d1344161b4adb12060d1ff2024b3/rendering/02.xyz", "0.0")</f>
        <v>0.0</v>
      </c>
      <c r="F806" s="13" t="str">
        <f>HYPERLINK(AC2 &amp; "/calculator/sn_8b9d1344161b4adb12060d1ff2024b3/rendering/03.xyz", "0.0")</f>
        <v>0.0</v>
      </c>
      <c r="G806" s="13" t="str">
        <f>HYPERLINK(AC2 &amp; "/calculator/sn_8b9d1344161b4adb12060d1ff2024b3/rendering/04.xyz", "0.0")</f>
        <v>0.0</v>
      </c>
      <c r="H806" s="13" t="str">
        <f>HYPERLINK(AC2 &amp; "/calculator/sn_8b9d1344161b4adb12060d1ff2024b3/rendering/05.xyz", "0.0")</f>
        <v>0.0</v>
      </c>
      <c r="I806" s="13" t="str">
        <f>HYPERLINK(AC2 &amp; "/calculator/sn_8b9d1344161b4adb12060d1ff2024b3/rendering/06.xyz", "0.0")</f>
        <v>0.0</v>
      </c>
      <c r="J806" s="13" t="str">
        <f>HYPERLINK(AC2 &amp; "/calculator/sn_8b9d1344161b4adb12060d1ff2024b3/rendering/07.xyz", "0.0")</f>
        <v>0.0</v>
      </c>
      <c r="K806" s="13" t="str">
        <f>HYPERLINK(AC2 &amp; "/calculator/sn_8b9d1344161b4adb12060d1ff2024b3/rendering/08.xyz", "0.0")</f>
        <v>0.0</v>
      </c>
      <c r="L806" s="13" t="str">
        <f>HYPERLINK(AC2 &amp; "/calculator/sn_8b9d1344161b4adb12060d1ff2024b3/rendering/09.xyz", "0.0")</f>
        <v>0.0</v>
      </c>
      <c r="M806" s="13" t="str">
        <f>HYPERLINK(AC2 &amp; "/calculator/sn_8b9d1344161b4adb12060d1ff2024b3/rendering/10.xyz", "0.0")</f>
        <v>0.0</v>
      </c>
      <c r="N806" s="13" t="str">
        <f>HYPERLINK(AC2 &amp; "/calculator/sn_8b9d1344161b4adb12060d1ff2024b3/rendering/11.xyz", "0.0")</f>
        <v>0.0</v>
      </c>
      <c r="O806" s="13" t="str">
        <f>HYPERLINK(AC2 &amp; "/calculator/sn_8b9d1344161b4adb12060d1ff2024b3/rendering/12.xyz", "0.0")</f>
        <v>0.0</v>
      </c>
      <c r="P806" s="13" t="str">
        <f>HYPERLINK(AC2 &amp; "/calculator/sn_8b9d1344161b4adb12060d1ff2024b3/rendering/13.xyz", "0.0")</f>
        <v>0.0</v>
      </c>
      <c r="Q806" s="13" t="str">
        <f>HYPERLINK(AC2 &amp; "/calculator/sn_8b9d1344161b4adb12060d1ff2024b3/rendering/14.xyz", "0.0")</f>
        <v>0.0</v>
      </c>
      <c r="R806" s="13" t="str">
        <f>HYPERLINK(AC2 &amp; "/calculator/sn_8b9d1344161b4adb12060d1ff2024b3/rendering/15.xyz", "0.0")</f>
        <v>0.0</v>
      </c>
      <c r="S806" s="13" t="str">
        <f>HYPERLINK(AC2 &amp; "/calculator/sn_8b9d1344161b4adb12060d1ff2024b3/rendering/16.xyz", "0.0")</f>
        <v>0.0</v>
      </c>
      <c r="T806" s="13" t="str">
        <f>HYPERLINK(AC2 &amp; "/calculator/sn_8b9d1344161b4adb12060d1ff2024b3/rendering/17.xyz", "0.0")</f>
        <v>0.0</v>
      </c>
      <c r="U806" s="13" t="str">
        <f>HYPERLINK(AC2 &amp; "/calculator/sn_8b9d1344161b4adb12060d1ff2024b3/rendering/18.xyz", "0.0")</f>
        <v>0.0</v>
      </c>
      <c r="V806" s="13" t="str">
        <f>HYPERLINK(AC2 &amp; "/calculator/sn_8b9d1344161b4adb12060d1ff2024b3/rendering/19.xyz", "0.0")</f>
        <v>0.0</v>
      </c>
      <c r="W806" s="12" t="s">
        <v>33</v>
      </c>
      <c r="X806" s="13">
        <v>0</v>
      </c>
      <c r="Y806" s="13">
        <v>0</v>
      </c>
      <c r="Z806" s="13">
        <v>0</v>
      </c>
    </row>
    <row r="807" spans="1:26" x14ac:dyDescent="0.2">
      <c r="A807" s="1">
        <v>805</v>
      </c>
      <c r="B807" s="2" t="s">
        <v>194</v>
      </c>
      <c r="C807" s="112" t="str">
        <f>HYPERLINK(AA2 &amp; "/calculator/sn_9409309dc427dc2daa0fb4126a41efc4/rendering/00.obj", "5.87102172852")</f>
        <v>5.87102172852</v>
      </c>
      <c r="D807" s="140" t="str">
        <f>HYPERLINK(AA2 &amp; "/calculator/sn_9409309dc427dc2daa0fb4126a41efc4/rendering/01.obj", "2.40569549561")</f>
        <v>2.40569549561</v>
      </c>
      <c r="E807" s="108" t="str">
        <f>HYPERLINK(AA2 &amp; "/calculator/sn_9409309dc427dc2daa0fb4126a41efc4/rendering/02.obj", "2.772421875")</f>
        <v>2.772421875</v>
      </c>
      <c r="F807" s="38" t="str">
        <f>HYPERLINK(AA2 &amp; "/calculator/sn_9409309dc427dc2daa0fb4126a41efc4/rendering/03.obj", "3.35285125732")</f>
        <v>3.35285125732</v>
      </c>
      <c r="G807" s="54" t="str">
        <f>HYPERLINK(AA2 &amp; "/calculator/sn_9409309dc427dc2daa0fb4126a41efc4/rendering/04.obj", "2.47912445068")</f>
        <v>2.47912445068</v>
      </c>
      <c r="H807" s="228" t="str">
        <f>HYPERLINK(AA2 &amp; "/calculator/sn_9409309dc427dc2daa0fb4126a41efc4/rendering/05.obj", "5.64901733398")</f>
        <v>5.64901733398</v>
      </c>
      <c r="I807" s="79" t="str">
        <f>HYPERLINK(AA2 &amp; "/calculator/sn_9409309dc427dc2daa0fb4126a41efc4/rendering/06.obj", "4.26777099609")</f>
        <v>4.26777099609</v>
      </c>
      <c r="J807" s="39" t="str">
        <f>HYPERLINK(AA2 &amp; "/calculator/sn_9409309dc427dc2daa0fb4126a41efc4/rendering/07.obj", "4.0032208252")</f>
        <v>4.0032208252</v>
      </c>
      <c r="K807" s="172" t="str">
        <f>HYPERLINK(AA2 &amp; "/calculator/sn_9409309dc427dc2daa0fb4126a41efc4/rendering/08.obj", "5.10418151855")</f>
        <v>5.10418151855</v>
      </c>
      <c r="L807" s="20" t="str">
        <f>HYPERLINK(AA2 &amp; "/calculator/sn_9409309dc427dc2daa0fb4126a41efc4/rendering/09.obj", "10.0555755615")</f>
        <v>10.0555755615</v>
      </c>
      <c r="M807" s="50" t="str">
        <f>HYPERLINK(AA2 &amp; "/calculator/sn_9409309dc427dc2daa0fb4126a41efc4/rendering/10.obj", "2.9529800415")</f>
        <v>2.9529800415</v>
      </c>
      <c r="N807" s="99" t="str">
        <f>HYPERLINK(AA2 &amp; "/calculator/sn_9409309dc427dc2daa0fb4126a41efc4/rendering/11.obj", "2.68508880615")</f>
        <v>2.68508880615</v>
      </c>
      <c r="O807" s="103" t="str">
        <f>HYPERLINK(AA2 &amp; "/calculator/sn_9409309dc427dc2daa0fb4126a41efc4/rendering/12.obj", "2.49113342285")</f>
        <v>2.49113342285</v>
      </c>
      <c r="P807" s="140" t="str">
        <f>HYPERLINK(AA2 &amp; "/calculator/sn_9409309dc427dc2daa0fb4126a41efc4/rendering/13.obj", "2.40878479004")</f>
        <v>2.40878479004</v>
      </c>
      <c r="Q807" s="67" t="str">
        <f>HYPERLINK(AA2 &amp; "/calculator/sn_9409309dc427dc2daa0fb4126a41efc4/rendering/14.obj", "3.339765625")</f>
        <v>3.339765625</v>
      </c>
      <c r="R807" s="14" t="str">
        <f>HYPERLINK(AA2 &amp; "/calculator/sn_9409309dc427dc2daa0fb4126a41efc4/rendering/15.obj", "2.61187774658")</f>
        <v>2.61187774658</v>
      </c>
      <c r="S807" s="157" t="str">
        <f>HYPERLINK(AA2 &amp; "/calculator/sn_9409309dc427dc2daa0fb4126a41efc4/rendering/16.obj", "2.15308776855")</f>
        <v>2.15308776855</v>
      </c>
      <c r="T807" s="91" t="str">
        <f>HYPERLINK(AA2 &amp; "/calculator/sn_9409309dc427dc2daa0fb4126a41efc4/rendering/17.obj", "3.78780822754")</f>
        <v>3.78780822754</v>
      </c>
      <c r="U807" s="147" t="str">
        <f>HYPERLINK(AA2 &amp; "/calculator/sn_9409309dc427dc2daa0fb4126a41efc4/rendering/18.obj", "1.88674987793")</f>
        <v>1.88674987793</v>
      </c>
      <c r="V807" s="27" t="str">
        <f>HYPERLINK(AA2 &amp; "/calculator/sn_9409309dc427dc2daa0fb4126a41efc4/rendering/19.obj", "3.42609405518")</f>
        <v>3.42609405518</v>
      </c>
      <c r="W807" s="12" t="s">
        <v>29</v>
      </c>
      <c r="X807" s="13">
        <v>3.6852125701904299</v>
      </c>
      <c r="Y807" s="13">
        <v>1.8334078131475431</v>
      </c>
      <c r="Z807" s="102">
        <v>0.49750395078371368</v>
      </c>
    </row>
    <row r="808" spans="1:26" x14ac:dyDescent="0.2">
      <c r="A808" s="1">
        <v>806</v>
      </c>
      <c r="B808" s="2" t="s">
        <v>194</v>
      </c>
      <c r="C808" s="209" t="str">
        <f>HYPERLINK(AA2 &amp; "/calculator/sn_9409309dc427dc2daa0fb4126a41efc4/rendering/00.obj", "6.49941921234")</f>
        <v>6.49941921234</v>
      </c>
      <c r="D808" s="139" t="str">
        <f>HYPERLINK(AA2 &amp; "/calculator/sn_9409309dc427dc2daa0fb4126a41efc4/rendering/01.obj", "1.91369688511")</f>
        <v>1.91369688511</v>
      </c>
      <c r="E808" s="136" t="str">
        <f>HYPERLINK(AA2 &amp; "/calculator/sn_9409309dc427dc2daa0fb4126a41efc4/rendering/02.obj", "2.82035326958")</f>
        <v>2.82035326958</v>
      </c>
      <c r="F808" s="175" t="str">
        <f>HYPERLINK(AA2 &amp; "/calculator/sn_9409309dc427dc2daa0fb4126a41efc4/rendering/03.obj", "2.8355550766")</f>
        <v>2.8355550766</v>
      </c>
      <c r="G808" s="158" t="str">
        <f>HYPERLINK(AA2 &amp; "/calculator/sn_9409309dc427dc2daa0fb4126a41efc4/rendering/04.obj", "2.18229222298")</f>
        <v>2.18229222298</v>
      </c>
      <c r="H808" s="236" t="str">
        <f>HYPERLINK(AA2 &amp; "/calculator/sn_9409309dc427dc2daa0fb4126a41efc4/rendering/05.obj", "6.43198108673")</f>
        <v>6.43198108673</v>
      </c>
      <c r="I808" s="13" t="str">
        <f>HYPERLINK(AA2 &amp; "/calculator/sn_9409309dc427dc2daa0fb4126a41efc4/rendering/06.obj", "3.69507431984")</f>
        <v>3.69507431984</v>
      </c>
      <c r="J808" s="51" t="str">
        <f>HYPERLINK(AA2 &amp; "/calculator/sn_9409309dc427dc2daa0fb4126a41efc4/rendering/07.obj", "3.99601244926")</f>
        <v>3.99601244926</v>
      </c>
      <c r="K808" s="187" t="str">
        <f>HYPERLINK(AA2 &amp; "/calculator/sn_9409309dc427dc2daa0fb4126a41efc4/rendering/08.obj", "4.98934412003")</f>
        <v>4.98934412003</v>
      </c>
      <c r="L808" s="20" t="str">
        <f>HYPERLINK(AA2 &amp; "/calculator/sn_9409309dc427dc2daa0fb4126a41efc4/rendering/09.obj", "11.4750204086")</f>
        <v>11.4750204086</v>
      </c>
      <c r="M808" s="95" t="str">
        <f>HYPERLINK(AA2 &amp; "/calculator/sn_9409309dc427dc2daa0fb4126a41efc4/rendering/10.obj", "2.66100692749")</f>
        <v>2.66100692749</v>
      </c>
      <c r="N808" s="101" t="str">
        <f>HYPERLINK(AA2 &amp; "/calculator/sn_9409309dc427dc2daa0fb4126a41efc4/rendering/11.obj", "2.2955622673")</f>
        <v>2.2955622673</v>
      </c>
      <c r="O808" s="172" t="str">
        <f>HYPERLINK(AA2 &amp; "/calculator/sn_9409309dc427dc2daa0fb4126a41efc4/rendering/12.obj", "2.27957844734")</f>
        <v>2.27957844734</v>
      </c>
      <c r="P808" s="97" t="str">
        <f>HYPERLINK(AA2 &amp; "/calculator/sn_9409309dc427dc2daa0fb4126a41efc4/rendering/13.obj", "2.09648180008")</f>
        <v>2.09648180008</v>
      </c>
      <c r="Q808" s="133" t="str">
        <f>HYPERLINK(AA2 &amp; "/calculator/sn_9409309dc427dc2daa0fb4126a41efc4/rendering/14.obj", "4.0713133812")</f>
        <v>4.0713133812</v>
      </c>
      <c r="R808" s="181" t="str">
        <f>HYPERLINK(AA2 &amp; "/calculator/sn_9409309dc427dc2daa0fb4126a41efc4/rendering/15.obj", "2.06287789345")</f>
        <v>2.06287789345</v>
      </c>
      <c r="S808" s="139" t="str">
        <f>HYPERLINK(AA2 &amp; "/calculator/sn_9409309dc427dc2daa0fb4126a41efc4/rendering/16.obj", "1.91672563553")</f>
        <v>1.91672563553</v>
      </c>
      <c r="T808" s="98" t="str">
        <f>HYPERLINK(AA2 &amp; "/calculator/sn_9409309dc427dc2daa0fb4126a41efc4/rendering/17.obj", "4.55657863617")</f>
        <v>4.55657863617</v>
      </c>
      <c r="U808" s="127" t="str">
        <f>HYPERLINK(AA2 &amp; "/calculator/sn_9409309dc427dc2daa0fb4126a41efc4/rendering/18.obj", "1.78414428234")</f>
        <v>1.78414428234</v>
      </c>
      <c r="V808" s="94" t="str">
        <f>HYPERLINK(AA2 &amp; "/calculator/sn_9409309dc427dc2daa0fb4126a41efc4/rendering/19.obj", "3.43178224564")</f>
        <v>3.43178224564</v>
      </c>
      <c r="W808" s="12" t="s">
        <v>30</v>
      </c>
      <c r="X808" s="13">
        <v>3.6997400283813482</v>
      </c>
      <c r="Y808" s="13">
        <v>2.2653026870308932</v>
      </c>
      <c r="Z808" s="244">
        <v>0.61228699034347356</v>
      </c>
    </row>
    <row r="809" spans="1:26" x14ac:dyDescent="0.2">
      <c r="A809" s="1">
        <v>807</v>
      </c>
      <c r="B809" s="2" t="s">
        <v>194</v>
      </c>
      <c r="C809" s="120" t="str">
        <f>HYPERLINK(AB2 &amp; "/calculator/sn_9409309dc427dc2daa0fb4126a41efc4/rendering/00.obj", "2.06521224976")</f>
        <v>2.06521224976</v>
      </c>
      <c r="D809" s="69" t="str">
        <f>HYPERLINK(AB2 &amp; "/calculator/sn_9409309dc427dc2daa0fb4126a41efc4/rendering/01.obj", "2.69985931396")</f>
        <v>2.69985931396</v>
      </c>
      <c r="E809" s="74" t="str">
        <f>HYPERLINK(AB2 &amp; "/calculator/sn_9409309dc427dc2daa0fb4126a41efc4/rendering/02.obj", "2.65798492432")</f>
        <v>2.65798492432</v>
      </c>
      <c r="F809" s="13" t="str">
        <f>HYPERLINK(AB2 &amp; "/calculator/sn_9409309dc427dc2daa0fb4126a41efc4/rendering/03.obj", "2.62635192871")</f>
        <v>2.62635192871</v>
      </c>
      <c r="G809" s="34" t="str">
        <f>HYPERLINK(AB2 &amp; "/calculator/sn_9409309dc427dc2daa0fb4126a41efc4/rendering/04.obj", "2.74763366699")</f>
        <v>2.74763366699</v>
      </c>
      <c r="H809" s="68" t="str">
        <f>HYPERLINK(AB2 &amp; "/calculator/sn_9409309dc427dc2daa0fb4126a41efc4/rendering/05.obj", "2.512109375")</f>
        <v>2.512109375</v>
      </c>
      <c r="I809" s="80" t="str">
        <f>HYPERLINK(AB2 &amp; "/calculator/sn_9409309dc427dc2daa0fb4126a41efc4/rendering/06.obj", "3.01216430664")</f>
        <v>3.01216430664</v>
      </c>
      <c r="J809" s="50" t="str">
        <f>HYPERLINK(AB2 &amp; "/calculator/sn_9409309dc427dc2daa0fb4126a41efc4/rendering/07.obj", "2.09474899292")</f>
        <v>2.09474899292</v>
      </c>
      <c r="K809" s="30" t="str">
        <f>HYPERLINK(AB2 &amp; "/calculator/sn_9409309dc427dc2daa0fb4126a41efc4/rendering/08.obj", "2.60410522461")</f>
        <v>2.60410522461</v>
      </c>
      <c r="L809" s="94" t="str">
        <f>HYPERLINK(AB2 &amp; "/calculator/sn_9409309dc427dc2daa0fb4126a41efc4/rendering/09.obj", "2.42562683105")</f>
        <v>2.42562683105</v>
      </c>
      <c r="M809" s="92" t="str">
        <f>HYPERLINK(AB2 &amp; "/calculator/sn_9409309dc427dc2daa0fb4126a41efc4/rendering/10.obj", "2.94284606934")</f>
        <v>2.94284606934</v>
      </c>
      <c r="N809" s="47" t="str">
        <f>HYPERLINK(AB2 &amp; "/calculator/sn_9409309dc427dc2daa0fb4126a41efc4/rendering/11.obj", "2.63845458984")</f>
        <v>2.63845458984</v>
      </c>
      <c r="O809" s="80" t="str">
        <f>HYPERLINK(AB2 &amp; "/calculator/sn_9409309dc427dc2daa0fb4126a41efc4/rendering/12.obj", "2.22962341309")</f>
        <v>2.22962341309</v>
      </c>
      <c r="P809" s="65" t="str">
        <f>HYPERLINK(AB2 &amp; "/calculator/sn_9409309dc427dc2daa0fb4126a41efc4/rendering/13.obj", "2.97262145996")</f>
        <v>2.97262145996</v>
      </c>
      <c r="Q809" s="120" t="str">
        <f>HYPERLINK(AB2 &amp; "/calculator/sn_9409309dc427dc2daa0fb4126a41efc4/rendering/14.obj", "3.1790411377")</f>
        <v>3.1790411377</v>
      </c>
      <c r="R809" s="17" t="str">
        <f>HYPERLINK(AB2 &amp; "/calculator/sn_9409309dc427dc2daa0fb4126a41efc4/rendering/15.obj", "2.67238647461")</f>
        <v>2.67238647461</v>
      </c>
      <c r="S809" s="67" t="str">
        <f>HYPERLINK(AB2 &amp; "/calculator/sn_9409309dc427dc2daa0fb4126a41efc4/rendering/16.obj", "2.37550537109")</f>
        <v>2.37550537109</v>
      </c>
      <c r="T809" s="37" t="str">
        <f>HYPERLINK(AB2 &amp; "/calculator/sn_9409309dc427dc2daa0fb4126a41efc4/rendering/17.obj", "3.07552307129")</f>
        <v>3.07552307129</v>
      </c>
      <c r="U809" s="83" t="str">
        <f>HYPERLINK(AB2 &amp; "/calculator/sn_9409309dc427dc2daa0fb4126a41efc4/rendering/18.obj", "2.22397003174")</f>
        <v>2.22397003174</v>
      </c>
      <c r="V809" s="25" t="str">
        <f>HYPERLINK(AB2 &amp; "/calculator/sn_9409309dc427dc2daa0fb4126a41efc4/rendering/19.obj", "2.64740844727")</f>
        <v>2.64740844727</v>
      </c>
      <c r="W809" s="12" t="s">
        <v>31</v>
      </c>
      <c r="X809" s="13">
        <v>2.6201588439941408</v>
      </c>
      <c r="Y809" s="13">
        <v>0.31086512736932731</v>
      </c>
      <c r="Z809" s="71">
        <v>0.1186436189095498</v>
      </c>
    </row>
    <row r="810" spans="1:26" x14ac:dyDescent="0.2">
      <c r="A810" s="1">
        <v>808</v>
      </c>
      <c r="B810" s="2" t="s">
        <v>194</v>
      </c>
      <c r="C810" s="106" t="str">
        <f>HYPERLINK(AB2 &amp; "/calculator/sn_9409309dc427dc2daa0fb4126a41efc4/rendering/00.obj", "1.8930811882")</f>
        <v>1.8930811882</v>
      </c>
      <c r="D810" s="13" t="str">
        <f>HYPERLINK(AB2 &amp; "/calculator/sn_9409309dc427dc2daa0fb4126a41efc4/rendering/01.obj", "2.13957166672")</f>
        <v>2.13957166672</v>
      </c>
      <c r="E810" s="176" t="str">
        <f>HYPERLINK(AB2 &amp; "/calculator/sn_9409309dc427dc2daa0fb4126a41efc4/rendering/02.obj", "2.81468987465")</f>
        <v>2.81468987465</v>
      </c>
      <c r="F810" s="6" t="str">
        <f>HYPERLINK(AB2 &amp; "/calculator/sn_9409309dc427dc2daa0fb4126a41efc4/rendering/03.obj", "2.04060959816")</f>
        <v>2.04060959816</v>
      </c>
      <c r="G810" s="30" t="str">
        <f>HYPERLINK(AB2 &amp; "/calculator/sn_9409309dc427dc2daa0fb4126a41efc4/rendering/04.obj", "2.1253862381")</f>
        <v>2.1253862381</v>
      </c>
      <c r="H810" s="30" t="str">
        <f>HYPERLINK(AB2 &amp; "/calculator/sn_9409309dc427dc2daa0fb4126a41efc4/rendering/05.obj", "2.12204289436")</f>
        <v>2.12204289436</v>
      </c>
      <c r="I810" s="92" t="str">
        <f>HYPERLINK(AB2 &amp; "/calculator/sn_9409309dc427dc2daa0fb4126a41efc4/rendering/06.obj", "2.40212416649")</f>
        <v>2.40212416649</v>
      </c>
      <c r="J810" s="25" t="str">
        <f>HYPERLINK(AB2 &amp; "/calculator/sn_9409309dc427dc2daa0fb4126a41efc4/rendering/07.obj", "2.10918807983")</f>
        <v>2.10918807983</v>
      </c>
      <c r="K810" s="73" t="str">
        <f>HYPERLINK(AB2 &amp; "/calculator/sn_9409309dc427dc2daa0fb4126a41efc4/rendering/08.obj", "2.0589621067")</f>
        <v>2.0589621067</v>
      </c>
      <c r="L810" s="69" t="str">
        <f>HYPERLINK(AB2 &amp; "/calculator/sn_9409309dc427dc2daa0fb4126a41efc4/rendering/09.obj", "2.07325744629")</f>
        <v>2.07325744629</v>
      </c>
      <c r="M810" s="47" t="str">
        <f>HYPERLINK(AB2 &amp; "/calculator/sn_9409309dc427dc2daa0fb4126a41efc4/rendering/10.obj", "2.12121939659")</f>
        <v>2.12121939659</v>
      </c>
      <c r="N810" s="68" t="str">
        <f>HYPERLINK(AB2 &amp; "/calculator/sn_9409309dc427dc2daa0fb4126a41efc4/rendering/11.obj", "2.04620623589")</f>
        <v>2.04620623589</v>
      </c>
      <c r="O810" s="84" t="str">
        <f>HYPERLINK(AB2 &amp; "/calculator/sn_9409309dc427dc2daa0fb4126a41efc4/rendering/12.obj", "1.82561528683")</f>
        <v>1.82561528683</v>
      </c>
      <c r="P810" s="73" t="str">
        <f>HYPERLINK(AB2 &amp; "/calculator/sn_9409309dc427dc2daa0fb4126a41efc4/rendering/13.obj", "2.06019163132")</f>
        <v>2.06019163132</v>
      </c>
      <c r="Q810" s="57" t="str">
        <f>HYPERLINK(AB2 &amp; "/calculator/sn_9409309dc427dc2daa0fb4126a41efc4/rendering/14.obj", "2.80681085587")</f>
        <v>2.80681085587</v>
      </c>
      <c r="R810" s="110" t="str">
        <f>HYPERLINK(AB2 &amp; "/calculator/sn_9409309dc427dc2daa0fb4126a41efc4/rendering/15.obj", "1.92409658432")</f>
        <v>1.92409658432</v>
      </c>
      <c r="S810" s="90" t="str">
        <f>HYPERLINK(AB2 &amp; "/calculator/sn_9409309dc427dc2daa0fb4126a41efc4/rendering/16.obj", "1.9281411171")</f>
        <v>1.9281411171</v>
      </c>
      <c r="T810" s="117" t="str">
        <f>HYPERLINK(AB2 &amp; "/calculator/sn_9409309dc427dc2daa0fb4126a41efc4/rendering/17.obj", "2.51252889633")</f>
        <v>2.51252889633</v>
      </c>
      <c r="U810" s="109" t="str">
        <f>HYPERLINK(AB2 &amp; "/calculator/sn_9409309dc427dc2daa0fb4126a41efc4/rendering/18.obj", "1.72754895687")</f>
        <v>1.72754895687</v>
      </c>
      <c r="V810" s="94" t="str">
        <f>HYPERLINK(AB2 &amp; "/calculator/sn_9409309dc427dc2daa0fb4126a41efc4/rendering/19.obj", "1.97531199455")</f>
        <v>1.97531199455</v>
      </c>
      <c r="W810" s="12" t="s">
        <v>32</v>
      </c>
      <c r="X810" s="13">
        <v>2.1353292107582091</v>
      </c>
      <c r="Y810" s="13">
        <v>0.28225359981684472</v>
      </c>
      <c r="Z810" s="65">
        <v>0.13218270906181381</v>
      </c>
    </row>
    <row r="811" spans="1:26" x14ac:dyDescent="0.2">
      <c r="A811" s="1">
        <v>809</v>
      </c>
      <c r="B811" s="2" t="s">
        <v>194</v>
      </c>
      <c r="C811" s="13" t="str">
        <f>HYPERLINK(AC2 &amp; "/calculator/sn_9409309dc427dc2daa0fb4126a41efc4/rendering/00.xyz", "0.0")</f>
        <v>0.0</v>
      </c>
      <c r="D811" s="13" t="str">
        <f>HYPERLINK(AC2 &amp; "/calculator/sn_9409309dc427dc2daa0fb4126a41efc4/rendering/01.xyz", "0.0")</f>
        <v>0.0</v>
      </c>
      <c r="E811" s="13" t="str">
        <f>HYPERLINK(AC2 &amp; "/calculator/sn_9409309dc427dc2daa0fb4126a41efc4/rendering/02.xyz", "0.0")</f>
        <v>0.0</v>
      </c>
      <c r="F811" s="13" t="str">
        <f>HYPERLINK(AC2 &amp; "/calculator/sn_9409309dc427dc2daa0fb4126a41efc4/rendering/03.xyz", "0.0")</f>
        <v>0.0</v>
      </c>
      <c r="G811" s="13" t="str">
        <f>HYPERLINK(AC2 &amp; "/calculator/sn_9409309dc427dc2daa0fb4126a41efc4/rendering/04.xyz", "0.0")</f>
        <v>0.0</v>
      </c>
      <c r="H811" s="13" t="str">
        <f>HYPERLINK(AC2 &amp; "/calculator/sn_9409309dc427dc2daa0fb4126a41efc4/rendering/05.xyz", "0.0")</f>
        <v>0.0</v>
      </c>
      <c r="I811" s="13" t="str">
        <f>HYPERLINK(AC2 &amp; "/calculator/sn_9409309dc427dc2daa0fb4126a41efc4/rendering/06.xyz", "0.0")</f>
        <v>0.0</v>
      </c>
      <c r="J811" s="13" t="str">
        <f>HYPERLINK(AC2 &amp; "/calculator/sn_9409309dc427dc2daa0fb4126a41efc4/rendering/07.xyz", "0.0")</f>
        <v>0.0</v>
      </c>
      <c r="K811" s="13" t="str">
        <f>HYPERLINK(AC2 &amp; "/calculator/sn_9409309dc427dc2daa0fb4126a41efc4/rendering/08.xyz", "0.0")</f>
        <v>0.0</v>
      </c>
      <c r="L811" s="13" t="str">
        <f>HYPERLINK(AC2 &amp; "/calculator/sn_9409309dc427dc2daa0fb4126a41efc4/rendering/09.xyz", "0.0")</f>
        <v>0.0</v>
      </c>
      <c r="M811" s="13" t="str">
        <f>HYPERLINK(AC2 &amp; "/calculator/sn_9409309dc427dc2daa0fb4126a41efc4/rendering/10.xyz", "0.0")</f>
        <v>0.0</v>
      </c>
      <c r="N811" s="13" t="str">
        <f>HYPERLINK(AC2 &amp; "/calculator/sn_9409309dc427dc2daa0fb4126a41efc4/rendering/11.xyz", "0.0")</f>
        <v>0.0</v>
      </c>
      <c r="O811" s="13" t="str">
        <f>HYPERLINK(AC2 &amp; "/calculator/sn_9409309dc427dc2daa0fb4126a41efc4/rendering/12.xyz", "0.0")</f>
        <v>0.0</v>
      </c>
      <c r="P811" s="13" t="str">
        <f>HYPERLINK(AC2 &amp; "/calculator/sn_9409309dc427dc2daa0fb4126a41efc4/rendering/13.xyz", "0.0")</f>
        <v>0.0</v>
      </c>
      <c r="Q811" s="13" t="str">
        <f>HYPERLINK(AC2 &amp; "/calculator/sn_9409309dc427dc2daa0fb4126a41efc4/rendering/14.xyz", "0.0")</f>
        <v>0.0</v>
      </c>
      <c r="R811" s="13" t="str">
        <f>HYPERLINK(AC2 &amp; "/calculator/sn_9409309dc427dc2daa0fb4126a41efc4/rendering/15.xyz", "0.0")</f>
        <v>0.0</v>
      </c>
      <c r="S811" s="13" t="str">
        <f>HYPERLINK(AC2 &amp; "/calculator/sn_9409309dc427dc2daa0fb4126a41efc4/rendering/16.xyz", "0.0")</f>
        <v>0.0</v>
      </c>
      <c r="T811" s="13" t="str">
        <f>HYPERLINK(AC2 &amp; "/calculator/sn_9409309dc427dc2daa0fb4126a41efc4/rendering/17.xyz", "0.0")</f>
        <v>0.0</v>
      </c>
      <c r="U811" s="13" t="str">
        <f>HYPERLINK(AC2 &amp; "/calculator/sn_9409309dc427dc2daa0fb4126a41efc4/rendering/18.xyz", "0.0")</f>
        <v>0.0</v>
      </c>
      <c r="V811" s="13" t="str">
        <f>HYPERLINK(AC2 &amp; "/calculator/sn_9409309dc427dc2daa0fb4126a41efc4/rendering/19.xyz", "0.0")</f>
        <v>0.0</v>
      </c>
      <c r="W811" s="12" t="s">
        <v>33</v>
      </c>
      <c r="X811" s="13">
        <v>0</v>
      </c>
      <c r="Y811" s="13">
        <v>0</v>
      </c>
      <c r="Z811" s="13">
        <v>0</v>
      </c>
    </row>
    <row r="812" spans="1:26" x14ac:dyDescent="0.2">
      <c r="A812" s="1">
        <v>810</v>
      </c>
      <c r="B812" s="2" t="s">
        <v>195</v>
      </c>
      <c r="C812" s="168" t="str">
        <f>HYPERLINK(AA2 &amp; "/calculator/sn_9c9b1758dd61c4168d66b04680005e70/rendering/00.obj", "6.68790649414")</f>
        <v>6.68790649414</v>
      </c>
      <c r="D812" s="20" t="str">
        <f>HYPERLINK(AA2 &amp; "/calculator/sn_9c9b1758dd61c4168d66b04680005e70/rendering/01.obj", "12.2760229492")</f>
        <v>12.2760229492</v>
      </c>
      <c r="E812" s="152" t="str">
        <f>HYPERLINK(AA2 &amp; "/calculator/sn_9c9b1758dd61c4168d66b04680005e70/rendering/02.obj", "3.00309326172")</f>
        <v>3.00309326172</v>
      </c>
      <c r="F812" s="143" t="str">
        <f>HYPERLINK(AA2 &amp; "/calculator/sn_9c9b1758dd61c4168d66b04680005e70/rendering/03.obj", "2.67592407227")</f>
        <v>2.67592407227</v>
      </c>
      <c r="G812" s="163" t="str">
        <f>HYPERLINK(AA2 &amp; "/calculator/sn_9c9b1758dd61c4168d66b04680005e70/rendering/04.obj", "2.83329498291")</f>
        <v>2.83329498291</v>
      </c>
      <c r="H812" s="31" t="str">
        <f>HYPERLINK(AA2 &amp; "/calculator/sn_9c9b1758dd61c4168d66b04680005e70/rendering/05.obj", "4.2704486084")</f>
        <v>4.2704486084</v>
      </c>
      <c r="I812" s="55" t="str">
        <f>HYPERLINK(AA2 &amp; "/calculator/sn_9c9b1758dd61c4168d66b04680005e70/rendering/06.obj", "6.0332421875")</f>
        <v>6.0332421875</v>
      </c>
      <c r="J812" s="54" t="str">
        <f>HYPERLINK(AA2 &amp; "/calculator/sn_9c9b1758dd61c4168d66b04680005e70/rendering/07.obj", "3.40043212891")</f>
        <v>3.40043212891</v>
      </c>
      <c r="K812" s="93" t="str">
        <f>HYPERLINK(AA2 &amp; "/calculator/sn_9c9b1758dd61c4168d66b04680005e70/rendering/08.obj", "4.34385803223")</f>
        <v>4.34385803223</v>
      </c>
      <c r="L812" s="29" t="str">
        <f>HYPERLINK(AA2 &amp; "/calculator/sn_9c9b1758dd61c4168d66b04680005e70/rendering/09.obj", "5.71574951172")</f>
        <v>5.71574951172</v>
      </c>
      <c r="M812" s="126" t="str">
        <f>HYPERLINK(AA2 &amp; "/calculator/sn_9c9b1758dd61c4168d66b04680005e70/rendering/10.obj", "2.52235015869")</f>
        <v>2.52235015869</v>
      </c>
      <c r="N812" s="175" t="str">
        <f>HYPERLINK(AA2 &amp; "/calculator/sn_9c9b1758dd61c4168d66b04680005e70/rendering/11.obj", "3.8710345459")</f>
        <v>3.8710345459</v>
      </c>
      <c r="O812" s="21" t="str">
        <f>HYPERLINK(AA2 &amp; "/calculator/sn_9c9b1758dd61c4168d66b04680005e70/rendering/12.obj", "7.84859985352")</f>
        <v>7.84859985352</v>
      </c>
      <c r="P812" s="66" t="str">
        <f>HYPERLINK(AA2 &amp; "/calculator/sn_9c9b1758dd61c4168d66b04680005e70/rendering/13.obj", "5.87486938477")</f>
        <v>5.87486938477</v>
      </c>
      <c r="Q812" s="137" t="str">
        <f>HYPERLINK(AA2 &amp; "/calculator/sn_9c9b1758dd61c4168d66b04680005e70/rendering/14.obj", "3.20085632324")</f>
        <v>3.20085632324</v>
      </c>
      <c r="R812" s="57" t="str">
        <f>HYPERLINK(AA2 &amp; "/calculator/sn_9c9b1758dd61c4168d66b04680005e70/rendering/15.obj", "6.64655212402")</f>
        <v>6.64655212402</v>
      </c>
      <c r="S812" s="34" t="str">
        <f>HYPERLINK(AA2 &amp; "/calculator/sn_9c9b1758dd61c4168d66b04680005e70/rendering/16.obj", "4.81141967773")</f>
        <v>4.81141967773</v>
      </c>
      <c r="T812" s="228" t="str">
        <f>HYPERLINK(AA2 &amp; "/calculator/sn_9c9b1758dd61c4168d66b04680005e70/rendering/17.obj", "2.37365249634")</f>
        <v>2.37365249634</v>
      </c>
      <c r="U812" s="83" t="str">
        <f>HYPERLINK(AA2 &amp; "/calculator/sn_9c9b1758dd61c4168d66b04680005e70/rendering/18.obj", "5.82431030273")</f>
        <v>5.82431030273</v>
      </c>
      <c r="V812" s="137" t="str">
        <f>HYPERLINK(AA2 &amp; "/calculator/sn_9c9b1758dd61c4168d66b04680005e70/rendering/19.obj", "6.90594360352")</f>
        <v>6.90594360352</v>
      </c>
      <c r="W812" s="12" t="s">
        <v>29</v>
      </c>
      <c r="X812" s="13">
        <v>5.0559780349731458</v>
      </c>
      <c r="Y812" s="13">
        <v>2.3280718269818421</v>
      </c>
      <c r="Z812" s="114">
        <v>0.46045924465615429</v>
      </c>
    </row>
    <row r="813" spans="1:26" x14ac:dyDescent="0.2">
      <c r="A813" s="1">
        <v>811</v>
      </c>
      <c r="B813" s="2" t="s">
        <v>195</v>
      </c>
      <c r="C813" s="134" t="str">
        <f>HYPERLINK(AA2 &amp; "/calculator/sn_9c9b1758dd61c4168d66b04680005e70/rendering/00.obj", "7.80575323105")</f>
        <v>7.80575323105</v>
      </c>
      <c r="D813" s="20" t="str">
        <f>HYPERLINK(AA2 &amp; "/calculator/sn_9c9b1758dd61c4168d66b04680005e70/rendering/01.obj", "23.9288101196")</f>
        <v>23.9288101196</v>
      </c>
      <c r="E813" s="7" t="str">
        <f>HYPERLINK(AA2 &amp; "/calculator/sn_9c9b1758dd61c4168d66b04680005e70/rendering/02.obj", "4.77274799347")</f>
        <v>4.77274799347</v>
      </c>
      <c r="F813" s="212" t="str">
        <f>HYPERLINK(AA2 &amp; "/calculator/sn_9c9b1758dd61c4168d66b04680005e70/rendering/03.obj", "3.76602482796")</f>
        <v>3.76602482796</v>
      </c>
      <c r="G813" s="230" t="str">
        <f>HYPERLINK(AA2 &amp; "/calculator/sn_9c9b1758dd61c4168d66b04680005e70/rendering/04.obj", "3.60097670555")</f>
        <v>3.60097670555</v>
      </c>
      <c r="H813" s="82" t="str">
        <f>HYPERLINK(AA2 &amp; "/calculator/sn_9c9b1758dd61c4168d66b04680005e70/rendering/05.obj", "5.25343751907")</f>
        <v>5.25343751907</v>
      </c>
      <c r="I813" s="93" t="str">
        <f>HYPERLINK(AA2 &amp; "/calculator/sn_9c9b1758dd61c4168d66b04680005e70/rendering/06.obj", "7.52931642532")</f>
        <v>7.52931642532</v>
      </c>
      <c r="J813" s="142" t="str">
        <f>HYPERLINK(AA2 &amp; "/calculator/sn_9c9b1758dd61c4168d66b04680005e70/rendering/07.obj", "4.01347637177")</f>
        <v>4.01347637177</v>
      </c>
      <c r="K813" s="64" t="str">
        <f>HYPERLINK(AA2 &amp; "/calculator/sn_9c9b1758dd61c4168d66b04680005e70/rendering/08.obj", "5.52976465225")</f>
        <v>5.52976465225</v>
      </c>
      <c r="L813" s="48" t="str">
        <f>HYPERLINK(AA2 &amp; "/calculator/sn_9c9b1758dd61c4168d66b04680005e70/rendering/09.obj", "6.76479101181")</f>
        <v>6.76479101181</v>
      </c>
      <c r="M813" s="127" t="str">
        <f>HYPERLINK(AA2 &amp; "/calculator/sn_9c9b1758dd61c4168d66b04680005e70/rendering/10.obj", "3.18189406395")</f>
        <v>3.18189406395</v>
      </c>
      <c r="N813" s="149" t="str">
        <f>HYPERLINK(AA2 &amp; "/calculator/sn_9c9b1758dd61c4168d66b04680005e70/rendering/11.obj", "4.34684562683")</f>
        <v>4.34684562683</v>
      </c>
      <c r="O813" s="41" t="str">
        <f>HYPERLINK(AA2 &amp; "/calculator/sn_9c9b1758dd61c4168d66b04680005e70/rendering/12.obj", "7.04765605927")</f>
        <v>7.04765605927</v>
      </c>
      <c r="P813" s="10" t="str">
        <f>HYPERLINK(AA2 &amp; "/calculator/sn_9c9b1758dd61c4168d66b04680005e70/rendering/13.obj", "6.96190977097")</f>
        <v>6.96190977097</v>
      </c>
      <c r="Q813" s="198" t="str">
        <f>HYPERLINK(AA2 &amp; "/calculator/sn_9c9b1758dd61c4168d66b04680005e70/rendering/14.obj", "4.04242658615")</f>
        <v>4.04242658615</v>
      </c>
      <c r="R813" s="119" t="str">
        <f>HYPERLINK(AA2 &amp; "/calculator/sn_9c9b1758dd61c4168d66b04680005e70/rendering/15.obj", "8.36094379425")</f>
        <v>8.36094379425</v>
      </c>
      <c r="S813" s="76" t="str">
        <f>HYPERLINK(AA2 &amp; "/calculator/sn_9c9b1758dd61c4168d66b04680005e70/rendering/16.obj", "5.39933872223")</f>
        <v>5.39933872223</v>
      </c>
      <c r="T813" s="213" t="str">
        <f>HYPERLINK(AA2 &amp; "/calculator/sn_9c9b1758dd61c4168d66b04680005e70/rendering/17.obj", "3.33589911461")</f>
        <v>3.33589911461</v>
      </c>
      <c r="U813" s="34" t="str">
        <f>HYPERLINK(AA2 &amp; "/calculator/sn_9c9b1758dd61c4168d66b04680005e70/rendering/18.obj", "6.9367609024")</f>
        <v>6.9367609024</v>
      </c>
      <c r="V813" s="191" t="str">
        <f>HYPERLINK(AA2 &amp; "/calculator/sn_9c9b1758dd61c4168d66b04680005e70/rendering/19.obj", "9.60168075562")</f>
        <v>9.60168075562</v>
      </c>
      <c r="W813" s="12" t="s">
        <v>30</v>
      </c>
      <c r="X813" s="13">
        <v>6.6090227127075192</v>
      </c>
      <c r="Y813" s="13">
        <v>4.362320896793408</v>
      </c>
      <c r="Z813" s="248">
        <v>0.66005536467679882</v>
      </c>
    </row>
    <row r="814" spans="1:26" x14ac:dyDescent="0.2">
      <c r="A814" s="1">
        <v>812</v>
      </c>
      <c r="B814" s="2" t="s">
        <v>195</v>
      </c>
      <c r="C814" s="84" t="str">
        <f>HYPERLINK(AB2 &amp; "/calculator/sn_9c9b1758dd61c4168d66b04680005e70/rendering/00.obj", "3.01400512695")</f>
        <v>3.01400512695</v>
      </c>
      <c r="D814" s="32" t="str">
        <f>HYPERLINK(AB2 &amp; "/calculator/sn_9c9b1758dd61c4168d66b04680005e70/rendering/01.obj", "2.90827087402")</f>
        <v>2.90827087402</v>
      </c>
      <c r="E814" s="63" t="str">
        <f>HYPERLINK(AB2 &amp; "/calculator/sn_9c9b1758dd61c4168d66b04680005e70/rendering/02.obj", "2.31217254639")</f>
        <v>2.31217254639</v>
      </c>
      <c r="F814" s="73" t="str">
        <f>HYPERLINK(AB2 &amp; "/calculator/sn_9c9b1758dd61c4168d66b04680005e70/rendering/03.obj", "2.53696838379")</f>
        <v>2.53696838379</v>
      </c>
      <c r="G814" s="67" t="str">
        <f>HYPERLINK(AB2 &amp; "/calculator/sn_9c9b1758dd61c4168d66b04680005e70/rendering/04.obj", "2.38438415527")</f>
        <v>2.38438415527</v>
      </c>
      <c r="H814" s="83" t="str">
        <f>HYPERLINK(AB2 &amp; "/calculator/sn_9c9b1758dd61c4168d66b04680005e70/rendering/05.obj", "2.23031112671")</f>
        <v>2.23031112671</v>
      </c>
      <c r="I814" s="10" t="str">
        <f>HYPERLINK(AB2 &amp; "/calculator/sn_9c9b1758dd61c4168d66b04680005e70/rendering/06.obj", "2.76909301758")</f>
        <v>2.76909301758</v>
      </c>
      <c r="J814" s="140" t="str">
        <f>HYPERLINK(AB2 &amp; "/calculator/sn_9c9b1758dd61c4168d66b04680005e70/rendering/07.obj", "3.54087921143")</f>
        <v>3.54087921143</v>
      </c>
      <c r="K814" s="81" t="str">
        <f>HYPERLINK(AB2 &amp; "/calculator/sn_9c9b1758dd61c4168d66b04680005e70/rendering/08.obj", "3.19854614258")</f>
        <v>3.19854614258</v>
      </c>
      <c r="L814" s="48" t="str">
        <f>HYPERLINK(AB2 &amp; "/calculator/sn_9c9b1758dd61c4168d66b04680005e70/rendering/09.obj", "2.56538635254")</f>
        <v>2.56538635254</v>
      </c>
      <c r="M814" s="77" t="str">
        <f>HYPERLINK(AB2 &amp; "/calculator/sn_9c9b1758dd61c4168d66b04680005e70/rendering/10.obj", "2.14022766113")</f>
        <v>2.14022766113</v>
      </c>
      <c r="N814" s="26" t="str">
        <f>HYPERLINK(AB2 &amp; "/calculator/sn_9c9b1758dd61c4168d66b04680005e70/rendering/11.obj", "2.79369232178")</f>
        <v>2.79369232178</v>
      </c>
      <c r="O814" s="28" t="str">
        <f>HYPERLINK(AB2 &amp; "/calculator/sn_9c9b1758dd61c4168d66b04680005e70/rendering/12.obj", "2.91690429687")</f>
        <v>2.91690429687</v>
      </c>
      <c r="P814" s="83" t="str">
        <f>HYPERLINK(AB2 &amp; "/calculator/sn_9c9b1758dd61c4168d66b04680005e70/rendering/13.obj", "2.22463485718")</f>
        <v>2.22463485718</v>
      </c>
      <c r="Q814" s="64" t="str">
        <f>HYPERLINK(AB2 &amp; "/calculator/sn_9c9b1758dd61c4168d66b04680005e70/rendering/14.obj", "2.19489898682")</f>
        <v>2.19489898682</v>
      </c>
      <c r="R814" s="133" t="str">
        <f>HYPERLINK(AB2 &amp; "/calculator/sn_9c9b1758dd61c4168d66b04680005e70/rendering/15.obj", "2.36290283203")</f>
        <v>2.36290283203</v>
      </c>
      <c r="S814" s="48" t="str">
        <f>HYPERLINK(AB2 &amp; "/calculator/sn_9c9b1758dd61c4168d66b04680005e70/rendering/16.obj", "2.68636291504")</f>
        <v>2.68636291504</v>
      </c>
      <c r="T814" s="42" t="str">
        <f>HYPERLINK(AB2 &amp; "/calculator/sn_9c9b1758dd61c4168d66b04680005e70/rendering/17.obj", "2.26756469727")</f>
        <v>2.26756469727</v>
      </c>
      <c r="U814" s="78" t="str">
        <f>HYPERLINK(AB2 &amp; "/calculator/sn_9c9b1758dd61c4168d66b04680005e70/rendering/18.obj", "2.46366119385")</f>
        <v>2.46366119385</v>
      </c>
      <c r="V814" s="66" t="str">
        <f>HYPERLINK(AB2 &amp; "/calculator/sn_9c9b1758dd61c4168d66b04680005e70/rendering/19.obj", "3.0528125")</f>
        <v>3.0528125</v>
      </c>
      <c r="W814" s="12" t="s">
        <v>31</v>
      </c>
      <c r="X814" s="13">
        <v>2.6281839599609378</v>
      </c>
      <c r="Y814" s="13">
        <v>0.37722537237830128</v>
      </c>
      <c r="Z814" s="8">
        <v>0.14353080991480821</v>
      </c>
    </row>
    <row r="815" spans="1:26" x14ac:dyDescent="0.2">
      <c r="A815" s="1">
        <v>813</v>
      </c>
      <c r="B815" s="2" t="s">
        <v>195</v>
      </c>
      <c r="C815" s="73" t="str">
        <f>HYPERLINK(AB2 &amp; "/calculator/sn_9c9b1758dd61c4168d66b04680005e70/rendering/00.obj", "3.14620399475")</f>
        <v>3.14620399475</v>
      </c>
      <c r="D815" s="69" t="str">
        <f>HYPERLINK(AB2 &amp; "/calculator/sn_9c9b1758dd61c4168d66b04680005e70/rendering/01.obj", "3.16254734993")</f>
        <v>3.16254734993</v>
      </c>
      <c r="E815" s="48" t="str">
        <f>HYPERLINK(AB2 &amp; "/calculator/sn_9c9b1758dd61c4168d66b04680005e70/rendering/02.obj", "3.33804440498")</f>
        <v>3.33804440498</v>
      </c>
      <c r="F815" s="107" t="str">
        <f>HYPERLINK(AB2 &amp; "/calculator/sn_9c9b1758dd61c4168d66b04680005e70/rendering/03.obj", "3.53054571152")</f>
        <v>3.53054571152</v>
      </c>
      <c r="G815" s="41" t="str">
        <f>HYPERLINK(AB2 &amp; "/calculator/sn_9c9b1758dd61c4168d66b04680005e70/rendering/04.obj", "3.04421281815")</f>
        <v>3.04421281815</v>
      </c>
      <c r="H815" s="73" t="str">
        <f>HYPERLINK(AB2 &amp; "/calculator/sn_9c9b1758dd61c4168d66b04680005e70/rendering/05.obj", "3.38397812843")</f>
        <v>3.38397812843</v>
      </c>
      <c r="I815" s="47" t="str">
        <f>HYPERLINK(AB2 &amp; "/calculator/sn_9c9b1758dd61c4168d66b04680005e70/rendering/06.obj", "3.23976612091")</f>
        <v>3.23976612091</v>
      </c>
      <c r="J815" s="92" t="str">
        <f>HYPERLINK(AB2 &amp; "/calculator/sn_9c9b1758dd61c4168d66b04680005e70/rendering/07.obj", "3.66596078873")</f>
        <v>3.66596078873</v>
      </c>
      <c r="K815" s="107" t="str">
        <f>HYPERLINK(AB2 &amp; "/calculator/sn_9c9b1758dd61c4168d66b04680005e70/rendering/08.obj", "3.53101181984")</f>
        <v>3.53101181984</v>
      </c>
      <c r="L815" s="41" t="str">
        <f>HYPERLINK(AB2 &amp; "/calculator/sn_9c9b1758dd61c4168d66b04680005e70/rendering/09.obj", "3.48642230034")</f>
        <v>3.48642230034</v>
      </c>
      <c r="M815" s="48" t="str">
        <f>HYPERLINK(AB2 &amp; "/calculator/sn_9c9b1758dd61c4168d66b04680005e70/rendering/10.obj", "3.18688845634")</f>
        <v>3.18688845634</v>
      </c>
      <c r="N815" s="67" t="str">
        <f>HYPERLINK(AB2 &amp; "/calculator/sn_9c9b1758dd61c4168d66b04680005e70/rendering/11.obj", "2.95869088173")</f>
        <v>2.95869088173</v>
      </c>
      <c r="O815" s="66" t="str">
        <f>HYPERLINK(AB2 &amp; "/calculator/sn_9c9b1758dd61c4168d66b04680005e70/rendering/12.obj", "3.7897670269")</f>
        <v>3.7897670269</v>
      </c>
      <c r="P815" s="13" t="str">
        <f>HYPERLINK(AB2 &amp; "/calculator/sn_9c9b1758dd61c4168d66b04680005e70/rendering/13.obj", "3.26916790009")</f>
        <v>3.26916790009</v>
      </c>
      <c r="Q815" s="27" t="str">
        <f>HYPERLINK(AB2 &amp; "/calculator/sn_9c9b1758dd61c4168d66b04680005e70/rendering/14.obj", "3.03211021423")</f>
        <v>3.03211021423</v>
      </c>
      <c r="R815" s="38" t="str">
        <f>HYPERLINK(AB2 &amp; "/calculator/sn_9c9b1758dd61c4168d66b04680005e70/rendering/15.obj", "2.96576762199")</f>
        <v>2.96576762199</v>
      </c>
      <c r="S815" s="30" t="str">
        <f>HYPERLINK(AB2 &amp; "/calculator/sn_9c9b1758dd61c4168d66b04680005e70/rendering/16.obj", "3.24461960793")</f>
        <v>3.24461960793</v>
      </c>
      <c r="T815" s="51" t="str">
        <f>HYPERLINK(AB2 &amp; "/calculator/sn_9c9b1758dd61c4168d66b04680005e70/rendering/17.obj", "2.99963021278")</f>
        <v>2.99963021278</v>
      </c>
      <c r="U815" s="23" t="str">
        <f>HYPERLINK(AB2 &amp; "/calculator/sn_9c9b1758dd61c4168d66b04680005e70/rendering/18.obj", "3.13631153107")</f>
        <v>3.13631153107</v>
      </c>
      <c r="V815" s="68" t="str">
        <f>HYPERLINK(AB2 &amp; "/calculator/sn_9c9b1758dd61c4168d66b04680005e70/rendering/19.obj", "3.12653660774")</f>
        <v>3.12653660774</v>
      </c>
      <c r="W815" s="12" t="s">
        <v>32</v>
      </c>
      <c r="X815" s="13">
        <v>3.2619091749191278</v>
      </c>
      <c r="Y815" s="13">
        <v>0.23130484885457681</v>
      </c>
      <c r="Z815" s="27">
        <v>7.0910879626288656E-2</v>
      </c>
    </row>
    <row r="816" spans="1:26" x14ac:dyDescent="0.2">
      <c r="A816" s="1">
        <v>814</v>
      </c>
      <c r="B816" s="2" t="s">
        <v>195</v>
      </c>
      <c r="C816" s="13" t="str">
        <f>HYPERLINK(AC2 &amp; "/calculator/sn_9c9b1758dd61c4168d66b04680005e70/rendering/00.xyz", "0.0")</f>
        <v>0.0</v>
      </c>
      <c r="D816" s="13" t="str">
        <f>HYPERLINK(AC2 &amp; "/calculator/sn_9c9b1758dd61c4168d66b04680005e70/rendering/01.xyz", "0.0")</f>
        <v>0.0</v>
      </c>
      <c r="E816" s="13" t="str">
        <f>HYPERLINK(AC2 &amp; "/calculator/sn_9c9b1758dd61c4168d66b04680005e70/rendering/02.xyz", "0.0")</f>
        <v>0.0</v>
      </c>
      <c r="F816" s="13" t="str">
        <f>HYPERLINK(AC2 &amp; "/calculator/sn_9c9b1758dd61c4168d66b04680005e70/rendering/03.xyz", "0.0")</f>
        <v>0.0</v>
      </c>
      <c r="G816" s="13" t="str">
        <f>HYPERLINK(AC2 &amp; "/calculator/sn_9c9b1758dd61c4168d66b04680005e70/rendering/04.xyz", "0.0")</f>
        <v>0.0</v>
      </c>
      <c r="H816" s="13" t="str">
        <f>HYPERLINK(AC2 &amp; "/calculator/sn_9c9b1758dd61c4168d66b04680005e70/rendering/05.xyz", "0.0")</f>
        <v>0.0</v>
      </c>
      <c r="I816" s="13" t="str">
        <f>HYPERLINK(AC2 &amp; "/calculator/sn_9c9b1758dd61c4168d66b04680005e70/rendering/06.xyz", "0.0")</f>
        <v>0.0</v>
      </c>
      <c r="J816" s="13" t="str">
        <f>HYPERLINK(AC2 &amp; "/calculator/sn_9c9b1758dd61c4168d66b04680005e70/rendering/07.xyz", "0.0")</f>
        <v>0.0</v>
      </c>
      <c r="K816" s="13" t="str">
        <f>HYPERLINK(AC2 &amp; "/calculator/sn_9c9b1758dd61c4168d66b04680005e70/rendering/08.xyz", "0.0")</f>
        <v>0.0</v>
      </c>
      <c r="L816" s="13" t="str">
        <f>HYPERLINK(AC2 &amp; "/calculator/sn_9c9b1758dd61c4168d66b04680005e70/rendering/09.xyz", "0.0")</f>
        <v>0.0</v>
      </c>
      <c r="M816" s="13" t="str">
        <f>HYPERLINK(AC2 &amp; "/calculator/sn_9c9b1758dd61c4168d66b04680005e70/rendering/10.xyz", "0.0")</f>
        <v>0.0</v>
      </c>
      <c r="N816" s="13" t="str">
        <f>HYPERLINK(AC2 &amp; "/calculator/sn_9c9b1758dd61c4168d66b04680005e70/rendering/11.xyz", "0.0")</f>
        <v>0.0</v>
      </c>
      <c r="O816" s="13" t="str">
        <f>HYPERLINK(AC2 &amp; "/calculator/sn_9c9b1758dd61c4168d66b04680005e70/rendering/12.xyz", "0.0")</f>
        <v>0.0</v>
      </c>
      <c r="P816" s="13" t="str">
        <f>HYPERLINK(AC2 &amp; "/calculator/sn_9c9b1758dd61c4168d66b04680005e70/rendering/13.xyz", "0.0")</f>
        <v>0.0</v>
      </c>
      <c r="Q816" s="13" t="str">
        <f>HYPERLINK(AC2 &amp; "/calculator/sn_9c9b1758dd61c4168d66b04680005e70/rendering/14.xyz", "0.0")</f>
        <v>0.0</v>
      </c>
      <c r="R816" s="13" t="str">
        <f>HYPERLINK(AC2 &amp; "/calculator/sn_9c9b1758dd61c4168d66b04680005e70/rendering/15.xyz", "0.0")</f>
        <v>0.0</v>
      </c>
      <c r="S816" s="13" t="str">
        <f>HYPERLINK(AC2 &amp; "/calculator/sn_9c9b1758dd61c4168d66b04680005e70/rendering/16.xyz", "0.0")</f>
        <v>0.0</v>
      </c>
      <c r="T816" s="13" t="str">
        <f>HYPERLINK(AC2 &amp; "/calculator/sn_9c9b1758dd61c4168d66b04680005e70/rendering/17.xyz", "0.0")</f>
        <v>0.0</v>
      </c>
      <c r="U816" s="13" t="str">
        <f>HYPERLINK(AC2 &amp; "/calculator/sn_9c9b1758dd61c4168d66b04680005e70/rendering/18.xyz", "0.0")</f>
        <v>0.0</v>
      </c>
      <c r="V816" s="13" t="str">
        <f>HYPERLINK(AC2 &amp; "/calculator/sn_9c9b1758dd61c4168d66b04680005e70/rendering/19.xyz", "0.0")</f>
        <v>0.0</v>
      </c>
      <c r="W816" s="12" t="s">
        <v>33</v>
      </c>
      <c r="X816" s="13">
        <v>0</v>
      </c>
      <c r="Y816" s="13">
        <v>0</v>
      </c>
      <c r="Z816" s="13">
        <v>0</v>
      </c>
    </row>
    <row r="817" spans="1:26" x14ac:dyDescent="0.2">
      <c r="A817" s="1">
        <v>815</v>
      </c>
      <c r="B817" s="2" t="s">
        <v>196</v>
      </c>
      <c r="C817" s="20" t="str">
        <f>HYPERLINK(AA2 &amp; "/calculator/sn_abe7d4239af7db4f69efbadfeeff28b7/rendering/00.obj", "18.6660632324")</f>
        <v>18.6660632324</v>
      </c>
      <c r="D817" s="74" t="str">
        <f>HYPERLINK(AA2 &amp; "/calculator/sn_abe7d4239af7db4f69efbadfeeff28b7/rendering/01.obj", "4.77324829102")</f>
        <v>4.77324829102</v>
      </c>
      <c r="E817" s="163" t="str">
        <f>HYPERLINK(AA2 &amp; "/calculator/sn_abe7d4239af7db4f69efbadfeeff28b7/rendering/02.obj", "2.7059753418")</f>
        <v>2.7059753418</v>
      </c>
      <c r="F817" s="195" t="str">
        <f>HYPERLINK(AA2 &amp; "/calculator/sn_abe7d4239af7db4f69efbadfeeff28b7/rendering/03.obj", "2.18357406616")</f>
        <v>2.18357406616</v>
      </c>
      <c r="G817" s="227" t="str">
        <f>HYPERLINK(AA2 &amp; "/calculator/sn_abe7d4239af7db4f69efbadfeeff28b7/rendering/04.obj", "2.36875076294")</f>
        <v>2.36875076294</v>
      </c>
      <c r="H817" s="73" t="str">
        <f>HYPERLINK(AA2 &amp; "/calculator/sn_abe7d4239af7db4f69efbadfeeff28b7/rendering/05.obj", "5.01842559814")</f>
        <v>5.01842559814</v>
      </c>
      <c r="I817" s="22" t="str">
        <f>HYPERLINK(AA2 &amp; "/calculator/sn_abe7d4239af7db4f69efbadfeeff28b7/rendering/06.obj", "2.31268218994")</f>
        <v>2.31268218994</v>
      </c>
      <c r="J817" s="144" t="str">
        <f>HYPERLINK(AA2 &amp; "/calculator/sn_abe7d4239af7db4f69efbadfeeff28b7/rendering/07.obj", "2.40173736572")</f>
        <v>2.40173736572</v>
      </c>
      <c r="K817" s="113" t="str">
        <f>HYPERLINK(AA2 &amp; "/calculator/sn_abe7d4239af7db4f69efbadfeeff28b7/rendering/08.obj", "3.50308929443")</f>
        <v>3.50308929443</v>
      </c>
      <c r="L817" s="39" t="str">
        <f>HYPERLINK(AA2 &amp; "/calculator/sn_abe7d4239af7db4f69efbadfeeff28b7/rendering/09.obj", "5.25011474609")</f>
        <v>5.25011474609</v>
      </c>
      <c r="M817" s="20" t="str">
        <f>HYPERLINK(AA2 &amp; "/calculator/sn_abe7d4239af7db4f69efbadfeeff28b7/rendering/10.obj", "9.34606201172")</f>
        <v>9.34606201172</v>
      </c>
      <c r="N817" s="38" t="str">
        <f>HYPERLINK(AA2 &amp; "/calculator/sn_abe7d4239af7db4f69efbadfeeff28b7/rendering/11.obj", "5.27418334961")</f>
        <v>5.27418334961</v>
      </c>
      <c r="O817" s="33" t="str">
        <f>HYPERLINK(AA2 &amp; "/calculator/sn_abe7d4239af7db4f69efbadfeeff28b7/rendering/12.obj", "4.31293273926")</f>
        <v>4.31293273926</v>
      </c>
      <c r="P817" s="48" t="str">
        <f>HYPERLINK(AA2 &amp; "/calculator/sn_abe7d4239af7db4f69efbadfeeff28b7/rendering/13.obj", "4.71808349609")</f>
        <v>4.71808349609</v>
      </c>
      <c r="Q817" s="132" t="str">
        <f>HYPERLINK(AA2 &amp; "/calculator/sn_abe7d4239af7db4f69efbadfeeff28b7/rendering/14.obj", "2.81438354492")</f>
        <v>2.81438354492</v>
      </c>
      <c r="R817" s="196" t="str">
        <f>HYPERLINK(AA2 &amp; "/calculator/sn_abe7d4239af7db4f69efbadfeeff28b7/rendering/15.obj", "2.91696777344")</f>
        <v>2.91696777344</v>
      </c>
      <c r="S817" s="111" t="str">
        <f>HYPERLINK(AA2 &amp; "/calculator/sn_abe7d4239af7db4f69efbadfeeff28b7/rendering/16.obj", "6.87678344727")</f>
        <v>6.87678344727</v>
      </c>
      <c r="T817" s="200" t="str">
        <f>HYPERLINK(AA2 &amp; "/calculator/sn_abe7d4239af7db4f69efbadfeeff28b7/rendering/17.obj", "2.52418457031")</f>
        <v>2.52418457031</v>
      </c>
      <c r="U817" s="52" t="str">
        <f>HYPERLINK(AA2 &amp; "/calculator/sn_abe7d4239af7db4f69efbadfeeff28b7/rendering/18.obj", "2.90864776611")</f>
        <v>2.90864776611</v>
      </c>
      <c r="V817" s="36" t="str">
        <f>HYPERLINK(AA2 &amp; "/calculator/sn_abe7d4239af7db4f69efbadfeeff28b7/rendering/19.obj", "5.87507568359")</f>
        <v>5.87507568359</v>
      </c>
      <c r="W817" s="12" t="s">
        <v>29</v>
      </c>
      <c r="X817" s="13">
        <v>4.8375482635498042</v>
      </c>
      <c r="Y817" s="13">
        <v>3.6476146482604102</v>
      </c>
      <c r="Z817" s="247">
        <v>0.75402134501574603</v>
      </c>
    </row>
    <row r="818" spans="1:26" x14ac:dyDescent="0.2">
      <c r="A818" s="1">
        <v>816</v>
      </c>
      <c r="B818" s="2" t="s">
        <v>196</v>
      </c>
      <c r="C818" s="20" t="str">
        <f>HYPERLINK(AA2 &amp; "/calculator/sn_abe7d4239af7db4f69efbadfeeff28b7/rendering/00.obj", "42.8776130676")</f>
        <v>42.8776130676</v>
      </c>
      <c r="D818" s="196" t="str">
        <f>HYPERLINK(AA2 &amp; "/calculator/sn_abe7d4239af7db4f69efbadfeeff28b7/rendering/01.obj", "3.31573414803")</f>
        <v>3.31573414803</v>
      </c>
      <c r="E818" s="197" t="str">
        <f>HYPERLINK(AA2 &amp; "/calculator/sn_abe7d4239af7db4f69efbadfeeff28b7/rendering/02.obj", "2.38384485245")</f>
        <v>2.38384485245</v>
      </c>
      <c r="F818" s="195" t="str">
        <f>HYPERLINK(AA2 &amp; "/calculator/sn_abe7d4239af7db4f69efbadfeeff28b7/rendering/03.obj", "2.49623012543")</f>
        <v>2.49623012543</v>
      </c>
      <c r="G818" s="115" t="str">
        <f>HYPERLINK(AA2 &amp; "/calculator/sn_abe7d4239af7db4f69efbadfeeff28b7/rendering/04.obj", "1.98286783695")</f>
        <v>1.98286783695</v>
      </c>
      <c r="H818" s="176" t="str">
        <f>HYPERLINK(AA2 &amp; "/calculator/sn_abe7d4239af7db4f69efbadfeeff28b7/rendering/05.obj", "3.74385666847")</f>
        <v>3.74385666847</v>
      </c>
      <c r="I818" s="216" t="str">
        <f>HYPERLINK(AA2 &amp; "/calculator/sn_abe7d4239af7db4f69efbadfeeff28b7/rendering/06.obj", "1.92439877987")</f>
        <v>1.92439877987</v>
      </c>
      <c r="J818" s="256" t="str">
        <f>HYPERLINK(AA2 &amp; "/calculator/sn_abe7d4239af7db4f69efbadfeeff28b7/rendering/07.obj", "2.09654164314")</f>
        <v>2.09654164314</v>
      </c>
      <c r="K818" s="143" t="str">
        <f>HYPERLINK(AA2 &amp; "/calculator/sn_abe7d4239af7db4f69efbadfeeff28b7/rendering/08.obj", "2.8983297348")</f>
        <v>2.8983297348</v>
      </c>
      <c r="L818" s="58" t="str">
        <f>HYPERLINK(AA2 &amp; "/calculator/sn_abe7d4239af7db4f69efbadfeeff28b7/rendering/09.obj", "4.17143201828")</f>
        <v>4.17143201828</v>
      </c>
      <c r="M818" s="20" t="str">
        <f>HYPERLINK(AA2 &amp; "/calculator/sn_abe7d4239af7db4f69efbadfeeff28b7/rendering/10.obj", "10.4229421616")</f>
        <v>10.4229421616</v>
      </c>
      <c r="N818" s="57" t="str">
        <f>HYPERLINK(AA2 &amp; "/calculator/sn_abe7d4239af7db4f69efbadfeeff28b7/rendering/11.obj", "3.7747323513")</f>
        <v>3.7747323513</v>
      </c>
      <c r="O818" s="171" t="str">
        <f>HYPERLINK(AA2 &amp; "/calculator/sn_abe7d4239af7db4f69efbadfeeff28b7/rendering/12.obj", "3.81797337532")</f>
        <v>3.81797337532</v>
      </c>
      <c r="P818" s="128" t="str">
        <f>HYPERLINK(AA2 &amp; "/calculator/sn_abe7d4239af7db4f69efbadfeeff28b7/rendering/13.obj", "3.35387587547")</f>
        <v>3.35387587547</v>
      </c>
      <c r="Q818" s="249" t="str">
        <f>HYPERLINK(AA2 &amp; "/calculator/sn_abe7d4239af7db4f69efbadfeeff28b7/rendering/14.obj", "2.35907387733")</f>
        <v>2.35907387733</v>
      </c>
      <c r="R818" s="221" t="str">
        <f>HYPERLINK(AA2 &amp; "/calculator/sn_abe7d4239af7db4f69efbadfeeff28b7/rendering/15.obj", "2.445499897")</f>
        <v>2.445499897</v>
      </c>
      <c r="S818" s="70" t="str">
        <f>HYPERLINK(AA2 &amp; "/calculator/sn_abe7d4239af7db4f69efbadfeeff28b7/rendering/16.obj", "6.20217895508")</f>
        <v>6.20217895508</v>
      </c>
      <c r="T818" s="18" t="str">
        <f>HYPERLINK(AA2 &amp; "/calculator/sn_abe7d4239af7db4f69efbadfeeff28b7/rendering/17.obj", "2.32458257675")</f>
        <v>2.32458257675</v>
      </c>
      <c r="U818" s="21" t="str">
        <f>HYPERLINK(AA2 &amp; "/calculator/sn_abe7d4239af7db4f69efbadfeeff28b7/rendering/18.obj", "2.45728516579")</f>
        <v>2.45728516579</v>
      </c>
      <c r="V818" s="38" t="str">
        <f>HYPERLINK(AA2 &amp; "/calculator/sn_abe7d4239af7db4f69efbadfeeff28b7/rendering/19.obj", "5.01674985886")</f>
        <v>5.01674985886</v>
      </c>
      <c r="W818" s="12" t="s">
        <v>30</v>
      </c>
      <c r="X818" s="13">
        <v>5.5032871484756472</v>
      </c>
      <c r="Y818" s="13">
        <v>8.7830992298642308</v>
      </c>
      <c r="Z818" s="20">
        <v>1.595973277952079</v>
      </c>
    </row>
    <row r="819" spans="1:26" x14ac:dyDescent="0.2">
      <c r="A819" s="1">
        <v>817</v>
      </c>
      <c r="B819" s="2" t="s">
        <v>196</v>
      </c>
      <c r="C819" s="6" t="str">
        <f>HYPERLINK(AB2 &amp; "/calculator/sn_abe7d4239af7db4f69efbadfeeff28b7/rendering/00.obj", "2.14176757813")</f>
        <v>2.14176757813</v>
      </c>
      <c r="D819" s="90" t="str">
        <f>HYPERLINK(AB2 &amp; "/calculator/sn_abe7d4239af7db4f69efbadfeeff28b7/rendering/01.obj", "2.02841308594")</f>
        <v>2.02841308594</v>
      </c>
      <c r="E819" s="106" t="str">
        <f>HYPERLINK(AB2 &amp; "/calculator/sn_abe7d4239af7db4f69efbadfeeff28b7/rendering/02.obj", "1.98980834961")</f>
        <v>1.98980834961</v>
      </c>
      <c r="F819" s="86" t="str">
        <f>HYPERLINK(AB2 &amp; "/calculator/sn_abe7d4239af7db4f69efbadfeeff28b7/rendering/03.obj", "2.8510055542")</f>
        <v>2.8510055542</v>
      </c>
      <c r="G819" s="72" t="str">
        <f>HYPERLINK(AB2 &amp; "/calculator/sn_abe7d4239af7db4f69efbadfeeff28b7/rendering/04.obj", "2.17299194336")</f>
        <v>2.17299194336</v>
      </c>
      <c r="H819" s="133" t="str">
        <f>HYPERLINK(AB2 &amp; "/calculator/sn_abe7d4239af7db4f69efbadfeeff28b7/rendering/05.obj", "2.47445526123")</f>
        <v>2.47445526123</v>
      </c>
      <c r="I819" s="69" t="str">
        <f>HYPERLINK(AB2 &amp; "/calculator/sn_abe7d4239af7db4f69efbadfeeff28b7/rendering/06.obj", "2.17648376465")</f>
        <v>2.17648376465</v>
      </c>
      <c r="J819" s="77" t="str">
        <f>HYPERLINK(AB2 &amp; "/calculator/sn_abe7d4239af7db4f69efbadfeeff28b7/rendering/07.obj", "1.82600494385")</f>
        <v>1.82600494385</v>
      </c>
      <c r="K819" s="193" t="str">
        <f>HYPERLINK(AB2 &amp; "/calculator/sn_abe7d4239af7db4f69efbadfeeff28b7/rendering/08.obj", "2.9906930542")</f>
        <v>2.9906930542</v>
      </c>
      <c r="L819" s="107" t="str">
        <f>HYPERLINK(AB2 &amp; "/calculator/sn_abe7d4239af7db4f69efbadfeeff28b7/rendering/09.obj", "2.43190093994")</f>
        <v>2.43190093994</v>
      </c>
      <c r="M819" s="27" t="str">
        <f>HYPERLINK(AB2 &amp; "/calculator/sn_abe7d4239af7db4f69efbadfeeff28b7/rendering/10.obj", "2.09005950928")</f>
        <v>2.09005950928</v>
      </c>
      <c r="N819" s="25" t="str">
        <f>HYPERLINK(AB2 &amp; "/calculator/sn_abe7d4239af7db4f69efbadfeeff28b7/rendering/11.obj", "2.27148529053")</f>
        <v>2.27148529053</v>
      </c>
      <c r="O819" s="41" t="str">
        <f>HYPERLINK(AB2 &amp; "/calculator/sn_abe7d4239af7db4f69efbadfeeff28b7/rendering/12.obj", "2.0963571167")</f>
        <v>2.0963571167</v>
      </c>
      <c r="P819" s="64" t="str">
        <f>HYPERLINK(AB2 &amp; "/calculator/sn_abe7d4239af7db4f69efbadfeeff28b7/rendering/13.obj", "1.87451690674")</f>
        <v>1.87451690674</v>
      </c>
      <c r="Q819" s="72" t="str">
        <f>HYPERLINK(AB2 &amp; "/calculator/sn_abe7d4239af7db4f69efbadfeeff28b7/rendering/14.obj", "2.31926834106")</f>
        <v>2.31926834106</v>
      </c>
      <c r="R819" s="73" t="str">
        <f>HYPERLINK(AB2 &amp; "/calculator/sn_abe7d4239af7db4f69efbadfeeff28b7/rendering/15.obj", "2.16829742432")</f>
        <v>2.16829742432</v>
      </c>
      <c r="S819" s="134" t="str">
        <f>HYPERLINK(AB2 &amp; "/calculator/sn_abe7d4239af7db4f69efbadfeeff28b7/rendering/16.obj", "1.84081985474")</f>
        <v>1.84081985474</v>
      </c>
      <c r="T819" s="108" t="str">
        <f>HYPERLINK(AB2 &amp; "/calculator/sn_abe7d4239af7db4f69efbadfeeff28b7/rendering/17.obj", "2.79611053467")</f>
        <v>2.79611053467</v>
      </c>
      <c r="U819" s="106" t="str">
        <f>HYPERLINK(AB2 &amp; "/calculator/sn_abe7d4239af7db4f69efbadfeeff28b7/rendering/18.obj", "2.50005432129")</f>
        <v>2.50005432129</v>
      </c>
      <c r="V819" s="66" t="str">
        <f>HYPERLINK(AB2 &amp; "/calculator/sn_abe7d4239af7db4f69efbadfeeff28b7/rendering/19.obj", "1.88005905151")</f>
        <v>1.88005905151</v>
      </c>
      <c r="W819" s="12" t="s">
        <v>31</v>
      </c>
      <c r="X819" s="13">
        <v>2.2460276412963869</v>
      </c>
      <c r="Y819" s="13">
        <v>0.33013376498015218</v>
      </c>
      <c r="Z819" s="84">
        <v>0.1469856198161488</v>
      </c>
    </row>
    <row r="820" spans="1:26" x14ac:dyDescent="0.2">
      <c r="A820" s="1">
        <v>818</v>
      </c>
      <c r="B820" s="2" t="s">
        <v>196</v>
      </c>
      <c r="C820" s="79" t="str">
        <f>HYPERLINK(AB2 &amp; "/calculator/sn_abe7d4239af7db4f69efbadfeeff28b7/rendering/00.obj", "2.20599389076")</f>
        <v>2.20599389076</v>
      </c>
      <c r="D820" s="107" t="str">
        <f>HYPERLINK(AB2 &amp; "/calculator/sn_abe7d4239af7db4f69efbadfeeff28b7/rendering/01.obj", "1.74955618382")</f>
        <v>1.74955618382</v>
      </c>
      <c r="E820" s="13" t="str">
        <f>HYPERLINK(AB2 &amp; "/calculator/sn_abe7d4239af7db4f69efbadfeeff28b7/rendering/02.obj", "1.90607059002")</f>
        <v>1.90607059002</v>
      </c>
      <c r="F820" s="27" t="str">
        <f>HYPERLINK(AB2 &amp; "/calculator/sn_abe7d4239af7db4f69efbadfeeff28b7/rendering/03.obj", "2.0387032032")</f>
        <v>2.0387032032</v>
      </c>
      <c r="G820" s="41" t="str">
        <f>HYPERLINK(AB2 &amp; "/calculator/sn_abe7d4239af7db4f69efbadfeeff28b7/rendering/04.obj", "1.77887010574")</f>
        <v>1.77887010574</v>
      </c>
      <c r="H820" s="30" t="str">
        <f>HYPERLINK(AB2 &amp; "/calculator/sn_abe7d4239af7db4f69efbadfeeff28b7/rendering/05.obj", "1.91632890701")</f>
        <v>1.91632890701</v>
      </c>
      <c r="I820" s="48" t="str">
        <f>HYPERLINK(AB2 &amp; "/calculator/sn_abe7d4239af7db4f69efbadfeeff28b7/rendering/06.obj", "1.86058449745")</f>
        <v>1.86058449745</v>
      </c>
      <c r="J820" s="46" t="str">
        <f>HYPERLINK(AB2 &amp; "/calculator/sn_abe7d4239af7db4f69efbadfeeff28b7/rendering/07.obj", "1.87395858765")</f>
        <v>1.87395858765</v>
      </c>
      <c r="K820" s="82" t="str">
        <f>HYPERLINK(AB2 &amp; "/calculator/sn_abe7d4239af7db4f69efbadfeeff28b7/rendering/08.obj", "2.30031180382")</f>
        <v>2.30031180382</v>
      </c>
      <c r="L820" s="17" t="str">
        <f>HYPERLINK(AB2 &amp; "/calculator/sn_abe7d4239af7db4f69efbadfeeff28b7/rendering/09.obj", "1.86760687828")</f>
        <v>1.86760687828</v>
      </c>
      <c r="M820" s="6" t="str">
        <f>HYPERLINK(AB2 &amp; "/calculator/sn_abe7d4239af7db4f69efbadfeeff28b7/rendering/10.obj", "1.82212924957")</f>
        <v>1.82212924957</v>
      </c>
      <c r="N820" s="39" t="str">
        <f>HYPERLINK(AB2 &amp; "/calculator/sn_abe7d4239af7db4f69efbadfeeff28b7/rendering/11.obj", "1.7435734272")</f>
        <v>1.7435734272</v>
      </c>
      <c r="O820" s="41" t="str">
        <f>HYPERLINK(AB2 &amp; "/calculator/sn_abe7d4239af7db4f69efbadfeeff28b7/rendering/12.obj", "2.03586697578")</f>
        <v>2.03586697578</v>
      </c>
      <c r="P820" s="35" t="str">
        <f>HYPERLINK(AB2 &amp; "/calculator/sn_abe7d4239af7db4f69efbadfeeff28b7/rendering/13.obj", "1.79784083366")</f>
        <v>1.79784083366</v>
      </c>
      <c r="Q820" s="13" t="str">
        <f>HYPERLINK(AB2 &amp; "/calculator/sn_abe7d4239af7db4f69efbadfeeff28b7/rendering/14.obj", "1.90730643272")</f>
        <v>1.90730643272</v>
      </c>
      <c r="R820" s="48" t="str">
        <f>HYPERLINK(AB2 &amp; "/calculator/sn_abe7d4239af7db4f69efbadfeeff28b7/rendering/15.obj", "1.8588206768")</f>
        <v>1.8588206768</v>
      </c>
      <c r="S820" s="26" t="str">
        <f>HYPERLINK(AB2 &amp; "/calculator/sn_abe7d4239af7db4f69efbadfeeff28b7/rendering/16.obj", "1.78609347343")</f>
        <v>1.78609347343</v>
      </c>
      <c r="T820" s="60" t="str">
        <f>HYPERLINK(AB2 &amp; "/calculator/sn_abe7d4239af7db4f69efbadfeeff28b7/rendering/17.obj", "2.00370192528")</f>
        <v>2.00370192528</v>
      </c>
      <c r="U820" s="23" t="str">
        <f>HYPERLINK(AB2 &amp; "/calculator/sn_abe7d4239af7db4f69efbadfeeff28b7/rendering/18.obj", "1.83035540581")</f>
        <v>1.83035540581</v>
      </c>
      <c r="V820" s="72" t="str">
        <f>HYPERLINK(AB2 &amp; "/calculator/sn_abe7d4239af7db4f69efbadfeeff28b7/rendering/19.obj", "1.84137809277")</f>
        <v>1.84137809277</v>
      </c>
      <c r="W820" s="12" t="s">
        <v>32</v>
      </c>
      <c r="X820" s="13">
        <v>1.906252557039261</v>
      </c>
      <c r="Y820" s="13">
        <v>0.1425522853921988</v>
      </c>
      <c r="Z820" s="94">
        <v>7.478142645149137E-2</v>
      </c>
    </row>
    <row r="821" spans="1:26" x14ac:dyDescent="0.2">
      <c r="A821" s="1">
        <v>819</v>
      </c>
      <c r="B821" s="2" t="s">
        <v>196</v>
      </c>
      <c r="C821" s="13" t="str">
        <f>HYPERLINK(AC2 &amp; "/calculator/sn_abe7d4239af7db4f69efbadfeeff28b7/rendering/00.xyz", "0.0")</f>
        <v>0.0</v>
      </c>
      <c r="D821" s="13" t="str">
        <f>HYPERLINK(AC2 &amp; "/calculator/sn_abe7d4239af7db4f69efbadfeeff28b7/rendering/01.xyz", "0.0")</f>
        <v>0.0</v>
      </c>
      <c r="E821" s="13" t="str">
        <f>HYPERLINK(AC2 &amp; "/calculator/sn_abe7d4239af7db4f69efbadfeeff28b7/rendering/02.xyz", "0.0")</f>
        <v>0.0</v>
      </c>
      <c r="F821" s="13" t="str">
        <f>HYPERLINK(AC2 &amp; "/calculator/sn_abe7d4239af7db4f69efbadfeeff28b7/rendering/03.xyz", "0.0")</f>
        <v>0.0</v>
      </c>
      <c r="G821" s="13" t="str">
        <f>HYPERLINK(AC2 &amp; "/calculator/sn_abe7d4239af7db4f69efbadfeeff28b7/rendering/04.xyz", "0.0")</f>
        <v>0.0</v>
      </c>
      <c r="H821" s="13" t="str">
        <f>HYPERLINK(AC2 &amp; "/calculator/sn_abe7d4239af7db4f69efbadfeeff28b7/rendering/05.xyz", "0.0")</f>
        <v>0.0</v>
      </c>
      <c r="I821" s="13" t="str">
        <f>HYPERLINK(AC2 &amp; "/calculator/sn_abe7d4239af7db4f69efbadfeeff28b7/rendering/06.xyz", "0.0")</f>
        <v>0.0</v>
      </c>
      <c r="J821" s="13" t="str">
        <f>HYPERLINK(AC2 &amp; "/calculator/sn_abe7d4239af7db4f69efbadfeeff28b7/rendering/07.xyz", "0.0")</f>
        <v>0.0</v>
      </c>
      <c r="K821" s="13" t="str">
        <f>HYPERLINK(AC2 &amp; "/calculator/sn_abe7d4239af7db4f69efbadfeeff28b7/rendering/08.xyz", "0.0")</f>
        <v>0.0</v>
      </c>
      <c r="L821" s="13" t="str">
        <f>HYPERLINK(AC2 &amp; "/calculator/sn_abe7d4239af7db4f69efbadfeeff28b7/rendering/09.xyz", "0.0")</f>
        <v>0.0</v>
      </c>
      <c r="M821" s="13" t="str">
        <f>HYPERLINK(AC2 &amp; "/calculator/sn_abe7d4239af7db4f69efbadfeeff28b7/rendering/10.xyz", "0.0")</f>
        <v>0.0</v>
      </c>
      <c r="N821" s="13" t="str">
        <f>HYPERLINK(AC2 &amp; "/calculator/sn_abe7d4239af7db4f69efbadfeeff28b7/rendering/11.xyz", "0.0")</f>
        <v>0.0</v>
      </c>
      <c r="O821" s="13" t="str">
        <f>HYPERLINK(AC2 &amp; "/calculator/sn_abe7d4239af7db4f69efbadfeeff28b7/rendering/12.xyz", "0.0")</f>
        <v>0.0</v>
      </c>
      <c r="P821" s="13" t="str">
        <f>HYPERLINK(AC2 &amp; "/calculator/sn_abe7d4239af7db4f69efbadfeeff28b7/rendering/13.xyz", "0.0")</f>
        <v>0.0</v>
      </c>
      <c r="Q821" s="13" t="str">
        <f>HYPERLINK(AC2 &amp; "/calculator/sn_abe7d4239af7db4f69efbadfeeff28b7/rendering/14.xyz", "0.0")</f>
        <v>0.0</v>
      </c>
      <c r="R821" s="13" t="str">
        <f>HYPERLINK(AC2 &amp; "/calculator/sn_abe7d4239af7db4f69efbadfeeff28b7/rendering/15.xyz", "0.0")</f>
        <v>0.0</v>
      </c>
      <c r="S821" s="13" t="str">
        <f>HYPERLINK(AC2 &amp; "/calculator/sn_abe7d4239af7db4f69efbadfeeff28b7/rendering/16.xyz", "0.0")</f>
        <v>0.0</v>
      </c>
      <c r="T821" s="13" t="str">
        <f>HYPERLINK(AC2 &amp; "/calculator/sn_abe7d4239af7db4f69efbadfeeff28b7/rendering/17.xyz", "0.0")</f>
        <v>0.0</v>
      </c>
      <c r="U821" s="13" t="str">
        <f>HYPERLINK(AC2 &amp; "/calculator/sn_abe7d4239af7db4f69efbadfeeff28b7/rendering/18.xyz", "0.0")</f>
        <v>0.0</v>
      </c>
      <c r="V821" s="13" t="str">
        <f>HYPERLINK(AC2 &amp; "/calculator/sn_abe7d4239af7db4f69efbadfeeff28b7/rendering/19.xyz", "0.0")</f>
        <v>0.0</v>
      </c>
      <c r="W821" s="12" t="s">
        <v>33</v>
      </c>
      <c r="X821" s="13">
        <v>0</v>
      </c>
      <c r="Y821" s="13">
        <v>0</v>
      </c>
      <c r="Z821" s="13">
        <v>0</v>
      </c>
    </row>
    <row r="822" spans="1:26" x14ac:dyDescent="0.2">
      <c r="A822" s="1">
        <v>820</v>
      </c>
      <c r="B822" s="2" t="s">
        <v>197</v>
      </c>
      <c r="C822" s="58" t="str">
        <f>HYPERLINK(AA2 &amp; "/calculator/sn_af8722ca4feb08c620e7b873d154db78/rendering/00.obj", "4.28728088379")</f>
        <v>4.28728088379</v>
      </c>
      <c r="D822" s="4" t="str">
        <f>HYPERLINK(AA2 &amp; "/calculator/sn_af8722ca4feb08c620e7b873d154db78/rendering/01.obj", "4.0483001709")</f>
        <v>4.0483001709</v>
      </c>
      <c r="E822" s="68" t="str">
        <f>HYPERLINK(AA2 &amp; "/calculator/sn_af8722ca4feb08c620e7b873d154db78/rendering/02.obj", "5.40746459961")</f>
        <v>5.40746459961</v>
      </c>
      <c r="F822" s="42" t="str">
        <f>HYPERLINK(AA2 &amp; "/calculator/sn_af8722ca4feb08c620e7b873d154db78/rendering/03.obj", "4.87457397461")</f>
        <v>4.87457397461</v>
      </c>
      <c r="G822" s="94" t="str">
        <f>HYPERLINK(AA2 &amp; "/calculator/sn_af8722ca4feb08c620e7b873d154db78/rendering/04.obj", "5.22996704102")</f>
        <v>5.22996704102</v>
      </c>
      <c r="H822" s="76" t="str">
        <f>HYPERLINK(AA2 &amp; "/calculator/sn_af8722ca4feb08c620e7b873d154db78/rendering/05.obj", "4.61093261719")</f>
        <v>4.61093261719</v>
      </c>
      <c r="I822" s="151" t="str">
        <f>HYPERLINK(AA2 &amp; "/calculator/sn_af8722ca4feb08c620e7b873d154db78/rendering/06.obj", "3.61893310547")</f>
        <v>3.61893310547</v>
      </c>
      <c r="J822" s="33" t="str">
        <f>HYPERLINK(AA2 &amp; "/calculator/sn_af8722ca4feb08c620e7b873d154db78/rendering/07.obj", "6.25687866211")</f>
        <v>6.25687866211</v>
      </c>
      <c r="K822" s="66" t="str">
        <f>HYPERLINK(AA2 &amp; "/calculator/sn_af8722ca4feb08c620e7b873d154db78/rendering/08.obj", "6.5647845459")</f>
        <v>6.5647845459</v>
      </c>
      <c r="L822" s="39" t="str">
        <f>HYPERLINK(AA2 &amp; "/calculator/sn_af8722ca4feb08c620e7b873d154db78/rendering/09.obj", "6.14238464355")</f>
        <v>6.14238464355</v>
      </c>
      <c r="M822" s="220" t="str">
        <f>HYPERLINK(AA2 &amp; "/calculator/sn_af8722ca4feb08c620e7b873d154db78/rendering/10.obj", "9.49518737793")</f>
        <v>9.49518737793</v>
      </c>
      <c r="N822" s="80" t="str">
        <f>HYPERLINK(AA2 &amp; "/calculator/sn_af8722ca4feb08c620e7b873d154db78/rendering/11.obj", "4.8197277832")</f>
        <v>4.8197277832</v>
      </c>
      <c r="O822" s="63" t="str">
        <f>HYPERLINK(AA2 &amp; "/calculator/sn_af8722ca4feb08c620e7b873d154db78/rendering/12.obj", "6.34410888672")</f>
        <v>6.34410888672</v>
      </c>
      <c r="P822" s="110" t="str">
        <f>HYPERLINK(AA2 &amp; "/calculator/sn_af8722ca4feb08c620e7b873d154db78/rendering/13.obj", "5.09899169922")</f>
        <v>5.09899169922</v>
      </c>
      <c r="Q822" s="41" t="str">
        <f>HYPERLINK(AA2 &amp; "/calculator/sn_af8722ca4feb08c620e7b873d154db78/rendering/14.obj", "5.27353881836")</f>
        <v>5.27353881836</v>
      </c>
      <c r="R822" s="59" t="str">
        <f>HYPERLINK(AA2 &amp; "/calculator/sn_af8722ca4feb08c620e7b873d154db78/rendering/15.obj", "4.30551879883")</f>
        <v>4.30551879883</v>
      </c>
      <c r="S822" s="214" t="str">
        <f>HYPERLINK(AA2 &amp; "/calculator/sn_af8722ca4feb08c620e7b873d154db78/rendering/16.obj", "9.14093505859")</f>
        <v>9.14093505859</v>
      </c>
      <c r="T822" s="82" t="str">
        <f>HYPERLINK(AA2 &amp; "/calculator/sn_af8722ca4feb08c620e7b873d154db78/rendering/17.obj", "4.48671936035")</f>
        <v>4.48671936035</v>
      </c>
      <c r="U822" s="88" t="str">
        <f>HYPERLINK(AA2 &amp; "/calculator/sn_af8722ca4feb08c620e7b873d154db78/rendering/18.obj", "4.50534698486")</f>
        <v>4.50534698486</v>
      </c>
      <c r="V822" s="105" t="str">
        <f>HYPERLINK(AA2 &amp; "/calculator/sn_af8722ca4feb08c620e7b873d154db78/rendering/19.obj", "8.55961486816")</f>
        <v>8.55961486816</v>
      </c>
      <c r="W822" s="12" t="s">
        <v>29</v>
      </c>
      <c r="X822" s="13">
        <v>5.6535594940185554</v>
      </c>
      <c r="Y822" s="13">
        <v>1.6345749356721859</v>
      </c>
      <c r="Z822" s="14">
        <v>0.28912315106996928</v>
      </c>
    </row>
    <row r="823" spans="1:26" x14ac:dyDescent="0.2">
      <c r="A823" s="1">
        <v>821</v>
      </c>
      <c r="B823" s="2" t="s">
        <v>197</v>
      </c>
      <c r="C823" s="187" t="str">
        <f>HYPERLINK(AA2 &amp; "/calculator/sn_af8722ca4feb08c620e7b873d154db78/rendering/00.obj", "3.91086483002")</f>
        <v>3.91086483002</v>
      </c>
      <c r="D823" s="159" t="str">
        <f>HYPERLINK(AA2 &amp; "/calculator/sn_af8722ca4feb08c620e7b873d154db78/rendering/01.obj", "3.19699931145")</f>
        <v>3.19699931145</v>
      </c>
      <c r="E823" s="87" t="str">
        <f>HYPERLINK(AA2 &amp; "/calculator/sn_af8722ca4feb08c620e7b873d154db78/rendering/02.obj", "4.64556407928")</f>
        <v>4.64556407928</v>
      </c>
      <c r="F823" s="82" t="str">
        <f>HYPERLINK(AA2 &amp; "/calculator/sn_af8722ca4feb08c620e7b873d154db78/rendering/03.obj", "4.78587627411")</f>
        <v>4.78587627411</v>
      </c>
      <c r="G823" s="71" t="str">
        <f>HYPERLINK(AA2 &amp; "/calculator/sn_af8722ca4feb08c620e7b873d154db78/rendering/04.obj", "5.31398200989")</f>
        <v>5.31398200989</v>
      </c>
      <c r="H823" s="168" t="str">
        <f>HYPERLINK(AA2 &amp; "/calculator/sn_af8722ca4feb08c620e7b873d154db78/rendering/05.obj", "4.08776426315")</f>
        <v>4.08776426315</v>
      </c>
      <c r="I823" s="163" t="str">
        <f>HYPERLINK(AA2 &amp; "/calculator/sn_af8722ca4feb08c620e7b873d154db78/rendering/06.obj", "3.36596989632")</f>
        <v>3.36596989632</v>
      </c>
      <c r="J823" s="5" t="str">
        <f>HYPERLINK(AA2 &amp; "/calculator/sn_af8722ca4feb08c620e7b873d154db78/rendering/07.obj", "6.48004102707")</f>
        <v>6.48004102707</v>
      </c>
      <c r="K823" s="39" t="str">
        <f>HYPERLINK(AA2 &amp; "/calculator/sn_af8722ca4feb08c620e7b873d154db78/rendering/08.obj", "6.53251934052")</f>
        <v>6.53251934052</v>
      </c>
      <c r="L823" s="67" t="str">
        <f>HYPERLINK(AA2 &amp; "/calculator/sn_af8722ca4feb08c620e7b873d154db78/rendering/09.obj", "5.45595169067")</f>
        <v>5.45595169067</v>
      </c>
      <c r="M823" s="20" t="str">
        <f>HYPERLINK(AA2 &amp; "/calculator/sn_af8722ca4feb08c620e7b873d154db78/rendering/10.obj", "13.6957998276")</f>
        <v>13.6957998276</v>
      </c>
      <c r="N823" s="65" t="str">
        <f>HYPERLINK(AA2 &amp; "/calculator/sn_af8722ca4feb08c620e7b873d154db78/rendering/11.obj", "5.20959186554")</f>
        <v>5.20959186554</v>
      </c>
      <c r="O823" s="35" t="str">
        <f>HYPERLINK(AA2 &amp; "/calculator/sn_af8722ca4feb08c620e7b873d154db78/rendering/12.obj", "5.66797018051")</f>
        <v>5.66797018051</v>
      </c>
      <c r="P823" s="61" t="str">
        <f>HYPERLINK(AA2 &amp; "/calculator/sn_af8722ca4feb08c620e7b873d154db78/rendering/13.obj", "4.20381784439")</f>
        <v>4.20381784439</v>
      </c>
      <c r="Q823" s="17" t="str">
        <f>HYPERLINK(AA2 &amp; "/calculator/sn_af8722ca4feb08c620e7b873d154db78/rendering/14.obj", "5.89219856262")</f>
        <v>5.89219856262</v>
      </c>
      <c r="R823" s="104" t="str">
        <f>HYPERLINK(AA2 &amp; "/calculator/sn_af8722ca4feb08c620e7b873d154db78/rendering/15.obj", "3.15108060837")</f>
        <v>3.15108060837</v>
      </c>
      <c r="S823" s="20" t="str">
        <f>HYPERLINK(AA2 &amp; "/calculator/sn_af8722ca4feb08c620e7b873d154db78/rendering/16.obj", "12.5817098618")</f>
        <v>12.5817098618</v>
      </c>
      <c r="T823" s="19" t="str">
        <f>HYPERLINK(AA2 &amp; "/calculator/sn_af8722ca4feb08c620e7b873d154db78/rendering/17.obj", "4.4376115799")</f>
        <v>4.4376115799</v>
      </c>
      <c r="U823" s="135" t="str">
        <f>HYPERLINK(AA2 &amp; "/calculator/sn_af8722ca4feb08c620e7b873d154db78/rendering/18.obj", "4.48023557663")</f>
        <v>4.48023557663</v>
      </c>
      <c r="V823" s="20" t="str">
        <f>HYPERLINK(AA2 &amp; "/calculator/sn_af8722ca4feb08c620e7b873d154db78/rendering/19.obj", "13.2782363892")</f>
        <v>13.2782363892</v>
      </c>
      <c r="W823" s="12" t="s">
        <v>30</v>
      </c>
      <c r="X823" s="13">
        <v>6.0186892509460446</v>
      </c>
      <c r="Y823" s="13">
        <v>3.1603419089881331</v>
      </c>
      <c r="Z823" s="174">
        <v>0.52508806772028926</v>
      </c>
    </row>
    <row r="824" spans="1:26" x14ac:dyDescent="0.2">
      <c r="A824" s="1">
        <v>822</v>
      </c>
      <c r="B824" s="2" t="s">
        <v>197</v>
      </c>
      <c r="C824" s="94" t="str">
        <f>HYPERLINK(AB2 &amp; "/calculator/sn_af8722ca4feb08c620e7b873d154db78/rendering/00.obj", "4.68033935547")</f>
        <v>4.68033935547</v>
      </c>
      <c r="D824" s="84" t="str">
        <f>HYPERLINK(AB2 &amp; "/calculator/sn_af8722ca4feb08c620e7b873d154db78/rendering/01.obj", "3.7321282959")</f>
        <v>3.7321282959</v>
      </c>
      <c r="E824" s="40" t="str">
        <f>HYPERLINK(AB2 &amp; "/calculator/sn_af8722ca4feb08c620e7b873d154db78/rendering/02.obj", "5.10727172852")</f>
        <v>5.10727172852</v>
      </c>
      <c r="F824" s="71" t="str">
        <f>HYPERLINK(AB2 &amp; "/calculator/sn_af8722ca4feb08c620e7b873d154db78/rendering/03.obj", "3.84433105469")</f>
        <v>3.84433105469</v>
      </c>
      <c r="G824" s="47" t="str">
        <f>HYPERLINK(AB2 &amp; "/calculator/sn_af8722ca4feb08c620e7b873d154db78/rendering/04.obj", "4.39183410645")</f>
        <v>4.39183410645</v>
      </c>
      <c r="H824" s="133" t="str">
        <f>HYPERLINK(AB2 &amp; "/calculator/sn_af8722ca4feb08c620e7b873d154db78/rendering/05.obj", "4.80942565918")</f>
        <v>4.80942565918</v>
      </c>
      <c r="I824" s="120" t="str">
        <f>HYPERLINK(AB2 &amp; "/calculator/sn_af8722ca4feb08c620e7b873d154db78/rendering/06.obj", "3.43728546143")</f>
        <v>3.43728546143</v>
      </c>
      <c r="J824" s="26" t="str">
        <f>HYPERLINK(AB2 &amp; "/calculator/sn_af8722ca4feb08c620e7b873d154db78/rendering/07.obj", "4.08034393311")</f>
        <v>4.08034393311</v>
      </c>
      <c r="K824" s="80" t="str">
        <f>HYPERLINK(AB2 &amp; "/calculator/sn_af8722ca4feb08c620e7b873d154db78/rendering/08.obj", "5.00815795898")</f>
        <v>5.00815795898</v>
      </c>
      <c r="L824" s="30" t="str">
        <f>HYPERLINK(AB2 &amp; "/calculator/sn_af8722ca4feb08c620e7b873d154db78/rendering/09.obj", "4.37993682861")</f>
        <v>4.37993682861</v>
      </c>
      <c r="M824" s="32" t="str">
        <f>HYPERLINK(AB2 &amp; "/calculator/sn_af8722ca4feb08c620e7b873d154db78/rendering/10.obj", "4.82133972168")</f>
        <v>4.82133972168</v>
      </c>
      <c r="N824" s="84" t="str">
        <f>HYPERLINK(AB2 &amp; "/calculator/sn_af8722ca4feb08c620e7b873d154db78/rendering/11.obj", "3.7266796875")</f>
        <v>3.7266796875</v>
      </c>
      <c r="O824" s="38" t="str">
        <f>HYPERLINK(AB2 &amp; "/calculator/sn_af8722ca4feb08c620e7b873d154db78/rendering/12.obj", "3.97303405762")</f>
        <v>3.97303405762</v>
      </c>
      <c r="P824" s="38" t="str">
        <f>HYPERLINK(AB2 &amp; "/calculator/sn_af8722ca4feb08c620e7b873d154db78/rendering/13.obj", "4.75514770508")</f>
        <v>4.75514770508</v>
      </c>
      <c r="Q824" s="70" t="str">
        <f>HYPERLINK(AB2 &amp; "/calculator/sn_af8722ca4feb08c620e7b873d154db78/rendering/14.obj", "3.81524780273")</f>
        <v>3.81524780273</v>
      </c>
      <c r="R824" s="38" t="str">
        <f>HYPERLINK(AB2 &amp; "/calculator/sn_af8722ca4feb08c620e7b873d154db78/rendering/15.obj", "3.9716696167")</f>
        <v>3.9716696167</v>
      </c>
      <c r="S824" s="27" t="str">
        <f>HYPERLINK(AB2 &amp; "/calculator/sn_af8722ca4feb08c620e7b873d154db78/rendering/16.obj", "4.66581726074")</f>
        <v>4.66581726074</v>
      </c>
      <c r="T824" s="48" t="str">
        <f>HYPERLINK(AB2 &amp; "/calculator/sn_af8722ca4feb08c620e7b873d154db78/rendering/17.obj", "4.4659161377")</f>
        <v>4.4659161377</v>
      </c>
      <c r="U824" s="69" t="str">
        <f>HYPERLINK(AB2 &amp; "/calculator/sn_af8722ca4feb08c620e7b873d154db78/rendering/18.obj", "4.49794555664")</f>
        <v>4.49794555664</v>
      </c>
      <c r="V824" s="40" t="str">
        <f>HYPERLINK(AB2 &amp; "/calculator/sn_af8722ca4feb08c620e7b873d154db78/rendering/19.obj", "5.10434844971")</f>
        <v>5.10434844971</v>
      </c>
      <c r="W824" s="12" t="s">
        <v>31</v>
      </c>
      <c r="X824" s="13">
        <v>4.3634100189209004</v>
      </c>
      <c r="Y824" s="13">
        <v>0.49594579159109692</v>
      </c>
      <c r="Z824" s="106">
        <v>0.11366013953319649</v>
      </c>
    </row>
    <row r="825" spans="1:26" x14ac:dyDescent="0.2">
      <c r="A825" s="1">
        <v>823</v>
      </c>
      <c r="B825" s="2" t="s">
        <v>197</v>
      </c>
      <c r="C825" s="48" t="str">
        <f>HYPERLINK(AB2 &amp; "/calculator/sn_af8722ca4feb08c620e7b873d154db78/rendering/00.obj", "3.27755093575")</f>
        <v>3.27755093575</v>
      </c>
      <c r="D825" s="13" t="str">
        <f>HYPERLINK(AB2 &amp; "/calculator/sn_af8722ca4feb08c620e7b873d154db78/rendering/01.obj", "3.35946393013")</f>
        <v>3.35946393013</v>
      </c>
      <c r="E825" s="17" t="str">
        <f>HYPERLINK(AB2 &amp; "/calculator/sn_af8722ca4feb08c620e7b873d154db78/rendering/02.obj", "3.42536401749")</f>
        <v>3.42536401749</v>
      </c>
      <c r="F825" s="117" t="str">
        <f>HYPERLINK(AB2 &amp; "/calculator/sn_af8722ca4feb08c620e7b873d154db78/rendering/03.obj", "2.75951766968")</f>
        <v>2.75951766968</v>
      </c>
      <c r="G825" s="39" t="str">
        <f>HYPERLINK(AB2 &amp; "/calculator/sn_af8722ca4feb08c620e7b873d154db78/rendering/04.obj", "3.06152462959")</f>
        <v>3.06152462959</v>
      </c>
      <c r="H825" s="41" t="str">
        <f>HYPERLINK(AB2 &amp; "/calculator/sn_af8722ca4feb08c620e7b873d154db78/rendering/05.obj", "3.58051466942")</f>
        <v>3.58051466942</v>
      </c>
      <c r="I825" s="55" t="str">
        <f>HYPERLINK(AB2 &amp; "/calculator/sn_af8722ca4feb08c620e7b873d154db78/rendering/06.obj", "2.71190667152")</f>
        <v>2.71190667152</v>
      </c>
      <c r="J825" s="31" t="str">
        <f>HYPERLINK(AB2 &amp; "/calculator/sn_af8722ca4feb08c620e7b873d154db78/rendering/07.obj", "3.87248039246")</f>
        <v>3.87248039246</v>
      </c>
      <c r="K825" s="69" t="str">
        <f>HYPERLINK(AB2 &amp; "/calculator/sn_af8722ca4feb08c620e7b873d154db78/rendering/08.obj", "3.25357699394")</f>
        <v>3.25357699394</v>
      </c>
      <c r="L825" s="47" t="str">
        <f>HYPERLINK(AB2 &amp; "/calculator/sn_af8722ca4feb08c620e7b873d154db78/rendering/09.obj", "3.32884645462")</f>
        <v>3.32884645462</v>
      </c>
      <c r="M825" s="83" t="str">
        <f>HYPERLINK(AB2 &amp; "/calculator/sn_af8722ca4feb08c620e7b873d154db78/rendering/10.obj", "3.87201523781")</f>
        <v>3.87201523781</v>
      </c>
      <c r="N825" s="37" t="str">
        <f>HYPERLINK(AB2 &amp; "/calculator/sn_af8722ca4feb08c620e7b873d154db78/rendering/11.obj", "2.76983165741")</f>
        <v>2.76983165741</v>
      </c>
      <c r="O825" s="68" t="str">
        <f>HYPERLINK(AB2 &amp; "/calculator/sn_af8722ca4feb08c620e7b873d154db78/rendering/12.obj", "3.50161790848")</f>
        <v>3.50161790848</v>
      </c>
      <c r="P825" s="69" t="str">
        <f>HYPERLINK(AB2 &amp; "/calculator/sn_af8722ca4feb08c620e7b873d154db78/rendering/13.obj", "3.26094889641")</f>
        <v>3.26094889641</v>
      </c>
      <c r="Q825" s="28" t="str">
        <f>HYPERLINK(AB2 &amp; "/calculator/sn_af8722ca4feb08c620e7b873d154db78/rendering/14.obj", "2.98767399788")</f>
        <v>2.98767399788</v>
      </c>
      <c r="R825" s="42" t="str">
        <f>HYPERLINK(AB2 &amp; "/calculator/sn_af8722ca4feb08c620e7b873d154db78/rendering/15.obj", "2.89907383919")</f>
        <v>2.89907383919</v>
      </c>
      <c r="S825" s="120" t="str">
        <f>HYPERLINK(AB2 &amp; "/calculator/sn_af8722ca4feb08c620e7b873d154db78/rendering/16.obj", "4.07024049759")</f>
        <v>4.07024049759</v>
      </c>
      <c r="T825" s="198" t="str">
        <f>HYPERLINK(AB2 &amp; "/calculator/sn_af8722ca4feb08c620e7b873d154db78/rendering/17.obj", "4.65803337097")</f>
        <v>4.65803337097</v>
      </c>
      <c r="U825" s="72" t="str">
        <f>HYPERLINK(AB2 &amp; "/calculator/sn_af8722ca4feb08c620e7b873d154db78/rendering/18.obj", "3.24224805832")</f>
        <v>3.24224805832</v>
      </c>
      <c r="V825" s="73" t="str">
        <f>HYPERLINK(AB2 &amp; "/calculator/sn_af8722ca4feb08c620e7b873d154db78/rendering/19.obj", "3.23154640198")</f>
        <v>3.23154640198</v>
      </c>
      <c r="W825" s="12" t="s">
        <v>32</v>
      </c>
      <c r="X825" s="13">
        <v>3.3561988115310668</v>
      </c>
      <c r="Y825" s="13">
        <v>0.46984758538154742</v>
      </c>
      <c r="Z825" s="93">
        <v>0.13999396691497171</v>
      </c>
    </row>
    <row r="826" spans="1:26" x14ac:dyDescent="0.2">
      <c r="A826" s="1">
        <v>824</v>
      </c>
      <c r="B826" s="2" t="s">
        <v>197</v>
      </c>
      <c r="C826" s="13" t="str">
        <f>HYPERLINK(AC2 &amp; "/calculator/sn_af8722ca4feb08c620e7b873d154db78/rendering/00.xyz", "0.0")</f>
        <v>0.0</v>
      </c>
      <c r="D826" s="13" t="str">
        <f>HYPERLINK(AC2 &amp; "/calculator/sn_af8722ca4feb08c620e7b873d154db78/rendering/01.xyz", "0.0")</f>
        <v>0.0</v>
      </c>
      <c r="E826" s="13" t="str">
        <f>HYPERLINK(AC2 &amp; "/calculator/sn_af8722ca4feb08c620e7b873d154db78/rendering/02.xyz", "0.0")</f>
        <v>0.0</v>
      </c>
      <c r="F826" s="13" t="str">
        <f>HYPERLINK(AC2 &amp; "/calculator/sn_af8722ca4feb08c620e7b873d154db78/rendering/03.xyz", "0.0")</f>
        <v>0.0</v>
      </c>
      <c r="G826" s="13" t="str">
        <f>HYPERLINK(AC2 &amp; "/calculator/sn_af8722ca4feb08c620e7b873d154db78/rendering/04.xyz", "0.0")</f>
        <v>0.0</v>
      </c>
      <c r="H826" s="13" t="str">
        <f>HYPERLINK(AC2 &amp; "/calculator/sn_af8722ca4feb08c620e7b873d154db78/rendering/05.xyz", "0.0")</f>
        <v>0.0</v>
      </c>
      <c r="I826" s="13" t="str">
        <f>HYPERLINK(AC2 &amp; "/calculator/sn_af8722ca4feb08c620e7b873d154db78/rendering/06.xyz", "0.0")</f>
        <v>0.0</v>
      </c>
      <c r="J826" s="13" t="str">
        <f>HYPERLINK(AC2 &amp; "/calculator/sn_af8722ca4feb08c620e7b873d154db78/rendering/07.xyz", "0.0")</f>
        <v>0.0</v>
      </c>
      <c r="K826" s="13" t="str">
        <f>HYPERLINK(AC2 &amp; "/calculator/sn_af8722ca4feb08c620e7b873d154db78/rendering/08.xyz", "0.0")</f>
        <v>0.0</v>
      </c>
      <c r="L826" s="13" t="str">
        <f>HYPERLINK(AC2 &amp; "/calculator/sn_af8722ca4feb08c620e7b873d154db78/rendering/09.xyz", "0.0")</f>
        <v>0.0</v>
      </c>
      <c r="M826" s="13" t="str">
        <f>HYPERLINK(AC2 &amp; "/calculator/sn_af8722ca4feb08c620e7b873d154db78/rendering/10.xyz", "0.0")</f>
        <v>0.0</v>
      </c>
      <c r="N826" s="13" t="str">
        <f>HYPERLINK(AC2 &amp; "/calculator/sn_af8722ca4feb08c620e7b873d154db78/rendering/11.xyz", "0.0")</f>
        <v>0.0</v>
      </c>
      <c r="O826" s="13" t="str">
        <f>HYPERLINK(AC2 &amp; "/calculator/sn_af8722ca4feb08c620e7b873d154db78/rendering/12.xyz", "0.0")</f>
        <v>0.0</v>
      </c>
      <c r="P826" s="13" t="str">
        <f>HYPERLINK(AC2 &amp; "/calculator/sn_af8722ca4feb08c620e7b873d154db78/rendering/13.xyz", "0.0")</f>
        <v>0.0</v>
      </c>
      <c r="Q826" s="13" t="str">
        <f>HYPERLINK(AC2 &amp; "/calculator/sn_af8722ca4feb08c620e7b873d154db78/rendering/14.xyz", "0.0")</f>
        <v>0.0</v>
      </c>
      <c r="R826" s="13" t="str">
        <f>HYPERLINK(AC2 &amp; "/calculator/sn_af8722ca4feb08c620e7b873d154db78/rendering/15.xyz", "0.0")</f>
        <v>0.0</v>
      </c>
      <c r="S826" s="13" t="str">
        <f>HYPERLINK(AC2 &amp; "/calculator/sn_af8722ca4feb08c620e7b873d154db78/rendering/16.xyz", "0.0")</f>
        <v>0.0</v>
      </c>
      <c r="T826" s="13" t="str">
        <f>HYPERLINK(AC2 &amp; "/calculator/sn_af8722ca4feb08c620e7b873d154db78/rendering/17.xyz", "0.0")</f>
        <v>0.0</v>
      </c>
      <c r="U826" s="13" t="str">
        <f>HYPERLINK(AC2 &amp; "/calculator/sn_af8722ca4feb08c620e7b873d154db78/rendering/18.xyz", "0.0")</f>
        <v>0.0</v>
      </c>
      <c r="V826" s="13" t="str">
        <f>HYPERLINK(AC2 &amp; "/calculator/sn_af8722ca4feb08c620e7b873d154db78/rendering/19.xyz", "0.0")</f>
        <v>0.0</v>
      </c>
      <c r="W826" s="12" t="s">
        <v>33</v>
      </c>
      <c r="X826" s="13">
        <v>0</v>
      </c>
      <c r="Y826" s="13">
        <v>0</v>
      </c>
      <c r="Z826" s="13">
        <v>0</v>
      </c>
    </row>
    <row r="827" spans="1:26" x14ac:dyDescent="0.2">
      <c r="A827" s="1">
        <v>825</v>
      </c>
      <c r="B827" s="2" t="s">
        <v>198</v>
      </c>
      <c r="C827" s="170" t="str">
        <f>HYPERLINK(AA2 &amp; "/calculator/sn_b2d77488d12d1c18567a822a0c9bc051/rendering/00.obj", "2.11080047607")</f>
        <v>2.11080047607</v>
      </c>
      <c r="D827" s="77" t="str">
        <f>HYPERLINK(AA2 &amp; "/calculator/sn_b2d77488d12d1c18567a822a0c9bc051/rendering/01.obj", "2.28930908203")</f>
        <v>2.28930908203</v>
      </c>
      <c r="E827" s="77" t="str">
        <f>HYPERLINK(AA2 &amp; "/calculator/sn_b2d77488d12d1c18567a822a0c9bc051/rendering/02.obj", "2.29628234863")</f>
        <v>2.29628234863</v>
      </c>
      <c r="F827" s="50" t="str">
        <f>HYPERLINK(AA2 &amp; "/calculator/sn_b2d77488d12d1c18567a822a0c9bc051/rendering/03.obj", "2.25856048584")</f>
        <v>2.25856048584</v>
      </c>
      <c r="G827" s="29" t="str">
        <f>HYPERLINK(AA2 &amp; "/calculator/sn_b2d77488d12d1c18567a822a0c9bc051/rendering/04.obj", "2.45001831055")</f>
        <v>2.45001831055</v>
      </c>
      <c r="H827" s="92" t="str">
        <f>HYPERLINK(AA2 &amp; "/calculator/sn_b2d77488d12d1c18567a822a0c9bc051/rendering/05.obj", "2.47117950439")</f>
        <v>2.47117950439</v>
      </c>
      <c r="I827" s="87" t="str">
        <f>HYPERLINK(AA2 &amp; "/calculator/sn_b2d77488d12d1c18567a822a0c9bc051/rendering/06.obj", "2.1742980957")</f>
        <v>2.1742980957</v>
      </c>
      <c r="J827" s="134" t="str">
        <f>HYPERLINK(AA2 &amp; "/calculator/sn_b2d77488d12d1c18567a822a0c9bc051/rendering/07.obj", "2.31398330688")</f>
        <v>2.31398330688</v>
      </c>
      <c r="K827" s="8" t="str">
        <f>HYPERLINK(AA2 &amp; "/calculator/sn_b2d77488d12d1c18567a822a0c9bc051/rendering/08.obj", "2.42047973633")</f>
        <v>2.42047973633</v>
      </c>
      <c r="L827" s="185" t="str">
        <f>HYPERLINK(AA2 &amp; "/calculator/sn_b2d77488d12d1c18567a822a0c9bc051/rendering/09.obj", "1.85609588623")</f>
        <v>1.85609588623</v>
      </c>
      <c r="M827" s="4" t="str">
        <f>HYPERLINK(AA2 &amp; "/calculator/sn_b2d77488d12d1c18567a822a0c9bc051/rendering/10.obj", "2.0219342041")</f>
        <v>2.0219342041</v>
      </c>
      <c r="N827" s="133" t="str">
        <f>HYPERLINK(AA2 &amp; "/calculator/sn_b2d77488d12d1c18567a822a0c9bc051/rendering/11.obj", "2.53490463257")</f>
        <v>2.53490463257</v>
      </c>
      <c r="O827" s="20" t="str">
        <f>HYPERLINK(AA2 &amp; "/calculator/sn_b2d77488d12d1c18567a822a0c9bc051/rendering/12.obj", "6.37657714844")</f>
        <v>6.37657714844</v>
      </c>
      <c r="P827" s="39" t="str">
        <f>HYPERLINK(AA2 &amp; "/calculator/sn_b2d77488d12d1c18567a822a0c9bc051/rendering/13.obj", "2.57335418701")</f>
        <v>2.57335418701</v>
      </c>
      <c r="Q827" s="86" t="str">
        <f>HYPERLINK(AA2 &amp; "/calculator/sn_b2d77488d12d1c18567a822a0c9bc051/rendering/14.obj", "2.06436218262")</f>
        <v>2.06436218262</v>
      </c>
      <c r="R827" s="61" t="str">
        <f>HYPERLINK(AA2 &amp; "/calculator/sn_b2d77488d12d1c18567a822a0c9bc051/rendering/15.obj", "3.66963134766")</f>
        <v>3.66963134766</v>
      </c>
      <c r="S827" s="117" t="str">
        <f>HYPERLINK(AA2 &amp; "/calculator/sn_b2d77488d12d1c18567a822a0c9bc051/rendering/16.obj", "3.3183605957")</f>
        <v>3.3183605957</v>
      </c>
      <c r="T827" s="148" t="str">
        <f>HYPERLINK(AA2 &amp; "/calculator/sn_b2d77488d12d1c18567a822a0c9bc051/rendering/17.obj", "4.18752197266")</f>
        <v>4.18752197266</v>
      </c>
      <c r="U827" s="128" t="str">
        <f>HYPERLINK(AA2 &amp; "/calculator/sn_b2d77488d12d1c18567a822a0c9bc051/rendering/18.obj", "3.9225088501")</f>
        <v>3.9225088501</v>
      </c>
      <c r="V827" s="39" t="str">
        <f>HYPERLINK(AA2 &amp; "/calculator/sn_b2d77488d12d1c18567a822a0c9bc051/rendering/19.obj", "3.06312072754")</f>
        <v>3.06312072754</v>
      </c>
      <c r="W827" s="12" t="s">
        <v>29</v>
      </c>
      <c r="X827" s="13">
        <v>2.8186641540527351</v>
      </c>
      <c r="Y827" s="13">
        <v>1.0370286355209291</v>
      </c>
      <c r="Z827" s="123">
        <v>0.36791493375678253</v>
      </c>
    </row>
    <row r="828" spans="1:26" x14ac:dyDescent="0.2">
      <c r="A828" s="1">
        <v>826</v>
      </c>
      <c r="B828" s="2" t="s">
        <v>198</v>
      </c>
      <c r="C828" s="120" t="str">
        <f>HYPERLINK(AA2 &amp; "/calculator/sn_b2d77488d12d1c18567a822a0c9bc051/rendering/00.obj", "1.99234330654")</f>
        <v>1.99234330654</v>
      </c>
      <c r="D828" s="67" t="str">
        <f>HYPERLINK(AA2 &amp; "/calculator/sn_b2d77488d12d1c18567a822a0c9bc051/rendering/01.obj", "2.29296755791")</f>
        <v>2.29296755791</v>
      </c>
      <c r="E828" s="11" t="str">
        <f>HYPERLINK(AA2 &amp; "/calculator/sn_b2d77488d12d1c18567a822a0c9bc051/rendering/02.obj", "1.9635695219")</f>
        <v>1.9635695219</v>
      </c>
      <c r="F828" s="70" t="str">
        <f>HYPERLINK(AA2 &amp; "/calculator/sn_b2d77488d12d1c18567a822a0c9bc051/rendering/03.obj", "2.21086263657")</f>
        <v>2.21086263657</v>
      </c>
      <c r="G828" s="35" t="str">
        <f>HYPERLINK(AA2 &amp; "/calculator/sn_b2d77488d12d1c18567a822a0c9bc051/rendering/04.obj", "2.38200283051")</f>
        <v>2.38200283051</v>
      </c>
      <c r="H828" s="51" t="str">
        <f>HYPERLINK(AA2 &amp; "/calculator/sn_b2d77488d12d1c18567a822a0c9bc051/rendering/05.obj", "2.32501292229")</f>
        <v>2.32501292229</v>
      </c>
      <c r="I828" s="90" t="str">
        <f>HYPERLINK(AA2 &amp; "/calculator/sn_b2d77488d12d1c18567a822a0c9bc051/rendering/06.obj", "2.28677105904")</f>
        <v>2.28677105904</v>
      </c>
      <c r="J828" s="107" t="str">
        <f>HYPERLINK(AA2 &amp; "/calculator/sn_b2d77488d12d1c18567a822a0c9bc051/rendering/07.obj", "2.31660842896")</f>
        <v>2.31660842896</v>
      </c>
      <c r="K828" s="93" t="str">
        <f>HYPERLINK(AA2 &amp; "/calculator/sn_b2d77488d12d1c18567a822a0c9bc051/rendering/08.obj", "2.17499113083")</f>
        <v>2.17499113083</v>
      </c>
      <c r="L828" s="136" t="str">
        <f>HYPERLINK(AA2 &amp; "/calculator/sn_b2d77488d12d1c18567a822a0c9bc051/rendering/09.obj", "1.93278336525")</f>
        <v>1.93278336525</v>
      </c>
      <c r="M828" s="92" t="str">
        <f>HYPERLINK(AA2 &amp; "/calculator/sn_b2d77488d12d1c18567a822a0c9bc051/rendering/10.obj", "2.21307277679")</f>
        <v>2.21307277679</v>
      </c>
      <c r="N828" s="10" t="str">
        <f>HYPERLINK(AA2 &amp; "/calculator/sn_b2d77488d12d1c18567a822a0c9bc051/rendering/11.obj", "2.38763403893")</f>
        <v>2.38763403893</v>
      </c>
      <c r="O828" s="20" t="str">
        <f>HYPERLINK(AA2 &amp; "/calculator/sn_b2d77488d12d1c18567a822a0c9bc051/rendering/12.obj", "5.23910140991")</f>
        <v>5.23910140991</v>
      </c>
      <c r="P828" s="23" t="str">
        <f>HYPERLINK(AA2 &amp; "/calculator/sn_b2d77488d12d1c18567a822a0c9bc051/rendering/13.obj", "2.42966461182")</f>
        <v>2.42966461182</v>
      </c>
      <c r="Q828" s="11" t="str">
        <f>HYPERLINK(AA2 &amp; "/calculator/sn_b2d77488d12d1c18567a822a0c9bc051/rendering/14.obj", "1.96467888355")</f>
        <v>1.96467888355</v>
      </c>
      <c r="R828" s="44" t="str">
        <f>HYPERLINK(AA2 &amp; "/calculator/sn_b2d77488d12d1c18567a822a0c9bc051/rendering/15.obj", "3.02680015564")</f>
        <v>3.02680015564</v>
      </c>
      <c r="S828" s="175" t="str">
        <f>HYPERLINK(AA2 &amp; "/calculator/sn_b2d77488d12d1c18567a822a0c9bc051/rendering/16.obj", "3.12247753143")</f>
        <v>3.12247753143</v>
      </c>
      <c r="T828" s="64" t="str">
        <f>HYPERLINK(AA2 &amp; "/calculator/sn_b2d77488d12d1c18567a822a0c9bc051/rendering/17.obj", "2.94930434227")</f>
        <v>2.94930434227</v>
      </c>
      <c r="U828" s="94" t="str">
        <f>HYPERLINK(AA2 &amp; "/calculator/sn_b2d77488d12d1c18567a822a0c9bc051/rendering/18.obj", "2.71518039703")</f>
        <v>2.71518039703</v>
      </c>
      <c r="V828" s="34" t="str">
        <f>HYPERLINK(AA2 &amp; "/calculator/sn_b2d77488d12d1c18567a822a0c9bc051/rendering/19.obj", "2.65531086922")</f>
        <v>2.65531086922</v>
      </c>
      <c r="W828" s="12" t="s">
        <v>30</v>
      </c>
      <c r="X828" s="13">
        <v>2.529056888818741</v>
      </c>
      <c r="Y828" s="13">
        <v>0.70825485821376033</v>
      </c>
      <c r="Z828" s="95">
        <v>0.28004702517568453</v>
      </c>
    </row>
    <row r="829" spans="1:26" x14ac:dyDescent="0.2">
      <c r="A829" s="1">
        <v>827</v>
      </c>
      <c r="B829" s="2" t="s">
        <v>198</v>
      </c>
      <c r="C829" s="94" t="str">
        <f>HYPERLINK(AB2 &amp; "/calculator/sn_b2d77488d12d1c18567a822a0c9bc051/rendering/00.obj", "2.06606628418")</f>
        <v>2.06606628418</v>
      </c>
      <c r="D829" s="94" t="str">
        <f>HYPERLINK(AB2 &amp; "/calculator/sn_b2d77488d12d1c18567a822a0c9bc051/rendering/01.obj", "2.05981842041")</f>
        <v>2.05981842041</v>
      </c>
      <c r="E829" s="35" t="str">
        <f>HYPERLINK(AB2 &amp; "/calculator/sn_b2d77488d12d1c18567a822a0c9bc051/rendering/02.obj", "2.0986630249")</f>
        <v>2.0986630249</v>
      </c>
      <c r="F829" s="69" t="str">
        <f>HYPERLINK(AB2 &amp; "/calculator/sn_b2d77488d12d1c18567a822a0c9bc051/rendering/03.obj", "2.29193023682")</f>
        <v>2.29193023682</v>
      </c>
      <c r="G829" s="37" t="str">
        <f>HYPERLINK(AB2 &amp; "/calculator/sn_b2d77488d12d1c18567a822a0c9bc051/rendering/04.obj", "2.61269470215")</f>
        <v>2.61269470215</v>
      </c>
      <c r="H829" s="46" t="str">
        <f>HYPERLINK(AB2 &amp; "/calculator/sn_b2d77488d12d1c18567a822a0c9bc051/rendering/05.obj", "2.26698654175")</f>
        <v>2.26698654175</v>
      </c>
      <c r="I829" s="69" t="str">
        <f>HYPERLINK(AB2 &amp; "/calculator/sn_b2d77488d12d1c18567a822a0c9bc051/rendering/06.obj", "2.29422607422")</f>
        <v>2.29422607422</v>
      </c>
      <c r="J829" s="76" t="str">
        <f>HYPERLINK(AB2 &amp; "/calculator/sn_b2d77488d12d1c18567a822a0c9bc051/rendering/07.obj", "1.81866394043")</f>
        <v>1.81866394043</v>
      </c>
      <c r="K829" s="31" t="str">
        <f>HYPERLINK(AB2 &amp; "/calculator/sn_b2d77488d12d1c18567a822a0c9bc051/rendering/08.obj", "1.88128311157")</f>
        <v>1.88128311157</v>
      </c>
      <c r="L829" s="51" t="str">
        <f>HYPERLINK(AB2 &amp; "/calculator/sn_b2d77488d12d1c18567a822a0c9bc051/rendering/09.obj", "2.05086120605")</f>
        <v>2.05086120605</v>
      </c>
      <c r="M829" s="46" t="str">
        <f>HYPERLINK(AB2 &amp; "/calculator/sn_b2d77488d12d1c18567a822a0c9bc051/rendering/10.obj", "2.18607284546")</f>
        <v>2.18607284546</v>
      </c>
      <c r="N829" s="29" t="str">
        <f>HYPERLINK(AB2 &amp; "/calculator/sn_b2d77488d12d1c18567a822a0c9bc051/rendering/11.obj", "1.93583770752")</f>
        <v>1.93583770752</v>
      </c>
      <c r="O829" s="92" t="str">
        <f>HYPERLINK(AB2 &amp; "/calculator/sn_b2d77488d12d1c18567a822a0c9bc051/rendering/12.obj", "2.5006463623")</f>
        <v>2.5006463623</v>
      </c>
      <c r="P829" s="26" t="str">
        <f>HYPERLINK(AB2 &amp; "/calculator/sn_b2d77488d12d1c18567a822a0c9bc051/rendering/13.obj", "2.08231948853")</f>
        <v>2.08231948853</v>
      </c>
      <c r="Q829" s="35" t="str">
        <f>HYPERLINK(AB2 &amp; "/calculator/sn_b2d77488d12d1c18567a822a0c9bc051/rendering/14.obj", "2.09479003906")</f>
        <v>2.09479003906</v>
      </c>
      <c r="R829" s="68" t="str">
        <f>HYPERLINK(AB2 &amp; "/calculator/sn_b2d77488d12d1c18567a822a0c9bc051/rendering/15.obj", "2.3249937439")</f>
        <v>2.3249937439</v>
      </c>
      <c r="S829" s="28" t="str">
        <f>HYPERLINK(AB2 &amp; "/calculator/sn_b2d77488d12d1c18567a822a0c9bc051/rendering/16.obj", "1.98248565674")</f>
        <v>1.98248565674</v>
      </c>
      <c r="T829" s="33" t="str">
        <f>HYPERLINK(AB2 &amp; "/calculator/sn_b2d77488d12d1c18567a822a0c9bc051/rendering/17.obj", "1.98302963257")</f>
        <v>1.98302963257</v>
      </c>
      <c r="U829" s="150" t="str">
        <f>HYPERLINK(AB2 &amp; "/calculator/sn_b2d77488d12d1c18567a822a0c9bc051/rendering/18.obj", "3.42662536621")</f>
        <v>3.42662536621</v>
      </c>
      <c r="V829" s="66" t="str">
        <f>HYPERLINK(AB2 &amp; "/calculator/sn_b2d77488d12d1c18567a822a0c9bc051/rendering/19.obj", "2.58856506348")</f>
        <v>2.58856506348</v>
      </c>
      <c r="W829" s="12" t="s">
        <v>31</v>
      </c>
      <c r="X829" s="13">
        <v>2.2273279724121098</v>
      </c>
      <c r="Y829" s="13">
        <v>0.34965570328572693</v>
      </c>
      <c r="Z829" s="79">
        <v>0.1569843811134215</v>
      </c>
    </row>
    <row r="830" spans="1:26" x14ac:dyDescent="0.2">
      <c r="A830" s="1">
        <v>828</v>
      </c>
      <c r="B830" s="2" t="s">
        <v>198</v>
      </c>
      <c r="C830" s="91" t="str">
        <f>HYPERLINK(AB2 &amp; "/calculator/sn_b2d77488d12d1c18567a822a0c9bc051/rendering/00.obj", "2.10523152351")</f>
        <v>2.10523152351</v>
      </c>
      <c r="D830" s="23" t="str">
        <f>HYPERLINK(AB2 &amp; "/calculator/sn_b2d77488d12d1c18567a822a0c9bc051/rendering/01.obj", "1.96708929539")</f>
        <v>1.96708929539</v>
      </c>
      <c r="E830" s="60" t="str">
        <f>HYPERLINK(AB2 &amp; "/calculator/sn_b2d77488d12d1c18567a822a0c9bc051/rendering/02.obj", "1.94052386284")</f>
        <v>1.94052386284</v>
      </c>
      <c r="F830" s="65" t="str">
        <f>HYPERLINK(AB2 &amp; "/calculator/sn_b2d77488d12d1c18567a822a0c9bc051/rendering/03.obj", "2.32594633102")</f>
        <v>2.32594633102</v>
      </c>
      <c r="G830" s="91" t="str">
        <f>HYPERLINK(AB2 &amp; "/calculator/sn_b2d77488d12d1c18567a822a0c9bc051/rendering/04.obj", "1.99348926544")</f>
        <v>1.99348926544</v>
      </c>
      <c r="H830" s="27" t="str">
        <f>HYPERLINK(AB2 &amp; "/calculator/sn_b2d77488d12d1c18567a822a0c9bc051/rendering/05.obj", "1.90722858906")</f>
        <v>1.90722858906</v>
      </c>
      <c r="I830" s="74" t="str">
        <f>HYPERLINK(AB2 &amp; "/calculator/sn_b2d77488d12d1c18567a822a0c9bc051/rendering/06.obj", "2.02348446846")</f>
        <v>2.02348446846</v>
      </c>
      <c r="J830" s="34" t="str">
        <f>HYPERLINK(AB2 &amp; "/calculator/sn_b2d77488d12d1c18567a822a0c9bc051/rendering/07.obj", "1.94690930843")</f>
        <v>1.94690930843</v>
      </c>
      <c r="K830" s="107" t="str">
        <f>HYPERLINK(AB2 &amp; "/calculator/sn_b2d77488d12d1c18567a822a0c9bc051/rendering/08.obj", "1.87762880325")</f>
        <v>1.87762880325</v>
      </c>
      <c r="L830" s="72" t="str">
        <f>HYPERLINK(AB2 &amp; "/calculator/sn_b2d77488d12d1c18567a822a0c9bc051/rendering/09.obj", "2.11502504349")</f>
        <v>2.11502504349</v>
      </c>
      <c r="M830" s="48" t="str">
        <f>HYPERLINK(AB2 &amp; "/calculator/sn_b2d77488d12d1c18567a822a0c9bc051/rendering/10.obj", "2.00275921822")</f>
        <v>2.00275921822</v>
      </c>
      <c r="N830" s="69" t="str">
        <f>HYPERLINK(AB2 &amp; "/calculator/sn_b2d77488d12d1c18567a822a0c9bc051/rendering/11.obj", "1.98758745193")</f>
        <v>1.98758745193</v>
      </c>
      <c r="O830" s="68" t="str">
        <f>HYPERLINK(AB2 &amp; "/calculator/sn_b2d77488d12d1c18567a822a0c9bc051/rendering/12.obj", "2.13590478897")</f>
        <v>2.13590478897</v>
      </c>
      <c r="P830" s="35" t="str">
        <f>HYPERLINK(AB2 &amp; "/calculator/sn_b2d77488d12d1c18567a822a0c9bc051/rendering/13.obj", "1.92822551727")</f>
        <v>1.92822551727</v>
      </c>
      <c r="Q830" s="73" t="str">
        <f>HYPERLINK(AB2 &amp; "/calculator/sn_b2d77488d12d1c18567a822a0c9bc051/rendering/14.obj", "2.12553977966")</f>
        <v>2.12553977966</v>
      </c>
      <c r="R830" s="6" t="str">
        <f>HYPERLINK(AB2 &amp; "/calculator/sn_b2d77488d12d1c18567a822a0c9bc051/rendering/15.obj", "1.95557594299")</f>
        <v>1.95557594299</v>
      </c>
      <c r="S830" s="68" t="str">
        <f>HYPERLINK(AB2 &amp; "/calculator/sn_b2d77488d12d1c18567a822a0c9bc051/rendering/16.obj", "1.96211469173")</f>
        <v>1.96211469173</v>
      </c>
      <c r="T830" s="26" t="str">
        <f>HYPERLINK(AB2 &amp; "/calculator/sn_b2d77488d12d1c18567a822a0c9bc051/rendering/17.obj", "1.91872489452")</f>
        <v>1.91872489452</v>
      </c>
      <c r="U830" s="123" t="str">
        <f>HYPERLINK(AB2 &amp; "/calculator/sn_b2d77488d12d1c18567a822a0c9bc051/rendering/18.obj", "2.80199432373")</f>
        <v>2.80199432373</v>
      </c>
      <c r="V830" s="23" t="str">
        <f>HYPERLINK(AB2 &amp; "/calculator/sn_b2d77488d12d1c18567a822a0c9bc051/rendering/19.obj", "1.97112512589")</f>
        <v>1.97112512589</v>
      </c>
      <c r="W830" s="12" t="s">
        <v>32</v>
      </c>
      <c r="X830" s="13">
        <v>2.0496054112911231</v>
      </c>
      <c r="Y830" s="13">
        <v>0.2008149033799268</v>
      </c>
      <c r="Z830" s="110">
        <v>9.7977348358690208E-2</v>
      </c>
    </row>
    <row r="831" spans="1:26" x14ac:dyDescent="0.2">
      <c r="A831" s="1">
        <v>829</v>
      </c>
      <c r="B831" s="2" t="s">
        <v>198</v>
      </c>
      <c r="C831" s="13" t="str">
        <f>HYPERLINK(AC2 &amp; "/calculator/sn_b2d77488d12d1c18567a822a0c9bc051/rendering/00.xyz", "0.0")</f>
        <v>0.0</v>
      </c>
      <c r="D831" s="13" t="str">
        <f>HYPERLINK(AC2 &amp; "/calculator/sn_b2d77488d12d1c18567a822a0c9bc051/rendering/01.xyz", "0.0")</f>
        <v>0.0</v>
      </c>
      <c r="E831" s="13" t="str">
        <f>HYPERLINK(AC2 &amp; "/calculator/sn_b2d77488d12d1c18567a822a0c9bc051/rendering/02.xyz", "0.0")</f>
        <v>0.0</v>
      </c>
      <c r="F831" s="13" t="str">
        <f>HYPERLINK(AC2 &amp; "/calculator/sn_b2d77488d12d1c18567a822a0c9bc051/rendering/03.xyz", "0.0")</f>
        <v>0.0</v>
      </c>
      <c r="G831" s="13" t="str">
        <f>HYPERLINK(AC2 &amp; "/calculator/sn_b2d77488d12d1c18567a822a0c9bc051/rendering/04.xyz", "0.0")</f>
        <v>0.0</v>
      </c>
      <c r="H831" s="13" t="str">
        <f>HYPERLINK(AC2 &amp; "/calculator/sn_b2d77488d12d1c18567a822a0c9bc051/rendering/05.xyz", "0.0")</f>
        <v>0.0</v>
      </c>
      <c r="I831" s="13" t="str">
        <f>HYPERLINK(AC2 &amp; "/calculator/sn_b2d77488d12d1c18567a822a0c9bc051/rendering/06.xyz", "0.0")</f>
        <v>0.0</v>
      </c>
      <c r="J831" s="13" t="str">
        <f>HYPERLINK(AC2 &amp; "/calculator/sn_b2d77488d12d1c18567a822a0c9bc051/rendering/07.xyz", "0.0")</f>
        <v>0.0</v>
      </c>
      <c r="K831" s="13" t="str">
        <f>HYPERLINK(AC2 &amp; "/calculator/sn_b2d77488d12d1c18567a822a0c9bc051/rendering/08.xyz", "0.0")</f>
        <v>0.0</v>
      </c>
      <c r="L831" s="13" t="str">
        <f>HYPERLINK(AC2 &amp; "/calculator/sn_b2d77488d12d1c18567a822a0c9bc051/rendering/09.xyz", "0.0")</f>
        <v>0.0</v>
      </c>
      <c r="M831" s="13" t="str">
        <f>HYPERLINK(AC2 &amp; "/calculator/sn_b2d77488d12d1c18567a822a0c9bc051/rendering/10.xyz", "0.0")</f>
        <v>0.0</v>
      </c>
      <c r="N831" s="13" t="str">
        <f>HYPERLINK(AC2 &amp; "/calculator/sn_b2d77488d12d1c18567a822a0c9bc051/rendering/11.xyz", "0.0")</f>
        <v>0.0</v>
      </c>
      <c r="O831" s="13" t="str">
        <f>HYPERLINK(AC2 &amp; "/calculator/sn_b2d77488d12d1c18567a822a0c9bc051/rendering/12.xyz", "0.0")</f>
        <v>0.0</v>
      </c>
      <c r="P831" s="13" t="str">
        <f>HYPERLINK(AC2 &amp; "/calculator/sn_b2d77488d12d1c18567a822a0c9bc051/rendering/13.xyz", "0.0")</f>
        <v>0.0</v>
      </c>
      <c r="Q831" s="13" t="str">
        <f>HYPERLINK(AC2 &amp; "/calculator/sn_b2d77488d12d1c18567a822a0c9bc051/rendering/14.xyz", "0.0")</f>
        <v>0.0</v>
      </c>
      <c r="R831" s="13" t="str">
        <f>HYPERLINK(AC2 &amp; "/calculator/sn_b2d77488d12d1c18567a822a0c9bc051/rendering/15.xyz", "0.0")</f>
        <v>0.0</v>
      </c>
      <c r="S831" s="13" t="str">
        <f>HYPERLINK(AC2 &amp; "/calculator/sn_b2d77488d12d1c18567a822a0c9bc051/rendering/16.xyz", "0.0")</f>
        <v>0.0</v>
      </c>
      <c r="T831" s="13" t="str">
        <f>HYPERLINK(AC2 &amp; "/calculator/sn_b2d77488d12d1c18567a822a0c9bc051/rendering/17.xyz", "0.0")</f>
        <v>0.0</v>
      </c>
      <c r="U831" s="13" t="str">
        <f>HYPERLINK(AC2 &amp; "/calculator/sn_b2d77488d12d1c18567a822a0c9bc051/rendering/18.xyz", "0.0")</f>
        <v>0.0</v>
      </c>
      <c r="V831" s="13" t="str">
        <f>HYPERLINK(AC2 &amp; "/calculator/sn_b2d77488d12d1c18567a822a0c9bc051/rendering/19.xyz", "0.0")</f>
        <v>0.0</v>
      </c>
      <c r="W831" s="12" t="s">
        <v>33</v>
      </c>
      <c r="X831" s="13">
        <v>0</v>
      </c>
      <c r="Y831" s="13">
        <v>0</v>
      </c>
      <c r="Z831" s="13">
        <v>0</v>
      </c>
    </row>
    <row r="832" spans="1:26" x14ac:dyDescent="0.2">
      <c r="A832" s="1">
        <v>830</v>
      </c>
      <c r="B832" s="2" t="s">
        <v>199</v>
      </c>
      <c r="C832" s="189" t="str">
        <f>HYPERLINK(AA2 &amp; "/calculator/sn_ba219dd3217d2dbe220d253bd32d8264/rendering/00.obj", "8.77969970703")</f>
        <v>8.77969970703</v>
      </c>
      <c r="D832" s="129" t="str">
        <f>HYPERLINK(AA2 &amp; "/calculator/sn_ba219dd3217d2dbe220d253bd32d8264/rendering/01.obj", "4.04861541748")</f>
        <v>4.04861541748</v>
      </c>
      <c r="E832" s="128" t="str">
        <f>HYPERLINK(AA2 &amp; "/calculator/sn_ba219dd3217d2dbe220d253bd32d8264/rendering/02.obj", "3.29653747559")</f>
        <v>3.29653747559</v>
      </c>
      <c r="F832" s="48" t="str">
        <f>HYPERLINK(AA2 &amp; "/calculator/sn_ba219dd3217d2dbe220d253bd32d8264/rendering/03.obj", "5.27721984863")</f>
        <v>5.27721984863</v>
      </c>
      <c r="G832" s="14" t="str">
        <f>HYPERLINK(AA2 &amp; "/calculator/sn_ba219dd3217d2dbe220d253bd32d8264/rendering/04.obj", "6.96828491211")</f>
        <v>6.96828491211</v>
      </c>
      <c r="H832" s="79" t="str">
        <f>HYPERLINK(AA2 &amp; "/calculator/sn_ba219dd3217d2dbe220d253bd32d8264/rendering/05.obj", "4.55402282715")</f>
        <v>4.55402282715</v>
      </c>
      <c r="I832" s="79" t="str">
        <f>HYPERLINK(AA2 &amp; "/calculator/sn_ba219dd3217d2dbe220d253bd32d8264/rendering/06.obj", "4.55365844727")</f>
        <v>4.55365844727</v>
      </c>
      <c r="J832" s="59" t="str">
        <f>HYPERLINK(AA2 &amp; "/calculator/sn_ba219dd3217d2dbe220d253bd32d8264/rendering/07.obj", "4.10876953125")</f>
        <v>4.10876953125</v>
      </c>
      <c r="K832" s="124" t="str">
        <f>HYPERLINK(AA2 &amp; "/calculator/sn_ba219dd3217d2dbe220d253bd32d8264/rendering/08.obj", "3.33880767822")</f>
        <v>3.33880767822</v>
      </c>
      <c r="L832" s="48" t="str">
        <f>HYPERLINK(AA2 &amp; "/calculator/sn_ba219dd3217d2dbe220d253bd32d8264/rendering/09.obj", "5.26786499023")</f>
        <v>5.26786499023</v>
      </c>
      <c r="M832" s="100" t="str">
        <f>HYPERLINK(AA2 &amp; "/calculator/sn_ba219dd3217d2dbe220d253bd32d8264/rendering/10.obj", "3.77814575195")</f>
        <v>3.77814575195</v>
      </c>
      <c r="N832" s="135" t="str">
        <f>HYPERLINK(AA2 &amp; "/calculator/sn_ba219dd3217d2dbe220d253bd32d8264/rendering/11.obj", "4.01336975098")</f>
        <v>4.01336975098</v>
      </c>
      <c r="O832" s="51" t="str">
        <f>HYPERLINK(AA2 &amp; "/calculator/sn_ba219dd3217d2dbe220d253bd32d8264/rendering/12.obj", "5.83296081543")</f>
        <v>5.83296081543</v>
      </c>
      <c r="P832" s="38" t="str">
        <f>HYPERLINK(AA2 &amp; "/calculator/sn_ba219dd3217d2dbe220d253bd32d8264/rendering/13.obj", "4.91897155762")</f>
        <v>4.91897155762</v>
      </c>
      <c r="Q832" s="10" t="str">
        <f>HYPERLINK(AA2 &amp; "/calculator/sn_ba219dd3217d2dbe220d253bd32d8264/rendering/14.obj", "5.10859558105")</f>
        <v>5.10859558105</v>
      </c>
      <c r="R832" s="195" t="str">
        <f>HYPERLINK(AA2 &amp; "/calculator/sn_ba219dd3217d2dbe220d253bd32d8264/rendering/15.obj", "8.36366455078")</f>
        <v>8.36366455078</v>
      </c>
      <c r="S832" s="169" t="str">
        <f>HYPERLINK(AA2 &amp; "/calculator/sn_ba219dd3217d2dbe220d253bd32d8264/rendering/16.obj", "7.09656188965")</f>
        <v>7.09656188965</v>
      </c>
      <c r="T832" s="90" t="str">
        <f>HYPERLINK(AA2 &amp; "/calculator/sn_ba219dd3217d2dbe220d253bd32d8264/rendering/17.obj", "4.87884765625")</f>
        <v>4.87884765625</v>
      </c>
      <c r="U832" s="53" t="str">
        <f>HYPERLINK(AA2 &amp; "/calculator/sn_ba219dd3217d2dbe220d253bd32d8264/rendering/18.obj", "7.63741333008")</f>
        <v>7.63741333008</v>
      </c>
      <c r="V832" s="83" t="str">
        <f>HYPERLINK(AA2 &amp; "/calculator/sn_ba219dd3217d2dbe220d253bd32d8264/rendering/19.obj", "6.21922485352")</f>
        <v>6.21922485352</v>
      </c>
      <c r="W832" s="12" t="s">
        <v>29</v>
      </c>
      <c r="X832" s="13">
        <v>5.4020618286132827</v>
      </c>
      <c r="Y832" s="13">
        <v>1.5839852498917231</v>
      </c>
      <c r="Z832" s="118">
        <v>0.29321864505544443</v>
      </c>
    </row>
    <row r="833" spans="1:26" x14ac:dyDescent="0.2">
      <c r="A833" s="1">
        <v>831</v>
      </c>
      <c r="B833" s="2" t="s">
        <v>199</v>
      </c>
      <c r="C833" s="20" t="str">
        <f>HYPERLINK(AA2 &amp; "/calculator/sn_ba219dd3217d2dbe220d253bd32d8264/rendering/00.obj", "22.3555431366")</f>
        <v>22.3555431366</v>
      </c>
      <c r="D833" s="36" t="str">
        <f>HYPERLINK(AA2 &amp; "/calculator/sn_ba219dd3217d2dbe220d253bd32d8264/rendering/01.obj", "5.26307821274")</f>
        <v>5.26307821274</v>
      </c>
      <c r="E833" s="156" t="str">
        <f>HYPERLINK(AA2 &amp; "/calculator/sn_ba219dd3217d2dbe220d253bd32d8264/rendering/02.obj", "3.71212816238")</f>
        <v>3.71212816238</v>
      </c>
      <c r="F833" s="175" t="str">
        <f>HYPERLINK(AA2 &amp; "/calculator/sn_ba219dd3217d2dbe220d253bd32d8264/rendering/03.obj", "8.28481578827")</f>
        <v>8.28481578827</v>
      </c>
      <c r="G833" s="42" t="str">
        <f>HYPERLINK(AA2 &amp; "/calculator/sn_ba219dd3217d2dbe220d253bd32d8264/rendering/04.obj", "5.79010677338")</f>
        <v>5.79010677338</v>
      </c>
      <c r="H833" s="157" t="str">
        <f>HYPERLINK(AA2 &amp; "/calculator/sn_ba219dd3217d2dbe220d253bd32d8264/rendering/05.obj", "3.92937302589")</f>
        <v>3.92937302589</v>
      </c>
      <c r="I833" s="100" t="str">
        <f>HYPERLINK(AA2 &amp; "/calculator/sn_ba219dd3217d2dbe220d253bd32d8264/rendering/06.obj", "4.69883966446")</f>
        <v>4.69883966446</v>
      </c>
      <c r="J833" s="75" t="str">
        <f>HYPERLINK(AA2 &amp; "/calculator/sn_ba219dd3217d2dbe220d253bd32d8264/rendering/07.obj", "5.22929620743")</f>
        <v>5.22929620743</v>
      </c>
      <c r="K833" s="131" t="str">
        <f>HYPERLINK(AA2 &amp; "/calculator/sn_ba219dd3217d2dbe220d253bd32d8264/rendering/08.obj", "3.61318707466")</f>
        <v>3.61318707466</v>
      </c>
      <c r="L833" s="163" t="str">
        <f>HYPERLINK(AA2 &amp; "/calculator/sn_ba219dd3217d2dbe220d253bd32d8264/rendering/09.obj", "9.67253017426")</f>
        <v>9.67253017426</v>
      </c>
      <c r="M833" s="218" t="str">
        <f>HYPERLINK(AA2 &amp; "/calculator/sn_ba219dd3217d2dbe220d253bd32d8264/rendering/10.obj", "3.25523018837")</f>
        <v>3.25523018837</v>
      </c>
      <c r="N833" s="4" t="str">
        <f>HYPERLINK(AA2 &amp; "/calculator/sn_ba219dd3217d2dbe220d253bd32d8264/rendering/11.obj", "4.80133962631")</f>
        <v>4.80133962631</v>
      </c>
      <c r="O833" s="107" t="str">
        <f>HYPERLINK(AA2 &amp; "/calculator/sn_ba219dd3217d2dbe220d253bd32d8264/rendering/12.obj", "6.16069889069")</f>
        <v>6.16069889069</v>
      </c>
      <c r="P833" s="33" t="str">
        <f>HYPERLINK(AA2 &amp; "/calculator/sn_ba219dd3217d2dbe220d253bd32d8264/rendering/13.obj", "5.97723054886")</f>
        <v>5.97723054886</v>
      </c>
      <c r="Q833" s="48" t="str">
        <f>HYPERLINK(AA2 &amp; "/calculator/sn_ba219dd3217d2dbe220d253bd32d8264/rendering/14.obj", "6.85889148712")</f>
        <v>6.85889148712</v>
      </c>
      <c r="R833" s="30" t="str">
        <f>HYPERLINK(AA2 &amp; "/calculator/sn_ba219dd3217d2dbe220d253bd32d8264/rendering/15.obj", "6.74457788467")</f>
        <v>6.74457788467</v>
      </c>
      <c r="S833" s="17" t="str">
        <f>HYPERLINK(AA2 &amp; "/calculator/sn_ba219dd3217d2dbe220d253bd32d8264/rendering/16.obj", "6.83958148956")</f>
        <v>6.83958148956</v>
      </c>
      <c r="T833" s="108" t="str">
        <f>HYPERLINK(AA2 &amp; "/calculator/sn_ba219dd3217d2dbe220d253bd32d8264/rendering/17.obj", "5.0634522438")</f>
        <v>5.0634522438</v>
      </c>
      <c r="U833" s="227" t="str">
        <f>HYPERLINK(AA2 &amp; "/calculator/sn_ba219dd3217d2dbe220d253bd32d8264/rendering/18.obj", "10.1263380051")</f>
        <v>10.1263380051</v>
      </c>
      <c r="V833" s="65" t="str">
        <f>HYPERLINK(AA2 &amp; "/calculator/sn_ba219dd3217d2dbe220d253bd32d8264/rendering/19.obj", "5.81426715851")</f>
        <v>5.81426715851</v>
      </c>
      <c r="W833" s="12" t="s">
        <v>30</v>
      </c>
      <c r="X833" s="13">
        <v>6.7095252871513367</v>
      </c>
      <c r="Y833" s="13">
        <v>4.0197520625907046</v>
      </c>
      <c r="Z833" s="62">
        <v>0.5991112471531308</v>
      </c>
    </row>
    <row r="834" spans="1:26" x14ac:dyDescent="0.2">
      <c r="A834" s="1">
        <v>832</v>
      </c>
      <c r="B834" s="2" t="s">
        <v>199</v>
      </c>
      <c r="C834" s="69" t="str">
        <f>HYPERLINK(AB2 &amp; "/calculator/sn_ba219dd3217d2dbe220d253bd32d8264/rendering/00.obj", "4.71617889404")</f>
        <v>4.71617889404</v>
      </c>
      <c r="D834" s="130" t="str">
        <f>HYPERLINK(AB2 &amp; "/calculator/sn_ba219dd3217d2dbe220d253bd32d8264/rendering/01.obj", "7.06154968262")</f>
        <v>7.06154968262</v>
      </c>
      <c r="E834" s="133" t="str">
        <f>HYPERLINK(AB2 &amp; "/calculator/sn_ba219dd3217d2dbe220d253bd32d8264/rendering/02.obj", "5.36270507812")</f>
        <v>5.36270507812</v>
      </c>
      <c r="F834" s="175" t="str">
        <f>HYPERLINK(AB2 &amp; "/calculator/sn_ba219dd3217d2dbe220d253bd32d8264/rendering/03.obj", "6.00203857422")</f>
        <v>6.00203857422</v>
      </c>
      <c r="G834" s="68" t="str">
        <f>HYPERLINK(AB2 &amp; "/calculator/sn_ba219dd3217d2dbe220d253bd32d8264/rendering/04.obj", "5.06651306152")</f>
        <v>5.06651306152</v>
      </c>
      <c r="H834" s="17" t="str">
        <f>HYPERLINK(AB2 &amp; "/calculator/sn_ba219dd3217d2dbe220d253bd32d8264/rendering/05.obj", "4.96163269043")</f>
        <v>4.96163269043</v>
      </c>
      <c r="I834" s="28" t="str">
        <f>HYPERLINK(AB2 &amp; "/calculator/sn_ba219dd3217d2dbe220d253bd32d8264/rendering/06.obj", "4.32305084229")</f>
        <v>4.32305084229</v>
      </c>
      <c r="J834" s="30" t="str">
        <f>HYPERLINK(AB2 &amp; "/calculator/sn_ba219dd3217d2dbe220d253bd32d8264/rendering/07.obj", "4.8868359375")</f>
        <v>4.8868359375</v>
      </c>
      <c r="K834" s="60" t="str">
        <f>HYPERLINK(AB2 &amp; "/calculator/sn_ba219dd3217d2dbe220d253bd32d8264/rendering/08.obj", "5.11243286133")</f>
        <v>5.11243286133</v>
      </c>
      <c r="L834" s="33" t="str">
        <f>HYPERLINK(AB2 &amp; "/calculator/sn_ba219dd3217d2dbe220d253bd32d8264/rendering/09.obj", "4.3415814209")</f>
        <v>4.3415814209</v>
      </c>
      <c r="M834" s="73" t="str">
        <f>HYPERLINK(AB2 &amp; "/calculator/sn_ba219dd3217d2dbe220d253bd32d8264/rendering/10.obj", "4.69518188477")</f>
        <v>4.69518188477</v>
      </c>
      <c r="N834" s="82" t="str">
        <f>HYPERLINK(AB2 &amp; "/calculator/sn_ba219dd3217d2dbe220d253bd32d8264/rendering/11.obj", "3.86678405762")</f>
        <v>3.86678405762</v>
      </c>
      <c r="O834" s="76" t="str">
        <f>HYPERLINK(AB2 &amp; "/calculator/sn_ba219dd3217d2dbe220d253bd32d8264/rendering/12.obj", "3.97612945557")</f>
        <v>3.97612945557</v>
      </c>
      <c r="P834" s="84" t="str">
        <f>HYPERLINK(AB2 &amp; "/calculator/sn_ba219dd3217d2dbe220d253bd32d8264/rendering/13.obj", "5.57466064453")</f>
        <v>5.57466064453</v>
      </c>
      <c r="Q834" s="185" t="str">
        <f>HYPERLINK(AB2 &amp; "/calculator/sn_ba219dd3217d2dbe220d253bd32d8264/rendering/14.obj", "6.52467346191")</f>
        <v>6.52467346191</v>
      </c>
      <c r="R834" s="68" t="str">
        <f>HYPERLINK(AB2 &amp; "/calculator/sn_ba219dd3217d2dbe220d253bd32d8264/rendering/15.obj", "4.6659173584")</f>
        <v>4.6659173584</v>
      </c>
      <c r="S834" s="83" t="str">
        <f>HYPERLINK(AB2 &amp; "/calculator/sn_ba219dd3217d2dbe220d253bd32d8264/rendering/16.obj", "4.12770141602")</f>
        <v>4.12770141602</v>
      </c>
      <c r="T834" s="76" t="str">
        <f>HYPERLINK(AB2 &amp; "/calculator/sn_ba219dd3217d2dbe220d253bd32d8264/rendering/17.obj", "3.96744018555")</f>
        <v>3.96744018555</v>
      </c>
      <c r="U834" s="93" t="str">
        <f>HYPERLINK(AB2 &amp; "/calculator/sn_ba219dd3217d2dbe220d253bd32d8264/rendering/18.obj", "4.18700622559")</f>
        <v>4.18700622559</v>
      </c>
      <c r="V834" s="82" t="str">
        <f>HYPERLINK(AB2 &amp; "/calculator/sn_ba219dd3217d2dbe220d253bd32d8264/rendering/19.obj", "3.86754302979")</f>
        <v>3.86754302979</v>
      </c>
      <c r="W834" s="12" t="s">
        <v>31</v>
      </c>
      <c r="X834" s="13">
        <v>4.8643778381347653</v>
      </c>
      <c r="Y834" s="13">
        <v>0.86555790366497776</v>
      </c>
      <c r="Z834" s="117">
        <v>0.1779380493183223</v>
      </c>
    </row>
    <row r="835" spans="1:26" x14ac:dyDescent="0.2">
      <c r="A835" s="1">
        <v>833</v>
      </c>
      <c r="B835" s="2" t="s">
        <v>199</v>
      </c>
      <c r="C835" s="30" t="str">
        <f>HYPERLINK(AB2 &amp; "/calculator/sn_ba219dd3217d2dbe220d253bd32d8264/rendering/00.obj", "4.90781927109")</f>
        <v>4.90781927109</v>
      </c>
      <c r="D835" s="62" t="str">
        <f>HYPERLINK(AB2 &amp; "/calculator/sn_ba219dd3217d2dbe220d253bd32d8264/rendering/01.obj", "7.87258815765")</f>
        <v>7.87258815765</v>
      </c>
      <c r="E835" s="47" t="str">
        <f>HYPERLINK(AB2 &amp; "/calculator/sn_ba219dd3217d2dbe220d253bd32d8264/rendering/02.obj", "4.95964097977")</f>
        <v>4.95964097977</v>
      </c>
      <c r="F835" s="147" t="str">
        <f>HYPERLINK(AB2 &amp; "/calculator/sn_ba219dd3217d2dbe220d253bd32d8264/rendering/03.obj", "7.33082151413")</f>
        <v>7.33082151413</v>
      </c>
      <c r="G835" s="82" t="str">
        <f>HYPERLINK(AB2 &amp; "/calculator/sn_ba219dd3217d2dbe220d253bd32d8264/rendering/04.obj", "3.91213417053")</f>
        <v>3.91213417053</v>
      </c>
      <c r="H835" s="8" t="str">
        <f>HYPERLINK(AB2 &amp; "/calculator/sn_ba219dd3217d2dbe220d253bd32d8264/rendering/05.obj", "4.21956920624")</f>
        <v>4.21956920624</v>
      </c>
      <c r="I835" s="134" t="str">
        <f>HYPERLINK(AB2 &amp; "/calculator/sn_ba219dd3217d2dbe220d253bd32d8264/rendering/06.obj", "4.039955616")</f>
        <v>4.039955616</v>
      </c>
      <c r="J835" s="23" t="str">
        <f>HYPERLINK(AB2 &amp; "/calculator/sn_ba219dd3217d2dbe220d253bd32d8264/rendering/07.obj", "5.12765741348")</f>
        <v>5.12765741348</v>
      </c>
      <c r="K835" s="23" t="str">
        <f>HYPERLINK(AB2 &amp; "/calculator/sn_ba219dd3217d2dbe220d253bd32d8264/rendering/08.obj", "5.11601257324")</f>
        <v>5.11601257324</v>
      </c>
      <c r="L835" s="38" t="str">
        <f>HYPERLINK(AB2 &amp; "/calculator/sn_ba219dd3217d2dbe220d253bd32d8264/rendering/09.obj", "4.48213768005")</f>
        <v>4.48213768005</v>
      </c>
      <c r="M835" s="90" t="str">
        <f>HYPERLINK(AB2 &amp; "/calculator/sn_ba219dd3217d2dbe220d253bd32d8264/rendering/10.obj", "4.4613275528")</f>
        <v>4.4613275528</v>
      </c>
      <c r="N835" s="170" t="str">
        <f>HYPERLINK(AB2 &amp; "/calculator/sn_ba219dd3217d2dbe220d253bd32d8264/rendering/11.obj", "3.68282842636")</f>
        <v>3.68282842636</v>
      </c>
      <c r="O835" s="119" t="str">
        <f>HYPERLINK(AB2 &amp; "/calculator/sn_ba219dd3217d2dbe220d253bd32d8264/rendering/12.obj", "3.62538766861")</f>
        <v>3.62538766861</v>
      </c>
      <c r="P835" s="85" t="str">
        <f>HYPERLINK(AB2 &amp; "/calculator/sn_ba219dd3217d2dbe220d253bd32d8264/rendering/13.obj", "6.38874435425")</f>
        <v>6.38874435425</v>
      </c>
      <c r="Q835" s="129" t="str">
        <f>HYPERLINK(AB2 &amp; "/calculator/sn_ba219dd3217d2dbe220d253bd32d8264/rendering/14.obj", "6.15356349945")</f>
        <v>6.15356349945</v>
      </c>
      <c r="R835" s="106" t="str">
        <f>HYPERLINK(AB2 &amp; "/calculator/sn_ba219dd3217d2dbe220d253bd32d8264/rendering/15.obj", "5.48857784271")</f>
        <v>5.48857784271</v>
      </c>
      <c r="S835" s="87" t="str">
        <f>HYPERLINK(AB2 &amp; "/calculator/sn_ba219dd3217d2dbe220d253bd32d8264/rendering/16.obj", "3.81391215324")</f>
        <v>3.81391215324</v>
      </c>
      <c r="T835" s="75" t="str">
        <f>HYPERLINK(AB2 &amp; "/calculator/sn_ba219dd3217d2dbe220d253bd32d8264/rendering/17.obj", "3.84267091751")</f>
        <v>3.84267091751</v>
      </c>
      <c r="U835" s="39" t="str">
        <f>HYPERLINK(AB2 &amp; "/calculator/sn_ba219dd3217d2dbe220d253bd32d8264/rendering/18.obj", "5.34753131866")</f>
        <v>5.34753131866</v>
      </c>
      <c r="V835" s="98" t="str">
        <f>HYPERLINK(AB2 &amp; "/calculator/sn_ba219dd3217d2dbe220d253bd32d8264/rendering/19.obj", "3.78611326218")</f>
        <v>3.78611326218</v>
      </c>
      <c r="W835" s="12" t="s">
        <v>32</v>
      </c>
      <c r="X835" s="13">
        <v>4.9279496788978578</v>
      </c>
      <c r="Y835" s="13">
        <v>1.190717200063341</v>
      </c>
      <c r="Z835" s="58">
        <v>0.2416252757535558</v>
      </c>
    </row>
    <row r="836" spans="1:26" x14ac:dyDescent="0.2">
      <c r="A836" s="1">
        <v>834</v>
      </c>
      <c r="B836" s="2" t="s">
        <v>199</v>
      </c>
      <c r="C836" s="13" t="str">
        <f>HYPERLINK(AC2 &amp; "/calculator/sn_ba219dd3217d2dbe220d253bd32d8264/rendering/00.xyz", "0.0")</f>
        <v>0.0</v>
      </c>
      <c r="D836" s="13" t="str">
        <f>HYPERLINK(AC2 &amp; "/calculator/sn_ba219dd3217d2dbe220d253bd32d8264/rendering/01.xyz", "0.0")</f>
        <v>0.0</v>
      </c>
      <c r="E836" s="13" t="str">
        <f>HYPERLINK(AC2 &amp; "/calculator/sn_ba219dd3217d2dbe220d253bd32d8264/rendering/02.xyz", "0.0")</f>
        <v>0.0</v>
      </c>
      <c r="F836" s="13" t="str">
        <f>HYPERLINK(AC2 &amp; "/calculator/sn_ba219dd3217d2dbe220d253bd32d8264/rendering/03.xyz", "0.0")</f>
        <v>0.0</v>
      </c>
      <c r="G836" s="13" t="str">
        <f>HYPERLINK(AC2 &amp; "/calculator/sn_ba219dd3217d2dbe220d253bd32d8264/rendering/04.xyz", "0.0")</f>
        <v>0.0</v>
      </c>
      <c r="H836" s="13" t="str">
        <f>HYPERLINK(AC2 &amp; "/calculator/sn_ba219dd3217d2dbe220d253bd32d8264/rendering/05.xyz", "0.0")</f>
        <v>0.0</v>
      </c>
      <c r="I836" s="13" t="str">
        <f>HYPERLINK(AC2 &amp; "/calculator/sn_ba219dd3217d2dbe220d253bd32d8264/rendering/06.xyz", "0.0")</f>
        <v>0.0</v>
      </c>
      <c r="J836" s="13" t="str">
        <f>HYPERLINK(AC2 &amp; "/calculator/sn_ba219dd3217d2dbe220d253bd32d8264/rendering/07.xyz", "0.0")</f>
        <v>0.0</v>
      </c>
      <c r="K836" s="13" t="str">
        <f>HYPERLINK(AC2 &amp; "/calculator/sn_ba219dd3217d2dbe220d253bd32d8264/rendering/08.xyz", "0.0")</f>
        <v>0.0</v>
      </c>
      <c r="L836" s="13" t="str">
        <f>HYPERLINK(AC2 &amp; "/calculator/sn_ba219dd3217d2dbe220d253bd32d8264/rendering/09.xyz", "0.0")</f>
        <v>0.0</v>
      </c>
      <c r="M836" s="13" t="str">
        <f>HYPERLINK(AC2 &amp; "/calculator/sn_ba219dd3217d2dbe220d253bd32d8264/rendering/10.xyz", "0.0")</f>
        <v>0.0</v>
      </c>
      <c r="N836" s="13" t="str">
        <f>HYPERLINK(AC2 &amp; "/calculator/sn_ba219dd3217d2dbe220d253bd32d8264/rendering/11.xyz", "0.0")</f>
        <v>0.0</v>
      </c>
      <c r="O836" s="13" t="str">
        <f>HYPERLINK(AC2 &amp; "/calculator/sn_ba219dd3217d2dbe220d253bd32d8264/rendering/12.xyz", "0.0")</f>
        <v>0.0</v>
      </c>
      <c r="P836" s="13" t="str">
        <f>HYPERLINK(AC2 &amp; "/calculator/sn_ba219dd3217d2dbe220d253bd32d8264/rendering/13.xyz", "0.0")</f>
        <v>0.0</v>
      </c>
      <c r="Q836" s="13" t="str">
        <f>HYPERLINK(AC2 &amp; "/calculator/sn_ba219dd3217d2dbe220d253bd32d8264/rendering/14.xyz", "0.0")</f>
        <v>0.0</v>
      </c>
      <c r="R836" s="13" t="str">
        <f>HYPERLINK(AC2 &amp; "/calculator/sn_ba219dd3217d2dbe220d253bd32d8264/rendering/15.xyz", "0.0")</f>
        <v>0.0</v>
      </c>
      <c r="S836" s="13" t="str">
        <f>HYPERLINK(AC2 &amp; "/calculator/sn_ba219dd3217d2dbe220d253bd32d8264/rendering/16.xyz", "0.0")</f>
        <v>0.0</v>
      </c>
      <c r="T836" s="13" t="str">
        <f>HYPERLINK(AC2 &amp; "/calculator/sn_ba219dd3217d2dbe220d253bd32d8264/rendering/17.xyz", "0.0")</f>
        <v>0.0</v>
      </c>
      <c r="U836" s="13" t="str">
        <f>HYPERLINK(AC2 &amp; "/calculator/sn_ba219dd3217d2dbe220d253bd32d8264/rendering/18.xyz", "0.0")</f>
        <v>0.0</v>
      </c>
      <c r="V836" s="13" t="str">
        <f>HYPERLINK(AC2 &amp; "/calculator/sn_ba219dd3217d2dbe220d253bd32d8264/rendering/19.xyz", "0.0")</f>
        <v>0.0</v>
      </c>
      <c r="W836" s="12" t="s">
        <v>33</v>
      </c>
      <c r="X836" s="13">
        <v>0</v>
      </c>
      <c r="Y836" s="13">
        <v>0</v>
      </c>
      <c r="Z836" s="13">
        <v>0</v>
      </c>
    </row>
    <row r="837" spans="1:26" x14ac:dyDescent="0.2">
      <c r="A837" s="1">
        <v>835</v>
      </c>
      <c r="B837" s="2" t="s">
        <v>200</v>
      </c>
      <c r="C837" s="239" t="str">
        <f>HYPERLINK(AA2 &amp; "/calculator/sn_c13f22c6d442694a45d5a97317136194/rendering/00.obj", "2.50360412598")</f>
        <v>2.50360412598</v>
      </c>
      <c r="D837" s="91" t="str">
        <f>HYPERLINK(AA2 &amp; "/calculator/sn_c13f22c6d442694a45d5a97317136194/rendering/01.obj", "6.20645019531")</f>
        <v>6.20645019531</v>
      </c>
      <c r="E837" s="82" t="str">
        <f>HYPERLINK(AA2 &amp; "/calculator/sn_c13f22c6d442694a45d5a97317136194/rendering/02.obj", "5.06493225098")</f>
        <v>5.06493225098</v>
      </c>
      <c r="F837" s="111" t="str">
        <f>HYPERLINK(AA2 &amp; "/calculator/sn_c13f22c6d442694a45d5a97317136194/rendering/03.obj", "3.69379180908")</f>
        <v>3.69379180908</v>
      </c>
      <c r="G837" s="90" t="str">
        <f>HYPERLINK(AA2 &amp; "/calculator/sn_c13f22c6d442694a45d5a97317136194/rendering/04.obj", "6.9811932373")</f>
        <v>6.9811932373</v>
      </c>
      <c r="H837" s="127" t="str">
        <f>HYPERLINK(AA2 &amp; "/calculator/sn_c13f22c6d442694a45d5a97317136194/rendering/05.obj", "3.07464599609")</f>
        <v>3.07464599609</v>
      </c>
      <c r="I837" s="166" t="str">
        <f>HYPERLINK(AA2 &amp; "/calculator/sn_c13f22c6d442694a45d5a97317136194/rendering/06.obj", "4.54641906738")</f>
        <v>4.54641906738</v>
      </c>
      <c r="J837" s="193" t="str">
        <f>HYPERLINK(AA2 &amp; "/calculator/sn_c13f22c6d442694a45d5a97317136194/rendering/07.obj", "4.27445495605")</f>
        <v>4.27445495605</v>
      </c>
      <c r="K837" s="149" t="str">
        <f>HYPERLINK(AA2 &amp; "/calculator/sn_c13f22c6d442694a45d5a97317136194/rendering/08.obj", "8.55790039063")</f>
        <v>8.55790039063</v>
      </c>
      <c r="L837" s="53" t="str">
        <f>HYPERLINK(AA2 &amp; "/calculator/sn_c13f22c6d442694a45d5a97317136194/rendering/09.obj", "3.73565612793")</f>
        <v>3.73565612793</v>
      </c>
      <c r="M837" s="94" t="str">
        <f>HYPERLINK(AA2 &amp; "/calculator/sn_c13f22c6d442694a45d5a97317136194/rendering/10.obj", "6.85053955078")</f>
        <v>6.85053955078</v>
      </c>
      <c r="N837" s="204" t="str">
        <f>HYPERLINK(AA2 &amp; "/calculator/sn_c13f22c6d442694a45d5a97317136194/rendering/11.obj", "11.4485620117")</f>
        <v>11.4485620117</v>
      </c>
      <c r="O837" s="73" t="str">
        <f>HYPERLINK(AA2 &amp; "/calculator/sn_c13f22c6d442694a45d5a97317136194/rendering/12.obj", "6.60299926758")</f>
        <v>6.60299926758</v>
      </c>
      <c r="P837" s="20" t="str">
        <f>HYPERLINK(AA2 &amp; "/calculator/sn_c13f22c6d442694a45d5a97317136194/rendering/13.obj", "14.4504296875")</f>
        <v>14.4504296875</v>
      </c>
      <c r="Q837" s="124" t="str">
        <f>HYPERLINK(AA2 &amp; "/calculator/sn_c13f22c6d442694a45d5a97317136194/rendering/14.obj", "3.94907989502")</f>
        <v>3.94907989502</v>
      </c>
      <c r="R837" s="20" t="str">
        <f>HYPERLINK(AA2 &amp; "/calculator/sn_c13f22c6d442694a45d5a97317136194/rendering/15.obj", "11.459855957")</f>
        <v>11.459855957</v>
      </c>
      <c r="S837" s="15" t="str">
        <f>HYPERLINK(AA2 &amp; "/calculator/sn_c13f22c6d442694a45d5a97317136194/rendering/16.obj", "9.6072442627")</f>
        <v>9.6072442627</v>
      </c>
      <c r="T837" s="177" t="str">
        <f>HYPERLINK(AA2 &amp; "/calculator/sn_c13f22c6d442694a45d5a97317136194/rendering/17.obj", "2.97071960449")</f>
        <v>2.97071960449</v>
      </c>
      <c r="U837" s="213" t="str">
        <f>HYPERLINK(AA2 &amp; "/calculator/sn_c13f22c6d442694a45d5a97317136194/rendering/18.obj", "3.22053314209")</f>
        <v>3.22053314209</v>
      </c>
      <c r="V837" s="61" t="str">
        <f>HYPERLINK(AA2 &amp; "/calculator/sn_c13f22c6d442694a45d5a97317136194/rendering/19.obj", "8.29782409668")</f>
        <v>8.29782409668</v>
      </c>
      <c r="W837" s="12" t="s">
        <v>29</v>
      </c>
      <c r="X837" s="13">
        <v>6.3748417816162126</v>
      </c>
      <c r="Y837" s="13">
        <v>3.265924615438307</v>
      </c>
      <c r="Z837" s="105">
        <v>0.51231461537705769</v>
      </c>
    </row>
    <row r="838" spans="1:26" x14ac:dyDescent="0.2">
      <c r="A838" s="1">
        <v>836</v>
      </c>
      <c r="B838" s="2" t="s">
        <v>200</v>
      </c>
      <c r="C838" s="184" t="str">
        <f>HYPERLINK(AA2 &amp; "/calculator/sn_c13f22c6d442694a45d5a97317136194/rendering/00.obj", "3.62683224678")</f>
        <v>3.62683224678</v>
      </c>
      <c r="D838" s="35" t="str">
        <f>HYPERLINK(AA2 &amp; "/calculator/sn_c13f22c6d442694a45d5a97317136194/rendering/01.obj", "14.483455658")</f>
        <v>14.483455658</v>
      </c>
      <c r="E838" s="206" t="str">
        <f>HYPERLINK(AA2 &amp; "/calculator/sn_c13f22c6d442694a45d5a97317136194/rendering/02.obj", "5.58052539825")</f>
        <v>5.58052539825</v>
      </c>
      <c r="F838" s="164" t="str">
        <f>HYPERLINK(AA2 &amp; "/calculator/sn_c13f22c6d442694a45d5a97317136194/rendering/03.obj", "4.98365116119")</f>
        <v>4.98365116119</v>
      </c>
      <c r="G838" s="114" t="str">
        <f>HYPERLINK(AA2 &amp; "/calculator/sn_c13f22c6d442694a45d5a97317136194/rendering/04.obj", "7.39496517181")</f>
        <v>7.39496517181</v>
      </c>
      <c r="H838" s="238" t="str">
        <f>HYPERLINK(AA2 &amp; "/calculator/sn_c13f22c6d442694a45d5a97317136194/rendering/05.obj", "4.05987739563")</f>
        <v>4.05987739563</v>
      </c>
      <c r="I838" s="195" t="str">
        <f>HYPERLINK(AA2 &amp; "/calculator/sn_c13f22c6d442694a45d5a97317136194/rendering/06.obj", "6.19381952286")</f>
        <v>6.19381952286</v>
      </c>
      <c r="J838" s="248" t="str">
        <f>HYPERLINK(AA2 &amp; "/calculator/sn_c13f22c6d442694a45d5a97317136194/rendering/07.obj", "4.64220809937")</f>
        <v>4.64220809937</v>
      </c>
      <c r="K838" s="120" t="str">
        <f>HYPERLINK(AA2 &amp; "/calculator/sn_c13f22c6d442694a45d5a97317136194/rendering/08.obj", "10.786570549")</f>
        <v>10.786570549</v>
      </c>
      <c r="L838" s="173" t="str">
        <f>HYPERLINK(AA2 &amp; "/calculator/sn_c13f22c6d442694a45d5a97317136194/rendering/09.obj", "4.27686214447")</f>
        <v>4.27686214447</v>
      </c>
      <c r="M838" s="114" t="str">
        <f>HYPERLINK(AA2 &amp; "/calculator/sn_c13f22c6d442694a45d5a97317136194/rendering/10.obj", "7.42505598068")</f>
        <v>7.42505598068</v>
      </c>
      <c r="N838" s="20" t="str">
        <f>HYPERLINK(AA2 &amp; "/calculator/sn_c13f22c6d442694a45d5a97317136194/rendering/11.obj", "27.6028842926")</f>
        <v>27.6028842926</v>
      </c>
      <c r="O838" s="153" t="str">
        <f>HYPERLINK(AA2 &amp; "/calculator/sn_c13f22c6d442694a45d5a97317136194/rendering/12.obj", "8.83479404449")</f>
        <v>8.83479404449</v>
      </c>
      <c r="P838" s="20" t="str">
        <f>HYPERLINK(AA2 &amp; "/calculator/sn_c13f22c6d442694a45d5a97317136194/rendering/13.obj", "87.4710845947")</f>
        <v>87.4710845947</v>
      </c>
      <c r="Q838" s="173" t="str">
        <f>HYPERLINK(AA2 &amp; "/calculator/sn_c13f22c6d442694a45d5a97317136194/rendering/14.obj", "4.27538347244")</f>
        <v>4.27538347244</v>
      </c>
      <c r="R838" s="20" t="str">
        <f>HYPERLINK(AA2 &amp; "/calculator/sn_c13f22c6d442694a45d5a97317136194/rendering/15.obj", "28.2489566803")</f>
        <v>28.2489566803</v>
      </c>
      <c r="S838" s="20" t="str">
        <f>HYPERLINK(AA2 &amp; "/calculator/sn_c13f22c6d442694a45d5a97317136194/rendering/16.obj", "26.680896759")</f>
        <v>26.680896759</v>
      </c>
      <c r="T838" s="254" t="str">
        <f>HYPERLINK(AA2 &amp; "/calculator/sn_c13f22c6d442694a45d5a97317136194/rendering/17.obj", "3.11543607712")</f>
        <v>3.11543607712</v>
      </c>
      <c r="U838" s="219" t="str">
        <f>HYPERLINK(AA2 &amp; "/calculator/sn_c13f22c6d442694a45d5a97317136194/rendering/18.obj", "4.11822938919")</f>
        <v>4.11822938919</v>
      </c>
      <c r="V838" s="170" t="str">
        <f>HYPERLINK(AA2 &amp; "/calculator/sn_c13f22c6d442694a45d5a97317136194/rendering/19.obj", "10.2206201553")</f>
        <v>10.2206201553</v>
      </c>
      <c r="W838" s="12" t="s">
        <v>30</v>
      </c>
      <c r="X838" s="13">
        <v>13.70110543966293</v>
      </c>
      <c r="Y838" s="13">
        <v>18.702667385013431</v>
      </c>
      <c r="Z838" s="20">
        <v>1.365048058886666</v>
      </c>
    </row>
    <row r="839" spans="1:26" x14ac:dyDescent="0.2">
      <c r="A839" s="1">
        <v>837</v>
      </c>
      <c r="B839" s="2" t="s">
        <v>200</v>
      </c>
      <c r="C839" s="70" t="str">
        <f>HYPERLINK(AB2 &amp; "/calculator/sn_c13f22c6d442694a45d5a97317136194/rendering/00.obj", "3.27188110352")</f>
        <v>3.27188110352</v>
      </c>
      <c r="D839" s="84" t="str">
        <f>HYPERLINK(AB2 &amp; "/calculator/sn_c13f22c6d442694a45d5a97317136194/rendering/01.obj", "3.20882965088")</f>
        <v>3.20882965088</v>
      </c>
      <c r="E839" s="55" t="str">
        <f>HYPERLINK(AB2 &amp; "/calculator/sn_c13f22c6d442694a45d5a97317136194/rendering/02.obj", "3.02538757324")</f>
        <v>3.02538757324</v>
      </c>
      <c r="F839" s="83" t="str">
        <f>HYPERLINK(AB2 &amp; "/calculator/sn_c13f22c6d442694a45d5a97317136194/rendering/03.obj", "3.18519592285")</f>
        <v>3.18519592285</v>
      </c>
      <c r="G839" s="110" t="str">
        <f>HYPERLINK(AB2 &amp; "/calculator/sn_c13f22c6d442694a45d5a97317136194/rendering/04.obj", "3.38193847656")</f>
        <v>3.38193847656</v>
      </c>
      <c r="H839" s="71" t="str">
        <f>HYPERLINK(AB2 &amp; "/calculator/sn_c13f22c6d442694a45d5a97317136194/rendering/05.obj", "3.31717468262")</f>
        <v>3.31717468262</v>
      </c>
      <c r="I839" s="135" t="str">
        <f>HYPERLINK(AB2 &amp; "/calculator/sn_c13f22c6d442694a45d5a97317136194/rendering/06.obj", "2.79630981445")</f>
        <v>2.79630981445</v>
      </c>
      <c r="J839" s="107" t="str">
        <f>HYPERLINK(AB2 &amp; "/calculator/sn_c13f22c6d442694a45d5a97317136194/rendering/07.obj", "3.43725524902")</f>
        <v>3.43725524902</v>
      </c>
      <c r="K839" s="26" t="str">
        <f>HYPERLINK(AB2 &amp; "/calculator/sn_c13f22c6d442694a45d5a97317136194/rendering/08.obj", "3.51286682129")</f>
        <v>3.51286682129</v>
      </c>
      <c r="L839" s="129" t="str">
        <f>HYPERLINK(AB2 &amp; "/calculator/sn_c13f22c6d442694a45d5a97317136194/rendering/09.obj", "4.6892590332")</f>
        <v>4.6892590332</v>
      </c>
      <c r="M839" s="38" t="str">
        <f>HYPERLINK(AB2 &amp; "/calculator/sn_c13f22c6d442694a45d5a97317136194/rendering/10.obj", "3.42250366211")</f>
        <v>3.42250366211</v>
      </c>
      <c r="N839" s="186" t="str">
        <f>HYPERLINK(AB2 &amp; "/calculator/sn_c13f22c6d442694a45d5a97317136194/rendering/11.obj", "6.01039428711")</f>
        <v>6.01039428711</v>
      </c>
      <c r="O839" s="48" t="str">
        <f>HYPERLINK(AB2 &amp; "/calculator/sn_c13f22c6d442694a45d5a97317136194/rendering/12.obj", "3.84355712891")</f>
        <v>3.84355712891</v>
      </c>
      <c r="P839" s="157" t="str">
        <f>HYPERLINK(AB2 &amp; "/calculator/sn_c13f22c6d442694a45d5a97317136194/rendering/13.obj", "5.3200402832")</f>
        <v>5.3200402832</v>
      </c>
      <c r="Q839" s="41" t="str">
        <f>HYPERLINK(AB2 &amp; "/calculator/sn_c13f22c6d442694a45d5a97317136194/rendering/14.obj", "3.4984576416")</f>
        <v>3.4984576416</v>
      </c>
      <c r="R839" s="28" t="str">
        <f>HYPERLINK(AB2 &amp; "/calculator/sn_c13f22c6d442694a45d5a97317136194/rendering/15.obj", "3.34146911621")</f>
        <v>3.34146911621</v>
      </c>
      <c r="S839" s="20" t="str">
        <f>HYPERLINK(AB2 &amp; "/calculator/sn_c13f22c6d442694a45d5a97317136194/rendering/16.obj", "6.94659667969")</f>
        <v>6.94659667969</v>
      </c>
      <c r="T839" s="113" t="str">
        <f>HYPERLINK(AB2 &amp; "/calculator/sn_c13f22c6d442694a45d5a97317136194/rendering/17.obj", "2.71799407959")</f>
        <v>2.71799407959</v>
      </c>
      <c r="U839" s="66" t="str">
        <f>HYPERLINK(AB2 &amp; "/calculator/sn_c13f22c6d442694a45d5a97317136194/rendering/18.obj", "3.15259338379")</f>
        <v>3.15259338379</v>
      </c>
      <c r="V839" s="50" t="str">
        <f>HYPERLINK(AB2 &amp; "/calculator/sn_c13f22c6d442694a45d5a97317136194/rendering/19.obj", "3.01069244385")</f>
        <v>3.01069244385</v>
      </c>
      <c r="W839" s="12" t="s">
        <v>31</v>
      </c>
      <c r="X839" s="13">
        <v>3.754519851684571</v>
      </c>
      <c r="Y839" s="13">
        <v>1.0895188331963559</v>
      </c>
      <c r="Z839" s="14">
        <v>0.29018859301210309</v>
      </c>
    </row>
    <row r="840" spans="1:26" x14ac:dyDescent="0.2">
      <c r="A840" s="1">
        <v>838</v>
      </c>
      <c r="B840" s="2" t="s">
        <v>200</v>
      </c>
      <c r="C840" s="29" t="str">
        <f>HYPERLINK(AB2 &amp; "/calculator/sn_c13f22c6d442694a45d5a97317136194/rendering/00.obj", "3.34644079208")</f>
        <v>3.34644079208</v>
      </c>
      <c r="D840" s="72" t="str">
        <f>HYPERLINK(AB2 &amp; "/calculator/sn_c13f22c6d442694a45d5a97317136194/rendering/01.obj", "3.72052621841")</f>
        <v>3.72052621841</v>
      </c>
      <c r="E840" s="5" t="str">
        <f>HYPERLINK(AB2 &amp; "/calculator/sn_c13f22c6d442694a45d5a97317136194/rendering/02.obj", "3.54949808121")</f>
        <v>3.54949808121</v>
      </c>
      <c r="F840" s="41" t="str">
        <f>HYPERLINK(AB2 &amp; "/calculator/sn_c13f22c6d442694a45d5a97317136194/rendering/03.obj", "3.58412194252")</f>
        <v>3.58412194252</v>
      </c>
      <c r="G840" s="41" t="str">
        <f>HYPERLINK(AB2 &amp; "/calculator/sn_c13f22c6d442694a45d5a97317136194/rendering/04.obj", "3.58670330048")</f>
        <v>3.58670330048</v>
      </c>
      <c r="H840" s="70" t="str">
        <f>HYPERLINK(AB2 &amp; "/calculator/sn_c13f22c6d442694a45d5a97317136194/rendering/05.obj", "3.36183094978")</f>
        <v>3.36183094978</v>
      </c>
      <c r="I840" s="76" t="str">
        <f>HYPERLINK(AB2 &amp; "/calculator/sn_c13f22c6d442694a45d5a97317136194/rendering/06.obj", "3.13623905182")</f>
        <v>3.13623905182</v>
      </c>
      <c r="J840" s="32" t="str">
        <f>HYPERLINK(AB2 &amp; "/calculator/sn_c13f22c6d442694a45d5a97317136194/rendering/07.obj", "4.25316047668")</f>
        <v>4.25316047668</v>
      </c>
      <c r="K840" s="73" t="str">
        <f>HYPERLINK(AB2 &amp; "/calculator/sn_c13f22c6d442694a45d5a97317136194/rendering/08.obj", "3.71007013321")</f>
        <v>3.71007013321</v>
      </c>
      <c r="L840" s="69" t="str">
        <f>HYPERLINK(AB2 &amp; "/calculator/sn_c13f22c6d442694a45d5a97317136194/rendering/09.obj", "3.73267936707")</f>
        <v>3.73267936707</v>
      </c>
      <c r="M840" s="38" t="str">
        <f>HYPERLINK(AB2 &amp; "/calculator/sn_c13f22c6d442694a45d5a97317136194/rendering/10.obj", "3.50560474396")</f>
        <v>3.50560474396</v>
      </c>
      <c r="N840" s="20" t="str">
        <f>HYPERLINK(AB2 &amp; "/calculator/sn_c13f22c6d442694a45d5a97317136194/rendering/11.obj", "7.20862817764")</f>
        <v>7.20862817764</v>
      </c>
      <c r="O840" s="106" t="str">
        <f>HYPERLINK(AB2 &amp; "/calculator/sn_c13f22c6d442694a45d5a97317136194/rendering/12.obj", "3.41118431091")</f>
        <v>3.41118431091</v>
      </c>
      <c r="P840" s="133" t="str">
        <f>HYPERLINK(AB2 &amp; "/calculator/sn_c13f22c6d442694a45d5a97317136194/rendering/13.obj", "4.23585510254")</f>
        <v>4.23585510254</v>
      </c>
      <c r="Q840" s="13" t="str">
        <f>HYPERLINK(AB2 &amp; "/calculator/sn_c13f22c6d442694a45d5a97317136194/rendering/14.obj", "3.85614728928")</f>
        <v>3.85614728928</v>
      </c>
      <c r="R840" s="32" t="str">
        <f>HYPERLINK(AB2 &amp; "/calculator/sn_c13f22c6d442694a45d5a97317136194/rendering/15.obj", "3.44739627838")</f>
        <v>3.44739627838</v>
      </c>
      <c r="S840" s="156" t="str">
        <f>HYPERLINK(AB2 &amp; "/calculator/sn_c13f22c6d442694a45d5a97317136194/rendering/16.obj", "5.56794500351")</f>
        <v>5.56794500351</v>
      </c>
      <c r="T840" s="50" t="str">
        <f>HYPERLINK(AB2 &amp; "/calculator/sn_c13f22c6d442694a45d5a97317136194/rendering/17.obj", "3.07502317429")</f>
        <v>3.07502317429</v>
      </c>
      <c r="U840" s="83" t="str">
        <f>HYPERLINK(AB2 &amp; "/calculator/sn_c13f22c6d442694a45d5a97317136194/rendering/18.obj", "3.25658321381")</f>
        <v>3.25658321381</v>
      </c>
      <c r="V840" s="71" t="str">
        <f>HYPERLINK(AB2 &amp; "/calculator/sn_c13f22c6d442694a45d5a97317136194/rendering/19.obj", "3.39452385902")</f>
        <v>3.39452385902</v>
      </c>
      <c r="W840" s="12" t="s">
        <v>32</v>
      </c>
      <c r="X840" s="13">
        <v>3.847008073329925</v>
      </c>
      <c r="Y840" s="13">
        <v>0.93429676594146605</v>
      </c>
      <c r="Z840" s="58">
        <v>0.24286321945062869</v>
      </c>
    </row>
    <row r="841" spans="1:26" x14ac:dyDescent="0.2">
      <c r="A841" s="1">
        <v>839</v>
      </c>
      <c r="B841" s="2" t="s">
        <v>200</v>
      </c>
      <c r="C841" s="13" t="str">
        <f>HYPERLINK(AC2 &amp; "/calculator/sn_c13f22c6d442694a45d5a97317136194/rendering/00.xyz", "0.0")</f>
        <v>0.0</v>
      </c>
      <c r="D841" s="13" t="str">
        <f>HYPERLINK(AC2 &amp; "/calculator/sn_c13f22c6d442694a45d5a97317136194/rendering/01.xyz", "0.0")</f>
        <v>0.0</v>
      </c>
      <c r="E841" s="13" t="str">
        <f>HYPERLINK(AC2 &amp; "/calculator/sn_c13f22c6d442694a45d5a97317136194/rendering/02.xyz", "0.0")</f>
        <v>0.0</v>
      </c>
      <c r="F841" s="13" t="str">
        <f>HYPERLINK(AC2 &amp; "/calculator/sn_c13f22c6d442694a45d5a97317136194/rendering/03.xyz", "0.0")</f>
        <v>0.0</v>
      </c>
      <c r="G841" s="13" t="str">
        <f>HYPERLINK(AC2 &amp; "/calculator/sn_c13f22c6d442694a45d5a97317136194/rendering/04.xyz", "0.0")</f>
        <v>0.0</v>
      </c>
      <c r="H841" s="13" t="str">
        <f>HYPERLINK(AC2 &amp; "/calculator/sn_c13f22c6d442694a45d5a97317136194/rendering/05.xyz", "0.0")</f>
        <v>0.0</v>
      </c>
      <c r="I841" s="13" t="str">
        <f>HYPERLINK(AC2 &amp; "/calculator/sn_c13f22c6d442694a45d5a97317136194/rendering/06.xyz", "0.0")</f>
        <v>0.0</v>
      </c>
      <c r="J841" s="13" t="str">
        <f>HYPERLINK(AC2 &amp; "/calculator/sn_c13f22c6d442694a45d5a97317136194/rendering/07.xyz", "0.0")</f>
        <v>0.0</v>
      </c>
      <c r="K841" s="13" t="str">
        <f>HYPERLINK(AC2 &amp; "/calculator/sn_c13f22c6d442694a45d5a97317136194/rendering/08.xyz", "0.0")</f>
        <v>0.0</v>
      </c>
      <c r="L841" s="13" t="str">
        <f>HYPERLINK(AC2 &amp; "/calculator/sn_c13f22c6d442694a45d5a97317136194/rendering/09.xyz", "0.0")</f>
        <v>0.0</v>
      </c>
      <c r="M841" s="13" t="str">
        <f>HYPERLINK(AC2 &amp; "/calculator/sn_c13f22c6d442694a45d5a97317136194/rendering/10.xyz", "0.0")</f>
        <v>0.0</v>
      </c>
      <c r="N841" s="13" t="str">
        <f>HYPERLINK(AC2 &amp; "/calculator/sn_c13f22c6d442694a45d5a97317136194/rendering/11.xyz", "0.0")</f>
        <v>0.0</v>
      </c>
      <c r="O841" s="13" t="str">
        <f>HYPERLINK(AC2 &amp; "/calculator/sn_c13f22c6d442694a45d5a97317136194/rendering/12.xyz", "0.0")</f>
        <v>0.0</v>
      </c>
      <c r="P841" s="13" t="str">
        <f>HYPERLINK(AC2 &amp; "/calculator/sn_c13f22c6d442694a45d5a97317136194/rendering/13.xyz", "0.0")</f>
        <v>0.0</v>
      </c>
      <c r="Q841" s="13" t="str">
        <f>HYPERLINK(AC2 &amp; "/calculator/sn_c13f22c6d442694a45d5a97317136194/rendering/14.xyz", "0.0")</f>
        <v>0.0</v>
      </c>
      <c r="R841" s="13" t="str">
        <f>HYPERLINK(AC2 &amp; "/calculator/sn_c13f22c6d442694a45d5a97317136194/rendering/15.xyz", "0.0")</f>
        <v>0.0</v>
      </c>
      <c r="S841" s="13" t="str">
        <f>HYPERLINK(AC2 &amp; "/calculator/sn_c13f22c6d442694a45d5a97317136194/rendering/16.xyz", "0.0")</f>
        <v>0.0</v>
      </c>
      <c r="T841" s="13" t="str">
        <f>HYPERLINK(AC2 &amp; "/calculator/sn_c13f22c6d442694a45d5a97317136194/rendering/17.xyz", "0.0")</f>
        <v>0.0</v>
      </c>
      <c r="U841" s="13" t="str">
        <f>HYPERLINK(AC2 &amp; "/calculator/sn_c13f22c6d442694a45d5a97317136194/rendering/18.xyz", "0.0")</f>
        <v>0.0</v>
      </c>
      <c r="V841" s="13" t="str">
        <f>HYPERLINK(AC2 &amp; "/calculator/sn_c13f22c6d442694a45d5a97317136194/rendering/19.xyz", "0.0")</f>
        <v>0.0</v>
      </c>
      <c r="W841" s="12" t="s">
        <v>33</v>
      </c>
      <c r="X841" s="13">
        <v>0</v>
      </c>
      <c r="Y841" s="13">
        <v>0</v>
      </c>
      <c r="Z841" s="13">
        <v>0</v>
      </c>
    </row>
    <row r="842" spans="1:26" x14ac:dyDescent="0.2">
      <c r="A842" s="1">
        <v>840</v>
      </c>
      <c r="B842" s="2" t="s">
        <v>201</v>
      </c>
      <c r="C842" s="182" t="str">
        <f>HYPERLINK(AA2 &amp; "/calculator/sn_c8b68e20495b591c19a9ca1c9ec31968/rendering/00.obj", "2.63448120117")</f>
        <v>2.63448120117</v>
      </c>
      <c r="D842" s="131" t="str">
        <f>HYPERLINK(AA2 &amp; "/calculator/sn_c8b68e20495b591c19a9ca1c9ec31968/rendering/01.obj", "5.80072265625")</f>
        <v>5.80072265625</v>
      </c>
      <c r="E842" s="82" t="str">
        <f>HYPERLINK(AA2 &amp; "/calculator/sn_c8b68e20495b591c19a9ca1c9ec31968/rendering/02.obj", "3.14741394043")</f>
        <v>3.14741394043</v>
      </c>
      <c r="F842" s="124" t="str">
        <f>HYPERLINK(AA2 &amp; "/calculator/sn_c8b68e20495b591c19a9ca1c9ec31968/rendering/03.obj", "2.45516326904")</f>
        <v>2.45516326904</v>
      </c>
      <c r="G842" s="58" t="str">
        <f>HYPERLINK(AA2 &amp; "/calculator/sn_c8b68e20495b591c19a9ca1c9ec31968/rendering/04.obj", "3.00043884277")</f>
        <v>3.00043884277</v>
      </c>
      <c r="H842" s="34" t="str">
        <f>HYPERLINK(AA2 &amp; "/calculator/sn_c8b68e20495b591c19a9ca1c9ec31968/rendering/05.obj", "3.76892822266")</f>
        <v>3.76892822266</v>
      </c>
      <c r="I842" s="121" t="str">
        <f>HYPERLINK(AA2 &amp; "/calculator/sn_c8b68e20495b591c19a9ca1c9ec31968/rendering/06.obj", "2.56757507324")</f>
        <v>2.56757507324</v>
      </c>
      <c r="J842" s="145" t="str">
        <f>HYPERLINK(AA2 &amp; "/calculator/sn_c8b68e20495b591c19a9ca1c9ec31968/rendering/07.obj", "5.9080847168")</f>
        <v>5.9080847168</v>
      </c>
      <c r="K842" s="19" t="str">
        <f>HYPERLINK(AA2 &amp; "/calculator/sn_c8b68e20495b591c19a9ca1c9ec31968/rendering/08.obj", "2.92363983154")</f>
        <v>2.92363983154</v>
      </c>
      <c r="L842" s="119" t="str">
        <f>HYPERLINK(AA2 &amp; "/calculator/sn_c8b68e20495b591c19a9ca1c9ec31968/rendering/09.obj", "5.0059979248")</f>
        <v>5.0059979248</v>
      </c>
      <c r="M842" s="54" t="str">
        <f>HYPERLINK(AA2 &amp; "/calculator/sn_c8b68e20495b591c19a9ca1c9ec31968/rendering/10.obj", "2.66272583008")</f>
        <v>2.66272583008</v>
      </c>
      <c r="N842" s="172" t="str">
        <f>HYPERLINK(AA2 &amp; "/calculator/sn_c8b68e20495b591c19a9ca1c9ec31968/rendering/11.obj", "5.4833605957")</f>
        <v>5.4833605957</v>
      </c>
      <c r="O842" s="167" t="str">
        <f>HYPERLINK(AA2 &amp; "/calculator/sn_c8b68e20495b591c19a9ca1c9ec31968/rendering/12.obj", "6.35935913086")</f>
        <v>6.35935913086</v>
      </c>
      <c r="P842" s="171" t="str">
        <f>HYPERLINK(AA2 &amp; "/calculator/sn_c8b68e20495b591c19a9ca1c9ec31968/rendering/13.obj", "2.75257324219")</f>
        <v>2.75257324219</v>
      </c>
      <c r="Q842" s="94" t="str">
        <f>HYPERLINK(AA2 &amp; "/calculator/sn_c8b68e20495b591c19a9ca1c9ec31968/rendering/14.obj", "3.66851593018")</f>
        <v>3.66851593018</v>
      </c>
      <c r="R842" s="8" t="str">
        <f>HYPERLINK(AA2 &amp; "/calculator/sn_c8b68e20495b591c19a9ca1c9ec31968/rendering/15.obj", "4.53100585938")</f>
        <v>4.53100585938</v>
      </c>
      <c r="S842" s="108" t="str">
        <f>HYPERLINK(AA2 &amp; "/calculator/sn_c8b68e20495b591c19a9ca1c9ec31968/rendering/16.obj", "2.98944244385")</f>
        <v>2.98944244385</v>
      </c>
      <c r="T842" s="144" t="str">
        <f>HYPERLINK(AA2 &amp; "/calculator/sn_c8b68e20495b591c19a9ca1c9ec31968/rendering/17.obj", "5.95110656738")</f>
        <v>5.95110656738</v>
      </c>
      <c r="U842" s="136" t="str">
        <f>HYPERLINK(AA2 &amp; "/calculator/sn_c8b68e20495b591c19a9ca1c9ec31968/rendering/18.obj", "3.02232299805")</f>
        <v>3.02232299805</v>
      </c>
      <c r="V842" s="66" t="str">
        <f>HYPERLINK(AA2 &amp; "/calculator/sn_c8b68e20495b591c19a9ca1c9ec31968/rendering/19.obj", "4.59995544434")</f>
        <v>4.59995544434</v>
      </c>
      <c r="W842" s="12" t="s">
        <v>29</v>
      </c>
      <c r="X842" s="13">
        <v>3.9616406860351558</v>
      </c>
      <c r="Y842" s="13">
        <v>1.318217881880986</v>
      </c>
      <c r="Z842" s="182">
        <v>0.33274544219210089</v>
      </c>
    </row>
    <row r="843" spans="1:26" x14ac:dyDescent="0.2">
      <c r="A843" s="1">
        <v>841</v>
      </c>
      <c r="B843" s="2" t="s">
        <v>201</v>
      </c>
      <c r="C843" s="135" t="str">
        <f>HYPERLINK(AA2 &amp; "/calculator/sn_c8b68e20495b591c19a9ca1c9ec31968/rendering/00.obj", "3.53646206856")</f>
        <v>3.53646206856</v>
      </c>
      <c r="D843" s="20" t="str">
        <f>HYPERLINK(AA2 &amp; "/calculator/sn_c8b68e20495b591c19a9ca1c9ec31968/rendering/01.obj", "13.9561729431")</f>
        <v>13.9561729431</v>
      </c>
      <c r="E843" s="47" t="str">
        <f>HYPERLINK(AA2 &amp; "/calculator/sn_c8b68e20495b591c19a9ca1c9ec31968/rendering/02.obj", "4.70377111435")</f>
        <v>4.70377111435</v>
      </c>
      <c r="F843" s="172" t="str">
        <f>HYPERLINK(AA2 &amp; "/calculator/sn_c8b68e20495b591c19a9ca1c9ec31968/rendering/03.obj", "2.91954851151")</f>
        <v>2.91954851151</v>
      </c>
      <c r="G843" s="56" t="str">
        <f>HYPERLINK(AA2 &amp; "/calculator/sn_c8b68e20495b591c19a9ca1c9ec31968/rendering/04.obj", "3.28215956688")</f>
        <v>3.28215956688</v>
      </c>
      <c r="H843" s="75" t="str">
        <f>HYPERLINK(AA2 &amp; "/calculator/sn_c8b68e20495b591c19a9ca1c9ec31968/rendering/05.obj", "5.80124616623")</f>
        <v>5.80124616623</v>
      </c>
      <c r="I843" s="170" t="str">
        <f>HYPERLINK(AA2 &amp; "/calculator/sn_c8b68e20495b591c19a9ca1c9ec31968/rendering/06.obj", "3.54261374474")</f>
        <v>3.54261374474</v>
      </c>
      <c r="J843" s="93" t="str">
        <f>HYPERLINK(AA2 &amp; "/calculator/sn_c8b68e20495b591c19a9ca1c9ec31968/rendering/07.obj", "5.4129242897")</f>
        <v>5.4129242897</v>
      </c>
      <c r="K843" s="28" t="str">
        <f>HYPERLINK(AA2 &amp; "/calculator/sn_c8b68e20495b591c19a9ca1c9ec31968/rendering/08.obj", "4.22231340408")</f>
        <v>4.22231340408</v>
      </c>
      <c r="L843" s="84" t="str">
        <f>HYPERLINK(AA2 &amp; "/calculator/sn_c8b68e20495b591c19a9ca1c9ec31968/rendering/09.obj", "5.44560861588")</f>
        <v>5.44560861588</v>
      </c>
      <c r="M843" s="99" t="str">
        <f>HYPERLINK(AA2 &amp; "/calculator/sn_c8b68e20495b591c19a9ca1c9ec31968/rendering/10.obj", "3.45211434364")</f>
        <v>3.45211434364</v>
      </c>
      <c r="N843" s="79" t="str">
        <f>HYPERLINK(AA2 &amp; "/calculator/sn_c8b68e20495b591c19a9ca1c9ec31968/rendering/11.obj", "5.49482440948")</f>
        <v>5.49482440948</v>
      </c>
      <c r="O843" s="135" t="str">
        <f>HYPERLINK(AA2 &amp; "/calculator/sn_c8b68e20495b591c19a9ca1c9ec31968/rendering/12.obj", "5.96023797989")</f>
        <v>5.96023797989</v>
      </c>
      <c r="P843" s="182" t="str">
        <f>HYPERLINK(AA2 &amp; "/calculator/sn_c8b68e20495b591c19a9ca1c9ec31968/rendering/13.obj", "3.16829252243")</f>
        <v>3.16829252243</v>
      </c>
      <c r="Q843" s="37" t="str">
        <f>HYPERLINK(AA2 &amp; "/calculator/sn_c8b68e20495b591c19a9ca1c9ec31968/rendering/14.obj", "3.91644787788")</f>
        <v>3.91644787788</v>
      </c>
      <c r="R843" s="42" t="str">
        <f>HYPERLINK(AA2 &amp; "/calculator/sn_c8b68e20495b591c19a9ca1c9ec31968/rendering/15.obj", "4.10076808929")</f>
        <v>4.10076808929</v>
      </c>
      <c r="S843" s="85" t="str">
        <f>HYPERLINK(AA2 &amp; "/calculator/sn_c8b68e20495b591c19a9ca1c9ec31968/rendering/16.obj", "3.34246516228")</f>
        <v>3.34246516228</v>
      </c>
      <c r="T843" s="59" t="str">
        <f>HYPERLINK(AA2 &amp; "/calculator/sn_c8b68e20495b591c19a9ca1c9ec31968/rendering/17.obj", "5.88748598099")</f>
        <v>5.88748598099</v>
      </c>
      <c r="U843" s="182" t="str">
        <f>HYPERLINK(AA2 &amp; "/calculator/sn_c8b68e20495b591c19a9ca1c9ec31968/rendering/18.obj", "3.15589141846")</f>
        <v>3.15589141846</v>
      </c>
      <c r="V843" s="98" t="str">
        <f>HYPERLINK(AA2 &amp; "/calculator/sn_c8b68e20495b591c19a9ca1c9ec31968/rendering/19.obj", "3.65339851379")</f>
        <v>3.65339851379</v>
      </c>
      <c r="W843" s="12" t="s">
        <v>30</v>
      </c>
      <c r="X843" s="13">
        <v>4.7477373361587523</v>
      </c>
      <c r="Y843" s="13">
        <v>2.343490266898328</v>
      </c>
      <c r="Z843" s="213">
        <v>0.49360149919211288</v>
      </c>
    </row>
    <row r="844" spans="1:26" x14ac:dyDescent="0.2">
      <c r="A844" s="1">
        <v>842</v>
      </c>
      <c r="B844" s="2" t="s">
        <v>201</v>
      </c>
      <c r="C844" s="27" t="str">
        <f>HYPERLINK(AB2 &amp; "/calculator/sn_c8b68e20495b591c19a9ca1c9ec31968/rendering/00.obj", "3.25077941895")</f>
        <v>3.25077941895</v>
      </c>
      <c r="D844" s="72" t="str">
        <f>HYPERLINK(AB2 &amp; "/calculator/sn_c8b68e20495b591c19a9ca1c9ec31968/rendering/01.obj", "3.61569641113")</f>
        <v>3.61569641113</v>
      </c>
      <c r="E844" s="71" t="str">
        <f>HYPERLINK(AB2 &amp; "/calculator/sn_c8b68e20495b591c19a9ca1c9ec31968/rendering/02.obj", "3.91161071777")</f>
        <v>3.91161071777</v>
      </c>
      <c r="F844" s="166" t="str">
        <f>HYPERLINK(AB2 &amp; "/calculator/sn_c8b68e20495b591c19a9ca1c9ec31968/rendering/03.obj", "4.50189453125")</f>
        <v>4.50189453125</v>
      </c>
      <c r="G844" s="29" t="str">
        <f>HYPERLINK(AB2 &amp; "/calculator/sn_c8b68e20495b591c19a9ca1c9ec31968/rendering/04.obj", "3.04519958496")</f>
        <v>3.04519958496</v>
      </c>
      <c r="H844" s="34" t="str">
        <f>HYPERLINK(AB2 &amp; "/calculator/sn_c8b68e20495b591c19a9ca1c9ec31968/rendering/05.obj", "3.32653442383")</f>
        <v>3.32653442383</v>
      </c>
      <c r="I844" s="94" t="str">
        <f>HYPERLINK(AB2 &amp; "/calculator/sn_c8b68e20495b591c19a9ca1c9ec31968/rendering/06.obj", "3.23800079346")</f>
        <v>3.23800079346</v>
      </c>
      <c r="J844" s="34" t="str">
        <f>HYPERLINK(AB2 &amp; "/calculator/sn_c8b68e20495b591c19a9ca1c9ec31968/rendering/07.obj", "3.32734130859")</f>
        <v>3.32734130859</v>
      </c>
      <c r="K844" s="39" t="str">
        <f>HYPERLINK(AB2 &amp; "/calculator/sn_c8b68e20495b591c19a9ca1c9ec31968/rendering/08.obj", "3.80073913574")</f>
        <v>3.80073913574</v>
      </c>
      <c r="L844" s="91" t="str">
        <f>HYPERLINK(AB2 &amp; "/calculator/sn_c8b68e20495b591c19a9ca1c9ec31968/rendering/09.obj", "3.40806274414")</f>
        <v>3.40806274414</v>
      </c>
      <c r="M844" s="67" t="str">
        <f>HYPERLINK(AB2 &amp; "/calculator/sn_c8b68e20495b591c19a9ca1c9ec31968/rendering/10.obj", "3.82230102539")</f>
        <v>3.82230102539</v>
      </c>
      <c r="N844" s="24" t="str">
        <f>HYPERLINK(AB2 &amp; "/calculator/sn_c8b68e20495b591c19a9ca1c9ec31968/rendering/11.obj", "2.91436889648")</f>
        <v>2.91436889648</v>
      </c>
      <c r="O844" s="63" t="str">
        <f>HYPERLINK(AB2 &amp; "/calculator/sn_c8b68e20495b591c19a9ca1c9ec31968/rendering/12.obj", "3.91421325684")</f>
        <v>3.91421325684</v>
      </c>
      <c r="P844" s="133" t="str">
        <f>HYPERLINK(AB2 &amp; "/calculator/sn_c8b68e20495b591c19a9ca1c9ec31968/rendering/13.obj", "3.13823059082")</f>
        <v>3.13823059082</v>
      </c>
      <c r="Q844" s="120" t="str">
        <f>HYPERLINK(AB2 &amp; "/calculator/sn_c8b68e20495b591c19a9ca1c9ec31968/rendering/14.obj", "2.76150054932")</f>
        <v>2.76150054932</v>
      </c>
      <c r="R844" s="34" t="str">
        <f>HYPERLINK(AB2 &amp; "/calculator/sn_c8b68e20495b591c19a9ca1c9ec31968/rendering/15.obj", "3.66556488037")</f>
        <v>3.66556488037</v>
      </c>
      <c r="S844" s="73" t="str">
        <f>HYPERLINK(AB2 &amp; "/calculator/sn_c8b68e20495b591c19a9ca1c9ec31968/rendering/16.obj", "3.36546386719")</f>
        <v>3.36546386719</v>
      </c>
      <c r="T844" s="91" t="str">
        <f>HYPERLINK(AB2 &amp; "/calculator/sn_c8b68e20495b591c19a9ca1c9ec31968/rendering/17.obj", "3.40576629639")</f>
        <v>3.40576629639</v>
      </c>
      <c r="U844" s="79" t="str">
        <f>HYPERLINK(AB2 &amp; "/calculator/sn_c8b68e20495b591c19a9ca1c9ec31968/rendering/18.obj", "4.04780731201")</f>
        <v>4.04780731201</v>
      </c>
      <c r="V844" s="47" t="str">
        <f>HYPERLINK(AB2 &amp; "/calculator/sn_c8b68e20495b591c19a9ca1c9ec31968/rendering/19.obj", "3.46884277344")</f>
        <v>3.46884277344</v>
      </c>
      <c r="W844" s="12" t="s">
        <v>31</v>
      </c>
      <c r="X844" s="13">
        <v>3.4964959259033201</v>
      </c>
      <c r="Y844" s="13">
        <v>0.40822053243046053</v>
      </c>
      <c r="Z844" s="71">
        <v>0.1167513250641059</v>
      </c>
    </row>
    <row r="845" spans="1:26" x14ac:dyDescent="0.2">
      <c r="A845" s="1">
        <v>843</v>
      </c>
      <c r="B845" s="2" t="s">
        <v>201</v>
      </c>
      <c r="C845" s="72" t="str">
        <f>HYPERLINK(AB2 &amp; "/calculator/sn_c8b68e20495b591c19a9ca1c9ec31968/rendering/00.obj", "3.10245537758")</f>
        <v>3.10245537758</v>
      </c>
      <c r="D845" s="31" t="str">
        <f>HYPERLINK(AB2 &amp; "/calculator/sn_c8b68e20495b591c19a9ca1c9ec31968/rendering/01.obj", "3.70236325264")</f>
        <v>3.70236325264</v>
      </c>
      <c r="E845" s="38" t="str">
        <f>HYPERLINK(AB2 &amp; "/calculator/sn_c8b68e20495b591c19a9ca1c9ec31968/rendering/02.obj", "3.49475765228")</f>
        <v>3.49475765228</v>
      </c>
      <c r="F845" s="17" t="str">
        <f>HYPERLINK(AB2 &amp; "/calculator/sn_c8b68e20495b591c19a9ca1c9ec31968/rendering/03.obj", "3.13926005363")</f>
        <v>3.13926005363</v>
      </c>
      <c r="G845" s="35" t="str">
        <f>HYPERLINK(AB2 &amp; "/calculator/sn_c8b68e20495b591c19a9ca1c9ec31968/rendering/04.obj", "3.02065110207")</f>
        <v>3.02065110207</v>
      </c>
      <c r="H845" s="60" t="str">
        <f>HYPERLINK(AB2 &amp; "/calculator/sn_c8b68e20495b591c19a9ca1c9ec31968/rendering/05.obj", "3.03738617897")</f>
        <v>3.03738617897</v>
      </c>
      <c r="I845" s="35" t="str">
        <f>HYPERLINK(AB2 &amp; "/calculator/sn_c8b68e20495b591c19a9ca1c9ec31968/rendering/06.obj", "3.02062630653")</f>
        <v>3.02062630653</v>
      </c>
      <c r="J845" s="107" t="str">
        <f>HYPERLINK(AB2 &amp; "/calculator/sn_c8b68e20495b591c19a9ca1c9ec31968/rendering/07.obj", "2.93854951859")</f>
        <v>2.93854951859</v>
      </c>
      <c r="K845" s="30" t="str">
        <f>HYPERLINK(AB2 &amp; "/calculator/sn_c8b68e20495b591c19a9ca1c9ec31968/rendering/08.obj", "3.21774840355")</f>
        <v>3.21774840355</v>
      </c>
      <c r="L845" s="17" t="str">
        <f>HYPERLINK(AB2 &amp; "/calculator/sn_c8b68e20495b591c19a9ca1c9ec31968/rendering/09.obj", "3.14275479317")</f>
        <v>3.14275479317</v>
      </c>
      <c r="M845" s="13" t="str">
        <f>HYPERLINK(AB2 &amp; "/calculator/sn_c8b68e20495b591c19a9ca1c9ec31968/rendering/10.obj", "3.21154212952")</f>
        <v>3.21154212952</v>
      </c>
      <c r="N845" s="72" t="str">
        <f>HYPERLINK(AB2 &amp; "/calculator/sn_c8b68e20495b591c19a9ca1c9ec31968/rendering/11.obj", "3.31504559517")</f>
        <v>3.31504559517</v>
      </c>
      <c r="O845" s="13" t="str">
        <f>HYPERLINK(AB2 &amp; "/calculator/sn_c8b68e20495b591c19a9ca1c9ec31968/rendering/12.obj", "3.21697497368")</f>
        <v>3.21697497368</v>
      </c>
      <c r="P845" s="17" t="str">
        <f>HYPERLINK(AB2 &amp; "/calculator/sn_c8b68e20495b591c19a9ca1c9ec31968/rendering/13.obj", "3.14428043365")</f>
        <v>3.14428043365</v>
      </c>
      <c r="Q845" s="17" t="str">
        <f>HYPERLINK(AB2 &amp; "/calculator/sn_c8b68e20495b591c19a9ca1c9ec31968/rendering/14.obj", "3.14359474182")</f>
        <v>3.14359474182</v>
      </c>
      <c r="R845" s="41" t="str">
        <f>HYPERLINK(AB2 &amp; "/calculator/sn_c8b68e20495b591c19a9ca1c9ec31968/rendering/15.obj", "2.99138998985")</f>
        <v>2.99138998985</v>
      </c>
      <c r="S845" s="73" t="str">
        <f>HYPERLINK(AB2 &amp; "/calculator/sn_c8b68e20495b591c19a9ca1c9ec31968/rendering/16.obj", "3.09412884712")</f>
        <v>3.09412884712</v>
      </c>
      <c r="T845" s="34" t="str">
        <f>HYPERLINK(AB2 &amp; "/calculator/sn_c8b68e20495b591c19a9ca1c9ec31968/rendering/17.obj", "3.36256694794")</f>
        <v>3.36256694794</v>
      </c>
      <c r="U845" s="78" t="str">
        <f>HYPERLINK(AB2 &amp; "/calculator/sn_c8b68e20495b591c19a9ca1c9ec31968/rendering/18.obj", "3.39945363998")</f>
        <v>3.39945363998</v>
      </c>
      <c r="V845" s="5" t="str">
        <f>HYPERLINK(AB2 &amp; "/calculator/sn_c8b68e20495b591c19a9ca1c9ec31968/rendering/19.obj", "3.45470142365")</f>
        <v>3.45470142365</v>
      </c>
      <c r="W845" s="12" t="s">
        <v>32</v>
      </c>
      <c r="X845" s="13">
        <v>3.2075115680694579</v>
      </c>
      <c r="Y845" s="13">
        <v>0.18971186210666499</v>
      </c>
      <c r="Z845" s="35">
        <v>5.91461193765387E-2</v>
      </c>
    </row>
    <row r="846" spans="1:26" x14ac:dyDescent="0.2">
      <c r="A846" s="1">
        <v>844</v>
      </c>
      <c r="B846" s="2" t="s">
        <v>201</v>
      </c>
      <c r="C846" s="13" t="str">
        <f>HYPERLINK(AC2 &amp; "/calculator/sn_c8b68e20495b591c19a9ca1c9ec31968/rendering/00.xyz", "0.0")</f>
        <v>0.0</v>
      </c>
      <c r="D846" s="13" t="str">
        <f>HYPERLINK(AC2 &amp; "/calculator/sn_c8b68e20495b591c19a9ca1c9ec31968/rendering/01.xyz", "0.0")</f>
        <v>0.0</v>
      </c>
      <c r="E846" s="13" t="str">
        <f>HYPERLINK(AC2 &amp; "/calculator/sn_c8b68e20495b591c19a9ca1c9ec31968/rendering/02.xyz", "0.0")</f>
        <v>0.0</v>
      </c>
      <c r="F846" s="13" t="str">
        <f>HYPERLINK(AC2 &amp; "/calculator/sn_c8b68e20495b591c19a9ca1c9ec31968/rendering/03.xyz", "0.0")</f>
        <v>0.0</v>
      </c>
      <c r="G846" s="13" t="str">
        <f>HYPERLINK(AC2 &amp; "/calculator/sn_c8b68e20495b591c19a9ca1c9ec31968/rendering/04.xyz", "0.0")</f>
        <v>0.0</v>
      </c>
      <c r="H846" s="13" t="str">
        <f>HYPERLINK(AC2 &amp; "/calculator/sn_c8b68e20495b591c19a9ca1c9ec31968/rendering/05.xyz", "0.0")</f>
        <v>0.0</v>
      </c>
      <c r="I846" s="13" t="str">
        <f>HYPERLINK(AC2 &amp; "/calculator/sn_c8b68e20495b591c19a9ca1c9ec31968/rendering/06.xyz", "0.0")</f>
        <v>0.0</v>
      </c>
      <c r="J846" s="13" t="str">
        <f>HYPERLINK(AC2 &amp; "/calculator/sn_c8b68e20495b591c19a9ca1c9ec31968/rendering/07.xyz", "0.0")</f>
        <v>0.0</v>
      </c>
      <c r="K846" s="13" t="str">
        <f>HYPERLINK(AC2 &amp; "/calculator/sn_c8b68e20495b591c19a9ca1c9ec31968/rendering/08.xyz", "0.0")</f>
        <v>0.0</v>
      </c>
      <c r="L846" s="13" t="str">
        <f>HYPERLINK(AC2 &amp; "/calculator/sn_c8b68e20495b591c19a9ca1c9ec31968/rendering/09.xyz", "0.0")</f>
        <v>0.0</v>
      </c>
      <c r="M846" s="13" t="str">
        <f>HYPERLINK(AC2 &amp; "/calculator/sn_c8b68e20495b591c19a9ca1c9ec31968/rendering/10.xyz", "0.0")</f>
        <v>0.0</v>
      </c>
      <c r="N846" s="13" t="str">
        <f>HYPERLINK(AC2 &amp; "/calculator/sn_c8b68e20495b591c19a9ca1c9ec31968/rendering/11.xyz", "0.0")</f>
        <v>0.0</v>
      </c>
      <c r="O846" s="13" t="str">
        <f>HYPERLINK(AC2 &amp; "/calculator/sn_c8b68e20495b591c19a9ca1c9ec31968/rendering/12.xyz", "0.0")</f>
        <v>0.0</v>
      </c>
      <c r="P846" s="13" t="str">
        <f>HYPERLINK(AC2 &amp; "/calculator/sn_c8b68e20495b591c19a9ca1c9ec31968/rendering/13.xyz", "0.0")</f>
        <v>0.0</v>
      </c>
      <c r="Q846" s="13" t="str">
        <f>HYPERLINK(AC2 &amp; "/calculator/sn_c8b68e20495b591c19a9ca1c9ec31968/rendering/14.xyz", "0.0")</f>
        <v>0.0</v>
      </c>
      <c r="R846" s="13" t="str">
        <f>HYPERLINK(AC2 &amp; "/calculator/sn_c8b68e20495b591c19a9ca1c9ec31968/rendering/15.xyz", "0.0")</f>
        <v>0.0</v>
      </c>
      <c r="S846" s="13" t="str">
        <f>HYPERLINK(AC2 &amp; "/calculator/sn_c8b68e20495b591c19a9ca1c9ec31968/rendering/16.xyz", "0.0")</f>
        <v>0.0</v>
      </c>
      <c r="T846" s="13" t="str">
        <f>HYPERLINK(AC2 &amp; "/calculator/sn_c8b68e20495b591c19a9ca1c9ec31968/rendering/17.xyz", "0.0")</f>
        <v>0.0</v>
      </c>
      <c r="U846" s="13" t="str">
        <f>HYPERLINK(AC2 &amp; "/calculator/sn_c8b68e20495b591c19a9ca1c9ec31968/rendering/18.xyz", "0.0")</f>
        <v>0.0</v>
      </c>
      <c r="V846" s="13" t="str">
        <f>HYPERLINK(AC2 &amp; "/calculator/sn_c8b68e20495b591c19a9ca1c9ec31968/rendering/19.xyz", "0.0")</f>
        <v>0.0</v>
      </c>
      <c r="W846" s="12" t="s">
        <v>33</v>
      </c>
      <c r="X846" s="13">
        <v>0</v>
      </c>
      <c r="Y846" s="13">
        <v>0</v>
      </c>
      <c r="Z846" s="13">
        <v>0</v>
      </c>
    </row>
    <row r="847" spans="1:26" x14ac:dyDescent="0.2">
      <c r="A847" s="1">
        <v>845</v>
      </c>
      <c r="B847" s="2" t="s">
        <v>202</v>
      </c>
      <c r="C847" s="99" t="str">
        <f>HYPERLINK(AA2 &amp; "/calculator/sn_cdf2273b23d3f147f1c83b9415baaca4/rendering/00.obj", "9.47355895996")</f>
        <v>9.47355895996</v>
      </c>
      <c r="D847" s="41" t="str">
        <f>HYPERLINK(AA2 &amp; "/calculator/sn_cdf2273b23d3f147f1c83b9415baaca4/rendering/01.obj", "6.95392883301")</f>
        <v>6.95392883301</v>
      </c>
      <c r="E847" s="77" t="str">
        <f>HYPERLINK(AA2 &amp; "/calculator/sn_cdf2273b23d3f147f1c83b9415baaca4/rendering/02.obj", "6.05385925293")</f>
        <v>6.05385925293</v>
      </c>
      <c r="F847" s="20" t="str">
        <f>HYPERLINK(AA2 &amp; "/calculator/sn_cdf2273b23d3f147f1c83b9415baaca4/rendering/03.obj", "30.8418066406")</f>
        <v>30.8418066406</v>
      </c>
      <c r="G847" s="18" t="str">
        <f>HYPERLINK(AA2 &amp; "/calculator/sn_cdf2273b23d3f147f1c83b9415baaca4/rendering/04.obj", "3.14373840332")</f>
        <v>3.14373840332</v>
      </c>
      <c r="H847" s="59" t="str">
        <f>HYPERLINK(AA2 &amp; "/calculator/sn_cdf2273b23d3f147f1c83b9415baaca4/rendering/05.obj", "5.66669799805")</f>
        <v>5.66669799805</v>
      </c>
      <c r="I847" s="8" t="str">
        <f>HYPERLINK(AA2 &amp; "/calculator/sn_cdf2273b23d3f147f1c83b9415baaca4/rendering/06.obj", "6.38138305664")</f>
        <v>6.38138305664</v>
      </c>
      <c r="J847" s="102" t="str">
        <f>HYPERLINK(AA2 &amp; "/calculator/sn_cdf2273b23d3f147f1c83b9415baaca4/rendering/07.obj", "3.74543945312")</f>
        <v>3.74543945312</v>
      </c>
      <c r="K847" s="223" t="str">
        <f>HYPERLINK(AA2 &amp; "/calculator/sn_cdf2273b23d3f147f1c83b9415baaca4/rendering/08.obj", "3.28039825439")</f>
        <v>3.28039825439</v>
      </c>
      <c r="L847" s="229" t="str">
        <f>HYPERLINK(AA2 &amp; "/calculator/sn_cdf2273b23d3f147f1c83b9415baaca4/rendering/09.obj", "12.5232397461")</f>
        <v>12.5232397461</v>
      </c>
      <c r="M847" s="83" t="str">
        <f>HYPERLINK(AA2 &amp; "/calculator/sn_cdf2273b23d3f147f1c83b9415baaca4/rendering/10.obj", "8.5794354248")</f>
        <v>8.5794354248</v>
      </c>
      <c r="N847" s="20" t="str">
        <f>HYPERLINK(AA2 &amp; "/calculator/sn_cdf2273b23d3f147f1c83b9415baaca4/rendering/11.obj", "21.3522143555")</f>
        <v>21.3522143555</v>
      </c>
      <c r="O847" s="215" t="str">
        <f>HYPERLINK(AA2 &amp; "/calculator/sn_cdf2273b23d3f147f1c83b9415baaca4/rendering/12.obj", "2.44705169678")</f>
        <v>2.44705169678</v>
      </c>
      <c r="P847" s="131" t="str">
        <f>HYPERLINK(AA2 &amp; "/calculator/sn_cdf2273b23d3f147f1c83b9415baaca4/rendering/13.obj", "4.00551269531")</f>
        <v>4.00551269531</v>
      </c>
      <c r="Q847" s="92" t="str">
        <f>HYPERLINK(AA2 &amp; "/calculator/sn_cdf2273b23d3f147f1c83b9415baaca4/rendering/14.obj", "6.512265625")</f>
        <v>6.512265625</v>
      </c>
      <c r="R847" s="238" t="str">
        <f>HYPERLINK(AA2 &amp; "/calculator/sn_cdf2273b23d3f147f1c83b9415baaca4/rendering/15.obj", "2.19540603638")</f>
        <v>2.19540603638</v>
      </c>
      <c r="S847" s="246" t="str">
        <f>HYPERLINK(AA2 &amp; "/calculator/sn_cdf2273b23d3f147f1c83b9415baaca4/rendering/16.obj", "2.90837585449")</f>
        <v>2.90837585449</v>
      </c>
      <c r="T847" s="200" t="str">
        <f>HYPERLINK(AA2 &amp; "/calculator/sn_cdf2273b23d3f147f1c83b9415baaca4/rendering/17.obj", "3.88068206787")</f>
        <v>3.88068206787</v>
      </c>
      <c r="U847" s="96" t="str">
        <f>HYPERLINK(AA2 &amp; "/calculator/sn_cdf2273b23d3f147f1c83b9415baaca4/rendering/18.obj", "4.75701599121")</f>
        <v>4.75701599121</v>
      </c>
      <c r="V847" s="116" t="str">
        <f>HYPERLINK(AA2 &amp; "/calculator/sn_cdf2273b23d3f147f1c83b9415baaca4/rendering/19.obj", "4.19053710937")</f>
        <v>4.19053710937</v>
      </c>
      <c r="W847" s="12" t="s">
        <v>29</v>
      </c>
      <c r="X847" s="13">
        <v>7.4446273727417012</v>
      </c>
      <c r="Y847" s="13">
        <v>6.8715105735042732</v>
      </c>
      <c r="Z847" s="20">
        <v>0.92301605298125744</v>
      </c>
    </row>
    <row r="848" spans="1:26" x14ac:dyDescent="0.2">
      <c r="A848" s="1">
        <v>846</v>
      </c>
      <c r="B848" s="2" t="s">
        <v>202</v>
      </c>
      <c r="C848" s="212" t="str">
        <f>HYPERLINK(AA2 &amp; "/calculator/sn_cdf2273b23d3f147f1c83b9415baaca4/rendering/00.obj", "9.38117313385")</f>
        <v>9.38117313385</v>
      </c>
      <c r="D848" s="192" t="str">
        <f>HYPERLINK(AA2 &amp; "/calculator/sn_cdf2273b23d3f147f1c83b9415baaca4/rendering/01.obj", "10.3562707901")</f>
        <v>10.3562707901</v>
      </c>
      <c r="E848" s="143" t="str">
        <f>HYPERLINK(AA2 &amp; "/calculator/sn_cdf2273b23d3f147f1c83b9415baaca4/rendering/02.obj", "8.69912052155")</f>
        <v>8.69912052155</v>
      </c>
      <c r="F848" s="20" t="str">
        <f>HYPERLINK(AA2 &amp; "/calculator/sn_cdf2273b23d3f147f1c83b9415baaca4/rendering/03.obj", "139.846817017")</f>
        <v>139.846817017</v>
      </c>
      <c r="G848" s="208" t="str">
        <f>HYPERLINK(AA2 &amp; "/calculator/sn_cdf2273b23d3f147f1c83b9415baaca4/rendering/04.obj", "3.87267494202")</f>
        <v>3.87267494202</v>
      </c>
      <c r="H848" s="143" t="str">
        <f>HYPERLINK(AA2 &amp; "/calculator/sn_cdf2273b23d3f147f1c83b9415baaca4/rendering/05.obj", "8.72273826599")</f>
        <v>8.72273826599</v>
      </c>
      <c r="I848" s="111" t="str">
        <f>HYPERLINK(AA2 &amp; "/calculator/sn_cdf2273b23d3f147f1c83b9415baaca4/rendering/06.obj", "9.53076934814")</f>
        <v>9.53076934814</v>
      </c>
      <c r="J848" s="216" t="str">
        <f>HYPERLINK(AA2 &amp; "/calculator/sn_cdf2273b23d3f147f1c83b9415baaca4/rendering/07.obj", "5.73770904541")</f>
        <v>5.73770904541</v>
      </c>
      <c r="K848" s="208" t="str">
        <f>HYPERLINK(AA2 &amp; "/calculator/sn_cdf2273b23d3f147f1c83b9415baaca4/rendering/08.obj", "3.89175462723")</f>
        <v>3.89175462723</v>
      </c>
      <c r="L848" s="80" t="str">
        <f>HYPERLINK(AA2 &amp; "/calculator/sn_cdf2273b23d3f147f1c83b9415baaca4/rendering/09.obj", "18.9503612518")</f>
        <v>18.9503612518</v>
      </c>
      <c r="M848" s="66" t="str">
        <f>HYPERLINK(AA2 &amp; "/calculator/sn_cdf2273b23d3f147f1c83b9415baaca4/rendering/10.obj", "13.8292446136")</f>
        <v>13.8292446136</v>
      </c>
      <c r="N848" s="20" t="str">
        <f>HYPERLINK(AA2 &amp; "/calculator/sn_cdf2273b23d3f147f1c83b9415baaca4/rendering/11.obj", "55.9765129089")</f>
        <v>55.9765129089</v>
      </c>
      <c r="O848" s="20" t="str">
        <f>HYPERLINK(AA2 &amp; "/calculator/sn_cdf2273b23d3f147f1c83b9415baaca4/rendering/12.obj", "3.33448505402")</f>
        <v>3.33448505402</v>
      </c>
      <c r="P848" s="164" t="str">
        <f>HYPERLINK(AA2 &amp; "/calculator/sn_cdf2273b23d3f147f1c83b9415baaca4/rendering/13.obj", "6.03699207306")</f>
        <v>6.03699207306</v>
      </c>
      <c r="Q848" s="132" t="str">
        <f>HYPERLINK(AA2 &amp; "/calculator/sn_cdf2273b23d3f147f1c83b9415baaca4/rendering/14.obj", "9.58253097534")</f>
        <v>9.58253097534</v>
      </c>
      <c r="R848" s="20" t="str">
        <f>HYPERLINK(AA2 &amp; "/calculator/sn_cdf2273b23d3f147f1c83b9415baaca4/rendering/15.obj", "2.76424860954")</f>
        <v>2.76424860954</v>
      </c>
      <c r="S848" s="184" t="str">
        <f>HYPERLINK(AA2 &amp; "/calculator/sn_cdf2273b23d3f147f1c83b9415baaca4/rendering/16.obj", "4.36375904083")</f>
        <v>4.36375904083</v>
      </c>
      <c r="T848" s="234" t="str">
        <f>HYPERLINK(AA2 &amp; "/calculator/sn_cdf2273b23d3f147f1c83b9415baaca4/rendering/17.obj", "4.24430894852")</f>
        <v>4.24430894852</v>
      </c>
      <c r="U848" s="45" t="str">
        <f>HYPERLINK(AA2 &amp; "/calculator/sn_cdf2273b23d3f147f1c83b9415baaca4/rendering/18.obj", "5.56638813019")</f>
        <v>5.56638813019</v>
      </c>
      <c r="V848" s="155" t="str">
        <f>HYPERLINK(AA2 &amp; "/calculator/sn_cdf2273b23d3f147f1c83b9415baaca4/rendering/19.obj", "5.34934949875")</f>
        <v>5.34934949875</v>
      </c>
      <c r="W848" s="12" t="s">
        <v>30</v>
      </c>
      <c r="X848" s="13">
        <v>16.501860439777371</v>
      </c>
      <c r="Y848" s="13">
        <v>30.446054849290508</v>
      </c>
      <c r="Z848" s="20">
        <v>1.8450074135823471</v>
      </c>
    </row>
    <row r="849" spans="1:26" x14ac:dyDescent="0.2">
      <c r="A849" s="1">
        <v>847</v>
      </c>
      <c r="B849" s="2" t="s">
        <v>202</v>
      </c>
      <c r="C849" s="88" t="str">
        <f>HYPERLINK(AB2 &amp; "/calculator/sn_cdf2273b23d3f147f1c83b9415baaca4/rendering/00.obj", "2.94853881836")</f>
        <v>2.94853881836</v>
      </c>
      <c r="D849" s="157" t="str">
        <f>HYPERLINK(AB2 &amp; "/calculator/sn_cdf2273b23d3f147f1c83b9415baaca4/rendering/01.obj", "5.22564208984")</f>
        <v>5.22564208984</v>
      </c>
      <c r="E849" s="52" t="str">
        <f>HYPERLINK(AB2 &amp; "/calculator/sn_cdf2273b23d3f147f1c83b9415baaca4/rendering/02.obj", "5.17011901855")</f>
        <v>5.17011901855</v>
      </c>
      <c r="F849" s="74" t="str">
        <f>HYPERLINK(AB2 &amp; "/calculator/sn_cdf2273b23d3f147f1c83b9415baaca4/rendering/03.obj", "3.74365234375")</f>
        <v>3.74365234375</v>
      </c>
      <c r="G849" s="142" t="str">
        <f>HYPERLINK(AB2 &amp; "/calculator/sn_cdf2273b23d3f147f1c83b9415baaca4/rendering/04.obj", "2.23904052734")</f>
        <v>2.23904052734</v>
      </c>
      <c r="H849" s="7" t="str">
        <f>HYPERLINK(AB2 &amp; "/calculator/sn_cdf2273b23d3f147f1c83b9415baaca4/rendering/05.obj", "4.70826751709")</f>
        <v>4.70826751709</v>
      </c>
      <c r="I849" s="39" t="str">
        <f>HYPERLINK(AB2 &amp; "/calculator/sn_cdf2273b23d3f147f1c83b9415baaca4/rendering/06.obj", "3.36909088135")</f>
        <v>3.36909088135</v>
      </c>
      <c r="J849" s="75" t="str">
        <f>HYPERLINK(AB2 &amp; "/calculator/sn_cdf2273b23d3f147f1c83b9415baaca4/rendering/07.obj", "2.86874938965")</f>
        <v>2.86874938965</v>
      </c>
      <c r="K849" s="151" t="str">
        <f>HYPERLINK(AB2 &amp; "/calculator/sn_cdf2273b23d3f147f1c83b9415baaca4/rendering/08.obj", "2.36592071533")</f>
        <v>2.36592071533</v>
      </c>
      <c r="L849" s="166" t="str">
        <f>HYPERLINK(AB2 &amp; "/calculator/sn_cdf2273b23d3f147f1c83b9415baaca4/rendering/09.obj", "4.74496520996")</f>
        <v>4.74496520996</v>
      </c>
      <c r="M849" s="66" t="str">
        <f>HYPERLINK(AB2 &amp; "/calculator/sn_cdf2273b23d3f147f1c83b9415baaca4/rendering/10.obj", "3.0933416748")</f>
        <v>3.0933416748</v>
      </c>
      <c r="N849" s="249" t="str">
        <f>HYPERLINK(AB2 &amp; "/calculator/sn_cdf2273b23d3f147f1c83b9415baaca4/rendering/11.obj", "5.8059185791")</f>
        <v>5.8059185791</v>
      </c>
      <c r="O849" s="13" t="str">
        <f>HYPERLINK(AB2 &amp; "/calculator/sn_cdf2273b23d3f147f1c83b9415baaca4/rendering/12.obj", "3.68626953125")</f>
        <v>3.68626953125</v>
      </c>
      <c r="P849" s="58" t="str">
        <f>HYPERLINK(AB2 &amp; "/calculator/sn_cdf2273b23d3f147f1c83b9415baaca4/rendering/13.obj", "4.58398132324")</f>
        <v>4.58398132324</v>
      </c>
      <c r="Q849" s="63" t="str">
        <f>HYPERLINK(AB2 &amp; "/calculator/sn_cdf2273b23d3f147f1c83b9415baaca4/rendering/14.obj", "3.24541595459")</f>
        <v>3.24541595459</v>
      </c>
      <c r="R849" s="91" t="str">
        <f>HYPERLINK(AB2 &amp; "/calculator/sn_cdf2273b23d3f147f1c83b9415baaca4/rendering/15.obj", "3.59086730957")</f>
        <v>3.59086730957</v>
      </c>
      <c r="S849" s="60" t="str">
        <f>HYPERLINK(AB2 &amp; "/calculator/sn_cdf2273b23d3f147f1c83b9415baaca4/rendering/16.obj", "3.8808013916")</f>
        <v>3.8808013916</v>
      </c>
      <c r="T849" s="42" t="str">
        <f>HYPERLINK(AB2 &amp; "/calculator/sn_cdf2273b23d3f147f1c83b9415baaca4/rendering/17.obj", "3.18415466309")</f>
        <v>3.18415466309</v>
      </c>
      <c r="U849" s="119" t="str">
        <f>HYPERLINK(AB2 &amp; "/calculator/sn_cdf2273b23d3f147f1c83b9415baaca4/rendering/18.obj", "2.71430267334")</f>
        <v>2.71430267334</v>
      </c>
      <c r="V849" s="14" t="str">
        <f>HYPERLINK(AB2 &amp; "/calculator/sn_cdf2273b23d3f147f1c83b9415baaca4/rendering/19.obj", "2.61956787109")</f>
        <v>2.61956787109</v>
      </c>
      <c r="W849" s="12" t="s">
        <v>31</v>
      </c>
      <c r="X849" s="13">
        <v>3.6894303741455081</v>
      </c>
      <c r="Y849" s="13">
        <v>1.002926140740406</v>
      </c>
      <c r="Z849" s="99">
        <v>0.27183766571897677</v>
      </c>
    </row>
    <row r="850" spans="1:26" x14ac:dyDescent="0.2">
      <c r="A850" s="1">
        <v>848</v>
      </c>
      <c r="B850" s="2" t="s">
        <v>202</v>
      </c>
      <c r="C850" s="135" t="str">
        <f>HYPERLINK(AB2 &amp; "/calculator/sn_cdf2273b23d3f147f1c83b9415baaca4/rendering/00.obj", "2.64129066467")</f>
        <v>2.64129066467</v>
      </c>
      <c r="D850" s="172" t="str">
        <f>HYPERLINK(AB2 &amp; "/calculator/sn_cdf2273b23d3f147f1c83b9415baaca4/rendering/01.obj", "4.91989040375")</f>
        <v>4.91989040375</v>
      </c>
      <c r="E850" s="176" t="str">
        <f>HYPERLINK(AB2 &amp; "/calculator/sn_cdf2273b23d3f147f1c83b9415baaca4/rendering/02.obj", "4.68912172318")</f>
        <v>4.68912172318</v>
      </c>
      <c r="F850" s="110" t="str">
        <f>HYPERLINK(AB2 &amp; "/calculator/sn_cdf2273b23d3f147f1c83b9415baaca4/rendering/03.obj", "3.19942188263")</f>
        <v>3.19942188263</v>
      </c>
      <c r="G850" s="81" t="str">
        <f>HYPERLINK(AB2 &amp; "/calculator/sn_cdf2273b23d3f147f1c83b9415baaca4/rendering/04.obj", "2.77534985542")</f>
        <v>2.77534985542</v>
      </c>
      <c r="H850" s="109" t="str">
        <f>HYPERLINK(AB2 &amp; "/calculator/sn_cdf2273b23d3f147f1c83b9415baaca4/rendering/05.obj", "4.22848987579")</f>
        <v>4.22848987579</v>
      </c>
      <c r="I850" s="82" t="str">
        <f>HYPERLINK(AB2 &amp; "/calculator/sn_cdf2273b23d3f147f1c83b9415baaca4/rendering/06.obj", "2.81944441795")</f>
        <v>2.81944441795</v>
      </c>
      <c r="J850" s="76" t="str">
        <f>HYPERLINK(AB2 &amp; "/calculator/sn_cdf2273b23d3f147f1c83b9415baaca4/rendering/07.obj", "2.90410518646")</f>
        <v>2.90410518646</v>
      </c>
      <c r="K850" s="4" t="str">
        <f>HYPERLINK(AB2 &amp; "/calculator/sn_cdf2273b23d3f147f1c83b9415baaca4/rendering/08.obj", "2.54744434357")</f>
        <v>2.54744434357</v>
      </c>
      <c r="L850" s="126" t="str">
        <f>HYPERLINK(AB2 &amp; "/calculator/sn_cdf2273b23d3f147f1c83b9415baaca4/rendering/09.obj", "5.32744407654")</f>
        <v>5.32744407654</v>
      </c>
      <c r="M850" s="59" t="str">
        <f>HYPERLINK(AB2 &amp; "/calculator/sn_cdf2273b23d3f147f1c83b9415baaca4/rendering/10.obj", "2.69950437546")</f>
        <v>2.69950437546</v>
      </c>
      <c r="N850" s="215" t="str">
        <f>HYPERLINK(AB2 &amp; "/calculator/sn_cdf2273b23d3f147f1c83b9415baaca4/rendering/11.obj", "5.93453264236")</f>
        <v>5.93453264236</v>
      </c>
      <c r="O850" s="8" t="str">
        <f>HYPERLINK(AB2 &amp; "/calculator/sn_cdf2273b23d3f147f1c83b9415baaca4/rendering/12.obj", "4.06393003464")</f>
        <v>4.06393003464</v>
      </c>
      <c r="P850" s="93" t="str">
        <f>HYPERLINK(AB2 &amp; "/calculator/sn_cdf2273b23d3f147f1c83b9415baaca4/rendering/13.obj", "4.04856109619")</f>
        <v>4.04856109619</v>
      </c>
      <c r="Q850" s="71" t="str">
        <f>HYPERLINK(AB2 &amp; "/calculator/sn_cdf2273b23d3f147f1c83b9415baaca4/rendering/14.obj", "3.12945580482")</f>
        <v>3.12945580482</v>
      </c>
      <c r="R850" s="36" t="str">
        <f>HYPERLINK(AB2 &amp; "/calculator/sn_cdf2273b23d3f147f1c83b9415baaca4/rendering/15.obj", "2.7921025753")</f>
        <v>2.7921025753</v>
      </c>
      <c r="S850" s="32" t="str">
        <f>HYPERLINK(AB2 &amp; "/calculator/sn_cdf2273b23d3f147f1c83b9415baaca4/rendering/16.obj", "3.92744493484")</f>
        <v>3.92744493484</v>
      </c>
      <c r="T850" s="175" t="str">
        <f>HYPERLINK(AB2 &amp; "/calculator/sn_cdf2273b23d3f147f1c83b9415baaca4/rendering/17.obj", "2.72160172462")</f>
        <v>2.72160172462</v>
      </c>
      <c r="U850" s="64" t="str">
        <f>HYPERLINK(AB2 &amp; "/calculator/sn_cdf2273b23d3f147f1c83b9415baaca4/rendering/18.obj", "2.96555662155")</f>
        <v>2.96555662155</v>
      </c>
      <c r="V850" s="175" t="str">
        <f>HYPERLINK(AB2 &amp; "/calculator/sn_cdf2273b23d3f147f1c83b9415baaca4/rendering/19.obj", "2.71785473824")</f>
        <v>2.71785473824</v>
      </c>
      <c r="W850" s="12" t="s">
        <v>32</v>
      </c>
      <c r="X850" s="13">
        <v>3.5526273488998412</v>
      </c>
      <c r="Y850" s="13">
        <v>0.99585405386785431</v>
      </c>
      <c r="Z850" s="95">
        <v>0.28031480818731103</v>
      </c>
    </row>
    <row r="851" spans="1:26" x14ac:dyDescent="0.2">
      <c r="A851" s="1">
        <v>849</v>
      </c>
      <c r="B851" s="2" t="s">
        <v>202</v>
      </c>
      <c r="C851" s="13" t="str">
        <f>HYPERLINK(AC2 &amp; "/calculator/sn_cdf2273b23d3f147f1c83b9415baaca4/rendering/00.xyz", "0.0")</f>
        <v>0.0</v>
      </c>
      <c r="D851" s="13" t="str">
        <f>HYPERLINK(AC2 &amp; "/calculator/sn_cdf2273b23d3f147f1c83b9415baaca4/rendering/01.xyz", "0.0")</f>
        <v>0.0</v>
      </c>
      <c r="E851" s="13" t="str">
        <f>HYPERLINK(AC2 &amp; "/calculator/sn_cdf2273b23d3f147f1c83b9415baaca4/rendering/02.xyz", "0.0")</f>
        <v>0.0</v>
      </c>
      <c r="F851" s="13" t="str">
        <f>HYPERLINK(AC2 &amp; "/calculator/sn_cdf2273b23d3f147f1c83b9415baaca4/rendering/03.xyz", "0.0")</f>
        <v>0.0</v>
      </c>
      <c r="G851" s="13" t="str">
        <f>HYPERLINK(AC2 &amp; "/calculator/sn_cdf2273b23d3f147f1c83b9415baaca4/rendering/04.xyz", "0.0")</f>
        <v>0.0</v>
      </c>
      <c r="H851" s="13" t="str">
        <f>HYPERLINK(AC2 &amp; "/calculator/sn_cdf2273b23d3f147f1c83b9415baaca4/rendering/05.xyz", "0.0")</f>
        <v>0.0</v>
      </c>
      <c r="I851" s="13" t="str">
        <f>HYPERLINK(AC2 &amp; "/calculator/sn_cdf2273b23d3f147f1c83b9415baaca4/rendering/06.xyz", "0.0")</f>
        <v>0.0</v>
      </c>
      <c r="J851" s="13" t="str">
        <f>HYPERLINK(AC2 &amp; "/calculator/sn_cdf2273b23d3f147f1c83b9415baaca4/rendering/07.xyz", "0.0")</f>
        <v>0.0</v>
      </c>
      <c r="K851" s="13" t="str">
        <f>HYPERLINK(AC2 &amp; "/calculator/sn_cdf2273b23d3f147f1c83b9415baaca4/rendering/08.xyz", "0.0")</f>
        <v>0.0</v>
      </c>
      <c r="L851" s="13" t="str">
        <f>HYPERLINK(AC2 &amp; "/calculator/sn_cdf2273b23d3f147f1c83b9415baaca4/rendering/09.xyz", "0.0")</f>
        <v>0.0</v>
      </c>
      <c r="M851" s="13" t="str">
        <f>HYPERLINK(AC2 &amp; "/calculator/sn_cdf2273b23d3f147f1c83b9415baaca4/rendering/10.xyz", "0.0")</f>
        <v>0.0</v>
      </c>
      <c r="N851" s="13" t="str">
        <f>HYPERLINK(AC2 &amp; "/calculator/sn_cdf2273b23d3f147f1c83b9415baaca4/rendering/11.xyz", "0.0")</f>
        <v>0.0</v>
      </c>
      <c r="O851" s="13" t="str">
        <f>HYPERLINK(AC2 &amp; "/calculator/sn_cdf2273b23d3f147f1c83b9415baaca4/rendering/12.xyz", "0.0")</f>
        <v>0.0</v>
      </c>
      <c r="P851" s="13" t="str">
        <f>HYPERLINK(AC2 &amp; "/calculator/sn_cdf2273b23d3f147f1c83b9415baaca4/rendering/13.xyz", "0.0")</f>
        <v>0.0</v>
      </c>
      <c r="Q851" s="13" t="str">
        <f>HYPERLINK(AC2 &amp; "/calculator/sn_cdf2273b23d3f147f1c83b9415baaca4/rendering/14.xyz", "0.0")</f>
        <v>0.0</v>
      </c>
      <c r="R851" s="13" t="str">
        <f>HYPERLINK(AC2 &amp; "/calculator/sn_cdf2273b23d3f147f1c83b9415baaca4/rendering/15.xyz", "0.0")</f>
        <v>0.0</v>
      </c>
      <c r="S851" s="13" t="str">
        <f>HYPERLINK(AC2 &amp; "/calculator/sn_cdf2273b23d3f147f1c83b9415baaca4/rendering/16.xyz", "0.0")</f>
        <v>0.0</v>
      </c>
      <c r="T851" s="13" t="str">
        <f>HYPERLINK(AC2 &amp; "/calculator/sn_cdf2273b23d3f147f1c83b9415baaca4/rendering/17.xyz", "0.0")</f>
        <v>0.0</v>
      </c>
      <c r="U851" s="13" t="str">
        <f>HYPERLINK(AC2 &amp; "/calculator/sn_cdf2273b23d3f147f1c83b9415baaca4/rendering/18.xyz", "0.0")</f>
        <v>0.0</v>
      </c>
      <c r="V851" s="13" t="str">
        <f>HYPERLINK(AC2 &amp; "/calculator/sn_cdf2273b23d3f147f1c83b9415baaca4/rendering/19.xyz", "0.0")</f>
        <v>0.0</v>
      </c>
      <c r="W851" s="12" t="s">
        <v>33</v>
      </c>
      <c r="X851" s="13">
        <v>0</v>
      </c>
      <c r="Y851" s="13">
        <v>0</v>
      </c>
      <c r="Z851" s="13">
        <v>0</v>
      </c>
    </row>
    <row r="852" spans="1:26" x14ac:dyDescent="0.2">
      <c r="A852" s="1">
        <v>850</v>
      </c>
      <c r="B852" s="2" t="s">
        <v>203</v>
      </c>
      <c r="C852" s="11" t="str">
        <f>HYPERLINK(AA2 &amp; "/calculator/sn_d0fe921914a86aabbbf11080fab610/rendering/00.obj", "2.49176177979")</f>
        <v>2.49176177979</v>
      </c>
      <c r="D852" s="87" t="str">
        <f>HYPERLINK(AA2 &amp; "/calculator/sn_d0fe921914a86aabbbf11080fab610/rendering/01.obj", "2.47295913696")</f>
        <v>2.47295913696</v>
      </c>
      <c r="E852" s="61" t="str">
        <f>HYPERLINK(AA2 &amp; "/calculator/sn_d0fe921914a86aabbbf11080fab610/rendering/02.obj", "2.23160934448")</f>
        <v>2.23160934448</v>
      </c>
      <c r="F852" s="145" t="str">
        <f>HYPERLINK(AA2 &amp; "/calculator/sn_d0fe921914a86aabbbf11080fab610/rendering/03.obj", "4.77885620117")</f>
        <v>4.77885620117</v>
      </c>
      <c r="G852" s="19" t="str">
        <f>HYPERLINK(AA2 &amp; "/calculator/sn_d0fe921914a86aabbbf11080fab610/rendering/04.obj", "2.36734466553")</f>
        <v>2.36734466553</v>
      </c>
      <c r="H852" s="38" t="str">
        <f>HYPERLINK(AA2 &amp; "/calculator/sn_d0fe921914a86aabbbf11080fab610/rendering/05.obj", "3.4968560791")</f>
        <v>3.4968560791</v>
      </c>
      <c r="I852" s="65" t="str">
        <f>HYPERLINK(AA2 &amp; "/calculator/sn_d0fe921914a86aabbbf11080fab610/rendering/06.obj", "2.77552978516")</f>
        <v>2.77552978516</v>
      </c>
      <c r="J852" s="44" t="str">
        <f>HYPERLINK(AA2 &amp; "/calculator/sn_d0fe921914a86aabbbf11080fab610/rendering/07.obj", "2.58057250977")</f>
        <v>2.58057250977</v>
      </c>
      <c r="K852" s="166" t="str">
        <f>HYPERLINK(AA2 &amp; "/calculator/sn_d0fe921914a86aabbbf11080fab610/rendering/08.obj", "4.12369567871")</f>
        <v>4.12369567871</v>
      </c>
      <c r="L852" s="100" t="str">
        <f>HYPERLINK(AA2 &amp; "/calculator/sn_d0fe921914a86aabbbf11080fab610/rendering/09.obj", "4.16649536133")</f>
        <v>4.16649536133</v>
      </c>
      <c r="M852" s="135" t="str">
        <f>HYPERLINK(AA2 &amp; "/calculator/sn_d0fe921914a86aabbbf11080fab610/rendering/10.obj", "4.02706237793")</f>
        <v>4.02706237793</v>
      </c>
      <c r="N852" s="8" t="str">
        <f>HYPERLINK(AA2 &amp; "/calculator/sn_d0fe921914a86aabbbf11080fab610/rendering/11.obj", "2.74413299561")</f>
        <v>2.74413299561</v>
      </c>
      <c r="O852" s="22" t="str">
        <f>HYPERLINK(AA2 &amp; "/calculator/sn_d0fe921914a86aabbbf11080fab610/rendering/12.obj", "4.88552429199")</f>
        <v>4.88552429199</v>
      </c>
      <c r="P852" s="119" t="str">
        <f>HYPERLINK(AA2 &amp; "/calculator/sn_d0fe921914a86aabbbf11080fab610/rendering/13.obj", "2.35907424927")</f>
        <v>2.35907424927</v>
      </c>
      <c r="Q852" s="113" t="str">
        <f>HYPERLINK(AA2 &amp; "/calculator/sn_d0fe921914a86aabbbf11080fab610/rendering/14.obj", "4.08856506348")</f>
        <v>4.08856506348</v>
      </c>
      <c r="R852" s="97" t="str">
        <f>HYPERLINK(AA2 &amp; "/calculator/sn_d0fe921914a86aabbbf11080fab610/rendering/15.obj", "4.59690795898")</f>
        <v>4.59690795898</v>
      </c>
      <c r="S852" s="71" t="str">
        <f>HYPERLINK(AA2 &amp; "/calculator/sn_d0fe921914a86aabbbf11080fab610/rendering/16.obj", "2.8265927124")</f>
        <v>2.8265927124</v>
      </c>
      <c r="T852" s="47" t="str">
        <f>HYPERLINK(AA2 &amp; "/calculator/sn_d0fe921914a86aabbbf11080fab610/rendering/17.obj", "3.17818847656")</f>
        <v>3.17818847656</v>
      </c>
      <c r="U852" s="193" t="str">
        <f>HYPERLINK(AA2 &amp; "/calculator/sn_d0fe921914a86aabbbf11080fab610/rendering/18.obj", "2.14141906738")</f>
        <v>2.14141906738</v>
      </c>
      <c r="V852" s="163" t="str">
        <f>HYPERLINK(AA2 &amp; "/calculator/sn_d0fe921914a86aabbbf11080fab610/rendering/19.obj", "1.79688690186")</f>
        <v>1.79688690186</v>
      </c>
      <c r="W852" s="12" t="s">
        <v>29</v>
      </c>
      <c r="X852" s="13">
        <v>3.2065017318725588</v>
      </c>
      <c r="Y852" s="13">
        <v>0.9487535532274618</v>
      </c>
      <c r="Z852" s="85">
        <v>0.29588431024280187</v>
      </c>
    </row>
    <row r="853" spans="1:26" x14ac:dyDescent="0.2">
      <c r="A853" s="1">
        <v>851</v>
      </c>
      <c r="B853" s="2" t="s">
        <v>203</v>
      </c>
      <c r="C853" s="23" t="str">
        <f>HYPERLINK(AA2 &amp; "/calculator/sn_d0fe921914a86aabbbf11080fab610/rendering/00.obj", "4.22890710831")</f>
        <v>4.22890710831</v>
      </c>
      <c r="D853" s="25" t="str">
        <f>HYPERLINK(AA2 &amp; "/calculator/sn_d0fe921914a86aabbbf11080fab610/rendering/01.obj", "4.45147943497")</f>
        <v>4.45147943497</v>
      </c>
      <c r="E853" s="81" t="str">
        <f>HYPERLINK(AA2 &amp; "/calculator/sn_d0fe921914a86aabbbf11080fab610/rendering/02.obj", "3.44359755516")</f>
        <v>3.44359755516</v>
      </c>
      <c r="F853" s="98" t="str">
        <f>HYPERLINK(AA2 &amp; "/calculator/sn_d0fe921914a86aabbbf11080fab610/rendering/03.obj", "5.41235399246")</f>
        <v>5.41235399246</v>
      </c>
      <c r="G853" s="106" t="str">
        <f>HYPERLINK(AA2 &amp; "/calculator/sn_d0fe921914a86aabbbf11080fab610/rendering/04.obj", "3.892796278")</f>
        <v>3.892796278</v>
      </c>
      <c r="H853" s="254" t="str">
        <f>HYPERLINK(AA2 &amp; "/calculator/sn_d0fe921914a86aabbbf11080fab610/rendering/05.obj", "7.81339454651")</f>
        <v>7.81339454651</v>
      </c>
      <c r="I853" s="44" t="str">
        <f>HYPERLINK(AA2 &amp; "/calculator/sn_d0fe921914a86aabbbf11080fab610/rendering/06.obj", "3.53458333015")</f>
        <v>3.53458333015</v>
      </c>
      <c r="J853" s="17" t="str">
        <f>HYPERLINK(AA2 &amp; "/calculator/sn_d0fe921914a86aabbbf11080fab610/rendering/07.obj", "4.31141662598")</f>
        <v>4.31141662598</v>
      </c>
      <c r="K853" s="76" t="str">
        <f>HYPERLINK(AA2 &amp; "/calculator/sn_d0fe921914a86aabbbf11080fab610/rendering/08.obj", "5.20624732971")</f>
        <v>5.20624732971</v>
      </c>
      <c r="L853" s="60" t="str">
        <f>HYPERLINK(AA2 &amp; "/calculator/sn_d0fe921914a86aabbbf11080fab610/rendering/09.obj", "4.62626218796")</f>
        <v>4.62626218796</v>
      </c>
      <c r="M853" s="74" t="str">
        <f>HYPERLINK(AA2 &amp; "/calculator/sn_d0fe921914a86aabbbf11080fab610/rendering/10.obj", "4.47135448456")</f>
        <v>4.47135448456</v>
      </c>
      <c r="N853" s="41" t="str">
        <f>HYPERLINK(AA2 &amp; "/calculator/sn_d0fe921914a86aabbbf11080fab610/rendering/11.obj", "4.11151981354")</f>
        <v>4.11151981354</v>
      </c>
      <c r="O853" s="73" t="str">
        <f>HYPERLINK(AA2 &amp; "/calculator/sn_d0fe921914a86aabbbf11080fab610/rendering/12.obj", "4.24847793579")</f>
        <v>4.24847793579</v>
      </c>
      <c r="P853" s="140" t="str">
        <f>HYPERLINK(AA2 &amp; "/calculator/sn_d0fe921914a86aabbbf11080fab610/rendering/13.obj", "2.88001132011")</f>
        <v>2.88001132011</v>
      </c>
      <c r="Q853" s="134" t="str">
        <f>HYPERLINK(AA2 &amp; "/calculator/sn_d0fe921914a86aabbbf11080fab610/rendering/14.obj", "5.20139122009")</f>
        <v>5.20139122009</v>
      </c>
      <c r="R853" s="223" t="str">
        <f>HYPERLINK(AA2 &amp; "/calculator/sn_d0fe921914a86aabbbf11080fab610/rendering/15.obj", "6.86660718918")</f>
        <v>6.86660718918</v>
      </c>
      <c r="S853" s="171" t="str">
        <f>HYPERLINK(AA2 &amp; "/calculator/sn_d0fe921914a86aabbbf11080fab610/rendering/16.obj", "3.05575704575")</f>
        <v>3.05575704575</v>
      </c>
      <c r="T853" s="34" t="str">
        <f>HYPERLINK(AA2 &amp; "/calculator/sn_d0fe921914a86aabbbf11080fab610/rendering/17.obj", "4.61099767685")</f>
        <v>4.61099767685</v>
      </c>
      <c r="U853" s="56" t="str">
        <f>HYPERLINK(AA2 &amp; "/calculator/sn_d0fe921914a86aabbbf11080fab610/rendering/18.obj", "3.03884863853")</f>
        <v>3.03884863853</v>
      </c>
      <c r="V853" s="142" t="str">
        <f>HYPERLINK(AA2 &amp; "/calculator/sn_d0fe921914a86aabbbf11080fab610/rendering/19.obj", "2.66494321823")</f>
        <v>2.66494321823</v>
      </c>
      <c r="W853" s="12" t="s">
        <v>30</v>
      </c>
      <c r="X853" s="13">
        <v>4.4035473465919486</v>
      </c>
      <c r="Y853" s="13">
        <v>1.2490087611165339</v>
      </c>
      <c r="Z853" s="4">
        <v>0.28363695512055359</v>
      </c>
    </row>
    <row r="854" spans="1:26" x14ac:dyDescent="0.2">
      <c r="A854" s="1">
        <v>852</v>
      </c>
      <c r="B854" s="2" t="s">
        <v>203</v>
      </c>
      <c r="C854" s="108" t="str">
        <f>HYPERLINK(AB2 &amp; "/calculator/sn_d0fe921914a86aabbbf11080fab610/rendering/00.obj", "3.51549530029")</f>
        <v>3.51549530029</v>
      </c>
      <c r="D854" s="90" t="str">
        <f>HYPERLINK(AB2 &amp; "/calculator/sn_d0fe921914a86aabbbf11080fab610/rendering/01.obj", "2.54656860352")</f>
        <v>2.54656860352</v>
      </c>
      <c r="E854" s="166" t="str">
        <f>HYPERLINK(AB2 &amp; "/calculator/sn_d0fe921914a86aabbbf11080fab610/rendering/02.obj", "2.00936019897")</f>
        <v>2.00936019897</v>
      </c>
      <c r="F854" s="191" t="str">
        <f>HYPERLINK(AB2 &amp; "/calculator/sn_d0fe921914a86aabbbf11080fab610/rendering/03.obj", "4.09873535156")</f>
        <v>4.09873535156</v>
      </c>
      <c r="G854" s="29" t="str">
        <f>HYPERLINK(AB2 &amp; "/calculator/sn_d0fe921914a86aabbbf11080fab610/rendering/04.obj", "2.44831634521")</f>
        <v>2.44831634521</v>
      </c>
      <c r="H854" s="162" t="str">
        <f>HYPERLINK(AB2 &amp; "/calculator/sn_d0fe921914a86aabbbf11080fab610/rendering/05.obj", "4.01331481934")</f>
        <v>4.01331481934</v>
      </c>
      <c r="I854" s="5" t="str">
        <f>HYPERLINK(AB2 &amp; "/calculator/sn_d0fe921914a86aabbbf11080fab610/rendering/06.obj", "2.60664245605")</f>
        <v>2.60664245605</v>
      </c>
      <c r="J854" s="17" t="str">
        <f>HYPERLINK(AB2 &amp; "/calculator/sn_d0fe921914a86aabbbf11080fab610/rendering/07.obj", "2.87220703125")</f>
        <v>2.87220703125</v>
      </c>
      <c r="K854" s="103" t="str">
        <f>HYPERLINK(AB2 &amp; "/calculator/sn_d0fe921914a86aabbbf11080fab610/rendering/08.obj", "1.90670455933")</f>
        <v>1.90670455933</v>
      </c>
      <c r="L854" s="40" t="str">
        <f>HYPERLINK(AB2 &amp; "/calculator/sn_d0fe921914a86aabbbf11080fab610/rendering/09.obj", "3.29957458496")</f>
        <v>3.29957458496</v>
      </c>
      <c r="M854" s="78" t="str">
        <f>HYPERLINK(AB2 &amp; "/calculator/sn_d0fe921914a86aabbbf11080fab610/rendering/10.obj", "2.64844940186")</f>
        <v>2.64844940186</v>
      </c>
      <c r="N854" s="83" t="str">
        <f>HYPERLINK(AB2 &amp; "/calculator/sn_d0fe921914a86aabbbf11080fab610/rendering/11.obj", "2.38758300781")</f>
        <v>2.38758300781</v>
      </c>
      <c r="O854" s="28" t="str">
        <f>HYPERLINK(AB2 &amp; "/calculator/sn_d0fe921914a86aabbbf11080fab610/rendering/12.obj", "3.13528747559")</f>
        <v>3.13528747559</v>
      </c>
      <c r="P854" s="8" t="str">
        <f>HYPERLINK(AB2 &amp; "/calculator/sn_d0fe921914a86aabbbf11080fab610/rendering/13.obj", "2.42030639648")</f>
        <v>2.42030639648</v>
      </c>
      <c r="Q854" s="49" t="str">
        <f>HYPERLINK(AB2 &amp; "/calculator/sn_d0fe921914a86aabbbf11080fab610/rendering/14.obj", "2.22795593262")</f>
        <v>2.22795593262</v>
      </c>
      <c r="R854" s="34" t="str">
        <f>HYPERLINK(AB2 &amp; "/calculator/sn_d0fe921914a86aabbbf11080fab610/rendering/15.obj", "2.68125488281")</f>
        <v>2.68125488281</v>
      </c>
      <c r="S854" s="90" t="str">
        <f>HYPERLINK(AB2 &amp; "/calculator/sn_d0fe921914a86aabbbf11080fab610/rendering/16.obj", "2.55315307617")</f>
        <v>2.55315307617</v>
      </c>
      <c r="T854" s="54" t="str">
        <f>HYPERLINK(AB2 &amp; "/calculator/sn_d0fe921914a86aabbbf11080fab610/rendering/17.obj", "3.74452392578")</f>
        <v>3.74452392578</v>
      </c>
      <c r="U854" s="69" t="str">
        <f>HYPERLINK(AB2 &amp; "/calculator/sn_d0fe921914a86aabbbf11080fab610/rendering/18.obj", "2.73707885742")</f>
        <v>2.73707885742</v>
      </c>
      <c r="V854" s="133" t="str">
        <f>HYPERLINK(AB2 &amp; "/calculator/sn_d0fe921914a86aabbbf11080fab610/rendering/19.obj", "2.52757125854")</f>
        <v>2.52757125854</v>
      </c>
      <c r="W854" s="12" t="s">
        <v>31</v>
      </c>
      <c r="X854" s="13">
        <v>2.8190041732788091</v>
      </c>
      <c r="Y854" s="13">
        <v>0.60782151259950423</v>
      </c>
      <c r="Z854" s="36">
        <v>0.2156156838507059</v>
      </c>
    </row>
    <row r="855" spans="1:26" x14ac:dyDescent="0.2">
      <c r="A855" s="1">
        <v>853</v>
      </c>
      <c r="B855" s="2" t="s">
        <v>203</v>
      </c>
      <c r="C855" s="46" t="str">
        <f>HYPERLINK(AB2 &amp; "/calculator/sn_d0fe921914a86aabbbf11080fab610/rendering/00.obj", "2.96900868416")</f>
        <v>2.96900868416</v>
      </c>
      <c r="D855" s="31" t="str">
        <f>HYPERLINK(AB2 &amp; "/calculator/sn_d0fe921914a86aabbbf11080fab610/rendering/01.obj", "2.45726323128")</f>
        <v>2.45726323128</v>
      </c>
      <c r="E855" s="33" t="str">
        <f>HYPERLINK(AB2 &amp; "/calculator/sn_d0fe921914a86aabbbf11080fab610/rendering/02.obj", "2.59871029854")</f>
        <v>2.59871029854</v>
      </c>
      <c r="F855" s="148" t="str">
        <f>HYPERLINK(AB2 &amp; "/calculator/sn_d0fe921914a86aabbbf11080fab610/rendering/03.obj", "4.32430648804")</f>
        <v>4.32430648804</v>
      </c>
      <c r="G855" s="71" t="str">
        <f>HYPERLINK(AB2 &amp; "/calculator/sn_d0fe921914a86aabbbf11080fab610/rendering/04.obj", "2.57126736641")</f>
        <v>2.57126736641</v>
      </c>
      <c r="H855" s="213" t="str">
        <f>HYPERLINK(AB2 &amp; "/calculator/sn_d0fe921914a86aabbbf11080fab610/rendering/05.obj", "4.35614728928")</f>
        <v>4.35614728928</v>
      </c>
      <c r="I855" s="134" t="str">
        <f>HYPERLINK(AB2 &amp; "/calculator/sn_d0fe921914a86aabbbf11080fab610/rendering/06.obj", "2.3929104805")</f>
        <v>2.3929104805</v>
      </c>
      <c r="J855" s="94" t="str">
        <f>HYPERLINK(AB2 &amp; "/calculator/sn_d0fe921914a86aabbbf11080fab610/rendering/07.obj", "3.12473797798")</f>
        <v>3.12473797798</v>
      </c>
      <c r="K855" s="93" t="str">
        <f>HYPERLINK(AB2 &amp; "/calculator/sn_d0fe921914a86aabbbf11080fab610/rendering/08.obj", "2.50579571724")</f>
        <v>2.50579571724</v>
      </c>
      <c r="L855" s="32" t="str">
        <f>HYPERLINK(AB2 &amp; "/calculator/sn_d0fe921914a86aabbbf11080fab610/rendering/09.obj", "3.22381830215")</f>
        <v>3.22381830215</v>
      </c>
      <c r="M855" s="133" t="str">
        <f>HYPERLINK(AB2 &amp; "/calculator/sn_d0fe921914a86aabbbf11080fab610/rendering/10.obj", "2.61378502846")</f>
        <v>2.61378502846</v>
      </c>
      <c r="N855" s="38" t="str">
        <f>HYPERLINK(AB2 &amp; "/calculator/sn_d0fe921914a86aabbbf11080fab610/rendering/11.obj", "2.65678620338")</f>
        <v>2.65678620338</v>
      </c>
      <c r="O855" s="27" t="str">
        <f>HYPERLINK(AB2 &amp; "/calculator/sn_d0fe921914a86aabbbf11080fab610/rendering/12.obj", "2.7114751339")</f>
        <v>2.7114751339</v>
      </c>
      <c r="P855" s="117" t="str">
        <f>HYPERLINK(AB2 &amp; "/calculator/sn_d0fe921914a86aabbbf11080fab610/rendering/13.obj", "2.39401721954")</f>
        <v>2.39401721954</v>
      </c>
      <c r="Q855" s="41" t="str">
        <f>HYPERLINK(AB2 &amp; "/calculator/sn_d0fe921914a86aabbbf11080fab610/rendering/14.obj", "2.71742892265")</f>
        <v>2.71742892265</v>
      </c>
      <c r="R855" s="91" t="str">
        <f>HYPERLINK(AB2 &amp; "/calculator/sn_d0fe921914a86aabbbf11080fab610/rendering/15.obj", "2.84005784988")</f>
        <v>2.84005784988</v>
      </c>
      <c r="S855" s="28" t="str">
        <f>HYPERLINK(AB2 &amp; "/calculator/sn_d0fe921914a86aabbbf11080fab610/rendering/16.obj", "2.58538246155")</f>
        <v>2.58538246155</v>
      </c>
      <c r="T855" s="95" t="str">
        <f>HYPERLINK(AB2 &amp; "/calculator/sn_d0fe921914a86aabbbf11080fab610/rendering/17.obj", "3.73543572426")</f>
        <v>3.73543572426</v>
      </c>
      <c r="U855" s="6" t="str">
        <f>HYPERLINK(AB2 &amp; "/calculator/sn_d0fe921914a86aabbbf11080fab610/rendering/18.obj", "2.78157019615")</f>
        <v>2.78157019615</v>
      </c>
      <c r="V855" s="26" t="str">
        <f>HYPERLINK(AB2 &amp; "/calculator/sn_d0fe921914a86aabbbf11080fab610/rendering/19.obj", "2.72374677658")</f>
        <v>2.72374677658</v>
      </c>
      <c r="W855" s="12" t="s">
        <v>32</v>
      </c>
      <c r="X855" s="13">
        <v>2.914182567596435</v>
      </c>
      <c r="Y855" s="13">
        <v>0.56674938021968979</v>
      </c>
      <c r="Z855" s="55">
        <v>0.1944797098581007</v>
      </c>
    </row>
    <row r="856" spans="1:26" x14ac:dyDescent="0.2">
      <c r="A856" s="1">
        <v>854</v>
      </c>
      <c r="B856" s="2" t="s">
        <v>203</v>
      </c>
      <c r="C856" s="13" t="str">
        <f>HYPERLINK(AC2 &amp; "/calculator/sn_d0fe921914a86aabbbf11080fab610/rendering/00.xyz", "0.0")</f>
        <v>0.0</v>
      </c>
      <c r="D856" s="13" t="str">
        <f>HYPERLINK(AC2 &amp; "/calculator/sn_d0fe921914a86aabbbf11080fab610/rendering/01.xyz", "0.0")</f>
        <v>0.0</v>
      </c>
      <c r="E856" s="13" t="str">
        <f>HYPERLINK(AC2 &amp; "/calculator/sn_d0fe921914a86aabbbf11080fab610/rendering/02.xyz", "0.0")</f>
        <v>0.0</v>
      </c>
      <c r="F856" s="13" t="str">
        <f>HYPERLINK(AC2 &amp; "/calculator/sn_d0fe921914a86aabbbf11080fab610/rendering/03.xyz", "0.0")</f>
        <v>0.0</v>
      </c>
      <c r="G856" s="13" t="str">
        <f>HYPERLINK(AC2 &amp; "/calculator/sn_d0fe921914a86aabbbf11080fab610/rendering/04.xyz", "0.0")</f>
        <v>0.0</v>
      </c>
      <c r="H856" s="13" t="str">
        <f>HYPERLINK(AC2 &amp; "/calculator/sn_d0fe921914a86aabbbf11080fab610/rendering/05.xyz", "0.0")</f>
        <v>0.0</v>
      </c>
      <c r="I856" s="13" t="str">
        <f>HYPERLINK(AC2 &amp; "/calculator/sn_d0fe921914a86aabbbf11080fab610/rendering/06.xyz", "0.0")</f>
        <v>0.0</v>
      </c>
      <c r="J856" s="13" t="str">
        <f>HYPERLINK(AC2 &amp; "/calculator/sn_d0fe921914a86aabbbf11080fab610/rendering/07.xyz", "0.0")</f>
        <v>0.0</v>
      </c>
      <c r="K856" s="13" t="str">
        <f>HYPERLINK(AC2 &amp; "/calculator/sn_d0fe921914a86aabbbf11080fab610/rendering/08.xyz", "0.0")</f>
        <v>0.0</v>
      </c>
      <c r="L856" s="13" t="str">
        <f>HYPERLINK(AC2 &amp; "/calculator/sn_d0fe921914a86aabbbf11080fab610/rendering/09.xyz", "0.0")</f>
        <v>0.0</v>
      </c>
      <c r="M856" s="13" t="str">
        <f>HYPERLINK(AC2 &amp; "/calculator/sn_d0fe921914a86aabbbf11080fab610/rendering/10.xyz", "0.0")</f>
        <v>0.0</v>
      </c>
      <c r="N856" s="13" t="str">
        <f>HYPERLINK(AC2 &amp; "/calculator/sn_d0fe921914a86aabbbf11080fab610/rendering/11.xyz", "0.0")</f>
        <v>0.0</v>
      </c>
      <c r="O856" s="13" t="str">
        <f>HYPERLINK(AC2 &amp; "/calculator/sn_d0fe921914a86aabbbf11080fab610/rendering/12.xyz", "0.0")</f>
        <v>0.0</v>
      </c>
      <c r="P856" s="13" t="str">
        <f>HYPERLINK(AC2 &amp; "/calculator/sn_d0fe921914a86aabbbf11080fab610/rendering/13.xyz", "0.0")</f>
        <v>0.0</v>
      </c>
      <c r="Q856" s="13" t="str">
        <f>HYPERLINK(AC2 &amp; "/calculator/sn_d0fe921914a86aabbbf11080fab610/rendering/14.xyz", "0.0")</f>
        <v>0.0</v>
      </c>
      <c r="R856" s="13" t="str">
        <f>HYPERLINK(AC2 &amp; "/calculator/sn_d0fe921914a86aabbbf11080fab610/rendering/15.xyz", "0.0")</f>
        <v>0.0</v>
      </c>
      <c r="S856" s="13" t="str">
        <f>HYPERLINK(AC2 &amp; "/calculator/sn_d0fe921914a86aabbbf11080fab610/rendering/16.xyz", "0.0")</f>
        <v>0.0</v>
      </c>
      <c r="T856" s="13" t="str">
        <f>HYPERLINK(AC2 &amp; "/calculator/sn_d0fe921914a86aabbbf11080fab610/rendering/17.xyz", "0.0")</f>
        <v>0.0</v>
      </c>
      <c r="U856" s="13" t="str">
        <f>HYPERLINK(AC2 &amp; "/calculator/sn_d0fe921914a86aabbbf11080fab610/rendering/18.xyz", "0.0")</f>
        <v>0.0</v>
      </c>
      <c r="V856" s="13" t="str">
        <f>HYPERLINK(AC2 &amp; "/calculator/sn_d0fe921914a86aabbbf11080fab610/rendering/19.xyz", "0.0")</f>
        <v>0.0</v>
      </c>
      <c r="W856" s="12" t="s">
        <v>33</v>
      </c>
      <c r="X856" s="13">
        <v>0</v>
      </c>
      <c r="Y856" s="13">
        <v>0</v>
      </c>
      <c r="Z856" s="13">
        <v>0</v>
      </c>
    </row>
    <row r="857" spans="1:26" x14ac:dyDescent="0.2">
      <c r="A857" s="1">
        <v>855</v>
      </c>
      <c r="B857" s="2" t="s">
        <v>204</v>
      </c>
      <c r="C857" s="170" t="str">
        <f>HYPERLINK(AA2 &amp; "/calculator/sn_d1ecf1316ee3f53db8803f6649e6cb9b/rendering/00.obj", "6.43738891602")</f>
        <v>6.43738891602</v>
      </c>
      <c r="D857" s="56" t="str">
        <f>HYPERLINK(AA2 &amp; "/calculator/sn_d1ecf1316ee3f53db8803f6649e6cb9b/rendering/01.obj", "6.72306396484")</f>
        <v>6.72306396484</v>
      </c>
      <c r="E857" s="114" t="str">
        <f>HYPERLINK(AA2 &amp; "/calculator/sn_d1ecf1316ee3f53db8803f6649e6cb9b/rendering/02.obj", "2.76630187988")</f>
        <v>2.76630187988</v>
      </c>
      <c r="F857" s="14" t="str">
        <f>HYPERLINK(AA2 &amp; "/calculator/sn_d1ecf1316ee3f53db8803f6649e6cb9b/rendering/03.obj", "6.62880859375")</f>
        <v>6.62880859375</v>
      </c>
      <c r="G857" s="44" t="str">
        <f>HYPERLINK(AA2 &amp; "/calculator/sn_d1ecf1316ee3f53db8803f6649e6cb9b/rendering/04.obj", "6.13736694336")</f>
        <v>6.13736694336</v>
      </c>
      <c r="H857" s="210" t="str">
        <f>HYPERLINK(AA2 &amp; "/calculator/sn_d1ecf1316ee3f53db8803f6649e6cb9b/rendering/05.obj", "9.09449157715")</f>
        <v>9.09449157715</v>
      </c>
      <c r="I857" s="122" t="str">
        <f>HYPERLINK(AA2 &amp; "/calculator/sn_d1ecf1316ee3f53db8803f6649e6cb9b/rendering/06.obj", "3.06500610352")</f>
        <v>3.06500610352</v>
      </c>
      <c r="J857" s="36" t="str">
        <f>HYPERLINK(AA2 &amp; "/calculator/sn_d1ecf1316ee3f53db8803f6649e6cb9b/rendering/07.obj", "4.03778717041")</f>
        <v>4.03778717041</v>
      </c>
      <c r="K857" s="61" t="str">
        <f>HYPERLINK(AA2 &amp; "/calculator/sn_d1ecf1316ee3f53db8803f6649e6cb9b/rendering/08.obj", "3.58610534668")</f>
        <v>3.58610534668</v>
      </c>
      <c r="L857" s="156" t="str">
        <f>HYPERLINK(AA2 &amp; "/calculator/sn_d1ecf1316ee3f53db8803f6649e6cb9b/rendering/09.obj", "2.83132202148")</f>
        <v>2.83132202148</v>
      </c>
      <c r="M857" s="201" t="str">
        <f>HYPERLINK(AA2 &amp; "/calculator/sn_d1ecf1316ee3f53db8803f6649e6cb9b/rendering/10.obj", "8.12773742676")</f>
        <v>8.12773742676</v>
      </c>
      <c r="N857" s="101" t="str">
        <f>HYPERLINK(AA2 &amp; "/calculator/sn_d1ecf1316ee3f53db8803f6649e6cb9b/rendering/11.obj", "7.07089111328")</f>
        <v>7.07089111328</v>
      </c>
      <c r="O857" s="13" t="str">
        <f>HYPERLINK(AA2 &amp; "/calculator/sn_d1ecf1316ee3f53db8803f6649e6cb9b/rendering/12.obj", "5.1409362793")</f>
        <v>5.1409362793</v>
      </c>
      <c r="P857" s="66" t="str">
        <f>HYPERLINK(AA2 &amp; "/calculator/sn_d1ecf1316ee3f53db8803f6649e6cb9b/rendering/13.obj", "4.30059265137")</f>
        <v>4.30059265137</v>
      </c>
      <c r="Q857" s="120" t="str">
        <f>HYPERLINK(AA2 &amp; "/calculator/sn_d1ecf1316ee3f53db8803f6649e6cb9b/rendering/14.obj", "4.04031982422")</f>
        <v>4.04031982422</v>
      </c>
      <c r="R857" s="74" t="str">
        <f>HYPERLINK(AA2 &amp; "/calculator/sn_d1ecf1316ee3f53db8803f6649e6cb9b/rendering/15.obj", "5.06889892578")</f>
        <v>5.06889892578</v>
      </c>
      <c r="S857" s="28" t="str">
        <f>HYPERLINK(AA2 &amp; "/calculator/sn_d1ecf1316ee3f53db8803f6649e6cb9b/rendering/16.obj", "5.69907348633")</f>
        <v>5.69907348633</v>
      </c>
      <c r="T857" s="34" t="str">
        <f>HYPERLINK(AA2 &amp; "/calculator/sn_d1ecf1316ee3f53db8803f6649e6cb9b/rendering/17.obj", "5.38862121582")</f>
        <v>5.38862121582</v>
      </c>
      <c r="U857" s="140" t="str">
        <f>HYPERLINK(AA2 &amp; "/calculator/sn_d1ecf1316ee3f53db8803f6649e6cb9b/rendering/18.obj", "3.35963165283")</f>
        <v>3.35963165283</v>
      </c>
      <c r="V857" s="172" t="str">
        <f>HYPERLINK(AA2 &amp; "/calculator/sn_d1ecf1316ee3f53db8803f6649e6cb9b/rendering/19.obj", "3.16422729492")</f>
        <v>3.16422729492</v>
      </c>
      <c r="W857" s="12" t="s">
        <v>29</v>
      </c>
      <c r="X857" s="13">
        <v>5.1334286193847651</v>
      </c>
      <c r="Y857" s="13">
        <v>1.788279581763105</v>
      </c>
      <c r="Z857" s="187">
        <v>0.34835968596314643</v>
      </c>
    </row>
    <row r="858" spans="1:26" x14ac:dyDescent="0.2">
      <c r="A858" s="1">
        <v>856</v>
      </c>
      <c r="B858" s="2" t="s">
        <v>204</v>
      </c>
      <c r="C858" s="88" t="str">
        <f>HYPERLINK(AA2 &amp; "/calculator/sn_d1ecf1316ee3f53db8803f6649e6cb9b/rendering/00.obj", "8.57850074768")</f>
        <v>8.57850074768</v>
      </c>
      <c r="D858" s="110" t="str">
        <f>HYPERLINK(AA2 &amp; "/calculator/sn_d1ecf1316ee3f53db8803f6649e6cb9b/rendering/01.obj", "6.42531776428")</f>
        <v>6.42531776428</v>
      </c>
      <c r="E858" s="137" t="str">
        <f>HYPERLINK(AA2 &amp; "/calculator/sn_d1ecf1316ee3f53db8803f6649e6cb9b/rendering/02.obj", "4.52664136887")</f>
        <v>4.52664136887</v>
      </c>
      <c r="F858" s="108" t="str">
        <f>HYPERLINK(AA2 &amp; "/calculator/sn_d1ecf1316ee3f53db8803f6649e6cb9b/rendering/03.obj", "8.89579200745")</f>
        <v>8.89579200745</v>
      </c>
      <c r="G858" s="63" t="str">
        <f>HYPERLINK(AA2 &amp; "/calculator/sn_d1ecf1316ee3f53db8803f6649e6cb9b/rendering/04.obj", "6.2774810791")</f>
        <v>6.2774810791</v>
      </c>
      <c r="H858" s="20" t="str">
        <f>HYPERLINK(AA2 &amp; "/calculator/sn_d1ecf1316ee3f53db8803f6649e6cb9b/rendering/05.obj", "14.8592367172")</f>
        <v>14.8592367172</v>
      </c>
      <c r="I858" s="53" t="str">
        <f>HYPERLINK(AA2 &amp; "/calculator/sn_d1ecf1316ee3f53db8803f6649e6cb9b/rendering/06.obj", "4.19796133041")</f>
        <v>4.19796133041</v>
      </c>
      <c r="J858" s="8" t="str">
        <f>HYPERLINK(AA2 &amp; "/calculator/sn_d1ecf1316ee3f53db8803f6649e6cb9b/rendering/07.obj", "6.1058549881")</f>
        <v>6.1058549881</v>
      </c>
      <c r="K858" s="61" t="str">
        <f>HYPERLINK(AA2 &amp; "/calculator/sn_d1ecf1316ee3f53db8803f6649e6cb9b/rendering/08.obj", "4.98213720322")</f>
        <v>4.98213720322</v>
      </c>
      <c r="L858" s="129" t="str">
        <f>HYPERLINK(AA2 &amp; "/calculator/sn_d1ecf1316ee3f53db8803f6649e6cb9b/rendering/09.obj", "5.36200666428")</f>
        <v>5.36200666428</v>
      </c>
      <c r="M858" s="71" t="str">
        <f>HYPERLINK(AA2 &amp; "/calculator/sn_d1ecf1316ee3f53db8803f6649e6cb9b/rendering/10.obj", "7.9654583931")</f>
        <v>7.9654583931</v>
      </c>
      <c r="N858" s="102" t="str">
        <f>HYPERLINK(AA2 &amp; "/calculator/sn_d1ecf1316ee3f53db8803f6649e6cb9b/rendering/11.obj", "10.6828355789")</f>
        <v>10.6828355789</v>
      </c>
      <c r="O858" s="71" t="str">
        <f>HYPERLINK(AA2 &amp; "/calculator/sn_d1ecf1316ee3f53db8803f6649e6cb9b/rendering/12.obj", "7.96686172485")</f>
        <v>7.96686172485</v>
      </c>
      <c r="P858" s="5" t="str">
        <f>HYPERLINK(AA2 &amp; "/calculator/sn_d1ecf1316ee3f53db8803f6649e6cb9b/rendering/13.obj", "7.67965269089")</f>
        <v>7.67965269089</v>
      </c>
      <c r="Q858" s="32" t="str">
        <f>HYPERLINK(AA2 &amp; "/calculator/sn_d1ecf1316ee3f53db8803f6649e6cb9b/rendering/14.obj", "6.39075088501")</f>
        <v>6.39075088501</v>
      </c>
      <c r="R858" s="26" t="str">
        <f>HYPERLINK(AA2 &amp; "/calculator/sn_d1ecf1316ee3f53db8803f6649e6cb9b/rendering/15.obj", "7.60127973557")</f>
        <v>7.60127973557</v>
      </c>
      <c r="S858" s="30" t="str">
        <f>HYPERLINK(AA2 &amp; "/calculator/sn_d1ecf1316ee3f53db8803f6649e6cb9b/rendering/16.obj", "7.1074180603")</f>
        <v>7.1074180603</v>
      </c>
      <c r="T858" s="6" t="str">
        <f>HYPERLINK(AA2 &amp; "/calculator/sn_d1ecf1316ee3f53db8803f6649e6cb9b/rendering/17.obj", "7.46450996399")</f>
        <v>7.46450996399</v>
      </c>
      <c r="U858" s="61" t="str">
        <f>HYPERLINK(AA2 &amp; "/calculator/sn_d1ecf1316ee3f53db8803f6649e6cb9b/rendering/18.obj", "4.96463155746")</f>
        <v>4.96463155746</v>
      </c>
      <c r="V858" s="153" t="str">
        <f>HYPERLINK(AA2 &amp; "/calculator/sn_d1ecf1316ee3f53db8803f6649e6cb9b/rendering/19.obj", "4.59596014023")</f>
        <v>4.59596014023</v>
      </c>
      <c r="W858" s="12" t="s">
        <v>30</v>
      </c>
      <c r="X858" s="13">
        <v>7.1315144300460824</v>
      </c>
      <c r="Y858" s="13">
        <v>2.415131227506345</v>
      </c>
      <c r="Z858" s="138">
        <v>0.33865615097559842</v>
      </c>
    </row>
    <row r="859" spans="1:26" x14ac:dyDescent="0.2">
      <c r="A859" s="1">
        <v>857</v>
      </c>
      <c r="B859" s="2" t="s">
        <v>204</v>
      </c>
      <c r="C859" s="39" t="str">
        <f>HYPERLINK(AB2 &amp; "/calculator/sn_d1ecf1316ee3f53db8803f6649e6cb9b/rendering/00.obj", "2.92213378906")</f>
        <v>2.92213378906</v>
      </c>
      <c r="D859" s="47" t="str">
        <f>HYPERLINK(AB2 &amp; "/calculator/sn_d1ecf1316ee3f53db8803f6649e6cb9b/rendering/01.obj", "3.22132781982")</f>
        <v>3.22132781982</v>
      </c>
      <c r="E859" s="35" t="str">
        <f>HYPERLINK(AB2 &amp; "/calculator/sn_d1ecf1316ee3f53db8803f6649e6cb9b/rendering/02.obj", "3.01043457031")</f>
        <v>3.01043457031</v>
      </c>
      <c r="F859" s="93" t="str">
        <f>HYPERLINK(AB2 &amp; "/calculator/sn_d1ecf1316ee3f53db8803f6649e6cb9b/rendering/03.obj", "2.74797546387")</f>
        <v>2.74797546387</v>
      </c>
      <c r="G859" s="38" t="str">
        <f>HYPERLINK(AB2 &amp; "/calculator/sn_d1ecf1316ee3f53db8803f6649e6cb9b/rendering/04.obj", "3.4776373291")</f>
        <v>3.4776373291</v>
      </c>
      <c r="H859" s="46" t="str">
        <f>HYPERLINK(AB2 &amp; "/calculator/sn_d1ecf1316ee3f53db8803f6649e6cb9b/rendering/05.obj", "3.14067687988")</f>
        <v>3.14067687988</v>
      </c>
      <c r="I859" s="24" t="str">
        <f>HYPERLINK(AB2 &amp; "/calculator/sn_d1ecf1316ee3f53db8803f6649e6cb9b/rendering/06.obj", "3.73392456055")</f>
        <v>3.73392456055</v>
      </c>
      <c r="J859" s="5" t="str">
        <f>HYPERLINK(AB2 &amp; "/calculator/sn_d1ecf1316ee3f53db8803f6649e6cb9b/rendering/07.obj", "2.95155426025")</f>
        <v>2.95155426025</v>
      </c>
      <c r="K859" s="39" t="str">
        <f>HYPERLINK(AB2 &amp; "/calculator/sn_d1ecf1316ee3f53db8803f6649e6cb9b/rendering/08.obj", "2.91647338867")</f>
        <v>2.91647338867</v>
      </c>
      <c r="L859" s="74" t="str">
        <f>HYPERLINK(AB2 &amp; "/calculator/sn_d1ecf1316ee3f53db8803f6649e6cb9b/rendering/09.obj", "3.15307067871")</f>
        <v>3.15307067871</v>
      </c>
      <c r="M859" s="44" t="str">
        <f>HYPERLINK(AB2 &amp; "/calculator/sn_d1ecf1316ee3f53db8803f6649e6cb9b/rendering/10.obj", "3.82653686523")</f>
        <v>3.82653686523</v>
      </c>
      <c r="N859" s="110" t="str">
        <f>HYPERLINK(AB2 &amp; "/calculator/sn_d1ecf1316ee3f53db8803f6649e6cb9b/rendering/11.obj", "2.8760736084")</f>
        <v>2.8760736084</v>
      </c>
      <c r="O859" s="25" t="str">
        <f>HYPERLINK(AB2 &amp; "/calculator/sn_d1ecf1316ee3f53db8803f6649e6cb9b/rendering/12.obj", "3.15686279297")</f>
        <v>3.15686279297</v>
      </c>
      <c r="P859" s="51" t="str">
        <f>HYPERLINK(AB2 &amp; "/calculator/sn_d1ecf1316ee3f53db8803f6649e6cb9b/rendering/13.obj", "2.94011810303")</f>
        <v>2.94011810303</v>
      </c>
      <c r="Q859" s="70" t="str">
        <f>HYPERLINK(AB2 &amp; "/calculator/sn_d1ecf1316ee3f53db8803f6649e6cb9b/rendering/14.obj", "2.79366699219")</f>
        <v>2.79366699219</v>
      </c>
      <c r="R859" s="68" t="str">
        <f>HYPERLINK(AB2 &amp; "/calculator/sn_d1ecf1316ee3f53db8803f6649e6cb9b/rendering/15.obj", "3.05693634033")</f>
        <v>3.05693634033</v>
      </c>
      <c r="S859" s="135" t="str">
        <f>HYPERLINK(AB2 &amp; "/calculator/sn_d1ecf1316ee3f53db8803f6649e6cb9b/rendering/16.obj", "4.01644134521")</f>
        <v>4.01644134521</v>
      </c>
      <c r="T859" s="17" t="str">
        <f>HYPERLINK(AB2 &amp; "/calculator/sn_d1ecf1316ee3f53db8803f6649e6cb9b/rendering/17.obj", "3.26540771484")</f>
        <v>3.26540771484</v>
      </c>
      <c r="U859" s="29" t="str">
        <f>HYPERLINK(AB2 &amp; "/calculator/sn_d1ecf1316ee3f53db8803f6649e6cb9b/rendering/18.obj", "3.60753234863")</f>
        <v>3.60753234863</v>
      </c>
      <c r="V859" s="91" t="str">
        <f>HYPERLINK(AB2 &amp; "/calculator/sn_d1ecf1316ee3f53db8803f6649e6cb9b/rendering/19.obj", "3.10748443604")</f>
        <v>3.10748443604</v>
      </c>
      <c r="W859" s="12" t="s">
        <v>31</v>
      </c>
      <c r="X859" s="13">
        <v>3.1961134643554692</v>
      </c>
      <c r="Y859" s="13">
        <v>0.34825005790327868</v>
      </c>
      <c r="Z859" s="33">
        <v>0.10896048021671439</v>
      </c>
    </row>
    <row r="860" spans="1:26" x14ac:dyDescent="0.2">
      <c r="A860" s="1">
        <v>858</v>
      </c>
      <c r="B860" s="2" t="s">
        <v>204</v>
      </c>
      <c r="C860" s="74" t="str">
        <f>HYPERLINK(AB2 &amp; "/calculator/sn_d1ecf1316ee3f53db8803f6649e6cb9b/rendering/00.obj", "4.12133455276")</f>
        <v>4.12133455276</v>
      </c>
      <c r="D860" s="133" t="str">
        <f>HYPERLINK(AB2 &amp; "/calculator/sn_d1ecf1316ee3f53db8803f6649e6cb9b/rendering/01.obj", "4.60060596466")</f>
        <v>4.60060596466</v>
      </c>
      <c r="E860" s="30" t="str">
        <f>HYPERLINK(AB2 &amp; "/calculator/sn_d1ecf1316ee3f53db8803f6649e6cb9b/rendering/02.obj", "4.19839191437")</f>
        <v>4.19839191437</v>
      </c>
      <c r="F860" s="70" t="str">
        <f>HYPERLINK(AB2 &amp; "/calculator/sn_d1ecf1316ee3f53db8803f6649e6cb9b/rendering/03.obj", "3.64891338348")</f>
        <v>3.64891338348</v>
      </c>
      <c r="G860" s="26" t="str">
        <f>HYPERLINK(AB2 &amp; "/calculator/sn_d1ecf1316ee3f53db8803f6649e6cb9b/rendering/04.obj", "4.45202589035")</f>
        <v>4.45202589035</v>
      </c>
      <c r="H860" s="69" t="str">
        <f>HYPERLINK(AB2 &amp; "/calculator/sn_d1ecf1316ee3f53db8803f6649e6cb9b/rendering/05.obj", "4.3103761673")</f>
        <v>4.3103761673</v>
      </c>
      <c r="I860" s="17" t="str">
        <f>HYPERLINK(AB2 &amp; "/calculator/sn_d1ecf1316ee3f53db8803f6649e6cb9b/rendering/06.obj", "4.09592819214")</f>
        <v>4.09592819214</v>
      </c>
      <c r="J860" s="65" t="str">
        <f>HYPERLINK(AB2 &amp; "/calculator/sn_d1ecf1316ee3f53db8803f6649e6cb9b/rendering/07.obj", "3.61768579483")</f>
        <v>3.61768579483</v>
      </c>
      <c r="K860" s="106" t="str">
        <f>HYPERLINK(AB2 &amp; "/calculator/sn_d1ecf1316ee3f53db8803f6649e6cb9b/rendering/08.obj", "3.69741296768")</f>
        <v>3.69741296768</v>
      </c>
      <c r="L860" s="32" t="str">
        <f>HYPERLINK(AB2 &amp; "/calculator/sn_d1ecf1316ee3f53db8803f6649e6cb9b/rendering/09.obj", "4.62480449677")</f>
        <v>4.62480449677</v>
      </c>
      <c r="M860" s="42" t="str">
        <f>HYPERLINK(AB2 &amp; "/calculator/sn_d1ecf1316ee3f53db8803f6649e6cb9b/rendering/10.obj", "4.74746227264")</f>
        <v>4.74746227264</v>
      </c>
      <c r="N860" s="33" t="str">
        <f>HYPERLINK(AB2 &amp; "/calculator/sn_d1ecf1316ee3f53db8803f6649e6cb9b/rendering/11.obj", "3.73164272308")</f>
        <v>3.73164272308</v>
      </c>
      <c r="O860" s="26" t="str">
        <f>HYPERLINK(AB2 &amp; "/calculator/sn_d1ecf1316ee3f53db8803f6649e6cb9b/rendering/12.obj", "4.45180606842")</f>
        <v>4.45180606842</v>
      </c>
      <c r="P860" s="47" t="str">
        <f>HYPERLINK(AB2 &amp; "/calculator/sn_d1ecf1316ee3f53db8803f6649e6cb9b/rendering/13.obj", "4.14688682556")</f>
        <v>4.14688682556</v>
      </c>
      <c r="Q860" s="72" t="str">
        <f>HYPERLINK(AB2 &amp; "/calculator/sn_d1ecf1316ee3f53db8803f6649e6cb9b/rendering/14.obj", "4.03975057602")</f>
        <v>4.03975057602</v>
      </c>
      <c r="R860" s="80" t="str">
        <f>HYPERLINK(AB2 &amp; "/calculator/sn_d1ecf1316ee3f53db8803f6649e6cb9b/rendering/15.obj", "3.56242918968")</f>
        <v>3.56242918968</v>
      </c>
      <c r="S860" s="31" t="str">
        <f>HYPERLINK(AB2 &amp; "/calculator/sn_d1ecf1316ee3f53db8803f6649e6cb9b/rendering/16.obj", "4.83552265167")</f>
        <v>4.83552265167</v>
      </c>
      <c r="T860" s="60" t="str">
        <f>HYPERLINK(AB2 &amp; "/calculator/sn_d1ecf1316ee3f53db8803f6649e6cb9b/rendering/17.obj", "3.96256828308")</f>
        <v>3.96256828308</v>
      </c>
      <c r="U860" s="38" t="str">
        <f>HYPERLINK(AB2 &amp; "/calculator/sn_d1ecf1316ee3f53db8803f6649e6cb9b/rendering/18.obj", "4.5594329834")</f>
        <v>4.5594329834</v>
      </c>
      <c r="V860" s="47" t="str">
        <f>HYPERLINK(AB2 &amp; "/calculator/sn_d1ecf1316ee3f53db8803f6649e6cb9b/rendering/19.obj", "4.21145200729")</f>
        <v>4.21145200729</v>
      </c>
      <c r="W860" s="12" t="s">
        <v>32</v>
      </c>
      <c r="X860" s="13">
        <v>4.180821645259857</v>
      </c>
      <c r="Y860" s="13">
        <v>0.38267171555963958</v>
      </c>
      <c r="Z860" s="67">
        <v>9.153026558631272E-2</v>
      </c>
    </row>
    <row r="861" spans="1:26" x14ac:dyDescent="0.2">
      <c r="A861" s="1">
        <v>859</v>
      </c>
      <c r="B861" s="2" t="s">
        <v>204</v>
      </c>
      <c r="C861" s="13" t="str">
        <f>HYPERLINK(AC2 &amp; "/calculator/sn_d1ecf1316ee3f53db8803f6649e6cb9b/rendering/00.xyz", "0.0")</f>
        <v>0.0</v>
      </c>
      <c r="D861" s="13" t="str">
        <f>HYPERLINK(AC2 &amp; "/calculator/sn_d1ecf1316ee3f53db8803f6649e6cb9b/rendering/01.xyz", "0.0")</f>
        <v>0.0</v>
      </c>
      <c r="E861" s="13" t="str">
        <f>HYPERLINK(AC2 &amp; "/calculator/sn_d1ecf1316ee3f53db8803f6649e6cb9b/rendering/02.xyz", "0.0")</f>
        <v>0.0</v>
      </c>
      <c r="F861" s="13" t="str">
        <f>HYPERLINK(AC2 &amp; "/calculator/sn_d1ecf1316ee3f53db8803f6649e6cb9b/rendering/03.xyz", "0.0")</f>
        <v>0.0</v>
      </c>
      <c r="G861" s="13" t="str">
        <f>HYPERLINK(AC2 &amp; "/calculator/sn_d1ecf1316ee3f53db8803f6649e6cb9b/rendering/04.xyz", "0.0")</f>
        <v>0.0</v>
      </c>
      <c r="H861" s="13" t="str">
        <f>HYPERLINK(AC2 &amp; "/calculator/sn_d1ecf1316ee3f53db8803f6649e6cb9b/rendering/05.xyz", "0.0")</f>
        <v>0.0</v>
      </c>
      <c r="I861" s="13" t="str">
        <f>HYPERLINK(AC2 &amp; "/calculator/sn_d1ecf1316ee3f53db8803f6649e6cb9b/rendering/06.xyz", "0.0")</f>
        <v>0.0</v>
      </c>
      <c r="J861" s="13" t="str">
        <f>HYPERLINK(AC2 &amp; "/calculator/sn_d1ecf1316ee3f53db8803f6649e6cb9b/rendering/07.xyz", "0.0")</f>
        <v>0.0</v>
      </c>
      <c r="K861" s="13" t="str">
        <f>HYPERLINK(AC2 &amp; "/calculator/sn_d1ecf1316ee3f53db8803f6649e6cb9b/rendering/08.xyz", "0.0")</f>
        <v>0.0</v>
      </c>
      <c r="L861" s="13" t="str">
        <f>HYPERLINK(AC2 &amp; "/calculator/sn_d1ecf1316ee3f53db8803f6649e6cb9b/rendering/09.xyz", "0.0")</f>
        <v>0.0</v>
      </c>
      <c r="M861" s="13" t="str">
        <f>HYPERLINK(AC2 &amp; "/calculator/sn_d1ecf1316ee3f53db8803f6649e6cb9b/rendering/10.xyz", "0.0")</f>
        <v>0.0</v>
      </c>
      <c r="N861" s="13" t="str">
        <f>HYPERLINK(AC2 &amp; "/calculator/sn_d1ecf1316ee3f53db8803f6649e6cb9b/rendering/11.xyz", "0.0")</f>
        <v>0.0</v>
      </c>
      <c r="O861" s="13" t="str">
        <f>HYPERLINK(AC2 &amp; "/calculator/sn_d1ecf1316ee3f53db8803f6649e6cb9b/rendering/12.xyz", "0.0")</f>
        <v>0.0</v>
      </c>
      <c r="P861" s="13" t="str">
        <f>HYPERLINK(AC2 &amp; "/calculator/sn_d1ecf1316ee3f53db8803f6649e6cb9b/rendering/13.xyz", "0.0")</f>
        <v>0.0</v>
      </c>
      <c r="Q861" s="13" t="str">
        <f>HYPERLINK(AC2 &amp; "/calculator/sn_d1ecf1316ee3f53db8803f6649e6cb9b/rendering/14.xyz", "0.0")</f>
        <v>0.0</v>
      </c>
      <c r="R861" s="13" t="str">
        <f>HYPERLINK(AC2 &amp; "/calculator/sn_d1ecf1316ee3f53db8803f6649e6cb9b/rendering/15.xyz", "0.0")</f>
        <v>0.0</v>
      </c>
      <c r="S861" s="13" t="str">
        <f>HYPERLINK(AC2 &amp; "/calculator/sn_d1ecf1316ee3f53db8803f6649e6cb9b/rendering/16.xyz", "0.0")</f>
        <v>0.0</v>
      </c>
      <c r="T861" s="13" t="str">
        <f>HYPERLINK(AC2 &amp; "/calculator/sn_d1ecf1316ee3f53db8803f6649e6cb9b/rendering/17.xyz", "0.0")</f>
        <v>0.0</v>
      </c>
      <c r="U861" s="13" t="str">
        <f>HYPERLINK(AC2 &amp; "/calculator/sn_d1ecf1316ee3f53db8803f6649e6cb9b/rendering/18.xyz", "0.0")</f>
        <v>0.0</v>
      </c>
      <c r="V861" s="13" t="str">
        <f>HYPERLINK(AC2 &amp; "/calculator/sn_d1ecf1316ee3f53db8803f6649e6cb9b/rendering/19.xyz", "0.0")</f>
        <v>0.0</v>
      </c>
      <c r="W861" s="12" t="s">
        <v>33</v>
      </c>
      <c r="X861" s="13">
        <v>0</v>
      </c>
      <c r="Y861" s="13">
        <v>0</v>
      </c>
      <c r="Z861" s="13">
        <v>0</v>
      </c>
    </row>
    <row r="862" spans="1:26" x14ac:dyDescent="0.2">
      <c r="A862" s="1">
        <v>860</v>
      </c>
      <c r="B862" s="2" t="s">
        <v>205</v>
      </c>
      <c r="C862" s="68" t="str">
        <f>HYPERLINK(AA2 &amp; "/calculator/sn_dc3af1d90ac24fc55de537bd2fca2706/rendering/00.obj", "4.63986877441")</f>
        <v>4.63986877441</v>
      </c>
      <c r="D862" s="135" t="str">
        <f>HYPERLINK(AA2 &amp; "/calculator/sn_dc3af1d90ac24fc55de537bd2fca2706/rendering/01.obj", "3.31089935303")</f>
        <v>3.31089935303</v>
      </c>
      <c r="E862" s="81" t="str">
        <f>HYPERLINK(AA2 &amp; "/calculator/sn_dc3af1d90ac24fc55de537bd2fca2706/rendering/02.obj", "3.48120239258")</f>
        <v>3.48120239258</v>
      </c>
      <c r="F862" s="137" t="str">
        <f>HYPERLINK(AA2 &amp; "/calculator/sn_dc3af1d90ac24fc55de537bd2fca2706/rendering/03.obj", "2.82505126953")</f>
        <v>2.82505126953</v>
      </c>
      <c r="G862" s="122" t="str">
        <f>HYPERLINK(AA2 &amp; "/calculator/sn_dc3af1d90ac24fc55de537bd2fca2706/rendering/04.obj", "2.65689483643")</f>
        <v>2.65689483643</v>
      </c>
      <c r="H862" s="82" t="str">
        <f>HYPERLINK(AA2 &amp; "/calculator/sn_dc3af1d90ac24fc55de537bd2fca2706/rendering/05.obj", "5.35954833984")</f>
        <v>5.35954833984</v>
      </c>
      <c r="I862" s="200" t="str">
        <f>HYPERLINK(AA2 &amp; "/calculator/sn_dc3af1d90ac24fc55de537bd2fca2706/rendering/06.obj", "6.57918762207")</f>
        <v>6.57918762207</v>
      </c>
      <c r="J862" s="87" t="str">
        <f>HYPERLINK(AA2 &amp; "/calculator/sn_dc3af1d90ac24fc55de537bd2fca2706/rendering/07.obj", "3.4323034668")</f>
        <v>3.4323034668</v>
      </c>
      <c r="K862" s="91" t="str">
        <f>HYPERLINK(AA2 &amp; "/calculator/sn_dc3af1d90ac24fc55de537bd2fca2706/rendering/08.obj", "4.32305114746")</f>
        <v>4.32305114746</v>
      </c>
      <c r="L862" s="82" t="str">
        <f>HYPERLINK(AA2 &amp; "/calculator/sn_dc3af1d90ac24fc55de537bd2fca2706/rendering/09.obj", "3.5307019043")</f>
        <v>3.5307019043</v>
      </c>
      <c r="M862" s="19" t="str">
        <f>HYPERLINK(AA2 &amp; "/calculator/sn_dc3af1d90ac24fc55de537bd2fca2706/rendering/10.obj", "3.27617828369")</f>
        <v>3.27617828369</v>
      </c>
      <c r="N862" s="38" t="str">
        <f>HYPERLINK(AA2 &amp; "/calculator/sn_dc3af1d90ac24fc55de537bd2fca2706/rendering/11.obj", "4.05586730957")</f>
        <v>4.05586730957</v>
      </c>
      <c r="O862" s="133" t="str">
        <f>HYPERLINK(AA2 &amp; "/calculator/sn_dc3af1d90ac24fc55de537bd2fca2706/rendering/12.obj", "3.99226867676")</f>
        <v>3.99226867676</v>
      </c>
      <c r="P862" s="144" t="str">
        <f>HYPERLINK(AA2 &amp; "/calculator/sn_dc3af1d90ac24fc55de537bd2fca2706/rendering/13.obj", "6.68396789551")</f>
        <v>6.68396789551</v>
      </c>
      <c r="Q862" s="63" t="str">
        <f>HYPERLINK(AA2 &amp; "/calculator/sn_dc3af1d90ac24fc55de537bd2fca2706/rendering/14.obj", "4.98592468262")</f>
        <v>4.98592468262</v>
      </c>
      <c r="R862" s="14" t="str">
        <f>HYPERLINK(AA2 &amp; "/calculator/sn_dc3af1d90ac24fc55de537bd2fca2706/rendering/15.obj", "3.16146484375")</f>
        <v>3.16146484375</v>
      </c>
      <c r="S862" s="147" t="str">
        <f>HYPERLINK(AA2 &amp; "/calculator/sn_dc3af1d90ac24fc55de537bd2fca2706/rendering/16.obj", "6.61956298828")</f>
        <v>6.61956298828</v>
      </c>
      <c r="T862" s="182" t="str">
        <f>HYPERLINK(AA2 &amp; "/calculator/sn_dc3af1d90ac24fc55de537bd2fca2706/rendering/17.obj", "5.9333581543")</f>
        <v>5.9333581543</v>
      </c>
      <c r="U862" s="110" t="str">
        <f>HYPERLINK(AA2 &amp; "/calculator/sn_dc3af1d90ac24fc55de537bd2fca2706/rendering/18.obj", "4.01307861328")</f>
        <v>4.01307861328</v>
      </c>
      <c r="V862" s="192" t="str">
        <f>HYPERLINK(AA2 &amp; "/calculator/sn_dc3af1d90ac24fc55de537bd2fca2706/rendering/19.obj", "6.10813232422")</f>
        <v>6.10813232422</v>
      </c>
      <c r="W862" s="12" t="s">
        <v>29</v>
      </c>
      <c r="X862" s="13">
        <v>4.4484256439208973</v>
      </c>
      <c r="Y862" s="13">
        <v>1.30219004432865</v>
      </c>
      <c r="Z862" s="118">
        <v>0.29273054077192212</v>
      </c>
    </row>
    <row r="863" spans="1:26" x14ac:dyDescent="0.2">
      <c r="A863" s="1">
        <v>861</v>
      </c>
      <c r="B863" s="2" t="s">
        <v>205</v>
      </c>
      <c r="C863" s="83" t="str">
        <f>HYPERLINK(AA2 &amp; "/calculator/sn_dc3af1d90ac24fc55de537bd2fca2706/rendering/00.obj", "6.18494701385")</f>
        <v>6.18494701385</v>
      </c>
      <c r="D863" s="99" t="str">
        <f>HYPERLINK(AA2 &amp; "/calculator/sn_dc3af1d90ac24fc55de537bd2fca2706/rendering/01.obj", "3.8996629715")</f>
        <v>3.8996629715</v>
      </c>
      <c r="E863" s="108" t="str">
        <f>HYPERLINK(AA2 &amp; "/calculator/sn_dc3af1d90ac24fc55de537bd2fca2706/rendering/02.obj", "4.04746103287")</f>
        <v>4.04746103287</v>
      </c>
      <c r="F863" s="86" t="str">
        <f>HYPERLINK(AA2 &amp; "/calculator/sn_dc3af1d90ac24fc55de537bd2fca2706/rendering/03.obj", "3.93207120895")</f>
        <v>3.93207120895</v>
      </c>
      <c r="G863" s="85" t="str">
        <f>HYPERLINK(AA2 &amp; "/calculator/sn_dc3af1d90ac24fc55de537bd2fca2706/rendering/04.obj", "3.7688190937")</f>
        <v>3.7688190937</v>
      </c>
      <c r="H863" s="29" t="str">
        <f>HYPERLINK(AA2 &amp; "/calculator/sn_dc3af1d90ac24fc55de537bd2fca2706/rendering/05.obj", "6.06118202209")</f>
        <v>6.06118202209</v>
      </c>
      <c r="I863" s="50" t="str">
        <f>HYPERLINK(AA2 &amp; "/calculator/sn_dc3af1d90ac24fc55de537bd2fca2706/rendering/06.obj", "6.43778610229")</f>
        <v>6.43778610229</v>
      </c>
      <c r="J863" s="67" t="str">
        <f>HYPERLINK(AA2 &amp; "/calculator/sn_dc3af1d90ac24fc55de537bd2fca2706/rendering/07.obj", "5.85129737854")</f>
        <v>5.85129737854</v>
      </c>
      <c r="K863" s="71" t="str">
        <f>HYPERLINK(AA2 &amp; "/calculator/sn_dc3af1d90ac24fc55de537bd2fca2706/rendering/08.obj", "4.72707700729")</f>
        <v>4.72707700729</v>
      </c>
      <c r="L863" s="110" t="str">
        <f>HYPERLINK(AA2 &amp; "/calculator/sn_dc3af1d90ac24fc55de537bd2fca2706/rendering/09.obj", "4.83744716644")</f>
        <v>4.83744716644</v>
      </c>
      <c r="M863" s="66" t="str">
        <f>HYPERLINK(AA2 &amp; "/calculator/sn_dc3af1d90ac24fc55de537bd2fca2706/rendering/10.obj", "4.50075817108")</f>
        <v>4.50075817108</v>
      </c>
      <c r="N863" s="44" t="str">
        <f>HYPERLINK(AA2 &amp; "/calculator/sn_dc3af1d90ac24fc55de537bd2fca2706/rendering/11.obj", "4.30571079254")</f>
        <v>4.30571079254</v>
      </c>
      <c r="O863" s="40" t="str">
        <f>HYPERLINK(AA2 &amp; "/calculator/sn_dc3af1d90ac24fc55de537bd2fca2706/rendering/12.obj", "4.43995857239")</f>
        <v>4.43995857239</v>
      </c>
      <c r="P863" s="52" t="str">
        <f>HYPERLINK(AA2 &amp; "/calculator/sn_dc3af1d90ac24fc55de537bd2fca2706/rendering/13.obj", "7.50633192062")</f>
        <v>7.50633192062</v>
      </c>
      <c r="Q863" s="46" t="str">
        <f>HYPERLINK(AA2 &amp; "/calculator/sn_dc3af1d90ac24fc55de537bd2fca2706/rendering/14.obj", "5.27075338364")</f>
        <v>5.27075338364</v>
      </c>
      <c r="R863" s="36" t="str">
        <f>HYPERLINK(AA2 &amp; "/calculator/sn_dc3af1d90ac24fc55de537bd2fca2706/rendering/15.obj", "4.20633411407")</f>
        <v>4.20633411407</v>
      </c>
      <c r="S863" s="113" t="str">
        <f>HYPERLINK(AA2 &amp; "/calculator/sn_dc3af1d90ac24fc55de537bd2fca2706/rendering/16.obj", "6.83225679398")</f>
        <v>6.83225679398</v>
      </c>
      <c r="T863" s="18" t="str">
        <f>HYPERLINK(AA2 &amp; "/calculator/sn_dc3af1d90ac24fc55de537bd2fca2706/rendering/17.obj", "8.47027015686")</f>
        <v>8.47027015686</v>
      </c>
      <c r="U863" s="46" t="str">
        <f>HYPERLINK(AA2 &amp; "/calculator/sn_dc3af1d90ac24fc55de537bd2fca2706/rendering/18.obj", "5.44792366028")</f>
        <v>5.44792366028</v>
      </c>
      <c r="V863" s="81" t="str">
        <f>HYPERLINK(AA2 &amp; "/calculator/sn_dc3af1d90ac24fc55de537bd2fca2706/rendering/19.obj", "6.53818798065")</f>
        <v>6.53818798065</v>
      </c>
      <c r="W863" s="12" t="s">
        <v>30</v>
      </c>
      <c r="X863" s="13">
        <v>5.3633118271827698</v>
      </c>
      <c r="Y863" s="13">
        <v>1.2952592527173179</v>
      </c>
      <c r="Z863" s="59">
        <v>0.24150362582920881</v>
      </c>
    </row>
    <row r="864" spans="1:26" x14ac:dyDescent="0.2">
      <c r="A864" s="1">
        <v>862</v>
      </c>
      <c r="B864" s="2" t="s">
        <v>205</v>
      </c>
      <c r="C864" s="81" t="str">
        <f>HYPERLINK(AB2 &amp; "/calculator/sn_dc3af1d90ac24fc55de537bd2fca2706/rendering/00.obj", "3.61195617676")</f>
        <v>3.61195617676</v>
      </c>
      <c r="D864" s="68" t="str">
        <f>HYPERLINK(AB2 &amp; "/calculator/sn_dc3af1d90ac24fc55de537bd2fca2706/rendering/01.obj", "4.41515472412")</f>
        <v>4.41515472412</v>
      </c>
      <c r="E864" s="176" t="str">
        <f>HYPERLINK(AB2 &amp; "/calculator/sn_dc3af1d90ac24fc55de537bd2fca2706/rendering/02.obj", "6.0858605957")</f>
        <v>6.0858605957</v>
      </c>
      <c r="F864" s="140" t="str">
        <f>HYPERLINK(AB2 &amp; "/calculator/sn_dc3af1d90ac24fc55de537bd2fca2706/rendering/03.obj", "3.01288269043")</f>
        <v>3.01288269043</v>
      </c>
      <c r="G864" s="171" t="str">
        <f>HYPERLINK(AB2 &amp; "/calculator/sn_dc3af1d90ac24fc55de537bd2fca2706/rendering/04.obj", "3.19931335449")</f>
        <v>3.19931335449</v>
      </c>
      <c r="H864" s="177" t="str">
        <f>HYPERLINK(AB2 &amp; "/calculator/sn_dc3af1d90ac24fc55de537bd2fca2706/rendering/05.obj", "7.08719360352")</f>
        <v>7.08719360352</v>
      </c>
      <c r="I864" s="116" t="str">
        <f>HYPERLINK(AB2 &amp; "/calculator/sn_dc3af1d90ac24fc55de537bd2fca2706/rendering/06.obj", "6.63056640625")</f>
        <v>6.63056640625</v>
      </c>
      <c r="J864" s="59" t="str">
        <f>HYPERLINK(AB2 &amp; "/calculator/sn_dc3af1d90ac24fc55de537bd2fca2706/rendering/07.obj", "3.5034375")</f>
        <v>3.5034375</v>
      </c>
      <c r="K864" s="29" t="str">
        <f>HYPERLINK(AB2 &amp; "/calculator/sn_dc3af1d90ac24fc55de537bd2fca2706/rendering/08.obj", "4.01290802002")</f>
        <v>4.01290802002</v>
      </c>
      <c r="L864" s="10" t="str">
        <f>HYPERLINK(AB2 &amp; "/calculator/sn_dc3af1d90ac24fc55de537bd2fca2706/rendering/09.obj", "4.86504974365")</f>
        <v>4.86504974365</v>
      </c>
      <c r="M864" s="136" t="str">
        <f>HYPERLINK(AB2 &amp; "/calculator/sn_dc3af1d90ac24fc55de537bd2fca2706/rendering/10.obj", "3.51958129883")</f>
        <v>3.51958129883</v>
      </c>
      <c r="N864" s="55" t="str">
        <f>HYPERLINK(AB2 &amp; "/calculator/sn_dc3af1d90ac24fc55de537bd2fca2706/rendering/11.obj", "3.72388122559")</f>
        <v>3.72388122559</v>
      </c>
      <c r="O864" s="75" t="str">
        <f>HYPERLINK(AB2 &amp; "/calculator/sn_dc3af1d90ac24fc55de537bd2fca2706/rendering/12.obj", "3.58825531006")</f>
        <v>3.58825531006</v>
      </c>
      <c r="P864" s="91" t="str">
        <f>HYPERLINK(AB2 &amp; "/calculator/sn_dc3af1d90ac24fc55de537bd2fca2706/rendering/13.obj", "4.74317687988")</f>
        <v>4.74317687988</v>
      </c>
      <c r="Q864" s="52" t="str">
        <f>HYPERLINK(AB2 &amp; "/calculator/sn_dc3af1d90ac24fc55de537bd2fca2706/rendering/14.obj", "6.46542663574")</f>
        <v>6.46542663574</v>
      </c>
      <c r="R864" s="81" t="str">
        <f>HYPERLINK(AB2 &amp; "/calculator/sn_dc3af1d90ac24fc55de537bd2fca2706/rendering/15.obj", "3.61405944824")</f>
        <v>3.61405944824</v>
      </c>
      <c r="S864" s="133" t="str">
        <f>HYPERLINK(AB2 &amp; "/calculator/sn_dc3af1d90ac24fc55de537bd2fca2706/rendering/16.obj", "4.14985229492")</f>
        <v>4.14985229492</v>
      </c>
      <c r="T864" s="129" t="str">
        <f>HYPERLINK(AB2 &amp; "/calculator/sn_dc3af1d90ac24fc55de537bd2fca2706/rendering/17.obj", "3.46976409912")</f>
        <v>3.46976409912</v>
      </c>
      <c r="U864" s="149" t="str">
        <f>HYPERLINK(AB2 &amp; "/calculator/sn_dc3af1d90ac24fc55de537bd2fca2706/rendering/18.obj", "6.20341796875")</f>
        <v>6.20341796875</v>
      </c>
      <c r="V864" s="172" t="str">
        <f>HYPERLINK(AB2 &amp; "/calculator/sn_dc3af1d90ac24fc55de537bd2fca2706/rendering/19.obj", "6.38861877441")</f>
        <v>6.38861877441</v>
      </c>
      <c r="W864" s="12" t="s">
        <v>31</v>
      </c>
      <c r="X864" s="13">
        <v>4.6145178375244136</v>
      </c>
      <c r="Y864" s="13">
        <v>1.3096301416833229</v>
      </c>
      <c r="Z864" s="4">
        <v>0.2838064967554465</v>
      </c>
    </row>
    <row r="865" spans="1:26" x14ac:dyDescent="0.2">
      <c r="A865" s="1">
        <v>863</v>
      </c>
      <c r="B865" s="2" t="s">
        <v>205</v>
      </c>
      <c r="C865" s="49" t="str">
        <f>HYPERLINK(AB2 &amp; "/calculator/sn_dc3af1d90ac24fc55de537bd2fca2706/rendering/00.obj", "4.08275461197")</f>
        <v>4.08275461197</v>
      </c>
      <c r="D865" s="51" t="str">
        <f>HYPERLINK(AB2 &amp; "/calculator/sn_dc3af1d90ac24fc55de537bd2fca2706/rendering/01.obj", "4.73428821564")</f>
        <v>4.73428821564</v>
      </c>
      <c r="E865" s="84" t="str">
        <f>HYPERLINK(AB2 &amp; "/calculator/sn_dc3af1d90ac24fc55de537bd2fca2706/rendering/02.obj", "5.90432405472")</f>
        <v>5.90432405472</v>
      </c>
      <c r="F865" s="95" t="str">
        <f>HYPERLINK(AB2 &amp; "/calculator/sn_dc3af1d90ac24fc55de537bd2fca2706/rendering/03.obj", "3.70041441917")</f>
        <v>3.70041441917</v>
      </c>
      <c r="G865" s="7" t="str">
        <f>HYPERLINK(AB2 &amp; "/calculator/sn_dc3af1d90ac24fc55de537bd2fca2706/rendering/04.obj", "3.71620321274")</f>
        <v>3.71620321274</v>
      </c>
      <c r="H865" s="219" t="str">
        <f>HYPERLINK(AB2 &amp; "/calculator/sn_dc3af1d90ac24fc55de537bd2fca2706/rendering/05.obj", "8.75676345825")</f>
        <v>8.75676345825</v>
      </c>
      <c r="I865" s="176" t="str">
        <f>HYPERLINK(AB2 &amp; "/calculator/sn_dc3af1d90ac24fc55de537bd2fca2706/rendering/06.obj", "6.79895210266")</f>
        <v>6.79895210266</v>
      </c>
      <c r="J865" s="27" t="str">
        <f>HYPERLINK(AB2 &amp; "/calculator/sn_dc3af1d90ac24fc55de537bd2fca2706/rendering/07.obj", "4.79631328583")</f>
        <v>4.79631328583</v>
      </c>
      <c r="K865" s="40" t="str">
        <f>HYPERLINK(AB2 &amp; "/calculator/sn_dc3af1d90ac24fc55de537bd2fca2706/rendering/08.obj", "4.27093791962")</f>
        <v>4.27093791962</v>
      </c>
      <c r="L865" s="48" t="str">
        <f>HYPERLINK(AB2 &amp; "/calculator/sn_dc3af1d90ac24fc55de537bd2fca2706/rendering/09.obj", "5.04027509689")</f>
        <v>5.04027509689</v>
      </c>
      <c r="M865" s="120" t="str">
        <f>HYPERLINK(AB2 &amp; "/calculator/sn_dc3af1d90ac24fc55de537bd2fca2706/rendering/10.obj", "4.05864524841")</f>
        <v>4.05864524841</v>
      </c>
      <c r="N865" s="76" t="str">
        <f>HYPERLINK(AB2 &amp; "/calculator/sn_dc3af1d90ac24fc55de537bd2fca2706/rendering/11.obj", "4.21372032166")</f>
        <v>4.21372032166</v>
      </c>
      <c r="O865" s="113" t="str">
        <f>HYPERLINK(AB2 &amp; "/calculator/sn_dc3af1d90ac24fc55de537bd2fca2706/rendering/12.obj", "3.74326729774")</f>
        <v>3.74326729774</v>
      </c>
      <c r="P865" s="38" t="str">
        <f>HYPERLINK(AB2 &amp; "/calculator/sn_dc3af1d90ac24fc55de537bd2fca2706/rendering/13.obj", "4.6904540062")</f>
        <v>4.6904540062</v>
      </c>
      <c r="Q865" s="228" t="str">
        <f>HYPERLINK(AB2 &amp; "/calculator/sn_dc3af1d90ac24fc55de537bd2fca2706/rendering/14.obj", "7.90035915375")</f>
        <v>7.90035915375</v>
      </c>
      <c r="R865" s="50" t="str">
        <f>HYPERLINK(AB2 &amp; "/calculator/sn_dc3af1d90ac24fc55de537bd2fca2706/rendering/15.obj", "4.12200975418")</f>
        <v>4.12200975418</v>
      </c>
      <c r="S865" s="133" t="str">
        <f>HYPERLINK(AB2 &amp; "/calculator/sn_dc3af1d90ac24fc55de537bd2fca2706/rendering/16.obj", "4.62909507751")</f>
        <v>4.62909507751</v>
      </c>
      <c r="T865" s="44" t="str">
        <f>HYPERLINK(AB2 &amp; "/calculator/sn_dc3af1d90ac24fc55de537bd2fca2706/rendering/17.obj", "4.14432477951")</f>
        <v>4.14432477951</v>
      </c>
      <c r="U865" s="90" t="str">
        <f>HYPERLINK(AB2 &amp; "/calculator/sn_dc3af1d90ac24fc55de537bd2fca2706/rendering/18.obj", "5.63989067078")</f>
        <v>5.63989067078</v>
      </c>
      <c r="V865" s="18" t="str">
        <f>HYPERLINK(AB2 &amp; "/calculator/sn_dc3af1d90ac24fc55de537bd2fca2706/rendering/19.obj", "8.14475059509")</f>
        <v>8.14475059509</v>
      </c>
      <c r="W865" s="12" t="s">
        <v>32</v>
      </c>
      <c r="X865" s="13">
        <v>5.1543871641159056</v>
      </c>
      <c r="Y865" s="13">
        <v>1.5173238339598509</v>
      </c>
      <c r="Z865" s="118">
        <v>0.29437521584005938</v>
      </c>
    </row>
    <row r="866" spans="1:26" x14ac:dyDescent="0.2">
      <c r="A866" s="1">
        <v>864</v>
      </c>
      <c r="B866" s="2" t="s">
        <v>205</v>
      </c>
      <c r="C866" s="13" t="str">
        <f>HYPERLINK(AC2 &amp; "/calculator/sn_dc3af1d90ac24fc55de537bd2fca2706/rendering/00.xyz", "0.0")</f>
        <v>0.0</v>
      </c>
      <c r="D866" s="13" t="str">
        <f>HYPERLINK(AC2 &amp; "/calculator/sn_dc3af1d90ac24fc55de537bd2fca2706/rendering/01.xyz", "0.0")</f>
        <v>0.0</v>
      </c>
      <c r="E866" s="13" t="str">
        <f>HYPERLINK(AC2 &amp; "/calculator/sn_dc3af1d90ac24fc55de537bd2fca2706/rendering/02.xyz", "0.0")</f>
        <v>0.0</v>
      </c>
      <c r="F866" s="13" t="str">
        <f>HYPERLINK(AC2 &amp; "/calculator/sn_dc3af1d90ac24fc55de537bd2fca2706/rendering/03.xyz", "0.0")</f>
        <v>0.0</v>
      </c>
      <c r="G866" s="13" t="str">
        <f>HYPERLINK(AC2 &amp; "/calculator/sn_dc3af1d90ac24fc55de537bd2fca2706/rendering/04.xyz", "0.0")</f>
        <v>0.0</v>
      </c>
      <c r="H866" s="13" t="str">
        <f>HYPERLINK(AC2 &amp; "/calculator/sn_dc3af1d90ac24fc55de537bd2fca2706/rendering/05.xyz", "0.0")</f>
        <v>0.0</v>
      </c>
      <c r="I866" s="13" t="str">
        <f>HYPERLINK(AC2 &amp; "/calculator/sn_dc3af1d90ac24fc55de537bd2fca2706/rendering/06.xyz", "0.0")</f>
        <v>0.0</v>
      </c>
      <c r="J866" s="13" t="str">
        <f>HYPERLINK(AC2 &amp; "/calculator/sn_dc3af1d90ac24fc55de537bd2fca2706/rendering/07.xyz", "0.0")</f>
        <v>0.0</v>
      </c>
      <c r="K866" s="13" t="str">
        <f>HYPERLINK(AC2 &amp; "/calculator/sn_dc3af1d90ac24fc55de537bd2fca2706/rendering/08.xyz", "0.0")</f>
        <v>0.0</v>
      </c>
      <c r="L866" s="13" t="str">
        <f>HYPERLINK(AC2 &amp; "/calculator/sn_dc3af1d90ac24fc55de537bd2fca2706/rendering/09.xyz", "0.0")</f>
        <v>0.0</v>
      </c>
      <c r="M866" s="13" t="str">
        <f>HYPERLINK(AC2 &amp; "/calculator/sn_dc3af1d90ac24fc55de537bd2fca2706/rendering/10.xyz", "0.0")</f>
        <v>0.0</v>
      </c>
      <c r="N866" s="13" t="str">
        <f>HYPERLINK(AC2 &amp; "/calculator/sn_dc3af1d90ac24fc55de537bd2fca2706/rendering/11.xyz", "0.0")</f>
        <v>0.0</v>
      </c>
      <c r="O866" s="13" t="str">
        <f>HYPERLINK(AC2 &amp; "/calculator/sn_dc3af1d90ac24fc55de537bd2fca2706/rendering/12.xyz", "0.0")</f>
        <v>0.0</v>
      </c>
      <c r="P866" s="13" t="str">
        <f>HYPERLINK(AC2 &amp; "/calculator/sn_dc3af1d90ac24fc55de537bd2fca2706/rendering/13.xyz", "0.0")</f>
        <v>0.0</v>
      </c>
      <c r="Q866" s="13" t="str">
        <f>HYPERLINK(AC2 &amp; "/calculator/sn_dc3af1d90ac24fc55de537bd2fca2706/rendering/14.xyz", "0.0")</f>
        <v>0.0</v>
      </c>
      <c r="R866" s="13" t="str">
        <f>HYPERLINK(AC2 &amp; "/calculator/sn_dc3af1d90ac24fc55de537bd2fca2706/rendering/15.xyz", "0.0")</f>
        <v>0.0</v>
      </c>
      <c r="S866" s="13" t="str">
        <f>HYPERLINK(AC2 &amp; "/calculator/sn_dc3af1d90ac24fc55de537bd2fca2706/rendering/16.xyz", "0.0")</f>
        <v>0.0</v>
      </c>
      <c r="T866" s="13" t="str">
        <f>HYPERLINK(AC2 &amp; "/calculator/sn_dc3af1d90ac24fc55de537bd2fca2706/rendering/17.xyz", "0.0")</f>
        <v>0.0</v>
      </c>
      <c r="U866" s="13" t="str">
        <f>HYPERLINK(AC2 &amp; "/calculator/sn_dc3af1d90ac24fc55de537bd2fca2706/rendering/18.xyz", "0.0")</f>
        <v>0.0</v>
      </c>
      <c r="V866" s="13" t="str">
        <f>HYPERLINK(AC2 &amp; "/calculator/sn_dc3af1d90ac24fc55de537bd2fca2706/rendering/19.xyz", "0.0")</f>
        <v>0.0</v>
      </c>
      <c r="W866" s="12" t="s">
        <v>33</v>
      </c>
      <c r="X866" s="13">
        <v>0</v>
      </c>
      <c r="Y866" s="13">
        <v>0</v>
      </c>
      <c r="Z866" s="13">
        <v>0</v>
      </c>
    </row>
    <row r="867" spans="1:26" x14ac:dyDescent="0.2">
      <c r="A867" s="1">
        <v>865</v>
      </c>
      <c r="B867" s="2" t="s">
        <v>206</v>
      </c>
      <c r="C867" s="98" t="str">
        <f>HYPERLINK(AA2 &amp; "/calculator/sn_df565169f3daeca97a7677430314d870/rendering/00.obj", "3.88600769043")</f>
        <v>3.88600769043</v>
      </c>
      <c r="D867" s="106" t="str">
        <f>HYPERLINK(AA2 &amp; "/calculator/sn_df565169f3daeca97a7677430314d870/rendering/01.obj", "2.79336334229")</f>
        <v>2.79336334229</v>
      </c>
      <c r="E867" s="94" t="str">
        <f>HYPERLINK(AA2 &amp; "/calculator/sn_df565169f3daeca97a7677430314d870/rendering/02.obj", "3.38989562988")</f>
        <v>3.38989562988</v>
      </c>
      <c r="F867" s="93" t="str">
        <f>HYPERLINK(AA2 &amp; "/calculator/sn_df565169f3daeca97a7677430314d870/rendering/03.obj", "2.7208001709")</f>
        <v>2.7208001709</v>
      </c>
      <c r="G867" s="93" t="str">
        <f>HYPERLINK(AA2 &amp; "/calculator/sn_df565169f3daeca97a7677430314d870/rendering/04.obj", "3.59400421143")</f>
        <v>3.59400421143</v>
      </c>
      <c r="H867" s="47" t="str">
        <f>HYPERLINK(AA2 &amp; "/calculator/sn_df565169f3daeca97a7677430314d870/rendering/05.obj", "3.13384521484")</f>
        <v>3.13384521484</v>
      </c>
      <c r="I867" s="133" t="str">
        <f>HYPERLINK(AA2 &amp; "/calculator/sn_df565169f3daeca97a7677430314d870/rendering/06.obj", "2.83075622559")</f>
        <v>2.83075622559</v>
      </c>
      <c r="J867" s="67" t="str">
        <f>HYPERLINK(AA2 &amp; "/calculator/sn_df565169f3daeca97a7677430314d870/rendering/07.obj", "2.86808929443")</f>
        <v>2.86808929443</v>
      </c>
      <c r="K867" s="60" t="str">
        <f>HYPERLINK(AA2 &amp; "/calculator/sn_df565169f3daeca97a7677430314d870/rendering/08.obj", "2.99605529785")</f>
        <v>2.99605529785</v>
      </c>
      <c r="L867" s="35" t="str">
        <f>HYPERLINK(AA2 &amp; "/calculator/sn_df565169f3daeca97a7677430314d870/rendering/09.obj", "2.97419311523")</f>
        <v>2.97419311523</v>
      </c>
      <c r="M867" s="33" t="str">
        <f>HYPERLINK(AA2 &amp; "/calculator/sn_df565169f3daeca97a7677430314d870/rendering/10.obj", "2.81259918213")</f>
        <v>2.81259918213</v>
      </c>
      <c r="N867" s="23" t="str">
        <f>HYPERLINK(AA2 &amp; "/calculator/sn_df565169f3daeca97a7677430314d870/rendering/11.obj", "3.27797851563")</f>
        <v>3.27797851563</v>
      </c>
      <c r="O867" s="14" t="str">
        <f>HYPERLINK(AA2 &amp; "/calculator/sn_df565169f3daeca97a7677430314d870/rendering/12.obj", "4.07332885742")</f>
        <v>4.07332885742</v>
      </c>
      <c r="P867" s="110" t="str">
        <f>HYPERLINK(AA2 &amp; "/calculator/sn_df565169f3daeca97a7677430314d870/rendering/13.obj", "3.46907196045")</f>
        <v>3.46907196045</v>
      </c>
      <c r="Q867" s="67" t="str">
        <f>HYPERLINK(AA2 &amp; "/calculator/sn_df565169f3daeca97a7677430314d870/rendering/14.obj", "3.45229431152")</f>
        <v>3.45229431152</v>
      </c>
      <c r="R867" s="55" t="str">
        <f>HYPERLINK(AA2 &amp; "/calculator/sn_df565169f3daeca97a7677430314d870/rendering/15.obj", "2.54943313599")</f>
        <v>2.54943313599</v>
      </c>
      <c r="S867" s="65" t="str">
        <f>HYPERLINK(AA2 &amp; "/calculator/sn_df565169f3daeca97a7677430314d870/rendering/16.obj", "2.73599609375")</f>
        <v>2.73599609375</v>
      </c>
      <c r="T867" s="134" t="str">
        <f>HYPERLINK(AA2 &amp; "/calculator/sn_df565169f3daeca97a7677430314d870/rendering/17.obj", "3.72904785156")</f>
        <v>3.72904785156</v>
      </c>
      <c r="U867" s="48" t="str">
        <f>HYPERLINK(AA2 &amp; "/calculator/sn_df565169f3daeca97a7677430314d870/rendering/18.obj", "3.22965576172")</f>
        <v>3.22965576172</v>
      </c>
      <c r="V867" s="24" t="str">
        <f>HYPERLINK(AA2 &amp; "/calculator/sn_df565169f3daeca97a7677430314d870/rendering/19.obj", "2.63230072021")</f>
        <v>2.63230072021</v>
      </c>
      <c r="W867" s="12" t="s">
        <v>29</v>
      </c>
      <c r="X867" s="13">
        <v>3.1574358291625981</v>
      </c>
      <c r="Y867" s="13">
        <v>0.42782169962387517</v>
      </c>
      <c r="Z867" s="42">
        <v>0.13549656201163091</v>
      </c>
    </row>
    <row r="868" spans="1:26" x14ac:dyDescent="0.2">
      <c r="A868" s="1">
        <v>866</v>
      </c>
      <c r="B868" s="2" t="s">
        <v>206</v>
      </c>
      <c r="C868" s="63" t="str">
        <f>HYPERLINK(AA2 &amp; "/calculator/sn_df565169f3daeca97a7677430314d870/rendering/00.obj", "3.33271765709")</f>
        <v>3.33271765709</v>
      </c>
      <c r="D868" s="47" t="str">
        <f>HYPERLINK(AA2 &amp; "/calculator/sn_df565169f3daeca97a7677430314d870/rendering/01.obj", "2.99369287491")</f>
        <v>2.99369287491</v>
      </c>
      <c r="E868" s="47" t="str">
        <f>HYPERLINK(AA2 &amp; "/calculator/sn_df565169f3daeca97a7677430314d870/rendering/02.obj", "2.99500703812")</f>
        <v>2.99500703812</v>
      </c>
      <c r="F868" s="29" t="str">
        <f>HYPERLINK(AA2 &amp; "/calculator/sn_df565169f3daeca97a7677430314d870/rendering/03.obj", "2.58199310303")</f>
        <v>2.58199310303</v>
      </c>
      <c r="G868" s="84" t="str">
        <f>HYPERLINK(AA2 &amp; "/calculator/sn_df565169f3daeca97a7677430314d870/rendering/04.obj", "3.40751385689")</f>
        <v>3.40751385689</v>
      </c>
      <c r="H868" s="46" t="str">
        <f>HYPERLINK(AA2 &amp; "/calculator/sn_df565169f3daeca97a7677430314d870/rendering/05.obj", "2.92070674896")</f>
        <v>2.92070674896</v>
      </c>
      <c r="I868" s="41" t="str">
        <f>HYPERLINK(AA2 &amp; "/calculator/sn_df565169f3daeca97a7677430314d870/rendering/06.obj", "2.773468256")</f>
        <v>2.773468256</v>
      </c>
      <c r="J868" s="106" t="str">
        <f>HYPERLINK(AA2 &amp; "/calculator/sn_df565169f3daeca97a7677430314d870/rendering/07.obj", "2.63493561745")</f>
        <v>2.63493561745</v>
      </c>
      <c r="K868" s="110" t="str">
        <f>HYPERLINK(AA2 &amp; "/calculator/sn_df565169f3daeca97a7677430314d870/rendering/08.obj", "3.26638865471")</f>
        <v>3.26638865471</v>
      </c>
      <c r="L868" s="48" t="str">
        <f>HYPERLINK(AA2 &amp; "/calculator/sn_df565169f3daeca97a7677430314d870/rendering/09.obj", "2.90320181847")</f>
        <v>2.90320181847</v>
      </c>
      <c r="M868" s="87" t="str">
        <f>HYPERLINK(AA2 &amp; "/calculator/sn_df565169f3daeca97a7677430314d870/rendering/10.obj", "2.29281592369")</f>
        <v>2.29281592369</v>
      </c>
      <c r="N868" s="13" t="str">
        <f>HYPERLINK(AA2 &amp; "/calculator/sn_df565169f3daeca97a7677430314d870/rendering/11.obj", "2.97560620308")</f>
        <v>2.97560620308</v>
      </c>
      <c r="O868" s="119" t="str">
        <f>HYPERLINK(AA2 &amp; "/calculator/sn_df565169f3daeca97a7677430314d870/rendering/12.obj", "3.75936961174")</f>
        <v>3.75936961174</v>
      </c>
      <c r="P868" s="133" t="str">
        <f>HYPERLINK(AA2 &amp; "/calculator/sn_df565169f3daeca97a7677430314d870/rendering/13.obj", "3.27308678627")</f>
        <v>3.27308678627</v>
      </c>
      <c r="Q868" s="41" t="str">
        <f>HYPERLINK(AA2 &amp; "/calculator/sn_df565169f3daeca97a7677430314d870/rendering/14.obj", "3.16847801208")</f>
        <v>3.16847801208</v>
      </c>
      <c r="R868" s="44" t="str">
        <f>HYPERLINK(AA2 &amp; "/calculator/sn_df565169f3daeca97a7677430314d870/rendering/15.obj", "2.3915977478")</f>
        <v>2.3915977478</v>
      </c>
      <c r="S868" s="24" t="str">
        <f>HYPERLINK(AA2 &amp; "/calculator/sn_df565169f3daeca97a7677430314d870/rendering/16.obj", "2.47307109833")</f>
        <v>2.47307109833</v>
      </c>
      <c r="T868" s="86" t="str">
        <f>HYPERLINK(AA2 &amp; "/calculator/sn_df565169f3daeca97a7677430314d870/rendering/17.obj", "3.76963567734")</f>
        <v>3.76963567734</v>
      </c>
      <c r="U868" s="25" t="str">
        <f>HYPERLINK(AA2 &amp; "/calculator/sn_df565169f3daeca97a7677430314d870/rendering/18.obj", "3.00210237503")</f>
        <v>3.00210237503</v>
      </c>
      <c r="V868" s="83" t="str">
        <f>HYPERLINK(AA2 &amp; "/calculator/sn_df565169f3daeca97a7677430314d870/rendering/19.obj", "2.5169365406")</f>
        <v>2.5169365406</v>
      </c>
      <c r="W868" s="12" t="s">
        <v>30</v>
      </c>
      <c r="X868" s="13">
        <v>2.9716162800788881</v>
      </c>
      <c r="Y868" s="13">
        <v>0.40990658630002019</v>
      </c>
      <c r="Z868" s="42">
        <v>0.1379406180562244</v>
      </c>
    </row>
    <row r="869" spans="1:26" x14ac:dyDescent="0.2">
      <c r="A869" s="1">
        <v>867</v>
      </c>
      <c r="B869" s="2" t="s">
        <v>206</v>
      </c>
      <c r="C869" s="38" t="str">
        <f>HYPERLINK(AB2 &amp; "/calculator/sn_df565169f3daeca97a7677430314d870/rendering/00.obj", "4.26064819336")</f>
        <v>4.26064819336</v>
      </c>
      <c r="D869" s="78" t="str">
        <f>HYPERLINK(AB2 &amp; "/calculator/sn_df565169f3daeca97a7677430314d870/rendering/01.obj", "4.14673583984")</f>
        <v>4.14673583984</v>
      </c>
      <c r="E869" s="26" t="str">
        <f>HYPERLINK(AB2 &amp; "/calculator/sn_df565169f3daeca97a7677430314d870/rendering/02.obj", "3.66319702148")</f>
        <v>3.66319702148</v>
      </c>
      <c r="F869" s="69" t="str">
        <f>HYPERLINK(AB2 &amp; "/calculator/sn_df565169f3daeca97a7677430314d870/rendering/03.obj", "4.02840454102")</f>
        <v>4.02840454102</v>
      </c>
      <c r="G869" s="28" t="str">
        <f>HYPERLINK(AB2 &amp; "/calculator/sn_df565169f3daeca97a7677430314d870/rendering/04.obj", "4.34580383301")</f>
        <v>4.34580383301</v>
      </c>
      <c r="H869" s="25" t="str">
        <f>HYPERLINK(AB2 &amp; "/calculator/sn_df565169f3daeca97a7677430314d870/rendering/05.obj", "3.95343017578")</f>
        <v>3.95343017578</v>
      </c>
      <c r="I869" s="10" t="str">
        <f>HYPERLINK(AB2 &amp; "/calculator/sn_df565169f3daeca97a7677430314d870/rendering/06.obj", "4.12591308594")</f>
        <v>4.12591308594</v>
      </c>
      <c r="J869" s="51" t="str">
        <f>HYPERLINK(AB2 &amp; "/calculator/sn_df565169f3daeca97a7677430314d870/rendering/07.obj", "3.60241333008")</f>
        <v>3.60241333008</v>
      </c>
      <c r="K869" s="39" t="str">
        <f>HYPERLINK(AB2 &amp; "/calculator/sn_df565169f3daeca97a7677430314d870/rendering/08.obj", "4.24460662842")</f>
        <v>4.24460662842</v>
      </c>
      <c r="L869" s="27" t="str">
        <f>HYPERLINK(AB2 &amp; "/calculator/sn_df565169f3daeca97a7677430314d870/rendering/09.obj", "4.18628417969")</f>
        <v>4.18628417969</v>
      </c>
      <c r="M869" s="17" t="str">
        <f>HYPERLINK(AB2 &amp; "/calculator/sn_df565169f3daeca97a7677430314d870/rendering/10.obj", "3.98843994141")</f>
        <v>3.98843994141</v>
      </c>
      <c r="N869" s="5" t="str">
        <f>HYPERLINK(AB2 &amp; "/calculator/sn_df565169f3daeca97a7677430314d870/rendering/11.obj", "3.60767242432")</f>
        <v>3.60767242432</v>
      </c>
      <c r="O869" s="94" t="str">
        <f>HYPERLINK(AB2 &amp; "/calculator/sn_df565169f3daeca97a7677430314d870/rendering/12.obj", "3.62194946289")</f>
        <v>3.62194946289</v>
      </c>
      <c r="P869" s="60" t="str">
        <f>HYPERLINK(AB2 &amp; "/calculator/sn_df565169f3daeca97a7677430314d870/rendering/13.obj", "3.70743011475")</f>
        <v>3.70743011475</v>
      </c>
      <c r="Q869" s="74" t="str">
        <f>HYPERLINK(AB2 &amp; "/calculator/sn_df565169f3daeca97a7677430314d870/rendering/14.obj", "3.85943908691")</f>
        <v>3.85943908691</v>
      </c>
      <c r="R869" s="31" t="str">
        <f>HYPERLINK(AB2 &amp; "/calculator/sn_df565169f3daeca97a7677430314d870/rendering/15.obj", "3.29770385742")</f>
        <v>3.29770385742</v>
      </c>
      <c r="S869" s="78" t="str">
        <f>HYPERLINK(AB2 &amp; "/calculator/sn_df565169f3daeca97a7677430314d870/rendering/16.obj", "3.67270904541")</f>
        <v>3.67270904541</v>
      </c>
      <c r="T869" s="46" t="str">
        <f>HYPERLINK(AB2 &amp; "/calculator/sn_df565169f3daeca97a7677430314d870/rendering/17.obj", "3.97149414062")</f>
        <v>3.97149414062</v>
      </c>
      <c r="U869" s="34" t="str">
        <f>HYPERLINK(AB2 &amp; "/calculator/sn_df565169f3daeca97a7677430314d870/rendering/18.obj", "3.71580871582")</f>
        <v>3.71580871582</v>
      </c>
      <c r="V869" s="27" t="str">
        <f>HYPERLINK(AB2 &amp; "/calculator/sn_df565169f3daeca97a7677430314d870/rendering/19.obj", "4.18471893311")</f>
        <v>4.18471893311</v>
      </c>
      <c r="W869" s="12" t="s">
        <v>31</v>
      </c>
      <c r="X869" s="13">
        <v>3.9092401275634772</v>
      </c>
      <c r="Y869" s="13">
        <v>0.27816777663620729</v>
      </c>
      <c r="Z869" s="27">
        <v>7.1156482477217814E-2</v>
      </c>
    </row>
    <row r="870" spans="1:26" x14ac:dyDescent="0.2">
      <c r="A870" s="1">
        <v>868</v>
      </c>
      <c r="B870" s="2" t="s">
        <v>206</v>
      </c>
      <c r="C870" s="74" t="str">
        <f>HYPERLINK(AB2 &amp; "/calculator/sn_df565169f3daeca97a7677430314d870/rendering/00.obj", "2.91771578789")</f>
        <v>2.91771578789</v>
      </c>
      <c r="D870" s="23" t="str">
        <f>HYPERLINK(AB2 &amp; "/calculator/sn_df565169f3daeca97a7677430314d870/rendering/01.obj", "2.98513531685")</f>
        <v>2.98513531685</v>
      </c>
      <c r="E870" s="5" t="str">
        <f>HYPERLINK(AB2 &amp; "/calculator/sn_df565169f3daeca97a7677430314d870/rendering/02.obj", "3.09541249275")</f>
        <v>3.09541249275</v>
      </c>
      <c r="F870" s="60" t="str">
        <f>HYPERLINK(AB2 &amp; "/calculator/sn_df565169f3daeca97a7677430314d870/rendering/03.obj", "3.02075815201")</f>
        <v>3.02075815201</v>
      </c>
      <c r="G870" s="66" t="str">
        <f>HYPERLINK(AB2 &amp; "/calculator/sn_df565169f3daeca97a7677430314d870/rendering/04.obj", "3.33559417725")</f>
        <v>3.33559417725</v>
      </c>
      <c r="H870" s="72" t="str">
        <f>HYPERLINK(AB2 &amp; "/calculator/sn_df565169f3daeca97a7677430314d870/rendering/05.obj", "2.96547985077")</f>
        <v>2.96547985077</v>
      </c>
      <c r="I870" s="28" t="str">
        <f>HYPERLINK(AB2 &amp; "/calculator/sn_df565169f3daeca97a7677430314d870/rendering/06.obj", "3.19880485535")</f>
        <v>3.19880485535</v>
      </c>
      <c r="J870" s="39" t="str">
        <f>HYPERLINK(AB2 &amp; "/calculator/sn_df565169f3daeca97a7677430314d870/rendering/07.obj", "2.62847971916")</f>
        <v>2.62847971916</v>
      </c>
      <c r="K870" s="78" t="str">
        <f>HYPERLINK(AB2 &amp; "/calculator/sn_df565169f3daeca97a7677430314d870/rendering/08.obj", "3.05171060562")</f>
        <v>3.05171060562</v>
      </c>
      <c r="L870" s="70" t="str">
        <f>HYPERLINK(AB2 &amp; "/calculator/sn_df565169f3daeca97a7677430314d870/rendering/09.obj", "3.24090576172")</f>
        <v>3.24090576172</v>
      </c>
      <c r="M870" s="68" t="str">
        <f>HYPERLINK(AB2 &amp; "/calculator/sn_df565169f3daeca97a7677430314d870/rendering/10.obj", "2.7562277317")</f>
        <v>2.7562277317</v>
      </c>
      <c r="N870" s="34" t="str">
        <f>HYPERLINK(AB2 &amp; "/calculator/sn_df565169f3daeca97a7677430314d870/rendering/11.obj", "3.01214361191")</f>
        <v>3.01214361191</v>
      </c>
      <c r="O870" s="48" t="str">
        <f>HYPERLINK(AB2 &amp; "/calculator/sn_df565169f3daeca97a7677430314d870/rendering/12.obj", "2.80353307724")</f>
        <v>2.80353307724</v>
      </c>
      <c r="P870" s="67" t="str">
        <f>HYPERLINK(AB2 &amp; "/calculator/sn_df565169f3daeca97a7677430314d870/rendering/13.obj", "2.6117939949")</f>
        <v>2.6117939949</v>
      </c>
      <c r="Q870" s="28" t="str">
        <f>HYPERLINK(AB2 &amp; "/calculator/sn_df565169f3daeca97a7677430314d870/rendering/14.obj", "2.54992413521")</f>
        <v>2.54992413521</v>
      </c>
      <c r="R870" s="55" t="str">
        <f>HYPERLINK(AB2 &amp; "/calculator/sn_df565169f3daeca97a7677430314d870/rendering/15.obj", "2.31650519371")</f>
        <v>2.31650519371</v>
      </c>
      <c r="S870" s="92" t="str">
        <f>HYPERLINK(AB2 &amp; "/calculator/sn_df565169f3daeca97a7677430314d870/rendering/16.obj", "2.51486325264")</f>
        <v>2.51486325264</v>
      </c>
      <c r="T870" s="26" t="str">
        <f>HYPERLINK(AB2 &amp; "/calculator/sn_df565169f3daeca97a7677430314d870/rendering/17.obj", "2.6884791851")</f>
        <v>2.6884791851</v>
      </c>
      <c r="U870" s="71" t="str">
        <f>HYPERLINK(AB2 &amp; "/calculator/sn_df565169f3daeca97a7677430314d870/rendering/18.obj", "2.53622531891")</f>
        <v>2.53622531891</v>
      </c>
      <c r="V870" s="65" t="str">
        <f>HYPERLINK(AB2 &amp; "/calculator/sn_df565169f3daeca97a7677430314d870/rendering/19.obj", "3.25760889053")</f>
        <v>3.25760889053</v>
      </c>
      <c r="W870" s="12" t="s">
        <v>32</v>
      </c>
      <c r="X870" s="13">
        <v>2.874365055561066</v>
      </c>
      <c r="Y870" s="13">
        <v>0.28154749298865789</v>
      </c>
      <c r="Z870" s="110">
        <v>9.7951195323622842E-2</v>
      </c>
    </row>
    <row r="871" spans="1:26" x14ac:dyDescent="0.2">
      <c r="A871" s="1">
        <v>869</v>
      </c>
      <c r="B871" s="2" t="s">
        <v>206</v>
      </c>
      <c r="C871" s="13" t="str">
        <f>HYPERLINK(AC2 &amp; "/calculator/sn_df565169f3daeca97a7677430314d870/rendering/00.xyz", "0.0")</f>
        <v>0.0</v>
      </c>
      <c r="D871" s="13" t="str">
        <f>HYPERLINK(AC2 &amp; "/calculator/sn_df565169f3daeca97a7677430314d870/rendering/01.xyz", "0.0")</f>
        <v>0.0</v>
      </c>
      <c r="E871" s="13" t="str">
        <f>HYPERLINK(AC2 &amp; "/calculator/sn_df565169f3daeca97a7677430314d870/rendering/02.xyz", "0.0")</f>
        <v>0.0</v>
      </c>
      <c r="F871" s="13" t="str">
        <f>HYPERLINK(AC2 &amp; "/calculator/sn_df565169f3daeca97a7677430314d870/rendering/03.xyz", "0.0")</f>
        <v>0.0</v>
      </c>
      <c r="G871" s="13" t="str">
        <f>HYPERLINK(AC2 &amp; "/calculator/sn_df565169f3daeca97a7677430314d870/rendering/04.xyz", "0.0")</f>
        <v>0.0</v>
      </c>
      <c r="H871" s="13" t="str">
        <f>HYPERLINK(AC2 &amp; "/calculator/sn_df565169f3daeca97a7677430314d870/rendering/05.xyz", "0.0")</f>
        <v>0.0</v>
      </c>
      <c r="I871" s="13" t="str">
        <f>HYPERLINK(AC2 &amp; "/calculator/sn_df565169f3daeca97a7677430314d870/rendering/06.xyz", "0.0")</f>
        <v>0.0</v>
      </c>
      <c r="J871" s="13" t="str">
        <f>HYPERLINK(AC2 &amp; "/calculator/sn_df565169f3daeca97a7677430314d870/rendering/07.xyz", "0.0")</f>
        <v>0.0</v>
      </c>
      <c r="K871" s="13" t="str">
        <f>HYPERLINK(AC2 &amp; "/calculator/sn_df565169f3daeca97a7677430314d870/rendering/08.xyz", "0.0")</f>
        <v>0.0</v>
      </c>
      <c r="L871" s="13" t="str">
        <f>HYPERLINK(AC2 &amp; "/calculator/sn_df565169f3daeca97a7677430314d870/rendering/09.xyz", "0.0")</f>
        <v>0.0</v>
      </c>
      <c r="M871" s="13" t="str">
        <f>HYPERLINK(AC2 &amp; "/calculator/sn_df565169f3daeca97a7677430314d870/rendering/10.xyz", "0.0")</f>
        <v>0.0</v>
      </c>
      <c r="N871" s="13" t="str">
        <f>HYPERLINK(AC2 &amp; "/calculator/sn_df565169f3daeca97a7677430314d870/rendering/11.xyz", "0.0")</f>
        <v>0.0</v>
      </c>
      <c r="O871" s="13" t="str">
        <f>HYPERLINK(AC2 &amp; "/calculator/sn_df565169f3daeca97a7677430314d870/rendering/12.xyz", "0.0")</f>
        <v>0.0</v>
      </c>
      <c r="P871" s="13" t="str">
        <f>HYPERLINK(AC2 &amp; "/calculator/sn_df565169f3daeca97a7677430314d870/rendering/13.xyz", "0.0")</f>
        <v>0.0</v>
      </c>
      <c r="Q871" s="13" t="str">
        <f>HYPERLINK(AC2 &amp; "/calculator/sn_df565169f3daeca97a7677430314d870/rendering/14.xyz", "0.0")</f>
        <v>0.0</v>
      </c>
      <c r="R871" s="13" t="str">
        <f>HYPERLINK(AC2 &amp; "/calculator/sn_df565169f3daeca97a7677430314d870/rendering/15.xyz", "0.0")</f>
        <v>0.0</v>
      </c>
      <c r="S871" s="13" t="str">
        <f>HYPERLINK(AC2 &amp; "/calculator/sn_df565169f3daeca97a7677430314d870/rendering/16.xyz", "0.0")</f>
        <v>0.0</v>
      </c>
      <c r="T871" s="13" t="str">
        <f>HYPERLINK(AC2 &amp; "/calculator/sn_df565169f3daeca97a7677430314d870/rendering/17.xyz", "0.0")</f>
        <v>0.0</v>
      </c>
      <c r="U871" s="13" t="str">
        <f>HYPERLINK(AC2 &amp; "/calculator/sn_df565169f3daeca97a7677430314d870/rendering/18.xyz", "0.0")</f>
        <v>0.0</v>
      </c>
      <c r="V871" s="13" t="str">
        <f>HYPERLINK(AC2 &amp; "/calculator/sn_df565169f3daeca97a7677430314d870/rendering/19.xyz", "0.0")</f>
        <v>0.0</v>
      </c>
      <c r="W871" s="12" t="s">
        <v>33</v>
      </c>
      <c r="X871" s="13">
        <v>0</v>
      </c>
      <c r="Y871" s="13">
        <v>0</v>
      </c>
      <c r="Z871" s="13">
        <v>0</v>
      </c>
    </row>
    <row r="872" spans="1:26" x14ac:dyDescent="0.2">
      <c r="A872" s="1">
        <v>870</v>
      </c>
      <c r="B872" s="2" t="s">
        <v>207</v>
      </c>
      <c r="C872" s="153" t="str">
        <f>HYPERLINK(AA2 &amp; "/calculator/sn_e2d5da7a0773d92c5178ea5824798f07/rendering/00.obj", "1.66227416992")</f>
        <v>1.66227416992</v>
      </c>
      <c r="D872" s="106" t="str">
        <f>HYPERLINK(AA2 &amp; "/calculator/sn_e2d5da7a0773d92c5178ea5824798f07/rendering/01.obj", "2.87161651611")</f>
        <v>2.87161651611</v>
      </c>
      <c r="E872" s="158" t="str">
        <f>HYPERLINK(AA2 &amp; "/calculator/sn_e2d5da7a0773d92c5178ea5824798f07/rendering/02.obj", "3.63010620117")</f>
        <v>3.63010620117</v>
      </c>
      <c r="F872" s="11" t="str">
        <f>HYPERLINK(AA2 &amp; "/calculator/sn_e2d5da7a0773d92c5178ea5824798f07/rendering/03.obj", "3.15626556396")</f>
        <v>3.15626556396</v>
      </c>
      <c r="G872" s="78" t="str">
        <f>HYPERLINK(AA2 &amp; "/calculator/sn_e2d5da7a0773d92c5178ea5824798f07/rendering/04.obj", "2.42078887939")</f>
        <v>2.42078887939</v>
      </c>
      <c r="H872" s="66" t="str">
        <f>HYPERLINK(AA2 &amp; "/calculator/sn_e2d5da7a0773d92c5178ea5824798f07/rendering/05.obj", "2.15947998047")</f>
        <v>2.15947998047</v>
      </c>
      <c r="I872" s="93" t="str">
        <f>HYPERLINK(AA2 &amp; "/calculator/sn_e2d5da7a0773d92c5178ea5824798f07/rendering/06.obj", "2.21948348999")</f>
        <v>2.21948348999</v>
      </c>
      <c r="J872" s="80" t="str">
        <f>HYPERLINK(AA2 &amp; "/calculator/sn_e2d5da7a0773d92c5178ea5824798f07/rendering/07.obj", "2.19284591675")</f>
        <v>2.19284591675</v>
      </c>
      <c r="K872" s="71" t="str">
        <f>HYPERLINK(AA2 &amp; "/calculator/sn_e2d5da7a0773d92c5178ea5824798f07/rendering/08.obj", "2.27570663452")</f>
        <v>2.27570663452</v>
      </c>
      <c r="L872" s="239" t="str">
        <f>HYPERLINK(AA2 &amp; "/calculator/sn_e2d5da7a0773d92c5178ea5824798f07/rendering/09.obj", "4.1387310791")</f>
        <v>4.1387310791</v>
      </c>
      <c r="M872" s="118" t="str">
        <f>HYPERLINK(AA2 &amp; "/calculator/sn_e2d5da7a0773d92c5178ea5824798f07/rendering/10.obj", "1.82276870728")</f>
        <v>1.82276870728</v>
      </c>
      <c r="N872" s="68" t="str">
        <f>HYPERLINK(AA2 &amp; "/calculator/sn_e2d5da7a0773d92c5178ea5824798f07/rendering/11.obj", "2.6874420166")</f>
        <v>2.6874420166</v>
      </c>
      <c r="O872" s="110" t="str">
        <f>HYPERLINK(AA2 &amp; "/calculator/sn_e2d5da7a0773d92c5178ea5824798f07/rendering/12.obj", "2.32020462036")</f>
        <v>2.32020462036</v>
      </c>
      <c r="P872" s="198" t="str">
        <f>HYPERLINK(AA2 &amp; "/calculator/sn_e2d5da7a0773d92c5178ea5824798f07/rendering/13.obj", "3.57460998535")</f>
        <v>3.57460998535</v>
      </c>
      <c r="Q872" s="35" t="str">
        <f>HYPERLINK(AA2 &amp; "/calculator/sn_e2d5da7a0773d92c5178ea5824798f07/rendering/14.obj", "2.42954269409")</f>
        <v>2.42954269409</v>
      </c>
      <c r="R872" s="91" t="str">
        <f>HYPERLINK(AA2 &amp; "/calculator/sn_e2d5da7a0773d92c5178ea5824798f07/rendering/15.obj", "2.50375549316")</f>
        <v>2.50375549316</v>
      </c>
      <c r="S872" s="79" t="str">
        <f>HYPERLINK(AA2 &amp; "/calculator/sn_e2d5da7a0773d92c5178ea5824798f07/rendering/16.obj", "2.16833374023")</f>
        <v>2.16833374023</v>
      </c>
      <c r="T872" s="69" t="str">
        <f>HYPERLINK(AA2 &amp; "/calculator/sn_e2d5da7a0773d92c5178ea5824798f07/rendering/17.obj", "2.65573303223")</f>
        <v>2.65573303223</v>
      </c>
      <c r="U872" s="26" t="str">
        <f>HYPERLINK(AA2 &amp; "/calculator/sn_e2d5da7a0773d92c5178ea5824798f07/rendering/18.obj", "2.40870300293")</f>
        <v>2.40870300293</v>
      </c>
      <c r="V872" s="8" t="str">
        <f>HYPERLINK(AA2 &amp; "/calculator/sn_e2d5da7a0773d92c5178ea5824798f07/rendering/19.obj", "2.21100830078")</f>
        <v>2.21100830078</v>
      </c>
      <c r="W872" s="12" t="s">
        <v>29</v>
      </c>
      <c r="X872" s="13">
        <v>2.5754700012207041</v>
      </c>
      <c r="Y872" s="13">
        <v>0.60732103065274978</v>
      </c>
      <c r="Z872" s="136">
        <v>0.23580978631663191</v>
      </c>
    </row>
    <row r="873" spans="1:26" x14ac:dyDescent="0.2">
      <c r="A873" s="1">
        <v>871</v>
      </c>
      <c r="B873" s="2" t="s">
        <v>207</v>
      </c>
      <c r="C873" s="36" t="str">
        <f>HYPERLINK(AA2 &amp; "/calculator/sn_e2d5da7a0773d92c5178ea5824798f07/rendering/00.obj", "2.13691043854")</f>
        <v>2.13691043854</v>
      </c>
      <c r="D873" s="67" t="str">
        <f>HYPERLINK(AA2 &amp; "/calculator/sn_e2d5da7a0773d92c5178ea5824798f07/rendering/01.obj", "2.96942067146")</f>
        <v>2.96942067146</v>
      </c>
      <c r="E873" s="248" t="str">
        <f>HYPERLINK(AA2 &amp; "/calculator/sn_e2d5da7a0773d92c5178ea5824798f07/rendering/02.obj", "4.51848316193")</f>
        <v>4.51848316193</v>
      </c>
      <c r="F873" s="170" t="str">
        <f>HYPERLINK(AA2 &amp; "/calculator/sn_e2d5da7a0773d92c5178ea5824798f07/rendering/03.obj", "3.40902328491")</f>
        <v>3.40902328491</v>
      </c>
      <c r="G873" s="117" t="str">
        <f>HYPERLINK(AA2 &amp; "/calculator/sn_e2d5da7a0773d92c5178ea5824798f07/rendering/04.obj", "2.23491024971")</f>
        <v>2.23491024971</v>
      </c>
      <c r="H873" s="59" t="str">
        <f>HYPERLINK(AA2 &amp; "/calculator/sn_e2d5da7a0773d92c5178ea5824798f07/rendering/05.obj", "2.06389427185")</f>
        <v>2.06389427185</v>
      </c>
      <c r="I873" s="113" t="str">
        <f>HYPERLINK(AA2 &amp; "/calculator/sn_e2d5da7a0773d92c5178ea5824798f07/rendering/06.obj", "1.9747030735")</f>
        <v>1.9747030735</v>
      </c>
      <c r="J873" s="75" t="str">
        <f>HYPERLINK(AA2 &amp; "/calculator/sn_e2d5da7a0773d92c5178ea5824798f07/rendering/07.obj", "2.11813855171")</f>
        <v>2.11813855171</v>
      </c>
      <c r="K873" s="35" t="str">
        <f>HYPERLINK(AA2 &amp; "/calculator/sn_e2d5da7a0773d92c5178ea5824798f07/rendering/08.obj", "2.56338739395")</f>
        <v>2.56338739395</v>
      </c>
      <c r="L873" s="20" t="str">
        <f>HYPERLINK(AA2 &amp; "/calculator/sn_e2d5da7a0773d92c5178ea5824798f07/rendering/09.obj", "4.97362995148")</f>
        <v>4.97362995148</v>
      </c>
      <c r="M873" s="119" t="str">
        <f>HYPERLINK(AA2 &amp; "/calculator/sn_e2d5da7a0773d92c5178ea5824798f07/rendering/10.obj", "1.99677801132")</f>
        <v>1.99677801132</v>
      </c>
      <c r="N873" s="110" t="str">
        <f>HYPERLINK(AA2 &amp; "/calculator/sn_e2d5da7a0773d92c5178ea5824798f07/rendering/11.obj", "2.98524737358")</f>
        <v>2.98524737358</v>
      </c>
      <c r="O873" s="13" t="str">
        <f>HYPERLINK(AA2 &amp; "/calculator/sn_e2d5da7a0773d92c5178ea5824798f07/rendering/12.obj", "2.72019600868")</f>
        <v>2.72019600868</v>
      </c>
      <c r="P873" s="249" t="str">
        <f>HYPERLINK(AA2 &amp; "/calculator/sn_e2d5da7a0773d92c5178ea5824798f07/rendering/13.obj", "4.28075313568")</f>
        <v>4.28075313568</v>
      </c>
      <c r="Q873" s="88" t="str">
        <f>HYPERLINK(AA2 &amp; "/calculator/sn_e2d5da7a0773d92c5178ea5824798f07/rendering/14.obj", "2.17283010483")</f>
        <v>2.17283010483</v>
      </c>
      <c r="R873" s="66" t="str">
        <f>HYPERLINK(AA2 &amp; "/calculator/sn_e2d5da7a0773d92c5178ea5824798f07/rendering/15.obj", "2.2804017067")</f>
        <v>2.2804017067</v>
      </c>
      <c r="S873" s="33" t="str">
        <f>HYPERLINK(AA2 &amp; "/calculator/sn_e2d5da7a0773d92c5178ea5824798f07/rendering/16.obj", "2.42975950241")</f>
        <v>2.42975950241</v>
      </c>
      <c r="T873" s="106" t="str">
        <f>HYPERLINK(AA2 &amp; "/calculator/sn_e2d5da7a0773d92c5178ea5824798f07/rendering/17.obj", "2.41262888908")</f>
        <v>2.41262888908</v>
      </c>
      <c r="U873" s="55" t="str">
        <f>HYPERLINK(AA2 &amp; "/calculator/sn_e2d5da7a0773d92c5178ea5824798f07/rendering/18.obj", "2.19748878479")</f>
        <v>2.19748878479</v>
      </c>
      <c r="V873" s="7" t="str">
        <f>HYPERLINK(AA2 &amp; "/calculator/sn_e2d5da7a0773d92c5178ea5824798f07/rendering/19.obj", "1.96747517586")</f>
        <v>1.96747517586</v>
      </c>
      <c r="W873" s="12" t="s">
        <v>30</v>
      </c>
      <c r="X873" s="13">
        <v>2.7203029870986941</v>
      </c>
      <c r="Y873" s="13">
        <v>0.87573941036561254</v>
      </c>
      <c r="Z873" s="168">
        <v>0.3219271583051202</v>
      </c>
    </row>
    <row r="874" spans="1:26" x14ac:dyDescent="0.2">
      <c r="A874" s="1">
        <v>872</v>
      </c>
      <c r="B874" s="2" t="s">
        <v>207</v>
      </c>
      <c r="C874" s="41" t="str">
        <f>HYPERLINK(AB2 &amp; "/calculator/sn_e2d5da7a0773d92c5178ea5824798f07/rendering/00.obj", "2.41296005249")</f>
        <v>2.41296005249</v>
      </c>
      <c r="D874" s="41" t="str">
        <f>HYPERLINK(AB2 &amp; "/calculator/sn_e2d5da7a0773d92c5178ea5824798f07/rendering/01.obj", "2.41077453613")</f>
        <v>2.41077453613</v>
      </c>
      <c r="E874" s="70" t="str">
        <f>HYPERLINK(AB2 &amp; "/calculator/sn_e2d5da7a0773d92c5178ea5824798f07/rendering/02.obj", "1.97540115356")</f>
        <v>1.97540115356</v>
      </c>
      <c r="F874" s="17" t="str">
        <f>HYPERLINK(AB2 &amp; "/calculator/sn_e2d5da7a0773d92c5178ea5824798f07/rendering/03.obj", "2.21717773437")</f>
        <v>2.21717773437</v>
      </c>
      <c r="G874" s="29" t="str">
        <f>HYPERLINK(AB2 &amp; "/calculator/sn_e2d5da7a0773d92c5178ea5824798f07/rendering/04.obj", "1.96583557129")</f>
        <v>1.96583557129</v>
      </c>
      <c r="H874" s="38" t="str">
        <f>HYPERLINK(AB2 &amp; "/calculator/sn_e2d5da7a0773d92c5178ea5824798f07/rendering/05.obj", "2.46480682373")</f>
        <v>2.46480682373</v>
      </c>
      <c r="I874" s="33" t="str">
        <f>HYPERLINK(AB2 &amp; "/calculator/sn_e2d5da7a0773d92c5178ea5824798f07/rendering/06.obj", "2.01837997437")</f>
        <v>2.01837997437</v>
      </c>
      <c r="J874" s="11" t="str">
        <f>HYPERLINK(AB2 &amp; "/calculator/sn_e2d5da7a0773d92c5178ea5824798f07/rendering/07.obj", "2.77101287842")</f>
        <v>2.77101287842</v>
      </c>
      <c r="K874" s="63" t="str">
        <f>HYPERLINK(AB2 &amp; "/calculator/sn_e2d5da7a0773d92c5178ea5824798f07/rendering/08.obj", "2.53265319824")</f>
        <v>2.53265319824</v>
      </c>
      <c r="L874" s="64" t="str">
        <f>HYPERLINK(AB2 &amp; "/calculator/sn_e2d5da7a0773d92c5178ea5824798f07/rendering/09.obj", "2.63602111816")</f>
        <v>2.63602111816</v>
      </c>
      <c r="M874" s="35" t="str">
        <f>HYPERLINK(AB2 &amp; "/calculator/sn_e2d5da7a0773d92c5178ea5824798f07/rendering/10.obj", "2.39465789795")</f>
        <v>2.39465789795</v>
      </c>
      <c r="N874" s="10" t="str">
        <f>HYPERLINK(AB2 &amp; "/calculator/sn_e2d5da7a0773d92c5178ea5824798f07/rendering/11.obj", "2.38208312988")</f>
        <v>2.38208312988</v>
      </c>
      <c r="O874" s="82" t="str">
        <f>HYPERLINK(AB2 &amp; "/calculator/sn_e2d5da7a0773d92c5178ea5824798f07/rendering/12.obj", "1.7999961853")</f>
        <v>1.7999961853</v>
      </c>
      <c r="P874" s="42" t="str">
        <f>HYPERLINK(AB2 &amp; "/calculator/sn_e2d5da7a0773d92c5178ea5824798f07/rendering/13.obj", "2.56871490479")</f>
        <v>2.56871490479</v>
      </c>
      <c r="Q874" s="32" t="str">
        <f>HYPERLINK(AB2 &amp; "/calculator/sn_e2d5da7a0773d92c5178ea5824798f07/rendering/14.obj", "2.4995300293")</f>
        <v>2.4995300293</v>
      </c>
      <c r="R874" s="66" t="str">
        <f>HYPERLINK(AB2 &amp; "/calculator/sn_e2d5da7a0773d92c5178ea5824798f07/rendering/15.obj", "1.89274597168")</f>
        <v>1.89274597168</v>
      </c>
      <c r="S874" s="23" t="str">
        <f>HYPERLINK(AB2 &amp; "/calculator/sn_e2d5da7a0773d92c5178ea5824798f07/rendering/16.obj", "2.35018661499")</f>
        <v>2.35018661499</v>
      </c>
      <c r="T874" s="50" t="str">
        <f>HYPERLINK(AB2 &amp; "/calculator/sn_e2d5da7a0773d92c5178ea5824798f07/rendering/17.obj", "1.81411010742")</f>
        <v>1.81411010742</v>
      </c>
      <c r="U874" s="107" t="str">
        <f>HYPERLINK(AB2 &amp; "/calculator/sn_e2d5da7a0773d92c5178ea5824798f07/rendering/18.obj", "2.07130310059")</f>
        <v>2.07130310059</v>
      </c>
      <c r="V874" s="67" t="str">
        <f>HYPERLINK(AB2 &amp; "/calculator/sn_e2d5da7a0773d92c5178ea5824798f07/rendering/19.obj", "2.05102142334")</f>
        <v>2.05102142334</v>
      </c>
      <c r="W874" s="12" t="s">
        <v>31</v>
      </c>
      <c r="X874" s="13">
        <v>2.2614686203002932</v>
      </c>
      <c r="Y874" s="13">
        <v>0.28381922322864778</v>
      </c>
      <c r="Z874" s="70">
        <v>0.12550217176613329</v>
      </c>
    </row>
    <row r="875" spans="1:26" x14ac:dyDescent="0.2">
      <c r="A875" s="1">
        <v>873</v>
      </c>
      <c r="B875" s="2" t="s">
        <v>207</v>
      </c>
      <c r="C875" s="27" t="str">
        <f>HYPERLINK(AB2 &amp; "/calculator/sn_e2d5da7a0773d92c5178ea5824798f07/rendering/00.obj", "2.01658272743")</f>
        <v>2.01658272743</v>
      </c>
      <c r="D875" s="34" t="str">
        <f>HYPERLINK(AB2 &amp; "/calculator/sn_e2d5da7a0773d92c5178ea5824798f07/rendering/01.obj", "2.0686507225")</f>
        <v>2.0686507225</v>
      </c>
      <c r="E875" s="91" t="str">
        <f>HYPERLINK(AB2 &amp; "/calculator/sn_e2d5da7a0773d92c5178ea5824798f07/rendering/02.obj", "2.11646938324")</f>
        <v>2.11646938324</v>
      </c>
      <c r="F875" s="60" t="str">
        <f>HYPERLINK(AB2 &amp; "/calculator/sn_e2d5da7a0773d92c5178ea5824798f07/rendering/03.obj", "2.05705809593")</f>
        <v>2.05705809593</v>
      </c>
      <c r="G875" s="30" t="str">
        <f>HYPERLINK(AB2 &amp; "/calculator/sn_e2d5da7a0773d92c5178ea5824798f07/rendering/04.obj", "2.16084885597")</f>
        <v>2.16084885597</v>
      </c>
      <c r="H875" s="23" t="str">
        <f>HYPERLINK(AB2 &amp; "/calculator/sn_e2d5da7a0773d92c5178ea5824798f07/rendering/05.obj", "2.08333110809")</f>
        <v>2.08333110809</v>
      </c>
      <c r="I875" s="27" t="str">
        <f>HYPERLINK(AB2 &amp; "/calculator/sn_e2d5da7a0773d92c5178ea5824798f07/rendering/06.obj", "2.01926136017")</f>
        <v>2.01926136017</v>
      </c>
      <c r="J875" s="68" t="str">
        <f>HYPERLINK(AB2 &amp; "/calculator/sn_e2d5da7a0773d92c5178ea5824798f07/rendering/07.obj", "2.07811307907")</f>
        <v>2.07811307907</v>
      </c>
      <c r="K875" s="72" t="str">
        <f>HYPERLINK(AB2 &amp; "/calculator/sn_e2d5da7a0773d92c5178ea5824798f07/rendering/08.obj", "2.09902381897")</f>
        <v>2.09902381897</v>
      </c>
      <c r="L875" s="96" t="str">
        <f>HYPERLINK(AB2 &amp; "/calculator/sn_e2d5da7a0773d92c5178ea5824798f07/rendering/09.obj", "2.95843815804")</f>
        <v>2.95843815804</v>
      </c>
      <c r="M875" s="47" t="str">
        <f>HYPERLINK(AB2 &amp; "/calculator/sn_e2d5da7a0773d92c5178ea5824798f07/rendering/10.obj", "2.15493893623")</f>
        <v>2.15493893623</v>
      </c>
      <c r="N875" s="85" t="str">
        <f>HYPERLINK(AB2 &amp; "/calculator/sn_e2d5da7a0773d92c5178ea5824798f07/rendering/11.obj", "2.81289124489")</f>
        <v>2.81289124489</v>
      </c>
      <c r="O875" s="5" t="str">
        <f>HYPERLINK(AB2 &amp; "/calculator/sn_e2d5da7a0773d92c5178ea5824798f07/rendering/12.obj", "2.00153160095")</f>
        <v>2.00153160095</v>
      </c>
      <c r="P875" s="108" t="str">
        <f>HYPERLINK(AB2 &amp; "/calculator/sn_e2d5da7a0773d92c5178ea5824798f07/rendering/13.obj", "2.70440745354")</f>
        <v>2.70440745354</v>
      </c>
      <c r="Q875" s="74" t="str">
        <f>HYPERLINK(AB2 &amp; "/calculator/sn_e2d5da7a0773d92c5178ea5824798f07/rendering/14.obj", "2.13800930977")</f>
        <v>2.13800930977</v>
      </c>
      <c r="R875" s="48" t="str">
        <f>HYPERLINK(AB2 &amp; "/calculator/sn_e2d5da7a0773d92c5178ea5824798f07/rendering/15.obj", "2.12034249306")</f>
        <v>2.12034249306</v>
      </c>
      <c r="S875" s="41" t="str">
        <f>HYPERLINK(AB2 &amp; "/calculator/sn_e2d5da7a0773d92c5178ea5824798f07/rendering/16.obj", "2.02410149574")</f>
        <v>2.02410149574</v>
      </c>
      <c r="T875" s="133" t="str">
        <f>HYPERLINK(AB2 &amp; "/calculator/sn_e2d5da7a0773d92c5178ea5824798f07/rendering/17.obj", "1.95293271542")</f>
        <v>1.95293271542</v>
      </c>
      <c r="U875" s="32" t="str">
        <f>HYPERLINK(AB2 &amp; "/calculator/sn_e2d5da7a0773d92c5178ea5824798f07/rendering/18.obj", "1.94310212135")</f>
        <v>1.94310212135</v>
      </c>
      <c r="V875" s="71" t="str">
        <f>HYPERLINK(AB2 &amp; "/calculator/sn_e2d5da7a0773d92c5178ea5824798f07/rendering/19.obj", "1.91815257072")</f>
        <v>1.91815257072</v>
      </c>
      <c r="W875" s="12" t="s">
        <v>32</v>
      </c>
      <c r="X875" s="13">
        <v>2.1714093625545501</v>
      </c>
      <c r="Y875" s="13">
        <v>0.28540634931377379</v>
      </c>
      <c r="Z875" s="29">
        <v>0.13143829728080761</v>
      </c>
    </row>
    <row r="876" spans="1:26" x14ac:dyDescent="0.2">
      <c r="A876" s="1">
        <v>874</v>
      </c>
      <c r="B876" s="2" t="s">
        <v>207</v>
      </c>
      <c r="C876" s="13" t="str">
        <f>HYPERLINK(AC2 &amp; "/calculator/sn_e2d5da7a0773d92c5178ea5824798f07/rendering/00.xyz", "0.0")</f>
        <v>0.0</v>
      </c>
      <c r="D876" s="13" t="str">
        <f>HYPERLINK(AC2 &amp; "/calculator/sn_e2d5da7a0773d92c5178ea5824798f07/rendering/01.xyz", "0.0")</f>
        <v>0.0</v>
      </c>
      <c r="E876" s="13" t="str">
        <f>HYPERLINK(AC2 &amp; "/calculator/sn_e2d5da7a0773d92c5178ea5824798f07/rendering/02.xyz", "0.0")</f>
        <v>0.0</v>
      </c>
      <c r="F876" s="13" t="str">
        <f>HYPERLINK(AC2 &amp; "/calculator/sn_e2d5da7a0773d92c5178ea5824798f07/rendering/03.xyz", "0.0")</f>
        <v>0.0</v>
      </c>
      <c r="G876" s="13" t="str">
        <f>HYPERLINK(AC2 &amp; "/calculator/sn_e2d5da7a0773d92c5178ea5824798f07/rendering/04.xyz", "0.0")</f>
        <v>0.0</v>
      </c>
      <c r="H876" s="13" t="str">
        <f>HYPERLINK(AC2 &amp; "/calculator/sn_e2d5da7a0773d92c5178ea5824798f07/rendering/05.xyz", "0.0")</f>
        <v>0.0</v>
      </c>
      <c r="I876" s="13" t="str">
        <f>HYPERLINK(AC2 &amp; "/calculator/sn_e2d5da7a0773d92c5178ea5824798f07/rendering/06.xyz", "0.0")</f>
        <v>0.0</v>
      </c>
      <c r="J876" s="13" t="str">
        <f>HYPERLINK(AC2 &amp; "/calculator/sn_e2d5da7a0773d92c5178ea5824798f07/rendering/07.xyz", "0.0")</f>
        <v>0.0</v>
      </c>
      <c r="K876" s="13" t="str">
        <f>HYPERLINK(AC2 &amp; "/calculator/sn_e2d5da7a0773d92c5178ea5824798f07/rendering/08.xyz", "0.0")</f>
        <v>0.0</v>
      </c>
      <c r="L876" s="13" t="str">
        <f>HYPERLINK(AC2 &amp; "/calculator/sn_e2d5da7a0773d92c5178ea5824798f07/rendering/09.xyz", "0.0")</f>
        <v>0.0</v>
      </c>
      <c r="M876" s="13" t="str">
        <f>HYPERLINK(AC2 &amp; "/calculator/sn_e2d5da7a0773d92c5178ea5824798f07/rendering/10.xyz", "0.0")</f>
        <v>0.0</v>
      </c>
      <c r="N876" s="13" t="str">
        <f>HYPERLINK(AC2 &amp; "/calculator/sn_e2d5da7a0773d92c5178ea5824798f07/rendering/11.xyz", "0.0")</f>
        <v>0.0</v>
      </c>
      <c r="O876" s="13" t="str">
        <f>HYPERLINK(AC2 &amp; "/calculator/sn_e2d5da7a0773d92c5178ea5824798f07/rendering/12.xyz", "0.0")</f>
        <v>0.0</v>
      </c>
      <c r="P876" s="13" t="str">
        <f>HYPERLINK(AC2 &amp; "/calculator/sn_e2d5da7a0773d92c5178ea5824798f07/rendering/13.xyz", "0.0")</f>
        <v>0.0</v>
      </c>
      <c r="Q876" s="13" t="str">
        <f>HYPERLINK(AC2 &amp; "/calculator/sn_e2d5da7a0773d92c5178ea5824798f07/rendering/14.xyz", "0.0")</f>
        <v>0.0</v>
      </c>
      <c r="R876" s="13" t="str">
        <f>HYPERLINK(AC2 &amp; "/calculator/sn_e2d5da7a0773d92c5178ea5824798f07/rendering/15.xyz", "0.0")</f>
        <v>0.0</v>
      </c>
      <c r="S876" s="13" t="str">
        <f>HYPERLINK(AC2 &amp; "/calculator/sn_e2d5da7a0773d92c5178ea5824798f07/rendering/16.xyz", "0.0")</f>
        <v>0.0</v>
      </c>
      <c r="T876" s="13" t="str">
        <f>HYPERLINK(AC2 &amp; "/calculator/sn_e2d5da7a0773d92c5178ea5824798f07/rendering/17.xyz", "0.0")</f>
        <v>0.0</v>
      </c>
      <c r="U876" s="13" t="str">
        <f>HYPERLINK(AC2 &amp; "/calculator/sn_e2d5da7a0773d92c5178ea5824798f07/rendering/18.xyz", "0.0")</f>
        <v>0.0</v>
      </c>
      <c r="V876" s="13" t="str">
        <f>HYPERLINK(AC2 &amp; "/calculator/sn_e2d5da7a0773d92c5178ea5824798f07/rendering/19.xyz", "0.0")</f>
        <v>0.0</v>
      </c>
      <c r="W876" s="12" t="s">
        <v>33</v>
      </c>
      <c r="X876" s="13">
        <v>0</v>
      </c>
      <c r="Y876" s="13">
        <v>0</v>
      </c>
      <c r="Z876" s="13">
        <v>0</v>
      </c>
    </row>
    <row r="877" spans="1:26" x14ac:dyDescent="0.2">
      <c r="A877" s="1">
        <v>875</v>
      </c>
      <c r="B877" s="2" t="s">
        <v>208</v>
      </c>
      <c r="C877" s="117" t="str">
        <f>HYPERLINK(AA2 &amp; "/calculator/sn_e71775788b50dad37cb2a55fa21392b7/rendering/00.obj", "2.87616333008")</f>
        <v>2.87616333008</v>
      </c>
      <c r="D877" s="77" t="str">
        <f>HYPERLINK(AA2 &amp; "/calculator/sn_e71775788b50dad37cb2a55fa21392b7/rendering/01.obj", "2.84043731689")</f>
        <v>2.84043731689</v>
      </c>
      <c r="E877" s="92" t="str">
        <f>HYPERLINK(AA2 &amp; "/calculator/sn_e71775788b50dad37cb2a55fa21392b7/rendering/02.obj", "3.06285583496")</f>
        <v>3.06285583496</v>
      </c>
      <c r="F877" s="20" t="str">
        <f>HYPERLINK(AA2 &amp; "/calculator/sn_e71775788b50dad37cb2a55fa21392b7/rendering/03.obj", "9.59071777344")</f>
        <v>9.59071777344</v>
      </c>
      <c r="G877" s="103" t="str">
        <f>HYPERLINK(AA2 &amp; "/calculator/sn_e71775788b50dad37cb2a55fa21392b7/rendering/04.obj", "2.35767120361")</f>
        <v>2.35767120361</v>
      </c>
      <c r="H877" s="247" t="str">
        <f>HYPERLINK(AA2 &amp; "/calculator/sn_e71775788b50dad37cb2a55fa21392b7/rendering/05.obj", "6.13209838867")</f>
        <v>6.13209838867</v>
      </c>
      <c r="I877" s="19" t="str">
        <f>HYPERLINK(AA2 &amp; "/calculator/sn_e71775788b50dad37cb2a55fa21392b7/rendering/06.obj", "2.57752624512")</f>
        <v>2.57752624512</v>
      </c>
      <c r="J877" s="137" t="str">
        <f>HYPERLINK(AA2 &amp; "/calculator/sn_e71775788b50dad37cb2a55fa21392b7/rendering/07.obj", "2.22055465698")</f>
        <v>2.22055465698</v>
      </c>
      <c r="K877" s="112" t="str">
        <f>HYPERLINK(AA2 &amp; "/calculator/sn_e71775788b50dad37cb2a55fa21392b7/rendering/08.obj", "5.57419799805")</f>
        <v>5.57419799805</v>
      </c>
      <c r="L877" s="159" t="str">
        <f>HYPERLINK(AA2 &amp; "/calculator/sn_e71775788b50dad37cb2a55fa21392b7/rendering/09.obj", "1.85039733887")</f>
        <v>1.85039733887</v>
      </c>
      <c r="M877" s="139" t="str">
        <f>HYPERLINK(AA2 &amp; "/calculator/sn_e71775788b50dad37cb2a55fa21392b7/rendering/10.obj", "1.81110900879")</f>
        <v>1.81110900879</v>
      </c>
      <c r="N877" s="116" t="str">
        <f>HYPERLINK(AA2 &amp; "/calculator/sn_e71775788b50dad37cb2a55fa21392b7/rendering/11.obj", "1.96066192627")</f>
        <v>1.96066192627</v>
      </c>
      <c r="O877" s="95" t="str">
        <f>HYPERLINK(AA2 &amp; "/calculator/sn_e71775788b50dad37cb2a55fa21392b7/rendering/12.obj", "4.47360656738")</f>
        <v>4.47360656738</v>
      </c>
      <c r="P877" s="163" t="str">
        <f>HYPERLINK(AA2 &amp; "/calculator/sn_e71775788b50dad37cb2a55fa21392b7/rendering/13.obj", "1.95619369507")</f>
        <v>1.95619369507</v>
      </c>
      <c r="Q877" s="100" t="str">
        <f>HYPERLINK(AA2 &amp; "/calculator/sn_e71775788b50dad37cb2a55fa21392b7/rendering/14.obj", "2.44236190796")</f>
        <v>2.44236190796</v>
      </c>
      <c r="R877" s="145" t="str">
        <f>HYPERLINK(AA2 &amp; "/calculator/sn_e71775788b50dad37cb2a55fa21392b7/rendering/15.obj", "1.78066467285")</f>
        <v>1.78066467285</v>
      </c>
      <c r="S877" s="198" t="str">
        <f>HYPERLINK(AA2 &amp; "/calculator/sn_e71775788b50dad37cb2a55fa21392b7/rendering/16.obj", "2.14258895874")</f>
        <v>2.14258895874</v>
      </c>
      <c r="T877" s="71" t="str">
        <f>HYPERLINK(AA2 &amp; "/calculator/sn_e71775788b50dad37cb2a55fa21392b7/rendering/17.obj", "3.07886108398")</f>
        <v>3.07886108398</v>
      </c>
      <c r="U877" s="20" t="str">
        <f>HYPERLINK(AA2 &amp; "/calculator/sn_e71775788b50dad37cb2a55fa21392b7/rendering/18.obj", "8.45193054199")</f>
        <v>8.45193054199</v>
      </c>
      <c r="V877" s="75" t="str">
        <f>HYPERLINK(AA2 &amp; "/calculator/sn_e71775788b50dad37cb2a55fa21392b7/rendering/19.obj", "2.71796966553")</f>
        <v>2.71796966553</v>
      </c>
      <c r="W877" s="12" t="s">
        <v>29</v>
      </c>
      <c r="X877" s="13">
        <v>3.4949284057617178</v>
      </c>
      <c r="Y877" s="13">
        <v>2.1867428394128461</v>
      </c>
      <c r="Z877" s="189">
        <v>0.62569031051045121</v>
      </c>
    </row>
    <row r="878" spans="1:26" x14ac:dyDescent="0.2">
      <c r="A878" s="1">
        <v>876</v>
      </c>
      <c r="B878" s="2" t="s">
        <v>208</v>
      </c>
      <c r="C878" s="235" t="str">
        <f>HYPERLINK(AA2 &amp; "/calculator/sn_e71775788b50dad37cb2a55fa21392b7/rendering/00.obj", "3.13669729233")</f>
        <v>3.13669729233</v>
      </c>
      <c r="D878" s="127" t="str">
        <f>HYPERLINK(AA2 &amp; "/calculator/sn_e71775788b50dad37cb2a55fa21392b7/rendering/01.obj", "3.29231238365")</f>
        <v>3.29231238365</v>
      </c>
      <c r="E878" s="201" t="str">
        <f>HYPERLINK(AA2 &amp; "/calculator/sn_e71775788b50dad37cb2a55fa21392b7/rendering/02.obj", "2.85418248177")</f>
        <v>2.85418248177</v>
      </c>
      <c r="F878" s="20" t="str">
        <f>HYPERLINK(AA2 &amp; "/calculator/sn_e71775788b50dad37cb2a55fa21392b7/rendering/03.obj", "32.2171363831")</f>
        <v>32.2171363831</v>
      </c>
      <c r="G878" s="241" t="str">
        <f>HYPERLINK(AA2 &amp; "/calculator/sn_e71775788b50dad37cb2a55fa21392b7/rendering/04.obj", "2.44839406013")</f>
        <v>2.44839406013</v>
      </c>
      <c r="H878" s="40" t="str">
        <f>HYPERLINK(AA2 &amp; "/calculator/sn_e71775788b50dad37cb2a55fa21392b7/rendering/05.obj", "7.9971036911")</f>
        <v>7.9971036911</v>
      </c>
      <c r="I878" s="249" t="str">
        <f>HYPERLINK(AA2 &amp; "/calculator/sn_e71775788b50dad37cb2a55fa21392b7/rendering/06.obj", "2.91696810722")</f>
        <v>2.91696810722</v>
      </c>
      <c r="J878" s="206" t="str">
        <f>HYPERLINK(AA2 &amp; "/calculator/sn_e71775788b50dad37cb2a55fa21392b7/rendering/07.obj", "2.78980135918")</f>
        <v>2.78980135918</v>
      </c>
      <c r="K878" s="20" t="str">
        <f>HYPERLINK(AA2 &amp; "/calculator/sn_e71775788b50dad37cb2a55fa21392b7/rendering/08.obj", "13.5385799408")</f>
        <v>13.5385799408</v>
      </c>
      <c r="L878" s="240" t="str">
        <f>HYPERLINK(AA2 &amp; "/calculator/sn_e71775788b50dad37cb2a55fa21392b7/rendering/09.obj", "2.3719291687")</f>
        <v>2.3719291687</v>
      </c>
      <c r="M878" s="241" t="str">
        <f>HYPERLINK(AA2 &amp; "/calculator/sn_e71775788b50dad37cb2a55fa21392b7/rendering/10.obj", "2.44522547722")</f>
        <v>2.44522547722</v>
      </c>
      <c r="N878" s="215" t="str">
        <f>HYPERLINK(AA2 &amp; "/calculator/sn_e71775788b50dad37cb2a55fa21392b7/rendering/11.obj", "2.26383852959")</f>
        <v>2.26383852959</v>
      </c>
      <c r="O878" s="187" t="str">
        <f>HYPERLINK(AA2 &amp; "/calculator/sn_e71775788b50dad37cb2a55fa21392b7/rendering/12.obj", "9.22861862183")</f>
        <v>9.22861862183</v>
      </c>
      <c r="P878" s="237" t="str">
        <f>HYPERLINK(AA2 &amp; "/calculator/sn_e71775788b50dad37cb2a55fa21392b7/rendering/13.obj", "2.2266163826")</f>
        <v>2.2266163826</v>
      </c>
      <c r="Q878" s="223" t="str">
        <f>HYPERLINK(AA2 &amp; "/calculator/sn_e71775788b50dad37cb2a55fa21392b7/rendering/14.obj", "3.00677275658")</f>
        <v>3.00677275658</v>
      </c>
      <c r="R878" s="220" t="str">
        <f>HYPERLINK(AA2 &amp; "/calculator/sn_e71775788b50dad37cb2a55fa21392b7/rendering/15.obj", "2.20218801498")</f>
        <v>2.20218801498</v>
      </c>
      <c r="S878" s="115" t="str">
        <f>HYPERLINK(AA2 &amp; "/calculator/sn_e71775788b50dad37cb2a55fa21392b7/rendering/16.obj", "2.46886301041")</f>
        <v>2.46886301041</v>
      </c>
      <c r="T878" s="223" t="str">
        <f>HYPERLINK(AA2 &amp; "/calculator/sn_e71775788b50dad37cb2a55fa21392b7/rendering/17.obj", "3.01662540436")</f>
        <v>3.01662540436</v>
      </c>
      <c r="U878" s="20" t="str">
        <f>HYPERLINK(AA2 &amp; "/calculator/sn_e71775788b50dad37cb2a55fa21392b7/rendering/18.obj", "33.4496269226")</f>
        <v>33.4496269226</v>
      </c>
      <c r="V878" s="201" t="str">
        <f>HYPERLINK(AA2 &amp; "/calculator/sn_e71775788b50dad37cb2a55fa21392b7/rendering/19.obj", "2.86328125")</f>
        <v>2.86328125</v>
      </c>
      <c r="W878" s="12" t="s">
        <v>30</v>
      </c>
      <c r="X878" s="13">
        <v>6.8367380619049074</v>
      </c>
      <c r="Y878" s="13">
        <v>9.1227702266752182</v>
      </c>
      <c r="Z878" s="20">
        <v>1.334374689226189</v>
      </c>
    </row>
    <row r="879" spans="1:26" x14ac:dyDescent="0.2">
      <c r="A879" s="1">
        <v>877</v>
      </c>
      <c r="B879" s="2" t="s">
        <v>208</v>
      </c>
      <c r="C879" s="84" t="str">
        <f>HYPERLINK(AB2 &amp; "/calculator/sn_e71775788b50dad37cb2a55fa21392b7/rendering/00.obj", "3.73828613281")</f>
        <v>3.73828613281</v>
      </c>
      <c r="D879" s="168" t="str">
        <f>HYPERLINK(AB2 &amp; "/calculator/sn_e71775788b50dad37cb2a55fa21392b7/rendering/01.obj", "2.21222320557")</f>
        <v>2.21222320557</v>
      </c>
      <c r="E879" s="82" t="str">
        <f>HYPERLINK(AB2 &amp; "/calculator/sn_e71775788b50dad37cb2a55fa21392b7/rendering/02.obj", "2.58786621094")</f>
        <v>2.58786621094</v>
      </c>
      <c r="F879" s="189" t="str">
        <f>HYPERLINK(AB2 &amp; "/calculator/sn_e71775788b50dad37cb2a55fa21392b7/rendering/03.obj", "5.29324829102")</f>
        <v>5.29324829102</v>
      </c>
      <c r="G879" s="92" t="str">
        <f>HYPERLINK(AB2 &amp; "/calculator/sn_e71775788b50dad37cb2a55fa21392b7/rendering/04.obj", "2.85300109863")</f>
        <v>2.85300109863</v>
      </c>
      <c r="H879" s="81" t="str">
        <f>HYPERLINK(AB2 &amp; "/calculator/sn_e71775788b50dad37cb2a55fa21392b7/rendering/05.obj", "2.54962738037")</f>
        <v>2.54962738037</v>
      </c>
      <c r="I879" s="46" t="str">
        <f>HYPERLINK(AB2 &amp; "/calculator/sn_e71775788b50dad37cb2a55fa21392b7/rendering/06.obj", "3.3100894165")</f>
        <v>3.3100894165</v>
      </c>
      <c r="J879" s="76" t="str">
        <f>HYPERLINK(AB2 &amp; "/calculator/sn_e71775788b50dad37cb2a55fa21392b7/rendering/07.obj", "3.85652709961")</f>
        <v>3.85652709961</v>
      </c>
      <c r="K879" s="60" t="str">
        <f>HYPERLINK(AB2 &amp; "/calculator/sn_e71775788b50dad37cb2a55fa21392b7/rendering/08.obj", "3.09437438965")</f>
        <v>3.09437438965</v>
      </c>
      <c r="L879" s="120" t="str">
        <f>HYPERLINK(AB2 &amp; "/calculator/sn_e71775788b50dad37cb2a55fa21392b7/rendering/09.obj", "2.57020782471")</f>
        <v>2.57020782471</v>
      </c>
      <c r="M879" s="73" t="str">
        <f>HYPERLINK(AB2 &amp; "/calculator/sn_e71775788b50dad37cb2a55fa21392b7/rendering/10.obj", "3.1394241333")</f>
        <v>3.1394241333</v>
      </c>
      <c r="N879" s="5" t="str">
        <f>HYPERLINK(AB2 &amp; "/calculator/sn_e71775788b50dad37cb2a55fa21392b7/rendering/11.obj", "3.01323760986")</f>
        <v>3.01323760986</v>
      </c>
      <c r="O879" s="40" t="str">
        <f>HYPERLINK(AB2 &amp; "/calculator/sn_e71775788b50dad37cb2a55fa21392b7/rendering/12.obj", "3.8143951416")</f>
        <v>3.8143951416</v>
      </c>
      <c r="P879" s="134" t="str">
        <f>HYPERLINK(AB2 &amp; "/calculator/sn_e71775788b50dad37cb2a55fa21392b7/rendering/13.obj", "2.67176818848")</f>
        <v>2.67176818848</v>
      </c>
      <c r="Q879" s="39" t="str">
        <f>HYPERLINK(AB2 &amp; "/calculator/sn_e71775788b50dad37cb2a55fa21392b7/rendering/14.obj", "2.97960327148")</f>
        <v>2.97960327148</v>
      </c>
      <c r="R879" s="35" t="str">
        <f>HYPERLINK(AB2 &amp; "/calculator/sn_e71775788b50dad37cb2a55fa21392b7/rendering/15.obj", "3.07415588379")</f>
        <v>3.07415588379</v>
      </c>
      <c r="S879" s="72" t="str">
        <f>HYPERLINK(AB2 &amp; "/calculator/sn_e71775788b50dad37cb2a55fa21392b7/rendering/16.obj", "3.15183898926")</f>
        <v>3.15183898926</v>
      </c>
      <c r="T879" s="106" t="str">
        <f>HYPERLINK(AB2 &amp; "/calculator/sn_e71775788b50dad37cb2a55fa21392b7/rendering/17.obj", "2.88248504639")</f>
        <v>2.88248504639</v>
      </c>
      <c r="U879" s="245" t="str">
        <f>HYPERLINK(AB2 &amp; "/calculator/sn_e71775788b50dad37cb2a55fa21392b7/rendering/18.obj", "5.60090087891")</f>
        <v>5.60090087891</v>
      </c>
      <c r="V879" s="84" t="str">
        <f>HYPERLINK(AB2 &amp; "/calculator/sn_e71775788b50dad37cb2a55fa21392b7/rendering/19.obj", "2.77967926025")</f>
        <v>2.77967926025</v>
      </c>
      <c r="W879" s="12" t="s">
        <v>31</v>
      </c>
      <c r="X879" s="13">
        <v>3.2586469726562499</v>
      </c>
      <c r="Y879" s="13">
        <v>0.84115985832561091</v>
      </c>
      <c r="Z879" s="89">
        <v>0.25813163112908449</v>
      </c>
    </row>
    <row r="880" spans="1:26" x14ac:dyDescent="0.2">
      <c r="A880" s="1">
        <v>878</v>
      </c>
      <c r="B880" s="2" t="s">
        <v>208</v>
      </c>
      <c r="C880" s="41" t="str">
        <f>HYPERLINK(AB2 &amp; "/calculator/sn_e71775788b50dad37cb2a55fa21392b7/rendering/00.obj", "2.86193728447")</f>
        <v>2.86193728447</v>
      </c>
      <c r="D880" s="71" t="str">
        <f>HYPERLINK(AB2 &amp; "/calculator/sn_e71775788b50dad37cb2a55fa21392b7/rendering/01.obj", "2.36740803719")</f>
        <v>2.36740803719</v>
      </c>
      <c r="E880" s="90" t="str">
        <f>HYPERLINK(AB2 &amp; "/calculator/sn_e71775788b50dad37cb2a55fa21392b7/rendering/02.obj", "2.42184472084")</f>
        <v>2.42184472084</v>
      </c>
      <c r="F880" s="42" t="str">
        <f>HYPERLINK(AB2 &amp; "/calculator/sn_e71775788b50dad37cb2a55fa21392b7/rendering/03.obj", "3.04055070877")</f>
        <v>3.04055070877</v>
      </c>
      <c r="G880" s="27" t="str">
        <f>HYPERLINK(AB2 &amp; "/calculator/sn_e71775788b50dad37cb2a55fa21392b7/rendering/04.obj", "2.48611235619")</f>
        <v>2.48611235619</v>
      </c>
      <c r="H880" s="34" t="str">
        <f>HYPERLINK(AB2 &amp; "/calculator/sn_e71775788b50dad37cb2a55fa21392b7/rendering/05.obj", "2.54708600044")</f>
        <v>2.54708600044</v>
      </c>
      <c r="I880" s="63" t="str">
        <f>HYPERLINK(AB2 &amp; "/calculator/sn_e71775788b50dad37cb2a55fa21392b7/rendering/06.obj", "2.35614466667")</f>
        <v>2.35614466667</v>
      </c>
      <c r="J880" s="90" t="str">
        <f>HYPERLINK(AB2 &amp; "/calculator/sn_e71775788b50dad37cb2a55fa21392b7/rendering/07.obj", "2.93334341049")</f>
        <v>2.93334341049</v>
      </c>
      <c r="K880" s="27" t="str">
        <f>HYPERLINK(AB2 &amp; "/calculator/sn_e71775788b50dad37cb2a55fa21392b7/rendering/08.obj", "2.49141454697")</f>
        <v>2.49141454697</v>
      </c>
      <c r="L880" s="51" t="str">
        <f>HYPERLINK(AB2 &amp; "/calculator/sn_e71775788b50dad37cb2a55fa21392b7/rendering/09.obj", "2.4624209404")</f>
        <v>2.4624209404</v>
      </c>
      <c r="M880" s="5" t="str">
        <f>HYPERLINK(AB2 &amp; "/calculator/sn_e71775788b50dad37cb2a55fa21392b7/rendering/10.obj", "2.88476061821")</f>
        <v>2.88476061821</v>
      </c>
      <c r="N880" s="35" t="str">
        <f>HYPERLINK(AB2 &amp; "/calculator/sn_e71775788b50dad37cb2a55fa21392b7/rendering/11.obj", "2.83584547043")</f>
        <v>2.83584547043</v>
      </c>
      <c r="O880" s="51" t="str">
        <f>HYPERLINK(AB2 &amp; "/calculator/sn_e71775788b50dad37cb2a55fa21392b7/rendering/12.obj", "2.89359974861")</f>
        <v>2.89359974861</v>
      </c>
      <c r="P880" s="17" t="str">
        <f>HYPERLINK(AB2 &amp; "/calculator/sn_e71775788b50dad37cb2a55fa21392b7/rendering/13.obj", "2.73601841927")</f>
        <v>2.73601841927</v>
      </c>
      <c r="Q880" s="68" t="str">
        <f>HYPERLINK(AB2 &amp; "/calculator/sn_e71775788b50dad37cb2a55fa21392b7/rendering/14.obj", "2.78856730461")</f>
        <v>2.78856730461</v>
      </c>
      <c r="R880" s="35" t="str">
        <f>HYPERLINK(AB2 &amp; "/calculator/sn_e71775788b50dad37cb2a55fa21392b7/rendering/15.obj", "2.83245968819")</f>
        <v>2.83245968819</v>
      </c>
      <c r="S880" s="41" t="str">
        <f>HYPERLINK(AB2 &amp; "/calculator/sn_e71775788b50dad37cb2a55fa21392b7/rendering/16.obj", "2.49603295326")</f>
        <v>2.49603295326</v>
      </c>
      <c r="T880" s="74" t="str">
        <f>HYPERLINK(AB2 &amp; "/calculator/sn_e71775788b50dad37cb2a55fa21392b7/rendering/17.obj", "2.71417546272")</f>
        <v>2.71417546272</v>
      </c>
      <c r="U880" s="72" t="str">
        <f>HYPERLINK(AB2 &amp; "/calculator/sn_e71775788b50dad37cb2a55fa21392b7/rendering/18.obj", "2.76931452751")</f>
        <v>2.76931452751</v>
      </c>
      <c r="V880" s="25" t="str">
        <f>HYPERLINK(AB2 &amp; "/calculator/sn_e71775788b50dad37cb2a55fa21392b7/rendering/19.obj", "2.64755010605")</f>
        <v>2.64755010605</v>
      </c>
      <c r="W880" s="12" t="s">
        <v>32</v>
      </c>
      <c r="X880" s="13">
        <v>2.6783293485641479</v>
      </c>
      <c r="Y880" s="13">
        <v>0.20355334091135191</v>
      </c>
      <c r="Z880" s="5">
        <v>7.6000115900785994E-2</v>
      </c>
    </row>
    <row r="881" spans="1:26" x14ac:dyDescent="0.2">
      <c r="A881" s="1">
        <v>879</v>
      </c>
      <c r="B881" s="2" t="s">
        <v>208</v>
      </c>
      <c r="C881" s="13" t="str">
        <f>HYPERLINK(AC2 &amp; "/calculator/sn_e71775788b50dad37cb2a55fa21392b7/rendering/00.xyz", "0.0")</f>
        <v>0.0</v>
      </c>
      <c r="D881" s="13" t="str">
        <f>HYPERLINK(AC2 &amp; "/calculator/sn_e71775788b50dad37cb2a55fa21392b7/rendering/01.xyz", "0.0")</f>
        <v>0.0</v>
      </c>
      <c r="E881" s="13" t="str">
        <f>HYPERLINK(AC2 &amp; "/calculator/sn_e71775788b50dad37cb2a55fa21392b7/rendering/02.xyz", "0.0")</f>
        <v>0.0</v>
      </c>
      <c r="F881" s="13" t="str">
        <f>HYPERLINK(AC2 &amp; "/calculator/sn_e71775788b50dad37cb2a55fa21392b7/rendering/03.xyz", "0.0")</f>
        <v>0.0</v>
      </c>
      <c r="G881" s="13" t="str">
        <f>HYPERLINK(AC2 &amp; "/calculator/sn_e71775788b50dad37cb2a55fa21392b7/rendering/04.xyz", "0.0")</f>
        <v>0.0</v>
      </c>
      <c r="H881" s="13" t="str">
        <f>HYPERLINK(AC2 &amp; "/calculator/sn_e71775788b50dad37cb2a55fa21392b7/rendering/05.xyz", "0.0")</f>
        <v>0.0</v>
      </c>
      <c r="I881" s="13" t="str">
        <f>HYPERLINK(AC2 &amp; "/calculator/sn_e71775788b50dad37cb2a55fa21392b7/rendering/06.xyz", "0.0")</f>
        <v>0.0</v>
      </c>
      <c r="J881" s="13" t="str">
        <f>HYPERLINK(AC2 &amp; "/calculator/sn_e71775788b50dad37cb2a55fa21392b7/rendering/07.xyz", "0.0")</f>
        <v>0.0</v>
      </c>
      <c r="K881" s="13" t="str">
        <f>HYPERLINK(AC2 &amp; "/calculator/sn_e71775788b50dad37cb2a55fa21392b7/rendering/08.xyz", "0.0")</f>
        <v>0.0</v>
      </c>
      <c r="L881" s="13" t="str">
        <f>HYPERLINK(AC2 &amp; "/calculator/sn_e71775788b50dad37cb2a55fa21392b7/rendering/09.xyz", "0.0")</f>
        <v>0.0</v>
      </c>
      <c r="M881" s="13" t="str">
        <f>HYPERLINK(AC2 &amp; "/calculator/sn_e71775788b50dad37cb2a55fa21392b7/rendering/10.xyz", "0.0")</f>
        <v>0.0</v>
      </c>
      <c r="N881" s="13" t="str">
        <f>HYPERLINK(AC2 &amp; "/calculator/sn_e71775788b50dad37cb2a55fa21392b7/rendering/11.xyz", "0.0")</f>
        <v>0.0</v>
      </c>
      <c r="O881" s="13" t="str">
        <f>HYPERLINK(AC2 &amp; "/calculator/sn_e71775788b50dad37cb2a55fa21392b7/rendering/12.xyz", "0.0")</f>
        <v>0.0</v>
      </c>
      <c r="P881" s="13" t="str">
        <f>HYPERLINK(AC2 &amp; "/calculator/sn_e71775788b50dad37cb2a55fa21392b7/rendering/13.xyz", "0.0")</f>
        <v>0.0</v>
      </c>
      <c r="Q881" s="13" t="str">
        <f>HYPERLINK(AC2 &amp; "/calculator/sn_e71775788b50dad37cb2a55fa21392b7/rendering/14.xyz", "0.0")</f>
        <v>0.0</v>
      </c>
      <c r="R881" s="13" t="str">
        <f>HYPERLINK(AC2 &amp; "/calculator/sn_e71775788b50dad37cb2a55fa21392b7/rendering/15.xyz", "0.0")</f>
        <v>0.0</v>
      </c>
      <c r="S881" s="13" t="str">
        <f>HYPERLINK(AC2 &amp; "/calculator/sn_e71775788b50dad37cb2a55fa21392b7/rendering/16.xyz", "0.0")</f>
        <v>0.0</v>
      </c>
      <c r="T881" s="13" t="str">
        <f>HYPERLINK(AC2 &amp; "/calculator/sn_e71775788b50dad37cb2a55fa21392b7/rendering/17.xyz", "0.0")</f>
        <v>0.0</v>
      </c>
      <c r="U881" s="13" t="str">
        <f>HYPERLINK(AC2 &amp; "/calculator/sn_e71775788b50dad37cb2a55fa21392b7/rendering/18.xyz", "0.0")</f>
        <v>0.0</v>
      </c>
      <c r="V881" s="13" t="str">
        <f>HYPERLINK(AC2 &amp; "/calculator/sn_e71775788b50dad37cb2a55fa21392b7/rendering/19.xyz", "0.0")</f>
        <v>0.0</v>
      </c>
      <c r="W881" s="12" t="s">
        <v>33</v>
      </c>
      <c r="X881" s="13">
        <v>0</v>
      </c>
      <c r="Y881" s="13">
        <v>0</v>
      </c>
      <c r="Z881" s="13">
        <v>0</v>
      </c>
    </row>
    <row r="882" spans="1:26" x14ac:dyDescent="0.2">
      <c r="A882" s="1">
        <v>880</v>
      </c>
      <c r="B882" s="2" t="s">
        <v>209</v>
      </c>
      <c r="C882" s="72" t="str">
        <f>HYPERLINK(AA2 &amp; "/calculator/sn_f8f7e95353b1fa5d9aa9d7f676c1fd7e/rendering/00.obj", "4.51061309814")</f>
        <v>4.51061309814</v>
      </c>
      <c r="D882" s="72" t="str">
        <f>HYPERLINK(AA2 &amp; "/calculator/sn_f8f7e95353b1fa5d9aa9d7f676c1fd7e/rendering/01.obj", "4.21066833496")</f>
        <v>4.21066833496</v>
      </c>
      <c r="E882" s="102" t="str">
        <f>HYPERLINK(AA2 &amp; "/calculator/sn_f8f7e95353b1fa5d9aa9d7f676c1fd7e/rendering/02.obj", "6.52237182617")</f>
        <v>6.52237182617</v>
      </c>
      <c r="F882" s="89" t="str">
        <f>HYPERLINK(AA2 &amp; "/calculator/sn_f8f7e95353b1fa5d9aa9d7f676c1fd7e/rendering/03.obj", "3.23063842773")</f>
        <v>3.23063842773</v>
      </c>
      <c r="G882" s="57" t="str">
        <f>HYPERLINK(AA2 &amp; "/calculator/sn_f8f7e95353b1fa5d9aa9d7f676c1fd7e/rendering/04.obj", "2.98139648438")</f>
        <v>2.98139648438</v>
      </c>
      <c r="H882" s="59" t="str">
        <f>HYPERLINK(AA2 &amp; "/calculator/sn_f8f7e95353b1fa5d9aa9d7f676c1fd7e/rendering/05.obj", "3.31488861084")</f>
        <v>3.31488861084</v>
      </c>
      <c r="I882" s="213" t="str">
        <f>HYPERLINK(AA2 &amp; "/calculator/sn_f8f7e95353b1fa5d9aa9d7f676c1fd7e/rendering/06.obj", "6.51756469727")</f>
        <v>6.51756469727</v>
      </c>
      <c r="J882" s="85" t="str">
        <f>HYPERLINK(AA2 &amp; "/calculator/sn_f8f7e95353b1fa5d9aa9d7f676c1fd7e/rendering/07.obj", "5.65018798828")</f>
        <v>5.65018798828</v>
      </c>
      <c r="K882" s="168" t="str">
        <f>HYPERLINK(AA2 &amp; "/calculator/sn_f8f7e95353b1fa5d9aa9d7f676c1fd7e/rendering/08.obj", "2.95823730469")</f>
        <v>2.95823730469</v>
      </c>
      <c r="L882" s="84" t="str">
        <f>HYPERLINK(AA2 &amp; "/calculator/sn_f8f7e95353b1fa5d9aa9d7f676c1fd7e/rendering/09.obj", "3.72829406738")</f>
        <v>3.72829406738</v>
      </c>
      <c r="M882" s="30" t="str">
        <f>HYPERLINK(AA2 &amp; "/calculator/sn_f8f7e95353b1fa5d9aa9d7f676c1fd7e/rendering/10.obj", "4.33507171631")</f>
        <v>4.33507171631</v>
      </c>
      <c r="N882" s="86" t="str">
        <f>HYPERLINK(AA2 &amp; "/calculator/sn_f8f7e95353b1fa5d9aa9d7f676c1fd7e/rendering/11.obj", "3.18937988281")</f>
        <v>3.18937988281</v>
      </c>
      <c r="O882" s="93" t="str">
        <f>HYPERLINK(AA2 &amp; "/calculator/sn_f8f7e95353b1fa5d9aa9d7f676c1fd7e/rendering/12.obj", "4.97373168945")</f>
        <v>4.97373168945</v>
      </c>
      <c r="P882" s="20" t="str">
        <f>HYPERLINK(AA2 &amp; "/calculator/sn_f8f7e95353b1fa5d9aa9d7f676c1fd7e/rendering/13.obj", "12.9328320313")</f>
        <v>12.9328320313</v>
      </c>
      <c r="Q882" s="100" t="str">
        <f>HYPERLINK(AA2 &amp; "/calculator/sn_f8f7e95353b1fa5d9aa9d7f676c1fd7e/rendering/14.obj", "3.0548449707")</f>
        <v>3.0548449707</v>
      </c>
      <c r="R882" s="108" t="str">
        <f>HYPERLINK(AA2 &amp; "/calculator/sn_f8f7e95353b1fa5d9aa9d7f676c1fd7e/rendering/15.obj", "3.27999694824")</f>
        <v>3.27999694824</v>
      </c>
      <c r="S882" s="172" t="str">
        <f>HYPERLINK(AA2 &amp; "/calculator/sn_f8f7e95353b1fa5d9aa9d7f676c1fd7e/rendering/16.obj", "2.68203918457")</f>
        <v>2.68203918457</v>
      </c>
      <c r="T882" s="77" t="str">
        <f>HYPERLINK(AA2 &amp; "/calculator/sn_f8f7e95353b1fa5d9aa9d7f676c1fd7e/rendering/17.obj", "3.54919403076")</f>
        <v>3.54919403076</v>
      </c>
      <c r="U882" s="179" t="str">
        <f>HYPERLINK(AA2 &amp; "/calculator/sn_f8f7e95353b1fa5d9aa9d7f676c1fd7e/rendering/18.obj", "2.49807510376")</f>
        <v>2.49807510376</v>
      </c>
      <c r="V882" s="118" t="str">
        <f>HYPERLINK(AA2 &amp; "/calculator/sn_f8f7e95353b1fa5d9aa9d7f676c1fd7e/rendering/19.obj", "3.08502624512")</f>
        <v>3.08502624512</v>
      </c>
      <c r="W882" s="12" t="s">
        <v>29</v>
      </c>
      <c r="X882" s="13">
        <v>4.3602526321411137</v>
      </c>
      <c r="Y882" s="13">
        <v>2.284173432367941</v>
      </c>
      <c r="Z882" s="22">
        <v>0.52386263482313211</v>
      </c>
    </row>
    <row r="883" spans="1:26" x14ac:dyDescent="0.2">
      <c r="A883" s="1">
        <v>881</v>
      </c>
      <c r="B883" s="2" t="s">
        <v>209</v>
      </c>
      <c r="C883" s="84" t="str">
        <f>HYPERLINK(AA2 &amp; "/calculator/sn_f8f7e95353b1fa5d9aa9d7f676c1fd7e/rendering/00.obj", "5.27654218674")</f>
        <v>5.27654218674</v>
      </c>
      <c r="D883" s="39" t="str">
        <f>HYPERLINK(AA2 &amp; "/calculator/sn_f8f7e95353b1fa5d9aa9d7f676c1fd7e/rendering/01.obj", "4.20621299744")</f>
        <v>4.20621299744</v>
      </c>
      <c r="E883" s="20" t="str">
        <f>HYPERLINK(AA2 &amp; "/calculator/sn_f8f7e95353b1fa5d9aa9d7f676c1fd7e/rendering/02.obj", "9.54983997345")</f>
        <v>9.54983997345</v>
      </c>
      <c r="F883" s="168" t="str">
        <f>HYPERLINK(AA2 &amp; "/calculator/sn_f8f7e95353b1fa5d9aa9d7f676c1fd7e/rendering/03.obj", "3.12088060379")</f>
        <v>3.12088060379</v>
      </c>
      <c r="G883" s="203" t="str">
        <f>HYPERLINK(AA2 &amp; "/calculator/sn_f8f7e95353b1fa5d9aa9d7f676c1fd7e/rendering/04.obj", "2.46267366409")</f>
        <v>2.46267366409</v>
      </c>
      <c r="H883" s="137" t="str">
        <f>HYPERLINK(AA2 &amp; "/calculator/sn_f8f7e95353b1fa5d9aa9d7f676c1fd7e/rendering/05.obj", "2.92764735222")</f>
        <v>2.92764735222</v>
      </c>
      <c r="I883" s="4" t="str">
        <f>HYPERLINK(AA2 &amp; "/calculator/sn_f8f7e95353b1fa5d9aa9d7f676c1fd7e/rendering/06.obj", "5.91410017014")</f>
        <v>5.91410017014</v>
      </c>
      <c r="J883" s="100" t="str">
        <f>HYPERLINK(AA2 &amp; "/calculator/sn_f8f7e95353b1fa5d9aa9d7f676c1fd7e/rendering/07.obj", "5.97986745834")</f>
        <v>5.97986745834</v>
      </c>
      <c r="K883" s="137" t="str">
        <f>HYPERLINK(AA2 &amp; "/calculator/sn_f8f7e95353b1fa5d9aa9d7f676c1fd7e/rendering/08.obj", "2.92898845673")</f>
        <v>2.92898845673</v>
      </c>
      <c r="L883" s="109" t="str">
        <f>HYPERLINK(AA2 &amp; "/calculator/sn_f8f7e95353b1fa5d9aa9d7f676c1fd7e/rendering/09.obj", "3.72808241844")</f>
        <v>3.72808241844</v>
      </c>
      <c r="M883" s="37" t="str">
        <f>HYPERLINK(AA2 &amp; "/calculator/sn_f8f7e95353b1fa5d9aa9d7f676c1fd7e/rendering/10.obj", "3.80625557899")</f>
        <v>3.80625557899</v>
      </c>
      <c r="N883" s="176" t="str">
        <f>HYPERLINK(AA2 &amp; "/calculator/sn_f8f7e95353b1fa5d9aa9d7f676c1fd7e/rendering/11.obj", "3.14483571053")</f>
        <v>3.14483571053</v>
      </c>
      <c r="O883" s="91" t="str">
        <f>HYPERLINK(AA2 &amp; "/calculator/sn_f8f7e95353b1fa5d9aa9d7f676c1fd7e/rendering/12.obj", "4.48546981812")</f>
        <v>4.48546981812</v>
      </c>
      <c r="P883" s="20" t="str">
        <f>HYPERLINK(AA2 &amp; "/calculator/sn_f8f7e95353b1fa5d9aa9d7f676c1fd7e/rendering/13.obj", "16.9110412598")</f>
        <v>16.9110412598</v>
      </c>
      <c r="Q883" s="182" t="str">
        <f>HYPERLINK(AA2 &amp; "/calculator/sn_f8f7e95353b1fa5d9aa9d7f676c1fd7e/rendering/14.obj", "3.06079268456")</f>
        <v>3.06079268456</v>
      </c>
      <c r="R883" s="176" t="str">
        <f>HYPERLINK(AA2 &amp; "/calculator/sn_f8f7e95353b1fa5d9aa9d7f676c1fd7e/rendering/15.obj", "3.14323854446")</f>
        <v>3.14323854446</v>
      </c>
      <c r="S883" s="97" t="str">
        <f>HYPERLINK(AA2 &amp; "/calculator/sn_f8f7e95353b1fa5d9aa9d7f676c1fd7e/rendering/16.obj", "2.5992462635")</f>
        <v>2.5992462635</v>
      </c>
      <c r="T883" s="108" t="str">
        <f>HYPERLINK(AA2 &amp; "/calculator/sn_f8f7e95353b1fa5d9aa9d7f676c1fd7e/rendering/17.obj", "3.47429060936")</f>
        <v>3.47429060936</v>
      </c>
      <c r="U883" s="172" t="str">
        <f>HYPERLINK(AA2 &amp; "/calculator/sn_f8f7e95353b1fa5d9aa9d7f676c1fd7e/rendering/18.obj", "2.83702540398")</f>
        <v>2.83702540398</v>
      </c>
      <c r="V883" s="181" t="str">
        <f>HYPERLINK(AA2 &amp; "/calculator/sn_f8f7e95353b1fa5d9aa9d7f676c1fd7e/rendering/19.obj", "2.5661303997")</f>
        <v>2.5661303997</v>
      </c>
      <c r="W883" s="12" t="s">
        <v>30</v>
      </c>
      <c r="X883" s="13">
        <v>4.6061580777168274</v>
      </c>
      <c r="Y883" s="13">
        <v>3.2647948802095939</v>
      </c>
      <c r="Z883" s="224">
        <v>0.70878915250513552</v>
      </c>
    </row>
    <row r="884" spans="1:26" x14ac:dyDescent="0.2">
      <c r="A884" s="1">
        <v>882</v>
      </c>
      <c r="B884" s="2" t="s">
        <v>209</v>
      </c>
      <c r="C884" s="23" t="str">
        <f>HYPERLINK(AB2 &amp; "/calculator/sn_f8f7e95353b1fa5d9aa9d7f676c1fd7e/rendering/00.obj", "2.691121521")</f>
        <v>2.691121521</v>
      </c>
      <c r="D884" s="28" t="str">
        <f>HYPERLINK(AB2 &amp; "/calculator/sn_f8f7e95353b1fa5d9aa9d7f676c1fd7e/rendering/01.obj", "3.10980957031")</f>
        <v>3.10980957031</v>
      </c>
      <c r="E884" s="89" t="str">
        <f>HYPERLINK(AB2 &amp; "/calculator/sn_f8f7e95353b1fa5d9aa9d7f676c1fd7e/rendering/02.obj", "3.52242797852")</f>
        <v>3.52242797852</v>
      </c>
      <c r="F884" s="51" t="str">
        <f>HYPERLINK(AB2 &amp; "/calculator/sn_f8f7e95353b1fa5d9aa9d7f676c1fd7e/rendering/03.obj", "3.01837219238")</f>
        <v>3.01837219238</v>
      </c>
      <c r="G884" s="93" t="str">
        <f>HYPERLINK(AB2 &amp; "/calculator/sn_f8f7e95353b1fa5d9aa9d7f676c1fd7e/rendering/04.obj", "3.18370697021")</f>
        <v>3.18370697021</v>
      </c>
      <c r="H884" s="77" t="str">
        <f>HYPERLINK(AB2 &amp; "/calculator/sn_f8f7e95353b1fa5d9aa9d7f676c1fd7e/rendering/05.obj", "2.27306594849")</f>
        <v>2.27306594849</v>
      </c>
      <c r="I884" s="13" t="str">
        <f>HYPERLINK(AB2 &amp; "/calculator/sn_f8f7e95353b1fa5d9aa9d7f676c1fd7e/rendering/06.obj", "2.79648101807")</f>
        <v>2.79648101807</v>
      </c>
      <c r="J884" s="48" t="str">
        <f>HYPERLINK(AB2 &amp; "/calculator/sn_f8f7e95353b1fa5d9aa9d7f676c1fd7e/rendering/07.obj", "2.85934997559")</f>
        <v>2.85934997559</v>
      </c>
      <c r="K884" s="48" t="str">
        <f>HYPERLINK(AB2 &amp; "/calculator/sn_f8f7e95353b1fa5d9aa9d7f676c1fd7e/rendering/08.obj", "2.86149963379")</f>
        <v>2.86149963379</v>
      </c>
      <c r="L884" s="94" t="str">
        <f>HYPERLINK(AB2 &amp; "/calculator/sn_f8f7e95353b1fa5d9aa9d7f676c1fd7e/rendering/09.obj", "2.58785644531")</f>
        <v>2.58785644531</v>
      </c>
      <c r="M884" s="30" t="str">
        <f>HYPERLINK(AB2 &amp; "/calculator/sn_f8f7e95353b1fa5d9aa9d7f676c1fd7e/rendering/10.obj", "2.8093371582")</f>
        <v>2.8093371582</v>
      </c>
      <c r="N884" s="107" t="str">
        <f>HYPERLINK(AB2 &amp; "/calculator/sn_f8f7e95353b1fa5d9aa9d7f676c1fd7e/rendering/11.obj", "3.03214355469")</f>
        <v>3.03214355469</v>
      </c>
      <c r="O884" s="5" t="str">
        <f>HYPERLINK(AB2 &amp; "/calculator/sn_f8f7e95353b1fa5d9aa9d7f676c1fd7e/rendering/12.obj", "2.58531646729")</f>
        <v>2.58531646729</v>
      </c>
      <c r="P884" s="31" t="str">
        <f>HYPERLINK(AB2 &amp; "/calculator/sn_f8f7e95353b1fa5d9aa9d7f676c1fd7e/rendering/13.obj", "2.35928344727")</f>
        <v>2.35928344727</v>
      </c>
      <c r="Q884" s="74" t="str">
        <f>HYPERLINK(AB2 &amp; "/calculator/sn_f8f7e95353b1fa5d9aa9d7f676c1fd7e/rendering/14.obj", "2.83178070068")</f>
        <v>2.83178070068</v>
      </c>
      <c r="R884" s="60" t="str">
        <f>HYPERLINK(AB2 &amp; "/calculator/sn_f8f7e95353b1fa5d9aa9d7f676c1fd7e/rendering/15.obj", "2.65289367676")</f>
        <v>2.65289367676</v>
      </c>
      <c r="S884" s="48" t="str">
        <f>HYPERLINK(AB2 &amp; "/calculator/sn_f8f7e95353b1fa5d9aa9d7f676c1fd7e/rendering/16.obj", "2.72775756836")</f>
        <v>2.72775756836</v>
      </c>
      <c r="T884" s="33" t="str">
        <f>HYPERLINK(AB2 &amp; "/calculator/sn_f8f7e95353b1fa5d9aa9d7f676c1fd7e/rendering/17.obj", "2.49305862427")</f>
        <v>2.49305862427</v>
      </c>
      <c r="U884" s="24" t="str">
        <f>HYPERLINK(AB2 &amp; "/calculator/sn_f8f7e95353b1fa5d9aa9d7f676c1fd7e/rendering/18.obj", "2.3250038147")</f>
        <v>2.3250038147</v>
      </c>
      <c r="V884" s="84" t="str">
        <f>HYPERLINK(AB2 &amp; "/calculator/sn_f8f7e95353b1fa5d9aa9d7f676c1fd7e/rendering/19.obj", "3.20847991943")</f>
        <v>3.20847991943</v>
      </c>
      <c r="W884" s="12" t="s">
        <v>31</v>
      </c>
      <c r="X884" s="13">
        <v>2.7964373092651371</v>
      </c>
      <c r="Y884" s="13">
        <v>0.31330823944363051</v>
      </c>
      <c r="Z884" s="28">
        <v>0.1120383562347633</v>
      </c>
    </row>
    <row r="885" spans="1:26" x14ac:dyDescent="0.2">
      <c r="A885" s="1">
        <v>883</v>
      </c>
      <c r="B885" s="2" t="s">
        <v>209</v>
      </c>
      <c r="C885" s="17" t="str">
        <f>HYPERLINK(AB2 &amp; "/calculator/sn_f8f7e95353b1fa5d9aa9d7f676c1fd7e/rendering/00.obj", "2.67789435387")</f>
        <v>2.67789435387</v>
      </c>
      <c r="D885" s="69" t="str">
        <f>HYPERLINK(AB2 &amp; "/calculator/sn_f8f7e95353b1fa5d9aa9d7f676c1fd7e/rendering/01.obj", "2.54933857918")</f>
        <v>2.54933857918</v>
      </c>
      <c r="E885" s="133" t="str">
        <f>HYPERLINK(AB2 &amp; "/calculator/sn_f8f7e95353b1fa5d9aa9d7f676c1fd7e/rendering/02.obj", "2.88807630539")</f>
        <v>2.88807630539</v>
      </c>
      <c r="F885" s="91" t="str">
        <f>HYPERLINK(AB2 &amp; "/calculator/sn_f8f7e95353b1fa5d9aa9d7f676c1fd7e/rendering/03.obj", "2.69424271584")</f>
        <v>2.69424271584</v>
      </c>
      <c r="G885" s="23" t="str">
        <f>HYPERLINK(AB2 &amp; "/calculator/sn_f8f7e95353b1fa5d9aa9d7f676c1fd7e/rendering/04.obj", "2.72359585762")</f>
        <v>2.72359585762</v>
      </c>
      <c r="H885" s="78" t="str">
        <f>HYPERLINK(AB2 &amp; "/calculator/sn_f8f7e95353b1fa5d9aa9d7f676c1fd7e/rendering/05.obj", "2.46507048607")</f>
        <v>2.46507048607</v>
      </c>
      <c r="I885" s="48" t="str">
        <f>HYPERLINK(AB2 &amp; "/calculator/sn_f8f7e95353b1fa5d9aa9d7f676c1fd7e/rendering/06.obj", "2.56056475639")</f>
        <v>2.56056475639</v>
      </c>
      <c r="J885" s="29" t="str">
        <f>HYPERLINK(AB2 &amp; "/calculator/sn_f8f7e95353b1fa5d9aa9d7f676c1fd7e/rendering/07.obj", "2.96500563622")</f>
        <v>2.96500563622</v>
      </c>
      <c r="K885" s="60" t="str">
        <f>HYPERLINK(AB2 &amp; "/calculator/sn_f8f7e95353b1fa5d9aa9d7f676c1fd7e/rendering/08.obj", "2.48599791527")</f>
        <v>2.48599791527</v>
      </c>
      <c r="L885" s="71" t="str">
        <f>HYPERLINK(AB2 &amp; "/calculator/sn_f8f7e95353b1fa5d9aa9d7f676c1fd7e/rendering/09.obj", "2.3143324852")</f>
        <v>2.3143324852</v>
      </c>
      <c r="M885" s="30" t="str">
        <f>HYPERLINK(AB2 &amp; "/calculator/sn_f8f7e95353b1fa5d9aa9d7f676c1fd7e/rendering/10.obj", "2.63504719734")</f>
        <v>2.63504719734</v>
      </c>
      <c r="N885" s="25" t="str">
        <f>HYPERLINK(AB2 &amp; "/calculator/sn_f8f7e95353b1fa5d9aa9d7f676c1fd7e/rendering/11.obj", "2.65292978287")</f>
        <v>2.65292978287</v>
      </c>
      <c r="O885" s="17" t="str">
        <f>HYPERLINK(AB2 &amp; "/calculator/sn_f8f7e95353b1fa5d9aa9d7f676c1fd7e/rendering/12.obj", "2.57362794876")</f>
        <v>2.57362794876</v>
      </c>
      <c r="P885" s="30" t="str">
        <f>HYPERLINK(AB2 &amp; "/calculator/sn_f8f7e95353b1fa5d9aa9d7f676c1fd7e/rendering/13.obj", "2.61016201973")</f>
        <v>2.61016201973</v>
      </c>
      <c r="Q885" s="17" t="str">
        <f>HYPERLINK(AB2 &amp; "/calculator/sn_f8f7e95353b1fa5d9aa9d7f676c1fd7e/rendering/14.obj", "2.57016801834")</f>
        <v>2.57016801834</v>
      </c>
      <c r="R885" s="41" t="str">
        <f>HYPERLINK(AB2 &amp; "/calculator/sn_f8f7e95353b1fa5d9aa9d7f676c1fd7e/rendering/15.obj", "2.79937982559")</f>
        <v>2.79937982559</v>
      </c>
      <c r="S885" s="60" t="str">
        <f>HYPERLINK(AB2 &amp; "/calculator/sn_f8f7e95353b1fa5d9aa9d7f676c1fd7e/rendering/16.obj", "2.48405218124")</f>
        <v>2.48405218124</v>
      </c>
      <c r="T885" s="25" t="str">
        <f>HYPERLINK(AB2 &amp; "/calculator/sn_f8f7e95353b1fa5d9aa9d7f676c1fd7e/rendering/17.obj", "2.5938668251")</f>
        <v>2.5938668251</v>
      </c>
      <c r="U885" s="78" t="str">
        <f>HYPERLINK(AB2 &amp; "/calculator/sn_f8f7e95353b1fa5d9aa9d7f676c1fd7e/rendering/18.obj", "2.4645049572")</f>
        <v>2.4645049572</v>
      </c>
      <c r="V885" s="10" t="str">
        <f>HYPERLINK(AB2 &amp; "/calculator/sn_f8f7e95353b1fa5d9aa9d7f676c1fd7e/rendering/19.obj", "2.76457667351")</f>
        <v>2.76457667351</v>
      </c>
      <c r="W885" s="12" t="s">
        <v>32</v>
      </c>
      <c r="X885" s="13">
        <v>2.6236217260360721</v>
      </c>
      <c r="Y885" s="13">
        <v>0.1510975492156322</v>
      </c>
      <c r="Z885" s="35">
        <v>5.7591209783096148E-2</v>
      </c>
    </row>
    <row r="886" spans="1:26" x14ac:dyDescent="0.2">
      <c r="A886" s="1">
        <v>884</v>
      </c>
      <c r="B886" s="2" t="s">
        <v>209</v>
      </c>
      <c r="C886" s="13" t="str">
        <f>HYPERLINK(AC2 &amp; "/calculator/sn_f8f7e95353b1fa5d9aa9d7f676c1fd7e/rendering/00.xyz", "0.0")</f>
        <v>0.0</v>
      </c>
      <c r="D886" s="13" t="str">
        <f>HYPERLINK(AC2 &amp; "/calculator/sn_f8f7e95353b1fa5d9aa9d7f676c1fd7e/rendering/01.xyz", "0.0")</f>
        <v>0.0</v>
      </c>
      <c r="E886" s="13" t="str">
        <f>HYPERLINK(AC2 &amp; "/calculator/sn_f8f7e95353b1fa5d9aa9d7f676c1fd7e/rendering/02.xyz", "0.0")</f>
        <v>0.0</v>
      </c>
      <c r="F886" s="13" t="str">
        <f>HYPERLINK(AC2 &amp; "/calculator/sn_f8f7e95353b1fa5d9aa9d7f676c1fd7e/rendering/03.xyz", "0.0")</f>
        <v>0.0</v>
      </c>
      <c r="G886" s="13" t="str">
        <f>HYPERLINK(AC2 &amp; "/calculator/sn_f8f7e95353b1fa5d9aa9d7f676c1fd7e/rendering/04.xyz", "0.0")</f>
        <v>0.0</v>
      </c>
      <c r="H886" s="13" t="str">
        <f>HYPERLINK(AC2 &amp; "/calculator/sn_f8f7e95353b1fa5d9aa9d7f676c1fd7e/rendering/05.xyz", "0.0")</f>
        <v>0.0</v>
      </c>
      <c r="I886" s="13" t="str">
        <f>HYPERLINK(AC2 &amp; "/calculator/sn_f8f7e95353b1fa5d9aa9d7f676c1fd7e/rendering/06.xyz", "0.0")</f>
        <v>0.0</v>
      </c>
      <c r="J886" s="13" t="str">
        <f>HYPERLINK(AC2 &amp; "/calculator/sn_f8f7e95353b1fa5d9aa9d7f676c1fd7e/rendering/07.xyz", "0.0")</f>
        <v>0.0</v>
      </c>
      <c r="K886" s="13" t="str">
        <f>HYPERLINK(AC2 &amp; "/calculator/sn_f8f7e95353b1fa5d9aa9d7f676c1fd7e/rendering/08.xyz", "0.0")</f>
        <v>0.0</v>
      </c>
      <c r="L886" s="13" t="str">
        <f>HYPERLINK(AC2 &amp; "/calculator/sn_f8f7e95353b1fa5d9aa9d7f676c1fd7e/rendering/09.xyz", "0.0")</f>
        <v>0.0</v>
      </c>
      <c r="M886" s="13" t="str">
        <f>HYPERLINK(AC2 &amp; "/calculator/sn_f8f7e95353b1fa5d9aa9d7f676c1fd7e/rendering/10.xyz", "0.0")</f>
        <v>0.0</v>
      </c>
      <c r="N886" s="13" t="str">
        <f>HYPERLINK(AC2 &amp; "/calculator/sn_f8f7e95353b1fa5d9aa9d7f676c1fd7e/rendering/11.xyz", "0.0")</f>
        <v>0.0</v>
      </c>
      <c r="O886" s="13" t="str">
        <f>HYPERLINK(AC2 &amp; "/calculator/sn_f8f7e95353b1fa5d9aa9d7f676c1fd7e/rendering/12.xyz", "0.0")</f>
        <v>0.0</v>
      </c>
      <c r="P886" s="13" t="str">
        <f>HYPERLINK(AC2 &amp; "/calculator/sn_f8f7e95353b1fa5d9aa9d7f676c1fd7e/rendering/13.xyz", "0.0")</f>
        <v>0.0</v>
      </c>
      <c r="Q886" s="13" t="str">
        <f>HYPERLINK(AC2 &amp; "/calculator/sn_f8f7e95353b1fa5d9aa9d7f676c1fd7e/rendering/14.xyz", "0.0")</f>
        <v>0.0</v>
      </c>
      <c r="R886" s="13" t="str">
        <f>HYPERLINK(AC2 &amp; "/calculator/sn_f8f7e95353b1fa5d9aa9d7f676c1fd7e/rendering/15.xyz", "0.0")</f>
        <v>0.0</v>
      </c>
      <c r="S886" s="13" t="str">
        <f>HYPERLINK(AC2 &amp; "/calculator/sn_f8f7e95353b1fa5d9aa9d7f676c1fd7e/rendering/16.xyz", "0.0")</f>
        <v>0.0</v>
      </c>
      <c r="T886" s="13" t="str">
        <f>HYPERLINK(AC2 &amp; "/calculator/sn_f8f7e95353b1fa5d9aa9d7f676c1fd7e/rendering/17.xyz", "0.0")</f>
        <v>0.0</v>
      </c>
      <c r="U886" s="13" t="str">
        <f>HYPERLINK(AC2 &amp; "/calculator/sn_f8f7e95353b1fa5d9aa9d7f676c1fd7e/rendering/18.xyz", "0.0")</f>
        <v>0.0</v>
      </c>
      <c r="V886" s="13" t="str">
        <f>HYPERLINK(AC2 &amp; "/calculator/sn_f8f7e95353b1fa5d9aa9d7f676c1fd7e/rendering/19.xyz", "0.0")</f>
        <v>0.0</v>
      </c>
      <c r="W886" s="12" t="s">
        <v>33</v>
      </c>
      <c r="X886" s="13">
        <v>0</v>
      </c>
      <c r="Y886" s="13">
        <v>0</v>
      </c>
      <c r="Z886" s="13">
        <v>0</v>
      </c>
    </row>
    <row r="887" spans="1:26" x14ac:dyDescent="0.2">
      <c r="A887" s="1">
        <v>885</v>
      </c>
      <c r="B887" s="2" t="s">
        <v>210</v>
      </c>
      <c r="C887" s="26" t="str">
        <f>HYPERLINK(AA2 &amp; "/calculator/sn_feb0ac4a2ef7234f6813326b9ce4e784/rendering/00.obj", "3.12682525635")</f>
        <v>3.12682525635</v>
      </c>
      <c r="D887" s="250" t="str">
        <f>HYPERLINK(AA2 &amp; "/calculator/sn_feb0ac4a2ef7234f6813326b9ce4e784/rendering/01.obj", "4.95894104004")</f>
        <v>4.95894104004</v>
      </c>
      <c r="E887" s="44" t="str">
        <f>HYPERLINK(AA2 &amp; "/calculator/sn_feb0ac4a2ef7234f6813326b9ce4e784/rendering/02.obj", "2.36184310913")</f>
        <v>2.36184310913</v>
      </c>
      <c r="F887" s="10" t="str">
        <f>HYPERLINK(AA2 &amp; "/calculator/sn_feb0ac4a2ef7234f6813326b9ce4e784/rendering/03.obj", "3.10247192383")</f>
        <v>3.10247192383</v>
      </c>
      <c r="G887" s="55" t="str">
        <f>HYPERLINK(AA2 &amp; "/calculator/sn_feb0ac4a2ef7234f6813326b9ce4e784/rendering/04.obj", "2.36908996582")</f>
        <v>2.36908996582</v>
      </c>
      <c r="H887" s="51" t="str">
        <f>HYPERLINK(AA2 &amp; "/calculator/sn_feb0ac4a2ef7234f6813326b9ce4e784/rendering/05.obj", "3.17349273682")</f>
        <v>3.17349273682</v>
      </c>
      <c r="I887" s="25" t="str">
        <f>HYPERLINK(AA2 &amp; "/calculator/sn_feb0ac4a2ef7234f6813326b9ce4e784/rendering/06.obj", "2.91242736816")</f>
        <v>2.91242736816</v>
      </c>
      <c r="J887" s="119" t="str">
        <f>HYPERLINK(AA2 &amp; "/calculator/sn_feb0ac4a2ef7234f6813326b9ce4e784/rendering/07.obj", "2.16260803223")</f>
        <v>2.16260803223</v>
      </c>
      <c r="K887" s="109" t="str">
        <f>HYPERLINK(AA2 &amp; "/calculator/sn_feb0ac4a2ef7234f6813326b9ce4e784/rendering/08.obj", "2.3806439209")</f>
        <v>2.3806439209</v>
      </c>
      <c r="L887" s="68" t="str">
        <f>HYPERLINK(AA2 &amp; "/calculator/sn_feb0ac4a2ef7234f6813326b9ce4e784/rendering/09.obj", "2.81156036377")</f>
        <v>2.81156036377</v>
      </c>
      <c r="M887" s="99" t="str">
        <f>HYPERLINK(AA2 &amp; "/calculator/sn_feb0ac4a2ef7234f6813326b9ce4e784/rendering/10.obj", "2.14043624878")</f>
        <v>2.14043624878</v>
      </c>
      <c r="N887" s="117" t="str">
        <f>HYPERLINK(AA2 &amp; "/calculator/sn_feb0ac4a2ef7234f6813326b9ce4e784/rendering/11.obj", "2.41724304199")</f>
        <v>2.41724304199</v>
      </c>
      <c r="O887" s="170" t="str">
        <f>HYPERLINK(AA2 &amp; "/calculator/sn_feb0ac4a2ef7234f6813326b9ce4e784/rendering/12.obj", "3.67944091797")</f>
        <v>3.67944091797</v>
      </c>
      <c r="P887" s="120" t="str">
        <f>HYPERLINK(AA2 &amp; "/calculator/sn_feb0ac4a2ef7234f6813326b9ce4e784/rendering/13.obj", "2.3191418457")</f>
        <v>2.3191418457</v>
      </c>
      <c r="Q887" s="13" t="str">
        <f>HYPERLINK(AA2 &amp; "/calculator/sn_feb0ac4a2ef7234f6813326b9ce4e784/rendering/14.obj", "2.93201171875")</f>
        <v>2.93201171875</v>
      </c>
      <c r="R887" s="242" t="str">
        <f>HYPERLINK(AA2 &amp; "/calculator/sn_feb0ac4a2ef7234f6813326b9ce4e784/rendering/15.obj", "5.09807250977")</f>
        <v>5.09807250977</v>
      </c>
      <c r="S887" s="76" t="str">
        <f>HYPERLINK(AA2 &amp; "/calculator/sn_feb0ac4a2ef7234f6813326b9ce4e784/rendering/16.obj", "2.39919647217")</f>
        <v>2.39919647217</v>
      </c>
      <c r="T887" s="88" t="str">
        <f>HYPERLINK(AA2 &amp; "/calculator/sn_feb0ac4a2ef7234f6813326b9ce4e784/rendering/17.obj", "2.34429718018")</f>
        <v>2.34429718018</v>
      </c>
      <c r="U887" s="79" t="str">
        <f>HYPERLINK(AA2 &amp; "/calculator/sn_feb0ac4a2ef7234f6813326b9ce4e784/rendering/18.obj", "2.47888366699")</f>
        <v>2.47888366699</v>
      </c>
      <c r="V887" s="136" t="str">
        <f>HYPERLINK(AA2 &amp; "/calculator/sn_feb0ac4a2ef7234f6813326b9ce4e784/rendering/19.obj", "3.63627563477")</f>
        <v>3.63627563477</v>
      </c>
      <c r="W887" s="12" t="s">
        <v>29</v>
      </c>
      <c r="X887" s="13">
        <v>2.9402451477050779</v>
      </c>
      <c r="Y887" s="13">
        <v>0.82563712913494147</v>
      </c>
      <c r="Z887" s="95">
        <v>0.28080554091871163</v>
      </c>
    </row>
    <row r="888" spans="1:26" x14ac:dyDescent="0.2">
      <c r="A888" s="1">
        <v>886</v>
      </c>
      <c r="B888" s="2" t="s">
        <v>210</v>
      </c>
      <c r="C888" s="90" t="str">
        <f>HYPERLINK(AA2 &amp; "/calculator/sn_feb0ac4a2ef7234f6813326b9ce4e784/rendering/00.obj", "3.17578315735")</f>
        <v>3.17578315735</v>
      </c>
      <c r="D888" s="100" t="str">
        <f>HYPERLINK(AA2 &amp; "/calculator/sn_feb0ac4a2ef7234f6813326b9ce4e784/rendering/01.obj", "4.561378479")</f>
        <v>4.561378479</v>
      </c>
      <c r="E888" s="65" t="str">
        <f>HYPERLINK(AA2 &amp; "/calculator/sn_feb0ac4a2ef7234f6813326b9ce4e784/rendering/02.obj", "3.03565478325")</f>
        <v>3.03565478325</v>
      </c>
      <c r="F888" s="80" t="str">
        <f>HYPERLINK(AA2 &amp; "/calculator/sn_feb0ac4a2ef7234f6813326b9ce4e784/rendering/03.obj", "2.98762631416")</f>
        <v>2.98762631416</v>
      </c>
      <c r="G888" s="31" t="str">
        <f>HYPERLINK(AA2 &amp; "/calculator/sn_feb0ac4a2ef7234f6813326b9ce4e784/rendering/04.obj", "2.95852899551")</f>
        <v>2.95852899551</v>
      </c>
      <c r="H888" s="109" t="str">
        <f>HYPERLINK(AA2 &amp; "/calculator/sn_feb0ac4a2ef7234f6813326b9ce4e784/rendering/05.obj", "2.83755159378")</f>
        <v>2.83755159378</v>
      </c>
      <c r="I888" s="79" t="str">
        <f>HYPERLINK(AA2 &amp; "/calculator/sn_feb0ac4a2ef7234f6813326b9ce4e784/rendering/06.obj", "2.95432662964")</f>
        <v>2.95432662964</v>
      </c>
      <c r="J888" s="55" t="str">
        <f>HYPERLINK(AA2 &amp; "/calculator/sn_feb0ac4a2ef7234f6813326b9ce4e784/rendering/07.obj", "2.83650779724")</f>
        <v>2.83650779724</v>
      </c>
      <c r="K888" s="36" t="str">
        <f>HYPERLINK(AA2 &amp; "/calculator/sn_feb0ac4a2ef7234f6813326b9ce4e784/rendering/08.obj", "2.75997543335")</f>
        <v>2.75997543335</v>
      </c>
      <c r="L888" s="63" t="str">
        <f>HYPERLINK(AA2 &amp; "/calculator/sn_feb0ac4a2ef7234f6813326b9ce4e784/rendering/09.obj", "3.089854002")</f>
        <v>3.089854002</v>
      </c>
      <c r="M888" s="83" t="str">
        <f>HYPERLINK(AA2 &amp; "/calculator/sn_feb0ac4a2ef7234f6813326b9ce4e784/rendering/10.obj", "2.97602105141")</f>
        <v>2.97602105141</v>
      </c>
      <c r="N888" s="36" t="str">
        <f>HYPERLINK(AA2 &amp; "/calculator/sn_feb0ac4a2ef7234f6813326b9ce4e784/rendering/11.obj", "2.75569796562")</f>
        <v>2.75569796562</v>
      </c>
      <c r="O888" s="46" t="str">
        <f>HYPERLINK(AA2 &amp; "/calculator/sn_feb0ac4a2ef7234f6813326b9ce4e784/rendering/12.obj", "3.44426465034")</f>
        <v>3.44426465034</v>
      </c>
      <c r="P888" s="117" t="str">
        <f>HYPERLINK(AA2 &amp; "/calculator/sn_feb0ac4a2ef7234f6813326b9ce4e784/rendering/13.obj", "2.8875579834")</f>
        <v>2.8875579834</v>
      </c>
      <c r="Q888" s="26" t="str">
        <f>HYPERLINK(AA2 &amp; "/calculator/sn_feb0ac4a2ef7234f6813326b9ce4e784/rendering/14.obj", "3.2877497673")</f>
        <v>3.2877497673</v>
      </c>
      <c r="R888" s="20" t="str">
        <f>HYPERLINK(AA2 &amp; "/calculator/sn_feb0ac4a2ef7234f6813326b9ce4e784/rendering/15.obj", "8.21023750305")</f>
        <v>8.21023750305</v>
      </c>
      <c r="S888" s="29" t="str">
        <f>HYPERLINK(AA2 &amp; "/calculator/sn_feb0ac4a2ef7234f6813326b9ce4e784/rendering/16.obj", "3.0556268692")</f>
        <v>3.0556268692</v>
      </c>
      <c r="T888" s="6" t="str">
        <f>HYPERLINK(AA2 &amp; "/calculator/sn_feb0ac4a2ef7234f6813326b9ce4e784/rendering/17.obj", "3.35226273537")</f>
        <v>3.35226273537</v>
      </c>
      <c r="U888" s="8" t="str">
        <f>HYPERLINK(AA2 &amp; "/calculator/sn_feb0ac4a2ef7234f6813326b9ce4e784/rendering/18.obj", "3.00325393677")</f>
        <v>3.00325393677</v>
      </c>
      <c r="V888" s="125" t="str">
        <f>HYPERLINK(AA2 &amp; "/calculator/sn_feb0ac4a2ef7234f6813326b9ce4e784/rendering/19.obj", "5.99968671799")</f>
        <v>5.99968671799</v>
      </c>
      <c r="W888" s="12" t="s">
        <v>30</v>
      </c>
      <c r="X888" s="13">
        <v>3.508477318286896</v>
      </c>
      <c r="Y888" s="13">
        <v>1.304737822432303</v>
      </c>
      <c r="Z888" s="192">
        <v>0.37188150415901061</v>
      </c>
    </row>
    <row r="889" spans="1:26" x14ac:dyDescent="0.2">
      <c r="A889" s="1">
        <v>887</v>
      </c>
      <c r="B889" s="2" t="s">
        <v>210</v>
      </c>
      <c r="C889" s="10" t="str">
        <f>HYPERLINK(AB2 &amp; "/calculator/sn_feb0ac4a2ef7234f6813326b9ce4e784/rendering/00.obj", "3.15211425781")</f>
        <v>3.15211425781</v>
      </c>
      <c r="D889" s="41" t="str">
        <f>HYPERLINK(AB2 &amp; "/calculator/sn_feb0ac4a2ef7234f6813326b9ce4e784/rendering/01.obj", "2.78969665527")</f>
        <v>2.78969665527</v>
      </c>
      <c r="E889" s="29" t="str">
        <f>HYPERLINK(AB2 &amp; "/calculator/sn_feb0ac4a2ef7234f6813326b9ce4e784/rendering/02.obj", "3.37425140381")</f>
        <v>3.37425140381</v>
      </c>
      <c r="F889" s="46" t="str">
        <f>HYPERLINK(AB2 &amp; "/calculator/sn_feb0ac4a2ef7234f6813326b9ce4e784/rendering/03.obj", "3.03785583496")</f>
        <v>3.03785583496</v>
      </c>
      <c r="G889" s="17" t="str">
        <f>HYPERLINK(AB2 &amp; "/calculator/sn_feb0ac4a2ef7234f6813326b9ce4e784/rendering/04.obj", "3.04584716797")</f>
        <v>3.04584716797</v>
      </c>
      <c r="H889" s="38" t="str">
        <f>HYPERLINK(AB2 &amp; "/calculator/sn_feb0ac4a2ef7234f6813326b9ce4e784/rendering/05.obj", "2.72483947754")</f>
        <v>2.72483947754</v>
      </c>
      <c r="I889" s="46" t="str">
        <f>HYPERLINK(AB2 &amp; "/calculator/sn_feb0ac4a2ef7234f6813326b9ce4e784/rendering/06.obj", "2.93335266113")</f>
        <v>2.93335266113</v>
      </c>
      <c r="J889" s="25" t="str">
        <f>HYPERLINK(AB2 &amp; "/calculator/sn_feb0ac4a2ef7234f6813326b9ce4e784/rendering/07.obj", "2.95852661133")</f>
        <v>2.95852661133</v>
      </c>
      <c r="K889" s="30" t="str">
        <f>HYPERLINK(AB2 &amp; "/calculator/sn_feb0ac4a2ef7234f6813326b9ce4e784/rendering/08.obj", "2.97864837646")</f>
        <v>2.97864837646</v>
      </c>
      <c r="L889" s="73" t="str">
        <f>HYPERLINK(AB2 &amp; "/calculator/sn_feb0ac4a2ef7234f6813326b9ce4e784/rendering/09.obj", "2.88424499512")</f>
        <v>2.88424499512</v>
      </c>
      <c r="M889" s="17" t="str">
        <f>HYPERLINK(AB2 &amp; "/calculator/sn_feb0ac4a2ef7234f6813326b9ce4e784/rendering/10.obj", "2.92665496826")</f>
        <v>2.92665496826</v>
      </c>
      <c r="N889" s="47" t="str">
        <f>HYPERLINK(AB2 &amp; "/calculator/sn_feb0ac4a2ef7234f6813326b9ce4e784/rendering/11.obj", "2.96132781982")</f>
        <v>2.96132781982</v>
      </c>
      <c r="O889" s="30" t="str">
        <f>HYPERLINK(AB2 &amp; "/calculator/sn_feb0ac4a2ef7234f6813326b9ce4e784/rendering/12.obj", "2.97126647949")</f>
        <v>2.97126647949</v>
      </c>
      <c r="P889" s="13" t="str">
        <f>HYPERLINK(AB2 &amp; "/calculator/sn_feb0ac4a2ef7234f6813326b9ce4e784/rendering/13.obj", "2.98836547852")</f>
        <v>2.98836547852</v>
      </c>
      <c r="Q889" s="27" t="str">
        <f>HYPERLINK(AB2 &amp; "/calculator/sn_feb0ac4a2ef7234f6813326b9ce4e784/rendering/14.obj", "2.77463989258")</f>
        <v>2.77463989258</v>
      </c>
      <c r="R889" s="110" t="str">
        <f>HYPERLINK(AB2 &amp; "/calculator/sn_feb0ac4a2ef7234f6813326b9ce4e784/rendering/15.obj", "2.69296875")</f>
        <v>2.69296875</v>
      </c>
      <c r="S889" s="28" t="str">
        <f>HYPERLINK(AB2 &amp; "/calculator/sn_feb0ac4a2ef7234f6813326b9ce4e784/rendering/16.obj", "3.32182861328")</f>
        <v>3.32182861328</v>
      </c>
      <c r="T889" s="68" t="str">
        <f>HYPERLINK(AB2 &amp; "/calculator/sn_feb0ac4a2ef7234f6813326b9ce4e784/rendering/17.obj", "3.11595825195")</f>
        <v>3.11595825195</v>
      </c>
      <c r="U889" s="13" t="str">
        <f>HYPERLINK(AB2 &amp; "/calculator/sn_feb0ac4a2ef7234f6813326b9ce4e784/rendering/18.obj", "2.99149658203")</f>
        <v>2.99149658203</v>
      </c>
      <c r="V889" s="10" t="str">
        <f>HYPERLINK(AB2 &amp; "/calculator/sn_feb0ac4a2ef7234f6813326b9ce4e784/rendering/19.obj", "3.14987335205")</f>
        <v>3.14987335205</v>
      </c>
      <c r="W889" s="12" t="s">
        <v>31</v>
      </c>
      <c r="X889" s="13">
        <v>2.9886878814697271</v>
      </c>
      <c r="Y889" s="13">
        <v>0.17271104729486661</v>
      </c>
      <c r="Z889" s="35">
        <v>5.778825161559982E-2</v>
      </c>
    </row>
    <row r="890" spans="1:26" x14ac:dyDescent="0.2">
      <c r="A890" s="1">
        <v>888</v>
      </c>
      <c r="B890" s="2" t="s">
        <v>210</v>
      </c>
      <c r="C890" s="35" t="str">
        <f>HYPERLINK(AB2 &amp; "/calculator/sn_feb0ac4a2ef7234f6813326b9ce4e784/rendering/00.obj", "3.20382094383")</f>
        <v>3.20382094383</v>
      </c>
      <c r="D890" s="25" t="str">
        <f>HYPERLINK(AB2 &amp; "/calculator/sn_feb0ac4a2ef7234f6813326b9ce4e784/rendering/01.obj", "3.06517386436")</f>
        <v>3.06517386436</v>
      </c>
      <c r="E890" s="26" t="str">
        <f>HYPERLINK(AB2 &amp; "/calculator/sn_feb0ac4a2ef7234f6813326b9ce4e784/rendering/02.obj", "3.22551393509")</f>
        <v>3.22551393509</v>
      </c>
      <c r="F890" s="41" t="str">
        <f>HYPERLINK(AB2 &amp; "/calculator/sn_feb0ac4a2ef7234f6813326b9ce4e784/rendering/03.obj", "3.23243904114")</f>
        <v>3.23243904114</v>
      </c>
      <c r="G890" s="39" t="str">
        <f>HYPERLINK(AB2 &amp; "/calculator/sn_feb0ac4a2ef7234f6813326b9ce4e784/rendering/04.obj", "3.29442024231")</f>
        <v>3.29442024231</v>
      </c>
      <c r="H890" s="69" t="str">
        <f>HYPERLINK(AB2 &amp; "/calculator/sn_feb0ac4a2ef7234f6813326b9ce4e784/rendering/05.obj", "3.12365531921")</f>
        <v>3.12365531921</v>
      </c>
      <c r="I890" s="27" t="str">
        <f>HYPERLINK(AB2 &amp; "/calculator/sn_feb0ac4a2ef7234f6813326b9ce4e784/rendering/06.obj", "2.81238532066")</f>
        <v>2.81238532066</v>
      </c>
      <c r="J890" s="32" t="str">
        <f>HYPERLINK(AB2 &amp; "/calculator/sn_feb0ac4a2ef7234f6813326b9ce4e784/rendering/07.obj", "2.71366500854")</f>
        <v>2.71366500854</v>
      </c>
      <c r="K890" s="90" t="str">
        <f>HYPERLINK(AB2 &amp; "/calculator/sn_feb0ac4a2ef7234f6813326b9ce4e784/rendering/08.obj", "2.74285984039")</f>
        <v>2.74285984039</v>
      </c>
      <c r="L890" s="10" t="str">
        <f>HYPERLINK(AB2 &amp; "/calculator/sn_feb0ac4a2ef7234f6813326b9ce4e784/rendering/09.obj", "3.19784665108")</f>
        <v>3.19784665108</v>
      </c>
      <c r="M890" s="67" t="str">
        <f>HYPERLINK(AB2 &amp; "/calculator/sn_feb0ac4a2ef7234f6813326b9ce4e784/rendering/10.obj", "2.74652934074")</f>
        <v>2.74652934074</v>
      </c>
      <c r="N890" s="133" t="str">
        <f>HYPERLINK(AB2 &amp; "/calculator/sn_feb0ac4a2ef7234f6813326b9ce4e784/rendering/11.obj", "2.72021341324")</f>
        <v>2.72021341324</v>
      </c>
      <c r="O890" s="91" t="str">
        <f>HYPERLINK(AB2 &amp; "/calculator/sn_feb0ac4a2ef7234f6813326b9ce4e784/rendering/12.obj", "3.10572075844")</f>
        <v>3.10572075844</v>
      </c>
      <c r="P890" s="5" t="str">
        <f>HYPERLINK(AB2 &amp; "/calculator/sn_feb0ac4a2ef7234f6813326b9ce4e784/rendering/13.obj", "3.26238441467")</f>
        <v>3.26238441467</v>
      </c>
      <c r="Q890" s="68" t="str">
        <f>HYPERLINK(AB2 &amp; "/calculator/sn_feb0ac4a2ef7234f6813326b9ce4e784/rendering/14.obj", "3.16003274918")</f>
        <v>3.16003274918</v>
      </c>
      <c r="R890" s="68" t="str">
        <f>HYPERLINK(AB2 &amp; "/calculator/sn_feb0ac4a2ef7234f6813326b9ce4e784/rendering/15.obj", "2.90533447266")</f>
        <v>2.90533447266</v>
      </c>
      <c r="S890" s="35" t="str">
        <f>HYPERLINK(AB2 &amp; "/calculator/sn_feb0ac4a2ef7234f6813326b9ce4e784/rendering/16.obj", "3.20721459389")</f>
        <v>3.20721459389</v>
      </c>
      <c r="T890" s="67" t="str">
        <f>HYPERLINK(AB2 &amp; "/calculator/sn_feb0ac4a2ef7234f6813326b9ce4e784/rendering/17.obj", "2.75249004364")</f>
        <v>2.75249004364</v>
      </c>
      <c r="U890" s="35" t="str">
        <f>HYPERLINK(AB2 &amp; "/calculator/sn_feb0ac4a2ef7234f6813326b9ce4e784/rendering/18.obj", "3.20739173889")</f>
        <v>3.20739173889</v>
      </c>
      <c r="V890" s="68" t="str">
        <f>HYPERLINK(AB2 &amp; "/calculator/sn_feb0ac4a2ef7234f6813326b9ce4e784/rendering/19.obj", "2.90004181862")</f>
        <v>2.90004181862</v>
      </c>
      <c r="W890" s="12" t="s">
        <v>32</v>
      </c>
      <c r="X890" s="13">
        <v>3.0289566755294799</v>
      </c>
      <c r="Y890" s="13">
        <v>0.20888453657508779</v>
      </c>
      <c r="Z890" s="41">
        <v>6.8962536923237283E-2</v>
      </c>
    </row>
    <row r="891" spans="1:26" x14ac:dyDescent="0.2">
      <c r="A891" s="1">
        <v>889</v>
      </c>
      <c r="B891" s="2" t="s">
        <v>210</v>
      </c>
      <c r="C891" s="13" t="str">
        <f>HYPERLINK(AC2 &amp; "/calculator/sn_feb0ac4a2ef7234f6813326b9ce4e784/rendering/00.xyz", "0.0")</f>
        <v>0.0</v>
      </c>
      <c r="D891" s="13" t="str">
        <f>HYPERLINK(AC2 &amp; "/calculator/sn_feb0ac4a2ef7234f6813326b9ce4e784/rendering/01.xyz", "0.0")</f>
        <v>0.0</v>
      </c>
      <c r="E891" s="13" t="str">
        <f>HYPERLINK(AC2 &amp; "/calculator/sn_feb0ac4a2ef7234f6813326b9ce4e784/rendering/02.xyz", "0.0")</f>
        <v>0.0</v>
      </c>
      <c r="F891" s="13" t="str">
        <f>HYPERLINK(AC2 &amp; "/calculator/sn_feb0ac4a2ef7234f6813326b9ce4e784/rendering/03.xyz", "0.0")</f>
        <v>0.0</v>
      </c>
      <c r="G891" s="13" t="str">
        <f>HYPERLINK(AC2 &amp; "/calculator/sn_feb0ac4a2ef7234f6813326b9ce4e784/rendering/04.xyz", "0.0")</f>
        <v>0.0</v>
      </c>
      <c r="H891" s="13" t="str">
        <f>HYPERLINK(AC2 &amp; "/calculator/sn_feb0ac4a2ef7234f6813326b9ce4e784/rendering/05.xyz", "0.0")</f>
        <v>0.0</v>
      </c>
      <c r="I891" s="13" t="str">
        <f>HYPERLINK(AC2 &amp; "/calculator/sn_feb0ac4a2ef7234f6813326b9ce4e784/rendering/06.xyz", "0.0")</f>
        <v>0.0</v>
      </c>
      <c r="J891" s="13" t="str">
        <f>HYPERLINK(AC2 &amp; "/calculator/sn_feb0ac4a2ef7234f6813326b9ce4e784/rendering/07.xyz", "0.0")</f>
        <v>0.0</v>
      </c>
      <c r="K891" s="13" t="str">
        <f>HYPERLINK(AC2 &amp; "/calculator/sn_feb0ac4a2ef7234f6813326b9ce4e784/rendering/08.xyz", "0.0")</f>
        <v>0.0</v>
      </c>
      <c r="L891" s="13" t="str">
        <f>HYPERLINK(AC2 &amp; "/calculator/sn_feb0ac4a2ef7234f6813326b9ce4e784/rendering/09.xyz", "0.0")</f>
        <v>0.0</v>
      </c>
      <c r="M891" s="13" t="str">
        <f>HYPERLINK(AC2 &amp; "/calculator/sn_feb0ac4a2ef7234f6813326b9ce4e784/rendering/10.xyz", "0.0")</f>
        <v>0.0</v>
      </c>
      <c r="N891" s="13" t="str">
        <f>HYPERLINK(AC2 &amp; "/calculator/sn_feb0ac4a2ef7234f6813326b9ce4e784/rendering/11.xyz", "0.0")</f>
        <v>0.0</v>
      </c>
      <c r="O891" s="13" t="str">
        <f>HYPERLINK(AC2 &amp; "/calculator/sn_feb0ac4a2ef7234f6813326b9ce4e784/rendering/12.xyz", "0.0")</f>
        <v>0.0</v>
      </c>
      <c r="P891" s="13" t="str">
        <f>HYPERLINK(AC2 &amp; "/calculator/sn_feb0ac4a2ef7234f6813326b9ce4e784/rendering/13.xyz", "0.0")</f>
        <v>0.0</v>
      </c>
      <c r="Q891" s="13" t="str">
        <f>HYPERLINK(AC2 &amp; "/calculator/sn_feb0ac4a2ef7234f6813326b9ce4e784/rendering/14.xyz", "0.0")</f>
        <v>0.0</v>
      </c>
      <c r="R891" s="13" t="str">
        <f>HYPERLINK(AC2 &amp; "/calculator/sn_feb0ac4a2ef7234f6813326b9ce4e784/rendering/15.xyz", "0.0")</f>
        <v>0.0</v>
      </c>
      <c r="S891" s="13" t="str">
        <f>HYPERLINK(AC2 &amp; "/calculator/sn_feb0ac4a2ef7234f6813326b9ce4e784/rendering/16.xyz", "0.0")</f>
        <v>0.0</v>
      </c>
      <c r="T891" s="13" t="str">
        <f>HYPERLINK(AC2 &amp; "/calculator/sn_feb0ac4a2ef7234f6813326b9ce4e784/rendering/17.xyz", "0.0")</f>
        <v>0.0</v>
      </c>
      <c r="U891" s="13" t="str">
        <f>HYPERLINK(AC2 &amp; "/calculator/sn_feb0ac4a2ef7234f6813326b9ce4e784/rendering/18.xyz", "0.0")</f>
        <v>0.0</v>
      </c>
      <c r="V891" s="13" t="str">
        <f>HYPERLINK(AC2 &amp; "/calculator/sn_feb0ac4a2ef7234f6813326b9ce4e784/rendering/19.xyz", "0.0")</f>
        <v>0.0</v>
      </c>
      <c r="W891" s="12" t="s">
        <v>33</v>
      </c>
      <c r="X891" s="13">
        <v>0</v>
      </c>
      <c r="Y891" s="13">
        <v>0</v>
      </c>
      <c r="Z891" s="13">
        <v>0</v>
      </c>
    </row>
    <row r="892" spans="1:26" x14ac:dyDescent="0.2">
      <c r="A892" s="1">
        <v>890</v>
      </c>
      <c r="B892" s="2" t="s">
        <v>211</v>
      </c>
      <c r="C892" s="3" t="str">
        <f>HYPERLINK(AA2 &amp; "/flashlight/sn_9b8eef439813d9945322b45f6e8d738b/rendering/00.obj", "nan")</f>
        <v>nan</v>
      </c>
      <c r="D892" s="3" t="str">
        <f>HYPERLINK(AA2 &amp; "/flashlight/sn_9b8eef439813d9945322b45f6e8d738b/rendering/01.obj", "nan")</f>
        <v>nan</v>
      </c>
      <c r="E892" s="3" t="str">
        <f>HYPERLINK(AA2 &amp; "/flashlight/sn_9b8eef439813d9945322b45f6e8d738b/rendering/02.obj", "nan")</f>
        <v>nan</v>
      </c>
      <c r="F892" s="3" t="str">
        <f>HYPERLINK(AA2 &amp; "/flashlight/sn_9b8eef439813d9945322b45f6e8d738b/rendering/03.obj", "nan")</f>
        <v>nan</v>
      </c>
      <c r="G892" s="3" t="str">
        <f>HYPERLINK(AA2 &amp; "/flashlight/sn_9b8eef439813d9945322b45f6e8d738b/rendering/04.obj", "nan")</f>
        <v>nan</v>
      </c>
      <c r="H892" s="3" t="str">
        <f>HYPERLINK(AA2 &amp; "/flashlight/sn_9b8eef439813d9945322b45f6e8d738b/rendering/05.obj", "nan")</f>
        <v>nan</v>
      </c>
      <c r="I892" s="3" t="str">
        <f>HYPERLINK(AA2 &amp; "/flashlight/sn_9b8eef439813d9945322b45f6e8d738b/rendering/06.obj", "nan")</f>
        <v>nan</v>
      </c>
      <c r="J892" s="3" t="str">
        <f>HYPERLINK(AA2 &amp; "/flashlight/sn_9b8eef439813d9945322b45f6e8d738b/rendering/07.obj", "nan")</f>
        <v>nan</v>
      </c>
      <c r="K892" s="3" t="str">
        <f>HYPERLINK(AA2 &amp; "/flashlight/sn_9b8eef439813d9945322b45f6e8d738b/rendering/08.obj", "nan")</f>
        <v>nan</v>
      </c>
      <c r="L892" s="3" t="str">
        <f>HYPERLINK(AA2 &amp; "/flashlight/sn_9b8eef439813d9945322b45f6e8d738b/rendering/09.obj", "nan")</f>
        <v>nan</v>
      </c>
      <c r="M892" s="3" t="str">
        <f>HYPERLINK(AA2 &amp; "/flashlight/sn_9b8eef439813d9945322b45f6e8d738b/rendering/10.obj", "nan")</f>
        <v>nan</v>
      </c>
      <c r="N892" s="3" t="str">
        <f>HYPERLINK(AA2 &amp; "/flashlight/sn_9b8eef439813d9945322b45f6e8d738b/rendering/11.obj", "nan")</f>
        <v>nan</v>
      </c>
      <c r="O892" s="69" t="str">
        <f>HYPERLINK(AA2 &amp; "/flashlight/sn_9b8eef439813d9945322b45f6e8d738b/rendering/12.obj", "3.66066680908")</f>
        <v>3.66066680908</v>
      </c>
      <c r="P892" s="39" t="str">
        <f>HYPERLINK(AA2 &amp; "/flashlight/sn_9b8eef439813d9945322b45f6e8d738b/rendering/13.obj", "3.25055786133")</f>
        <v>3.25055786133</v>
      </c>
      <c r="Q892" s="51" t="str">
        <f>HYPERLINK(AA2 &amp; "/flashlight/sn_9b8eef439813d9945322b45f6e8d738b/rendering/14.obj", "3.84252868652")</f>
        <v>3.84252868652</v>
      </c>
      <c r="R892" s="74" t="str">
        <f>HYPERLINK(AA2 &amp; "/flashlight/sn_9b8eef439813d9945322b45f6e8d738b/rendering/15.obj", "3.60610015869")</f>
        <v>3.60610015869</v>
      </c>
      <c r="S892" s="41" t="str">
        <f>HYPERLINK(AA2 &amp; "/flashlight/sn_9b8eef439813d9945322b45f6e8d738b/rendering/16.obj", "3.79003265381")</f>
        <v>3.79003265381</v>
      </c>
      <c r="T892" s="29" t="str">
        <f>HYPERLINK(AA2 &amp; "/flashlight/sn_9b8eef439813d9945322b45f6e8d738b/rendering/17.obj", "3.09734191895")</f>
        <v>3.09734191895</v>
      </c>
      <c r="U892" s="68" t="str">
        <f>HYPERLINK(AA2 &amp; "/flashlight/sn_9b8eef439813d9945322b45f6e8d738b/rendering/18.obj", "3.70843139648")</f>
        <v>3.70843139648</v>
      </c>
      <c r="V892" s="17" t="str">
        <f>HYPERLINK(AA2 &amp; "/flashlight/sn_9b8eef439813d9945322b45f6e8d738b/rendering/19.obj", "3.48718444824")</f>
        <v>3.48718444824</v>
      </c>
      <c r="W892" s="12" t="s">
        <v>29</v>
      </c>
      <c r="X892" s="13">
        <v>3.5553554916381831</v>
      </c>
      <c r="Y892" s="13">
        <v>0.24544980676727901</v>
      </c>
      <c r="Z892" s="27">
        <v>6.9036642705504622E-2</v>
      </c>
    </row>
    <row r="893" spans="1:26" x14ac:dyDescent="0.2">
      <c r="A893" s="1">
        <v>891</v>
      </c>
      <c r="B893" s="2" t="s">
        <v>211</v>
      </c>
      <c r="C893" s="3" t="str">
        <f>HYPERLINK(AA2 &amp; "/flashlight/sn_9b8eef439813d9945322b45f6e8d738b/rendering/00.obj", "nan")</f>
        <v>nan</v>
      </c>
      <c r="D893" s="3" t="str">
        <f>HYPERLINK(AA2 &amp; "/flashlight/sn_9b8eef439813d9945322b45f6e8d738b/rendering/01.obj", "nan")</f>
        <v>nan</v>
      </c>
      <c r="E893" s="3" t="str">
        <f>HYPERLINK(AA2 &amp; "/flashlight/sn_9b8eef439813d9945322b45f6e8d738b/rendering/02.obj", "nan")</f>
        <v>nan</v>
      </c>
      <c r="F893" s="3" t="str">
        <f>HYPERLINK(AA2 &amp; "/flashlight/sn_9b8eef439813d9945322b45f6e8d738b/rendering/03.obj", "nan")</f>
        <v>nan</v>
      </c>
      <c r="G893" s="3" t="str">
        <f>HYPERLINK(AA2 &amp; "/flashlight/sn_9b8eef439813d9945322b45f6e8d738b/rendering/04.obj", "nan")</f>
        <v>nan</v>
      </c>
      <c r="H893" s="3" t="str">
        <f>HYPERLINK(AA2 &amp; "/flashlight/sn_9b8eef439813d9945322b45f6e8d738b/rendering/05.obj", "nan")</f>
        <v>nan</v>
      </c>
      <c r="I893" s="3" t="str">
        <f>HYPERLINK(AA2 &amp; "/flashlight/sn_9b8eef439813d9945322b45f6e8d738b/rendering/06.obj", "nan")</f>
        <v>nan</v>
      </c>
      <c r="J893" s="3" t="str">
        <f>HYPERLINK(AA2 &amp; "/flashlight/sn_9b8eef439813d9945322b45f6e8d738b/rendering/07.obj", "nan")</f>
        <v>nan</v>
      </c>
      <c r="K893" s="3" t="str">
        <f>HYPERLINK(AA2 &amp; "/flashlight/sn_9b8eef439813d9945322b45f6e8d738b/rendering/08.obj", "nan")</f>
        <v>nan</v>
      </c>
      <c r="L893" s="3" t="str">
        <f>HYPERLINK(AA2 &amp; "/flashlight/sn_9b8eef439813d9945322b45f6e8d738b/rendering/09.obj", "nan")</f>
        <v>nan</v>
      </c>
      <c r="M893" s="3" t="str">
        <f>HYPERLINK(AA2 &amp; "/flashlight/sn_9b8eef439813d9945322b45f6e8d738b/rendering/10.obj", "nan")</f>
        <v>nan</v>
      </c>
      <c r="N893" s="3" t="str">
        <f>HYPERLINK(AA2 &amp; "/flashlight/sn_9b8eef439813d9945322b45f6e8d738b/rendering/11.obj", "nan")</f>
        <v>nan</v>
      </c>
      <c r="O893" s="17" t="str">
        <f>HYPERLINK(AA2 &amp; "/flashlight/sn_9b8eef439813d9945322b45f6e8d738b/rendering/12.obj", "2.13532829285")</f>
        <v>2.13532829285</v>
      </c>
      <c r="P893" s="13" t="str">
        <f>HYPERLINK(AA2 &amp; "/flashlight/sn_9b8eef439813d9945322b45f6e8d738b/rendering/13.obj", "2.17956018448")</f>
        <v>2.17956018448</v>
      </c>
      <c r="Q893" s="23" t="str">
        <f>HYPERLINK(AA2 &amp; "/flashlight/sn_9b8eef439813d9945322b45f6e8d738b/rendering/14.obj", "2.26559853554")</f>
        <v>2.26559853554</v>
      </c>
      <c r="R893" s="47" t="str">
        <f>HYPERLINK(AA2 &amp; "/flashlight/sn_9b8eef439813d9945322b45f6e8d738b/rendering/15.obj", "2.1683588028")</f>
        <v>2.1683588028</v>
      </c>
      <c r="S893" s="13" t="str">
        <f>HYPERLINK(AA2 &amp; "/flashlight/sn_9b8eef439813d9945322b45f6e8d738b/rendering/16.obj", "2.17777872086")</f>
        <v>2.17777872086</v>
      </c>
      <c r="T893" s="13" t="str">
        <f>HYPERLINK(AA2 &amp; "/flashlight/sn_9b8eef439813d9945322b45f6e8d738b/rendering/17.obj", "2.18444347382")</f>
        <v>2.18444347382</v>
      </c>
      <c r="U893" s="69" t="str">
        <f>HYPERLINK(AA2 &amp; "/flashlight/sn_9b8eef439813d9945322b45f6e8d738b/rendering/18.obj", "2.24863600731")</f>
        <v>2.24863600731</v>
      </c>
      <c r="V893" s="73" t="str">
        <f>HYPERLINK(AA2 &amp; "/flashlight/sn_9b8eef439813d9945322b45f6e8d738b/rendering/19.obj", "2.10509729385")</f>
        <v>2.10509729385</v>
      </c>
      <c r="W893" s="12" t="s">
        <v>30</v>
      </c>
      <c r="X893" s="13">
        <v>2.183100163936615</v>
      </c>
      <c r="Y893" s="13">
        <v>4.9658192819396957E-2</v>
      </c>
      <c r="Z893" s="48">
        <v>2.2746639682282001E-2</v>
      </c>
    </row>
    <row r="894" spans="1:26" x14ac:dyDescent="0.2">
      <c r="A894" s="1">
        <v>892</v>
      </c>
      <c r="B894" s="2" t="s">
        <v>211</v>
      </c>
      <c r="C894" s="3" t="str">
        <f>HYPERLINK(AB2 &amp; "/flashlight/sn_9b8eef439813d9945322b45f6e8d738b/rendering/00.obj", "nan")</f>
        <v>nan</v>
      </c>
      <c r="D894" s="3" t="str">
        <f>HYPERLINK(AB2 &amp; "/flashlight/sn_9b8eef439813d9945322b45f6e8d738b/rendering/01.obj", "nan")</f>
        <v>nan</v>
      </c>
      <c r="E894" s="3" t="str">
        <f>HYPERLINK(AB2 &amp; "/flashlight/sn_9b8eef439813d9945322b45f6e8d738b/rendering/02.obj", "nan")</f>
        <v>nan</v>
      </c>
      <c r="F894" s="3" t="str">
        <f>HYPERLINK(AB2 &amp; "/flashlight/sn_9b8eef439813d9945322b45f6e8d738b/rendering/03.obj", "nan")</f>
        <v>nan</v>
      </c>
      <c r="G894" s="3" t="str">
        <f>HYPERLINK(AB2 &amp; "/flashlight/sn_9b8eef439813d9945322b45f6e8d738b/rendering/04.obj", "nan")</f>
        <v>nan</v>
      </c>
      <c r="H894" s="3" t="str">
        <f>HYPERLINK(AB2 &amp; "/flashlight/sn_9b8eef439813d9945322b45f6e8d738b/rendering/05.obj", "nan")</f>
        <v>nan</v>
      </c>
      <c r="I894" s="3" t="str">
        <f>HYPERLINK(AB2 &amp; "/flashlight/sn_9b8eef439813d9945322b45f6e8d738b/rendering/06.obj", "nan")</f>
        <v>nan</v>
      </c>
      <c r="J894" s="3" t="str">
        <f>HYPERLINK(AB2 &amp; "/flashlight/sn_9b8eef439813d9945322b45f6e8d738b/rendering/07.obj", "nan")</f>
        <v>nan</v>
      </c>
      <c r="K894" s="3" t="str">
        <f>HYPERLINK(AB2 &amp; "/flashlight/sn_9b8eef439813d9945322b45f6e8d738b/rendering/08.obj", "nan")</f>
        <v>nan</v>
      </c>
      <c r="L894" s="3" t="str">
        <f>HYPERLINK(AB2 &amp; "/flashlight/sn_9b8eef439813d9945322b45f6e8d738b/rendering/09.obj", "nan")</f>
        <v>nan</v>
      </c>
      <c r="M894" s="3" t="str">
        <f>HYPERLINK(AB2 &amp; "/flashlight/sn_9b8eef439813d9945322b45f6e8d738b/rendering/10.obj", "nan")</f>
        <v>nan</v>
      </c>
      <c r="N894" s="3" t="str">
        <f>HYPERLINK(AB2 &amp; "/flashlight/sn_9b8eef439813d9945322b45f6e8d738b/rendering/11.obj", "nan")</f>
        <v>nan</v>
      </c>
      <c r="O894" s="51" t="str">
        <f>HYPERLINK(AB2 &amp; "/flashlight/sn_9b8eef439813d9945322b45f6e8d738b/rendering/12.obj", "4.84544189453")</f>
        <v>4.84544189453</v>
      </c>
      <c r="P894" s="10" t="str">
        <f>HYPERLINK(AB2 &amp; "/flashlight/sn_9b8eef439813d9945322b45f6e8d738b/rendering/13.obj", "4.25194946289")</f>
        <v>4.25194946289</v>
      </c>
      <c r="Q894" s="60" t="str">
        <f>HYPERLINK(AB2 &amp; "/flashlight/sn_9b8eef439813d9945322b45f6e8d738b/rendering/14.obj", "4.73028320313")</f>
        <v>4.73028320313</v>
      </c>
      <c r="R894" s="69" t="str">
        <f>HYPERLINK(AB2 &amp; "/flashlight/sn_9b8eef439813d9945322b45f6e8d738b/rendering/15.obj", "4.62955932617")</f>
        <v>4.62955932617</v>
      </c>
      <c r="S894" s="25" t="str">
        <f>HYPERLINK(AB2 &amp; "/flashlight/sn_9b8eef439813d9945322b45f6e8d738b/rendering/16.obj", "4.5379095459")</f>
        <v>4.5379095459</v>
      </c>
      <c r="T894" s="69" t="str">
        <f>HYPERLINK(AB2 &amp; "/flashlight/sn_9b8eef439813d9945322b45f6e8d738b/rendering/17.obj", "4.36156860352")</f>
        <v>4.36156860352</v>
      </c>
      <c r="U894" s="38" t="str">
        <f>HYPERLINK(AB2 &amp; "/flashlight/sn_9b8eef439813d9945322b45f6e8d738b/rendering/18.obj", "4.08630889893")</f>
        <v>4.08630889893</v>
      </c>
      <c r="V894" s="13" t="str">
        <f>HYPERLINK(AB2 &amp; "/flashlight/sn_9b8eef439813d9945322b45f6e8d738b/rendering/19.obj", "4.4928515625")</f>
        <v>4.4928515625</v>
      </c>
      <c r="W894" s="12" t="s">
        <v>31</v>
      </c>
      <c r="X894" s="13">
        <v>4.4919840621948239</v>
      </c>
      <c r="Y894" s="13">
        <v>0.23504066523039371</v>
      </c>
      <c r="Z894" s="60">
        <v>5.2324465531507422E-2</v>
      </c>
    </row>
    <row r="895" spans="1:26" x14ac:dyDescent="0.2">
      <c r="A895" s="1">
        <v>893</v>
      </c>
      <c r="B895" s="2" t="s">
        <v>211</v>
      </c>
      <c r="C895" s="3" t="str">
        <f>HYPERLINK(AB2 &amp; "/flashlight/sn_9b8eef439813d9945322b45f6e8d738b/rendering/00.obj", "nan")</f>
        <v>nan</v>
      </c>
      <c r="D895" s="3" t="str">
        <f>HYPERLINK(AB2 &amp; "/flashlight/sn_9b8eef439813d9945322b45f6e8d738b/rendering/01.obj", "nan")</f>
        <v>nan</v>
      </c>
      <c r="E895" s="3" t="str">
        <f>HYPERLINK(AB2 &amp; "/flashlight/sn_9b8eef439813d9945322b45f6e8d738b/rendering/02.obj", "nan")</f>
        <v>nan</v>
      </c>
      <c r="F895" s="3" t="str">
        <f>HYPERLINK(AB2 &amp; "/flashlight/sn_9b8eef439813d9945322b45f6e8d738b/rendering/03.obj", "nan")</f>
        <v>nan</v>
      </c>
      <c r="G895" s="3" t="str">
        <f>HYPERLINK(AB2 &amp; "/flashlight/sn_9b8eef439813d9945322b45f6e8d738b/rendering/04.obj", "nan")</f>
        <v>nan</v>
      </c>
      <c r="H895" s="3" t="str">
        <f>HYPERLINK(AB2 &amp; "/flashlight/sn_9b8eef439813d9945322b45f6e8d738b/rendering/05.obj", "nan")</f>
        <v>nan</v>
      </c>
      <c r="I895" s="3" t="str">
        <f>HYPERLINK(AB2 &amp; "/flashlight/sn_9b8eef439813d9945322b45f6e8d738b/rendering/06.obj", "nan")</f>
        <v>nan</v>
      </c>
      <c r="J895" s="3" t="str">
        <f>HYPERLINK(AB2 &amp; "/flashlight/sn_9b8eef439813d9945322b45f6e8d738b/rendering/07.obj", "nan")</f>
        <v>nan</v>
      </c>
      <c r="K895" s="3" t="str">
        <f>HYPERLINK(AB2 &amp; "/flashlight/sn_9b8eef439813d9945322b45f6e8d738b/rendering/08.obj", "nan")</f>
        <v>nan</v>
      </c>
      <c r="L895" s="3" t="str">
        <f>HYPERLINK(AB2 &amp; "/flashlight/sn_9b8eef439813d9945322b45f6e8d738b/rendering/09.obj", "nan")</f>
        <v>nan</v>
      </c>
      <c r="M895" s="3" t="str">
        <f>HYPERLINK(AB2 &amp; "/flashlight/sn_9b8eef439813d9945322b45f6e8d738b/rendering/10.obj", "nan")</f>
        <v>nan</v>
      </c>
      <c r="N895" s="3" t="str">
        <f>HYPERLINK(AB2 &amp; "/flashlight/sn_9b8eef439813d9945322b45f6e8d738b/rendering/11.obj", "nan")</f>
        <v>nan</v>
      </c>
      <c r="O895" s="92" t="str">
        <f>HYPERLINK(AB2 &amp; "/flashlight/sn_9b8eef439813d9945322b45f6e8d738b/rendering/12.obj", "2.99076986313")</f>
        <v>2.99076986313</v>
      </c>
      <c r="P895" s="70" t="str">
        <f>HYPERLINK(AB2 &amp; "/flashlight/sn_9b8eef439813d9945322b45f6e8d738b/rendering/13.obj", "2.32273554802")</f>
        <v>2.32273554802</v>
      </c>
      <c r="Q895" s="82" t="str">
        <f>HYPERLINK(AB2 &amp; "/flashlight/sn_9b8eef439813d9945322b45f6e8d738b/rendering/14.obj", "3.20457053185")</f>
        <v>3.20457053185</v>
      </c>
      <c r="R895" s="72" t="str">
        <f>HYPERLINK(AB2 &amp; "/flashlight/sn_9b8eef439813d9945322b45f6e8d738b/rendering/15.obj", "2.7512550354")</f>
        <v>2.7512550354</v>
      </c>
      <c r="S895" s="27" t="str">
        <f>HYPERLINK(AB2 &amp; "/flashlight/sn_9b8eef439813d9945322b45f6e8d738b/rendering/16.obj", "2.47529816628")</f>
        <v>2.47529816628</v>
      </c>
      <c r="T895" s="48" t="str">
        <f>HYPERLINK(AB2 &amp; "/flashlight/sn_9b8eef439813d9945322b45f6e8d738b/rendering/17.obj", "2.72610878944")</f>
        <v>2.72610878944</v>
      </c>
      <c r="U895" s="133" t="str">
        <f>HYPERLINK(AB2 &amp; "/flashlight/sn_9b8eef439813d9945322b45f6e8d738b/rendering/18.obj", "2.39293146133")</f>
        <v>2.39293146133</v>
      </c>
      <c r="V895" s="39" t="str">
        <f>HYPERLINK(AB2 &amp; "/flashlight/sn_9b8eef439813d9945322b45f6e8d738b/rendering/19.obj", "2.42863416672")</f>
        <v>2.42863416672</v>
      </c>
      <c r="W895" s="12" t="s">
        <v>32</v>
      </c>
      <c r="X895" s="13">
        <v>2.6615379452705379</v>
      </c>
      <c r="Y895" s="13">
        <v>0.29397332551979372</v>
      </c>
      <c r="Z895" s="28">
        <v>0.1104524269669626</v>
      </c>
    </row>
    <row r="896" spans="1:26" x14ac:dyDescent="0.2">
      <c r="A896" s="1">
        <v>894</v>
      </c>
      <c r="B896" s="2" t="s">
        <v>211</v>
      </c>
      <c r="C896" s="13" t="str">
        <f>HYPERLINK(AC2 &amp; "/flashlight/sn_9b8eef439813d9945322b45f6e8d738b/rendering/00.xyz", "0.0")</f>
        <v>0.0</v>
      </c>
      <c r="D896" s="13" t="str">
        <f>HYPERLINK(AC2 &amp; "/flashlight/sn_9b8eef439813d9945322b45f6e8d738b/rendering/01.xyz", "0.0")</f>
        <v>0.0</v>
      </c>
      <c r="E896" s="13" t="str">
        <f>HYPERLINK(AC2 &amp; "/flashlight/sn_9b8eef439813d9945322b45f6e8d738b/rendering/02.xyz", "0.0")</f>
        <v>0.0</v>
      </c>
      <c r="F896" s="13" t="str">
        <f>HYPERLINK(AC2 &amp; "/flashlight/sn_9b8eef439813d9945322b45f6e8d738b/rendering/03.xyz", "0.0")</f>
        <v>0.0</v>
      </c>
      <c r="G896" s="13" t="str">
        <f>HYPERLINK(AC2 &amp; "/flashlight/sn_9b8eef439813d9945322b45f6e8d738b/rendering/04.xyz", "0.0")</f>
        <v>0.0</v>
      </c>
      <c r="H896" s="13" t="str">
        <f>HYPERLINK(AC2 &amp; "/flashlight/sn_9b8eef439813d9945322b45f6e8d738b/rendering/05.xyz", "0.0")</f>
        <v>0.0</v>
      </c>
      <c r="I896" s="13" t="str">
        <f>HYPERLINK(AC2 &amp; "/flashlight/sn_9b8eef439813d9945322b45f6e8d738b/rendering/06.xyz", "0.0")</f>
        <v>0.0</v>
      </c>
      <c r="J896" s="13" t="str">
        <f>HYPERLINK(AC2 &amp; "/flashlight/sn_9b8eef439813d9945322b45f6e8d738b/rendering/07.xyz", "0.0")</f>
        <v>0.0</v>
      </c>
      <c r="K896" s="13" t="str">
        <f>HYPERLINK(AC2 &amp; "/flashlight/sn_9b8eef439813d9945322b45f6e8d738b/rendering/08.xyz", "0.0")</f>
        <v>0.0</v>
      </c>
      <c r="L896" s="13" t="str">
        <f>HYPERLINK(AC2 &amp; "/flashlight/sn_9b8eef439813d9945322b45f6e8d738b/rendering/09.xyz", "0.0")</f>
        <v>0.0</v>
      </c>
      <c r="M896" s="13" t="str">
        <f>HYPERLINK(AC2 &amp; "/flashlight/sn_9b8eef439813d9945322b45f6e8d738b/rendering/10.xyz", "0.0")</f>
        <v>0.0</v>
      </c>
      <c r="N896" s="13" t="str">
        <f>HYPERLINK(AC2 &amp; "/flashlight/sn_9b8eef439813d9945322b45f6e8d738b/rendering/11.xyz", "0.0")</f>
        <v>0.0</v>
      </c>
      <c r="O896" s="13" t="str">
        <f>HYPERLINK(AC2 &amp; "/flashlight/sn_9b8eef439813d9945322b45f6e8d738b/rendering/12.xyz", "0.0")</f>
        <v>0.0</v>
      </c>
      <c r="P896" s="13" t="str">
        <f>HYPERLINK(AC2 &amp; "/flashlight/sn_9b8eef439813d9945322b45f6e8d738b/rendering/13.xyz", "0.0")</f>
        <v>0.0</v>
      </c>
      <c r="Q896" s="13" t="str">
        <f>HYPERLINK(AC2 &amp; "/flashlight/sn_9b8eef439813d9945322b45f6e8d738b/rendering/14.xyz", "0.0")</f>
        <v>0.0</v>
      </c>
      <c r="R896" s="13" t="str">
        <f>HYPERLINK(AC2 &amp; "/flashlight/sn_9b8eef439813d9945322b45f6e8d738b/rendering/15.xyz", "0.0")</f>
        <v>0.0</v>
      </c>
      <c r="S896" s="13" t="str">
        <f>HYPERLINK(AC2 &amp; "/flashlight/sn_9b8eef439813d9945322b45f6e8d738b/rendering/16.xyz", "0.0")</f>
        <v>0.0</v>
      </c>
      <c r="T896" s="13" t="str">
        <f>HYPERLINK(AC2 &amp; "/flashlight/sn_9b8eef439813d9945322b45f6e8d738b/rendering/17.xyz", "0.0")</f>
        <v>0.0</v>
      </c>
      <c r="U896" s="13" t="str">
        <f>HYPERLINK(AC2 &amp; "/flashlight/sn_9b8eef439813d9945322b45f6e8d738b/rendering/18.xyz", "0.0")</f>
        <v>0.0</v>
      </c>
      <c r="V896" s="13" t="str">
        <f>HYPERLINK(AC2 &amp; "/flashlight/sn_9b8eef439813d9945322b45f6e8d738b/rendering/19.xyz", "0.0")</f>
        <v>0.0</v>
      </c>
      <c r="W896" s="12" t="s">
        <v>33</v>
      </c>
      <c r="X896" s="13">
        <v>0</v>
      </c>
      <c r="Y896" s="13">
        <v>0</v>
      </c>
      <c r="Z896" s="13">
        <v>0</v>
      </c>
    </row>
    <row r="897" spans="1:26" x14ac:dyDescent="0.2">
      <c r="A897" s="1">
        <v>895</v>
      </c>
      <c r="B897" s="2" t="s">
        <v>212</v>
      </c>
      <c r="C897" s="234" t="str">
        <f>HYPERLINK(AA2 &amp; "/flashlight/sn_9e0b2773839807ed74f924a309212510/rendering/00.obj", "9.35568359375")</f>
        <v>9.35568359375</v>
      </c>
      <c r="D897" s="20" t="str">
        <f>HYPERLINK(AA2 &amp; "/flashlight/sn_9e0b2773839807ed74f924a309212510/rendering/01.obj", "16.2664367676")</f>
        <v>16.2664367676</v>
      </c>
      <c r="E897" s="122" t="str">
        <f>HYPERLINK(AA2 &amp; "/flashlight/sn_9e0b2773839807ed74f924a309212510/rendering/02.obj", "3.19751403809")</f>
        <v>3.19751403809</v>
      </c>
      <c r="F897" s="20" t="str">
        <f>HYPERLINK(AA2 &amp; "/flashlight/sn_9e0b2773839807ed74f924a309212510/rendering/03.obj", "12.4945251465")</f>
        <v>12.4945251465</v>
      </c>
      <c r="G897" s="149" t="str">
        <f>HYPERLINK(AA2 &amp; "/flashlight/sn_9e0b2773839807ed74f924a309212510/rendering/04.obj", "3.52312133789")</f>
        <v>3.52312133789</v>
      </c>
      <c r="H897" s="88" t="str">
        <f>HYPERLINK(AA2 &amp; "/flashlight/sn_9e0b2773839807ed74f924a309212510/rendering/05.obj", "4.28316345215")</f>
        <v>4.28316345215</v>
      </c>
      <c r="I897" s="103" t="str">
        <f>HYPERLINK(AA2 &amp; "/flashlight/sn_9e0b2773839807ed74f924a309212510/rendering/06.obj", "3.63371154785")</f>
        <v>3.63371154785</v>
      </c>
      <c r="J897" s="185" t="str">
        <f>HYPERLINK(AA2 &amp; "/flashlight/sn_9e0b2773839807ed74f924a309212510/rendering/07.obj", "3.53967254639")</f>
        <v>3.53967254639</v>
      </c>
      <c r="K897" s="86" t="str">
        <f>HYPERLINK(AA2 &amp; "/flashlight/sn_9e0b2773839807ed74f924a309212510/rendering/08.obj", "3.93705810547")</f>
        <v>3.93705810547</v>
      </c>
      <c r="L897" s="158" t="str">
        <f>HYPERLINK(AA2 &amp; "/flashlight/sn_9e0b2773839807ed74f924a309212510/rendering/09.obj", "3.16915222168")</f>
        <v>3.16915222168</v>
      </c>
      <c r="M897" s="157" t="str">
        <f>HYPERLINK(AA2 &amp; "/flashlight/sn_9e0b2773839807ed74f924a309212510/rendering/10.obj", "7.60693115234")</f>
        <v>7.60693115234</v>
      </c>
      <c r="N897" s="113" t="str">
        <f>HYPERLINK(AA2 &amp; "/flashlight/sn_9e0b2773839807ed74f924a309212510/rendering/11.obj", "3.89558074951")</f>
        <v>3.89558074951</v>
      </c>
      <c r="O897" s="111" t="str">
        <f>HYPERLINK(AA2 &amp; "/flashlight/sn_9e0b2773839807ed74f924a309212510/rendering/12.obj", "3.10691497803")</f>
        <v>3.10691497803</v>
      </c>
      <c r="P897" s="162" t="str">
        <f>HYPERLINK(AA2 &amp; "/flashlight/sn_9e0b2773839807ed74f924a309212510/rendering/13.obj", "7.65453979492")</f>
        <v>7.65453979492</v>
      </c>
      <c r="Q897" s="97" t="str">
        <f>HYPERLINK(AA2 &amp; "/flashlight/sn_9e0b2773839807ed74f924a309212510/rendering/14.obj", "3.03501098633")</f>
        <v>3.03501098633</v>
      </c>
      <c r="R897" s="185" t="str">
        <f>HYPERLINK(AA2 &amp; "/flashlight/sn_9e0b2773839807ed74f924a309212510/rendering/15.obj", "3.54929962158")</f>
        <v>3.54929962158</v>
      </c>
      <c r="S897" s="128" t="str">
        <f>HYPERLINK(AA2 &amp; "/flashlight/sn_9e0b2773839807ed74f924a309212510/rendering/16.obj", "3.26551818848")</f>
        <v>3.26551818848</v>
      </c>
      <c r="T897" s="166" t="str">
        <f>HYPERLINK(AA2 &amp; "/flashlight/sn_9e0b2773839807ed74f924a309212510/rendering/17.obj", "3.83260253906")</f>
        <v>3.83260253906</v>
      </c>
      <c r="U897" s="39" t="str">
        <f>HYPERLINK(AA2 &amp; "/flashlight/sn_9e0b2773839807ed74f924a309212510/rendering/18.obj", "4.91369689941")</f>
        <v>4.91369689941</v>
      </c>
      <c r="V897" s="157" t="str">
        <f>HYPERLINK(AA2 &amp; "/flashlight/sn_9e0b2773839807ed74f924a309212510/rendering/19.obj", "3.14066467285")</f>
        <v>3.14066467285</v>
      </c>
      <c r="W897" s="12" t="s">
        <v>29</v>
      </c>
      <c r="X897" s="13">
        <v>5.3700399169921882</v>
      </c>
      <c r="Y897" s="13">
        <v>3.5086089944623899</v>
      </c>
      <c r="Z897" s="240">
        <v>0.65336739553094347</v>
      </c>
    </row>
    <row r="898" spans="1:26" x14ac:dyDescent="0.2">
      <c r="A898" s="1">
        <v>896</v>
      </c>
      <c r="B898" s="2" t="s">
        <v>212</v>
      </c>
      <c r="C898" s="115" t="str">
        <f>HYPERLINK(AA2 &amp; "/flashlight/sn_9e0b2773839807ed74f924a309212510/rendering/00.obj", "10.4942026138")</f>
        <v>10.4942026138</v>
      </c>
      <c r="D898" s="20" t="str">
        <f>HYPERLINK(AA2 &amp; "/flashlight/sn_9e0b2773839807ed74f924a309212510/rendering/01.obj", "27.2224025726")</f>
        <v>27.2224025726</v>
      </c>
      <c r="E898" s="235" t="str">
        <f>HYPERLINK(AA2 &amp; "/flashlight/sn_9e0b2773839807ed74f924a309212510/rendering/02.obj", "2.93587446213")</f>
        <v>2.93587446213</v>
      </c>
      <c r="F898" s="20" t="str">
        <f>HYPERLINK(AA2 &amp; "/flashlight/sn_9e0b2773839807ed74f924a309212510/rendering/03.obj", "17.0534496307")</f>
        <v>17.0534496307</v>
      </c>
      <c r="G898" s="179" t="str">
        <f>HYPERLINK(AA2 &amp; "/flashlight/sn_9e0b2773839807ed74f924a309212510/rendering/04.obj", "3.65489816666")</f>
        <v>3.65489816666</v>
      </c>
      <c r="H898" s="158" t="str">
        <f>HYPERLINK(AA2 &amp; "/flashlight/sn_9e0b2773839807ed74f924a309212510/rendering/05.obj", "3.77792406082")</f>
        <v>3.77792406082</v>
      </c>
      <c r="I898" s="227" t="str">
        <f>HYPERLINK(AA2 &amp; "/flashlight/sn_9e0b2773839807ed74f924a309212510/rendering/06.obj", "3.14619398117")</f>
        <v>3.14619398117</v>
      </c>
      <c r="J898" s="163" t="str">
        <f>HYPERLINK(AA2 &amp; "/flashlight/sn_9e0b2773839807ed74f924a309212510/rendering/07.obj", "3.58523249626")</f>
        <v>3.58523249626</v>
      </c>
      <c r="K898" s="193" t="str">
        <f>HYPERLINK(AA2 &amp; "/flashlight/sn_9e0b2773839807ed74f924a309212510/rendering/08.obj", "4.28239202499")</f>
        <v>4.28239202499</v>
      </c>
      <c r="L898" s="228" t="str">
        <f>HYPERLINK(AA2 &amp; "/flashlight/sn_9e0b2773839807ed74f924a309212510/rendering/09.obj", "3.00272631645")</f>
        <v>3.00272631645</v>
      </c>
      <c r="M898" s="236" t="str">
        <f>HYPERLINK(AA2 &amp; "/flashlight/sn_9e0b2773839807ed74f924a309212510/rendering/10.obj", "11.1471719742")</f>
        <v>11.1471719742</v>
      </c>
      <c r="N898" s="121" t="str">
        <f>HYPERLINK(AA2 &amp; "/flashlight/sn_9e0b2773839807ed74f924a309212510/rendering/11.obj", "4.1557841301")</f>
        <v>4.1557841301</v>
      </c>
      <c r="O898" s="228" t="str">
        <f>HYPERLINK(AA2 &amp; "/flashlight/sn_9e0b2773839807ed74f924a309212510/rendering/12.obj", "2.99195742607")</f>
        <v>2.99195742607</v>
      </c>
      <c r="P898" s="66" t="str">
        <f>HYPERLINK(AA2 &amp; "/flashlight/sn_9e0b2773839807ed74f924a309212510/rendering/13.obj", "7.43646621704")</f>
        <v>7.43646621704</v>
      </c>
      <c r="Q898" s="150" t="str">
        <f>HYPERLINK(AA2 &amp; "/flashlight/sn_9e0b2773839807ed74f924a309212510/rendering/14.obj", "2.95857000351")</f>
        <v>2.95857000351</v>
      </c>
      <c r="R898" s="128" t="str">
        <f>HYPERLINK(AA2 &amp; "/flashlight/sn_9e0b2773839807ed74f924a309212510/rendering/15.obj", "3.9112303257")</f>
        <v>3.9112303257</v>
      </c>
      <c r="S898" s="147" t="str">
        <f>HYPERLINK(AA2 &amp; "/flashlight/sn_9e0b2773839807ed74f924a309212510/rendering/16.obj", "3.2911696434")</f>
        <v>3.2911696434</v>
      </c>
      <c r="T898" s="162" t="str">
        <f>HYPERLINK(AA2 &amp; "/flashlight/sn_9e0b2773839807ed74f924a309212510/rendering/17.obj", "3.68463921547")</f>
        <v>3.68463921547</v>
      </c>
      <c r="U898" s="35" t="str">
        <f>HYPERLINK(AA2 &amp; "/flashlight/sn_9e0b2773839807ed74f924a309212510/rendering/18.obj", "6.04381895065")</f>
        <v>6.04381895065</v>
      </c>
      <c r="V898" s="159" t="str">
        <f>HYPERLINK(AA2 &amp; "/flashlight/sn_9e0b2773839807ed74f924a309212510/rendering/19.obj", "3.41115140915")</f>
        <v>3.41115140915</v>
      </c>
      <c r="W898" s="12" t="s">
        <v>30</v>
      </c>
      <c r="X898" s="13">
        <v>6.4093627810478209</v>
      </c>
      <c r="Y898" s="13">
        <v>5.9547157055150848</v>
      </c>
      <c r="Z898" s="20">
        <v>0.92906516746452461</v>
      </c>
    </row>
    <row r="899" spans="1:26" x14ac:dyDescent="0.2">
      <c r="A899" s="1">
        <v>897</v>
      </c>
      <c r="B899" s="2" t="s">
        <v>212</v>
      </c>
      <c r="C899" s="90" t="str">
        <f>HYPERLINK(AB2 &amp; "/flashlight/sn_9e0b2773839807ed74f924a309212510/rendering/00.obj", "3.50584503174")</f>
        <v>3.50584503174</v>
      </c>
      <c r="D899" s="55" t="str">
        <f>HYPERLINK(AB2 &amp; "/flashlight/sn_9e0b2773839807ed74f924a309212510/rendering/01.obj", "3.82268188477")</f>
        <v>3.82268188477</v>
      </c>
      <c r="E899" s="33" t="str">
        <f>HYPERLINK(AB2 &amp; "/flashlight/sn_9e0b2773839807ed74f924a309212510/rendering/02.obj", "3.54706176758")</f>
        <v>3.54706176758</v>
      </c>
      <c r="F899" s="235" t="str">
        <f>HYPERLINK(AB2 &amp; "/flashlight/sn_9e0b2773839807ed74f924a309212510/rendering/03.obj", "4.93866882324")</f>
        <v>4.93866882324</v>
      </c>
      <c r="G899" s="134" t="str">
        <f>HYPERLINK(AB2 &amp; "/flashlight/sn_9e0b2773839807ed74f924a309212510/rendering/04.obj", "2.620887146")</f>
        <v>2.620887146</v>
      </c>
      <c r="H899" s="76" t="str">
        <f>HYPERLINK(AB2 &amp; "/flashlight/sn_9e0b2773839807ed74f924a309212510/rendering/05.obj", "2.61790588379")</f>
        <v>2.61790588379</v>
      </c>
      <c r="I899" s="40" t="str">
        <f>HYPERLINK(AB2 &amp; "/flashlight/sn_9e0b2773839807ed74f924a309212510/rendering/06.obj", "2.65776947021")</f>
        <v>2.65776947021</v>
      </c>
      <c r="J899" s="72" t="str">
        <f>HYPERLINK(AB2 &amp; "/flashlight/sn_9e0b2773839807ed74f924a309212510/rendering/07.obj", "3.10067840576")</f>
        <v>3.10067840576</v>
      </c>
      <c r="K899" s="5" t="str">
        <f>HYPERLINK(AB2 &amp; "/flashlight/sn_9e0b2773839807ed74f924a309212510/rendering/08.obj", "3.44649108887")</f>
        <v>3.44649108887</v>
      </c>
      <c r="L899" s="46" t="str">
        <f>HYPERLINK(AB2 &amp; "/flashlight/sn_9e0b2773839807ed74f924a309212510/rendering/09.obj", "3.25679351807")</f>
        <v>3.25679351807</v>
      </c>
      <c r="M899" s="30" t="str">
        <f>HYPERLINK(AB2 &amp; "/flashlight/sn_9e0b2773839807ed74f924a309212510/rendering/10.obj", "3.21753631592")</f>
        <v>3.21753631592</v>
      </c>
      <c r="N899" s="83" t="str">
        <f>HYPERLINK(AB2 &amp; "/flashlight/sn_9e0b2773839807ed74f924a309212510/rendering/11.obj", "2.71293060303")</f>
        <v>2.71293060303</v>
      </c>
      <c r="O899" s="94" t="str">
        <f>HYPERLINK(AB2 &amp; "/flashlight/sn_9e0b2773839807ed74f924a309212510/rendering/12.obj", "3.43436218262")</f>
        <v>3.43436218262</v>
      </c>
      <c r="P899" s="13" t="str">
        <f>HYPERLINK(AB2 &amp; "/flashlight/sn_9e0b2773839807ed74f924a309212510/rendering/13.obj", "3.21267181396")</f>
        <v>3.21267181396</v>
      </c>
      <c r="Q899" s="74" t="str">
        <f>HYPERLINK(AB2 &amp; "/flashlight/sn_9e0b2773839807ed74f924a309212510/rendering/14.obj", "3.1603326416")</f>
        <v>3.1603326416</v>
      </c>
      <c r="R899" s="32" t="str">
        <f>HYPERLINK(AB2 &amp; "/flashlight/sn_9e0b2773839807ed74f924a309212510/rendering/15.obj", "3.53731079102")</f>
        <v>3.53731079102</v>
      </c>
      <c r="S899" s="73" t="str">
        <f>HYPERLINK(AB2 &amp; "/flashlight/sn_9e0b2773839807ed74f924a309212510/rendering/16.obj", "3.08902374268")</f>
        <v>3.08902374268</v>
      </c>
      <c r="T899" s="32" t="str">
        <f>HYPERLINK(AB2 &amp; "/flashlight/sn_9e0b2773839807ed74f924a309212510/rendering/17.obj", "2.86556274414")</f>
        <v>2.86556274414</v>
      </c>
      <c r="U899" s="50" t="str">
        <f>HYPERLINK(AB2 &amp; "/flashlight/sn_9e0b2773839807ed74f924a309212510/rendering/18.obj", "2.5664440918")</f>
        <v>2.5664440918</v>
      </c>
      <c r="V899" s="8" t="str">
        <f>HYPERLINK(AB2 &amp; "/flashlight/sn_9e0b2773839807ed74f924a309212510/rendering/19.obj", "2.74556518555")</f>
        <v>2.74556518555</v>
      </c>
      <c r="W899" s="12" t="s">
        <v>31</v>
      </c>
      <c r="X899" s="13">
        <v>3.2028261566162111</v>
      </c>
      <c r="Y899" s="13">
        <v>0.53882525719249008</v>
      </c>
      <c r="Z899" s="24">
        <v>0.16823431271142089</v>
      </c>
    </row>
    <row r="900" spans="1:26" x14ac:dyDescent="0.2">
      <c r="A900" s="1">
        <v>898</v>
      </c>
      <c r="B900" s="2" t="s">
        <v>212</v>
      </c>
      <c r="C900" s="90" t="str">
        <f>HYPERLINK(AB2 &amp; "/flashlight/sn_9e0b2773839807ed74f924a309212510/rendering/00.obj", "3.40834093094")</f>
        <v>3.40834093094</v>
      </c>
      <c r="D900" s="96" t="str">
        <f>HYPERLINK(AB2 &amp; "/flashlight/sn_9e0b2773839807ed74f924a309212510/rendering/01.obj", "4.23913478851")</f>
        <v>4.23913478851</v>
      </c>
      <c r="E900" s="117" t="str">
        <f>HYPERLINK(AB2 &amp; "/flashlight/sn_9e0b2773839807ed74f924a309212510/rendering/02.obj", "3.66719222069")</f>
        <v>3.66719222069</v>
      </c>
      <c r="F900" s="21" t="str">
        <f>HYPERLINK(AB2 &amp; "/flashlight/sn_9e0b2773839807ed74f924a309212510/rendering/03.obj", "4.83272647858")</f>
        <v>4.83272647858</v>
      </c>
      <c r="G900" s="106" t="str">
        <f>HYPERLINK(AB2 &amp; "/flashlight/sn_9e0b2773839807ed74f924a309212510/rendering/04.obj", "2.75432777405")</f>
        <v>2.75432777405</v>
      </c>
      <c r="H900" s="70" t="str">
        <f>HYPERLINK(AB2 &amp; "/flashlight/sn_9e0b2773839807ed74f924a309212510/rendering/05.obj", "2.71320652962")</f>
        <v>2.71320652962</v>
      </c>
      <c r="I900" s="5" t="str">
        <f>HYPERLINK(AB2 &amp; "/flashlight/sn_9e0b2773839807ed74f924a309212510/rendering/06.obj", "2.87422466278")</f>
        <v>2.87422466278</v>
      </c>
      <c r="J900" s="29" t="str">
        <f>HYPERLINK(AB2 &amp; "/flashlight/sn_9e0b2773839807ed74f924a309212510/rendering/07.obj", "2.71068334579")</f>
        <v>2.71068334579</v>
      </c>
      <c r="K900" s="5" t="str">
        <f>HYPERLINK(AB2 &amp; "/flashlight/sn_9e0b2773839807ed74f924a309212510/rendering/08.obj", "3.35551357269")</f>
        <v>3.35551357269</v>
      </c>
      <c r="L900" s="133" t="str">
        <f>HYPERLINK(AB2 &amp; "/flashlight/sn_9e0b2773839807ed74f924a309212510/rendering/09.obj", "2.7908718586")</f>
        <v>2.7908718586</v>
      </c>
      <c r="M900" s="91" t="str">
        <f>HYPERLINK(AB2 &amp; "/flashlight/sn_9e0b2773839807ed74f924a309212510/rendering/10.obj", "3.1925303936")</f>
        <v>3.1925303936</v>
      </c>
      <c r="N900" s="66" t="str">
        <f>HYPERLINK(AB2 &amp; "/flashlight/sn_9e0b2773839807ed74f924a309212510/rendering/11.obj", "2.60907173157")</f>
        <v>2.60907173157</v>
      </c>
      <c r="O900" s="78" t="str">
        <f>HYPERLINK(AB2 &amp; "/flashlight/sn_9e0b2773839807ed74f924a309212510/rendering/12.obj", "2.92034697533")</f>
        <v>2.92034697533</v>
      </c>
      <c r="P900" s="6" t="str">
        <f>HYPERLINK(AB2 &amp; "/flashlight/sn_9e0b2773839807ed74f924a309212510/rendering/13.obj", "3.25387907028")</f>
        <v>3.25387907028</v>
      </c>
      <c r="Q900" s="51" t="str">
        <f>HYPERLINK(AB2 &amp; "/flashlight/sn_9e0b2773839807ed74f924a309212510/rendering/14.obj", "2.8676378727")</f>
        <v>2.8676378727</v>
      </c>
      <c r="R900" s="68" t="str">
        <f>HYPERLINK(AB2 &amp; "/flashlight/sn_9e0b2773839807ed74f924a309212510/rendering/15.obj", "3.24574947357")</f>
        <v>3.24574947357</v>
      </c>
      <c r="S900" s="106" t="str">
        <f>HYPERLINK(AB2 &amp; "/flashlight/sn_9e0b2773839807ed74f924a309212510/rendering/16.obj", "2.76007223129")</f>
        <v>2.76007223129</v>
      </c>
      <c r="T900" s="133" t="str">
        <f>HYPERLINK(AB2 &amp; "/flashlight/sn_9e0b2773839807ed74f924a309212510/rendering/17.obj", "2.79698395729")</f>
        <v>2.79698395729</v>
      </c>
      <c r="U900" s="79" t="str">
        <f>HYPERLINK(AB2 &amp; "/flashlight/sn_9e0b2773839807ed74f924a309212510/rendering/18.obj", "2.62094092369")</f>
        <v>2.62094092369</v>
      </c>
      <c r="V900" s="80" t="str">
        <f>HYPERLINK(AB2 &amp; "/flashlight/sn_9e0b2773839807ed74f924a309212510/rendering/19.obj", "2.64789700508")</f>
        <v>2.64789700508</v>
      </c>
      <c r="W900" s="12" t="s">
        <v>32</v>
      </c>
      <c r="X900" s="13">
        <v>3.113066589832306</v>
      </c>
      <c r="Y900" s="13">
        <v>0.56426275730975817</v>
      </c>
      <c r="Z900" s="134">
        <v>0.18125624397265261</v>
      </c>
    </row>
    <row r="901" spans="1:26" x14ac:dyDescent="0.2">
      <c r="A901" s="1">
        <v>899</v>
      </c>
      <c r="B901" s="2" t="s">
        <v>212</v>
      </c>
      <c r="C901" s="13" t="str">
        <f>HYPERLINK(AC2 &amp; "/flashlight/sn_9e0b2773839807ed74f924a309212510/rendering/00.xyz", "0.0")</f>
        <v>0.0</v>
      </c>
      <c r="D901" s="13" t="str">
        <f>HYPERLINK(AC2 &amp; "/flashlight/sn_9e0b2773839807ed74f924a309212510/rendering/01.xyz", "0.0")</f>
        <v>0.0</v>
      </c>
      <c r="E901" s="13" t="str">
        <f>HYPERLINK(AC2 &amp; "/flashlight/sn_9e0b2773839807ed74f924a309212510/rendering/02.xyz", "0.0")</f>
        <v>0.0</v>
      </c>
      <c r="F901" s="13" t="str">
        <f>HYPERLINK(AC2 &amp; "/flashlight/sn_9e0b2773839807ed74f924a309212510/rendering/03.xyz", "0.0")</f>
        <v>0.0</v>
      </c>
      <c r="G901" s="13" t="str">
        <f>HYPERLINK(AC2 &amp; "/flashlight/sn_9e0b2773839807ed74f924a309212510/rendering/04.xyz", "0.0")</f>
        <v>0.0</v>
      </c>
      <c r="H901" s="13" t="str">
        <f>HYPERLINK(AC2 &amp; "/flashlight/sn_9e0b2773839807ed74f924a309212510/rendering/05.xyz", "0.0")</f>
        <v>0.0</v>
      </c>
      <c r="I901" s="13" t="str">
        <f>HYPERLINK(AC2 &amp; "/flashlight/sn_9e0b2773839807ed74f924a309212510/rendering/06.xyz", "0.0")</f>
        <v>0.0</v>
      </c>
      <c r="J901" s="13" t="str">
        <f>HYPERLINK(AC2 &amp; "/flashlight/sn_9e0b2773839807ed74f924a309212510/rendering/07.xyz", "0.0")</f>
        <v>0.0</v>
      </c>
      <c r="K901" s="13" t="str">
        <f>HYPERLINK(AC2 &amp; "/flashlight/sn_9e0b2773839807ed74f924a309212510/rendering/08.xyz", "0.0")</f>
        <v>0.0</v>
      </c>
      <c r="L901" s="13" t="str">
        <f>HYPERLINK(AC2 &amp; "/flashlight/sn_9e0b2773839807ed74f924a309212510/rendering/09.xyz", "0.0")</f>
        <v>0.0</v>
      </c>
      <c r="M901" s="13" t="str">
        <f>HYPERLINK(AC2 &amp; "/flashlight/sn_9e0b2773839807ed74f924a309212510/rendering/10.xyz", "0.0")</f>
        <v>0.0</v>
      </c>
      <c r="N901" s="13" t="str">
        <f>HYPERLINK(AC2 &amp; "/flashlight/sn_9e0b2773839807ed74f924a309212510/rendering/11.xyz", "0.0")</f>
        <v>0.0</v>
      </c>
      <c r="O901" s="13" t="str">
        <f>HYPERLINK(AC2 &amp; "/flashlight/sn_9e0b2773839807ed74f924a309212510/rendering/12.xyz", "0.0")</f>
        <v>0.0</v>
      </c>
      <c r="P901" s="13" t="str">
        <f>HYPERLINK(AC2 &amp; "/flashlight/sn_9e0b2773839807ed74f924a309212510/rendering/13.xyz", "0.0")</f>
        <v>0.0</v>
      </c>
      <c r="Q901" s="13" t="str">
        <f>HYPERLINK(AC2 &amp; "/flashlight/sn_9e0b2773839807ed74f924a309212510/rendering/14.xyz", "0.0")</f>
        <v>0.0</v>
      </c>
      <c r="R901" s="13" t="str">
        <f>HYPERLINK(AC2 &amp; "/flashlight/sn_9e0b2773839807ed74f924a309212510/rendering/15.xyz", "0.0")</f>
        <v>0.0</v>
      </c>
      <c r="S901" s="13" t="str">
        <f>HYPERLINK(AC2 &amp; "/flashlight/sn_9e0b2773839807ed74f924a309212510/rendering/16.xyz", "0.0")</f>
        <v>0.0</v>
      </c>
      <c r="T901" s="13" t="str">
        <f>HYPERLINK(AC2 &amp; "/flashlight/sn_9e0b2773839807ed74f924a309212510/rendering/17.xyz", "0.0")</f>
        <v>0.0</v>
      </c>
      <c r="U901" s="13" t="str">
        <f>HYPERLINK(AC2 &amp; "/flashlight/sn_9e0b2773839807ed74f924a309212510/rendering/18.xyz", "0.0")</f>
        <v>0.0</v>
      </c>
      <c r="V901" s="13" t="str">
        <f>HYPERLINK(AC2 &amp; "/flashlight/sn_9e0b2773839807ed74f924a309212510/rendering/19.xyz", "0.0")</f>
        <v>0.0</v>
      </c>
      <c r="W901" s="12" t="s">
        <v>33</v>
      </c>
      <c r="X901" s="13">
        <v>0</v>
      </c>
      <c r="Y901" s="13">
        <v>0</v>
      </c>
      <c r="Z901" s="13">
        <v>0</v>
      </c>
    </row>
    <row r="902" spans="1:26" x14ac:dyDescent="0.2">
      <c r="A902" s="1">
        <v>900</v>
      </c>
      <c r="B902" s="2" t="s">
        <v>213</v>
      </c>
      <c r="C902" s="69" t="str">
        <f>HYPERLINK(AA2 &amp; "/flashlight/sn_a5d35364fad56c9528fb3510ad83287f/rendering/00.obj", "3.93010528564")</f>
        <v>3.93010528564</v>
      </c>
      <c r="D902" s="24" t="str">
        <f>HYPERLINK(AA2 &amp; "/flashlight/sn_a5d35364fad56c9528fb3510ad83287f/rendering/01.obj", "3.37790527344")</f>
        <v>3.37790527344</v>
      </c>
      <c r="E902" s="67" t="str">
        <f>HYPERLINK(AA2 &amp; "/flashlight/sn_a5d35364fad56c9528fb3510ad83287f/rendering/02.obj", "3.67813476562")</f>
        <v>3.67813476562</v>
      </c>
      <c r="F902" s="133" t="str">
        <f>HYPERLINK(AA2 &amp; "/flashlight/sn_a5d35364fad56c9528fb3510ad83287f/rendering/03.obj", "3.64458007813")</f>
        <v>3.64458007813</v>
      </c>
      <c r="G902" s="34" t="str">
        <f>HYPERLINK(AA2 &amp; "/flashlight/sn_a5d35364fad56c9528fb3510ad83287f/rendering/04.obj", "3.85681274414")</f>
        <v>3.85681274414</v>
      </c>
      <c r="H902" s="79" t="str">
        <f>HYPERLINK(AA2 &amp; "/flashlight/sn_a5d35364fad56c9528fb3510ad83287f/rendering/05.obj", "3.40990783691")</f>
        <v>3.40990783691</v>
      </c>
      <c r="I902" s="35" t="str">
        <f>HYPERLINK(AA2 &amp; "/flashlight/sn_a5d35364fad56c9528fb3510ad83287f/rendering/06.obj", "3.82022521973")</f>
        <v>3.82022521973</v>
      </c>
      <c r="J902" s="31" t="str">
        <f>HYPERLINK(AA2 &amp; "/flashlight/sn_a5d35364fad56c9528fb3510ad83287f/rendering/07.obj", "3.42645202637")</f>
        <v>3.42645202637</v>
      </c>
      <c r="K902" s="48" t="str">
        <f>HYPERLINK(AA2 &amp; "/flashlight/sn_a5d35364fad56c9528fb3510ad83287f/rendering/08.obj", "3.96203674316")</f>
        <v>3.96203674316</v>
      </c>
      <c r="L902" s="34" t="str">
        <f>HYPERLINK(AA2 &amp; "/flashlight/sn_a5d35364fad56c9528fb3510ad83287f/rendering/09.obj", "3.85809356689")</f>
        <v>3.85809356689</v>
      </c>
      <c r="M902" s="54" t="str">
        <f>HYPERLINK(AA2 &amp; "/flashlight/sn_a5d35364fad56c9528fb3510ad83287f/rendering/10.obj", "5.3826574707")</f>
        <v>5.3826574707</v>
      </c>
      <c r="N902" s="91" t="str">
        <f>HYPERLINK(AA2 &amp; "/flashlight/sn_a5d35364fad56c9528fb3510ad83287f/rendering/11.obj", "4.16072143555")</f>
        <v>4.16072143555</v>
      </c>
      <c r="O902" s="10" t="str">
        <f>HYPERLINK(AA2 &amp; "/flashlight/sn_a5d35364fad56c9528fb3510ad83287f/rendering/12.obj", "3.82815734863")</f>
        <v>3.82815734863</v>
      </c>
      <c r="P902" s="133" t="str">
        <f>HYPERLINK(AA2 &amp; "/flashlight/sn_a5d35364fad56c9528fb3510ad83287f/rendering/13.obj", "4.46389953613")</f>
        <v>4.46389953613</v>
      </c>
      <c r="Q902" s="110" t="str">
        <f>HYPERLINK(AA2 &amp; "/flashlight/sn_a5d35364fad56c9528fb3510ad83287f/rendering/14.obj", "4.45571960449")</f>
        <v>4.45571960449</v>
      </c>
      <c r="R902" s="77" t="str">
        <f>HYPERLINK(AA2 &amp; "/flashlight/sn_a5d35364fad56c9528fb3510ad83287f/rendering/15.obj", "3.29361083984")</f>
        <v>3.29361083984</v>
      </c>
      <c r="S902" s="46" t="str">
        <f>HYPERLINK(AA2 &amp; "/flashlight/sn_a5d35364fad56c9528fb3510ad83287f/rendering/16.obj", "4.12311523437")</f>
        <v>4.12311523437</v>
      </c>
      <c r="T902" s="174" t="str">
        <f>HYPERLINK(AA2 &amp; "/flashlight/sn_a5d35364fad56c9528fb3510ad83287f/rendering/17.obj", "6.18390014648")</f>
        <v>6.18390014648</v>
      </c>
      <c r="U902" s="51" t="str">
        <f>HYPERLINK(AA2 &amp; "/flashlight/sn_a5d35364fad56c9528fb3510ad83287f/rendering/18.obj", "3.72550476074")</f>
        <v>3.72550476074</v>
      </c>
      <c r="V902" s="32" t="str">
        <f>HYPERLINK(AA2 &amp; "/flashlight/sn_a5d35364fad56c9528fb3510ad83287f/rendering/19.obj", "4.4763168335")</f>
        <v>4.4763168335</v>
      </c>
      <c r="W902" s="12" t="s">
        <v>29</v>
      </c>
      <c r="X902" s="13">
        <v>4.0528928375244142</v>
      </c>
      <c r="Y902" s="13">
        <v>0.68165956254650473</v>
      </c>
      <c r="Z902" s="24">
        <v>0.16819086757864429</v>
      </c>
    </row>
    <row r="903" spans="1:26" x14ac:dyDescent="0.2">
      <c r="A903" s="1">
        <v>901</v>
      </c>
      <c r="B903" s="2" t="s">
        <v>213</v>
      </c>
      <c r="C903" s="23" t="str">
        <f>HYPERLINK(AA2 &amp; "/flashlight/sn_a5d35364fad56c9528fb3510ad83287f/rendering/00.obj", "3.64840483665")</f>
        <v>3.64840483665</v>
      </c>
      <c r="D903" s="166" t="str">
        <f>HYPERLINK(AA2 &amp; "/flashlight/sn_a5d35364fad56c9528fb3510ad83287f/rendering/01.obj", "2.49764251709")</f>
        <v>2.49764251709</v>
      </c>
      <c r="E903" s="103" t="str">
        <f>HYPERLINK(AA2 &amp; "/flashlight/sn_a5d35364fad56c9528fb3510ad83287f/rendering/02.obj", "2.36477160454")</f>
        <v>2.36477160454</v>
      </c>
      <c r="F903" s="64" t="str">
        <f>HYPERLINK(AA2 &amp; "/flashlight/sn_a5d35364fad56c9528fb3510ad83287f/rendering/03.obj", "2.92744731903")</f>
        <v>2.92744731903</v>
      </c>
      <c r="G903" s="6" t="str">
        <f>HYPERLINK(AA2 &amp; "/flashlight/sn_a5d35364fad56c9528fb3510ad83287f/rendering/04.obj", "3.34496235847")</f>
        <v>3.34496235847</v>
      </c>
      <c r="H903" s="96" t="str">
        <f>HYPERLINK(AA2 &amp; "/flashlight/sn_a5d35364fad56c9528fb3510ad83287f/rendering/05.obj", "2.24149656296")</f>
        <v>2.24149656296</v>
      </c>
      <c r="I903" s="113" t="str">
        <f>HYPERLINK(AA2 &amp; "/flashlight/sn_a5d35364fad56c9528fb3510ad83287f/rendering/06.obj", "2.54064559937")</f>
        <v>2.54064559937</v>
      </c>
      <c r="J903" s="77" t="str">
        <f>HYPERLINK(AA2 &amp; "/flashlight/sn_a5d35364fad56c9528fb3510ad83287f/rendering/07.obj", "2.8568444252")</f>
        <v>2.8568444252</v>
      </c>
      <c r="K903" s="107" t="str">
        <f>HYPERLINK(AA2 &amp; "/flashlight/sn_a5d35364fad56c9528fb3510ad83287f/rendering/08.obj", "3.79652070999")</f>
        <v>3.79652070999</v>
      </c>
      <c r="L903" s="68" t="str">
        <f>HYPERLINK(AA2 &amp; "/flashlight/sn_a5d35364fad56c9528fb3510ad83287f/rendering/09.obj", "3.65718126297")</f>
        <v>3.65718126297</v>
      </c>
      <c r="M903" s="20" t="str">
        <f>HYPERLINK(AA2 &amp; "/flashlight/sn_a5d35364fad56c9528fb3510ad83287f/rendering/10.obj", "6.52647781372")</f>
        <v>6.52647781372</v>
      </c>
      <c r="N903" s="87" t="str">
        <f>HYPERLINK(AA2 &amp; "/flashlight/sn_a5d35364fad56c9528fb3510ad83287f/rendering/11.obj", "4.30125331879")</f>
        <v>4.30125331879</v>
      </c>
      <c r="O903" s="170" t="str">
        <f>HYPERLINK(AA2 &amp; "/flashlight/sn_a5d35364fad56c9528fb3510ad83287f/rendering/12.obj", "2.62427830696")</f>
        <v>2.62427830696</v>
      </c>
      <c r="P903" s="11" t="str">
        <f>HYPERLINK(AA2 &amp; "/flashlight/sn_a5d35364fad56c9528fb3510ad83287f/rendering/13.obj", "4.2954955101")</f>
        <v>4.2954955101</v>
      </c>
      <c r="Q903" s="8" t="str">
        <f>HYPERLINK(AA2 &amp; "/flashlight/sn_a5d35364fad56c9528fb3510ad83287f/rendering/14.obj", "4.00814294815")</f>
        <v>4.00814294815</v>
      </c>
      <c r="R903" s="89" t="str">
        <f>HYPERLINK(AA2 &amp; "/flashlight/sn_a5d35364fad56c9528fb3510ad83287f/rendering/15.obj", "2.59608268738")</f>
        <v>2.59608268738</v>
      </c>
      <c r="S903" s="107" t="str">
        <f>HYPERLINK(AA2 &amp; "/flashlight/sn_a5d35364fad56c9528fb3510ad83287f/rendering/16.obj", "3.21591711044")</f>
        <v>3.21591711044</v>
      </c>
      <c r="T903" s="248" t="str">
        <f>HYPERLINK(AA2 &amp; "/flashlight/sn_a5d35364fad56c9528fb3510ad83287f/rendering/17.obj", "5.82013607025")</f>
        <v>5.82013607025</v>
      </c>
      <c r="U903" s="135" t="str">
        <f>HYPERLINK(AA2 &amp; "/flashlight/sn_a5d35364fad56c9528fb3510ad83287f/rendering/18.obj", "2.61267518997")</f>
        <v>2.61267518997</v>
      </c>
      <c r="V903" s="36" t="str">
        <f>HYPERLINK(AA2 &amp; "/flashlight/sn_a5d35364fad56c9528fb3510ad83287f/rendering/19.obj", "4.2659444809")</f>
        <v>4.2659444809</v>
      </c>
      <c r="W903" s="12" t="s">
        <v>30</v>
      </c>
      <c r="X903" s="13">
        <v>3.5071160316467291</v>
      </c>
      <c r="Y903" s="13">
        <v>1.1138021095720101</v>
      </c>
      <c r="Z903" s="176">
        <v>0.31758347871057918</v>
      </c>
    </row>
    <row r="904" spans="1:26" x14ac:dyDescent="0.2">
      <c r="A904" s="1">
        <v>902</v>
      </c>
      <c r="B904" s="2" t="s">
        <v>213</v>
      </c>
      <c r="C904" s="46" t="str">
        <f>HYPERLINK(AB2 &amp; "/flashlight/sn_a5d35364fad56c9528fb3510ad83287f/rendering/00.obj", "2.91421325684")</f>
        <v>2.91421325684</v>
      </c>
      <c r="D904" s="10" t="str">
        <f>HYPERLINK(AB2 &amp; "/flashlight/sn_a5d35364fad56c9528fb3510ad83287f/rendering/01.obj", "3.12932617188")</f>
        <v>3.12932617188</v>
      </c>
      <c r="E904" s="34" t="str">
        <f>HYPERLINK(AB2 &amp; "/flashlight/sn_a5d35364fad56c9528fb3510ad83287f/rendering/02.obj", "2.82474884033")</f>
        <v>2.82474884033</v>
      </c>
      <c r="F904" s="73" t="str">
        <f>HYPERLINK(AB2 &amp; "/flashlight/sn_a5d35364fad56c9528fb3510ad83287f/rendering/03.obj", "2.86380187988")</f>
        <v>2.86380187988</v>
      </c>
      <c r="G904" s="27" t="str">
        <f>HYPERLINK(AB2 &amp; "/flashlight/sn_a5d35364fad56c9528fb3510ad83287f/rendering/04.obj", "3.17486999512")</f>
        <v>3.17486999512</v>
      </c>
      <c r="H904" s="30" t="str">
        <f>HYPERLINK(AB2 &amp; "/flashlight/sn_a5d35364fad56c9528fb3510ad83287f/rendering/05.obj", "2.9838269043")</f>
        <v>2.9838269043</v>
      </c>
      <c r="I904" s="26" t="str">
        <f>HYPERLINK(AB2 &amp; "/flashlight/sn_a5d35364fad56c9528fb3510ad83287f/rendering/06.obj", "2.78115264893")</f>
        <v>2.78115264893</v>
      </c>
      <c r="J904" s="68" t="str">
        <f>HYPERLINK(AB2 &amp; "/flashlight/sn_a5d35364fad56c9528fb3510ad83287f/rendering/07.obj", "2.84143432617")</f>
        <v>2.84143432617</v>
      </c>
      <c r="K904" s="68" t="str">
        <f>HYPERLINK(AB2 &amp; "/flashlight/sn_a5d35364fad56c9528fb3510ad83287f/rendering/08.obj", "3.09028625488")</f>
        <v>3.09028625488</v>
      </c>
      <c r="L904" s="48" t="str">
        <f>HYPERLINK(AB2 &amp; "/flashlight/sn_a5d35364fad56c9528fb3510ad83287f/rendering/09.obj", "3.04277160645")</f>
        <v>3.04277160645</v>
      </c>
      <c r="M904" s="32" t="str">
        <f>HYPERLINK(AB2 &amp; "/flashlight/sn_a5d35364fad56c9528fb3510ad83287f/rendering/10.obj", "3.2820489502")</f>
        <v>3.2820489502</v>
      </c>
      <c r="N904" s="91" t="str">
        <f>HYPERLINK(AB2 &amp; "/flashlight/sn_a5d35364fad56c9528fb3510ad83287f/rendering/11.obj", "2.88627655029")</f>
        <v>2.88627655029</v>
      </c>
      <c r="O904" s="35" t="str">
        <f>HYPERLINK(AB2 &amp; "/flashlight/sn_a5d35364fad56c9528fb3510ad83287f/rendering/12.obj", "2.79984130859")</f>
        <v>2.79984130859</v>
      </c>
      <c r="P904" s="74" t="str">
        <f>HYPERLINK(AB2 &amp; "/flashlight/sn_a5d35364fad56c9528fb3510ad83287f/rendering/13.obj", "3.01325561523")</f>
        <v>3.01325561523</v>
      </c>
      <c r="Q904" s="63" t="str">
        <f>HYPERLINK(AB2 &amp; "/flashlight/sn_a5d35364fad56c9528fb3510ad83287f/rendering/14.obj", "2.61335510254")</f>
        <v>2.61335510254</v>
      </c>
      <c r="R904" s="51" t="str">
        <f>HYPERLINK(AB2 &amp; "/flashlight/sn_a5d35364fad56c9528fb3510ad83287f/rendering/15.obj", "3.20283630371")</f>
        <v>3.20283630371</v>
      </c>
      <c r="S904" s="94" t="str">
        <f>HYPERLINK(AB2 &amp; "/flashlight/sn_a5d35364fad56c9528fb3510ad83287f/rendering/16.obj", "2.75270996094")</f>
        <v>2.75270996094</v>
      </c>
      <c r="T904" s="98" t="str">
        <f>HYPERLINK(AB2 &amp; "/flashlight/sn_a5d35364fad56c9528fb3510ad83287f/rendering/17.obj", "3.65117156982")</f>
        <v>3.65117156982</v>
      </c>
      <c r="U904" s="78" t="str">
        <f>HYPERLINK(AB2 &amp; "/flashlight/sn_a5d35364fad56c9528fb3510ad83287f/rendering/18.obj", "2.78768371582")</f>
        <v>2.78768371582</v>
      </c>
      <c r="V904" s="51" t="str">
        <f>HYPERLINK(AB2 &amp; "/flashlight/sn_a5d35364fad56c9528fb3510ad83287f/rendering/19.obj", "2.73167358398")</f>
        <v>2.73167358398</v>
      </c>
      <c r="W904" s="12" t="s">
        <v>31</v>
      </c>
      <c r="X904" s="13">
        <v>2.9683642272949222</v>
      </c>
      <c r="Y904" s="13">
        <v>0.23375255646054921</v>
      </c>
      <c r="Z904" s="51">
        <v>7.874793608922058E-2</v>
      </c>
    </row>
    <row r="905" spans="1:26" x14ac:dyDescent="0.2">
      <c r="A905" s="1">
        <v>903</v>
      </c>
      <c r="B905" s="2" t="s">
        <v>213</v>
      </c>
      <c r="C905" s="17" t="str">
        <f>HYPERLINK(AB2 &amp; "/flashlight/sn_a5d35364fad56c9528fb3510ad83287f/rendering/00.obj", "2.25330376625")</f>
        <v>2.25330376625</v>
      </c>
      <c r="D905" s="60" t="str">
        <f>HYPERLINK(AB2 &amp; "/flashlight/sn_a5d35364fad56c9528fb3510ad83287f/rendering/01.obj", "2.4170062542")</f>
        <v>2.4170062542</v>
      </c>
      <c r="E905" s="134" t="str">
        <f>HYPERLINK(AB2 &amp; "/flashlight/sn_a5d35364fad56c9528fb3510ad83287f/rendering/02.obj", "1.88750553131")</f>
        <v>1.88750553131</v>
      </c>
      <c r="F905" s="75" t="str">
        <f>HYPERLINK(AB2 &amp; "/flashlight/sn_a5d35364fad56c9528fb3510ad83287f/rendering/03.obj", "1.79519152641")</f>
        <v>1.79519152641</v>
      </c>
      <c r="G905" s="29" t="str">
        <f>HYPERLINK(AB2 &amp; "/flashlight/sn_a5d35364fad56c9528fb3510ad83287f/rendering/04.obj", "2.59976196289")</f>
        <v>2.59976196289</v>
      </c>
      <c r="H905" s="74" t="str">
        <f>HYPERLINK(AB2 &amp; "/flashlight/sn_a5d35364fad56c9528fb3510ad83287f/rendering/05.obj", "2.26971054077")</f>
        <v>2.26971054077</v>
      </c>
      <c r="I905" s="134" t="str">
        <f>HYPERLINK(AB2 &amp; "/flashlight/sn_a5d35364fad56c9528fb3510ad83287f/rendering/06.obj", "1.88878166676")</f>
        <v>1.88878166676</v>
      </c>
      <c r="J905" s="48" t="str">
        <f>HYPERLINK(AB2 &amp; "/flashlight/sn_a5d35364fad56c9528fb3510ad83287f/rendering/07.obj", "2.35625100136")</f>
        <v>2.35625100136</v>
      </c>
      <c r="K905" s="91" t="str">
        <f>HYPERLINK(AB2 &amp; "/flashlight/sn_a5d35364fad56c9528fb3510ad83287f/rendering/08.obj", "2.23939919472")</f>
        <v>2.23939919472</v>
      </c>
      <c r="L905" s="46" t="str">
        <f>HYPERLINK(AB2 &amp; "/flashlight/sn_a5d35364fad56c9528fb3510ad83287f/rendering/09.obj", "2.26201272011")</f>
        <v>2.26201272011</v>
      </c>
      <c r="M905" s="19" t="str">
        <f>HYPERLINK(AB2 &amp; "/flashlight/sn_a5d35364fad56c9528fb3510ad83287f/rendering/10.obj", "2.90632486343")</f>
        <v>2.90632486343</v>
      </c>
      <c r="N905" s="23" t="str">
        <f>HYPERLINK(AB2 &amp; "/flashlight/sn_a5d35364fad56c9528fb3510ad83287f/rendering/11.obj", "2.20861935616")</f>
        <v>2.20861935616</v>
      </c>
      <c r="O905" s="37" t="str">
        <f>HYPERLINK(AB2 &amp; "/flashlight/sn_a5d35364fad56c9528fb3510ad83287f/rendering/12.obj", "1.90131533146")</f>
        <v>1.90131533146</v>
      </c>
      <c r="P905" s="170" t="str">
        <f>HYPERLINK(AB2 &amp; "/flashlight/sn_a5d35364fad56c9528fb3510ad83287f/rendering/13.obj", "2.88164544106")</f>
        <v>2.88164544106</v>
      </c>
      <c r="Q905" s="87" t="str">
        <f>HYPERLINK(AB2 &amp; "/flashlight/sn_a5d35364fad56c9528fb3510ad83287f/rendering/14.obj", "1.77767086029")</f>
        <v>1.77767086029</v>
      </c>
      <c r="R905" s="78" t="str">
        <f>HYPERLINK(AB2 &amp; "/flashlight/sn_a5d35364fad56c9528fb3510ad83287f/rendering/15.obj", "2.44269943237")</f>
        <v>2.44269943237</v>
      </c>
      <c r="S905" s="73" t="str">
        <f>HYPERLINK(AB2 &amp; "/flashlight/sn_a5d35364fad56c9528fb3510ad83287f/rendering/16.obj", "2.38741755486")</f>
        <v>2.38741755486</v>
      </c>
      <c r="T905" s="156" t="str">
        <f>HYPERLINK(AB2 &amp; "/flashlight/sn_a5d35364fad56c9528fb3510ad83287f/rendering/17.obj", "3.33149886131")</f>
        <v>3.33149886131</v>
      </c>
      <c r="U905" s="80" t="str">
        <f>HYPERLINK(AB2 &amp; "/flashlight/sn_a5d35364fad56c9528fb3510ad83287f/rendering/18.obj", "1.96003258228")</f>
        <v>1.96003258228</v>
      </c>
      <c r="V905" s="46" t="str">
        <f>HYPERLINK(AB2 &amp; "/flashlight/sn_a5d35364fad56c9528fb3510ad83287f/rendering/19.obj", "2.2631084919")</f>
        <v>2.2631084919</v>
      </c>
      <c r="W905" s="12" t="s">
        <v>32</v>
      </c>
      <c r="X905" s="13">
        <v>2.3014628469943998</v>
      </c>
      <c r="Y905" s="13">
        <v>0.39140573048555399</v>
      </c>
      <c r="Z905" s="40">
        <v>0.17006823768487561</v>
      </c>
    </row>
    <row r="906" spans="1:26" x14ac:dyDescent="0.2">
      <c r="A906" s="1">
        <v>904</v>
      </c>
      <c r="B906" s="2" t="s">
        <v>213</v>
      </c>
      <c r="C906" s="13" t="str">
        <f>HYPERLINK(AC2 &amp; "/flashlight/sn_a5d35364fad56c9528fb3510ad83287f/rendering/00.xyz", "0.0")</f>
        <v>0.0</v>
      </c>
      <c r="D906" s="13" t="str">
        <f>HYPERLINK(AC2 &amp; "/flashlight/sn_a5d35364fad56c9528fb3510ad83287f/rendering/01.xyz", "0.0")</f>
        <v>0.0</v>
      </c>
      <c r="E906" s="13" t="str">
        <f>HYPERLINK(AC2 &amp; "/flashlight/sn_a5d35364fad56c9528fb3510ad83287f/rendering/02.xyz", "0.0")</f>
        <v>0.0</v>
      </c>
      <c r="F906" s="13" t="str">
        <f>HYPERLINK(AC2 &amp; "/flashlight/sn_a5d35364fad56c9528fb3510ad83287f/rendering/03.xyz", "0.0")</f>
        <v>0.0</v>
      </c>
      <c r="G906" s="13" t="str">
        <f>HYPERLINK(AC2 &amp; "/flashlight/sn_a5d35364fad56c9528fb3510ad83287f/rendering/04.xyz", "0.0")</f>
        <v>0.0</v>
      </c>
      <c r="H906" s="13" t="str">
        <f>HYPERLINK(AC2 &amp; "/flashlight/sn_a5d35364fad56c9528fb3510ad83287f/rendering/05.xyz", "0.0")</f>
        <v>0.0</v>
      </c>
      <c r="I906" s="13" t="str">
        <f>HYPERLINK(AC2 &amp; "/flashlight/sn_a5d35364fad56c9528fb3510ad83287f/rendering/06.xyz", "0.0")</f>
        <v>0.0</v>
      </c>
      <c r="J906" s="13" t="str">
        <f>HYPERLINK(AC2 &amp; "/flashlight/sn_a5d35364fad56c9528fb3510ad83287f/rendering/07.xyz", "0.0")</f>
        <v>0.0</v>
      </c>
      <c r="K906" s="13" t="str">
        <f>HYPERLINK(AC2 &amp; "/flashlight/sn_a5d35364fad56c9528fb3510ad83287f/rendering/08.xyz", "0.0")</f>
        <v>0.0</v>
      </c>
      <c r="L906" s="13" t="str">
        <f>HYPERLINK(AC2 &amp; "/flashlight/sn_a5d35364fad56c9528fb3510ad83287f/rendering/09.xyz", "0.0")</f>
        <v>0.0</v>
      </c>
      <c r="M906" s="13" t="str">
        <f>HYPERLINK(AC2 &amp; "/flashlight/sn_a5d35364fad56c9528fb3510ad83287f/rendering/10.xyz", "0.0")</f>
        <v>0.0</v>
      </c>
      <c r="N906" s="13" t="str">
        <f>HYPERLINK(AC2 &amp; "/flashlight/sn_a5d35364fad56c9528fb3510ad83287f/rendering/11.xyz", "0.0")</f>
        <v>0.0</v>
      </c>
      <c r="O906" s="13" t="str">
        <f>HYPERLINK(AC2 &amp; "/flashlight/sn_a5d35364fad56c9528fb3510ad83287f/rendering/12.xyz", "0.0")</f>
        <v>0.0</v>
      </c>
      <c r="P906" s="13" t="str">
        <f>HYPERLINK(AC2 &amp; "/flashlight/sn_a5d35364fad56c9528fb3510ad83287f/rendering/13.xyz", "0.0")</f>
        <v>0.0</v>
      </c>
      <c r="Q906" s="13" t="str">
        <f>HYPERLINK(AC2 &amp; "/flashlight/sn_a5d35364fad56c9528fb3510ad83287f/rendering/14.xyz", "0.0")</f>
        <v>0.0</v>
      </c>
      <c r="R906" s="13" t="str">
        <f>HYPERLINK(AC2 &amp; "/flashlight/sn_a5d35364fad56c9528fb3510ad83287f/rendering/15.xyz", "0.0")</f>
        <v>0.0</v>
      </c>
      <c r="S906" s="13" t="str">
        <f>HYPERLINK(AC2 &amp; "/flashlight/sn_a5d35364fad56c9528fb3510ad83287f/rendering/16.xyz", "0.0")</f>
        <v>0.0</v>
      </c>
      <c r="T906" s="13" t="str">
        <f>HYPERLINK(AC2 &amp; "/flashlight/sn_a5d35364fad56c9528fb3510ad83287f/rendering/17.xyz", "0.0")</f>
        <v>0.0</v>
      </c>
      <c r="U906" s="13" t="str">
        <f>HYPERLINK(AC2 &amp; "/flashlight/sn_a5d35364fad56c9528fb3510ad83287f/rendering/18.xyz", "0.0")</f>
        <v>0.0</v>
      </c>
      <c r="V906" s="13" t="str">
        <f>HYPERLINK(AC2 &amp; "/flashlight/sn_a5d35364fad56c9528fb3510ad83287f/rendering/19.xyz", "0.0")</f>
        <v>0.0</v>
      </c>
      <c r="W906" s="12" t="s">
        <v>33</v>
      </c>
      <c r="X906" s="13">
        <v>0</v>
      </c>
      <c r="Y906" s="13">
        <v>0</v>
      </c>
      <c r="Z906" s="13">
        <v>0</v>
      </c>
    </row>
    <row r="907" spans="1:26" x14ac:dyDescent="0.2">
      <c r="A907" s="1">
        <v>905</v>
      </c>
      <c r="B907" s="2" t="s">
        <v>214</v>
      </c>
      <c r="C907" s="121" t="str">
        <f>HYPERLINK(AA2 &amp; "/flashlight/sn_a8474f08cc757ad9e0480c954dcd56d1/rendering/00.obj", "6.53920715332")</f>
        <v>6.53920715332</v>
      </c>
      <c r="D907" s="98" t="str">
        <f>HYPERLINK(AA2 &amp; "/flashlight/sn_a8474f08cc757ad9e0480c954dcd56d1/rendering/01.obj", "3.71904144287")</f>
        <v>3.71904144287</v>
      </c>
      <c r="E907" s="91" t="str">
        <f>HYPERLINK(AA2 &amp; "/flashlight/sn_a8474f08cc757ad9e0480c954dcd56d1/rendering/02.obj", "4.71031097412")</f>
        <v>4.71031097412</v>
      </c>
      <c r="F907" s="42" t="str">
        <f>HYPERLINK(AA2 &amp; "/flashlight/sn_a8474f08cc757ad9e0480c954dcd56d1/rendering/03.obj", "5.49607177734")</f>
        <v>5.49607177734</v>
      </c>
      <c r="G907" s="198" t="str">
        <f>HYPERLINK(AA2 &amp; "/flashlight/sn_a8474f08cc757ad9e0480c954dcd56d1/rendering/04.obj", "2.96484619141")</f>
        <v>2.96484619141</v>
      </c>
      <c r="H907" s="58" t="str">
        <f>HYPERLINK(AA2 &amp; "/flashlight/sn_a8474f08cc757ad9e0480c954dcd56d1/rendering/05.obj", "6.01462890625")</f>
        <v>6.01462890625</v>
      </c>
      <c r="I907" s="28" t="str">
        <f>HYPERLINK(AA2 &amp; "/flashlight/sn_a8474f08cc757ad9e0480c954dcd56d1/rendering/06.obj", "4.29037719727")</f>
        <v>4.29037719727</v>
      </c>
      <c r="J907" s="57" t="str">
        <f>HYPERLINK(AA2 &amp; "/flashlight/sn_a8474f08cc757ad9e0480c954dcd56d1/rendering/07.obj", "3.3069921875")</f>
        <v>3.3069921875</v>
      </c>
      <c r="K907" s="20" t="str">
        <f>HYPERLINK(AA2 &amp; "/flashlight/sn_a8474f08cc757ad9e0480c954dcd56d1/rendering/08.obj", "8.79429260254")</f>
        <v>8.79429260254</v>
      </c>
      <c r="L907" s="90" t="str">
        <f>HYPERLINK(AA2 &amp; "/flashlight/sn_a8474f08cc757ad9e0480c954dcd56d1/rendering/09.obj", "4.37594543457")</f>
        <v>4.37594543457</v>
      </c>
      <c r="M907" s="13" t="str">
        <f>HYPERLINK(AA2 &amp; "/flashlight/sn_a8474f08cc757ad9e0480c954dcd56d1/rendering/10.obj", "4.83258880615")</f>
        <v>4.83258880615</v>
      </c>
      <c r="N907" s="169" t="str">
        <f>HYPERLINK(AA2 &amp; "/flashlight/sn_a8474f08cc757ad9e0480c954dcd56d1/rendering/11.obj", "3.32422058105")</f>
        <v>3.32422058105</v>
      </c>
      <c r="O907" s="209" t="str">
        <f>HYPERLINK(AA2 &amp; "/flashlight/sn_a8474f08cc757ad9e0480c954dcd56d1/rendering/12.obj", "8.49362304687")</f>
        <v>8.49362304687</v>
      </c>
      <c r="P907" s="61" t="str">
        <f>HYPERLINK(AA2 &amp; "/flashlight/sn_a8474f08cc757ad9e0480c954dcd56d1/rendering/13.obj", "6.29821838379")</f>
        <v>6.29821838379</v>
      </c>
      <c r="Q907" s="167" t="str">
        <f>HYPERLINK(AA2 &amp; "/flashlight/sn_a8474f08cc757ad9e0480c954dcd56d1/rendering/14.obj", "7.7503515625")</f>
        <v>7.7503515625</v>
      </c>
      <c r="R907" s="51" t="str">
        <f>HYPERLINK(AA2 &amp; "/flashlight/sn_a8474f08cc757ad9e0480c954dcd56d1/rendering/15.obj", "4.44543029785")</f>
        <v>4.44543029785</v>
      </c>
      <c r="S907" s="213" t="str">
        <f>HYPERLINK(AA2 &amp; "/flashlight/sn_a8474f08cc757ad9e0480c954dcd56d1/rendering/16.obj", "2.44105377197")</f>
        <v>2.44105377197</v>
      </c>
      <c r="T907" s="172" t="str">
        <f>HYPERLINK(AA2 &amp; "/flashlight/sn_a8474f08cc757ad9e0480c954dcd56d1/rendering/17.obj", "2.98276641846")</f>
        <v>2.98276641846</v>
      </c>
      <c r="U907" s="212" t="str">
        <f>HYPERLINK(AA2 &amp; "/flashlight/sn_a8474f08cc757ad9e0480c954dcd56d1/rendering/18.obj", "2.74068878174")</f>
        <v>2.74068878174</v>
      </c>
      <c r="V907" s="121" t="str">
        <f>HYPERLINK(AA2 &amp; "/flashlight/sn_a8474f08cc757ad9e0480c954dcd56d1/rendering/19.obj", "3.12586669922")</f>
        <v>3.12586669922</v>
      </c>
      <c r="W907" s="12" t="s">
        <v>29</v>
      </c>
      <c r="X907" s="13">
        <v>4.8323261108398441</v>
      </c>
      <c r="Y907" s="13">
        <v>1.8833256538941501</v>
      </c>
      <c r="Z907" s="128">
        <v>0.38973480073488542</v>
      </c>
    </row>
    <row r="908" spans="1:26" x14ac:dyDescent="0.2">
      <c r="A908" s="1">
        <v>906</v>
      </c>
      <c r="B908" s="2" t="s">
        <v>214</v>
      </c>
      <c r="C908" s="235" t="str">
        <f>HYPERLINK(AA2 &amp; "/flashlight/sn_a8474f08cc757ad9e0480c954dcd56d1/rendering/00.obj", "31.4378623962")</f>
        <v>31.4378623962</v>
      </c>
      <c r="D908" s="15" t="str">
        <f>HYPERLINK(AA2 &amp; "/flashlight/sn_a8474f08cc757ad9e0480c954dcd56d1/rendering/01.obj", "10.0852460861")</f>
        <v>10.0852460861</v>
      </c>
      <c r="E908" s="19" t="str">
        <f>HYPERLINK(AA2 &amp; "/flashlight/sn_a8474f08cc757ad9e0480c954dcd56d1/rendering/02.obj", "15.0563611984")</f>
        <v>15.0563611984</v>
      </c>
      <c r="F908" s="136" t="str">
        <f>HYPERLINK(AA2 &amp; "/flashlight/sn_a8474f08cc757ad9e0480c954dcd56d1/rendering/03.obj", "25.1982860565")</f>
        <v>25.1982860565</v>
      </c>
      <c r="G908" s="240" t="str">
        <f>HYPERLINK(AA2 &amp; "/flashlight/sn_a8474f08cc757ad9e0480c954dcd56d1/rendering/04.obj", "7.07443809509")</f>
        <v>7.07443809509</v>
      </c>
      <c r="H908" s="49" t="str">
        <f>HYPERLINK(AA2 &amp; "/flashlight/sn_a8474f08cc757ad9e0480c954dcd56d1/rendering/05.obj", "24.6599903107")</f>
        <v>24.6599903107</v>
      </c>
      <c r="I908" s="43" t="str">
        <f>HYPERLINK(AA2 &amp; "/flashlight/sn_a8474f08cc757ad9e0480c954dcd56d1/rendering/06.obj", "12.7203559875")</f>
        <v>12.7203559875</v>
      </c>
      <c r="J908" s="105" t="str">
        <f>HYPERLINK(AA2 &amp; "/flashlight/sn_a8474f08cc757ad9e0480c954dcd56d1/rendering/07.obj", "9.93891811371")</f>
        <v>9.93891811371</v>
      </c>
      <c r="K908" s="20" t="str">
        <f>HYPERLINK(AA2 &amp; "/flashlight/sn_a8474f08cc757ad9e0480c954dcd56d1/rendering/08.obj", "64.0963745117")</f>
        <v>64.0963745117</v>
      </c>
      <c r="L908" s="182" t="str">
        <f>HYPERLINK(AA2 &amp; "/flashlight/sn_a8474f08cc757ad9e0480c954dcd56d1/rendering/09.obj", "13.5556020737")</f>
        <v>13.5556020737</v>
      </c>
      <c r="M908" s="61" t="str">
        <f>HYPERLINK(AA2 &amp; "/flashlight/sn_a8474f08cc757ad9e0480c954dcd56d1/rendering/10.obj", "14.1937150955")</f>
        <v>14.1937150955</v>
      </c>
      <c r="N908" s="213" t="str">
        <f>HYPERLINK(AA2 &amp; "/flashlight/sn_a8474f08cc757ad9e0480c954dcd56d1/rendering/11.obj", "10.3283433914")</f>
        <v>10.3283433914</v>
      </c>
      <c r="O908" s="246" t="str">
        <f>HYPERLINK(AA2 &amp; "/flashlight/sn_a8474f08cc757ad9e0480c954dcd56d1/rendering/12.obj", "32.8283424377")</f>
        <v>32.8283424377</v>
      </c>
      <c r="P908" s="257" t="str">
        <f>HYPERLINK(AA2 &amp; "/flashlight/sn_a8474f08cc757ad9e0480c954dcd56d1/rendering/13.obj", "34.9260177612")</f>
        <v>34.9260177612</v>
      </c>
      <c r="Q908" s="20" t="str">
        <f>HYPERLINK(AA2 &amp; "/flashlight/sn_a8474f08cc757ad9e0480c954dcd56d1/rendering/14.obj", "53.4702415466")</f>
        <v>53.4702415466</v>
      </c>
      <c r="R908" s="56" t="str">
        <f>HYPERLINK(AA2 &amp; "/flashlight/sn_a8474f08cc757ad9e0480c954dcd56d1/rendering/15.obj", "14.0626134872")</f>
        <v>14.0626134872</v>
      </c>
      <c r="S908" s="245" t="str">
        <f>HYPERLINK(AA2 &amp; "/flashlight/sn_a8474f08cc757ad9e0480c954dcd56d1/rendering/16.obj", "5.68195915222")</f>
        <v>5.68195915222</v>
      </c>
      <c r="T908" s="150" t="str">
        <f>HYPERLINK(AA2 &amp; "/flashlight/sn_a8474f08cc757ad9e0480c954dcd56d1/rendering/17.obj", "9.4193649292")</f>
        <v>9.4193649292</v>
      </c>
      <c r="U908" s="164" t="str">
        <f>HYPERLINK(AA2 &amp; "/flashlight/sn_a8474f08cc757ad9e0480c954dcd56d1/rendering/18.obj", "7.4407286644")</f>
        <v>7.4407286644</v>
      </c>
      <c r="V908" s="162" t="str">
        <f>HYPERLINK(AA2 &amp; "/flashlight/sn_a8474f08cc757ad9e0480c954dcd56d1/rendering/19.obj", "11.7206087112")</f>
        <v>11.7206087112</v>
      </c>
      <c r="W908" s="12" t="s">
        <v>30</v>
      </c>
      <c r="X908" s="13">
        <v>20.394768500328059</v>
      </c>
      <c r="Y908" s="13">
        <v>15.52393689534275</v>
      </c>
      <c r="Z908" s="258">
        <v>0.76117249848131563</v>
      </c>
    </row>
    <row r="909" spans="1:26" x14ac:dyDescent="0.2">
      <c r="A909" s="1">
        <v>907</v>
      </c>
      <c r="B909" s="2" t="s">
        <v>214</v>
      </c>
      <c r="C909" s="83" t="str">
        <f>HYPERLINK(AB2 &amp; "/flashlight/sn_a8474f08cc757ad9e0480c954dcd56d1/rendering/00.obj", "2.2363583374")</f>
        <v>2.2363583374</v>
      </c>
      <c r="D909" s="80" t="str">
        <f>HYPERLINK(AB2 &amp; "/flashlight/sn_a8474f08cc757ad9e0480c954dcd56d1/rendering/01.obj", "2.24151153564")</f>
        <v>2.24151153564</v>
      </c>
      <c r="E909" s="39" t="str">
        <f>HYPERLINK(AB2 &amp; "/flashlight/sn_a8474f08cc757ad9e0480c954dcd56d1/rendering/02.obj", "2.86390899658")</f>
        <v>2.86390899658</v>
      </c>
      <c r="F909" s="25" t="str">
        <f>HYPERLINK(AB2 &amp; "/flashlight/sn_a8474f08cc757ad9e0480c954dcd56d1/rendering/03.obj", "2.66846435547")</f>
        <v>2.66846435547</v>
      </c>
      <c r="G909" s="47" t="str">
        <f>HYPERLINK(AB2 &amp; "/flashlight/sn_a8474f08cc757ad9e0480c954dcd56d1/rendering/04.obj", "2.65717681885")</f>
        <v>2.65717681885</v>
      </c>
      <c r="H909" s="92" t="str">
        <f>HYPERLINK(AB2 &amp; "/flashlight/sn_a8474f08cc757ad9e0480c954dcd56d1/rendering/05.obj", "2.31017578125")</f>
        <v>2.31017578125</v>
      </c>
      <c r="I909" s="28" t="str">
        <f>HYPERLINK(AB2 &amp; "/flashlight/sn_a8474f08cc757ad9e0480c954dcd56d1/rendering/06.obj", "2.34384063721")</f>
        <v>2.34384063721</v>
      </c>
      <c r="J909" s="109" t="str">
        <f>HYPERLINK(AB2 &amp; "/flashlight/sn_a8474f08cc757ad9e0480c954dcd56d1/rendering/07.obj", "3.13985900879")</f>
        <v>3.13985900879</v>
      </c>
      <c r="K909" s="60" t="str">
        <f>HYPERLINK(AB2 &amp; "/flashlight/sn_a8474f08cc757ad9e0480c954dcd56d1/rendering/08.obj", "2.49739776611")</f>
        <v>2.49739776611</v>
      </c>
      <c r="L909" s="81" t="str">
        <f>HYPERLINK(AB2 &amp; "/flashlight/sn_a8474f08cc757ad9e0480c954dcd56d1/rendering/09.obj", "3.21149291992")</f>
        <v>3.21149291992</v>
      </c>
      <c r="M909" s="34" t="str">
        <f>HYPERLINK(AB2 &amp; "/flashlight/sn_a8474f08cc757ad9e0480c954dcd56d1/rendering/10.obj", "2.50967849731")</f>
        <v>2.50967849731</v>
      </c>
      <c r="N909" s="74" t="str">
        <f>HYPERLINK(AB2 &amp; "/flashlight/sn_a8474f08cc757ad9e0480c954dcd56d1/rendering/11.obj", "2.59911437988")</f>
        <v>2.59911437988</v>
      </c>
      <c r="O909" s="73" t="str">
        <f>HYPERLINK(AB2 &amp; "/flashlight/sn_a8474f08cc757ad9e0480c954dcd56d1/rendering/12.obj", "2.53673980713")</f>
        <v>2.53673980713</v>
      </c>
      <c r="P909" s="46" t="str">
        <f>HYPERLINK(AB2 &amp; "/flashlight/sn_a8474f08cc757ad9e0480c954dcd56d1/rendering/13.obj", "2.59124237061")</f>
        <v>2.59124237061</v>
      </c>
      <c r="Q909" s="50" t="str">
        <f>HYPERLINK(AB2 &amp; "/flashlight/sn_a8474f08cc757ad9e0480c954dcd56d1/rendering/14.obj", "3.15817321777")</f>
        <v>3.15817321777</v>
      </c>
      <c r="R909" s="71" t="str">
        <f>HYPERLINK(AB2 &amp; "/flashlight/sn_a8474f08cc757ad9e0480c954dcd56d1/rendering/15.obj", "2.94997253418")</f>
        <v>2.94997253418</v>
      </c>
      <c r="S909" s="67" t="str">
        <f>HYPERLINK(AB2 &amp; "/flashlight/sn_a8474f08cc757ad9e0480c954dcd56d1/rendering/16.obj", "2.87707550049")</f>
        <v>2.87707550049</v>
      </c>
      <c r="T909" s="34" t="str">
        <f>HYPERLINK(AB2 &amp; "/flashlight/sn_a8474f08cc757ad9e0480c954dcd56d1/rendering/17.obj", "2.50780197144")</f>
        <v>2.50780197144</v>
      </c>
      <c r="U909" s="64" t="str">
        <f>HYPERLINK(AB2 &amp; "/flashlight/sn_a8474f08cc757ad9e0480c954dcd56d1/rendering/18.obj", "3.0733291626")</f>
        <v>3.0733291626</v>
      </c>
      <c r="V909" s="138" t="str">
        <f>HYPERLINK(AB2 &amp; "/flashlight/sn_a8474f08cc757ad9e0480c954dcd56d1/rendering/19.obj", "1.74507537842")</f>
        <v>1.74507537842</v>
      </c>
      <c r="W909" s="12" t="s">
        <v>31</v>
      </c>
      <c r="X909" s="13">
        <v>2.635919448852539</v>
      </c>
      <c r="Y909" s="13">
        <v>0.3622531717431392</v>
      </c>
      <c r="Z909" s="42">
        <v>0.13742953029191929</v>
      </c>
    </row>
    <row r="910" spans="1:26" x14ac:dyDescent="0.2">
      <c r="A910" s="1">
        <v>908</v>
      </c>
      <c r="B910" s="2" t="s">
        <v>214</v>
      </c>
      <c r="C910" s="93" t="str">
        <f>HYPERLINK(AB2 &amp; "/flashlight/sn_a8474f08cc757ad9e0480c954dcd56d1/rendering/00.obj", "6.12056112289")</f>
        <v>6.12056112289</v>
      </c>
      <c r="D910" s="63" t="str">
        <f>HYPERLINK(AB2 &amp; "/flashlight/sn_a8474f08cc757ad9e0480c954dcd56d1/rendering/01.obj", "6.24209976196")</f>
        <v>6.24209976196</v>
      </c>
      <c r="E910" s="27" t="str">
        <f>HYPERLINK(AB2 &amp; "/flashlight/sn_a8474f08cc757ad9e0480c954dcd56d1/rendering/02.obj", "7.6001958847")</f>
        <v>7.6001958847</v>
      </c>
      <c r="F910" s="49" t="str">
        <f>HYPERLINK(AB2 &amp; "/flashlight/sn_a8474f08cc757ad9e0480c954dcd56d1/rendering/03.obj", "8.58718681335")</f>
        <v>8.58718681335</v>
      </c>
      <c r="G910" s="73" t="str">
        <f>HYPERLINK(AB2 &amp; "/flashlight/sn_a8474f08cc757ad9e0480c954dcd56d1/rendering/04.obj", "6.84503555298")</f>
        <v>6.84503555298</v>
      </c>
      <c r="H910" s="33" t="str">
        <f>HYPERLINK(AB2 &amp; "/flashlight/sn_a8474f08cc757ad9e0480c954dcd56d1/rendering/05.obj", "6.3413901329")</f>
        <v>6.3413901329</v>
      </c>
      <c r="I910" s="30" t="str">
        <f>HYPERLINK(AB2 &amp; "/flashlight/sn_a8474f08cc757ad9e0480c954dcd56d1/rendering/06.obj", "7.07269668579")</f>
        <v>7.07269668579</v>
      </c>
      <c r="J910" s="60" t="str">
        <f>HYPERLINK(AB2 &amp; "/flashlight/sn_a8474f08cc757ad9e0480c954dcd56d1/rendering/07.obj", "7.46294641495")</f>
        <v>7.46294641495</v>
      </c>
      <c r="K910" s="110" t="str">
        <f>HYPERLINK(AB2 &amp; "/flashlight/sn_a8474f08cc757ad9e0480c954dcd56d1/rendering/08.obj", "6.4086022377")</f>
        <v>6.4086022377</v>
      </c>
      <c r="L910" s="119" t="str">
        <f>HYPERLINK(AB2 &amp; "/flashlight/sn_a8474f08cc757ad9e0480c954dcd56d1/rendering/09.obj", "8.98162460327")</f>
        <v>8.98162460327</v>
      </c>
      <c r="M910" s="47" t="str">
        <f>HYPERLINK(AB2 &amp; "/flashlight/sn_a8474f08cc757ad9e0480c954dcd56d1/rendering/10.obj", "7.15115880966")</f>
        <v>7.15115880966</v>
      </c>
      <c r="N910" s="6" t="str">
        <f>HYPERLINK(AB2 &amp; "/flashlight/sn_a8474f08cc757ad9e0480c954dcd56d1/rendering/11.obj", "6.77916765213")</f>
        <v>6.77916765213</v>
      </c>
      <c r="O910" s="83" t="str">
        <f>HYPERLINK(AB2 &amp; "/flashlight/sn_a8474f08cc757ad9e0480c954dcd56d1/rendering/12.obj", "6.03301095963")</f>
        <v>6.03301095963</v>
      </c>
      <c r="P910" s="93" t="str">
        <f>HYPERLINK(AB2 &amp; "/flashlight/sn_a8474f08cc757ad9e0480c954dcd56d1/rendering/13.obj", "6.10583496094")</f>
        <v>6.10583496094</v>
      </c>
      <c r="Q910" s="34" t="str">
        <f>HYPERLINK(AB2 &amp; "/flashlight/sn_a8474f08cc757ad9e0480c954dcd56d1/rendering/14.obj", "7.44893360138")</f>
        <v>7.44893360138</v>
      </c>
      <c r="R910" s="42" t="str">
        <f>HYPERLINK(AB2 &amp; "/flashlight/sn_a8474f08cc757ad9e0480c954dcd56d1/rendering/15.obj", "8.07102775574")</f>
        <v>8.07102775574</v>
      </c>
      <c r="S910" s="25" t="str">
        <f>HYPERLINK(AB2 &amp; "/flashlight/sn_a8474f08cc757ad9e0480c954dcd56d1/rendering/16.obj", "7.17285203934")</f>
        <v>7.17285203934</v>
      </c>
      <c r="T910" s="179" t="str">
        <f>HYPERLINK(AB2 &amp; "/flashlight/sn_a8474f08cc757ad9e0480c954dcd56d1/rendering/17.obj", "10.1476926804")</f>
        <v>10.1476926804</v>
      </c>
      <c r="U910" s="72" t="str">
        <f>HYPERLINK(AB2 &amp; "/flashlight/sn_a8474f08cc757ad9e0480c954dcd56d1/rendering/18.obj", "7.33099937439")</f>
        <v>7.33099937439</v>
      </c>
      <c r="V910" s="152" t="str">
        <f>HYPERLINK(AB2 &amp; "/flashlight/sn_a8474f08cc757ad9e0480c954dcd56d1/rendering/19.obj", "4.21116352081")</f>
        <v>4.21116352081</v>
      </c>
      <c r="W910" s="12" t="s">
        <v>32</v>
      </c>
      <c r="X910" s="13">
        <v>7.1057090282440187</v>
      </c>
      <c r="Y910" s="13">
        <v>1.2234700716072291</v>
      </c>
      <c r="Z910" s="40">
        <v>0.1721812794112646</v>
      </c>
    </row>
    <row r="911" spans="1:26" x14ac:dyDescent="0.2">
      <c r="A911" s="1">
        <v>909</v>
      </c>
      <c r="B911" s="2" t="s">
        <v>214</v>
      </c>
      <c r="C911" s="13" t="str">
        <f>HYPERLINK(AC2 &amp; "/flashlight/sn_a8474f08cc757ad9e0480c954dcd56d1/rendering/00.xyz", "0.0")</f>
        <v>0.0</v>
      </c>
      <c r="D911" s="13" t="str">
        <f>HYPERLINK(AC2 &amp; "/flashlight/sn_a8474f08cc757ad9e0480c954dcd56d1/rendering/01.xyz", "0.0")</f>
        <v>0.0</v>
      </c>
      <c r="E911" s="13" t="str">
        <f>HYPERLINK(AC2 &amp; "/flashlight/sn_a8474f08cc757ad9e0480c954dcd56d1/rendering/02.xyz", "0.0")</f>
        <v>0.0</v>
      </c>
      <c r="F911" s="13" t="str">
        <f>HYPERLINK(AC2 &amp; "/flashlight/sn_a8474f08cc757ad9e0480c954dcd56d1/rendering/03.xyz", "0.0")</f>
        <v>0.0</v>
      </c>
      <c r="G911" s="13" t="str">
        <f>HYPERLINK(AC2 &amp; "/flashlight/sn_a8474f08cc757ad9e0480c954dcd56d1/rendering/04.xyz", "0.0")</f>
        <v>0.0</v>
      </c>
      <c r="H911" s="13" t="str">
        <f>HYPERLINK(AC2 &amp; "/flashlight/sn_a8474f08cc757ad9e0480c954dcd56d1/rendering/05.xyz", "0.0")</f>
        <v>0.0</v>
      </c>
      <c r="I911" s="13" t="str">
        <f>HYPERLINK(AC2 &amp; "/flashlight/sn_a8474f08cc757ad9e0480c954dcd56d1/rendering/06.xyz", "0.0")</f>
        <v>0.0</v>
      </c>
      <c r="J911" s="13" t="str">
        <f>HYPERLINK(AC2 &amp; "/flashlight/sn_a8474f08cc757ad9e0480c954dcd56d1/rendering/07.xyz", "0.0")</f>
        <v>0.0</v>
      </c>
      <c r="K911" s="13" t="str">
        <f>HYPERLINK(AC2 &amp; "/flashlight/sn_a8474f08cc757ad9e0480c954dcd56d1/rendering/08.xyz", "0.0")</f>
        <v>0.0</v>
      </c>
      <c r="L911" s="13" t="str">
        <f>HYPERLINK(AC2 &amp; "/flashlight/sn_a8474f08cc757ad9e0480c954dcd56d1/rendering/09.xyz", "0.0")</f>
        <v>0.0</v>
      </c>
      <c r="M911" s="13" t="str">
        <f>HYPERLINK(AC2 &amp; "/flashlight/sn_a8474f08cc757ad9e0480c954dcd56d1/rendering/10.xyz", "0.0")</f>
        <v>0.0</v>
      </c>
      <c r="N911" s="13" t="str">
        <f>HYPERLINK(AC2 &amp; "/flashlight/sn_a8474f08cc757ad9e0480c954dcd56d1/rendering/11.xyz", "0.0")</f>
        <v>0.0</v>
      </c>
      <c r="O911" s="13" t="str">
        <f>HYPERLINK(AC2 &amp; "/flashlight/sn_a8474f08cc757ad9e0480c954dcd56d1/rendering/12.xyz", "0.0")</f>
        <v>0.0</v>
      </c>
      <c r="P911" s="13" t="str">
        <f>HYPERLINK(AC2 &amp; "/flashlight/sn_a8474f08cc757ad9e0480c954dcd56d1/rendering/13.xyz", "0.0")</f>
        <v>0.0</v>
      </c>
      <c r="Q911" s="13" t="str">
        <f>HYPERLINK(AC2 &amp; "/flashlight/sn_a8474f08cc757ad9e0480c954dcd56d1/rendering/14.xyz", "0.0")</f>
        <v>0.0</v>
      </c>
      <c r="R911" s="13" t="str">
        <f>HYPERLINK(AC2 &amp; "/flashlight/sn_a8474f08cc757ad9e0480c954dcd56d1/rendering/15.xyz", "0.0")</f>
        <v>0.0</v>
      </c>
      <c r="S911" s="13" t="str">
        <f>HYPERLINK(AC2 &amp; "/flashlight/sn_a8474f08cc757ad9e0480c954dcd56d1/rendering/16.xyz", "0.0")</f>
        <v>0.0</v>
      </c>
      <c r="T911" s="13" t="str">
        <f>HYPERLINK(AC2 &amp; "/flashlight/sn_a8474f08cc757ad9e0480c954dcd56d1/rendering/17.xyz", "0.0")</f>
        <v>0.0</v>
      </c>
      <c r="U911" s="13" t="str">
        <f>HYPERLINK(AC2 &amp; "/flashlight/sn_a8474f08cc757ad9e0480c954dcd56d1/rendering/18.xyz", "0.0")</f>
        <v>0.0</v>
      </c>
      <c r="V911" s="13" t="str">
        <f>HYPERLINK(AC2 &amp; "/flashlight/sn_a8474f08cc757ad9e0480c954dcd56d1/rendering/19.xyz", "0.0")</f>
        <v>0.0</v>
      </c>
      <c r="W911" s="12" t="s">
        <v>33</v>
      </c>
      <c r="X911" s="13">
        <v>0</v>
      </c>
      <c r="Y911" s="13">
        <v>0</v>
      </c>
      <c r="Z911" s="13">
        <v>0</v>
      </c>
    </row>
    <row r="912" spans="1:26" x14ac:dyDescent="0.2">
      <c r="A912" s="1">
        <v>910</v>
      </c>
      <c r="B912" s="2" t="s">
        <v>215</v>
      </c>
      <c r="C912" s="5" t="str">
        <f>HYPERLINK(AA2 &amp; "/flashlight/sn_b5a7456ddf0b0aa7bcab97a4ac9a7a4/rendering/00.obj", "2.6054901123")</f>
        <v>2.6054901123</v>
      </c>
      <c r="D912" s="17" t="str">
        <f>HYPERLINK(AA2 &amp; "/flashlight/sn_b5a7456ddf0b0aa7bcab97a4ac9a7a4/rendering/01.obj", "2.76497711182")</f>
        <v>2.76497711182</v>
      </c>
      <c r="E912" s="46" t="str">
        <f>HYPERLINK(AA2 &amp; "/flashlight/sn_b5a7456ddf0b0aa7bcab97a4ac9a7a4/rendering/02.obj", "2.77205993652")</f>
        <v>2.77205993652</v>
      </c>
      <c r="F912" s="34" t="str">
        <f>HYPERLINK(AA2 &amp; "/flashlight/sn_b5a7456ddf0b0aa7bcab97a4ac9a7a4/rendering/03.obj", "2.96253417969")</f>
        <v>2.96253417969</v>
      </c>
      <c r="G912" s="94" t="str">
        <f>HYPERLINK(AA2 &amp; "/flashlight/sn_b5a7456ddf0b0aa7bcab97a4ac9a7a4/rendering/04.obj", "3.03246002197")</f>
        <v>3.03246002197</v>
      </c>
      <c r="H912" s="10" t="str">
        <f>HYPERLINK(AA2 &amp; "/flashlight/sn_b5a7456ddf0b0aa7bcab97a4ac9a7a4/rendering/05.obj", "2.66272399902")</f>
        <v>2.66272399902</v>
      </c>
      <c r="I912" s="17" t="str">
        <f>HYPERLINK(AA2 &amp; "/flashlight/sn_b5a7456ddf0b0aa7bcab97a4ac9a7a4/rendering/06.obj", "2.76274841309")</f>
        <v>2.76274841309</v>
      </c>
      <c r="J912" s="46" t="str">
        <f>HYPERLINK(AA2 &amp; "/flashlight/sn_b5a7456ddf0b0aa7bcab97a4ac9a7a4/rendering/07.obj", "2.87328308105")</f>
        <v>2.87328308105</v>
      </c>
      <c r="K912" s="25" t="str">
        <f>HYPERLINK(AA2 &amp; "/flashlight/sn_b5a7456ddf0b0aa7bcab97a4ac9a7a4/rendering/08.obj", "2.85718078613")</f>
        <v>2.85718078613</v>
      </c>
      <c r="L912" s="46" t="str">
        <f>HYPERLINK(AA2 &amp; "/flashlight/sn_b5a7456ddf0b0aa7bcab97a4ac9a7a4/rendering/09.obj", "2.77586883545")</f>
        <v>2.77586883545</v>
      </c>
      <c r="M912" s="46" t="str">
        <f>HYPERLINK(AA2 &amp; "/flashlight/sn_b5a7456ddf0b0aa7bcab97a4ac9a7a4/rendering/10.obj", "2.86837493896")</f>
        <v>2.86837493896</v>
      </c>
      <c r="N912" s="94" t="str">
        <f>HYPERLINK(AA2 &amp; "/flashlight/sn_b5a7456ddf0b0aa7bcab97a4ac9a7a4/rendering/11.obj", "3.03354736328")</f>
        <v>3.03354736328</v>
      </c>
      <c r="O912" s="46" t="str">
        <f>HYPERLINK(AA2 &amp; "/flashlight/sn_b5a7456ddf0b0aa7bcab97a4ac9a7a4/rendering/12.obj", "2.86739929199")</f>
        <v>2.86739929199</v>
      </c>
      <c r="P912" s="25" t="str">
        <f>HYPERLINK(AA2 &amp; "/flashlight/sn_b5a7456ddf0b0aa7bcab97a4ac9a7a4/rendering/13.obj", "2.79096435547")</f>
        <v>2.79096435547</v>
      </c>
      <c r="Q912" s="72" t="str">
        <f>HYPERLINK(AA2 &amp; "/flashlight/sn_b5a7456ddf0b0aa7bcab97a4ac9a7a4/rendering/14.obj", "2.91727783203")</f>
        <v>2.91727783203</v>
      </c>
      <c r="R912" s="48" t="str">
        <f>HYPERLINK(AA2 &amp; "/flashlight/sn_b5a7456ddf0b0aa7bcab97a4ac9a7a4/rendering/15.obj", "2.7547253418")</f>
        <v>2.7547253418</v>
      </c>
      <c r="S912" s="73" t="str">
        <f>HYPERLINK(AA2 &amp; "/flashlight/sn_b5a7456ddf0b0aa7bcab97a4ac9a7a4/rendering/16.obj", "2.7172442627")</f>
        <v>2.7172442627</v>
      </c>
      <c r="T912" s="74" t="str">
        <f>HYPERLINK(AA2 &amp; "/flashlight/sn_b5a7456ddf0b0aa7bcab97a4ac9a7a4/rendering/17.obj", "2.857784729")</f>
        <v>2.857784729</v>
      </c>
      <c r="U912" s="5" t="str">
        <f>HYPERLINK(AA2 &amp; "/flashlight/sn_b5a7456ddf0b0aa7bcab97a4ac9a7a4/rendering/18.obj", "2.60527557373")</f>
        <v>2.60527557373</v>
      </c>
      <c r="V912" s="34" t="str">
        <f>HYPERLINK(AA2 &amp; "/flashlight/sn_b5a7456ddf0b0aa7bcab97a4ac9a7a4/rendering/19.obj", "2.95541809082")</f>
        <v>2.95541809082</v>
      </c>
      <c r="W912" s="12" t="s">
        <v>29</v>
      </c>
      <c r="X912" s="13">
        <v>2.8218669128417959</v>
      </c>
      <c r="Y912" s="13">
        <v>0.1208502262948406</v>
      </c>
      <c r="Z912" s="68">
        <v>4.2826338033474763E-2</v>
      </c>
    </row>
    <row r="913" spans="1:26" x14ac:dyDescent="0.2">
      <c r="A913" s="1">
        <v>911</v>
      </c>
      <c r="B913" s="2" t="s">
        <v>215</v>
      </c>
      <c r="C913" s="73" t="str">
        <f>HYPERLINK(AA2 &amp; "/flashlight/sn_b5a7456ddf0b0aa7bcab97a4ac9a7a4/rendering/00.obj", "1.61310303211")</f>
        <v>1.61310303211</v>
      </c>
      <c r="D913" s="133" t="str">
        <f>HYPERLINK(AA2 &amp; "/flashlight/sn_b5a7456ddf0b0aa7bcab97a4ac9a7a4/rendering/01.obj", "1.50053083897")</f>
        <v>1.50053083897</v>
      </c>
      <c r="E913" s="110" t="str">
        <f>HYPERLINK(AA2 &amp; "/flashlight/sn_b5a7456ddf0b0aa7bcab97a4ac9a7a4/rendering/02.obj", "1.50659704208")</f>
        <v>1.50659704208</v>
      </c>
      <c r="F913" s="37" t="str">
        <f>HYPERLINK(AA2 &amp; "/flashlight/sn_b5a7456ddf0b0aa7bcab97a4ac9a7a4/rendering/03.obj", "1.96578836441")</f>
        <v>1.96578836441</v>
      </c>
      <c r="G913" s="94" t="str">
        <f>HYPERLINK(AA2 &amp; "/flashlight/sn_b5a7456ddf0b0aa7bcab97a4ac9a7a4/rendering/04.obj", "1.79518032074")</f>
        <v>1.79518032074</v>
      </c>
      <c r="H913" s="47" t="str">
        <f>HYPERLINK(AA2 &amp; "/flashlight/sn_b5a7456ddf0b0aa7bcab97a4ac9a7a4/rendering/05.obj", "1.66206169128")</f>
        <v>1.66206169128</v>
      </c>
      <c r="I913" s="133" t="str">
        <f>HYPERLINK(AA2 &amp; "/flashlight/sn_b5a7456ddf0b0aa7bcab97a4ac9a7a4/rendering/06.obj", "1.50524330139")</f>
        <v>1.50524330139</v>
      </c>
      <c r="J913" s="72" t="str">
        <f>HYPERLINK(AA2 &amp; "/flashlight/sn_b5a7456ddf0b0aa7bcab97a4ac9a7a4/rendering/07.obj", "1.7264444828")</f>
        <v>1.7264444828</v>
      </c>
      <c r="K913" s="5" t="str">
        <f>HYPERLINK(AA2 &amp; "/flashlight/sn_b5a7456ddf0b0aa7bcab97a4ac9a7a4/rendering/08.obj", "1.8016512394")</f>
        <v>1.8016512394</v>
      </c>
      <c r="L913" s="26" t="str">
        <f>HYPERLINK(AA2 &amp; "/flashlight/sn_b5a7456ddf0b0aa7bcab97a4ac9a7a4/rendering/09.obj", "1.56326365471")</f>
        <v>1.56326365471</v>
      </c>
      <c r="M913" s="26" t="str">
        <f>HYPERLINK(AA2 &amp; "/flashlight/sn_b5a7456ddf0b0aa7bcab97a4ac9a7a4/rendering/10.obj", "1.78294920921")</f>
        <v>1.78294920921</v>
      </c>
      <c r="N913" s="40" t="str">
        <f>HYPERLINK(AA2 &amp; "/flashlight/sn_b5a7456ddf0b0aa7bcab97a4ac9a7a4/rendering/11.obj", "1.95714712143")</f>
        <v>1.95714712143</v>
      </c>
      <c r="O913" s="30" t="str">
        <f>HYPERLINK(AA2 &amp; "/flashlight/sn_b5a7456ddf0b0aa7bcab97a4ac9a7a4/rendering/12.obj", "1.68036484718")</f>
        <v>1.68036484718</v>
      </c>
      <c r="P913" s="60" t="str">
        <f>HYPERLINK(AA2 &amp; "/flashlight/sn_b5a7456ddf0b0aa7bcab97a4ac9a7a4/rendering/13.obj", "1.5851392746")</f>
        <v>1.5851392746</v>
      </c>
      <c r="Q913" s="28" t="str">
        <f>HYPERLINK(AA2 &amp; "/flashlight/sn_b5a7456ddf0b0aa7bcab97a4ac9a7a4/rendering/14.obj", "1.85887801647")</f>
        <v>1.85887801647</v>
      </c>
      <c r="R913" s="73" t="str">
        <f>HYPERLINK(AA2 &amp; "/flashlight/sn_b5a7456ddf0b0aa7bcab97a4ac9a7a4/rendering/15.obj", "1.61457836628")</f>
        <v>1.61457836628</v>
      </c>
      <c r="S913" s="72" t="str">
        <f>HYPERLINK(AA2 &amp; "/flashlight/sn_b5a7456ddf0b0aa7bcab97a4ac9a7a4/rendering/16.obj", "1.61923861504")</f>
        <v>1.61923861504</v>
      </c>
      <c r="T913" s="51" t="str">
        <f>HYPERLINK(AA2 &amp; "/flashlight/sn_b5a7456ddf0b0aa7bcab97a4ac9a7a4/rendering/17.obj", "1.53813660145")</f>
        <v>1.53813660145</v>
      </c>
      <c r="U913" s="5" t="str">
        <f>HYPERLINK(AA2 &amp; "/flashlight/sn_b5a7456ddf0b0aa7bcab97a4ac9a7a4/rendering/18.obj", "1.54290902615")</f>
        <v>1.54290902615</v>
      </c>
      <c r="V913" s="46" t="str">
        <f>HYPERLINK(AA2 &amp; "/flashlight/sn_b5a7456ddf0b0aa7bcab97a4ac9a7a4/rendering/19.obj", "1.64583182335")</f>
        <v>1.64583182335</v>
      </c>
      <c r="W913" s="12" t="s">
        <v>30</v>
      </c>
      <c r="X913" s="13">
        <v>1.6732518434524539</v>
      </c>
      <c r="Y913" s="13">
        <v>0.14119004020591419</v>
      </c>
      <c r="Z913" s="107">
        <v>8.4380627314650986E-2</v>
      </c>
    </row>
    <row r="914" spans="1:26" x14ac:dyDescent="0.2">
      <c r="A914" s="1">
        <v>912</v>
      </c>
      <c r="B914" s="2" t="s">
        <v>215</v>
      </c>
      <c r="C914" s="46" t="str">
        <f>HYPERLINK(AB2 &amp; "/flashlight/sn_b5a7456ddf0b0aa7bcab97a4ac9a7a4/rendering/00.obj", "3.64106628418")</f>
        <v>3.64106628418</v>
      </c>
      <c r="D914" s="47" t="str">
        <f>HYPERLINK(AB2 &amp; "/flashlight/sn_b5a7456ddf0b0aa7bcab97a4ac9a7a4/rendering/01.obj", "3.73702606201")</f>
        <v>3.73702606201</v>
      </c>
      <c r="E914" s="17" t="str">
        <f>HYPERLINK(AB2 &amp; "/flashlight/sn_b5a7456ddf0b0aa7bcab97a4ac9a7a4/rendering/02.obj", "3.63915100098")</f>
        <v>3.63915100098</v>
      </c>
      <c r="F914" s="17" t="str">
        <f>HYPERLINK(AB2 &amp; "/flashlight/sn_b5a7456ddf0b0aa7bcab97a4ac9a7a4/rendering/03.obj", "3.7866204834")</f>
        <v>3.7866204834</v>
      </c>
      <c r="G914" s="25" t="str">
        <f>HYPERLINK(AB2 &amp; "/flashlight/sn_b5a7456ddf0b0aa7bcab97a4ac9a7a4/rendering/04.obj", "3.7523059082")</f>
        <v>3.7523059082</v>
      </c>
      <c r="H914" s="48" t="str">
        <f>HYPERLINK(AB2 &amp; "/flashlight/sn_b5a7456ddf0b0aa7bcab97a4ac9a7a4/rendering/05.obj", "3.79930786133")</f>
        <v>3.79930786133</v>
      </c>
      <c r="I914" s="30" t="str">
        <f>HYPERLINK(AB2 &amp; "/flashlight/sn_b5a7456ddf0b0aa7bcab97a4ac9a7a4/rendering/06.obj", "3.68854217529")</f>
        <v>3.68854217529</v>
      </c>
      <c r="J914" s="47" t="str">
        <f>HYPERLINK(AB2 &amp; "/flashlight/sn_b5a7456ddf0b0aa7bcab97a4ac9a7a4/rendering/07.obj", "3.73397521973")</f>
        <v>3.73397521973</v>
      </c>
      <c r="K914" s="17" t="str">
        <f>HYPERLINK(AB2 &amp; "/flashlight/sn_b5a7456ddf0b0aa7bcab97a4ac9a7a4/rendering/08.obj", "3.78163024902")</f>
        <v>3.78163024902</v>
      </c>
      <c r="L914" s="48" t="str">
        <f>HYPERLINK(AB2 &amp; "/flashlight/sn_b5a7456ddf0b0aa7bcab97a4ac9a7a4/rendering/09.obj", "3.79587280273")</f>
        <v>3.79587280273</v>
      </c>
      <c r="M914" s="17" t="str">
        <f>HYPERLINK(AB2 &amp; "/flashlight/sn_b5a7456ddf0b0aa7bcab97a4ac9a7a4/rendering/10.obj", "3.63068786621")</f>
        <v>3.63068786621</v>
      </c>
      <c r="N914" s="30" t="str">
        <f>HYPERLINK(AB2 &amp; "/flashlight/sn_b5a7456ddf0b0aa7bcab97a4ac9a7a4/rendering/11.obj", "3.68835571289")</f>
        <v>3.68835571289</v>
      </c>
      <c r="O914" s="13" t="str">
        <f>HYPERLINK(AB2 &amp; "/flashlight/sn_b5a7456ddf0b0aa7bcab97a4ac9a7a4/rendering/12.obj", "3.70245727539")</f>
        <v>3.70245727539</v>
      </c>
      <c r="P914" s="48" t="str">
        <f>HYPERLINK(AB2 &amp; "/flashlight/sn_b5a7456ddf0b0aa7bcab97a4ac9a7a4/rendering/13.obj", "3.79155700684")</f>
        <v>3.79155700684</v>
      </c>
      <c r="Q914" s="48" t="str">
        <f>HYPERLINK(AB2 &amp; "/flashlight/sn_b5a7456ddf0b0aa7bcab97a4ac9a7a4/rendering/14.obj", "3.80047637939")</f>
        <v>3.80047637939</v>
      </c>
      <c r="R914" s="17" t="str">
        <f>HYPERLINK(AB2 &amp; "/flashlight/sn_b5a7456ddf0b0aa7bcab97a4ac9a7a4/rendering/15.obj", "3.63515136719")</f>
        <v>3.63515136719</v>
      </c>
      <c r="S914" s="25" t="str">
        <f>HYPERLINK(AB2 &amp; "/flashlight/sn_b5a7456ddf0b0aa7bcab97a4ac9a7a4/rendering/16.obj", "3.6714956665")</f>
        <v>3.6714956665</v>
      </c>
      <c r="T914" s="73" t="str">
        <f>HYPERLINK(AB2 &amp; "/flashlight/sn_b5a7456ddf0b0aa7bcab97a4ac9a7a4/rendering/17.obj", "3.57981323242")</f>
        <v>3.57981323242</v>
      </c>
      <c r="U914" s="91" t="str">
        <f>HYPERLINK(AB2 &amp; "/flashlight/sn_b5a7456ddf0b0aa7bcab97a4ac9a7a4/rendering/18.obj", "3.60811859131")</f>
        <v>3.60811859131</v>
      </c>
      <c r="V914" s="30" t="str">
        <f>HYPERLINK(AB2 &amp; "/flashlight/sn_b5a7456ddf0b0aa7bcab97a4ac9a7a4/rendering/19.obj", "3.72697875977")</f>
        <v>3.72697875977</v>
      </c>
      <c r="W914" s="12" t="s">
        <v>31</v>
      </c>
      <c r="X914" s="13">
        <v>3.7095294952392579</v>
      </c>
      <c r="Y914" s="13">
        <v>6.9292488684381467E-2</v>
      </c>
      <c r="Z914" s="46">
        <v>1.8679589628094389E-2</v>
      </c>
    </row>
    <row r="915" spans="1:26" x14ac:dyDescent="0.2">
      <c r="A915" s="1">
        <v>913</v>
      </c>
      <c r="B915" s="2" t="s">
        <v>215</v>
      </c>
      <c r="C915" s="47" t="str">
        <f>HYPERLINK(AB2 &amp; "/flashlight/sn_b5a7456ddf0b0aa7bcab97a4ac9a7a4/rendering/00.obj", "1.80389249325")</f>
        <v>1.80389249325</v>
      </c>
      <c r="D915" s="35" t="str">
        <f>HYPERLINK(AB2 &amp; "/flashlight/sn_b5a7456ddf0b0aa7bcab97a4ac9a7a4/rendering/01.obj", "1.70999753475")</f>
        <v>1.70999753475</v>
      </c>
      <c r="E915" s="91" t="str">
        <f>HYPERLINK(AB2 &amp; "/flashlight/sn_b5a7456ddf0b0aa7bcab97a4ac9a7a4/rendering/02.obj", "1.86476325989")</f>
        <v>1.86476325989</v>
      </c>
      <c r="F915" s="51" t="str">
        <f>HYPERLINK(AB2 &amp; "/flashlight/sn_b5a7456ddf0b0aa7bcab97a4ac9a7a4/rendering/03.obj", "1.67119669914")</f>
        <v>1.67119669914</v>
      </c>
      <c r="G915" s="60" t="str">
        <f>HYPERLINK(AB2 &amp; "/flashlight/sn_b5a7456ddf0b0aa7bcab97a4ac9a7a4/rendering/04.obj", "1.90781116486")</f>
        <v>1.90781116486</v>
      </c>
      <c r="H915" s="90" t="str">
        <f>HYPERLINK(AB2 &amp; "/flashlight/sn_b5a7456ddf0b0aa7bcab97a4ac9a7a4/rendering/05.obj", "1.99201440811")</f>
        <v>1.99201440811</v>
      </c>
      <c r="I915" s="38" t="str">
        <f>HYPERLINK(AB2 &amp; "/flashlight/sn_b5a7456ddf0b0aa7bcab97a4ac9a7a4/rendering/06.obj", "1.97687315941")</f>
        <v>1.97687315941</v>
      </c>
      <c r="J915" s="8" t="str">
        <f>HYPERLINK(AB2 &amp; "/flashlight/sn_b5a7456ddf0b0aa7bcab97a4ac9a7a4/rendering/07.obj", "2.07511854172")</f>
        <v>2.07511854172</v>
      </c>
      <c r="K915" s="38" t="str">
        <f>HYPERLINK(AB2 &amp; "/flashlight/sn_b5a7456ddf0b0aa7bcab97a4ac9a7a4/rendering/08.obj", "1.65690052509")</f>
        <v>1.65690052509</v>
      </c>
      <c r="L915" s="48" t="str">
        <f>HYPERLINK(AB2 &amp; "/flashlight/sn_b5a7456ddf0b0aa7bcab97a4ac9a7a4/rendering/09.obj", "1.77402484417")</f>
        <v>1.77402484417</v>
      </c>
      <c r="M915" s="38" t="str">
        <f>HYPERLINK(AB2 &amp; "/flashlight/sn_b5a7456ddf0b0aa7bcab97a4ac9a7a4/rendering/10.obj", "1.65246033669")</f>
        <v>1.65246033669</v>
      </c>
      <c r="N915" s="25" t="str">
        <f>HYPERLINK(AB2 &amp; "/flashlight/sn_b5a7456ddf0b0aa7bcab97a4ac9a7a4/rendering/11.obj", "1.79802250862")</f>
        <v>1.79802250862</v>
      </c>
      <c r="O915" s="91" t="str">
        <f>HYPERLINK(AB2 &amp; "/flashlight/sn_b5a7456ddf0b0aa7bcab97a4ac9a7a4/rendering/12.obj", "1.86630392075")</f>
        <v>1.86630392075</v>
      </c>
      <c r="P915" s="94" t="str">
        <f>HYPERLINK(AB2 &amp; "/flashlight/sn_b5a7456ddf0b0aa7bcab97a4ac9a7a4/rendering/13.obj", "1.95159161091")</f>
        <v>1.95159161091</v>
      </c>
      <c r="Q915" s="32" t="str">
        <f>HYPERLINK(AB2 &amp; "/flashlight/sn_b5a7456ddf0b0aa7bcab97a4ac9a7a4/rendering/14.obj", "1.62557160854")</f>
        <v>1.62557160854</v>
      </c>
      <c r="R915" s="13" t="str">
        <f>HYPERLINK(AB2 &amp; "/flashlight/sn_b5a7456ddf0b0aa7bcab97a4ac9a7a4/rendering/15.obj", "1.81731200218")</f>
        <v>1.81731200218</v>
      </c>
      <c r="S915" s="78" t="str">
        <f>HYPERLINK(AB2 &amp; "/flashlight/sn_b5a7456ddf0b0aa7bcab97a4ac9a7a4/rendering/16.obj", "1.7058647871")</f>
        <v>1.7058647871</v>
      </c>
      <c r="T915" s="6" t="str">
        <f>HYPERLINK(AB2 &amp; "/flashlight/sn_b5a7456ddf0b0aa7bcab97a4ac9a7a4/rendering/17.obj", "1.8992099762")</f>
        <v>1.8992099762</v>
      </c>
      <c r="U915" s="46" t="str">
        <f>HYPERLINK(AB2 &amp; "/flashlight/sn_b5a7456ddf0b0aa7bcab97a4ac9a7a4/rendering/18.obj", "1.78713357449")</f>
        <v>1.78713357449</v>
      </c>
      <c r="V915" s="25" t="str">
        <f>HYPERLINK(AB2 &amp; "/flashlight/sn_b5a7456ddf0b0aa7bcab97a4ac9a7a4/rendering/19.obj", "1.79478359222")</f>
        <v>1.79478359222</v>
      </c>
      <c r="W915" s="12" t="s">
        <v>32</v>
      </c>
      <c r="X915" s="13">
        <v>1.816542327404022</v>
      </c>
      <c r="Y915" s="13">
        <v>0.1222326348436793</v>
      </c>
      <c r="Z915" s="41">
        <v>6.7288624657790952E-2</v>
      </c>
    </row>
    <row r="916" spans="1:26" x14ac:dyDescent="0.2">
      <c r="A916" s="1">
        <v>914</v>
      </c>
      <c r="B916" s="2" t="s">
        <v>215</v>
      </c>
      <c r="C916" s="13" t="str">
        <f>HYPERLINK(AC2 &amp; "/flashlight/sn_b5a7456ddf0b0aa7bcab97a4ac9a7a4/rendering/00.xyz", "0.0")</f>
        <v>0.0</v>
      </c>
      <c r="D916" s="13" t="str">
        <f>HYPERLINK(AC2 &amp; "/flashlight/sn_b5a7456ddf0b0aa7bcab97a4ac9a7a4/rendering/01.xyz", "0.0")</f>
        <v>0.0</v>
      </c>
      <c r="E916" s="13" t="str">
        <f>HYPERLINK(AC2 &amp; "/flashlight/sn_b5a7456ddf0b0aa7bcab97a4ac9a7a4/rendering/02.xyz", "0.0")</f>
        <v>0.0</v>
      </c>
      <c r="F916" s="13" t="str">
        <f>HYPERLINK(AC2 &amp; "/flashlight/sn_b5a7456ddf0b0aa7bcab97a4ac9a7a4/rendering/03.xyz", "0.0")</f>
        <v>0.0</v>
      </c>
      <c r="G916" s="13" t="str">
        <f>HYPERLINK(AC2 &amp; "/flashlight/sn_b5a7456ddf0b0aa7bcab97a4ac9a7a4/rendering/04.xyz", "0.0")</f>
        <v>0.0</v>
      </c>
      <c r="H916" s="13" t="str">
        <f>HYPERLINK(AC2 &amp; "/flashlight/sn_b5a7456ddf0b0aa7bcab97a4ac9a7a4/rendering/05.xyz", "0.0")</f>
        <v>0.0</v>
      </c>
      <c r="I916" s="13" t="str">
        <f>HYPERLINK(AC2 &amp; "/flashlight/sn_b5a7456ddf0b0aa7bcab97a4ac9a7a4/rendering/06.xyz", "0.0")</f>
        <v>0.0</v>
      </c>
      <c r="J916" s="13" t="str">
        <f>HYPERLINK(AC2 &amp; "/flashlight/sn_b5a7456ddf0b0aa7bcab97a4ac9a7a4/rendering/07.xyz", "0.0")</f>
        <v>0.0</v>
      </c>
      <c r="K916" s="13" t="str">
        <f>HYPERLINK(AC2 &amp; "/flashlight/sn_b5a7456ddf0b0aa7bcab97a4ac9a7a4/rendering/08.xyz", "0.0")</f>
        <v>0.0</v>
      </c>
      <c r="L916" s="13" t="str">
        <f>HYPERLINK(AC2 &amp; "/flashlight/sn_b5a7456ddf0b0aa7bcab97a4ac9a7a4/rendering/09.xyz", "0.0")</f>
        <v>0.0</v>
      </c>
      <c r="M916" s="13" t="str">
        <f>HYPERLINK(AC2 &amp; "/flashlight/sn_b5a7456ddf0b0aa7bcab97a4ac9a7a4/rendering/10.xyz", "0.0")</f>
        <v>0.0</v>
      </c>
      <c r="N916" s="13" t="str">
        <f>HYPERLINK(AC2 &amp; "/flashlight/sn_b5a7456ddf0b0aa7bcab97a4ac9a7a4/rendering/11.xyz", "0.0")</f>
        <v>0.0</v>
      </c>
      <c r="O916" s="13" t="str">
        <f>HYPERLINK(AC2 &amp; "/flashlight/sn_b5a7456ddf0b0aa7bcab97a4ac9a7a4/rendering/12.xyz", "0.0")</f>
        <v>0.0</v>
      </c>
      <c r="P916" s="13" t="str">
        <f>HYPERLINK(AC2 &amp; "/flashlight/sn_b5a7456ddf0b0aa7bcab97a4ac9a7a4/rendering/13.xyz", "0.0")</f>
        <v>0.0</v>
      </c>
      <c r="Q916" s="13" t="str">
        <f>HYPERLINK(AC2 &amp; "/flashlight/sn_b5a7456ddf0b0aa7bcab97a4ac9a7a4/rendering/14.xyz", "0.0")</f>
        <v>0.0</v>
      </c>
      <c r="R916" s="13" t="str">
        <f>HYPERLINK(AC2 &amp; "/flashlight/sn_b5a7456ddf0b0aa7bcab97a4ac9a7a4/rendering/15.xyz", "0.0")</f>
        <v>0.0</v>
      </c>
      <c r="S916" s="13" t="str">
        <f>HYPERLINK(AC2 &amp; "/flashlight/sn_b5a7456ddf0b0aa7bcab97a4ac9a7a4/rendering/16.xyz", "0.0")</f>
        <v>0.0</v>
      </c>
      <c r="T916" s="13" t="str">
        <f>HYPERLINK(AC2 &amp; "/flashlight/sn_b5a7456ddf0b0aa7bcab97a4ac9a7a4/rendering/17.xyz", "0.0")</f>
        <v>0.0</v>
      </c>
      <c r="U916" s="13" t="str">
        <f>HYPERLINK(AC2 &amp; "/flashlight/sn_b5a7456ddf0b0aa7bcab97a4ac9a7a4/rendering/18.xyz", "0.0")</f>
        <v>0.0</v>
      </c>
      <c r="V916" s="13" t="str">
        <f>HYPERLINK(AC2 &amp; "/flashlight/sn_b5a7456ddf0b0aa7bcab97a4ac9a7a4/rendering/19.xyz", "0.0")</f>
        <v>0.0</v>
      </c>
      <c r="W916" s="12" t="s">
        <v>33</v>
      </c>
      <c r="X916" s="13">
        <v>0</v>
      </c>
      <c r="Y916" s="13">
        <v>0</v>
      </c>
      <c r="Z916" s="13">
        <v>0</v>
      </c>
    </row>
    <row r="917" spans="1:26" x14ac:dyDescent="0.2">
      <c r="A917" s="1">
        <v>915</v>
      </c>
      <c r="B917" s="2" t="s">
        <v>216</v>
      </c>
      <c r="C917" s="46" t="str">
        <f>HYPERLINK(AA2 &amp; "/flashlight/sn_b6acff0e8e10f758540d263632d5fce3/rendering/00.obj", "4.59294433594")</f>
        <v>4.59294433594</v>
      </c>
      <c r="D917" s="79" t="str">
        <f>HYPERLINK(AA2 &amp; "/flashlight/sn_b6acff0e8e10f758540d263632d5fce3/rendering/01.obj", "3.92469848633")</f>
        <v>3.92469848633</v>
      </c>
      <c r="E917" s="200" t="str">
        <f>HYPERLINK(AA2 &amp; "/flashlight/sn_b6acff0e8e10f758540d263632d5fce3/rendering/02.obj", "6.899296875")</f>
        <v>6.899296875</v>
      </c>
      <c r="F917" s="65" t="str">
        <f>HYPERLINK(AA2 &amp; "/flashlight/sn_b6acff0e8e10f758540d263632d5fce3/rendering/03.obj", "4.05117126465")</f>
        <v>4.05117126465</v>
      </c>
      <c r="G917" s="71" t="str">
        <f>HYPERLINK(AA2 &amp; "/flashlight/sn_b6acff0e8e10f758540d263632d5fce3/rendering/04.obj", "4.1268939209")</f>
        <v>4.1268939209</v>
      </c>
      <c r="H917" s="69" t="str">
        <f>HYPERLINK(AA2 &amp; "/flashlight/sn_b6acff0e8e10f758540d263632d5fce3/rendering/05.obj", "4.81008117676")</f>
        <v>4.81008117676</v>
      </c>
      <c r="I917" s="17" t="str">
        <f>HYPERLINK(AA2 &amp; "/flashlight/sn_b6acff0e8e10f758540d263632d5fce3/rendering/06.obj", "4.7708404541")</f>
        <v>4.7708404541</v>
      </c>
      <c r="J917" s="92" t="str">
        <f>HYPERLINK(AA2 &amp; "/flashlight/sn_b6acff0e8e10f758540d263632d5fce3/rendering/07.obj", "5.24193237305")</f>
        <v>5.24193237305</v>
      </c>
      <c r="K917" s="6" t="str">
        <f>HYPERLINK(AA2 &amp; "/flashlight/sn_b6acff0e8e10f758540d263632d5fce3/rendering/08.obj", "4.46293579102")</f>
        <v>4.46293579102</v>
      </c>
      <c r="L917" s="41" t="str">
        <f>HYPERLINK(AA2 &amp; "/flashlight/sn_b6acff0e8e10f758540d263632d5fce3/rendering/09.obj", "4.35953216553")</f>
        <v>4.35953216553</v>
      </c>
      <c r="M917" s="80" t="str">
        <f>HYPERLINK(AA2 &amp; "/flashlight/sn_b6acff0e8e10f758540d263632d5fce3/rendering/10.obj", "3.97363464355")</f>
        <v>3.97363464355</v>
      </c>
      <c r="N917" s="8" t="str">
        <f>HYPERLINK(AA2 &amp; "/flashlight/sn_b6acff0e8e10f758540d263632d5fce3/rendering/11.obj", "4.00820831299")</f>
        <v>4.00820831299</v>
      </c>
      <c r="O917" s="82" t="str">
        <f>HYPERLINK(AA2 &amp; "/flashlight/sn_b6acff0e8e10f758540d263632d5fce3/rendering/12.obj", "3.7044052124")</f>
        <v>3.7044052124</v>
      </c>
      <c r="P917" s="63" t="str">
        <f>HYPERLINK(AA2 &amp; "/flashlight/sn_b6acff0e8e10f758540d263632d5fce3/rendering/13.obj", "4.10598815918")</f>
        <v>4.10598815918</v>
      </c>
      <c r="Q917" s="59" t="str">
        <f>HYPERLINK(AA2 &amp; "/flashlight/sn_b6acff0e8e10f758540d263632d5fce3/rendering/14.obj", "3.54837280273")</f>
        <v>3.54837280273</v>
      </c>
      <c r="R917" s="20" t="str">
        <f>HYPERLINK(AA2 &amp; "/flashlight/sn_b6acff0e8e10f758540d263632d5fce3/rendering/15.obj", "10.3214367676")</f>
        <v>10.3214367676</v>
      </c>
      <c r="S917" s="29" t="str">
        <f>HYPERLINK(AA2 &amp; "/flashlight/sn_b6acff0e8e10f758540d263632d5fce3/rendering/16.obj", "4.0591619873")</f>
        <v>4.0591619873</v>
      </c>
      <c r="T917" s="64" t="str">
        <f>HYPERLINK(AA2 &amp; "/flashlight/sn_b6acff0e8e10f758540d263632d5fce3/rendering/17.obj", "3.89429229736")</f>
        <v>3.89429229736</v>
      </c>
      <c r="U917" s="28" t="str">
        <f>HYPERLINK(AA2 &amp; "/flashlight/sn_b6acff0e8e10f758540d263632d5fce3/rendering/18.obj", "4.14714477539")</f>
        <v>4.14714477539</v>
      </c>
      <c r="V917" s="35" t="str">
        <f>HYPERLINK(AA2 &amp; "/flashlight/sn_b6acff0e8e10f758540d263632d5fce3/rendering/19.obj", "4.39827819824")</f>
        <v>4.39827819824</v>
      </c>
      <c r="W917" s="12" t="s">
        <v>29</v>
      </c>
      <c r="X917" s="13">
        <v>4.6700625000000002</v>
      </c>
      <c r="Y917" s="13">
        <v>1.4730490521116331</v>
      </c>
      <c r="Z917" s="57">
        <v>0.3154238411395206</v>
      </c>
    </row>
    <row r="918" spans="1:26" x14ac:dyDescent="0.2">
      <c r="A918" s="1">
        <v>916</v>
      </c>
      <c r="B918" s="2" t="s">
        <v>216</v>
      </c>
      <c r="C918" s="36" t="str">
        <f>HYPERLINK(AA2 &amp; "/flashlight/sn_b6acff0e8e10f758540d263632d5fce3/rendering/00.obj", "2.99867725372")</f>
        <v>2.99867725372</v>
      </c>
      <c r="D918" s="57" t="str">
        <f>HYPERLINK(AA2 &amp; "/flashlight/sn_b6acff0e8e10f758540d263632d5fce3/rendering/01.obj", "2.61267709732")</f>
        <v>2.61267709732</v>
      </c>
      <c r="E918" s="20" t="str">
        <f>HYPERLINK(AA2 &amp; "/flashlight/sn_b6acff0e8e10f758540d263632d5fce3/rendering/02.obj", "8.82803630829")</f>
        <v>8.82803630829</v>
      </c>
      <c r="F918" s="169" t="str">
        <f>HYPERLINK(AA2 &amp; "/flashlight/sn_b6acff0e8e10f758540d263632d5fce3/rendering/03.obj", "2.63044261932")</f>
        <v>2.63044261932</v>
      </c>
      <c r="G918" s="122" t="str">
        <f>HYPERLINK(AA2 &amp; "/flashlight/sn_b6acff0e8e10f758540d263632d5fce3/rendering/04.obj", "2.27379465103")</f>
        <v>2.27379465103</v>
      </c>
      <c r="H918" s="26" t="str">
        <f>HYPERLINK(AA2 &amp; "/flashlight/sn_b6acff0e8e10f758540d263632d5fce3/rendering/05.obj", "4.06136894226")</f>
        <v>4.06136894226</v>
      </c>
      <c r="I918" s="27" t="str">
        <f>HYPERLINK(AA2 &amp; "/flashlight/sn_b6acff0e8e10f758540d263632d5fce3/rendering/06.obj", "4.08450937271")</f>
        <v>4.08450937271</v>
      </c>
      <c r="J918" s="117" t="str">
        <f>HYPERLINK(AA2 &amp; "/flashlight/sn_b6acff0e8e10f758540d263632d5fce3/rendering/07.obj", "4.49085998535")</f>
        <v>4.49085998535</v>
      </c>
      <c r="K918" s="84" t="str">
        <f>HYPERLINK(AA2 &amp; "/flashlight/sn_b6acff0e8e10f758540d263632d5fce3/rendering/08.obj", "3.26294636726")</f>
        <v>3.26294636726</v>
      </c>
      <c r="L918" s="61" t="str">
        <f>HYPERLINK(AA2 &amp; "/flashlight/sn_b6acff0e8e10f758540d263632d5fce3/rendering/09.obj", "2.65930485725")</f>
        <v>2.65930485725</v>
      </c>
      <c r="M918" s="96" t="str">
        <f>HYPERLINK(AA2 &amp; "/flashlight/sn_b6acff0e8e10f758540d263632d5fce3/rendering/10.obj", "2.43479204178")</f>
        <v>2.43479204178</v>
      </c>
      <c r="N918" s="54" t="str">
        <f>HYPERLINK(AA2 &amp; "/flashlight/sn_b6acff0e8e10f758540d263632d5fce3/rendering/11.obj", "2.56296801567")</f>
        <v>2.56296801567</v>
      </c>
      <c r="O918" s="117" t="str">
        <f>HYPERLINK(AA2 &amp; "/flashlight/sn_b6acff0e8e10f758540d263632d5fce3/rendering/12.obj", "3.14376807213")</f>
        <v>3.14376807213</v>
      </c>
      <c r="P918" s="59" t="str">
        <f>HYPERLINK(AA2 &amp; "/flashlight/sn_b6acff0e8e10f758540d263632d5fce3/rendering/13.obj", "2.89906167984")</f>
        <v>2.89906167984</v>
      </c>
      <c r="Q918" s="153" t="str">
        <f>HYPERLINK(AA2 &amp; "/flashlight/sn_b6acff0e8e10f758540d263632d5fce3/rendering/14.obj", "2.45946717262")</f>
        <v>2.45946717262</v>
      </c>
      <c r="R918" s="20" t="str">
        <f>HYPERLINK(AA2 &amp; "/flashlight/sn_b6acff0e8e10f758540d263632d5fce3/rendering/15.obj", "14.0520772934")</f>
        <v>14.0520772934</v>
      </c>
      <c r="S918" s="85" t="str">
        <f>HYPERLINK(AA2 &amp; "/flashlight/sn_b6acff0e8e10f758540d263632d5fce3/rendering/16.obj", "2.6817612648")</f>
        <v>2.6817612648</v>
      </c>
      <c r="T918" s="103" t="str">
        <f>HYPERLINK(AA2 &amp; "/flashlight/sn_b6acff0e8e10f758540d263632d5fce3/rendering/17.obj", "2.57581567764")</f>
        <v>2.57581567764</v>
      </c>
      <c r="U918" s="166" t="str">
        <f>HYPERLINK(AA2 &amp; "/flashlight/sn_b6acff0e8e10f758540d263632d5fce3/rendering/18.obj", "2.72174572945")</f>
        <v>2.72174572945</v>
      </c>
      <c r="V918" s="98" t="str">
        <f>HYPERLINK(AA2 &amp; "/flashlight/sn_b6acff0e8e10f758540d263632d5fce3/rendering/19.obj", "2.93692398071")</f>
        <v>2.93692398071</v>
      </c>
      <c r="W918" s="12" t="s">
        <v>30</v>
      </c>
      <c r="X918" s="13">
        <v>3.8185499191284178</v>
      </c>
      <c r="Y918" s="13">
        <v>2.7334461108768249</v>
      </c>
      <c r="Z918" s="188">
        <v>0.71583354120475484</v>
      </c>
    </row>
    <row r="919" spans="1:26" x14ac:dyDescent="0.2">
      <c r="A919" s="1">
        <v>917</v>
      </c>
      <c r="B919" s="2" t="s">
        <v>216</v>
      </c>
      <c r="C919" s="13" t="str">
        <f>HYPERLINK(AB2 &amp; "/flashlight/sn_b6acff0e8e10f758540d263632d5fce3/rendering/00.obj", "3.88823730469")</f>
        <v>3.88823730469</v>
      </c>
      <c r="D919" s="69" t="str">
        <f>HYPERLINK(AB2 &amp; "/flashlight/sn_b6acff0e8e10f758540d263632d5fce3/rendering/01.obj", "3.99034606934")</f>
        <v>3.99034606934</v>
      </c>
      <c r="E919" s="48" t="str">
        <f>HYPERLINK(AB2 &amp; "/flashlight/sn_b6acff0e8e10f758540d263632d5fce3/rendering/02.obj", "3.78311218262")</f>
        <v>3.78311218262</v>
      </c>
      <c r="F919" s="13" t="str">
        <f>HYPERLINK(AB2 &amp; "/flashlight/sn_b6acff0e8e10f758540d263632d5fce3/rendering/03.obj", "3.8891217041")</f>
        <v>3.8891217041</v>
      </c>
      <c r="G919" s="26" t="str">
        <f>HYPERLINK(AB2 &amp; "/flashlight/sn_b6acff0e8e10f758540d263632d5fce3/rendering/04.obj", "4.12279785156")</f>
        <v>4.12279785156</v>
      </c>
      <c r="H919" s="91" t="str">
        <f>HYPERLINK(AB2 &amp; "/flashlight/sn_b6acff0e8e10f758540d263632d5fce3/rendering/05.obj", "3.77750091553")</f>
        <v>3.77750091553</v>
      </c>
      <c r="I919" s="74" t="str">
        <f>HYPERLINK(AB2 &amp; "/flashlight/sn_b6acff0e8e10f758540d263632d5fce3/rendering/06.obj", "3.93512268066")</f>
        <v>3.93512268066</v>
      </c>
      <c r="J919" s="35" t="str">
        <f>HYPERLINK(AB2 &amp; "/flashlight/sn_b6acff0e8e10f758540d263632d5fce3/rendering/07.obj", "3.65259643555")</f>
        <v>3.65259643555</v>
      </c>
      <c r="K919" s="30" t="str">
        <f>HYPERLINK(AB2 &amp; "/flashlight/sn_b6acff0e8e10f758540d263632d5fce3/rendering/08.obj", "3.85731201172")</f>
        <v>3.85731201172</v>
      </c>
      <c r="L919" s="74" t="str">
        <f>HYPERLINK(AB2 &amp; "/flashlight/sn_b6acff0e8e10f758540d263632d5fce3/rendering/09.obj", "3.81708496094")</f>
        <v>3.81708496094</v>
      </c>
      <c r="M919" s="5" t="str">
        <f>HYPERLINK(AB2 &amp; "/flashlight/sn_b6acff0e8e10f758540d263632d5fce3/rendering/10.obj", "3.57699035645")</f>
        <v>3.57699035645</v>
      </c>
      <c r="N919" s="27" t="str">
        <f>HYPERLINK(AB2 &amp; "/flashlight/sn_b6acff0e8e10f758540d263632d5fce3/rendering/11.obj", "4.14685241699")</f>
        <v>4.14685241699</v>
      </c>
      <c r="O919" s="91" t="str">
        <f>HYPERLINK(AB2 &amp; "/flashlight/sn_b6acff0e8e10f758540d263632d5fce3/rendering/12.obj", "3.77835632324")</f>
        <v>3.77835632324</v>
      </c>
      <c r="P919" s="25" t="str">
        <f>HYPERLINK(AB2 &amp; "/flashlight/sn_b6acff0e8e10f758540d263632d5fce3/rendering/13.obj", "3.92266357422")</f>
        <v>3.92266357422</v>
      </c>
      <c r="Q919" s="73" t="str">
        <f>HYPERLINK(AB2 &amp; "/flashlight/sn_b6acff0e8e10f758540d263632d5fce3/rendering/14.obj", "3.74342071533")</f>
        <v>3.74342071533</v>
      </c>
      <c r="R919" s="69" t="str">
        <f>HYPERLINK(AB2 &amp; "/flashlight/sn_b6acff0e8e10f758540d263632d5fce3/rendering/15.obj", "3.99543823242")</f>
        <v>3.99543823242</v>
      </c>
      <c r="S919" s="46" t="str">
        <f>HYPERLINK(AB2 &amp; "/flashlight/sn_b6acff0e8e10f758540d263632d5fce3/rendering/16.obj", "3.94864135742")</f>
        <v>3.94864135742</v>
      </c>
      <c r="T919" s="27" t="str">
        <f>HYPERLINK(AB2 &amp; "/flashlight/sn_b6acff0e8e10f758540d263632d5fce3/rendering/17.obj", "4.14997802734")</f>
        <v>4.14997802734</v>
      </c>
      <c r="U919" s="69" t="str">
        <f>HYPERLINK(AB2 &amp; "/flashlight/sn_b6acff0e8e10f758540d263632d5fce3/rendering/18.obj", "3.76232849121")</f>
        <v>3.76232849121</v>
      </c>
      <c r="V919" s="46" t="str">
        <f>HYPERLINK(AB2 &amp; "/flashlight/sn_b6acff0e8e10f758540d263632d5fce3/rendering/19.obj", "3.81281921387")</f>
        <v>3.81281921387</v>
      </c>
      <c r="W919" s="12" t="s">
        <v>31</v>
      </c>
      <c r="X919" s="13">
        <v>3.877536041259765</v>
      </c>
      <c r="Y919" s="13">
        <v>0.1505639584826087</v>
      </c>
      <c r="Z919" s="23">
        <v>3.8829802451995327E-2</v>
      </c>
    </row>
    <row r="920" spans="1:26" x14ac:dyDescent="0.2">
      <c r="A920" s="1">
        <v>918</v>
      </c>
      <c r="B920" s="2" t="s">
        <v>216</v>
      </c>
      <c r="C920" s="39" t="str">
        <f>HYPERLINK(AB2 &amp; "/flashlight/sn_b6acff0e8e10f758540d263632d5fce3/rendering/00.obj", "2.6201171875")</f>
        <v>2.6201171875</v>
      </c>
      <c r="D920" s="90" t="str">
        <f>HYPERLINK(AB2 &amp; "/flashlight/sn_b6acff0e8e10f758540d263632d5fce3/rendering/01.obj", "2.18279838562")</f>
        <v>2.18279838562</v>
      </c>
      <c r="E920" s="69" t="str">
        <f>HYPERLINK(AB2 &amp; "/flashlight/sn_b6acff0e8e10f758540d263632d5fce3/rendering/02.obj", "2.34003090858")</f>
        <v>2.34003090858</v>
      </c>
      <c r="F920" s="13" t="str">
        <f>HYPERLINK(AB2 &amp; "/flashlight/sn_b6acff0e8e10f758540d263632d5fce3/rendering/03.obj", "2.41340351105")</f>
        <v>2.41340351105</v>
      </c>
      <c r="G920" s="134" t="str">
        <f>HYPERLINK(AB2 &amp; "/flashlight/sn_b6acff0e8e10f758540d263632d5fce3/rendering/04.obj", "2.84510397911")</f>
        <v>2.84510397911</v>
      </c>
      <c r="H920" s="70" t="str">
        <f>HYPERLINK(AB2 &amp; "/flashlight/sn_b6acff0e8e10f758540d263632d5fce3/rendering/05.obj", "2.10578560829")</f>
        <v>2.10578560829</v>
      </c>
      <c r="I920" s="60" t="str">
        <f>HYPERLINK(AB2 &amp; "/flashlight/sn_b6acff0e8e10f758540d263632d5fce3/rendering/06.obj", "2.53758001328")</f>
        <v>2.53758001328</v>
      </c>
      <c r="J920" s="94" t="str">
        <f>HYPERLINK(AB2 &amp; "/flashlight/sn_b6acff0e8e10f758540d263632d5fce3/rendering/07.obj", "2.58777666092")</f>
        <v>2.58777666092</v>
      </c>
      <c r="K920" s="74" t="str">
        <f>HYPERLINK(AB2 &amp; "/flashlight/sn_b6acff0e8e10f758540d263632d5fce3/rendering/08.obj", "2.44480705261")</f>
        <v>2.44480705261</v>
      </c>
      <c r="L920" s="107" t="str">
        <f>HYPERLINK(AB2 &amp; "/flashlight/sn_b6acff0e8e10f758540d263632d5fce3/rendering/09.obj", "2.60975813866")</f>
        <v>2.60975813866</v>
      </c>
      <c r="M920" s="110" t="str">
        <f>HYPERLINK(AB2 &amp; "/flashlight/sn_b6acff0e8e10f758540d263632d5fce3/rendering/10.obj", "2.17480683327")</f>
        <v>2.17480683327</v>
      </c>
      <c r="N920" s="26" t="str">
        <f>HYPERLINK(AB2 &amp; "/flashlight/sn_b6acff0e8e10f758540d263632d5fce3/rendering/11.obj", "2.2545940876")</f>
        <v>2.2545940876</v>
      </c>
      <c r="O920" s="34" t="str">
        <f>HYPERLINK(AB2 &amp; "/flashlight/sn_b6acff0e8e10f758540d263632d5fce3/rendering/12.obj", "2.29573941231")</f>
        <v>2.29573941231</v>
      </c>
      <c r="P920" s="38" t="str">
        <f>HYPERLINK(AB2 &amp; "/flashlight/sn_b6acff0e8e10f758540d263632d5fce3/rendering/13.obj", "2.62860918045")</f>
        <v>2.62860918045</v>
      </c>
      <c r="Q920" s="60" t="str">
        <f>HYPERLINK(AB2 &amp; "/flashlight/sn_b6acff0e8e10f758540d263632d5fce3/rendering/14.obj", "2.28401088715")</f>
        <v>2.28401088715</v>
      </c>
      <c r="R920" s="48" t="str">
        <f>HYPERLINK(AB2 &amp; "/flashlight/sn_b6acff0e8e10f758540d263632d5fce3/rendering/15.obj", "2.35658955574")</f>
        <v>2.35658955574</v>
      </c>
      <c r="S920" s="94" t="str">
        <f>HYPERLINK(AB2 &amp; "/flashlight/sn_b6acff0e8e10f758540d263632d5fce3/rendering/16.obj", "2.589812994")</f>
        <v>2.589812994</v>
      </c>
      <c r="T920" s="35" t="str">
        <f>HYPERLINK(AB2 &amp; "/flashlight/sn_b6acff0e8e10f758540d263632d5fce3/rendering/17.obj", "2.27075624466")</f>
        <v>2.27075624466</v>
      </c>
      <c r="U920" s="46" t="str">
        <f>HYPERLINK(AB2 &amp; "/flashlight/sn_b6acff0e8e10f758540d263632d5fce3/rendering/18.obj", "2.45286417007")</f>
        <v>2.45286417007</v>
      </c>
      <c r="V920" s="26" t="str">
        <f>HYPERLINK(AB2 &amp; "/flashlight/sn_b6acff0e8e10f758540d263632d5fce3/rendering/19.obj", "2.25541639328")</f>
        <v>2.25541639328</v>
      </c>
      <c r="W920" s="12" t="s">
        <v>32</v>
      </c>
      <c r="X920" s="13">
        <v>2.412518060207367</v>
      </c>
      <c r="Y920" s="13">
        <v>0.18813576767545759</v>
      </c>
      <c r="Z920" s="5">
        <v>7.7983154107159919E-2</v>
      </c>
    </row>
    <row r="921" spans="1:26" x14ac:dyDescent="0.2">
      <c r="A921" s="1">
        <v>919</v>
      </c>
      <c r="B921" s="2" t="s">
        <v>216</v>
      </c>
      <c r="C921" s="13" t="str">
        <f>HYPERLINK(AC2 &amp; "/flashlight/sn_b6acff0e8e10f758540d263632d5fce3/rendering/00.xyz", "0.0")</f>
        <v>0.0</v>
      </c>
      <c r="D921" s="13" t="str">
        <f>HYPERLINK(AC2 &amp; "/flashlight/sn_b6acff0e8e10f758540d263632d5fce3/rendering/01.xyz", "0.0")</f>
        <v>0.0</v>
      </c>
      <c r="E921" s="13" t="str">
        <f>HYPERLINK(AC2 &amp; "/flashlight/sn_b6acff0e8e10f758540d263632d5fce3/rendering/02.xyz", "0.0")</f>
        <v>0.0</v>
      </c>
      <c r="F921" s="13" t="str">
        <f>HYPERLINK(AC2 &amp; "/flashlight/sn_b6acff0e8e10f758540d263632d5fce3/rendering/03.xyz", "0.0")</f>
        <v>0.0</v>
      </c>
      <c r="G921" s="13" t="str">
        <f>HYPERLINK(AC2 &amp; "/flashlight/sn_b6acff0e8e10f758540d263632d5fce3/rendering/04.xyz", "0.0")</f>
        <v>0.0</v>
      </c>
      <c r="H921" s="13" t="str">
        <f>HYPERLINK(AC2 &amp; "/flashlight/sn_b6acff0e8e10f758540d263632d5fce3/rendering/05.xyz", "0.0")</f>
        <v>0.0</v>
      </c>
      <c r="I921" s="13" t="str">
        <f>HYPERLINK(AC2 &amp; "/flashlight/sn_b6acff0e8e10f758540d263632d5fce3/rendering/06.xyz", "0.0")</f>
        <v>0.0</v>
      </c>
      <c r="J921" s="13" t="str">
        <f>HYPERLINK(AC2 &amp; "/flashlight/sn_b6acff0e8e10f758540d263632d5fce3/rendering/07.xyz", "0.0")</f>
        <v>0.0</v>
      </c>
      <c r="K921" s="13" t="str">
        <f>HYPERLINK(AC2 &amp; "/flashlight/sn_b6acff0e8e10f758540d263632d5fce3/rendering/08.xyz", "0.0")</f>
        <v>0.0</v>
      </c>
      <c r="L921" s="13" t="str">
        <f>HYPERLINK(AC2 &amp; "/flashlight/sn_b6acff0e8e10f758540d263632d5fce3/rendering/09.xyz", "0.0")</f>
        <v>0.0</v>
      </c>
      <c r="M921" s="13" t="str">
        <f>HYPERLINK(AC2 &amp; "/flashlight/sn_b6acff0e8e10f758540d263632d5fce3/rendering/10.xyz", "0.0")</f>
        <v>0.0</v>
      </c>
      <c r="N921" s="13" t="str">
        <f>HYPERLINK(AC2 &amp; "/flashlight/sn_b6acff0e8e10f758540d263632d5fce3/rendering/11.xyz", "0.0")</f>
        <v>0.0</v>
      </c>
      <c r="O921" s="13" t="str">
        <f>HYPERLINK(AC2 &amp; "/flashlight/sn_b6acff0e8e10f758540d263632d5fce3/rendering/12.xyz", "0.0")</f>
        <v>0.0</v>
      </c>
      <c r="P921" s="13" t="str">
        <f>HYPERLINK(AC2 &amp; "/flashlight/sn_b6acff0e8e10f758540d263632d5fce3/rendering/13.xyz", "0.0")</f>
        <v>0.0</v>
      </c>
      <c r="Q921" s="13" t="str">
        <f>HYPERLINK(AC2 &amp; "/flashlight/sn_b6acff0e8e10f758540d263632d5fce3/rendering/14.xyz", "0.0")</f>
        <v>0.0</v>
      </c>
      <c r="R921" s="13" t="str">
        <f>HYPERLINK(AC2 &amp; "/flashlight/sn_b6acff0e8e10f758540d263632d5fce3/rendering/15.xyz", "0.0")</f>
        <v>0.0</v>
      </c>
      <c r="S921" s="13" t="str">
        <f>HYPERLINK(AC2 &amp; "/flashlight/sn_b6acff0e8e10f758540d263632d5fce3/rendering/16.xyz", "0.0")</f>
        <v>0.0</v>
      </c>
      <c r="T921" s="13" t="str">
        <f>HYPERLINK(AC2 &amp; "/flashlight/sn_b6acff0e8e10f758540d263632d5fce3/rendering/17.xyz", "0.0")</f>
        <v>0.0</v>
      </c>
      <c r="U921" s="13" t="str">
        <f>HYPERLINK(AC2 &amp; "/flashlight/sn_b6acff0e8e10f758540d263632d5fce3/rendering/18.xyz", "0.0")</f>
        <v>0.0</v>
      </c>
      <c r="V921" s="13" t="str">
        <f>HYPERLINK(AC2 &amp; "/flashlight/sn_b6acff0e8e10f758540d263632d5fce3/rendering/19.xyz", "0.0")</f>
        <v>0.0</v>
      </c>
      <c r="W921" s="12" t="s">
        <v>33</v>
      </c>
      <c r="X921" s="13">
        <v>0</v>
      </c>
      <c r="Y921" s="13">
        <v>0</v>
      </c>
      <c r="Z921" s="13">
        <v>0</v>
      </c>
    </row>
    <row r="922" spans="1:26" x14ac:dyDescent="0.2">
      <c r="A922" s="1">
        <v>920</v>
      </c>
      <c r="B922" s="2" t="s">
        <v>217</v>
      </c>
      <c r="C922" s="60" t="str">
        <f>HYPERLINK(AA2 &amp; "/flashlight/sn_b806430ff7a764ef0f0ebde329b4bb6/rendering/00.obj", "5.17513549805")</f>
        <v>5.17513549805</v>
      </c>
      <c r="D922" s="34" t="str">
        <f>HYPERLINK(AA2 &amp; "/flashlight/sn_b806430ff7a764ef0f0ebde329b4bb6/rendering/01.obj", "4.69221832275")</f>
        <v>4.69221832275</v>
      </c>
      <c r="E922" s="73" t="str">
        <f>HYPERLINK(AA2 &amp; "/flashlight/sn_b806430ff7a764ef0f0ebde329b4bb6/rendering/02.obj", "5.10154418945")</f>
        <v>5.10154418945</v>
      </c>
      <c r="F922" s="107" t="str">
        <f>HYPERLINK(AA2 &amp; "/flashlight/sn_b806430ff7a764ef0f0ebde329b4bb6/rendering/03.obj", "5.34088745117")</f>
        <v>5.34088745117</v>
      </c>
      <c r="G922" s="10" t="str">
        <f>HYPERLINK(AA2 &amp; "/flashlight/sn_b806430ff7a764ef0f0ebde329b4bb6/rendering/04.obj", "4.65578186035")</f>
        <v>4.65578186035</v>
      </c>
      <c r="H922" s="91" t="str">
        <f>HYPERLINK(AA2 &amp; "/flashlight/sn_b806430ff7a764ef0f0ebde329b4bb6/rendering/05.obj", "5.06024597168")</f>
        <v>5.06024597168</v>
      </c>
      <c r="I922" s="35" t="str">
        <f>HYPERLINK(AA2 &amp; "/flashlight/sn_b806430ff7a764ef0f0ebde329b4bb6/rendering/06.obj", "4.64667510986")</f>
        <v>4.64667510986</v>
      </c>
      <c r="J922" s="91" t="str">
        <f>HYPERLINK(AA2 &amp; "/flashlight/sn_b806430ff7a764ef0f0ebde329b4bb6/rendering/07.obj", "4.7947668457")</f>
        <v>4.7947668457</v>
      </c>
      <c r="K922" s="34" t="str">
        <f>HYPERLINK(AA2 &amp; "/flashlight/sn_b806430ff7a764ef0f0ebde329b4bb6/rendering/08.obj", "4.68299621582")</f>
        <v>4.68299621582</v>
      </c>
      <c r="L922" s="17" t="str">
        <f>HYPERLINK(AA2 &amp; "/flashlight/sn_b806430ff7a764ef0f0ebde329b4bb6/rendering/09.obj", "4.83002258301")</f>
        <v>4.83002258301</v>
      </c>
      <c r="M922" s="71" t="str">
        <f>HYPERLINK(AA2 &amp; "/flashlight/sn_b806430ff7a764ef0f0ebde329b4bb6/rendering/10.obj", "5.50377868652")</f>
        <v>5.50377868652</v>
      </c>
      <c r="N922" s="47" t="str">
        <f>HYPERLINK(AA2 &amp; "/flashlight/sn_b806430ff7a764ef0f0ebde329b4bb6/rendering/11.obj", "4.88440368652")</f>
        <v>4.88440368652</v>
      </c>
      <c r="O922" s="74" t="str">
        <f>HYPERLINK(AA2 &amp; "/flashlight/sn_b806430ff7a764ef0f0ebde329b4bb6/rendering/12.obj", "4.85201263428")</f>
        <v>4.85201263428</v>
      </c>
      <c r="P922" s="68" t="str">
        <f>HYPERLINK(AA2 &amp; "/flashlight/sn_b806430ff7a764ef0f0ebde329b4bb6/rendering/13.obj", "5.12997253418")</f>
        <v>5.12997253418</v>
      </c>
      <c r="Q922" s="47" t="str">
        <f>HYPERLINK(AA2 &amp; "/flashlight/sn_b806430ff7a764ef0f0ebde329b4bb6/rendering/14.obj", "4.88984130859")</f>
        <v>4.88984130859</v>
      </c>
      <c r="R922" s="27" t="str">
        <f>HYPERLINK(AA2 &amp; "/flashlight/sn_b806430ff7a764ef0f0ebde329b4bb6/rendering/15.obj", "5.27838928223")</f>
        <v>5.27838928223</v>
      </c>
      <c r="S922" s="48" t="str">
        <f>HYPERLINK(AA2 &amp; "/flashlight/sn_b806430ff7a764ef0f0ebde329b4bb6/rendering/16.obj", "4.80332580566")</f>
        <v>4.80332580566</v>
      </c>
      <c r="T922" s="73" t="str">
        <f>HYPERLINK(AA2 &amp; "/flashlight/sn_b806430ff7a764ef0f0ebde329b4bb6/rendering/17.obj", "4.74617126465")</f>
        <v>4.74617126465</v>
      </c>
      <c r="U922" s="6" t="str">
        <f>HYPERLINK(AA2 &amp; "/flashlight/sn_b806430ff7a764ef0f0ebde329b4bb6/rendering/18.obj", "4.70559661865")</f>
        <v>4.70559661865</v>
      </c>
      <c r="V922" s="73" t="str">
        <f>HYPERLINK(AA2 &amp; "/flashlight/sn_b806430ff7a764ef0f0ebde329b4bb6/rendering/19.obj", "4.74590637207")</f>
        <v>4.74590637207</v>
      </c>
      <c r="W922" s="12" t="s">
        <v>29</v>
      </c>
      <c r="X922" s="13">
        <v>4.9259836120605467</v>
      </c>
      <c r="Y922" s="13">
        <v>0.24604250946565409</v>
      </c>
      <c r="Z922" s="34">
        <v>4.994789443944863E-2</v>
      </c>
    </row>
    <row r="923" spans="1:26" x14ac:dyDescent="0.2">
      <c r="A923" s="1">
        <v>921</v>
      </c>
      <c r="B923" s="2" t="s">
        <v>217</v>
      </c>
      <c r="C923" s="71" t="str">
        <f>HYPERLINK(AA2 &amp; "/flashlight/sn_b806430ff7a764ef0f0ebde329b4bb6/rendering/00.obj", "3.80950164795")</f>
        <v>3.80950164795</v>
      </c>
      <c r="D923" s="134" t="str">
        <f>HYPERLINK(AA2 &amp; "/flashlight/sn_b806430ff7a764ef0f0ebde329b4bb6/rendering/01.obj", "2.79755759239")</f>
        <v>2.79755759239</v>
      </c>
      <c r="E923" s="5" t="str">
        <f>HYPERLINK(AA2 &amp; "/flashlight/sn_b806430ff7a764ef0f0ebde329b4bb6/rendering/02.obj", "3.14607548714")</f>
        <v>3.14607548714</v>
      </c>
      <c r="F923" s="80" t="str">
        <f>HYPERLINK(AA2 &amp; "/flashlight/sn_b806430ff7a764ef0f0ebde329b4bb6/rendering/03.obj", "3.91501617432")</f>
        <v>3.91501617432</v>
      </c>
      <c r="G923" s="66" t="str">
        <f>HYPERLINK(AA2 &amp; "/flashlight/sn_b806430ff7a764ef0f0ebde329b4bb6/rendering/04.obj", "2.86294817924")</f>
        <v>2.86294817924</v>
      </c>
      <c r="H923" s="36" t="str">
        <f>HYPERLINK(AA2 &amp; "/flashlight/sn_b806430ff7a764ef0f0ebde329b4bb6/rendering/05.obj", "4.14106416702")</f>
        <v>4.14106416702</v>
      </c>
      <c r="I923" s="175" t="str">
        <f>HYPERLINK(AA2 &amp; "/flashlight/sn_b806430ff7a764ef0f0ebde329b4bb6/rendering/06.obj", "2.608253479")</f>
        <v>2.608253479</v>
      </c>
      <c r="J923" s="106" t="str">
        <f>HYPERLINK(AA2 &amp; "/flashlight/sn_b806430ff7a764ef0f0ebde329b4bb6/rendering/07.obj", "3.02007389069")</f>
        <v>3.02007389069</v>
      </c>
      <c r="K923" s="88" t="str">
        <f>HYPERLINK(AA2 &amp; "/flashlight/sn_b806430ff7a764ef0f0ebde329b4bb6/rendering/08.obj", "2.71467328072")</f>
        <v>2.71467328072</v>
      </c>
      <c r="L923" s="71" t="str">
        <f>HYPERLINK(AA2 &amp; "/flashlight/sn_b806430ff7a764ef0f0ebde329b4bb6/rendering/09.obj", "3.80537009239")</f>
        <v>3.80537009239</v>
      </c>
      <c r="M923" s="227" t="str">
        <f>HYPERLINK(AA2 &amp; "/flashlight/sn_b806430ff7a764ef0f0ebde329b4bb6/rendering/10.obj", "5.14700603485")</f>
        <v>5.14700603485</v>
      </c>
      <c r="N923" s="41" t="str">
        <f>HYPERLINK(AA2 &amp; "/flashlight/sn_b806430ff7a764ef0f0ebde329b4bb6/rendering/11.obj", "3.18318748474")</f>
        <v>3.18318748474</v>
      </c>
      <c r="O923" s="94" t="str">
        <f>HYPERLINK(AA2 &amp; "/flashlight/sn_b806430ff7a764ef0f0ebde329b4bb6/rendering/12.obj", "3.15409851074")</f>
        <v>3.15409851074</v>
      </c>
      <c r="P923" s="74" t="str">
        <f>HYPERLINK(AA2 &amp; "/flashlight/sn_b806430ff7a764ef0f0ebde329b4bb6/rendering/13.obj", "3.36559176445")</f>
        <v>3.36559176445</v>
      </c>
      <c r="Q923" s="77" t="str">
        <f>HYPERLINK(AA2 &amp; "/flashlight/sn_b806430ff7a764ef0f0ebde329b4bb6/rendering/14.obj", "2.77247023582")</f>
        <v>2.77247023582</v>
      </c>
      <c r="R923" s="126" t="str">
        <f>HYPERLINK(AA2 &amp; "/flashlight/sn_b806430ff7a764ef0f0ebde329b4bb6/rendering/15.obj", "5.10999488831")</f>
        <v>5.10999488831</v>
      </c>
      <c r="S923" s="46" t="str">
        <f>HYPERLINK(AA2 &amp; "/flashlight/sn_b806430ff7a764ef0f0ebde329b4bb6/rendering/16.obj", "3.4642624855")</f>
        <v>3.4642624855</v>
      </c>
      <c r="T923" s="83" t="str">
        <f>HYPERLINK(AA2 &amp; "/flashlight/sn_b806430ff7a764ef0f0ebde329b4bb6/rendering/17.obj", "2.89049172401")</f>
        <v>2.89049172401</v>
      </c>
      <c r="U923" s="48" t="str">
        <f>HYPERLINK(AA2 &amp; "/flashlight/sn_b806430ff7a764ef0f0ebde329b4bb6/rendering/18.obj", "3.33274435997")</f>
        <v>3.33274435997</v>
      </c>
      <c r="V923" s="42" t="str">
        <f>HYPERLINK(AA2 &amp; "/flashlight/sn_b806430ff7a764ef0f0ebde329b4bb6/rendering/19.obj", "2.94516992569")</f>
        <v>2.94516992569</v>
      </c>
      <c r="W923" s="12" t="s">
        <v>30</v>
      </c>
      <c r="X923" s="13">
        <v>3.4092775702476499</v>
      </c>
      <c r="Y923" s="13">
        <v>0.70905283662175311</v>
      </c>
      <c r="Z923" s="49">
        <v>0.20797744449134059</v>
      </c>
    </row>
    <row r="924" spans="1:26" x14ac:dyDescent="0.2">
      <c r="A924" s="1">
        <v>922</v>
      </c>
      <c r="B924" s="2" t="s">
        <v>217</v>
      </c>
      <c r="C924" s="17" t="str">
        <f>HYPERLINK(AB2 &amp; "/flashlight/sn_b806430ff7a764ef0f0ebde329b4bb6/rendering/00.obj", "5.40422241211")</f>
        <v>5.40422241211</v>
      </c>
      <c r="D924" s="69" t="str">
        <f>HYPERLINK(AB2 &amp; "/flashlight/sn_b806430ff7a764ef0f0ebde329b4bb6/rendering/01.obj", "5.69042724609")</f>
        <v>5.69042724609</v>
      </c>
      <c r="E924" s="13" t="str">
        <f>HYPERLINK(AB2 &amp; "/flashlight/sn_b806430ff7a764ef0f0ebde329b4bb6/rendering/02.obj", "5.51097595215")</f>
        <v>5.51097595215</v>
      </c>
      <c r="F924" s="69" t="str">
        <f>HYPERLINK(AB2 &amp; "/flashlight/sn_b806430ff7a764ef0f0ebde329b4bb6/rendering/03.obj", "5.3590802002")</f>
        <v>5.3590802002</v>
      </c>
      <c r="G924" s="74" t="str">
        <f>HYPERLINK(AB2 &amp; "/flashlight/sn_b806430ff7a764ef0f0ebde329b4bb6/rendering/04.obj", "5.60575561523")</f>
        <v>5.60575561523</v>
      </c>
      <c r="H924" s="68" t="str">
        <f>HYPERLINK(AB2 &amp; "/flashlight/sn_b806430ff7a764ef0f0ebde329b4bb6/rendering/05.obj", "5.28669616699")</f>
        <v>5.28669616699</v>
      </c>
      <c r="I924" s="13" t="str">
        <f>HYPERLINK(AB2 &amp; "/flashlight/sn_b806430ff7a764ef0f0ebde329b4bb6/rendering/06.obj", "5.5346685791")</f>
        <v>5.5346685791</v>
      </c>
      <c r="J924" s="46" t="str">
        <f>HYPERLINK(AB2 &amp; "/flashlight/sn_b806430ff7a764ef0f0ebde329b4bb6/rendering/07.obj", "5.61344604492")</f>
        <v>5.61344604492</v>
      </c>
      <c r="K924" s="17" t="str">
        <f>HYPERLINK(AB2 &amp; "/flashlight/sn_b806430ff7a764ef0f0ebde329b4bb6/rendering/08.obj", "5.63221740723")</f>
        <v>5.63221740723</v>
      </c>
      <c r="L924" s="25" t="str">
        <f>HYPERLINK(AB2 &amp; "/flashlight/sn_b806430ff7a764ef0f0ebde329b4bb6/rendering/09.obj", "5.46830566406")</f>
        <v>5.46830566406</v>
      </c>
      <c r="M924" s="17" t="str">
        <f>HYPERLINK(AB2 &amp; "/flashlight/sn_b806430ff7a764ef0f0ebde329b4bb6/rendering/10.obj", "5.40890869141")</f>
        <v>5.40890869141</v>
      </c>
      <c r="N924" s="30" t="str">
        <f>HYPERLINK(AB2 &amp; "/flashlight/sn_b806430ff7a764ef0f0ebde329b4bb6/rendering/11.obj", "5.54483093262")</f>
        <v>5.54483093262</v>
      </c>
      <c r="O924" s="47" t="str">
        <f>HYPERLINK(AB2 &amp; "/flashlight/sn_b806430ff7a764ef0f0ebde329b4bb6/rendering/12.obj", "5.48240783691")</f>
        <v>5.48240783691</v>
      </c>
      <c r="P924" s="48" t="str">
        <f>HYPERLINK(AB2 &amp; "/flashlight/sn_b806430ff7a764ef0f0ebde329b4bb6/rendering/13.obj", "5.65447814941")</f>
        <v>5.65447814941</v>
      </c>
      <c r="Q924" s="30" t="str">
        <f>HYPERLINK(AB2 &amp; "/flashlight/sn_b806430ff7a764ef0f0ebde329b4bb6/rendering/14.obj", "5.54930175781")</f>
        <v>5.54930175781</v>
      </c>
      <c r="R924" s="74" t="str">
        <f>HYPERLINK(AB2 &amp; "/flashlight/sn_b806430ff7a764ef0f0ebde329b4bb6/rendering/15.obj", "5.44096618652")</f>
        <v>5.44096618652</v>
      </c>
      <c r="S924" s="47" t="str">
        <f>HYPERLINK(AB2 &amp; "/flashlight/sn_b806430ff7a764ef0f0ebde329b4bb6/rendering/16.obj", "5.48373046875")</f>
        <v>5.48373046875</v>
      </c>
      <c r="T924" s="48" t="str">
        <f>HYPERLINK(AB2 &amp; "/flashlight/sn_b806430ff7a764ef0f0ebde329b4bb6/rendering/17.obj", "5.65479492188")</f>
        <v>5.65479492188</v>
      </c>
      <c r="U924" s="30" t="str">
        <f>HYPERLINK(AB2 &amp; "/flashlight/sn_b806430ff7a764ef0f0ebde329b4bb6/rendering/18.obj", "5.54976196289")</f>
        <v>5.54976196289</v>
      </c>
      <c r="V924" s="13" t="str">
        <f>HYPERLINK(AB2 &amp; "/flashlight/sn_b806430ff7a764ef0f0ebde329b4bb6/rendering/19.obj", "5.53114746094")</f>
        <v>5.53114746094</v>
      </c>
      <c r="W924" s="12" t="s">
        <v>31</v>
      </c>
      <c r="X924" s="13">
        <v>5.5203061828613276</v>
      </c>
      <c r="Y924" s="13">
        <v>0.1035560829347153</v>
      </c>
      <c r="Z924" s="46">
        <v>1.875911942279972E-2</v>
      </c>
    </row>
    <row r="925" spans="1:26" x14ac:dyDescent="0.2">
      <c r="A925" s="1">
        <v>923</v>
      </c>
      <c r="B925" s="2" t="s">
        <v>217</v>
      </c>
      <c r="C925" s="17" t="str">
        <f>HYPERLINK(AB2 &amp; "/flashlight/sn_b806430ff7a764ef0f0ebde329b4bb6/rendering/00.obj", "2.41684412956")</f>
        <v>2.41684412956</v>
      </c>
      <c r="D925" s="17" t="str">
        <f>HYPERLINK(AB2 &amp; "/flashlight/sn_b806430ff7a764ef0f0ebde329b4bb6/rendering/01.obj", "2.4177005291")</f>
        <v>2.4177005291</v>
      </c>
      <c r="E925" s="34" t="str">
        <f>HYPERLINK(AB2 &amp; "/flashlight/sn_b806430ff7a764ef0f0ebde329b4bb6/rendering/02.obj", "2.25642085075")</f>
        <v>2.25642085075</v>
      </c>
      <c r="F925" s="73" t="str">
        <f>HYPERLINK(AB2 &amp; "/flashlight/sn_b806430ff7a764ef0f0ebde329b4bb6/rendering/03.obj", "2.28826928139")</f>
        <v>2.28826928139</v>
      </c>
      <c r="G925" s="48" t="str">
        <f>HYPERLINK(AB2 &amp; "/flashlight/sn_b806430ff7a764ef0f0ebde329b4bb6/rendering/04.obj", "2.42498850822")</f>
        <v>2.42498850822</v>
      </c>
      <c r="H925" s="68" t="str">
        <f>HYPERLINK(AB2 &amp; "/flashlight/sn_b806430ff7a764ef0f0ebde329b4bb6/rendering/05.obj", "2.27344870567")</f>
        <v>2.27344870567</v>
      </c>
      <c r="I925" s="25" t="str">
        <f>HYPERLINK(AB2 &amp; "/flashlight/sn_b806430ff7a764ef0f0ebde329b4bb6/rendering/06.obj", "2.39577960968")</f>
        <v>2.39577960968</v>
      </c>
      <c r="J925" s="68" t="str">
        <f>HYPERLINK(AB2 &amp; "/flashlight/sn_b806430ff7a764ef0f0ebde329b4bb6/rendering/07.obj", "2.47115421295")</f>
        <v>2.47115421295</v>
      </c>
      <c r="K925" s="48" t="str">
        <f>HYPERLINK(AB2 &amp; "/flashlight/sn_b806430ff7a764ef0f0ebde329b4bb6/rendering/08.obj", "2.43019652367")</f>
        <v>2.43019652367</v>
      </c>
      <c r="L925" s="46" t="str">
        <f>HYPERLINK(AB2 &amp; "/flashlight/sn_b806430ff7a764ef0f0ebde329b4bb6/rendering/09.obj", "2.41077566147")</f>
        <v>2.41077566147</v>
      </c>
      <c r="M925" s="46" t="str">
        <f>HYPERLINK(AB2 &amp; "/flashlight/sn_b806430ff7a764ef0f0ebde329b4bb6/rendering/10.obj", "2.32847571373")</f>
        <v>2.32847571373</v>
      </c>
      <c r="N925" s="25" t="str">
        <f>HYPERLINK(AB2 &amp; "/flashlight/sn_b806430ff7a764ef0f0ebde329b4bb6/rendering/11.obj", "2.34747600555")</f>
        <v>2.34747600555</v>
      </c>
      <c r="O925" s="6" t="str">
        <f>HYPERLINK(AB2 &amp; "/flashlight/sn_b806430ff7a764ef0f0ebde329b4bb6/rendering/12.obj", "2.47842717171")</f>
        <v>2.47842717171</v>
      </c>
      <c r="P925" s="46" t="str">
        <f>HYPERLINK(AB2 &amp; "/flashlight/sn_b806430ff7a764ef0f0ebde329b4bb6/rendering/13.obj", "2.32807374001")</f>
        <v>2.32807374001</v>
      </c>
      <c r="Q925" s="6" t="str">
        <f>HYPERLINK(AB2 &amp; "/flashlight/sn_b806430ff7a764ef0f0ebde329b4bb6/rendering/14.obj", "2.2659060955")</f>
        <v>2.2659060955</v>
      </c>
      <c r="R925" s="74" t="str">
        <f>HYPERLINK(AB2 &amp; "/flashlight/sn_b806430ff7a764ef0f0ebde329b4bb6/rendering/15.obj", "2.40804982185")</f>
        <v>2.40804982185</v>
      </c>
      <c r="S925" s="48" t="str">
        <f>HYPERLINK(AB2 &amp; "/flashlight/sn_b806430ff7a764ef0f0ebde329b4bb6/rendering/16.obj", "2.31364965439")</f>
        <v>2.31364965439</v>
      </c>
      <c r="T925" s="60" t="str">
        <f>HYPERLINK(AB2 &amp; "/flashlight/sn_b806430ff7a764ef0f0ebde329b4bb6/rendering/17.obj", "2.4980700016")</f>
        <v>2.4980700016</v>
      </c>
      <c r="U925" s="13" t="str">
        <f>HYPERLINK(AB2 &amp; "/flashlight/sn_b806430ff7a764ef0f0ebde329b4bb6/rendering/18.obj", "2.37741661072")</f>
        <v>2.37741661072</v>
      </c>
      <c r="V925" s="91" t="str">
        <f>HYPERLINK(AB2 &amp; "/flashlight/sn_b806430ff7a764ef0f0ebde329b4bb6/rendering/19.obj", "2.31169438362")</f>
        <v>2.31169438362</v>
      </c>
      <c r="W925" s="12" t="s">
        <v>32</v>
      </c>
      <c r="X925" s="13">
        <v>2.3721408605575558</v>
      </c>
      <c r="Y925" s="13">
        <v>7.1954199164092819E-2</v>
      </c>
      <c r="Z925" s="69">
        <v>3.0333021263830199E-2</v>
      </c>
    </row>
    <row r="926" spans="1:26" x14ac:dyDescent="0.2">
      <c r="A926" s="1">
        <v>924</v>
      </c>
      <c r="B926" s="2" t="s">
        <v>217</v>
      </c>
      <c r="C926" s="13" t="str">
        <f>HYPERLINK(AC2 &amp; "/flashlight/sn_b806430ff7a764ef0f0ebde329b4bb6/rendering/00.xyz", "0.0")</f>
        <v>0.0</v>
      </c>
      <c r="D926" s="13" t="str">
        <f>HYPERLINK(AC2 &amp; "/flashlight/sn_b806430ff7a764ef0f0ebde329b4bb6/rendering/01.xyz", "0.0")</f>
        <v>0.0</v>
      </c>
      <c r="E926" s="13" t="str">
        <f>HYPERLINK(AC2 &amp; "/flashlight/sn_b806430ff7a764ef0f0ebde329b4bb6/rendering/02.xyz", "0.0")</f>
        <v>0.0</v>
      </c>
      <c r="F926" s="13" t="str">
        <f>HYPERLINK(AC2 &amp; "/flashlight/sn_b806430ff7a764ef0f0ebde329b4bb6/rendering/03.xyz", "0.0")</f>
        <v>0.0</v>
      </c>
      <c r="G926" s="13" t="str">
        <f>HYPERLINK(AC2 &amp; "/flashlight/sn_b806430ff7a764ef0f0ebde329b4bb6/rendering/04.xyz", "0.0")</f>
        <v>0.0</v>
      </c>
      <c r="H926" s="13" t="str">
        <f>HYPERLINK(AC2 &amp; "/flashlight/sn_b806430ff7a764ef0f0ebde329b4bb6/rendering/05.xyz", "0.0")</f>
        <v>0.0</v>
      </c>
      <c r="I926" s="13" t="str">
        <f>HYPERLINK(AC2 &amp; "/flashlight/sn_b806430ff7a764ef0f0ebde329b4bb6/rendering/06.xyz", "0.0")</f>
        <v>0.0</v>
      </c>
      <c r="J926" s="13" t="str">
        <f>HYPERLINK(AC2 &amp; "/flashlight/sn_b806430ff7a764ef0f0ebde329b4bb6/rendering/07.xyz", "0.0")</f>
        <v>0.0</v>
      </c>
      <c r="K926" s="13" t="str">
        <f>HYPERLINK(AC2 &amp; "/flashlight/sn_b806430ff7a764ef0f0ebde329b4bb6/rendering/08.xyz", "0.0")</f>
        <v>0.0</v>
      </c>
      <c r="L926" s="13" t="str">
        <f>HYPERLINK(AC2 &amp; "/flashlight/sn_b806430ff7a764ef0f0ebde329b4bb6/rendering/09.xyz", "0.0")</f>
        <v>0.0</v>
      </c>
      <c r="M926" s="13" t="str">
        <f>HYPERLINK(AC2 &amp; "/flashlight/sn_b806430ff7a764ef0f0ebde329b4bb6/rendering/10.xyz", "0.0")</f>
        <v>0.0</v>
      </c>
      <c r="N926" s="13" t="str">
        <f>HYPERLINK(AC2 &amp; "/flashlight/sn_b806430ff7a764ef0f0ebde329b4bb6/rendering/11.xyz", "0.0")</f>
        <v>0.0</v>
      </c>
      <c r="O926" s="13" t="str">
        <f>HYPERLINK(AC2 &amp; "/flashlight/sn_b806430ff7a764ef0f0ebde329b4bb6/rendering/12.xyz", "0.0")</f>
        <v>0.0</v>
      </c>
      <c r="P926" s="13" t="str">
        <f>HYPERLINK(AC2 &amp; "/flashlight/sn_b806430ff7a764ef0f0ebde329b4bb6/rendering/13.xyz", "0.0")</f>
        <v>0.0</v>
      </c>
      <c r="Q926" s="13" t="str">
        <f>HYPERLINK(AC2 &amp; "/flashlight/sn_b806430ff7a764ef0f0ebde329b4bb6/rendering/14.xyz", "0.0")</f>
        <v>0.0</v>
      </c>
      <c r="R926" s="13" t="str">
        <f>HYPERLINK(AC2 &amp; "/flashlight/sn_b806430ff7a764ef0f0ebde329b4bb6/rendering/15.xyz", "0.0")</f>
        <v>0.0</v>
      </c>
      <c r="S926" s="13" t="str">
        <f>HYPERLINK(AC2 &amp; "/flashlight/sn_b806430ff7a764ef0f0ebde329b4bb6/rendering/16.xyz", "0.0")</f>
        <v>0.0</v>
      </c>
      <c r="T926" s="13" t="str">
        <f>HYPERLINK(AC2 &amp; "/flashlight/sn_b806430ff7a764ef0f0ebde329b4bb6/rendering/17.xyz", "0.0")</f>
        <v>0.0</v>
      </c>
      <c r="U926" s="13" t="str">
        <f>HYPERLINK(AC2 &amp; "/flashlight/sn_b806430ff7a764ef0f0ebde329b4bb6/rendering/18.xyz", "0.0")</f>
        <v>0.0</v>
      </c>
      <c r="V926" s="13" t="str">
        <f>HYPERLINK(AC2 &amp; "/flashlight/sn_b806430ff7a764ef0f0ebde329b4bb6/rendering/19.xyz", "0.0")</f>
        <v>0.0</v>
      </c>
      <c r="W926" s="12" t="s">
        <v>33</v>
      </c>
      <c r="X926" s="13">
        <v>0</v>
      </c>
      <c r="Y926" s="13">
        <v>0</v>
      </c>
      <c r="Z926" s="13">
        <v>0</v>
      </c>
    </row>
    <row r="927" spans="1:26" x14ac:dyDescent="0.2">
      <c r="A927" s="1">
        <v>925</v>
      </c>
      <c r="B927" s="2" t="s">
        <v>218</v>
      </c>
      <c r="C927" s="48" t="str">
        <f>HYPERLINK(AA2 &amp; "/flashlight/sn_b8a2d0816b4e4dd9be0355c8334334a8/rendering/00.obj", "4.80599334717")</f>
        <v>4.80599334717</v>
      </c>
      <c r="D927" s="30" t="str">
        <f>HYPERLINK(AA2 &amp; "/flashlight/sn_b8a2d0816b4e4dd9be0355c8334334a8/rendering/01.obj", "4.66746032715")</f>
        <v>4.66746032715</v>
      </c>
      <c r="E927" s="35" t="str">
        <f>HYPERLINK(AA2 &amp; "/flashlight/sn_b8a2d0816b4e4dd9be0355c8334334a8/rendering/02.obj", "4.41865081787")</f>
        <v>4.41865081787</v>
      </c>
      <c r="F927" s="91" t="str">
        <f>HYPERLINK(AA2 &amp; "/flashlight/sn_b8a2d0816b4e4dd9be0355c8334334a8/rendering/03.obj", "4.81657531738")</f>
        <v>4.81657531738</v>
      </c>
      <c r="G927" s="30" t="str">
        <f>HYPERLINK(AA2 &amp; "/flashlight/sn_b8a2d0816b4e4dd9be0355c8334334a8/rendering/04.obj", "4.66785217285")</f>
        <v>4.66785217285</v>
      </c>
      <c r="H927" s="73" t="str">
        <f>HYPERLINK(AA2 &amp; "/flashlight/sn_b8a2d0816b4e4dd9be0355c8334334a8/rendering/05.obj", "4.52041900635")</f>
        <v>4.52041900635</v>
      </c>
      <c r="I927" s="47" t="str">
        <f>HYPERLINK(AA2 &amp; "/flashlight/sn_b8a2d0816b4e4dd9be0355c8334334a8/rendering/06.obj", "4.72699188232")</f>
        <v>4.72699188232</v>
      </c>
      <c r="J927" s="107" t="str">
        <f>HYPERLINK(AA2 &amp; "/flashlight/sn_b8a2d0816b4e4dd9be0355c8334334a8/rendering/07.obj", "4.29424926758")</f>
        <v>4.29424926758</v>
      </c>
      <c r="K927" s="30" t="str">
        <f>HYPERLINK(AA2 &amp; "/flashlight/sn_b8a2d0816b4e4dd9be0355c8334334a8/rendering/08.obj", "4.70496917725")</f>
        <v>4.70496917725</v>
      </c>
      <c r="L927" s="25" t="str">
        <f>HYPERLINK(AA2 &amp; "/flashlight/sn_b8a2d0816b4e4dd9be0355c8334334a8/rendering/09.obj", "4.7411114502")</f>
        <v>4.7411114502</v>
      </c>
      <c r="M927" s="74" t="str">
        <f>HYPERLINK(AA2 &amp; "/flashlight/sn_b8a2d0816b4e4dd9be0355c8334334a8/rendering/10.obj", "4.62072021484")</f>
        <v>4.62072021484</v>
      </c>
      <c r="N927" s="47" t="str">
        <f>HYPERLINK(AA2 &amp; "/flashlight/sn_b8a2d0816b4e4dd9be0355c8334334a8/rendering/11.obj", "4.72369445801")</f>
        <v>4.72369445801</v>
      </c>
      <c r="O927" s="6" t="str">
        <f>HYPERLINK(AA2 &amp; "/flashlight/sn_b8a2d0816b4e4dd9be0355c8334334a8/rendering/12.obj", "4.9015435791")</f>
        <v>4.9015435791</v>
      </c>
      <c r="P927" s="27" t="str">
        <f>HYPERLINK(AA2 &amp; "/flashlight/sn_b8a2d0816b4e4dd9be0355c8334334a8/rendering/13.obj", "5.01429656982")</f>
        <v>5.01429656982</v>
      </c>
      <c r="Q927" s="91" t="str">
        <f>HYPERLINK(AA2 &amp; "/flashlight/sn_b8a2d0816b4e4dd9be0355c8334334a8/rendering/14.obj", "4.56102966309")</f>
        <v>4.56102966309</v>
      </c>
      <c r="R927" s="23" t="str">
        <f>HYPERLINK(AA2 &amp; "/flashlight/sn_b8a2d0816b4e4dd9be0355c8334334a8/rendering/15.obj", "4.86808898926")</f>
        <v>4.86808898926</v>
      </c>
      <c r="S927" s="68" t="str">
        <f>HYPERLINK(AA2 &amp; "/flashlight/sn_b8a2d0816b4e4dd9be0355c8334334a8/rendering/16.obj", "4.88024078369")</f>
        <v>4.88024078369</v>
      </c>
      <c r="T927" s="47" t="str">
        <f>HYPERLINK(AA2 &amp; "/flashlight/sn_b8a2d0816b4e4dd9be0355c8334334a8/rendering/17.obj", "4.65714782715")</f>
        <v>4.65714782715</v>
      </c>
      <c r="U927" s="46" t="str">
        <f>HYPERLINK(AA2 &amp; "/flashlight/sn_b8a2d0816b4e4dd9be0355c8334334a8/rendering/18.obj", "4.60445373535")</f>
        <v>4.60445373535</v>
      </c>
      <c r="V927" s="48" t="str">
        <f>HYPERLINK(AA2 &amp; "/flashlight/sn_b8a2d0816b4e4dd9be0355c8334334a8/rendering/19.obj", "4.57476654053")</f>
        <v>4.57476654053</v>
      </c>
      <c r="W927" s="12" t="s">
        <v>29</v>
      </c>
      <c r="X927" s="13">
        <v>4.6885127563476559</v>
      </c>
      <c r="Y927" s="13">
        <v>0.16669019313083469</v>
      </c>
      <c r="Z927" s="73">
        <v>3.5552893165355523E-2</v>
      </c>
    </row>
    <row r="928" spans="1:26" x14ac:dyDescent="0.2">
      <c r="A928" s="1">
        <v>926</v>
      </c>
      <c r="B928" s="2" t="s">
        <v>218</v>
      </c>
      <c r="C928" s="27" t="str">
        <f>HYPERLINK(AA2 &amp; "/flashlight/sn_b8a2d0816b4e4dd9be0355c8334334a8/rendering/00.obj", "2.7078435421")</f>
        <v>2.7078435421</v>
      </c>
      <c r="D928" s="69" t="str">
        <f>HYPERLINK(AA2 &amp; "/flashlight/sn_b8a2d0816b4e4dd9be0355c8334334a8/rendering/01.obj", "2.82436299324")</f>
        <v>2.82436299324</v>
      </c>
      <c r="E928" s="84" t="str">
        <f>HYPERLINK(AA2 &amp; "/flashlight/sn_b8a2d0816b4e4dd9be0355c8334334a8/rendering/02.obj", "2.4871506691")</f>
        <v>2.4871506691</v>
      </c>
      <c r="F928" s="106" t="str">
        <f>HYPERLINK(AA2 &amp; "/flashlight/sn_b8a2d0816b4e4dd9be0355c8334334a8/rendering/03.obj", "2.57667064667")</f>
        <v>2.57667064667</v>
      </c>
      <c r="G928" s="82" t="str">
        <f>HYPERLINK(AA2 &amp; "/flashlight/sn_b8a2d0816b4e4dd9be0355c8334334a8/rendering/04.obj", "2.31234312057")</f>
        <v>2.31234312057</v>
      </c>
      <c r="H928" s="32" t="str">
        <f>HYPERLINK(AA2 &amp; "/flashlight/sn_b8a2d0816b4e4dd9be0355c8334334a8/rendering/05.obj", "3.22003865242")</f>
        <v>3.22003865242</v>
      </c>
      <c r="I928" s="60" t="str">
        <f>HYPERLINK(AA2 &amp; "/flashlight/sn_b8a2d0816b4e4dd9be0355c8334334a8/rendering/06.obj", "3.05991435051")</f>
        <v>3.05991435051</v>
      </c>
      <c r="J928" s="11" t="str">
        <f>HYPERLINK(AA2 &amp; "/flashlight/sn_b8a2d0816b4e4dd9be0355c8334334a8/rendering/07.obj", "2.25956988335")</f>
        <v>2.25956988335</v>
      </c>
      <c r="K928" s="14" t="str">
        <f>HYPERLINK(AA2 &amp; "/flashlight/sn_b8a2d0816b4e4dd9be0355c8334334a8/rendering/08.obj", "3.75218629837")</f>
        <v>3.75218629837</v>
      </c>
      <c r="L928" s="129" t="str">
        <f>HYPERLINK(AA2 &amp; "/flashlight/sn_b8a2d0816b4e4dd9be0355c8334334a8/rendering/09.obj", "3.6338763237")</f>
        <v>3.6338763237</v>
      </c>
      <c r="M928" s="98" t="str">
        <f>HYPERLINK(AA2 &amp; "/flashlight/sn_b8a2d0816b4e4dd9be0355c8334334a8/rendering/10.obj", "2.24381089211")</f>
        <v>2.24381089211</v>
      </c>
      <c r="N928" s="35" t="str">
        <f>HYPERLINK(AA2 &amp; "/flashlight/sn_b8a2d0816b4e4dd9be0355c8334334a8/rendering/11.obj", "3.0799510479")</f>
        <v>3.0799510479</v>
      </c>
      <c r="O928" s="46" t="str">
        <f>HYPERLINK(AA2 &amp; "/flashlight/sn_b8a2d0816b4e4dd9be0355c8334334a8/rendering/12.obj", "2.85999894142")</f>
        <v>2.85999894142</v>
      </c>
      <c r="P928" s="123" t="str">
        <f>HYPERLINK(AA2 &amp; "/flashlight/sn_b8a2d0816b4e4dd9be0355c8334334a8/rendering/13.obj", "3.98328351974")</f>
        <v>3.98328351974</v>
      </c>
      <c r="Q928" s="51" t="str">
        <f>HYPERLINK(AA2 &amp; "/flashlight/sn_b8a2d0816b4e4dd9be0355c8334334a8/rendering/14.obj", "3.14094519615")</f>
        <v>3.14094519615</v>
      </c>
      <c r="R928" s="64" t="str">
        <f>HYPERLINK(AA2 &amp; "/flashlight/sn_b8a2d0816b4e4dd9be0355c8334334a8/rendering/15.obj", "3.39009213448")</f>
        <v>3.39009213448</v>
      </c>
      <c r="S928" s="92" t="str">
        <f>HYPERLINK(AA2 &amp; "/flashlight/sn_b8a2d0816b4e4dd9be0355c8334334a8/rendering/16.obj", "2.55061221123")</f>
        <v>2.55061221123</v>
      </c>
      <c r="T928" s="38" t="str">
        <f>HYPERLINK(AA2 &amp; "/flashlight/sn_b8a2d0816b4e4dd9be0355c8334334a8/rendering/17.obj", "2.65444993973")</f>
        <v>2.65444993973</v>
      </c>
      <c r="U928" s="25" t="str">
        <f>HYPERLINK(AA2 &amp; "/flashlight/sn_b8a2d0816b4e4dd9be0355c8334334a8/rendering/18.obj", "2.88314962387")</f>
        <v>2.88314962387</v>
      </c>
      <c r="V928" s="133" t="str">
        <f>HYPERLINK(AA2 &amp; "/flashlight/sn_b8a2d0816b4e4dd9be0355c8334334a8/rendering/19.obj", "2.61257958412")</f>
        <v>2.61257958412</v>
      </c>
      <c r="W928" s="12" t="s">
        <v>30</v>
      </c>
      <c r="X928" s="13">
        <v>2.9116414785385132</v>
      </c>
      <c r="Y928" s="13">
        <v>0.48294831085330442</v>
      </c>
      <c r="Z928" s="64">
        <v>0.16586805566999899</v>
      </c>
    </row>
    <row r="929" spans="1:26" x14ac:dyDescent="0.2">
      <c r="A929" s="1">
        <v>927</v>
      </c>
      <c r="B929" s="2" t="s">
        <v>218</v>
      </c>
      <c r="C929" s="13" t="str">
        <f>HYPERLINK(AB2 &amp; "/flashlight/sn_b8a2d0816b4e4dd9be0355c8334334a8/rendering/00.obj", "5.95670593262")</f>
        <v>5.95670593262</v>
      </c>
      <c r="D929" s="25" t="str">
        <f>HYPERLINK(AB2 &amp; "/flashlight/sn_b8a2d0816b4e4dd9be0355c8334334a8/rendering/01.obj", "6.01996643066")</f>
        <v>6.01996643066</v>
      </c>
      <c r="E929" s="17" t="str">
        <f>HYPERLINK(AB2 &amp; "/flashlight/sn_b8a2d0816b4e4dd9be0355c8334334a8/rendering/02.obj", "5.83821533203")</f>
        <v>5.83821533203</v>
      </c>
      <c r="F929" s="72" t="str">
        <f>HYPERLINK(AB2 &amp; "/flashlight/sn_b8a2d0816b4e4dd9be0355c8334334a8/rendering/03.obj", "5.75569580078")</f>
        <v>5.75569580078</v>
      </c>
      <c r="G929" s="34" t="str">
        <f>HYPERLINK(AB2 &amp; "/flashlight/sn_b8a2d0816b4e4dd9be0355c8334334a8/rendering/04.obj", "5.67109191895")</f>
        <v>5.67109191895</v>
      </c>
      <c r="H929" s="74" t="str">
        <f>HYPERLINK(AB2 &amp; "/flashlight/sn_b8a2d0816b4e4dd9be0355c8334334a8/rendering/05.obj", "5.86277832031")</f>
        <v>5.86277832031</v>
      </c>
      <c r="I929" s="25" t="str">
        <f>HYPERLINK(AB2 &amp; "/flashlight/sn_b8a2d0816b4e4dd9be0355c8334334a8/rendering/06.obj", "5.88677185059")</f>
        <v>5.88677185059</v>
      </c>
      <c r="J929" s="72" t="str">
        <f>HYPERLINK(AB2 &amp; "/flashlight/sn_b8a2d0816b4e4dd9be0355c8334334a8/rendering/07.obj", "6.14896728516")</f>
        <v>6.14896728516</v>
      </c>
      <c r="K929" s="46" t="str">
        <f>HYPERLINK(AB2 &amp; "/flashlight/sn_b8a2d0816b4e4dd9be0355c8334334a8/rendering/08.obj", "5.85123291016")</f>
        <v>5.85123291016</v>
      </c>
      <c r="L929" s="72" t="str">
        <f>HYPERLINK(AB2 &amp; "/flashlight/sn_b8a2d0816b4e4dd9be0355c8334334a8/rendering/09.obj", "6.14963256836")</f>
        <v>6.14963256836</v>
      </c>
      <c r="M929" s="46" t="str">
        <f>HYPERLINK(AB2 &amp; "/flashlight/sn_b8a2d0816b4e4dd9be0355c8334334a8/rendering/10.obj", "5.85601318359")</f>
        <v>5.85601318359</v>
      </c>
      <c r="N929" s="48" t="str">
        <f>HYPERLINK(AB2 &amp; "/flashlight/sn_b8a2d0816b4e4dd9be0355c8334334a8/rendering/11.obj", "6.08683959961")</f>
        <v>6.08683959961</v>
      </c>
      <c r="O929" s="13" t="str">
        <f>HYPERLINK(AB2 &amp; "/flashlight/sn_b8a2d0816b4e4dd9be0355c8334334a8/rendering/12.obj", "5.93837280273")</f>
        <v>5.93837280273</v>
      </c>
      <c r="P929" s="46" t="str">
        <f>HYPERLINK(AB2 &amp; "/flashlight/sn_b8a2d0816b4e4dd9be0355c8334334a8/rendering/13.obj", "6.05719116211")</f>
        <v>6.05719116211</v>
      </c>
      <c r="Q929" s="69" t="str">
        <f>HYPERLINK(AB2 &amp; "/flashlight/sn_b8a2d0816b4e4dd9be0355c8334334a8/rendering/14.obj", "6.1339276123")</f>
        <v>6.1339276123</v>
      </c>
      <c r="R929" s="91" t="str">
        <f>HYPERLINK(AB2 &amp; "/flashlight/sn_b8a2d0816b4e4dd9be0355c8334334a8/rendering/15.obj", "5.79033569336")</f>
        <v>5.79033569336</v>
      </c>
      <c r="S929" s="48" t="str">
        <f>HYPERLINK(AB2 &amp; "/flashlight/sn_b8a2d0816b4e4dd9be0355c8334334a8/rendering/16.obj", "6.09563354492")</f>
        <v>6.09563354492</v>
      </c>
      <c r="T929" s="91" t="str">
        <f>HYPERLINK(AB2 &amp; "/flashlight/sn_b8a2d0816b4e4dd9be0355c8334334a8/rendering/17.obj", "6.11342041016")</f>
        <v>6.11342041016</v>
      </c>
      <c r="U929" s="69" t="str">
        <f>HYPERLINK(AB2 &amp; "/flashlight/sn_b8a2d0816b4e4dd9be0355c8334334a8/rendering/18.obj", "5.77568359375")</f>
        <v>5.77568359375</v>
      </c>
      <c r="V929" s="48" t="str">
        <f>HYPERLINK(AB2 &amp; "/flashlight/sn_b8a2d0816b4e4dd9be0355c8334334a8/rendering/19.obj", "6.10032592773")</f>
        <v>6.10032592773</v>
      </c>
      <c r="W929" s="12" t="s">
        <v>31</v>
      </c>
      <c r="X929" s="13">
        <v>5.9544400939941413</v>
      </c>
      <c r="Y929" s="13">
        <v>0.14710410954657699</v>
      </c>
      <c r="Z929" s="48">
        <v>2.4704944079452819E-2</v>
      </c>
    </row>
    <row r="930" spans="1:26" x14ac:dyDescent="0.2">
      <c r="A930" s="1">
        <v>928</v>
      </c>
      <c r="B930" s="2" t="s">
        <v>218</v>
      </c>
      <c r="C930" s="34" t="str">
        <f>HYPERLINK(AB2 &amp; "/flashlight/sn_b8a2d0816b4e4dd9be0355c8334334a8/rendering/00.obj", "2.54219150543")</f>
        <v>2.54219150543</v>
      </c>
      <c r="D930" s="41" t="str">
        <f>HYPERLINK(AB2 &amp; "/flashlight/sn_b8a2d0816b4e4dd9be0355c8334334a8/rendering/01.obj", "2.58922171593")</f>
        <v>2.58922171593</v>
      </c>
      <c r="E930" s="41" t="str">
        <f>HYPERLINK(AB2 &amp; "/flashlight/sn_b8a2d0816b4e4dd9be0355c8334334a8/rendering/02.obj", "2.26536154747")</f>
        <v>2.26536154747</v>
      </c>
      <c r="F930" s="46" t="str">
        <f>HYPERLINK(AB2 &amp; "/flashlight/sn_b8a2d0816b4e4dd9be0355c8334334a8/rendering/03.obj", "2.3855907917")</f>
        <v>2.3855907917</v>
      </c>
      <c r="G930" s="26" t="str">
        <f>HYPERLINK(AB2 &amp; "/flashlight/sn_b8a2d0816b4e4dd9be0355c8334334a8/rendering/04.obj", "2.26893162727")</f>
        <v>2.26893162727</v>
      </c>
      <c r="H930" s="25" t="str">
        <f>HYPERLINK(AB2 &amp; "/flashlight/sn_b8a2d0816b4e4dd9be0355c8334334a8/rendering/05.obj", "2.45214033127")</f>
        <v>2.45214033127</v>
      </c>
      <c r="I930" s="10" t="str">
        <f>HYPERLINK(AB2 &amp; "/flashlight/sn_b8a2d0816b4e4dd9be0355c8334334a8/rendering/06.obj", "2.55757713318")</f>
        <v>2.55757713318</v>
      </c>
      <c r="J930" s="10" t="str">
        <f>HYPERLINK(AB2 &amp; "/flashlight/sn_b8a2d0816b4e4dd9be0355c8334334a8/rendering/07.obj", "2.28918027878")</f>
        <v>2.28918027878</v>
      </c>
      <c r="K930" s="69" t="str">
        <f>HYPERLINK(AB2 &amp; "/flashlight/sn_b8a2d0816b4e4dd9be0355c8334334a8/rendering/08.obj", "2.49742436409")</f>
        <v>2.49742436409</v>
      </c>
      <c r="L930" s="13" t="str">
        <f>HYPERLINK(AB2 &amp; "/flashlight/sn_b8a2d0816b4e4dd9be0355c8334334a8/rendering/09.obj", "2.43188714981")</f>
        <v>2.43188714981</v>
      </c>
      <c r="M930" s="6" t="str">
        <f>HYPERLINK(AB2 &amp; "/flashlight/sn_b8a2d0816b4e4dd9be0355c8334334a8/rendering/10.obj", "2.31600785255")</f>
        <v>2.31600785255</v>
      </c>
      <c r="N930" s="91" t="str">
        <f>HYPERLINK(AB2 &amp; "/flashlight/sn_b8a2d0816b4e4dd9be0355c8334334a8/rendering/11.obj", "2.48874330521")</f>
        <v>2.48874330521</v>
      </c>
      <c r="O930" s="27" t="str">
        <f>HYPERLINK(AB2 &amp; "/flashlight/sn_b8a2d0816b4e4dd9be0355c8334334a8/rendering/12.obj", "2.25193762779")</f>
        <v>2.25193762779</v>
      </c>
      <c r="P930" s="74" t="str">
        <f>HYPERLINK(AB2 &amp; "/flashlight/sn_b8a2d0816b4e4dd9be0355c8334334a8/rendering/13.obj", "2.3953101635")</f>
        <v>2.3953101635</v>
      </c>
      <c r="Q930" s="13" t="str">
        <f>HYPERLINK(AB2 &amp; "/flashlight/sn_b8a2d0816b4e4dd9be0355c8334334a8/rendering/14.obj", "2.42632436752")</f>
        <v>2.42632436752</v>
      </c>
      <c r="R930" s="35" t="str">
        <f>HYPERLINK(AB2 &amp; "/flashlight/sn_b8a2d0816b4e4dd9be0355c8334334a8/rendering/15.obj", "2.56454920769")</f>
        <v>2.56454920769</v>
      </c>
      <c r="S930" s="44" t="str">
        <f>HYPERLINK(AB2 &amp; "/flashlight/sn_b8a2d0816b4e4dd9be0355c8334334a8/rendering/16.obj", "2.90270757675")</f>
        <v>2.90270757675</v>
      </c>
      <c r="T930" s="78" t="str">
        <f>HYPERLINK(AB2 &amp; "/flashlight/sn_b8a2d0816b4e4dd9be0355c8334334a8/rendering/17.obj", "2.2780559063")</f>
        <v>2.2780559063</v>
      </c>
      <c r="U930" s="35" t="str">
        <f>HYPERLINK(AB2 &amp; "/flashlight/sn_b8a2d0816b4e4dd9be0355c8334334a8/rendering/18.obj", "2.28168392181")</f>
        <v>2.28168392181</v>
      </c>
      <c r="V930" s="73" t="str">
        <f>HYPERLINK(AB2 &amp; "/flashlight/sn_b8a2d0816b4e4dd9be0355c8334334a8/rendering/19.obj", "2.33679914474")</f>
        <v>2.33679914474</v>
      </c>
      <c r="W930" s="12" t="s">
        <v>32</v>
      </c>
      <c r="X930" s="13">
        <v>2.4260812759399411</v>
      </c>
      <c r="Y930" s="13">
        <v>0.1546760156014047</v>
      </c>
      <c r="Z930" s="26">
        <v>6.3755496213323784E-2</v>
      </c>
    </row>
    <row r="931" spans="1:26" x14ac:dyDescent="0.2">
      <c r="A931" s="1">
        <v>929</v>
      </c>
      <c r="B931" s="2" t="s">
        <v>218</v>
      </c>
      <c r="C931" s="13" t="str">
        <f>HYPERLINK(AC2 &amp; "/flashlight/sn_b8a2d0816b4e4dd9be0355c8334334a8/rendering/00.xyz", "0.0")</f>
        <v>0.0</v>
      </c>
      <c r="D931" s="13" t="str">
        <f>HYPERLINK(AC2 &amp; "/flashlight/sn_b8a2d0816b4e4dd9be0355c8334334a8/rendering/01.xyz", "0.0")</f>
        <v>0.0</v>
      </c>
      <c r="E931" s="13" t="str">
        <f>HYPERLINK(AC2 &amp; "/flashlight/sn_b8a2d0816b4e4dd9be0355c8334334a8/rendering/02.xyz", "0.0")</f>
        <v>0.0</v>
      </c>
      <c r="F931" s="13" t="str">
        <f>HYPERLINK(AC2 &amp; "/flashlight/sn_b8a2d0816b4e4dd9be0355c8334334a8/rendering/03.xyz", "0.0")</f>
        <v>0.0</v>
      </c>
      <c r="G931" s="13" t="str">
        <f>HYPERLINK(AC2 &amp; "/flashlight/sn_b8a2d0816b4e4dd9be0355c8334334a8/rendering/04.xyz", "0.0")</f>
        <v>0.0</v>
      </c>
      <c r="H931" s="13" t="str">
        <f>HYPERLINK(AC2 &amp; "/flashlight/sn_b8a2d0816b4e4dd9be0355c8334334a8/rendering/05.xyz", "0.0")</f>
        <v>0.0</v>
      </c>
      <c r="I931" s="13" t="str">
        <f>HYPERLINK(AC2 &amp; "/flashlight/sn_b8a2d0816b4e4dd9be0355c8334334a8/rendering/06.xyz", "0.0")</f>
        <v>0.0</v>
      </c>
      <c r="J931" s="13" t="str">
        <f>HYPERLINK(AC2 &amp; "/flashlight/sn_b8a2d0816b4e4dd9be0355c8334334a8/rendering/07.xyz", "0.0")</f>
        <v>0.0</v>
      </c>
      <c r="K931" s="13" t="str">
        <f>HYPERLINK(AC2 &amp; "/flashlight/sn_b8a2d0816b4e4dd9be0355c8334334a8/rendering/08.xyz", "0.0")</f>
        <v>0.0</v>
      </c>
      <c r="L931" s="13" t="str">
        <f>HYPERLINK(AC2 &amp; "/flashlight/sn_b8a2d0816b4e4dd9be0355c8334334a8/rendering/09.xyz", "0.0")</f>
        <v>0.0</v>
      </c>
      <c r="M931" s="13" t="str">
        <f>HYPERLINK(AC2 &amp; "/flashlight/sn_b8a2d0816b4e4dd9be0355c8334334a8/rendering/10.xyz", "0.0")</f>
        <v>0.0</v>
      </c>
      <c r="N931" s="13" t="str">
        <f>HYPERLINK(AC2 &amp; "/flashlight/sn_b8a2d0816b4e4dd9be0355c8334334a8/rendering/11.xyz", "0.0")</f>
        <v>0.0</v>
      </c>
      <c r="O931" s="13" t="str">
        <f>HYPERLINK(AC2 &amp; "/flashlight/sn_b8a2d0816b4e4dd9be0355c8334334a8/rendering/12.xyz", "0.0")</f>
        <v>0.0</v>
      </c>
      <c r="P931" s="13" t="str">
        <f>HYPERLINK(AC2 &amp; "/flashlight/sn_b8a2d0816b4e4dd9be0355c8334334a8/rendering/13.xyz", "0.0")</f>
        <v>0.0</v>
      </c>
      <c r="Q931" s="13" t="str">
        <f>HYPERLINK(AC2 &amp; "/flashlight/sn_b8a2d0816b4e4dd9be0355c8334334a8/rendering/14.xyz", "0.0")</f>
        <v>0.0</v>
      </c>
      <c r="R931" s="13" t="str">
        <f>HYPERLINK(AC2 &amp; "/flashlight/sn_b8a2d0816b4e4dd9be0355c8334334a8/rendering/15.xyz", "0.0")</f>
        <v>0.0</v>
      </c>
      <c r="S931" s="13" t="str">
        <f>HYPERLINK(AC2 &amp; "/flashlight/sn_b8a2d0816b4e4dd9be0355c8334334a8/rendering/16.xyz", "0.0")</f>
        <v>0.0</v>
      </c>
      <c r="T931" s="13" t="str">
        <f>HYPERLINK(AC2 &amp; "/flashlight/sn_b8a2d0816b4e4dd9be0355c8334334a8/rendering/17.xyz", "0.0")</f>
        <v>0.0</v>
      </c>
      <c r="U931" s="13" t="str">
        <f>HYPERLINK(AC2 &amp; "/flashlight/sn_b8a2d0816b4e4dd9be0355c8334334a8/rendering/18.xyz", "0.0")</f>
        <v>0.0</v>
      </c>
      <c r="V931" s="13" t="str">
        <f>HYPERLINK(AC2 &amp; "/flashlight/sn_b8a2d0816b4e4dd9be0355c8334334a8/rendering/19.xyz", "0.0")</f>
        <v>0.0</v>
      </c>
      <c r="W931" s="12" t="s">
        <v>33</v>
      </c>
      <c r="X931" s="13">
        <v>0</v>
      </c>
      <c r="Y931" s="13">
        <v>0</v>
      </c>
      <c r="Z931" s="13">
        <v>0</v>
      </c>
    </row>
    <row r="932" spans="1:26" x14ac:dyDescent="0.2">
      <c r="A932" s="1">
        <v>930</v>
      </c>
      <c r="B932" s="2" t="s">
        <v>219</v>
      </c>
      <c r="C932" s="26" t="str">
        <f>HYPERLINK(AA2 &amp; "/flashlight/sn_c04b395a8722d68ceb69804478f9c547/rendering/00.obj", "4.59667877197")</f>
        <v>4.59667877197</v>
      </c>
      <c r="D932" s="74" t="str">
        <f>HYPERLINK(AA2 &amp; "/flashlight/sn_c04b395a8722d68ceb69804478f9c547/rendering/01.obj", "4.37546875")</f>
        <v>4.37546875</v>
      </c>
      <c r="E932" s="6" t="str">
        <f>HYPERLINK(AA2 &amp; "/flashlight/sn_c04b395a8722d68ceb69804478f9c547/rendering/02.obj", "4.11686401367")</f>
        <v>4.11686401367</v>
      </c>
      <c r="F932" s="30" t="str">
        <f>HYPERLINK(AA2 &amp; "/flashlight/sn_c04b395a8722d68ceb69804478f9c547/rendering/03.obj", "4.29459411621")</f>
        <v>4.29459411621</v>
      </c>
      <c r="G932" s="51" t="str">
        <f>HYPERLINK(AA2 &amp; "/flashlight/sn_c04b395a8722d68ceb69804478f9c547/rendering/04.obj", "3.97756164551")</f>
        <v>3.97756164551</v>
      </c>
      <c r="H932" s="60" t="str">
        <f>HYPERLINK(AA2 &amp; "/flashlight/sn_c04b395a8722d68ceb69804478f9c547/rendering/05.obj", "4.09114685059")</f>
        <v>4.09114685059</v>
      </c>
      <c r="I932" s="69" t="str">
        <f>HYPERLINK(AA2 &amp; "/flashlight/sn_c04b395a8722d68ceb69804478f9c547/rendering/06.obj", "4.1923425293")</f>
        <v>4.1923425293</v>
      </c>
      <c r="J932" s="17" t="str">
        <f>HYPERLINK(AA2 &amp; "/flashlight/sn_c04b395a8722d68ceb69804478f9c547/rendering/07.obj", "4.23053710937")</f>
        <v>4.23053710937</v>
      </c>
      <c r="K932" s="25" t="str">
        <f>HYPERLINK(AA2 &amp; "/flashlight/sn_c04b395a8722d68ceb69804478f9c547/rendering/08.obj", "4.27545227051")</f>
        <v>4.27545227051</v>
      </c>
      <c r="L932" s="77" t="str">
        <f>HYPERLINK(AA2 &amp; "/flashlight/sn_c04b395a8722d68ceb69804478f9c547/rendering/09.obj", "5.12275024414")</f>
        <v>5.12275024414</v>
      </c>
      <c r="M932" s="25" t="str">
        <f>HYPERLINK(AA2 &amp; "/flashlight/sn_c04b395a8722d68ceb69804478f9c547/rendering/10.obj", "4.37086212158")</f>
        <v>4.37086212158</v>
      </c>
      <c r="N932" s="41" t="str">
        <f>HYPERLINK(AA2 &amp; "/flashlight/sn_c04b395a8722d68ceb69804478f9c547/rendering/11.obj", "4.02239685059")</f>
        <v>4.02239685059</v>
      </c>
      <c r="O932" s="35" t="str">
        <f>HYPERLINK(AA2 &amp; "/flashlight/sn_c04b395a8722d68ceb69804478f9c547/rendering/12.obj", "4.56629821777")</f>
        <v>4.56629821777</v>
      </c>
      <c r="P932" s="74" t="str">
        <f>HYPERLINK(AA2 &amp; "/flashlight/sn_c04b395a8722d68ceb69804478f9c547/rendering/13.obj", "4.25205291748")</f>
        <v>4.25205291748</v>
      </c>
      <c r="Q932" s="69" t="str">
        <f>HYPERLINK(AA2 &amp; "/flashlight/sn_c04b395a8722d68ceb69804478f9c547/rendering/14.obj", "4.45249694824")</f>
        <v>4.45249694824</v>
      </c>
      <c r="R932" s="91" t="str">
        <f>HYPERLINK(AA2 &amp; "/flashlight/sn_c04b395a8722d68ceb69804478f9c547/rendering/15.obj", "4.20519348145")</f>
        <v>4.20519348145</v>
      </c>
      <c r="S932" s="69" t="str">
        <f>HYPERLINK(AA2 &amp; "/flashlight/sn_c04b395a8722d68ceb69804478f9c547/rendering/16.obj", "4.44719970703")</f>
        <v>4.44719970703</v>
      </c>
      <c r="T932" s="10" t="str">
        <f>HYPERLINK(AA2 &amp; "/flashlight/sn_c04b395a8722d68ceb69804478f9c547/rendering/17.obj", "4.08385406494")</f>
        <v>4.08385406494</v>
      </c>
      <c r="U932" s="46" t="str">
        <f>HYPERLINK(AA2 &amp; "/flashlight/sn_c04b395a8722d68ceb69804478f9c547/rendering/18.obj", "4.3975604248")</f>
        <v>4.3975604248</v>
      </c>
      <c r="V932" s="47" t="str">
        <f>HYPERLINK(AA2 &amp; "/flashlight/sn_c04b395a8722d68ceb69804478f9c547/rendering/19.obj", "4.2787298584")</f>
        <v>4.2787298584</v>
      </c>
      <c r="W932" s="12" t="s">
        <v>29</v>
      </c>
      <c r="X932" s="13">
        <v>4.3175020446777337</v>
      </c>
      <c r="Y932" s="13">
        <v>0.24784842136993421</v>
      </c>
      <c r="Z932" s="35">
        <v>5.7405513374443357E-2</v>
      </c>
    </row>
    <row r="933" spans="1:26" x14ac:dyDescent="0.2">
      <c r="A933" s="1">
        <v>931</v>
      </c>
      <c r="B933" s="2" t="s">
        <v>219</v>
      </c>
      <c r="C933" s="108" t="str">
        <f>HYPERLINK(AA2 &amp; "/flashlight/sn_c04b395a8722d68ceb69804478f9c547/rendering/00.obj", "2.22346425056")</f>
        <v>2.22346425056</v>
      </c>
      <c r="D933" s="89" t="str">
        <f>HYPERLINK(AA2 &amp; "/flashlight/sn_c04b395a8722d68ceb69804478f9c547/rendering/01.obj", "2.24716043472")</f>
        <v>2.24716043472</v>
      </c>
      <c r="E933" s="94" t="str">
        <f>HYPERLINK(AA2 &amp; "/flashlight/sn_c04b395a8722d68ceb69804478f9c547/rendering/02.obj", "1.91715693474")</f>
        <v>1.91715693474</v>
      </c>
      <c r="F933" s="72" t="str">
        <f>HYPERLINK(AA2 &amp; "/flashlight/sn_c04b395a8722d68ceb69804478f9c547/rendering/03.obj", "1.72987651825")</f>
        <v>1.72987651825</v>
      </c>
      <c r="G933" s="10" t="str">
        <f>HYPERLINK(AA2 &amp; "/flashlight/sn_c04b395a8722d68ceb69804478f9c547/rendering/04.obj", "1.68716073036")</f>
        <v>1.68716073036</v>
      </c>
      <c r="H933" s="107" t="str">
        <f>HYPERLINK(AA2 &amp; "/flashlight/sn_c04b395a8722d68ceb69804478f9c547/rendering/05.obj", "1.63475871086")</f>
        <v>1.63475871086</v>
      </c>
      <c r="I933" s="46" t="str">
        <f>HYPERLINK(AA2 &amp; "/flashlight/sn_c04b395a8722d68ceb69804478f9c547/rendering/06.obj", "1.75603878498")</f>
        <v>1.75603878498</v>
      </c>
      <c r="J933" s="42" t="str">
        <f>HYPERLINK(AA2 &amp; "/flashlight/sn_c04b395a8722d68ceb69804478f9c547/rendering/07.obj", "1.54395163059")</f>
        <v>1.54395163059</v>
      </c>
      <c r="K933" s="84" t="str">
        <f>HYPERLINK(AA2 &amp; "/flashlight/sn_c04b395a8722d68ceb69804478f9c547/rendering/08.obj", "1.52785921097")</f>
        <v>1.52785921097</v>
      </c>
      <c r="L933" s="184" t="str">
        <f>HYPERLINK(AA2 &amp; "/flashlight/sn_c04b395a8722d68ceb69804478f9c547/rendering/09.obj", "3.09837031364")</f>
        <v>3.09837031364</v>
      </c>
      <c r="M933" s="79" t="str">
        <f>HYPERLINK(AA2 &amp; "/flashlight/sn_c04b395a8722d68ceb69804478f9c547/rendering/10.obj", "1.502805233")</f>
        <v>1.502805233</v>
      </c>
      <c r="N933" s="108" t="str">
        <f>HYPERLINK(AA2 &amp; "/flashlight/sn_c04b395a8722d68ceb69804478f9c547/rendering/11.obj", "1.34687054157")</f>
        <v>1.34687054157</v>
      </c>
      <c r="O933" s="80" t="str">
        <f>HYPERLINK(AA2 &amp; "/flashlight/sn_c04b395a8722d68ceb69804478f9c547/rendering/12.obj", "1.51798081398")</f>
        <v>1.51798081398</v>
      </c>
      <c r="P933" s="109" t="str">
        <f>HYPERLINK(AA2 &amp; "/flashlight/sn_c04b395a8722d68ceb69804478f9c547/rendering/13.obj", "1.44586253166")</f>
        <v>1.44586253166</v>
      </c>
      <c r="Q933" s="120" t="str">
        <f>HYPERLINK(AA2 &amp; "/flashlight/sn_c04b395a8722d68ceb69804478f9c547/rendering/14.obj", "2.16510510445")</f>
        <v>2.16510510445</v>
      </c>
      <c r="R933" s="136" t="str">
        <f>HYPERLINK(AA2 &amp; "/flashlight/sn_c04b395a8722d68ceb69804478f9c547/rendering/15.obj", "1.3644708395")</f>
        <v>1.3644708395</v>
      </c>
      <c r="S933" s="99" t="str">
        <f>HYPERLINK(AA2 &amp; "/flashlight/sn_c04b395a8722d68ceb69804478f9c547/rendering/16.obj", "2.27051973343")</f>
        <v>2.27051973343</v>
      </c>
      <c r="T933" s="77" t="str">
        <f>HYPERLINK(AA2 &amp; "/flashlight/sn_c04b395a8722d68ceb69804478f9c547/rendering/17.obj", "1.4505033493")</f>
        <v>1.4505033493</v>
      </c>
      <c r="U933" s="77" t="str">
        <f>HYPERLINK(AA2 &amp; "/flashlight/sn_c04b395a8722d68ceb69804478f9c547/rendering/18.obj", "1.45302629471")</f>
        <v>1.45302629471</v>
      </c>
      <c r="V933" s="69" t="str">
        <f>HYPERLINK(AA2 &amp; "/flashlight/sn_c04b395a8722d68ceb69804478f9c547/rendering/19.obj", "1.83690011501")</f>
        <v>1.83690011501</v>
      </c>
      <c r="W933" s="12" t="s">
        <v>30</v>
      </c>
      <c r="X933" s="13">
        <v>1.785992103815079</v>
      </c>
      <c r="Y933" s="13">
        <v>0.42120218202902199</v>
      </c>
      <c r="Z933" s="136">
        <v>0.23583653092826509</v>
      </c>
    </row>
    <row r="934" spans="1:26" x14ac:dyDescent="0.2">
      <c r="A934" s="1">
        <v>932</v>
      </c>
      <c r="B934" s="2" t="s">
        <v>219</v>
      </c>
      <c r="C934" s="13" t="str">
        <f>HYPERLINK(AB2 &amp; "/flashlight/sn_c04b395a8722d68ceb69804478f9c547/rendering/00.obj", "5.85749328613")</f>
        <v>5.85749328613</v>
      </c>
      <c r="D934" s="46" t="str">
        <f>HYPERLINK(AB2 &amp; "/flashlight/sn_c04b395a8722d68ceb69804478f9c547/rendering/01.obj", "5.74102294922")</f>
        <v>5.74102294922</v>
      </c>
      <c r="E934" s="72" t="str">
        <f>HYPERLINK(AB2 &amp; "/flashlight/sn_c04b395a8722d68ceb69804478f9c547/rendering/02.obj", "6.03940002441")</f>
        <v>6.03940002441</v>
      </c>
      <c r="F934" s="30" t="str">
        <f>HYPERLINK(AB2 &amp; "/flashlight/sn_c04b395a8722d68ceb69804478f9c547/rendering/03.obj", "5.88667297363")</f>
        <v>5.88667297363</v>
      </c>
      <c r="G934" s="46" t="str">
        <f>HYPERLINK(AB2 &amp; "/flashlight/sn_c04b395a8722d68ceb69804478f9c547/rendering/04.obj", "5.74343811035")</f>
        <v>5.74343811035</v>
      </c>
      <c r="H934" s="46" t="str">
        <f>HYPERLINK(AB2 &amp; "/flashlight/sn_c04b395a8722d68ceb69804478f9c547/rendering/05.obj", "5.74846496582")</f>
        <v>5.74846496582</v>
      </c>
      <c r="I934" s="74" t="str">
        <f>HYPERLINK(AB2 &amp; "/flashlight/sn_c04b395a8722d68ceb69804478f9c547/rendering/06.obj", "5.93543945313")</f>
        <v>5.93543945313</v>
      </c>
      <c r="J934" s="25" t="str">
        <f>HYPERLINK(AB2 &amp; "/flashlight/sn_c04b395a8722d68ceb69804478f9c547/rendering/07.obj", "5.78716064453")</f>
        <v>5.78716064453</v>
      </c>
      <c r="K934" s="13" t="str">
        <f>HYPERLINK(AB2 &amp; "/flashlight/sn_c04b395a8722d68ceb69804478f9c547/rendering/08.obj", "5.85515869141")</f>
        <v>5.85515869141</v>
      </c>
      <c r="L934" s="13" t="str">
        <f>HYPERLINK(AB2 &amp; "/flashlight/sn_c04b395a8722d68ceb69804478f9c547/rendering/09.obj", "5.84688842773")</f>
        <v>5.84688842773</v>
      </c>
      <c r="M934" s="48" t="str">
        <f>HYPERLINK(AB2 &amp; "/flashlight/sn_c04b395a8722d68ceb69804478f9c547/rendering/10.obj", "5.9928918457")</f>
        <v>5.9928918457</v>
      </c>
      <c r="N934" s="13" t="str">
        <f>HYPERLINK(AB2 &amp; "/flashlight/sn_c04b395a8722d68ceb69804478f9c547/rendering/11.obj", "5.86255981445")</f>
        <v>5.86255981445</v>
      </c>
      <c r="O934" s="30" t="str">
        <f>HYPERLINK(AB2 &amp; "/flashlight/sn_c04b395a8722d68ceb69804478f9c547/rendering/12.obj", "5.82353637695")</f>
        <v>5.82353637695</v>
      </c>
      <c r="P934" s="48" t="str">
        <f>HYPERLINK(AB2 &amp; "/flashlight/sn_c04b395a8722d68ceb69804478f9c547/rendering/13.obj", "5.98137329102")</f>
        <v>5.98137329102</v>
      </c>
      <c r="Q934" s="46" t="str">
        <f>HYPERLINK(AB2 &amp; "/flashlight/sn_c04b395a8722d68ceb69804478f9c547/rendering/14.obj", "5.74207885742")</f>
        <v>5.74207885742</v>
      </c>
      <c r="R934" s="13" t="str">
        <f>HYPERLINK(AB2 &amp; "/flashlight/sn_c04b395a8722d68ceb69804478f9c547/rendering/15.obj", "5.85596313477")</f>
        <v>5.85596313477</v>
      </c>
      <c r="S934" s="17" t="str">
        <f>HYPERLINK(AB2 &amp; "/flashlight/sn_c04b395a8722d68ceb69804478f9c547/rendering/16.obj", "5.96246887207")</f>
        <v>5.96246887207</v>
      </c>
      <c r="T934" s="74" t="str">
        <f>HYPERLINK(AB2 &amp; "/flashlight/sn_c04b395a8722d68ceb69804478f9c547/rendering/17.obj", "5.76019958496")</f>
        <v>5.76019958496</v>
      </c>
      <c r="U934" s="47" t="str">
        <f>HYPERLINK(AB2 &amp; "/flashlight/sn_c04b395a8722d68ceb69804478f9c547/rendering/18.obj", "5.80632446289")</f>
        <v>5.80632446289</v>
      </c>
      <c r="V934" s="74" t="str">
        <f>HYPERLINK(AB2 &amp; "/flashlight/sn_c04b395a8722d68ceb69804478f9c547/rendering/19.obj", "5.77483398438")</f>
        <v>5.77483398438</v>
      </c>
      <c r="W934" s="12" t="s">
        <v>31</v>
      </c>
      <c r="X934" s="13">
        <v>5.8501684875488298</v>
      </c>
      <c r="Y934" s="13">
        <v>8.9606669182960633E-2</v>
      </c>
      <c r="Z934" s="74">
        <v>1.531693819992953E-2</v>
      </c>
    </row>
    <row r="935" spans="1:26" x14ac:dyDescent="0.2">
      <c r="A935" s="1">
        <v>933</v>
      </c>
      <c r="B935" s="2" t="s">
        <v>219</v>
      </c>
      <c r="C935" s="30" t="str">
        <f>HYPERLINK(AB2 &amp; "/flashlight/sn_c04b395a8722d68ceb69804478f9c547/rendering/00.obj", "1.89494717121")</f>
        <v>1.89494717121</v>
      </c>
      <c r="D935" s="34" t="str">
        <f>HYPERLINK(AB2 &amp; "/flashlight/sn_c04b395a8722d68ceb69804478f9c547/rendering/01.obj", "1.81127476692")</f>
        <v>1.81127476692</v>
      </c>
      <c r="E935" s="46" t="str">
        <f>HYPERLINK(AB2 &amp; "/flashlight/sn_c04b395a8722d68ceb69804478f9c547/rendering/02.obj", "1.87108576298")</f>
        <v>1.87108576298</v>
      </c>
      <c r="F935" s="93" t="str">
        <f>HYPERLINK(AB2 &amp; "/flashlight/sn_c04b395a8722d68ceb69804478f9c547/rendering/03.obj", "1.63734936714")</f>
        <v>1.63734936714</v>
      </c>
      <c r="G935" s="39" t="str">
        <f>HYPERLINK(AB2 &amp; "/flashlight/sn_c04b395a8722d68ceb69804478f9c547/rendering/04.obj", "1.73831176758")</f>
        <v>1.73831176758</v>
      </c>
      <c r="H935" s="91" t="str">
        <f>HYPERLINK(AB2 &amp; "/flashlight/sn_c04b395a8722d68ceb69804478f9c547/rendering/05.obj", "1.9500682354")</f>
        <v>1.9500682354</v>
      </c>
      <c r="I935" s="34" t="str">
        <f>HYPERLINK(AB2 &amp; "/flashlight/sn_c04b395a8722d68ceb69804478f9c547/rendering/06.obj", "1.8069396019")</f>
        <v>1.8069396019</v>
      </c>
      <c r="J935" s="91" t="str">
        <f>HYPERLINK(AB2 &amp; "/flashlight/sn_c04b395a8722d68ceb69804478f9c547/rendering/07.obj", "1.85207676888")</f>
        <v>1.85207676888</v>
      </c>
      <c r="K935" s="23" t="str">
        <f>HYPERLINK(AB2 &amp; "/flashlight/sn_c04b395a8722d68ceb69804478f9c547/rendering/08.obj", "1.97727656364")</f>
        <v>1.97727656364</v>
      </c>
      <c r="L935" s="25" t="str">
        <f>HYPERLINK(AB2 &amp; "/flashlight/sn_c04b395a8722d68ceb69804478f9c547/rendering/09.obj", "1.87998914719")</f>
        <v>1.87998914719</v>
      </c>
      <c r="M935" s="91" t="str">
        <f>HYPERLINK(AB2 &amp; "/flashlight/sn_c04b395a8722d68ceb69804478f9c547/rendering/10.obj", "1.95182168484")</f>
        <v>1.95182168484</v>
      </c>
      <c r="N935" s="73" t="str">
        <f>HYPERLINK(AB2 &amp; "/flashlight/sn_c04b395a8722d68ceb69804478f9c547/rendering/11.obj", "1.96727907658")</f>
        <v>1.96727907658</v>
      </c>
      <c r="O935" s="60" t="str">
        <f>HYPERLINK(AB2 &amp; "/flashlight/sn_c04b395a8722d68ceb69804478f9c547/rendering/12.obj", "1.80499565601")</f>
        <v>1.80499565601</v>
      </c>
      <c r="P935" s="48" t="str">
        <f>HYPERLINK(AB2 &amp; "/flashlight/sn_c04b395a8722d68ceb69804478f9c547/rendering/13.obj", "1.94619345665")</f>
        <v>1.94619345665</v>
      </c>
      <c r="Q935" s="48" t="str">
        <f>HYPERLINK(AB2 &amp; "/flashlight/sn_c04b395a8722d68ceb69804478f9c547/rendering/14.obj", "1.94668483734")</f>
        <v>1.94668483734</v>
      </c>
      <c r="R935" s="25" t="str">
        <f>HYPERLINK(AB2 &amp; "/flashlight/sn_c04b395a8722d68ceb69804478f9c547/rendering/15.obj", "1.92096614838")</f>
        <v>1.92096614838</v>
      </c>
      <c r="S935" s="26" t="str">
        <f>HYPERLINK(AB2 &amp; "/flashlight/sn_c04b395a8722d68ceb69804478f9c547/rendering/16.obj", "2.02119135857")</f>
        <v>2.02119135857</v>
      </c>
      <c r="T935" s="68" t="str">
        <f>HYPERLINK(AB2 &amp; "/flashlight/sn_c04b395a8722d68ceb69804478f9c547/rendering/17.obj", "1.98118472099")</f>
        <v>1.98118472099</v>
      </c>
      <c r="U935" s="23" t="str">
        <f>HYPERLINK(AB2 &amp; "/flashlight/sn_c04b395a8722d68ceb69804478f9c547/rendering/18.obj", "1.97460579872")</f>
        <v>1.97460579872</v>
      </c>
      <c r="V935" s="133" t="str">
        <f>HYPERLINK(AB2 &amp; "/flashlight/sn_c04b395a8722d68ceb69804478f9c547/rendering/19.obj", "2.09348034859")</f>
        <v>2.09348034859</v>
      </c>
      <c r="W935" s="12" t="s">
        <v>32</v>
      </c>
      <c r="X935" s="13">
        <v>1.901386111974716</v>
      </c>
      <c r="Y935" s="13">
        <v>0.10220792488182209</v>
      </c>
      <c r="Z935" s="10">
        <v>5.3754429065263523E-2</v>
      </c>
    </row>
    <row r="936" spans="1:26" x14ac:dyDescent="0.2">
      <c r="A936" s="1">
        <v>934</v>
      </c>
      <c r="B936" s="2" t="s">
        <v>219</v>
      </c>
      <c r="C936" s="13" t="str">
        <f>HYPERLINK(AC2 &amp; "/flashlight/sn_c04b395a8722d68ceb69804478f9c547/rendering/00.xyz", "0.0")</f>
        <v>0.0</v>
      </c>
      <c r="D936" s="13" t="str">
        <f>HYPERLINK(AC2 &amp; "/flashlight/sn_c04b395a8722d68ceb69804478f9c547/rendering/01.xyz", "0.0")</f>
        <v>0.0</v>
      </c>
      <c r="E936" s="13" t="str">
        <f>HYPERLINK(AC2 &amp; "/flashlight/sn_c04b395a8722d68ceb69804478f9c547/rendering/02.xyz", "0.0")</f>
        <v>0.0</v>
      </c>
      <c r="F936" s="13" t="str">
        <f>HYPERLINK(AC2 &amp; "/flashlight/sn_c04b395a8722d68ceb69804478f9c547/rendering/03.xyz", "0.0")</f>
        <v>0.0</v>
      </c>
      <c r="G936" s="13" t="str">
        <f>HYPERLINK(AC2 &amp; "/flashlight/sn_c04b395a8722d68ceb69804478f9c547/rendering/04.xyz", "0.0")</f>
        <v>0.0</v>
      </c>
      <c r="H936" s="13" t="str">
        <f>HYPERLINK(AC2 &amp; "/flashlight/sn_c04b395a8722d68ceb69804478f9c547/rendering/05.xyz", "0.0")</f>
        <v>0.0</v>
      </c>
      <c r="I936" s="13" t="str">
        <f>HYPERLINK(AC2 &amp; "/flashlight/sn_c04b395a8722d68ceb69804478f9c547/rendering/06.xyz", "0.0")</f>
        <v>0.0</v>
      </c>
      <c r="J936" s="13" t="str">
        <f>HYPERLINK(AC2 &amp; "/flashlight/sn_c04b395a8722d68ceb69804478f9c547/rendering/07.xyz", "0.0")</f>
        <v>0.0</v>
      </c>
      <c r="K936" s="13" t="str">
        <f>HYPERLINK(AC2 &amp; "/flashlight/sn_c04b395a8722d68ceb69804478f9c547/rendering/08.xyz", "0.0")</f>
        <v>0.0</v>
      </c>
      <c r="L936" s="13" t="str">
        <f>HYPERLINK(AC2 &amp; "/flashlight/sn_c04b395a8722d68ceb69804478f9c547/rendering/09.xyz", "0.0")</f>
        <v>0.0</v>
      </c>
      <c r="M936" s="13" t="str">
        <f>HYPERLINK(AC2 &amp; "/flashlight/sn_c04b395a8722d68ceb69804478f9c547/rendering/10.xyz", "0.0")</f>
        <v>0.0</v>
      </c>
      <c r="N936" s="13" t="str">
        <f>HYPERLINK(AC2 &amp; "/flashlight/sn_c04b395a8722d68ceb69804478f9c547/rendering/11.xyz", "0.0")</f>
        <v>0.0</v>
      </c>
      <c r="O936" s="13" t="str">
        <f>HYPERLINK(AC2 &amp; "/flashlight/sn_c04b395a8722d68ceb69804478f9c547/rendering/12.xyz", "0.0")</f>
        <v>0.0</v>
      </c>
      <c r="P936" s="13" t="str">
        <f>HYPERLINK(AC2 &amp; "/flashlight/sn_c04b395a8722d68ceb69804478f9c547/rendering/13.xyz", "0.0")</f>
        <v>0.0</v>
      </c>
      <c r="Q936" s="13" t="str">
        <f>HYPERLINK(AC2 &amp; "/flashlight/sn_c04b395a8722d68ceb69804478f9c547/rendering/14.xyz", "0.0")</f>
        <v>0.0</v>
      </c>
      <c r="R936" s="13" t="str">
        <f>HYPERLINK(AC2 &amp; "/flashlight/sn_c04b395a8722d68ceb69804478f9c547/rendering/15.xyz", "0.0")</f>
        <v>0.0</v>
      </c>
      <c r="S936" s="13" t="str">
        <f>HYPERLINK(AC2 &amp; "/flashlight/sn_c04b395a8722d68ceb69804478f9c547/rendering/16.xyz", "0.0")</f>
        <v>0.0</v>
      </c>
      <c r="T936" s="13" t="str">
        <f>HYPERLINK(AC2 &amp; "/flashlight/sn_c04b395a8722d68ceb69804478f9c547/rendering/17.xyz", "0.0")</f>
        <v>0.0</v>
      </c>
      <c r="U936" s="13" t="str">
        <f>HYPERLINK(AC2 &amp; "/flashlight/sn_c04b395a8722d68ceb69804478f9c547/rendering/18.xyz", "0.0")</f>
        <v>0.0</v>
      </c>
      <c r="V936" s="13" t="str">
        <f>HYPERLINK(AC2 &amp; "/flashlight/sn_c04b395a8722d68ceb69804478f9c547/rendering/19.xyz", "0.0")</f>
        <v>0.0</v>
      </c>
      <c r="W936" s="12" t="s">
        <v>33</v>
      </c>
      <c r="X936" s="13">
        <v>0</v>
      </c>
      <c r="Y936" s="13">
        <v>0</v>
      </c>
      <c r="Z936" s="13">
        <v>0</v>
      </c>
    </row>
    <row r="937" spans="1:26" x14ac:dyDescent="0.2">
      <c r="A937" s="1">
        <v>935</v>
      </c>
      <c r="B937" s="2" t="s">
        <v>220</v>
      </c>
      <c r="C937" s="175" t="str">
        <f>HYPERLINK(AA2 &amp; "/flashlight/sn_c1041e0597dc8a36127fd5f4034b626d/rendering/00.obj", "4.91716674805")</f>
        <v>4.91716674805</v>
      </c>
      <c r="D937" s="44" t="str">
        <f>HYPERLINK(AA2 &amp; "/flashlight/sn_c1041e0597dc8a36127fd5f4034b626d/rendering/01.obj", "5.15973754883")</f>
        <v>5.15973754883</v>
      </c>
      <c r="E937" s="84" t="str">
        <f>HYPERLINK(AA2 &amp; "/flashlight/sn_c1041e0597dc8a36127fd5f4034b626d/rendering/02.obj", "7.35887207031")</f>
        <v>7.35887207031</v>
      </c>
      <c r="F937" s="93" t="str">
        <f>HYPERLINK(AA2 &amp; "/flashlight/sn_c1041e0597dc8a36127fd5f4034b626d/rendering/03.obj", "5.52369140625")</f>
        <v>5.52369140625</v>
      </c>
      <c r="G937" s="170" t="str">
        <f>HYPERLINK(AA2 &amp; "/flashlight/sn_c1041e0597dc8a36127fd5f4034b626d/rendering/04.obj", "4.7932598877")</f>
        <v>4.7932598877</v>
      </c>
      <c r="H937" s="29" t="str">
        <f>HYPERLINK(AA2 &amp; "/flashlight/sn_c1041e0597dc8a36127fd5f4034b626d/rendering/05.obj", "7.25342407227")</f>
        <v>7.25342407227</v>
      </c>
      <c r="I937" s="80" t="str">
        <f>HYPERLINK(AA2 &amp; "/flashlight/sn_c1041e0597dc8a36127fd5f4034b626d/rendering/06.obj", "5.4587512207")</f>
        <v>5.4587512207</v>
      </c>
      <c r="J937" s="58" t="str">
        <f>HYPERLINK(AA2 &amp; "/flashlight/sn_c1041e0597dc8a36127fd5f4034b626d/rendering/07.obj", "4.86475585938")</f>
        <v>4.86475585938</v>
      </c>
      <c r="K937" s="110" t="str">
        <f>HYPERLINK(AA2 &amp; "/flashlight/sn_c1041e0597dc8a36127fd5f4034b626d/rendering/08.obj", "5.78642456055")</f>
        <v>5.78642456055</v>
      </c>
      <c r="L937" s="77" t="str">
        <f>HYPERLINK(AA2 &amp; "/flashlight/sn_c1041e0597dc8a36127fd5f4034b626d/rendering/09.obj", "5.22429077148")</f>
        <v>5.22429077148</v>
      </c>
      <c r="M937" s="61" t="str">
        <f>HYPERLINK(AA2 &amp; "/flashlight/sn_c1041e0597dc8a36127fd5f4034b626d/rendering/10.obj", "4.46961578369")</f>
        <v>4.46961578369</v>
      </c>
      <c r="N937" s="143" t="str">
        <f>HYPERLINK(AA2 &amp; "/flashlight/sn_c1041e0597dc8a36127fd5f4034b626d/rendering/11.obj", "9.45281005859")</f>
        <v>9.45281005859</v>
      </c>
      <c r="O937" s="20" t="str">
        <f>HYPERLINK(AA2 &amp; "/flashlight/sn_c1041e0597dc8a36127fd5f4034b626d/rendering/12.obj", "13.6309655762")</f>
        <v>13.6309655762</v>
      </c>
      <c r="P937" s="113" t="str">
        <f>HYPERLINK(AA2 &amp; "/flashlight/sn_c1041e0597dc8a36127fd5f4034b626d/rendering/13.obj", "8.1827947998")</f>
        <v>8.1827947998</v>
      </c>
      <c r="Q937" s="110" t="str">
        <f>HYPERLINK(AA2 &amp; "/flashlight/sn_c1041e0597dc8a36127fd5f4034b626d/rendering/14.obj", "5.78778198242")</f>
        <v>5.78778198242</v>
      </c>
      <c r="R937" s="5" t="str">
        <f>HYPERLINK(AA2 &amp; "/flashlight/sn_c1041e0597dc8a36127fd5f4034b626d/rendering/15.obj", "6.92102233887")</f>
        <v>6.92102233887</v>
      </c>
      <c r="S937" s="38" t="str">
        <f>HYPERLINK(AA2 &amp; "/flashlight/sn_c1041e0597dc8a36127fd5f4034b626d/rendering/16.obj", "5.84093444824")</f>
        <v>5.84093444824</v>
      </c>
      <c r="T937" s="92" t="str">
        <f>HYPERLINK(AA2 &amp; "/flashlight/sn_c1041e0597dc8a36127fd5f4034b626d/rendering/17.obj", "5.62519165039")</f>
        <v>5.62519165039</v>
      </c>
      <c r="U937" s="106" t="str">
        <f>HYPERLINK(AA2 &amp; "/flashlight/sn_c1041e0597dc8a36127fd5f4034b626d/rendering/18.obj", "5.698984375")</f>
        <v>5.698984375</v>
      </c>
      <c r="V937" s="46" t="str">
        <f>HYPERLINK(AA2 &amp; "/flashlight/sn_c1041e0597dc8a36127fd5f4034b626d/rendering/19.obj", "6.5419921875")</f>
        <v>6.5419921875</v>
      </c>
      <c r="W937" s="12" t="s">
        <v>29</v>
      </c>
      <c r="X937" s="13">
        <v>6.4246233673095698</v>
      </c>
      <c r="Y937" s="13">
        <v>2.0531184080718781</v>
      </c>
      <c r="Z937" s="176">
        <v>0.31957023636883791</v>
      </c>
    </row>
    <row r="938" spans="1:26" x14ac:dyDescent="0.2">
      <c r="A938" s="1">
        <v>936</v>
      </c>
      <c r="B938" s="2" t="s">
        <v>220</v>
      </c>
      <c r="C938" s="134" t="str">
        <f>HYPERLINK(AA2 &amp; "/flashlight/sn_c1041e0597dc8a36127fd5f4034b626d/rendering/00.obj", "4.17293596268")</f>
        <v>4.17293596268</v>
      </c>
      <c r="D938" s="131" t="str">
        <f>HYPERLINK(AA2 &amp; "/flashlight/sn_c1041e0597dc8a36127fd5f4034b626d/rendering/01.obj", "2.73507499695")</f>
        <v>2.73507499695</v>
      </c>
      <c r="E938" s="66" t="str">
        <f>HYPERLINK(AA2 &amp; "/flashlight/sn_c1041e0597dc8a36127fd5f4034b626d/rendering/02.obj", "5.91562318802")</f>
        <v>5.91562318802</v>
      </c>
      <c r="F938" s="81" t="str">
        <f>HYPERLINK(AA2 &amp; "/flashlight/sn_c1041e0597dc8a36127fd5f4034b626d/rendering/03.obj", "3.97260594368")</f>
        <v>3.97260594368</v>
      </c>
      <c r="G938" s="218" t="str">
        <f>HYPERLINK(AA2 &amp; "/flashlight/sn_c1041e0597dc8a36127fd5f4034b626d/rendering/04.obj", "2.45800971985")</f>
        <v>2.45800971985</v>
      </c>
      <c r="H938" s="82" t="str">
        <f>HYPERLINK(AA2 &amp; "/flashlight/sn_c1041e0597dc8a36127fd5f4034b626d/rendering/05.obj", "6.13554048538")</f>
        <v>6.13554048538</v>
      </c>
      <c r="I938" s="151" t="str">
        <f>HYPERLINK(AA2 &amp; "/flashlight/sn_c1041e0597dc8a36127fd5f4034b626d/rendering/06.obj", "3.25764751434")</f>
        <v>3.25764751434</v>
      </c>
      <c r="J938" s="127" t="str">
        <f>HYPERLINK(AA2 &amp; "/flashlight/sn_c1041e0597dc8a36127fd5f4034b626d/rendering/07.obj", "2.45116996765")</f>
        <v>2.45116996765</v>
      </c>
      <c r="K938" s="198" t="str">
        <f>HYPERLINK(AA2 &amp; "/flashlight/sn_c1041e0597dc8a36127fd5f4034b626d/rendering/08.obj", "3.11393260956")</f>
        <v>3.11393260956</v>
      </c>
      <c r="L938" s="126" t="str">
        <f>HYPERLINK(AA2 &amp; "/flashlight/sn_c1041e0597dc8a36127fd5f4034b626d/rendering/09.obj", "2.54251551628")</f>
        <v>2.54251551628</v>
      </c>
      <c r="M938" s="177" t="str">
        <f>HYPERLINK(AA2 &amp; "/flashlight/sn_c1041e0597dc8a36127fd5f4034b626d/rendering/10.obj", "2.36855101585")</f>
        <v>2.36855101585</v>
      </c>
      <c r="N938" s="20" t="str">
        <f>HYPERLINK(AA2 &amp; "/flashlight/sn_c1041e0597dc8a36127fd5f4034b626d/rendering/11.obj", "11.2058334351")</f>
        <v>11.2058334351</v>
      </c>
      <c r="O938" s="20" t="str">
        <f>HYPERLINK(AA2 &amp; "/flashlight/sn_c1041e0597dc8a36127fd5f4034b626d/rendering/12.obj", "18.8459892273")</f>
        <v>18.8459892273</v>
      </c>
      <c r="P938" s="20" t="str">
        <f>HYPERLINK(AA2 &amp; "/flashlight/sn_c1041e0597dc8a36127fd5f4034b626d/rendering/13.obj", "9.21720695496")</f>
        <v>9.21720695496</v>
      </c>
      <c r="Q938" s="101" t="str">
        <f>HYPERLINK(AA2 &amp; "/flashlight/sn_c1041e0597dc8a36127fd5f4034b626d/rendering/14.obj", "3.16427946091")</f>
        <v>3.16427946091</v>
      </c>
      <c r="R938" s="19" t="str">
        <f>HYPERLINK(AA2 &amp; "/flashlight/sn_c1041e0597dc8a36127fd5f4034b626d/rendering/15.obj", "6.41633987427")</f>
        <v>6.41633987427</v>
      </c>
      <c r="S938" s="198" t="str">
        <f>HYPERLINK(AA2 &amp; "/flashlight/sn_c1041e0597dc8a36127fd5f4034b626d/rendering/16.obj", "3.11155700684")</f>
        <v>3.11155700684</v>
      </c>
      <c r="T938" s="90" t="str">
        <f>HYPERLINK(AA2 &amp; "/flashlight/sn_c1041e0597dc8a36127fd5f4034b626d/rendering/17.obj", "4.59898424149")</f>
        <v>4.59898424149</v>
      </c>
      <c r="U938" s="137" t="str">
        <f>HYPERLINK(AA2 &amp; "/flashlight/sn_c1041e0597dc8a36127fd5f4034b626d/rendering/18.obj", "3.22620677948")</f>
        <v>3.22620677948</v>
      </c>
      <c r="V938" s="163" t="str">
        <f>HYPERLINK(AA2 &amp; "/flashlight/sn_c1041e0597dc8a36127fd5f4034b626d/rendering/19.obj", "2.85039114952")</f>
        <v>2.85039114952</v>
      </c>
      <c r="W938" s="12" t="s">
        <v>30</v>
      </c>
      <c r="X938" s="13">
        <v>5.0880197525024418</v>
      </c>
      <c r="Y938" s="13">
        <v>3.9130299831840518</v>
      </c>
      <c r="Z938" s="210">
        <v>0.76906737267666969</v>
      </c>
    </row>
    <row r="939" spans="1:26" x14ac:dyDescent="0.2">
      <c r="A939" s="1">
        <v>937</v>
      </c>
      <c r="B939" s="2" t="s">
        <v>220</v>
      </c>
      <c r="C939" s="87" t="str">
        <f>HYPERLINK(AB2 &amp; "/flashlight/sn_c1041e0597dc8a36127fd5f4034b626d/rendering/00.obj", "5.89380981445")</f>
        <v>5.89380981445</v>
      </c>
      <c r="D939" s="26" t="str">
        <f>HYPERLINK(AB2 &amp; "/flashlight/sn_c1041e0597dc8a36127fd5f4034b626d/rendering/01.obj", "4.49839416504")</f>
        <v>4.49839416504</v>
      </c>
      <c r="E939" s="5" t="str">
        <f>HYPERLINK(AB2 &amp; "/flashlight/sn_c1041e0597dc8a36127fd5f4034b626d/rendering/02.obj", "4.42728515625")</f>
        <v>4.42728515625</v>
      </c>
      <c r="F939" s="35" t="str">
        <f>HYPERLINK(AB2 &amp; "/flashlight/sn_c1041e0597dc8a36127fd5f4034b626d/rendering/03.obj", "4.53166137695")</f>
        <v>4.53166137695</v>
      </c>
      <c r="G939" s="27" t="str">
        <f>HYPERLINK(AB2 &amp; "/flashlight/sn_c1041e0597dc8a36127fd5f4034b626d/rendering/04.obj", "5.14868286133")</f>
        <v>5.14868286133</v>
      </c>
      <c r="H939" s="34" t="str">
        <f>HYPERLINK(AB2 &amp; "/flashlight/sn_c1041e0597dc8a36127fd5f4034b626d/rendering/05.obj", "4.57603485107")</f>
        <v>4.57603485107</v>
      </c>
      <c r="I939" s="46" t="str">
        <f>HYPERLINK(AB2 &amp; "/flashlight/sn_c1041e0597dc8a36127fd5f4034b626d/rendering/06.obj", "4.88773803711")</f>
        <v>4.88773803711</v>
      </c>
      <c r="J939" s="35" t="str">
        <f>HYPERLINK(AB2 &amp; "/flashlight/sn_c1041e0597dc8a36127fd5f4034b626d/rendering/07.obj", "4.51838195801")</f>
        <v>4.51838195801</v>
      </c>
      <c r="K939" s="5" t="str">
        <f>HYPERLINK(AB2 &amp; "/flashlight/sn_c1041e0597dc8a36127fd5f4034b626d/rendering/08.obj", "4.43784545898")</f>
        <v>4.43784545898</v>
      </c>
      <c r="L939" s="72" t="str">
        <f>HYPERLINK(AB2 &amp; "/flashlight/sn_c1041e0597dc8a36127fd5f4034b626d/rendering/09.obj", "4.64902038574")</f>
        <v>4.64902038574</v>
      </c>
      <c r="M939" s="46" t="str">
        <f>HYPERLINK(AB2 &amp; "/flashlight/sn_c1041e0597dc8a36127fd5f4034b626d/rendering/10.obj", "4.72531494141")</f>
        <v>4.72531494141</v>
      </c>
      <c r="N939" s="107" t="str">
        <f>HYPERLINK(AB2 &amp; "/flashlight/sn_c1041e0597dc8a36127fd5f4034b626d/rendering/11.obj", "5.20834472656")</f>
        <v>5.20834472656</v>
      </c>
      <c r="O939" s="47" t="str">
        <f>HYPERLINK(AB2 &amp; "/flashlight/sn_c1041e0597dc8a36127fd5f4034b626d/rendering/12.obj", "4.7670791626")</f>
        <v>4.7670791626</v>
      </c>
      <c r="P939" s="73" t="str">
        <f>HYPERLINK(AB2 &amp; "/flashlight/sn_c1041e0597dc8a36127fd5f4034b626d/rendering/13.obj", "4.98272827148")</f>
        <v>4.98272827148</v>
      </c>
      <c r="Q939" s="69" t="str">
        <f>HYPERLINK(AB2 &amp; "/flashlight/sn_c1041e0597dc8a36127fd5f4034b626d/rendering/14.obj", "4.65409118652")</f>
        <v>4.65409118652</v>
      </c>
      <c r="R939" s="72" t="str">
        <f>HYPERLINK(AB2 &amp; "/flashlight/sn_c1041e0597dc8a36127fd5f4034b626d/rendering/15.obj", "4.96671173096")</f>
        <v>4.96671173096</v>
      </c>
      <c r="S939" s="23" t="str">
        <f>HYPERLINK(AB2 &amp; "/flashlight/sn_c1041e0597dc8a36127fd5f4034b626d/rendering/16.obj", "4.62196228027")</f>
        <v>4.62196228027</v>
      </c>
      <c r="T939" s="94" t="str">
        <f>HYPERLINK(AB2 &amp; "/flashlight/sn_c1041e0597dc8a36127fd5f4034b626d/rendering/17.obj", "5.16244628906")</f>
        <v>5.16244628906</v>
      </c>
      <c r="U939" s="69" t="str">
        <f>HYPERLINK(AB2 &amp; "/flashlight/sn_c1041e0597dc8a36127fd5f4034b626d/rendering/18.obj", "4.65945556641")</f>
        <v>4.65945556641</v>
      </c>
      <c r="V939" s="25" t="str">
        <f>HYPERLINK(AB2 &amp; "/flashlight/sn_c1041e0597dc8a36127fd5f4034b626d/rendering/19.obj", "4.74447021484")</f>
        <v>4.74447021484</v>
      </c>
      <c r="W939" s="12" t="s">
        <v>31</v>
      </c>
      <c r="X939" s="13">
        <v>4.8030729217529302</v>
      </c>
      <c r="Y939" s="13">
        <v>0.34297205182781898</v>
      </c>
      <c r="Z939" s="27">
        <v>7.1406796735171765E-2</v>
      </c>
    </row>
    <row r="940" spans="1:26" x14ac:dyDescent="0.2">
      <c r="A940" s="1">
        <v>938</v>
      </c>
      <c r="B940" s="2" t="s">
        <v>220</v>
      </c>
      <c r="C940" s="146" t="str">
        <f>HYPERLINK(AB2 &amp; "/flashlight/sn_c1041e0597dc8a36127fd5f4034b626d/rendering/00.obj", "4.69961929321")</f>
        <v>4.69961929321</v>
      </c>
      <c r="D940" s="10" t="str">
        <f>HYPERLINK(AB2 &amp; "/flashlight/sn_c1041e0597dc8a36127fd5f4034b626d/rendering/01.obj", "2.49951434135")</f>
        <v>2.49951434135</v>
      </c>
      <c r="E940" s="23" t="str">
        <f>HYPERLINK(AB2 &amp; "/flashlight/sn_c1041e0597dc8a36127fd5f4034b626d/rendering/02.obj", "2.54160284996")</f>
        <v>2.54160284996</v>
      </c>
      <c r="F940" s="90" t="str">
        <f>HYPERLINK(AB2 &amp; "/flashlight/sn_c1041e0597dc8a36127fd5f4034b626d/rendering/03.obj", "2.39039134979")</f>
        <v>2.39039134979</v>
      </c>
      <c r="G940" s="106" t="str">
        <f>HYPERLINK(AB2 &amp; "/flashlight/sn_c1041e0597dc8a36127fd5f4034b626d/rendering/04.obj", "2.94978690147")</f>
        <v>2.94978690147</v>
      </c>
      <c r="H940" s="71" t="str">
        <f>HYPERLINK(AB2 &amp; "/flashlight/sn_c1041e0597dc8a36127fd5f4034b626d/rendering/05.obj", "2.33133983612")</f>
        <v>2.33133983612</v>
      </c>
      <c r="I940" s="68" t="str">
        <f>HYPERLINK(AB2 &amp; "/flashlight/sn_c1041e0597dc8a36127fd5f4034b626d/rendering/06.obj", "2.53112339973")</f>
        <v>2.53112339973</v>
      </c>
      <c r="J940" s="117" t="str">
        <f>HYPERLINK(AB2 &amp; "/flashlight/sn_c1041e0597dc8a36127fd5f4034b626d/rendering/07.obj", "2.17496347427")</f>
        <v>2.17496347427</v>
      </c>
      <c r="K940" s="60" t="str">
        <f>HYPERLINK(AB2 &amp; "/flashlight/sn_c1041e0597dc8a36127fd5f4034b626d/rendering/08.obj", "2.51083135605")</f>
        <v>2.51083135605</v>
      </c>
      <c r="L940" s="110" t="str">
        <f>HYPERLINK(AB2 &amp; "/flashlight/sn_c1041e0597dc8a36127fd5f4034b626d/rendering/09.obj", "2.38283061981")</f>
        <v>2.38283061981</v>
      </c>
      <c r="M940" s="117" t="str">
        <f>HYPERLINK(AB2 &amp; "/flashlight/sn_c1041e0597dc8a36127fd5f4034b626d/rendering/10.obj", "2.17806315422")</f>
        <v>2.17806315422</v>
      </c>
      <c r="N940" s="88" t="str">
        <f>HYPERLINK(AB2 &amp; "/flashlight/sn_c1041e0597dc8a36127fd5f4034b626d/rendering/11.obj", "3.17813944817")</f>
        <v>3.17813944817</v>
      </c>
      <c r="O940" s="48" t="str">
        <f>HYPERLINK(AB2 &amp; "/flashlight/sn_c1041e0597dc8a36127fd5f4034b626d/rendering/12.obj", "2.58015632629")</f>
        <v>2.58015632629</v>
      </c>
      <c r="P940" s="48" t="str">
        <f>HYPERLINK(AB2 &amp; "/flashlight/sn_c1041e0597dc8a36127fd5f4034b626d/rendering/13.obj", "2.58206558228")</f>
        <v>2.58206558228</v>
      </c>
      <c r="Q940" s="26" t="str">
        <f>HYPERLINK(AB2 &amp; "/flashlight/sn_c1041e0597dc8a36127fd5f4034b626d/rendering/14.obj", "2.4764893055")</f>
        <v>2.4764893055</v>
      </c>
      <c r="R940" s="34" t="str">
        <f>HYPERLINK(AB2 &amp; "/flashlight/sn_c1041e0597dc8a36127fd5f4034b626d/rendering/15.obj", "2.77462911606")</f>
        <v>2.77462911606</v>
      </c>
      <c r="S940" s="73" t="str">
        <f>HYPERLINK(AB2 &amp; "/flashlight/sn_c1041e0597dc8a36127fd5f4034b626d/rendering/16.obj", "2.54807901382")</f>
        <v>2.54807901382</v>
      </c>
      <c r="T940" s="27" t="str">
        <f>HYPERLINK(AB2 &amp; "/flashlight/sn_c1041e0597dc8a36127fd5f4034b626d/rendering/17.obj", "2.46335482597")</f>
        <v>2.46335482597</v>
      </c>
      <c r="U940" s="41" t="str">
        <f>HYPERLINK(AB2 &amp; "/flashlight/sn_c1041e0597dc8a36127fd5f4034b626d/rendering/18.obj", "2.46545577049")</f>
        <v>2.46545577049</v>
      </c>
      <c r="V940" s="47" t="str">
        <f>HYPERLINK(AB2 &amp; "/flashlight/sn_c1041e0597dc8a36127fd5f4034b626d/rendering/19.obj", "2.66298246384")</f>
        <v>2.66298246384</v>
      </c>
      <c r="W940" s="12" t="s">
        <v>32</v>
      </c>
      <c r="X940" s="13">
        <v>2.6460709214210509</v>
      </c>
      <c r="Y940" s="13">
        <v>0.52252344125654893</v>
      </c>
      <c r="Z940" s="44">
        <v>0.19747144229071981</v>
      </c>
    </row>
    <row r="941" spans="1:26" x14ac:dyDescent="0.2">
      <c r="A941" s="1">
        <v>939</v>
      </c>
      <c r="B941" s="2" t="s">
        <v>220</v>
      </c>
      <c r="C941" s="13" t="str">
        <f>HYPERLINK(AC2 &amp; "/flashlight/sn_c1041e0597dc8a36127fd5f4034b626d/rendering/00.xyz", "0.0")</f>
        <v>0.0</v>
      </c>
      <c r="D941" s="13" t="str">
        <f>HYPERLINK(AC2 &amp; "/flashlight/sn_c1041e0597dc8a36127fd5f4034b626d/rendering/01.xyz", "0.0")</f>
        <v>0.0</v>
      </c>
      <c r="E941" s="13" t="str">
        <f>HYPERLINK(AC2 &amp; "/flashlight/sn_c1041e0597dc8a36127fd5f4034b626d/rendering/02.xyz", "0.0")</f>
        <v>0.0</v>
      </c>
      <c r="F941" s="13" t="str">
        <f>HYPERLINK(AC2 &amp; "/flashlight/sn_c1041e0597dc8a36127fd5f4034b626d/rendering/03.xyz", "0.0")</f>
        <v>0.0</v>
      </c>
      <c r="G941" s="13" t="str">
        <f>HYPERLINK(AC2 &amp; "/flashlight/sn_c1041e0597dc8a36127fd5f4034b626d/rendering/04.xyz", "0.0")</f>
        <v>0.0</v>
      </c>
      <c r="H941" s="13" t="str">
        <f>HYPERLINK(AC2 &amp; "/flashlight/sn_c1041e0597dc8a36127fd5f4034b626d/rendering/05.xyz", "0.0")</f>
        <v>0.0</v>
      </c>
      <c r="I941" s="13" t="str">
        <f>HYPERLINK(AC2 &amp; "/flashlight/sn_c1041e0597dc8a36127fd5f4034b626d/rendering/06.xyz", "0.0")</f>
        <v>0.0</v>
      </c>
      <c r="J941" s="13" t="str">
        <f>HYPERLINK(AC2 &amp; "/flashlight/sn_c1041e0597dc8a36127fd5f4034b626d/rendering/07.xyz", "0.0")</f>
        <v>0.0</v>
      </c>
      <c r="K941" s="13" t="str">
        <f>HYPERLINK(AC2 &amp; "/flashlight/sn_c1041e0597dc8a36127fd5f4034b626d/rendering/08.xyz", "0.0")</f>
        <v>0.0</v>
      </c>
      <c r="L941" s="13" t="str">
        <f>HYPERLINK(AC2 &amp; "/flashlight/sn_c1041e0597dc8a36127fd5f4034b626d/rendering/09.xyz", "0.0")</f>
        <v>0.0</v>
      </c>
      <c r="M941" s="13" t="str">
        <f>HYPERLINK(AC2 &amp; "/flashlight/sn_c1041e0597dc8a36127fd5f4034b626d/rendering/10.xyz", "0.0")</f>
        <v>0.0</v>
      </c>
      <c r="N941" s="13" t="str">
        <f>HYPERLINK(AC2 &amp; "/flashlight/sn_c1041e0597dc8a36127fd5f4034b626d/rendering/11.xyz", "0.0")</f>
        <v>0.0</v>
      </c>
      <c r="O941" s="13" t="str">
        <f>HYPERLINK(AC2 &amp; "/flashlight/sn_c1041e0597dc8a36127fd5f4034b626d/rendering/12.xyz", "0.0")</f>
        <v>0.0</v>
      </c>
      <c r="P941" s="13" t="str">
        <f>HYPERLINK(AC2 &amp; "/flashlight/sn_c1041e0597dc8a36127fd5f4034b626d/rendering/13.xyz", "0.0")</f>
        <v>0.0</v>
      </c>
      <c r="Q941" s="13" t="str">
        <f>HYPERLINK(AC2 &amp; "/flashlight/sn_c1041e0597dc8a36127fd5f4034b626d/rendering/14.xyz", "0.0")</f>
        <v>0.0</v>
      </c>
      <c r="R941" s="13" t="str">
        <f>HYPERLINK(AC2 &amp; "/flashlight/sn_c1041e0597dc8a36127fd5f4034b626d/rendering/15.xyz", "0.0")</f>
        <v>0.0</v>
      </c>
      <c r="S941" s="13" t="str">
        <f>HYPERLINK(AC2 &amp; "/flashlight/sn_c1041e0597dc8a36127fd5f4034b626d/rendering/16.xyz", "0.0")</f>
        <v>0.0</v>
      </c>
      <c r="T941" s="13" t="str">
        <f>HYPERLINK(AC2 &amp; "/flashlight/sn_c1041e0597dc8a36127fd5f4034b626d/rendering/17.xyz", "0.0")</f>
        <v>0.0</v>
      </c>
      <c r="U941" s="13" t="str">
        <f>HYPERLINK(AC2 &amp; "/flashlight/sn_c1041e0597dc8a36127fd5f4034b626d/rendering/18.xyz", "0.0")</f>
        <v>0.0</v>
      </c>
      <c r="V941" s="13" t="str">
        <f>HYPERLINK(AC2 &amp; "/flashlight/sn_c1041e0597dc8a36127fd5f4034b626d/rendering/19.xyz", "0.0")</f>
        <v>0.0</v>
      </c>
      <c r="W941" s="12" t="s">
        <v>33</v>
      </c>
      <c r="X941" s="13">
        <v>0</v>
      </c>
      <c r="Y941" s="13">
        <v>0</v>
      </c>
      <c r="Z941" s="13">
        <v>0</v>
      </c>
    </row>
    <row r="942" spans="1:26" x14ac:dyDescent="0.2">
      <c r="A942" s="1">
        <v>940</v>
      </c>
      <c r="B942" s="2" t="s">
        <v>221</v>
      </c>
      <c r="C942" s="63" t="str">
        <f>HYPERLINK(AA2 &amp; "/flashlight/sn_c52fea6ccfbd7c853ff80c5f32f8e471/rendering/00.obj", "5.87555664062")</f>
        <v>5.87555664062</v>
      </c>
      <c r="D942" s="77" t="str">
        <f>HYPERLINK(AA2 &amp; "/flashlight/sn_c52fea6ccfbd7c853ff80c5f32f8e471/rendering/01.obj", "5.43692016602")</f>
        <v>5.43692016602</v>
      </c>
      <c r="E942" s="68" t="str">
        <f>HYPERLINK(AA2 &amp; "/flashlight/sn_c52fea6ccfbd7c853ff80c5f32f8e471/rendering/02.obj", "6.40219177246")</f>
        <v>6.40219177246</v>
      </c>
      <c r="F942" s="60" t="str">
        <f>HYPERLINK(AA2 &amp; "/flashlight/sn_c52fea6ccfbd7c853ff80c5f32f8e471/rendering/03.obj", "6.32441040039")</f>
        <v>6.32441040039</v>
      </c>
      <c r="G942" s="33" t="str">
        <f>HYPERLINK(AA2 &amp; "/flashlight/sn_c52fea6ccfbd7c853ff80c5f32f8e471/rendering/04.obj", "5.96114746094")</f>
        <v>5.96114746094</v>
      </c>
      <c r="H942" s="90" t="str">
        <f>HYPERLINK(AA2 &amp; "/flashlight/sn_c52fea6ccfbd7c853ff80c5f32f8e471/rendering/05.obj", "6.03951049805")</f>
        <v>6.03951049805</v>
      </c>
      <c r="I942" s="106" t="str">
        <f>HYPERLINK(AA2 &amp; "/flashlight/sn_c52fea6ccfbd7c853ff80c5f32f8e471/rendering/06.obj", "5.91951049805")</f>
        <v>5.91951049805</v>
      </c>
      <c r="J942" s="30" t="str">
        <f>HYPERLINK(AA2 &amp; "/flashlight/sn_c52fea6ccfbd7c853ff80c5f32f8e471/rendering/07.obj", "6.71206787109")</f>
        <v>6.71206787109</v>
      </c>
      <c r="K942" s="30" t="str">
        <f>HYPERLINK(AA2 &amp; "/flashlight/sn_c52fea6ccfbd7c853ff80c5f32f8e471/rendering/08.obj", "6.70983764648")</f>
        <v>6.70983764648</v>
      </c>
      <c r="L942" s="78" t="str">
        <f>HYPERLINK(AA2 &amp; "/flashlight/sn_c52fea6ccfbd7c853ff80c5f32f8e471/rendering/09.obj", "6.25691040039")</f>
        <v>6.25691040039</v>
      </c>
      <c r="M942" s="251" t="str">
        <f>HYPERLINK(AA2 &amp; "/flashlight/sn_c52fea6ccfbd7c853ff80c5f32f8e471/rendering/10.obj", "10.6055151367")</f>
        <v>10.6055151367</v>
      </c>
      <c r="N942" s="135" t="str">
        <f>HYPERLINK(AA2 &amp; "/flashlight/sn_c52fea6ccfbd7c853ff80c5f32f8e471/rendering/11.obj", "4.96542541504")</f>
        <v>4.96542541504</v>
      </c>
      <c r="O942" s="37" t="str">
        <f>HYPERLINK(AA2 &amp; "/flashlight/sn_c52fea6ccfbd7c853ff80c5f32f8e471/rendering/12.obj", "5.51712768555")</f>
        <v>5.51712768555</v>
      </c>
      <c r="P942" s="34" t="str">
        <f>HYPERLINK(AA2 &amp; "/flashlight/sn_c52fea6ccfbd7c853ff80c5f32f8e471/rendering/13.obj", "7.00056152344")</f>
        <v>7.00056152344</v>
      </c>
      <c r="Q942" s="223" t="str">
        <f>HYPERLINK(AA2 &amp; "/flashlight/sn_c52fea6ccfbd7c853ff80c5f32f8e471/rendering/14.obj", "10.4220385742")</f>
        <v>10.4220385742</v>
      </c>
      <c r="R942" s="71" t="str">
        <f>HYPERLINK(AA2 &amp; "/flashlight/sn_c52fea6ccfbd7c853ff80c5f32f8e471/rendering/15.obj", "5.88090881348")</f>
        <v>5.88090881348</v>
      </c>
      <c r="S942" s="37" t="str">
        <f>HYPERLINK(AA2 &amp; "/flashlight/sn_c52fea6ccfbd7c853ff80c5f32f8e471/rendering/16.obj", "5.51835205078")</f>
        <v>5.51835205078</v>
      </c>
      <c r="T942" s="118" t="str">
        <f>HYPERLINK(AA2 &amp; "/flashlight/sn_c52fea6ccfbd7c853ff80c5f32f8e471/rendering/17.obj", "8.63133972168")</f>
        <v>8.63133972168</v>
      </c>
      <c r="U942" s="13" t="str">
        <f>HYPERLINK(AA2 &amp; "/flashlight/sn_c52fea6ccfbd7c853ff80c5f32f8e471/rendering/18.obj", "6.69568603516")</f>
        <v>6.69568603516</v>
      </c>
      <c r="V942" s="30" t="str">
        <f>HYPERLINK(AA2 &amp; "/flashlight/sn_c52fea6ccfbd7c853ff80c5f32f8e471/rendering/19.obj", "6.6356842041")</f>
        <v>6.6356842041</v>
      </c>
      <c r="W942" s="12" t="s">
        <v>29</v>
      </c>
      <c r="X942" s="13">
        <v>6.6755351257324209</v>
      </c>
      <c r="Y942" s="13">
        <v>1.4779558788281491</v>
      </c>
      <c r="Z942" s="75">
        <v>0.22139886181274371</v>
      </c>
    </row>
    <row r="943" spans="1:26" x14ac:dyDescent="0.2">
      <c r="A943" s="1">
        <v>941</v>
      </c>
      <c r="B943" s="2" t="s">
        <v>221</v>
      </c>
      <c r="C943" s="97" t="str">
        <f>HYPERLINK(AA2 &amp; "/flashlight/sn_c52fea6ccfbd7c853ff80c5f32f8e471/rendering/00.obj", "2.21073818207")</f>
        <v>2.21073818207</v>
      </c>
      <c r="D943" s="22" t="str">
        <f>HYPERLINK(AA2 &amp; "/flashlight/sn_c52fea6ccfbd7c853ff80c5f32f8e471/rendering/01.obj", "1.87296617031")</f>
        <v>1.87296617031</v>
      </c>
      <c r="E943" s="61" t="str">
        <f>HYPERLINK(AA2 &amp; "/flashlight/sn_c52fea6ccfbd7c853ff80c5f32f8e471/rendering/02.obj", "2.73574829102")</f>
        <v>2.73574829102</v>
      </c>
      <c r="F943" s="24" t="str">
        <f>HYPERLINK(AA2 &amp; "/flashlight/sn_c52fea6ccfbd7c853ff80c5f32f8e471/rendering/03.obj", "4.57284975052")</f>
        <v>4.57284975052</v>
      </c>
      <c r="G943" s="97" t="str">
        <f>HYPERLINK(AA2 &amp; "/flashlight/sn_c52fea6ccfbd7c853ff80c5f32f8e471/rendering/04.obj", "2.21798491478")</f>
        <v>2.21798491478</v>
      </c>
      <c r="H943" s="119" t="str">
        <f>HYPERLINK(AA2 &amp; "/flashlight/sn_c52fea6ccfbd7c853ff80c5f32f8e471/rendering/05.obj", "2.87335896492")</f>
        <v>2.87335896492</v>
      </c>
      <c r="I943" s="123" t="str">
        <f>HYPERLINK(AA2 &amp; "/flashlight/sn_c52fea6ccfbd7c853ff80c5f32f8e471/rendering/06.obj", "2.47272634506")</f>
        <v>2.47272634506</v>
      </c>
      <c r="J943" s="93" t="str">
        <f>HYPERLINK(AA2 &amp; "/flashlight/sn_c52fea6ccfbd7c853ff80c5f32f8e471/rendering/07.obj", "3.37413024902")</f>
        <v>3.37413024902</v>
      </c>
      <c r="K943" s="85" t="str">
        <f>HYPERLINK(AA2 &amp; "/flashlight/sn_c52fea6ccfbd7c853ff80c5f32f8e471/rendering/08.obj", "5.07085132599")</f>
        <v>5.07085132599</v>
      </c>
      <c r="L943" s="128" t="str">
        <f>HYPERLINK(AA2 &amp; "/flashlight/sn_c52fea6ccfbd7c853ff80c5f32f8e471/rendering/09.obj", "2.38317680359")</f>
        <v>2.38317680359</v>
      </c>
      <c r="M943" s="20" t="str">
        <f>HYPERLINK(AA2 &amp; "/flashlight/sn_c52fea6ccfbd7c853ff80c5f32f8e471/rendering/10.obj", "9.73302459717")</f>
        <v>9.73302459717</v>
      </c>
      <c r="N943" s="196" t="str">
        <f>HYPERLINK(AA2 &amp; "/flashlight/sn_c52fea6ccfbd7c853ff80c5f32f8e471/rendering/11.obj", "2.35801935196")</f>
        <v>2.35801935196</v>
      </c>
      <c r="O943" s="192" t="str">
        <f>HYPERLINK(AA2 &amp; "/flashlight/sn_c52fea6ccfbd7c853ff80c5f32f8e471/rendering/12.obj", "2.45487141609")</f>
        <v>2.45487141609</v>
      </c>
      <c r="P943" s="117" t="str">
        <f>HYPERLINK(AA2 &amp; "/flashlight/sn_c52fea6ccfbd7c853ff80c5f32f8e471/rendering/13.obj", "4.60835981369")</f>
        <v>4.60835981369</v>
      </c>
      <c r="Q943" s="20" t="str">
        <f>HYPERLINK(AA2 &amp; "/flashlight/sn_c52fea6ccfbd7c853ff80c5f32f8e471/rendering/14.obj", "12.1407413483")</f>
        <v>12.1407413483</v>
      </c>
      <c r="R943" s="147" t="str">
        <f>HYPERLINK(AA2 &amp; "/flashlight/sn_c52fea6ccfbd7c853ff80c5f32f8e471/rendering/15.obj", "2.01090335846")</f>
        <v>2.01090335846</v>
      </c>
      <c r="S943" s="111" t="str">
        <f>HYPERLINK(AA2 &amp; "/flashlight/sn_c52fea6ccfbd7c853ff80c5f32f8e471/rendering/16.obj", "2.26416254044")</f>
        <v>2.26416254044</v>
      </c>
      <c r="T943" s="81" t="str">
        <f>HYPERLINK(AA2 &amp; "/flashlight/sn_c52fea6ccfbd7c853ff80c5f32f8e471/rendering/17.obj", "4.76382923126")</f>
        <v>4.76382923126</v>
      </c>
      <c r="U943" s="179" t="str">
        <f>HYPERLINK(AA2 &amp; "/flashlight/sn_c52fea6ccfbd7c853ff80c5f32f8e471/rendering/18.obj", "5.58616399765")</f>
        <v>5.58616399765</v>
      </c>
      <c r="V943" s="138" t="str">
        <f>HYPERLINK(AA2 &amp; "/flashlight/sn_c52fea6ccfbd7c853ff80c5f32f8e471/rendering/19.obj", "2.59799575806")</f>
        <v>2.59799575806</v>
      </c>
      <c r="W943" s="12" t="s">
        <v>30</v>
      </c>
      <c r="X943" s="13">
        <v>3.915130120515824</v>
      </c>
      <c r="Y943" s="13">
        <v>2.617877450830759</v>
      </c>
      <c r="Z943" s="215">
        <v>0.66865656319127642</v>
      </c>
    </row>
    <row r="944" spans="1:26" x14ac:dyDescent="0.2">
      <c r="A944" s="1">
        <v>942</v>
      </c>
      <c r="B944" s="2" t="s">
        <v>221</v>
      </c>
      <c r="C944" s="17" t="str">
        <f>HYPERLINK(AB2 &amp; "/flashlight/sn_c52fea6ccfbd7c853ff80c5f32f8e471/rendering/00.obj", "5.1571105957")</f>
        <v>5.1571105957</v>
      </c>
      <c r="D944" s="69" t="str">
        <f>HYPERLINK(AB2 &amp; "/flashlight/sn_c52fea6ccfbd7c853ff80c5f32f8e471/rendering/01.obj", "5.41093994141")</f>
        <v>5.41093994141</v>
      </c>
      <c r="E944" s="69" t="str">
        <f>HYPERLINK(AB2 &amp; "/flashlight/sn_c52fea6ccfbd7c853ff80c5f32f8e471/rendering/02.obj", "5.42152770996")</f>
        <v>5.42152770996</v>
      </c>
      <c r="F944" s="25" t="str">
        <f>HYPERLINK(AB2 &amp; "/flashlight/sn_c52fea6ccfbd7c853ff80c5f32f8e471/rendering/03.obj", "5.31735046387")</f>
        <v>5.31735046387</v>
      </c>
      <c r="G944" s="46" t="str">
        <f>HYPERLINK(AB2 &amp; "/flashlight/sn_c52fea6ccfbd7c853ff80c5f32f8e471/rendering/04.obj", "5.16928344727")</f>
        <v>5.16928344727</v>
      </c>
      <c r="H944" s="91" t="str">
        <f>HYPERLINK(AB2 &amp; "/flashlight/sn_c52fea6ccfbd7c853ff80c5f32f8e471/rendering/05.obj", "5.12589111328")</f>
        <v>5.12589111328</v>
      </c>
      <c r="I944" s="48" t="str">
        <f>HYPERLINK(AB2 &amp; "/flashlight/sn_c52fea6ccfbd7c853ff80c5f32f8e471/rendering/06.obj", "5.37802978516")</f>
        <v>5.37802978516</v>
      </c>
      <c r="J944" s="69" t="str">
        <f>HYPERLINK(AB2 &amp; "/flashlight/sn_c52fea6ccfbd7c853ff80c5f32f8e471/rendering/07.obj", "5.10238220215")</f>
        <v>5.10238220215</v>
      </c>
      <c r="K944" s="30" t="str">
        <f>HYPERLINK(AB2 &amp; "/flashlight/sn_c52fea6ccfbd7c853ff80c5f32f8e471/rendering/08.obj", "5.23641235352")</f>
        <v>5.23641235352</v>
      </c>
      <c r="L944" s="68" t="str">
        <f>HYPERLINK(AB2 &amp; "/flashlight/sn_c52fea6ccfbd7c853ff80c5f32f8e471/rendering/09.obj", "5.03962493896")</f>
        <v>5.03962493896</v>
      </c>
      <c r="M944" s="5" t="str">
        <f>HYPERLINK(AB2 &amp; "/flashlight/sn_c52fea6ccfbd7c853ff80c5f32f8e471/rendering/10.obj", "5.66571655273")</f>
        <v>5.66571655273</v>
      </c>
      <c r="N944" s="34" t="str">
        <f>HYPERLINK(AB2 &amp; "/flashlight/sn_c52fea6ccfbd7c853ff80c5f32f8e471/rendering/11.obj", "5.00489196777")</f>
        <v>5.00489196777</v>
      </c>
      <c r="O944" s="35" t="str">
        <f>HYPERLINK(AB2 &amp; "/flashlight/sn_c52fea6ccfbd7c853ff80c5f32f8e471/rendering/12.obj", "5.55969909668")</f>
        <v>5.55969909668</v>
      </c>
      <c r="P944" s="46" t="str">
        <f>HYPERLINK(AB2 &amp; "/flashlight/sn_c52fea6ccfbd7c853ff80c5f32f8e471/rendering/13.obj", "5.17114379883")</f>
        <v>5.17114379883</v>
      </c>
      <c r="Q944" s="35" t="str">
        <f>HYPERLINK(AB2 &amp; "/flashlight/sn_c52fea6ccfbd7c853ff80c5f32f8e471/rendering/14.obj", "4.9521762085")</f>
        <v>4.9521762085</v>
      </c>
      <c r="R944" s="26" t="str">
        <f>HYPERLINK(AB2 &amp; "/flashlight/sn_c52fea6ccfbd7c853ff80c5f32f8e471/rendering/15.obj", "5.59328369141")</f>
        <v>5.59328369141</v>
      </c>
      <c r="S944" s="68" t="str">
        <f>HYPERLINK(AB2 &amp; "/flashlight/sn_c52fea6ccfbd7c853ff80c5f32f8e471/rendering/16.obj", "5.03590484619")</f>
        <v>5.03590484619</v>
      </c>
      <c r="T944" s="48" t="str">
        <f>HYPERLINK(AB2 &amp; "/flashlight/sn_c52fea6ccfbd7c853ff80c5f32f8e471/rendering/17.obj", "5.38854492187")</f>
        <v>5.38854492187</v>
      </c>
      <c r="U944" s="30" t="str">
        <f>HYPERLINK(AB2 &amp; "/flashlight/sn_c52fea6ccfbd7c853ff80c5f32f8e471/rendering/18.obj", "5.24336853027")</f>
        <v>5.24336853027</v>
      </c>
      <c r="V944" s="47" t="str">
        <f>HYPERLINK(AB2 &amp; "/flashlight/sn_c52fea6ccfbd7c853ff80c5f32f8e471/rendering/19.obj", "5.22683532715")</f>
        <v>5.22683532715</v>
      </c>
      <c r="W944" s="12" t="s">
        <v>31</v>
      </c>
      <c r="X944" s="13">
        <v>5.260005874633789</v>
      </c>
      <c r="Y944" s="13">
        <v>0.197257882863172</v>
      </c>
      <c r="Z944" s="73">
        <v>3.7501456759666728E-2</v>
      </c>
    </row>
    <row r="945" spans="1:26" x14ac:dyDescent="0.2">
      <c r="A945" s="1">
        <v>943</v>
      </c>
      <c r="B945" s="2" t="s">
        <v>221</v>
      </c>
      <c r="C945" s="76" t="str">
        <f>HYPERLINK(AB2 &amp; "/flashlight/sn_c52fea6ccfbd7c853ff80c5f32f8e471/rendering/00.obj", "1.91196155548")</f>
        <v>1.91196155548</v>
      </c>
      <c r="D945" s="133" t="str">
        <f>HYPERLINK(AB2 &amp; "/flashlight/sn_c52fea6ccfbd7c853ff80c5f32f8e471/rendering/01.obj", "2.57913088799")</f>
        <v>2.57913088799</v>
      </c>
      <c r="E945" s="8" t="str">
        <f>HYPERLINK(AB2 &amp; "/flashlight/sn_c52fea6ccfbd7c853ff80c5f32f8e471/rendering/02.obj", "2.67357206345")</f>
        <v>2.67357206345</v>
      </c>
      <c r="F945" s="61" t="str">
        <f>HYPERLINK(AB2 &amp; "/flashlight/sn_c52fea6ccfbd7c853ff80c5f32f8e471/rendering/03.obj", "3.04580211639")</f>
        <v>3.04580211639</v>
      </c>
      <c r="G945" s="68" t="str">
        <f>HYPERLINK(AB2 &amp; "/flashlight/sn_c52fea6ccfbd7c853ff80c5f32f8e471/rendering/04.obj", "2.23916959763")</f>
        <v>2.23916959763</v>
      </c>
      <c r="H945" s="133" t="str">
        <f>HYPERLINK(AB2 &amp; "/flashlight/sn_c52fea6ccfbd7c853ff80c5f32f8e471/rendering/05.obj", "2.0970556736")</f>
        <v>2.0970556736</v>
      </c>
      <c r="I945" s="37" t="str">
        <f>HYPERLINK(AB2 &amp; "/flashlight/sn_c52fea6ccfbd7c853ff80c5f32f8e471/rendering/06.obj", "1.93093824387")</f>
        <v>1.93093824387</v>
      </c>
      <c r="J945" s="91" t="str">
        <f>HYPERLINK(AB2 &amp; "/flashlight/sn_c52fea6ccfbd7c853ff80c5f32f8e471/rendering/07.obj", "2.40440917015")</f>
        <v>2.40440917015</v>
      </c>
      <c r="K945" s="10" t="str">
        <f>HYPERLINK(AB2 &amp; "/flashlight/sn_c52fea6ccfbd7c853ff80c5f32f8e471/rendering/08.obj", "2.46374034882")</f>
        <v>2.46374034882</v>
      </c>
      <c r="L945" s="41" t="str">
        <f>HYPERLINK(AB2 &amp; "/flashlight/sn_c52fea6ccfbd7c853ff80c5f32f8e471/rendering/09.obj", "2.18343377113")</f>
        <v>2.18343377113</v>
      </c>
      <c r="M945" s="133" t="str">
        <f>HYPERLINK(AB2 &amp; "/flashlight/sn_c52fea6ccfbd7c853ff80c5f32f8e471/rendering/10.obj", "2.09936285019")</f>
        <v>2.09936285019</v>
      </c>
      <c r="N945" s="6" t="str">
        <f>HYPERLINK(AB2 &amp; "/flashlight/sn_c52fea6ccfbd7c853ff80c5f32f8e471/rendering/11.obj", "2.23266625404")</f>
        <v>2.23266625404</v>
      </c>
      <c r="O945" s="33" t="str">
        <f>HYPERLINK(AB2 &amp; "/flashlight/sn_c52fea6ccfbd7c853ff80c5f32f8e471/rendering/12.obj", "2.08230829239")</f>
        <v>2.08230829239</v>
      </c>
      <c r="P945" s="38" t="str">
        <f>HYPERLINK(AB2 &amp; "/flashlight/sn_c52fea6ccfbd7c853ff80c5f32f8e471/rendering/13.obj", "2.13081550598")</f>
        <v>2.13081550598</v>
      </c>
      <c r="Q945" s="117" t="str">
        <f>HYPERLINK(AB2 &amp; "/flashlight/sn_c52fea6ccfbd7c853ff80c5f32f8e471/rendering/14.obj", "1.92703545094")</f>
        <v>1.92703545094</v>
      </c>
      <c r="R945" s="32" t="str">
        <f>HYPERLINK(AB2 &amp; "/flashlight/sn_c52fea6ccfbd7c853ff80c5f32f8e471/rendering/15.obj", "2.09625387192")</f>
        <v>2.09625387192</v>
      </c>
      <c r="S945" s="30" t="str">
        <f>HYPERLINK(AB2 &amp; "/flashlight/sn_c52fea6ccfbd7c853ff80c5f32f8e471/rendering/16.obj", "2.34637403488")</f>
        <v>2.34637403488</v>
      </c>
      <c r="T945" s="140" t="str">
        <f>HYPERLINK(AB2 &amp; "/flashlight/sn_c52fea6ccfbd7c853ff80c5f32f8e471/rendering/17.obj", "3.15080475807")</f>
        <v>3.15080475807</v>
      </c>
      <c r="U945" s="90" t="str">
        <f>HYPERLINK(AB2 &amp; "/flashlight/sn_c52fea6ccfbd7c853ff80c5f32f8e471/rendering/18.obj", "2.11750531197")</f>
        <v>2.11750531197</v>
      </c>
      <c r="V945" s="56" t="str">
        <f>HYPERLINK(AB2 &amp; "/flashlight/sn_c52fea6ccfbd7c853ff80c5f32f8e471/rendering/19.obj", "3.06092882156")</f>
        <v>3.06092882156</v>
      </c>
      <c r="W945" s="12" t="s">
        <v>32</v>
      </c>
      <c r="X945" s="13">
        <v>2.3386634290218349</v>
      </c>
      <c r="Y945" s="13">
        <v>0.37192164609901962</v>
      </c>
      <c r="Z945" s="79">
        <v>0.1590317107984105</v>
      </c>
    </row>
    <row r="946" spans="1:26" x14ac:dyDescent="0.2">
      <c r="A946" s="1">
        <v>944</v>
      </c>
      <c r="B946" s="2" t="s">
        <v>221</v>
      </c>
      <c r="C946" s="13" t="str">
        <f>HYPERLINK(AC2 &amp; "/flashlight/sn_c52fea6ccfbd7c853ff80c5f32f8e471/rendering/00.xyz", "0.0")</f>
        <v>0.0</v>
      </c>
      <c r="D946" s="13" t="str">
        <f>HYPERLINK(AC2 &amp; "/flashlight/sn_c52fea6ccfbd7c853ff80c5f32f8e471/rendering/01.xyz", "0.0")</f>
        <v>0.0</v>
      </c>
      <c r="E946" s="13" t="str">
        <f>HYPERLINK(AC2 &amp; "/flashlight/sn_c52fea6ccfbd7c853ff80c5f32f8e471/rendering/02.xyz", "0.0")</f>
        <v>0.0</v>
      </c>
      <c r="F946" s="13" t="str">
        <f>HYPERLINK(AC2 &amp; "/flashlight/sn_c52fea6ccfbd7c853ff80c5f32f8e471/rendering/03.xyz", "0.0")</f>
        <v>0.0</v>
      </c>
      <c r="G946" s="13" t="str">
        <f>HYPERLINK(AC2 &amp; "/flashlight/sn_c52fea6ccfbd7c853ff80c5f32f8e471/rendering/04.xyz", "0.0")</f>
        <v>0.0</v>
      </c>
      <c r="H946" s="13" t="str">
        <f>HYPERLINK(AC2 &amp; "/flashlight/sn_c52fea6ccfbd7c853ff80c5f32f8e471/rendering/05.xyz", "0.0")</f>
        <v>0.0</v>
      </c>
      <c r="I946" s="13" t="str">
        <f>HYPERLINK(AC2 &amp; "/flashlight/sn_c52fea6ccfbd7c853ff80c5f32f8e471/rendering/06.xyz", "0.0")</f>
        <v>0.0</v>
      </c>
      <c r="J946" s="13" t="str">
        <f>HYPERLINK(AC2 &amp; "/flashlight/sn_c52fea6ccfbd7c853ff80c5f32f8e471/rendering/07.xyz", "0.0")</f>
        <v>0.0</v>
      </c>
      <c r="K946" s="13" t="str">
        <f>HYPERLINK(AC2 &amp; "/flashlight/sn_c52fea6ccfbd7c853ff80c5f32f8e471/rendering/08.xyz", "0.0")</f>
        <v>0.0</v>
      </c>
      <c r="L946" s="13" t="str">
        <f>HYPERLINK(AC2 &amp; "/flashlight/sn_c52fea6ccfbd7c853ff80c5f32f8e471/rendering/09.xyz", "0.0")</f>
        <v>0.0</v>
      </c>
      <c r="M946" s="13" t="str">
        <f>HYPERLINK(AC2 &amp; "/flashlight/sn_c52fea6ccfbd7c853ff80c5f32f8e471/rendering/10.xyz", "0.0")</f>
        <v>0.0</v>
      </c>
      <c r="N946" s="13" t="str">
        <f>HYPERLINK(AC2 &amp; "/flashlight/sn_c52fea6ccfbd7c853ff80c5f32f8e471/rendering/11.xyz", "0.0")</f>
        <v>0.0</v>
      </c>
      <c r="O946" s="13" t="str">
        <f>HYPERLINK(AC2 &amp; "/flashlight/sn_c52fea6ccfbd7c853ff80c5f32f8e471/rendering/12.xyz", "0.0")</f>
        <v>0.0</v>
      </c>
      <c r="P946" s="13" t="str">
        <f>HYPERLINK(AC2 &amp; "/flashlight/sn_c52fea6ccfbd7c853ff80c5f32f8e471/rendering/13.xyz", "0.0")</f>
        <v>0.0</v>
      </c>
      <c r="Q946" s="13" t="str">
        <f>HYPERLINK(AC2 &amp; "/flashlight/sn_c52fea6ccfbd7c853ff80c5f32f8e471/rendering/14.xyz", "0.0")</f>
        <v>0.0</v>
      </c>
      <c r="R946" s="13" t="str">
        <f>HYPERLINK(AC2 &amp; "/flashlight/sn_c52fea6ccfbd7c853ff80c5f32f8e471/rendering/15.xyz", "0.0")</f>
        <v>0.0</v>
      </c>
      <c r="S946" s="13" t="str">
        <f>HYPERLINK(AC2 &amp; "/flashlight/sn_c52fea6ccfbd7c853ff80c5f32f8e471/rendering/16.xyz", "0.0")</f>
        <v>0.0</v>
      </c>
      <c r="T946" s="13" t="str">
        <f>HYPERLINK(AC2 &amp; "/flashlight/sn_c52fea6ccfbd7c853ff80c5f32f8e471/rendering/17.xyz", "0.0")</f>
        <v>0.0</v>
      </c>
      <c r="U946" s="13" t="str">
        <f>HYPERLINK(AC2 &amp; "/flashlight/sn_c52fea6ccfbd7c853ff80c5f32f8e471/rendering/18.xyz", "0.0")</f>
        <v>0.0</v>
      </c>
      <c r="V946" s="13" t="str">
        <f>HYPERLINK(AC2 &amp; "/flashlight/sn_c52fea6ccfbd7c853ff80c5f32f8e471/rendering/19.xyz", "0.0")</f>
        <v>0.0</v>
      </c>
      <c r="W946" s="12" t="s">
        <v>33</v>
      </c>
      <c r="X946" s="13">
        <v>0</v>
      </c>
      <c r="Y946" s="13">
        <v>0</v>
      </c>
      <c r="Z946" s="13">
        <v>0</v>
      </c>
    </row>
    <row r="947" spans="1:26" x14ac:dyDescent="0.2">
      <c r="A947" s="1">
        <v>945</v>
      </c>
      <c r="B947" s="2" t="s">
        <v>222</v>
      </c>
      <c r="C947" s="13" t="str">
        <f>HYPERLINK(AA2 &amp; "/flashlight/sn_c65d0362f6a2cac97f8716f93aa577da/rendering/00.obj", "4.62209197998")</f>
        <v>4.62209197998</v>
      </c>
      <c r="D947" s="120" t="str">
        <f>HYPERLINK(AA2 &amp; "/flashlight/sn_c65d0362f6a2cac97f8716f93aa577da/rendering/01.obj", "3.65193481445")</f>
        <v>3.65193481445</v>
      </c>
      <c r="E947" s="6" t="str">
        <f>HYPERLINK(AA2 &amp; "/flashlight/sn_c65d0362f6a2cac97f8716f93aa577da/rendering/02.obj", "4.41325683594")</f>
        <v>4.41325683594</v>
      </c>
      <c r="F947" s="103" t="str">
        <f>HYPERLINK(AA2 &amp; "/flashlight/sn_c65d0362f6a2cac97f8716f93aa577da/rendering/03.obj", "6.13072631836")</f>
        <v>6.13072631836</v>
      </c>
      <c r="G947" s="20" t="str">
        <f>HYPERLINK(AA2 &amp; "/flashlight/sn_c65d0362f6a2cac97f8716f93aa577da/rendering/04.obj", "8.85805664062")</f>
        <v>8.85805664062</v>
      </c>
      <c r="H947" s="33" t="str">
        <f>HYPERLINK(AA2 &amp; "/flashlight/sn_c65d0362f6a2cac97f8716f93aa577da/rendering/05.obj", "4.13158630371")</f>
        <v>4.13158630371</v>
      </c>
      <c r="I947" s="44" t="str">
        <f>HYPERLINK(AA2 &amp; "/flashlight/sn_c65d0362f6a2cac97f8716f93aa577da/rendering/06.obj", "3.72012634277")</f>
        <v>3.72012634277</v>
      </c>
      <c r="J947" s="23" t="str">
        <f>HYPERLINK(AA2 &amp; "/flashlight/sn_c65d0362f6a2cac97f8716f93aa577da/rendering/07.obj", "4.45123901367")</f>
        <v>4.45123901367</v>
      </c>
      <c r="K947" s="37" t="str">
        <f>HYPERLINK(AA2 &amp; "/flashlight/sn_c65d0362f6a2cac97f8716f93aa577da/rendering/08.obj", "5.43240966797")</f>
        <v>5.43240966797</v>
      </c>
      <c r="L947" s="37" t="str">
        <f>HYPERLINK(AA2 &amp; "/flashlight/sn_c65d0362f6a2cac97f8716f93aa577da/rendering/09.obj", "3.8224017334")</f>
        <v>3.8224017334</v>
      </c>
      <c r="M947" s="66" t="str">
        <f>HYPERLINK(AA2 &amp; "/flashlight/sn_c65d0362f6a2cac97f8716f93aa577da/rendering/10.obj", "5.38071655273")</f>
        <v>5.38071655273</v>
      </c>
      <c r="N947" s="27" t="str">
        <f>HYPERLINK(AA2 &amp; "/flashlight/sn_c65d0362f6a2cac97f8716f93aa577da/rendering/11.obj", "4.3059552002")</f>
        <v>4.3059552002</v>
      </c>
      <c r="O947" s="70" t="str">
        <f>HYPERLINK(AA2 &amp; "/flashlight/sn_c65d0362f6a2cac97f8716f93aa577da/rendering/12.obj", "4.04325500488")</f>
        <v>4.04325500488</v>
      </c>
      <c r="P947" s="68" t="str">
        <f>HYPERLINK(AA2 &amp; "/flashlight/sn_c65d0362f6a2cac97f8716f93aa577da/rendering/13.obj", "4.43110870361")</f>
        <v>4.43110870361</v>
      </c>
      <c r="Q947" s="25" t="str">
        <f>HYPERLINK(AA2 &amp; "/flashlight/sn_c65d0362f6a2cac97f8716f93aa577da/rendering/14.obj", "4.57373657227")</f>
        <v>4.57373657227</v>
      </c>
      <c r="R947" s="87" t="str">
        <f>HYPERLINK(AA2 &amp; "/flashlight/sn_c65d0362f6a2cac97f8716f93aa577da/rendering/15.obj", "3.5812121582")</f>
        <v>3.5812121582</v>
      </c>
      <c r="S947" s="69" t="str">
        <f>HYPERLINK(AA2 &amp; "/flashlight/sn_c65d0362f6a2cac97f8716f93aa577da/rendering/16.obj", "4.77323669434")</f>
        <v>4.77323669434</v>
      </c>
      <c r="T947" s="110" t="str">
        <f>HYPERLINK(AA2 &amp; "/flashlight/sn_c65d0362f6a2cac97f8716f93aa577da/rendering/17.obj", "4.17984680176")</f>
        <v>4.17984680176</v>
      </c>
      <c r="U947" s="134" t="str">
        <f>HYPERLINK(AA2 &amp; "/flashlight/sn_c65d0362f6a2cac97f8716f93aa577da/rendering/18.obj", "3.79280792236")</f>
        <v>3.79280792236</v>
      </c>
      <c r="V947" s="41" t="str">
        <f>HYPERLINK(AA2 &amp; "/flashlight/sn_c65d0362f6a2cac97f8716f93aa577da/rendering/19.obj", "4.3158190918")</f>
        <v>4.3158190918</v>
      </c>
      <c r="W947" s="12" t="s">
        <v>29</v>
      </c>
      <c r="X947" s="13">
        <v>4.6305762176513667</v>
      </c>
      <c r="Y947" s="13">
        <v>1.1557441248983029</v>
      </c>
      <c r="Z947" s="129">
        <v>0.24958969911621451</v>
      </c>
    </row>
    <row r="948" spans="1:26" x14ac:dyDescent="0.2">
      <c r="A948" s="1">
        <v>946</v>
      </c>
      <c r="B948" s="2" t="s">
        <v>222</v>
      </c>
      <c r="C948" s="22" t="str">
        <f>HYPERLINK(AA2 &amp; "/flashlight/sn_c65d0362f6a2cac97f8716f93aa577da/rendering/00.obj", "3.24442410469")</f>
        <v>3.24442410469</v>
      </c>
      <c r="D948" s="97" t="str">
        <f>HYPERLINK(AA2 &amp; "/flashlight/sn_c65d0362f6a2cac97f8716f93aa577da/rendering/01.obj", "1.20632922649")</f>
        <v>1.20632922649</v>
      </c>
      <c r="E948" s="134" t="str">
        <f>HYPERLINK(AA2 &amp; "/flashlight/sn_c65d0362f6a2cac97f8716f93aa577da/rendering/02.obj", "1.74267947674")</f>
        <v>1.74267947674</v>
      </c>
      <c r="F948" s="20" t="str">
        <f>HYPERLINK(AA2 &amp; "/flashlight/sn_c65d0362f6a2cac97f8716f93aa577da/rendering/03.obj", "4.94264602661")</f>
        <v>4.94264602661</v>
      </c>
      <c r="G948" s="20" t="str">
        <f>HYPERLINK(AA2 &amp; "/flashlight/sn_c65d0362f6a2cac97f8716f93aa577da/rendering/04.obj", "8.20689868927")</f>
        <v>8.20689868927</v>
      </c>
      <c r="H948" s="172" t="str">
        <f>HYPERLINK(AA2 &amp; "/flashlight/sn_c65d0362f6a2cac97f8716f93aa577da/rendering/05.obj", "1.31398737431")</f>
        <v>1.31398737431</v>
      </c>
      <c r="I948" s="157" t="str">
        <f>HYPERLINK(AA2 &amp; "/flashlight/sn_c65d0362f6a2cac97f8716f93aa577da/rendering/06.obj", "1.24271571636")</f>
        <v>1.24271571636</v>
      </c>
      <c r="J948" s="107" t="str">
        <f>HYPERLINK(AA2 &amp; "/flashlight/sn_c65d0362f6a2cac97f8716f93aa577da/rendering/07.obj", "1.95333707333")</f>
        <v>1.95333707333</v>
      </c>
      <c r="K948" s="166" t="str">
        <f>HYPERLINK(AA2 &amp; "/flashlight/sn_c65d0362f6a2cac97f8716f93aa577da/rendering/08.obj", "2.74303078651")</f>
        <v>2.74303078651</v>
      </c>
      <c r="L948" s="4" t="str">
        <f>HYPERLINK(AA2 &amp; "/flashlight/sn_c65d0362f6a2cac97f8716f93aa577da/rendering/09.obj", "1.5257242918")</f>
        <v>1.5257242918</v>
      </c>
      <c r="M948" s="8" t="str">
        <f>HYPERLINK(AA2 &amp; "/flashlight/sn_c65d0362f6a2cac97f8716f93aa577da/rendering/10.obj", "1.82214999199")</f>
        <v>1.82214999199</v>
      </c>
      <c r="N948" s="121" t="str">
        <f>HYPERLINK(AA2 &amp; "/flashlight/sn_c65d0362f6a2cac97f8716f93aa577da/rendering/11.obj", "1.37962567806")</f>
        <v>1.37962567806</v>
      </c>
      <c r="O948" s="162" t="str">
        <f>HYPERLINK(AA2 &amp; "/flashlight/sn_c65d0362f6a2cac97f8716f93aa577da/rendering/12.obj", "1.22660470009")</f>
        <v>1.22660470009</v>
      </c>
      <c r="P948" s="78" t="str">
        <f>HYPERLINK(AA2 &amp; "/flashlight/sn_c65d0362f6a2cac97f8716f93aa577da/rendering/13.obj", "2.25911712646")</f>
        <v>2.25911712646</v>
      </c>
      <c r="Q948" s="192" t="str">
        <f>HYPERLINK(AA2 &amp; "/flashlight/sn_c65d0362f6a2cac97f8716f93aa577da/rendering/14.obj", "1.33734035492")</f>
        <v>1.33734035492</v>
      </c>
      <c r="R948" s="143" t="str">
        <f>HYPERLINK(AA2 &amp; "/flashlight/sn_c65d0362f6a2cac97f8716f93aa577da/rendering/15.obj", "1.12537014484")</f>
        <v>1.12537014484</v>
      </c>
      <c r="S948" s="43" t="str">
        <f>HYPERLINK(AA2 &amp; "/flashlight/sn_c65d0362f6a2cac97f8716f93aa577da/rendering/16.obj", "1.32941460609")</f>
        <v>1.32941460609</v>
      </c>
      <c r="T948" s="162" t="str">
        <f>HYPERLINK(AA2 &amp; "/flashlight/sn_c65d0362f6a2cac97f8716f93aa577da/rendering/17.obj", "1.22069752216")</f>
        <v>1.22069752216</v>
      </c>
      <c r="U948" s="132" t="str">
        <f>HYPERLINK(AA2 &amp; "/flashlight/sn_c65d0362f6a2cac97f8716f93aa577da/rendering/18.obj", "1.23487138748")</f>
        <v>1.23487138748</v>
      </c>
      <c r="V948" s="4" t="str">
        <f>HYPERLINK(AA2 &amp; "/flashlight/sn_c65d0362f6a2cac97f8716f93aa577da/rendering/19.obj", "1.52354609966")</f>
        <v>1.52354609966</v>
      </c>
      <c r="W948" s="12" t="s">
        <v>30</v>
      </c>
      <c r="X948" s="13">
        <v>2.129025518894196</v>
      </c>
      <c r="Y948" s="13">
        <v>1.6594445689083781</v>
      </c>
      <c r="Z948" s="243">
        <v>0.77943855260611661</v>
      </c>
    </row>
    <row r="949" spans="1:26" x14ac:dyDescent="0.2">
      <c r="A949" s="1">
        <v>947</v>
      </c>
      <c r="B949" s="2" t="s">
        <v>222</v>
      </c>
      <c r="C949" s="39" t="str">
        <f>HYPERLINK(AB2 &amp; "/flashlight/sn_c65d0362f6a2cac97f8716f93aa577da/rendering/00.obj", "3.28339202881")</f>
        <v>3.28339202881</v>
      </c>
      <c r="D949" s="133" t="str">
        <f>HYPERLINK(AB2 &amp; "/flashlight/sn_c65d0362f6a2cac97f8716f93aa577da/rendering/01.obj", "3.23198791504")</f>
        <v>3.23198791504</v>
      </c>
      <c r="E949" s="68" t="str">
        <f>HYPERLINK(AB2 &amp; "/flashlight/sn_c65d0362f6a2cac97f8716f93aa577da/rendering/02.obj", "3.74334106445")</f>
        <v>3.74334106445</v>
      </c>
      <c r="F949" s="110" t="str">
        <f>HYPERLINK(AB2 &amp; "/flashlight/sn_c65d0362f6a2cac97f8716f93aa577da/rendering/03.obj", "3.94498687744")</f>
        <v>3.94498687744</v>
      </c>
      <c r="G949" s="67" t="str">
        <f>HYPERLINK(AB2 &amp; "/flashlight/sn_c65d0362f6a2cac97f8716f93aa577da/rendering/04.obj", "3.92147094727")</f>
        <v>3.92147094727</v>
      </c>
      <c r="H949" s="91" t="str">
        <f>HYPERLINK(AB2 &amp; "/flashlight/sn_c65d0362f6a2cac97f8716f93aa577da/rendering/05.obj", "3.5021472168")</f>
        <v>3.5021472168</v>
      </c>
      <c r="I949" s="26" t="str">
        <f>HYPERLINK(AB2 &amp; "/flashlight/sn_c65d0362f6a2cac97f8716f93aa577da/rendering/06.obj", "3.36166656494")</f>
        <v>3.36166656494</v>
      </c>
      <c r="J949" s="35" t="str">
        <f>HYPERLINK(AB2 &amp; "/flashlight/sn_c65d0362f6a2cac97f8716f93aa577da/rendering/07.obj", "3.80386077881")</f>
        <v>3.80386077881</v>
      </c>
      <c r="K949" s="34" t="str">
        <f>HYPERLINK(AB2 &amp; "/flashlight/sn_c65d0362f6a2cac97f8716f93aa577da/rendering/08.obj", "3.41811523438")</f>
        <v>3.41811523438</v>
      </c>
      <c r="L949" s="51" t="str">
        <f>HYPERLINK(AB2 &amp; "/flashlight/sn_c65d0362f6a2cac97f8716f93aa577da/rendering/09.obj", "3.88577087402")</f>
        <v>3.88577087402</v>
      </c>
      <c r="M949" s="48" t="str">
        <f>HYPERLINK(AB2 &amp; "/flashlight/sn_c65d0362f6a2cac97f8716f93aa577da/rendering/10.obj", "3.51171020508")</f>
        <v>3.51171020508</v>
      </c>
      <c r="N949" s="46" t="str">
        <f>HYPERLINK(AB2 &amp; "/flashlight/sn_c65d0362f6a2cac97f8716f93aa577da/rendering/11.obj", "3.53210571289")</f>
        <v>3.53210571289</v>
      </c>
      <c r="O949" s="48" t="str">
        <f>HYPERLINK(AB2 &amp; "/flashlight/sn_c65d0362f6a2cac97f8716f93aa577da/rendering/12.obj", "3.67405212402")</f>
        <v>3.67405212402</v>
      </c>
      <c r="P949" s="47" t="str">
        <f>HYPERLINK(AB2 &amp; "/flashlight/sn_c65d0362f6a2cac97f8716f93aa577da/rendering/13.obj", "3.5666708374")</f>
        <v>3.5666708374</v>
      </c>
      <c r="Q949" s="48" t="str">
        <f>HYPERLINK(AB2 &amp; "/flashlight/sn_c65d0362f6a2cac97f8716f93aa577da/rendering/14.obj", "3.6791885376")</f>
        <v>3.6791885376</v>
      </c>
      <c r="R949" s="17" t="str">
        <f>HYPERLINK(AB2 &amp; "/flashlight/sn_c65d0362f6a2cac97f8716f93aa577da/rendering/15.obj", "3.52267578125")</f>
        <v>3.52267578125</v>
      </c>
      <c r="S949" s="17" t="str">
        <f>HYPERLINK(AB2 &amp; "/flashlight/sn_c65d0362f6a2cac97f8716f93aa577da/rendering/16.obj", "3.52515930176")</f>
        <v>3.52515930176</v>
      </c>
      <c r="T949" s="69" t="str">
        <f>HYPERLINK(AB2 &amp; "/flashlight/sn_c65d0362f6a2cac97f8716f93aa577da/rendering/17.obj", "3.49153259277")</f>
        <v>3.49153259277</v>
      </c>
      <c r="U949" s="48" t="str">
        <f>HYPERLINK(AB2 &amp; "/flashlight/sn_c65d0362f6a2cac97f8716f93aa577da/rendering/18.obj", "3.51037414551")</f>
        <v>3.51037414551</v>
      </c>
      <c r="V949" s="34" t="str">
        <f>HYPERLINK(AB2 &amp; "/flashlight/sn_c65d0362f6a2cac97f8716f93aa577da/rendering/19.obj", "3.76328704834")</f>
        <v>3.76328704834</v>
      </c>
      <c r="W949" s="12" t="s">
        <v>31</v>
      </c>
      <c r="X949" s="13">
        <v>3.5936747894287109</v>
      </c>
      <c r="Y949" s="13">
        <v>0.19796144544603991</v>
      </c>
      <c r="Z949" s="10">
        <v>5.5086076800374577E-2</v>
      </c>
    </row>
    <row r="950" spans="1:26" x14ac:dyDescent="0.2">
      <c r="A950" s="1">
        <v>948</v>
      </c>
      <c r="B950" s="2" t="s">
        <v>222</v>
      </c>
      <c r="C950" s="26" t="str">
        <f>HYPERLINK(AB2 &amp; "/flashlight/sn_c65d0362f6a2cac97f8716f93aa577da/rendering/00.obj", "1.33951640129")</f>
        <v>1.33951640129</v>
      </c>
      <c r="D950" s="31" t="str">
        <f>HYPERLINK(AB2 &amp; "/flashlight/sn_c65d0362f6a2cac97f8716f93aa577da/rendering/01.obj", "1.06427609921")</f>
        <v>1.06427609921</v>
      </c>
      <c r="E950" s="90" t="str">
        <f>HYPERLINK(AB2 &amp; "/flashlight/sn_c65d0362f6a2cac97f8716f93aa577da/rendering/02.obj", "1.1384819746")</f>
        <v>1.1384819746</v>
      </c>
      <c r="F950" s="172" t="str">
        <f>HYPERLINK(AB2 &amp; "/flashlight/sn_c65d0362f6a2cac97f8716f93aa577da/rendering/03.obj", "1.74249172211")</f>
        <v>1.74249172211</v>
      </c>
      <c r="G950" s="133" t="str">
        <f>HYPERLINK(AB2 &amp; "/flashlight/sn_c65d0362f6a2cac97f8716f93aa577da/rendering/04.obj", "1.3892582655")</f>
        <v>1.3892582655</v>
      </c>
      <c r="H950" s="34" t="str">
        <f>HYPERLINK(AB2 &amp; "/flashlight/sn_c65d0362f6a2cac97f8716f93aa577da/rendering/05.obj", "1.19952201843")</f>
        <v>1.19952201843</v>
      </c>
      <c r="I950" s="69" t="str">
        <f>HYPERLINK(AB2 &amp; "/flashlight/sn_c65d0362f6a2cac97f8716f93aa577da/rendering/06.obj", "1.22234177589")</f>
        <v>1.22234177589</v>
      </c>
      <c r="J950" s="30" t="str">
        <f>HYPERLINK(AB2 &amp; "/flashlight/sn_c65d0362f6a2cac97f8716f93aa577da/rendering/07.obj", "1.25192975998")</f>
        <v>1.25192975998</v>
      </c>
      <c r="K950" s="72" t="str">
        <f>HYPERLINK(AB2 &amp; "/flashlight/sn_c65d0362f6a2cac97f8716f93aa577da/rendering/08.obj", "1.21958327293")</f>
        <v>1.21958327293</v>
      </c>
      <c r="L950" s="67" t="str">
        <f>HYPERLINK(AB2 &amp; "/flashlight/sn_c65d0362f6a2cac97f8716f93aa577da/rendering/09.obj", "1.14170134068")</f>
        <v>1.14170134068</v>
      </c>
      <c r="M950" s="33" t="str">
        <f>HYPERLINK(AB2 &amp; "/flashlight/sn_c65d0362f6a2cac97f8716f93aa577da/rendering/10.obj", "1.12182164192")</f>
        <v>1.12182164192</v>
      </c>
      <c r="N950" s="38" t="str">
        <f>HYPERLINK(AB2 &amp; "/flashlight/sn_c65d0362f6a2cac97f8716f93aa577da/rendering/11.obj", "1.3711155653")</f>
        <v>1.3711155653</v>
      </c>
      <c r="O950" s="6" t="str">
        <f>HYPERLINK(AB2 &amp; "/flashlight/sn_c65d0362f6a2cac97f8716f93aa577da/rendering/12.obj", "1.20168232918")</f>
        <v>1.20168232918</v>
      </c>
      <c r="P950" s="51" t="str">
        <f>HYPERLINK(AB2 &amp; "/flashlight/sn_c65d0362f6a2cac97f8716f93aa577da/rendering/13.obj", "1.15996098518")</f>
        <v>1.15996098518</v>
      </c>
      <c r="Q950" s="117" t="str">
        <f>HYPERLINK(AB2 &amp; "/flashlight/sn_c65d0362f6a2cac97f8716f93aa577da/rendering/14.obj", "1.48378252983")</f>
        <v>1.48378252983</v>
      </c>
      <c r="R950" s="94" t="str">
        <f>HYPERLINK(AB2 &amp; "/flashlight/sn_c65d0362f6a2cac97f8716f93aa577da/rendering/15.obj", "1.16847062111")</f>
        <v>1.16847062111</v>
      </c>
      <c r="S950" s="8" t="str">
        <f>HYPERLINK(AB2 &amp; "/flashlight/sn_c65d0362f6a2cac97f8716f93aa577da/rendering/16.obj", "1.43771743774")</f>
        <v>1.43771743774</v>
      </c>
      <c r="T950" s="69" t="str">
        <f>HYPERLINK(AB2 &amp; "/flashlight/sn_c65d0362f6a2cac97f8716f93aa577da/rendering/17.obj", "1.22026085854")</f>
        <v>1.22026085854</v>
      </c>
      <c r="U950" s="110" t="str">
        <f>HYPERLINK(AB2 &amp; "/flashlight/sn_c65d0362f6a2cac97f8716f93aa577da/rendering/18.obj", "1.13436555862")</f>
        <v>1.13436555862</v>
      </c>
      <c r="V950" s="35" t="str">
        <f>HYPERLINK(AB2 &amp; "/flashlight/sn_c65d0362f6a2cac97f8716f93aa577da/rendering/19.obj", "1.18676805496")</f>
        <v>1.18676805496</v>
      </c>
      <c r="W950" s="12" t="s">
        <v>32</v>
      </c>
      <c r="X950" s="13">
        <v>1.2597524106502529</v>
      </c>
      <c r="Y950" s="13">
        <v>0.15609060810038769</v>
      </c>
      <c r="Z950" s="92">
        <v>0.12390578242260911</v>
      </c>
    </row>
    <row r="951" spans="1:26" x14ac:dyDescent="0.2">
      <c r="A951" s="1">
        <v>949</v>
      </c>
      <c r="B951" s="2" t="s">
        <v>222</v>
      </c>
      <c r="C951" s="13" t="str">
        <f>HYPERLINK(AC2 &amp; "/flashlight/sn_c65d0362f6a2cac97f8716f93aa577da/rendering/00.xyz", "0.0")</f>
        <v>0.0</v>
      </c>
      <c r="D951" s="13" t="str">
        <f>HYPERLINK(AC2 &amp; "/flashlight/sn_c65d0362f6a2cac97f8716f93aa577da/rendering/01.xyz", "0.0")</f>
        <v>0.0</v>
      </c>
      <c r="E951" s="13" t="str">
        <f>HYPERLINK(AC2 &amp; "/flashlight/sn_c65d0362f6a2cac97f8716f93aa577da/rendering/02.xyz", "0.0")</f>
        <v>0.0</v>
      </c>
      <c r="F951" s="13" t="str">
        <f>HYPERLINK(AC2 &amp; "/flashlight/sn_c65d0362f6a2cac97f8716f93aa577da/rendering/03.xyz", "0.0")</f>
        <v>0.0</v>
      </c>
      <c r="G951" s="13" t="str">
        <f>HYPERLINK(AC2 &amp; "/flashlight/sn_c65d0362f6a2cac97f8716f93aa577da/rendering/04.xyz", "0.0")</f>
        <v>0.0</v>
      </c>
      <c r="H951" s="13" t="str">
        <f>HYPERLINK(AC2 &amp; "/flashlight/sn_c65d0362f6a2cac97f8716f93aa577da/rendering/05.xyz", "0.0")</f>
        <v>0.0</v>
      </c>
      <c r="I951" s="13" t="str">
        <f>HYPERLINK(AC2 &amp; "/flashlight/sn_c65d0362f6a2cac97f8716f93aa577da/rendering/06.xyz", "0.0")</f>
        <v>0.0</v>
      </c>
      <c r="J951" s="13" t="str">
        <f>HYPERLINK(AC2 &amp; "/flashlight/sn_c65d0362f6a2cac97f8716f93aa577da/rendering/07.xyz", "0.0")</f>
        <v>0.0</v>
      </c>
      <c r="K951" s="13" t="str">
        <f>HYPERLINK(AC2 &amp; "/flashlight/sn_c65d0362f6a2cac97f8716f93aa577da/rendering/08.xyz", "0.0")</f>
        <v>0.0</v>
      </c>
      <c r="L951" s="13" t="str">
        <f>HYPERLINK(AC2 &amp; "/flashlight/sn_c65d0362f6a2cac97f8716f93aa577da/rendering/09.xyz", "0.0")</f>
        <v>0.0</v>
      </c>
      <c r="M951" s="13" t="str">
        <f>HYPERLINK(AC2 &amp; "/flashlight/sn_c65d0362f6a2cac97f8716f93aa577da/rendering/10.xyz", "0.0")</f>
        <v>0.0</v>
      </c>
      <c r="N951" s="13" t="str">
        <f>HYPERLINK(AC2 &amp; "/flashlight/sn_c65d0362f6a2cac97f8716f93aa577da/rendering/11.xyz", "0.0")</f>
        <v>0.0</v>
      </c>
      <c r="O951" s="13" t="str">
        <f>HYPERLINK(AC2 &amp; "/flashlight/sn_c65d0362f6a2cac97f8716f93aa577da/rendering/12.xyz", "0.0")</f>
        <v>0.0</v>
      </c>
      <c r="P951" s="13" t="str">
        <f>HYPERLINK(AC2 &amp; "/flashlight/sn_c65d0362f6a2cac97f8716f93aa577da/rendering/13.xyz", "0.0")</f>
        <v>0.0</v>
      </c>
      <c r="Q951" s="13" t="str">
        <f>HYPERLINK(AC2 &amp; "/flashlight/sn_c65d0362f6a2cac97f8716f93aa577da/rendering/14.xyz", "0.0")</f>
        <v>0.0</v>
      </c>
      <c r="R951" s="13" t="str">
        <f>HYPERLINK(AC2 &amp; "/flashlight/sn_c65d0362f6a2cac97f8716f93aa577da/rendering/15.xyz", "0.0")</f>
        <v>0.0</v>
      </c>
      <c r="S951" s="13" t="str">
        <f>HYPERLINK(AC2 &amp; "/flashlight/sn_c65d0362f6a2cac97f8716f93aa577da/rendering/16.xyz", "0.0")</f>
        <v>0.0</v>
      </c>
      <c r="T951" s="13" t="str">
        <f>HYPERLINK(AC2 &amp; "/flashlight/sn_c65d0362f6a2cac97f8716f93aa577da/rendering/17.xyz", "0.0")</f>
        <v>0.0</v>
      </c>
      <c r="U951" s="13" t="str">
        <f>HYPERLINK(AC2 &amp; "/flashlight/sn_c65d0362f6a2cac97f8716f93aa577da/rendering/18.xyz", "0.0")</f>
        <v>0.0</v>
      </c>
      <c r="V951" s="13" t="str">
        <f>HYPERLINK(AC2 &amp; "/flashlight/sn_c65d0362f6a2cac97f8716f93aa577da/rendering/19.xyz", "0.0")</f>
        <v>0.0</v>
      </c>
      <c r="W951" s="12" t="s">
        <v>33</v>
      </c>
      <c r="X951" s="13">
        <v>0</v>
      </c>
      <c r="Y951" s="13">
        <v>0</v>
      </c>
      <c r="Z951" s="13">
        <v>0</v>
      </c>
    </row>
    <row r="952" spans="1:26" x14ac:dyDescent="0.2">
      <c r="A952" s="1">
        <v>950</v>
      </c>
      <c r="B952" s="2" t="s">
        <v>223</v>
      </c>
      <c r="C952" s="38" t="str">
        <f>HYPERLINK(AA2 &amp; "/flashlight/sn_ce289500e3135ab62c6678aa52932aa1/rendering/00.obj", "6.75222290039")</f>
        <v>6.75222290039</v>
      </c>
      <c r="D952" s="26" t="str">
        <f>HYPERLINK(AA2 &amp; "/flashlight/sn_ce289500e3135ab62c6678aa52932aa1/rendering/01.obj", "5.80449462891")</f>
        <v>5.80449462891</v>
      </c>
      <c r="E952" s="138" t="str">
        <f>HYPERLINK(AA2 &amp; "/flashlight/sn_ce289500e3135ab62c6678aa52932aa1/rendering/02.obj", "4.10796875")</f>
        <v>4.10796875</v>
      </c>
      <c r="F952" s="171" t="str">
        <f>HYPERLINK(AA2 &amp; "/flashlight/sn_ce289500e3135ab62c6678aa52932aa1/rendering/03.obj", "4.30234619141")</f>
        <v>4.30234619141</v>
      </c>
      <c r="G952" s="150" t="str">
        <f>HYPERLINK(AA2 &amp; "/flashlight/sn_ce289500e3135ab62c6678aa52932aa1/rendering/04.obj", "9.53178955078")</f>
        <v>9.53178955078</v>
      </c>
      <c r="H952" s="48" t="str">
        <f>HYPERLINK(AA2 &amp; "/flashlight/sn_ce289500e3135ab62c6678aa52932aa1/rendering/05.obj", "6.05322692871")</f>
        <v>6.05322692871</v>
      </c>
      <c r="I952" s="42" t="str">
        <f>HYPERLINK(AA2 &amp; "/flashlight/sn_ce289500e3135ab62c6678aa52932aa1/rendering/06.obj", "7.03519104004")</f>
        <v>7.03519104004</v>
      </c>
      <c r="J952" s="81" t="str">
        <f>HYPERLINK(AA2 &amp; "/flashlight/sn_ce289500e3135ab62c6678aa52932aa1/rendering/07.obj", "7.53990356445")</f>
        <v>7.53990356445</v>
      </c>
      <c r="K952" s="107" t="str">
        <f>HYPERLINK(AA2 &amp; "/flashlight/sn_ce289500e3135ab62c6678aa52932aa1/rendering/08.obj", "6.71291381836")</f>
        <v>6.71291381836</v>
      </c>
      <c r="L952" s="196" t="str">
        <f>HYPERLINK(AA2 &amp; "/flashlight/sn_ce289500e3135ab62c6678aa52932aa1/rendering/09.obj", "3.74462402344")</f>
        <v>3.74462402344</v>
      </c>
      <c r="M952" s="118" t="str">
        <f>HYPERLINK(AA2 &amp; "/flashlight/sn_ce289500e3135ab62c6678aa52932aa1/rendering/10.obj", "8.00034484863")</f>
        <v>8.00034484863</v>
      </c>
      <c r="N952" s="97" t="str">
        <f>HYPERLINK(AA2 &amp; "/flashlight/sn_ce289500e3135ab62c6678aa52932aa1/rendering/11.obj", "3.50166564941")</f>
        <v>3.50166564941</v>
      </c>
      <c r="O952" s="196" t="str">
        <f>HYPERLINK(AA2 &amp; "/flashlight/sn_ce289500e3135ab62c6678aa52932aa1/rendering/12.obj", "8.65676574707")</f>
        <v>8.65676574707</v>
      </c>
      <c r="P952" s="33" t="str">
        <f>HYPERLINK(AA2 &amp; "/flashlight/sn_ce289500e3135ab62c6678aa52932aa1/rendering/13.obj", "5.52989624023")</f>
        <v>5.52989624023</v>
      </c>
      <c r="Q952" s="32" t="str">
        <f>HYPERLINK(AA2 &amp; "/flashlight/sn_ce289500e3135ab62c6678aa52932aa1/rendering/14.obj", "6.84337646484")</f>
        <v>6.84337646484</v>
      </c>
      <c r="R952" s="183" t="str">
        <f>HYPERLINK(AA2 &amp; "/flashlight/sn_ce289500e3135ab62c6678aa52932aa1/rendering/15.obj", "10.8505786133")</f>
        <v>10.8505786133</v>
      </c>
      <c r="S952" s="187" t="str">
        <f>HYPERLINK(AA2 &amp; "/flashlight/sn_ce289500e3135ab62c6678aa52932aa1/rendering/16.obj", "4.02090576172")</f>
        <v>4.02090576172</v>
      </c>
      <c r="T952" s="70" t="str">
        <f>HYPERLINK(AA2 &amp; "/flashlight/sn_ce289500e3135ab62c6678aa52932aa1/rendering/17.obj", "6.98027648926")</f>
        <v>6.98027648926</v>
      </c>
      <c r="U952" s="185" t="str">
        <f>HYPERLINK(AA2 &amp; "/flashlight/sn_ce289500e3135ab62c6678aa52932aa1/rendering/18.obj", "4.09224121094")</f>
        <v>4.09224121094</v>
      </c>
      <c r="V952" s="198" t="str">
        <f>HYPERLINK(AA2 &amp; "/flashlight/sn_ce289500e3135ab62c6678aa52932aa1/rendering/19.obj", "3.80228546143")</f>
        <v>3.80228546143</v>
      </c>
      <c r="W952" s="12" t="s">
        <v>29</v>
      </c>
      <c r="X952" s="13">
        <v>6.1931508941650399</v>
      </c>
      <c r="Y952" s="13">
        <v>2.0364563494704062</v>
      </c>
      <c r="Z952" s="54">
        <v>0.32882395153476413</v>
      </c>
    </row>
    <row r="953" spans="1:26" x14ac:dyDescent="0.2">
      <c r="A953" s="1">
        <v>951</v>
      </c>
      <c r="B953" s="2" t="s">
        <v>223</v>
      </c>
      <c r="C953" s="85" t="str">
        <f>HYPERLINK(AA2 &amp; "/flashlight/sn_ce289500e3135ab62c6678aa52932aa1/rendering/00.obj", "11.2996864319")</f>
        <v>11.2996864319</v>
      </c>
      <c r="D953" s="120" t="str">
        <f>HYPERLINK(AA2 &amp; "/flashlight/sn_ce289500e3135ab62c6678aa52932aa1/rendering/01.obj", "6.8569188118")</f>
        <v>6.8569188118</v>
      </c>
      <c r="E953" s="145" t="str">
        <f>HYPERLINK(AA2 &amp; "/flashlight/sn_ce289500e3135ab62c6678aa52932aa1/rendering/02.obj", "4.42146396637")</f>
        <v>4.42146396637</v>
      </c>
      <c r="F953" s="126" t="str">
        <f>HYPERLINK(AA2 &amp; "/flashlight/sn_ce289500e3135ab62c6678aa52932aa1/rendering/03.obj", "4.34269285202")</f>
        <v>4.34269285202</v>
      </c>
      <c r="G953" s="232" t="str">
        <f>HYPERLINK(AA2 &amp; "/flashlight/sn_ce289500e3135ab62c6678aa52932aa1/rendering/04.obj", "15.518157959")</f>
        <v>15.518157959</v>
      </c>
      <c r="H953" s="34" t="str">
        <f>HYPERLINK(AA2 &amp; "/flashlight/sn_ce289500e3135ab62c6678aa52932aa1/rendering/05.obj", "9.13283061981")</f>
        <v>9.13283061981</v>
      </c>
      <c r="I953" s="67" t="str">
        <f>HYPERLINK(AA2 &amp; "/flashlight/sn_ce289500e3135ab62c6678aa52932aa1/rendering/06.obj", "9.5110244751")</f>
        <v>9.5110244751</v>
      </c>
      <c r="J953" s="121" t="str">
        <f>HYPERLINK(AA2 &amp; "/flashlight/sn_ce289500e3135ab62c6678aa52932aa1/rendering/07.obj", "11.776008606")</f>
        <v>11.776008606</v>
      </c>
      <c r="K953" s="118" t="str">
        <f>HYPERLINK(AA2 &amp; "/flashlight/sn_ce289500e3135ab62c6678aa52932aa1/rendering/08.obj", "6.1641254425")</f>
        <v>6.1641254425</v>
      </c>
      <c r="L953" s="233" t="str">
        <f>HYPERLINK(AA2 &amp; "/flashlight/sn_ce289500e3135ab62c6678aa52932aa1/rendering/09.obj", "2.60552334785")</f>
        <v>2.60552334785</v>
      </c>
      <c r="M953" s="148" t="str">
        <f>HYPERLINK(AA2 &amp; "/flashlight/sn_ce289500e3135ab62c6678aa52932aa1/rendering/10.obj", "12.9298839569")</f>
        <v>12.9298839569</v>
      </c>
      <c r="N953" s="189" t="str">
        <f>HYPERLINK(AA2 &amp; "/flashlight/sn_ce289500e3135ab62c6678aa52932aa1/rendering/11.obj", "3.25352191925")</f>
        <v>3.25352191925</v>
      </c>
      <c r="O953" s="20" t="str">
        <f>HYPERLINK(AA2 &amp; "/flashlight/sn_ce289500e3135ab62c6678aa52932aa1/rendering/12.obj", "16.1471557617")</f>
        <v>16.1471557617</v>
      </c>
      <c r="P953" s="98" t="str">
        <f>HYPERLINK(AA2 &amp; "/flashlight/sn_ce289500e3135ab62c6678aa52932aa1/rendering/13.obj", "6.70320749283")</f>
        <v>6.70320749283</v>
      </c>
      <c r="Q953" s="26" t="str">
        <f>HYPERLINK(AA2 &amp; "/flashlight/sn_ce289500e3135ab62c6678aa52932aa1/rendering/14.obj", "8.13727283478")</f>
        <v>8.13727283478</v>
      </c>
      <c r="R953" s="20" t="str">
        <f>HYPERLINK(AA2 &amp; "/flashlight/sn_ce289500e3135ab62c6678aa52932aa1/rendering/15.obj", "22.7839202881")</f>
        <v>22.7839202881</v>
      </c>
      <c r="S953" s="143" t="str">
        <f>HYPERLINK(AA2 &amp; "/flashlight/sn_ce289500e3135ab62c6678aa52932aa1/rendering/16.obj", "4.60326910019")</f>
        <v>4.60326910019</v>
      </c>
      <c r="T953" s="95" t="str">
        <f>HYPERLINK(AA2 &amp; "/flashlight/sn_ce289500e3135ab62c6678aa52932aa1/rendering/17.obj", "11.1546792984")</f>
        <v>11.1546792984</v>
      </c>
      <c r="U953" s="161" t="str">
        <f>HYPERLINK(AA2 &amp; "/flashlight/sn_ce289500e3135ab62c6678aa52932aa1/rendering/18.obj", "3.61125063896")</f>
        <v>3.61125063896</v>
      </c>
      <c r="V953" s="217" t="str">
        <f>HYPERLINK(AA2 &amp; "/flashlight/sn_ce289500e3135ab62c6678aa52932aa1/rendering/19.obj", "3.21426916122")</f>
        <v>3.21426916122</v>
      </c>
      <c r="W953" s="12" t="s">
        <v>30</v>
      </c>
      <c r="X953" s="13">
        <v>8.7083431482315063</v>
      </c>
      <c r="Y953" s="13">
        <v>5.1589123281418789</v>
      </c>
      <c r="Z953" s="206">
        <v>0.59241031736209804</v>
      </c>
    </row>
    <row r="954" spans="1:26" x14ac:dyDescent="0.2">
      <c r="A954" s="1">
        <v>952</v>
      </c>
      <c r="B954" s="2" t="s">
        <v>223</v>
      </c>
      <c r="C954" s="34" t="str">
        <f>HYPERLINK(AB2 &amp; "/flashlight/sn_ce289500e3135ab62c6678aa52932aa1/rendering/00.obj", "3.66393707275")</f>
        <v>3.66393707275</v>
      </c>
      <c r="D954" s="6" t="str">
        <f>HYPERLINK(AB2 &amp; "/flashlight/sn_ce289500e3135ab62c6678aa52932aa1/rendering/01.obj", "3.33095306396")</f>
        <v>3.33095306396</v>
      </c>
      <c r="E954" s="6" t="str">
        <f>HYPERLINK(AB2 &amp; "/flashlight/sn_ce289500e3135ab62c6678aa52932aa1/rendering/02.obj", "3.65636566162")</f>
        <v>3.65636566162</v>
      </c>
      <c r="F954" s="30" t="str">
        <f>HYPERLINK(AB2 &amp; "/flashlight/sn_ce289500e3135ab62c6678aa52932aa1/rendering/03.obj", "3.47427368164")</f>
        <v>3.47427368164</v>
      </c>
      <c r="G954" s="68" t="str">
        <f>HYPERLINK(AB2 &amp; "/flashlight/sn_ce289500e3135ab62c6678aa52932aa1/rendering/04.obj", "3.34781036377")</f>
        <v>3.34781036377</v>
      </c>
      <c r="H954" s="41" t="str">
        <f>HYPERLINK(AB2 &amp; "/flashlight/sn_ce289500e3135ab62c6678aa52932aa1/rendering/05.obj", "3.72331787109")</f>
        <v>3.72331787109</v>
      </c>
      <c r="I954" s="38" t="str">
        <f>HYPERLINK(AB2 &amp; "/flashlight/sn_ce289500e3135ab62c6678aa52932aa1/rendering/06.obj", "3.18531982422")</f>
        <v>3.18531982422</v>
      </c>
      <c r="J954" s="49" t="str">
        <f>HYPERLINK(AB2 &amp; "/flashlight/sn_ce289500e3135ab62c6678aa52932aa1/rendering/07.obj", "2.76790222168")</f>
        <v>2.76790222168</v>
      </c>
      <c r="K954" s="31" t="str">
        <f>HYPERLINK(AB2 &amp; "/flashlight/sn_ce289500e3135ab62c6678aa52932aa1/rendering/08.obj", "4.03625305176")</f>
        <v>4.03625305176</v>
      </c>
      <c r="L954" s="106" t="str">
        <f>HYPERLINK(AB2 &amp; "/flashlight/sn_ce289500e3135ab62c6678aa52932aa1/rendering/09.obj", "3.09695007324")</f>
        <v>3.09695007324</v>
      </c>
      <c r="M954" s="29" t="str">
        <f>HYPERLINK(AB2 &amp; "/flashlight/sn_ce289500e3135ab62c6678aa52932aa1/rendering/10.obj", "3.95307128906")</f>
        <v>3.95307128906</v>
      </c>
      <c r="N954" s="65" t="str">
        <f>HYPERLINK(AB2 &amp; "/flashlight/sn_ce289500e3135ab62c6678aa52932aa1/rendering/11.obj", "3.02352142334")</f>
        <v>3.02352142334</v>
      </c>
      <c r="O954" s="26" t="str">
        <f>HYPERLINK(AB2 &amp; "/flashlight/sn_ce289500e3135ab62c6678aa52932aa1/rendering/12.obj", "3.71699249268")</f>
        <v>3.71699249268</v>
      </c>
      <c r="P954" s="72" t="str">
        <f>HYPERLINK(AB2 &amp; "/flashlight/sn_ce289500e3135ab62c6678aa52932aa1/rendering/13.obj", "3.61273834229")</f>
        <v>3.61273834229</v>
      </c>
      <c r="Q954" s="106" t="str">
        <f>HYPERLINK(AB2 &amp; "/flashlight/sn_ce289500e3135ab62c6678aa52932aa1/rendering/14.obj", "3.89624755859")</f>
        <v>3.89624755859</v>
      </c>
      <c r="R954" s="88" t="str">
        <f>HYPERLINK(AB2 &amp; "/flashlight/sn_ce289500e3135ab62c6678aa52932aa1/rendering/15.obj", "2.7840411377")</f>
        <v>2.7840411377</v>
      </c>
      <c r="S954" s="27" t="str">
        <f>HYPERLINK(AB2 &amp; "/flashlight/sn_ce289500e3135ab62c6678aa52932aa1/rendering/16.obj", "3.24297698975")</f>
        <v>3.24297698975</v>
      </c>
      <c r="T954" s="11" t="str">
        <f>HYPERLINK(AB2 &amp; "/flashlight/sn_ce289500e3135ab62c6678aa52932aa1/rendering/17.obj", "4.27177703857")</f>
        <v>4.27177703857</v>
      </c>
      <c r="U954" s="74" t="str">
        <f>HYPERLINK(AB2 &amp; "/flashlight/sn_ce289500e3135ab62c6678aa52932aa1/rendering/18.obj", "3.44176574707")</f>
        <v>3.44176574707</v>
      </c>
      <c r="V954" s="23" t="str">
        <f>HYPERLINK(AB2 &amp; "/flashlight/sn_ce289500e3135ab62c6678aa52932aa1/rendering/19.obj", "3.63388916016")</f>
        <v>3.63388916016</v>
      </c>
      <c r="W954" s="12" t="s">
        <v>31</v>
      </c>
      <c r="X954" s="13">
        <v>3.49300520324707</v>
      </c>
      <c r="Y954" s="13">
        <v>0.39257828134680101</v>
      </c>
      <c r="Z954" s="28">
        <v>0.1123898358301508</v>
      </c>
    </row>
    <row r="955" spans="1:26" x14ac:dyDescent="0.2">
      <c r="A955" s="1">
        <v>953</v>
      </c>
      <c r="B955" s="2" t="s">
        <v>223</v>
      </c>
      <c r="C955" s="10" t="str">
        <f>HYPERLINK(AB2 &amp; "/flashlight/sn_ce289500e3135ab62c6678aa52932aa1/rendering/00.obj", "3.23521709442")</f>
        <v>3.23521709442</v>
      </c>
      <c r="D955" s="34" t="str">
        <f>HYPERLINK(AB2 &amp; "/flashlight/sn_ce289500e3135ab62c6678aa52932aa1/rendering/01.obj", "2.91774821281")</f>
        <v>2.91774821281</v>
      </c>
      <c r="E955" s="10" t="str">
        <f>HYPERLINK(AB2 &amp; "/flashlight/sn_ce289500e3135ab62c6678aa52932aa1/rendering/02.obj", "2.90188527107")</f>
        <v>2.90188527107</v>
      </c>
      <c r="F955" s="72" t="str">
        <f>HYPERLINK(AB2 &amp; "/flashlight/sn_ce289500e3135ab62c6678aa52932aa1/rendering/03.obj", "3.16215109825")</f>
        <v>3.16215109825</v>
      </c>
      <c r="G955" s="30" t="str">
        <f>HYPERLINK(AB2 &amp; "/flashlight/sn_ce289500e3135ab62c6678aa52932aa1/rendering/04.obj", "3.05326986313")</f>
        <v>3.05326986313</v>
      </c>
      <c r="H955" s="83" t="str">
        <f>HYPERLINK(AB2 &amp; "/flashlight/sn_ce289500e3135ab62c6678aa52932aa1/rendering/05.obj", "3.53340053558")</f>
        <v>3.53340053558</v>
      </c>
      <c r="I955" s="46" t="str">
        <f>HYPERLINK(AB2 &amp; "/flashlight/sn_ce289500e3135ab62c6678aa52932aa1/rendering/06.obj", "3.00989127159")</f>
        <v>3.00989127159</v>
      </c>
      <c r="J955" s="64" t="str">
        <f>HYPERLINK(AB2 &amp; "/flashlight/sn_ce289500e3135ab62c6678aa52932aa1/rendering/07.obj", "2.56450605392")</f>
        <v>2.56450605392</v>
      </c>
      <c r="K955" s="13" t="str">
        <f>HYPERLINK(AB2 &amp; "/flashlight/sn_ce289500e3135ab62c6678aa52932aa1/rendering/08.obj", "3.05691814423")</f>
        <v>3.05691814423</v>
      </c>
      <c r="L955" s="65" t="str">
        <f>HYPERLINK(AB2 &amp; "/flashlight/sn_ce289500e3135ab62c6678aa52932aa1/rendering/09.obj", "2.6592001915")</f>
        <v>2.6592001915</v>
      </c>
      <c r="M955" s="121" t="str">
        <f>HYPERLINK(AB2 &amp; "/flashlight/sn_ce289500e3135ab62c6678aa52932aa1/rendering/10.obj", "4.14670085907")</f>
        <v>4.14670085907</v>
      </c>
      <c r="N955" s="29" t="str">
        <f>HYPERLINK(AB2 &amp; "/flashlight/sn_ce289500e3135ab62c6678aa52932aa1/rendering/11.obj", "2.66485619545")</f>
        <v>2.66485619545</v>
      </c>
      <c r="O955" s="80" t="str">
        <f>HYPERLINK(AB2 &amp; "/flashlight/sn_ce289500e3135ab62c6678aa52932aa1/rendering/12.obj", "2.60654878616")</f>
        <v>2.60654878616</v>
      </c>
      <c r="P955" s="32" t="str">
        <f>HYPERLINK(AB2 &amp; "/flashlight/sn_ce289500e3135ab62c6678aa52932aa1/rendering/13.obj", "3.39076828957")</f>
        <v>3.39076828957</v>
      </c>
      <c r="Q955" s="70" t="str">
        <f>HYPERLINK(AB2 &amp; "/flashlight/sn_ce289500e3135ab62c6678aa52932aa1/rendering/14.obj", "2.6760571003")</f>
        <v>2.6760571003</v>
      </c>
      <c r="R955" s="5" t="str">
        <f>HYPERLINK(AB2 &amp; "/flashlight/sn_ce289500e3135ab62c6678aa52932aa1/rendering/15.obj", "2.82568860054")</f>
        <v>2.82568860054</v>
      </c>
      <c r="S955" s="29" t="str">
        <f>HYPERLINK(AB2 &amp; "/flashlight/sn_ce289500e3135ab62c6678aa52932aa1/rendering/16.obj", "2.66299629211")</f>
        <v>2.66299629211</v>
      </c>
      <c r="T955" s="162" t="str">
        <f>HYPERLINK(AB2 &amp; "/flashlight/sn_ce289500e3135ab62c6678aa52932aa1/rendering/17.obj", "4.37002754211")</f>
        <v>4.37002754211</v>
      </c>
      <c r="U955" s="32" t="str">
        <f>HYPERLINK(AB2 &amp; "/flashlight/sn_ce289500e3135ab62c6678aa52932aa1/rendering/18.obj", "2.74187254906")</f>
        <v>2.74187254906</v>
      </c>
      <c r="V955" s="48" t="str">
        <f>HYPERLINK(AB2 &amp; "/flashlight/sn_ce289500e3135ab62c6678aa52932aa1/rendering/19.obj", "3.13697266579")</f>
        <v>3.13697266579</v>
      </c>
      <c r="W955" s="12" t="s">
        <v>32</v>
      </c>
      <c r="X955" s="13">
        <v>3.065833830833435</v>
      </c>
      <c r="Y955" s="13">
        <v>0.47717033263956732</v>
      </c>
      <c r="Z955" s="31">
        <v>0.15564129009231081</v>
      </c>
    </row>
    <row r="956" spans="1:26" x14ac:dyDescent="0.2">
      <c r="A956" s="1">
        <v>954</v>
      </c>
      <c r="B956" s="2" t="s">
        <v>223</v>
      </c>
      <c r="C956" s="13" t="str">
        <f>HYPERLINK(AC2 &amp; "/flashlight/sn_ce289500e3135ab62c6678aa52932aa1/rendering/00.xyz", "0.0")</f>
        <v>0.0</v>
      </c>
      <c r="D956" s="13" t="str">
        <f>HYPERLINK(AC2 &amp; "/flashlight/sn_ce289500e3135ab62c6678aa52932aa1/rendering/01.xyz", "0.0")</f>
        <v>0.0</v>
      </c>
      <c r="E956" s="13" t="str">
        <f>HYPERLINK(AC2 &amp; "/flashlight/sn_ce289500e3135ab62c6678aa52932aa1/rendering/02.xyz", "0.0")</f>
        <v>0.0</v>
      </c>
      <c r="F956" s="13" t="str">
        <f>HYPERLINK(AC2 &amp; "/flashlight/sn_ce289500e3135ab62c6678aa52932aa1/rendering/03.xyz", "0.0")</f>
        <v>0.0</v>
      </c>
      <c r="G956" s="13" t="str">
        <f>HYPERLINK(AC2 &amp; "/flashlight/sn_ce289500e3135ab62c6678aa52932aa1/rendering/04.xyz", "0.0")</f>
        <v>0.0</v>
      </c>
      <c r="H956" s="13" t="str">
        <f>HYPERLINK(AC2 &amp; "/flashlight/sn_ce289500e3135ab62c6678aa52932aa1/rendering/05.xyz", "0.0")</f>
        <v>0.0</v>
      </c>
      <c r="I956" s="13" t="str">
        <f>HYPERLINK(AC2 &amp; "/flashlight/sn_ce289500e3135ab62c6678aa52932aa1/rendering/06.xyz", "0.0")</f>
        <v>0.0</v>
      </c>
      <c r="J956" s="13" t="str">
        <f>HYPERLINK(AC2 &amp; "/flashlight/sn_ce289500e3135ab62c6678aa52932aa1/rendering/07.xyz", "0.0")</f>
        <v>0.0</v>
      </c>
      <c r="K956" s="13" t="str">
        <f>HYPERLINK(AC2 &amp; "/flashlight/sn_ce289500e3135ab62c6678aa52932aa1/rendering/08.xyz", "0.0")</f>
        <v>0.0</v>
      </c>
      <c r="L956" s="13" t="str">
        <f>HYPERLINK(AC2 &amp; "/flashlight/sn_ce289500e3135ab62c6678aa52932aa1/rendering/09.xyz", "0.0")</f>
        <v>0.0</v>
      </c>
      <c r="M956" s="13" t="str">
        <f>HYPERLINK(AC2 &amp; "/flashlight/sn_ce289500e3135ab62c6678aa52932aa1/rendering/10.xyz", "0.0")</f>
        <v>0.0</v>
      </c>
      <c r="N956" s="13" t="str">
        <f>HYPERLINK(AC2 &amp; "/flashlight/sn_ce289500e3135ab62c6678aa52932aa1/rendering/11.xyz", "0.0")</f>
        <v>0.0</v>
      </c>
      <c r="O956" s="13" t="str">
        <f>HYPERLINK(AC2 &amp; "/flashlight/sn_ce289500e3135ab62c6678aa52932aa1/rendering/12.xyz", "0.0")</f>
        <v>0.0</v>
      </c>
      <c r="P956" s="13" t="str">
        <f>HYPERLINK(AC2 &amp; "/flashlight/sn_ce289500e3135ab62c6678aa52932aa1/rendering/13.xyz", "0.0")</f>
        <v>0.0</v>
      </c>
      <c r="Q956" s="13" t="str">
        <f>HYPERLINK(AC2 &amp; "/flashlight/sn_ce289500e3135ab62c6678aa52932aa1/rendering/14.xyz", "0.0")</f>
        <v>0.0</v>
      </c>
      <c r="R956" s="13" t="str">
        <f>HYPERLINK(AC2 &amp; "/flashlight/sn_ce289500e3135ab62c6678aa52932aa1/rendering/15.xyz", "0.0")</f>
        <v>0.0</v>
      </c>
      <c r="S956" s="13" t="str">
        <f>HYPERLINK(AC2 &amp; "/flashlight/sn_ce289500e3135ab62c6678aa52932aa1/rendering/16.xyz", "0.0")</f>
        <v>0.0</v>
      </c>
      <c r="T956" s="13" t="str">
        <f>HYPERLINK(AC2 &amp; "/flashlight/sn_ce289500e3135ab62c6678aa52932aa1/rendering/17.xyz", "0.0")</f>
        <v>0.0</v>
      </c>
      <c r="U956" s="13" t="str">
        <f>HYPERLINK(AC2 &amp; "/flashlight/sn_ce289500e3135ab62c6678aa52932aa1/rendering/18.xyz", "0.0")</f>
        <v>0.0</v>
      </c>
      <c r="V956" s="13" t="str">
        <f>HYPERLINK(AC2 &amp; "/flashlight/sn_ce289500e3135ab62c6678aa52932aa1/rendering/19.xyz", "0.0")</f>
        <v>0.0</v>
      </c>
      <c r="W956" s="12" t="s">
        <v>33</v>
      </c>
      <c r="X956" s="13">
        <v>0</v>
      </c>
      <c r="Y956" s="13">
        <v>0</v>
      </c>
      <c r="Z956" s="13">
        <v>0</v>
      </c>
    </row>
    <row r="957" spans="1:26" x14ac:dyDescent="0.2">
      <c r="A957" s="1">
        <v>955</v>
      </c>
      <c r="B957" s="2" t="s">
        <v>224</v>
      </c>
      <c r="C957" s="68" t="str">
        <f>HYPERLINK(AA2 &amp; "/flashlight/sn_d3afd0ef3bf3b87a2c4a81f1d7e1fb38/rendering/00.obj", "4.22312438965")</f>
        <v>4.22312438965</v>
      </c>
      <c r="D957" s="68" t="str">
        <f>HYPERLINK(AA2 &amp; "/flashlight/sn_d3afd0ef3bf3b87a2c4a81f1d7e1fb38/rendering/01.obj", "4.22879760742")</f>
        <v>4.22879760742</v>
      </c>
      <c r="E957" s="37" t="str">
        <f>HYPERLINK(AA2 &amp; "/flashlight/sn_d3afd0ef3bf3b87a2c4a81f1d7e1fb38/rendering/02.obj", "3.63576171875")</f>
        <v>3.63576171875</v>
      </c>
      <c r="F957" s="63" t="str">
        <f>HYPERLINK(AA2 &amp; "/flashlight/sn_d3afd0ef3bf3b87a2c4a81f1d7e1fb38/rendering/03.obj", "3.88305450439")</f>
        <v>3.88305450439</v>
      </c>
      <c r="G957" s="85" t="str">
        <f>HYPERLINK(AA2 &amp; "/flashlight/sn_d3afd0ef3bf3b87a2c4a81f1d7e1fb38/rendering/04.obj", "3.0970703125")</f>
        <v>3.0970703125</v>
      </c>
      <c r="H957" s="77" t="str">
        <f>HYPERLINK(AA2 &amp; "/flashlight/sn_d3afd0ef3bf3b87a2c4a81f1d7e1fb38/rendering/05.obj", "3.58073242188")</f>
        <v>3.58073242188</v>
      </c>
      <c r="I957" s="13" t="str">
        <f>HYPERLINK(AA2 &amp; "/flashlight/sn_d3afd0ef3bf3b87a2c4a81f1d7e1fb38/rendering/06.obj", "4.42346557617")</f>
        <v>4.42346557617</v>
      </c>
      <c r="J957" s="217" t="str">
        <f>HYPERLINK(AA2 &amp; "/flashlight/sn_d3afd0ef3bf3b87a2c4a81f1d7e1fb38/rendering/07.obj", "7.19362426758")</f>
        <v>7.19362426758</v>
      </c>
      <c r="K957" s="25" t="str">
        <f>HYPERLINK(AA2 &amp; "/flashlight/sn_d3afd0ef3bf3b87a2c4a81f1d7e1fb38/rendering/08.obj", "4.45475341797")</f>
        <v>4.45475341797</v>
      </c>
      <c r="L957" s="35" t="str">
        <f>HYPERLINK(AA2 &amp; "/flashlight/sn_d3afd0ef3bf3b87a2c4a81f1d7e1fb38/rendering/09.obj", "4.6656628418")</f>
        <v>4.6656628418</v>
      </c>
      <c r="M957" s="72" t="str">
        <f>HYPERLINK(AA2 &amp; "/flashlight/sn_d3afd0ef3bf3b87a2c4a81f1d7e1fb38/rendering/10.obj", "4.56029724121")</f>
        <v>4.56029724121</v>
      </c>
      <c r="N957" s="135" t="str">
        <f>HYPERLINK(AA2 &amp; "/flashlight/sn_d3afd0ef3bf3b87a2c4a81f1d7e1fb38/rendering/11.obj", "3.27651275635")</f>
        <v>3.27651275635</v>
      </c>
      <c r="O957" s="51" t="str">
        <f>HYPERLINK(AA2 &amp; "/flashlight/sn_d3afd0ef3bf3b87a2c4a81f1d7e1fb38/rendering/12.obj", "4.76739349365")</f>
        <v>4.76739349365</v>
      </c>
      <c r="P957" s="27" t="str">
        <f>HYPERLINK(AA2 &amp; "/flashlight/sn_d3afd0ef3bf3b87a2c4a81f1d7e1fb38/rendering/13.obj", "4.71498138428")</f>
        <v>4.71498138428</v>
      </c>
      <c r="Q957" s="84" t="str">
        <f>HYPERLINK(AA2 &amp; "/flashlight/sn_d3afd0ef3bf3b87a2c4a81f1d7e1fb38/rendering/14.obj", "5.04807556152")</f>
        <v>5.04807556152</v>
      </c>
      <c r="R957" s="195" t="str">
        <f>HYPERLINK(AA2 &amp; "/flashlight/sn_d3afd0ef3bf3b87a2c4a81f1d7e1fb38/rendering/15.obj", "6.82369445801")</f>
        <v>6.82369445801</v>
      </c>
      <c r="S957" s="32" t="str">
        <f>HYPERLINK(AA2 &amp; "/flashlight/sn_d3afd0ef3bf3b87a2c4a81f1d7e1fb38/rendering/16.obj", "3.94963287354")</f>
        <v>3.94963287354</v>
      </c>
      <c r="T957" s="73" t="str">
        <f>HYPERLINK(AA2 &amp; "/flashlight/sn_d3afd0ef3bf3b87a2c4a81f1d7e1fb38/rendering/17.obj", "4.24734130859")</f>
        <v>4.24734130859</v>
      </c>
      <c r="U957" s="42" t="str">
        <f>HYPERLINK(AA2 &amp; "/flashlight/sn_d3afd0ef3bf3b87a2c4a81f1d7e1fb38/rendering/18.obj", "3.81329864502")</f>
        <v>3.81329864502</v>
      </c>
      <c r="V957" s="134" t="str">
        <f>HYPERLINK(AA2 &amp; "/flashlight/sn_d3afd0ef3bf3b87a2c4a81f1d7e1fb38/rendering/19.obj", "3.61443115234")</f>
        <v>3.61443115234</v>
      </c>
      <c r="W957" s="12" t="s">
        <v>29</v>
      </c>
      <c r="X957" s="13">
        <v>4.410085296630859</v>
      </c>
      <c r="Y957" s="13">
        <v>1.004017422500306</v>
      </c>
      <c r="Z957" s="87">
        <v>0.22766394637929979</v>
      </c>
    </row>
    <row r="958" spans="1:26" x14ac:dyDescent="0.2">
      <c r="A958" s="1">
        <v>956</v>
      </c>
      <c r="B958" s="2" t="s">
        <v>224</v>
      </c>
      <c r="C958" s="42" t="str">
        <f>HYPERLINK(AA2 &amp; "/flashlight/sn_d3afd0ef3bf3b87a2c4a81f1d7e1fb38/rendering/00.obj", "3.75639081001")</f>
        <v>3.75639081001</v>
      </c>
      <c r="D958" s="67" t="str">
        <f>HYPERLINK(AA2 &amp; "/flashlight/sn_d3afd0ef3bf3b87a2c4a81f1d7e1fb38/rendering/01.obj", "4.76345825195")</f>
        <v>4.76345825195</v>
      </c>
      <c r="E958" s="24" t="str">
        <f>HYPERLINK(AA2 &amp; "/flashlight/sn_d3afd0ef3bf3b87a2c4a81f1d7e1fb38/rendering/02.obj", "3.62711596489")</f>
        <v>3.62711596489</v>
      </c>
      <c r="F958" s="88" t="str">
        <f>HYPERLINK(AA2 &amp; "/flashlight/sn_d3afd0ef3bf3b87a2c4a81f1d7e1fb38/rendering/03.obj", "3.46993350983")</f>
        <v>3.46993350983</v>
      </c>
      <c r="G958" s="129" t="str">
        <f>HYPERLINK(AA2 &amp; "/flashlight/sn_d3afd0ef3bf3b87a2c4a81f1d7e1fb38/rendering/04.obj", "3.26798558235")</f>
        <v>3.26798558235</v>
      </c>
      <c r="H958" s="58" t="str">
        <f>HYPERLINK(AA2 &amp; "/flashlight/sn_d3afd0ef3bf3b87a2c4a81f1d7e1fb38/rendering/05.obj", "3.30079293251")</f>
        <v>3.30079293251</v>
      </c>
      <c r="I958" s="30" t="str">
        <f>HYPERLINK(AA2 &amp; "/flashlight/sn_d3afd0ef3bf3b87a2c4a81f1d7e1fb38/rendering/06.obj", "4.37259149551")</f>
        <v>4.37259149551</v>
      </c>
      <c r="J958" s="20" t="str">
        <f>HYPERLINK(AA2 &amp; "/flashlight/sn_d3afd0ef3bf3b87a2c4a81f1d7e1fb38/rendering/07.obj", "7.91072797775")</f>
        <v>7.91072797775</v>
      </c>
      <c r="K958" s="13" t="str">
        <f>HYPERLINK(AA2 &amp; "/flashlight/sn_d3afd0ef3bf3b87a2c4a81f1d7e1fb38/rendering/08.obj", "4.36703920364")</f>
        <v>4.36703920364</v>
      </c>
      <c r="L958" s="91" t="str">
        <f>HYPERLINK(AA2 &amp; "/flashlight/sn_d3afd0ef3bf3b87a2c4a81f1d7e1fb38/rendering/09.obj", "4.24498939514")</f>
        <v>4.24498939514</v>
      </c>
      <c r="M958" s="68" t="str">
        <f>HYPERLINK(AA2 &amp; "/flashlight/sn_d3afd0ef3bf3b87a2c4a81f1d7e1fb38/rendering/10.obj", "4.5377368927")</f>
        <v>4.5377368927</v>
      </c>
      <c r="N958" s="98" t="str">
        <f>HYPERLINK(AA2 &amp; "/flashlight/sn_d3afd0ef3bf3b87a2c4a81f1d7e1fb38/rendering/11.obj", "3.3528342247")</f>
        <v>3.3528342247</v>
      </c>
      <c r="O958" s="49" t="str">
        <f>HYPERLINK(AA2 &amp; "/flashlight/sn_d3afd0ef3bf3b87a2c4a81f1d7e1fb38/rendering/12.obj", "5.26867580414")</f>
        <v>5.26867580414</v>
      </c>
      <c r="P958" s="60" t="str">
        <f>HYPERLINK(AA2 &amp; "/flashlight/sn_d3afd0ef3bf3b87a2c4a81f1d7e1fb38/rendering/13.obj", "4.58655023575")</f>
        <v>4.58655023575</v>
      </c>
      <c r="Q958" s="46" t="str">
        <f>HYPERLINK(AA2 &amp; "/flashlight/sn_d3afd0ef3bf3b87a2c4a81f1d7e1fb38/rendering/14.obj", "4.42833137512")</f>
        <v>4.42833137512</v>
      </c>
      <c r="R958" s="252" t="str">
        <f>HYPERLINK(AA2 &amp; "/flashlight/sn_d3afd0ef3bf3b87a2c4a81f1d7e1fb38/rendering/15.obj", "7.16074514389")</f>
        <v>7.16074514389</v>
      </c>
      <c r="S958" s="63" t="str">
        <f>HYPERLINK(AA2 &amp; "/flashlight/sn_d3afd0ef3bf3b87a2c4a81f1d7e1fb38/rendering/16.obj", "3.83527874947")</f>
        <v>3.83527874947</v>
      </c>
      <c r="T958" s="51" t="str">
        <f>HYPERLINK(AA2 &amp; "/flashlight/sn_d3afd0ef3bf3b87a2c4a81f1d7e1fb38/rendering/17.obj", "4.01044988632")</f>
        <v>4.01044988632</v>
      </c>
      <c r="U958" s="49" t="str">
        <f>HYPERLINK(AA2 &amp; "/flashlight/sn_d3afd0ef3bf3b87a2c4a81f1d7e1fb38/rendering/18.obj", "3.4410572052")</f>
        <v>3.4410572052</v>
      </c>
      <c r="V958" s="75" t="str">
        <f>HYPERLINK(AA2 &amp; "/flashlight/sn_d3afd0ef3bf3b87a2c4a81f1d7e1fb38/rendering/19.obj", "3.39338850975")</f>
        <v>3.39338850975</v>
      </c>
      <c r="W958" s="12" t="s">
        <v>30</v>
      </c>
      <c r="X958" s="13">
        <v>4.3548036575317379</v>
      </c>
      <c r="Y958" s="13">
        <v>1.1987406646411529</v>
      </c>
      <c r="Z958" s="113">
        <v>0.27526859048350022</v>
      </c>
    </row>
    <row r="959" spans="1:26" x14ac:dyDescent="0.2">
      <c r="A959" s="1">
        <v>957</v>
      </c>
      <c r="B959" s="2" t="s">
        <v>224</v>
      </c>
      <c r="C959" s="10" t="str">
        <f>HYPERLINK(AB2 &amp; "/flashlight/sn_d3afd0ef3bf3b87a2c4a81f1d7e1fb38/rendering/00.obj", "3.41017456055")</f>
        <v>3.41017456055</v>
      </c>
      <c r="D959" s="46" t="str">
        <f>HYPERLINK(AB2 &amp; "/flashlight/sn_d3afd0ef3bf3b87a2c4a81f1d7e1fb38/rendering/01.obj", "3.67239440918")</f>
        <v>3.67239440918</v>
      </c>
      <c r="E959" s="13" t="str">
        <f>HYPERLINK(AB2 &amp; "/flashlight/sn_d3afd0ef3bf3b87a2c4a81f1d7e1fb38/rendering/02.obj", "3.60072418213")</f>
        <v>3.60072418213</v>
      </c>
      <c r="F959" s="51" t="str">
        <f>HYPERLINK(AB2 &amp; "/flashlight/sn_d3afd0ef3bf3b87a2c4a81f1d7e1fb38/rendering/03.obj", "3.31695129395")</f>
        <v>3.31695129395</v>
      </c>
      <c r="G959" s="31" t="str">
        <f>HYPERLINK(AB2 &amp; "/flashlight/sn_d3afd0ef3bf3b87a2c4a81f1d7e1fb38/rendering/04.obj", "4.17303314209")</f>
        <v>4.17303314209</v>
      </c>
      <c r="H959" s="17" t="str">
        <f>HYPERLINK(AB2 &amp; "/flashlight/sn_d3afd0ef3bf3b87a2c4a81f1d7e1fb38/rendering/05.obj", "3.68225402832")</f>
        <v>3.68225402832</v>
      </c>
      <c r="I959" s="48" t="str">
        <f>HYPERLINK(AB2 &amp; "/flashlight/sn_d3afd0ef3bf3b87a2c4a81f1d7e1fb38/rendering/06.obj", "3.52182373047")</f>
        <v>3.52182373047</v>
      </c>
      <c r="J959" s="72" t="str">
        <f>HYPERLINK(AB2 &amp; "/flashlight/sn_d3afd0ef3bf3b87a2c4a81f1d7e1fb38/rendering/07.obj", "3.7286932373")</f>
        <v>3.7286932373</v>
      </c>
      <c r="K959" s="51" t="str">
        <f>HYPERLINK(AB2 &amp; "/flashlight/sn_d3afd0ef3bf3b87a2c4a81f1d7e1fb38/rendering/08.obj", "3.32340545654")</f>
        <v>3.32340545654</v>
      </c>
      <c r="L959" s="13" t="str">
        <f>HYPERLINK(AB2 &amp; "/flashlight/sn_d3afd0ef3bf3b87a2c4a81f1d7e1fb38/rendering/09.obj", "3.60533752441")</f>
        <v>3.60533752441</v>
      </c>
      <c r="M959" s="32" t="str">
        <f>HYPERLINK(AB2 &amp; "/flashlight/sn_d3afd0ef3bf3b87a2c4a81f1d7e1fb38/rendering/10.obj", "3.98960357666")</f>
        <v>3.98960357666</v>
      </c>
      <c r="N959" s="67" t="str">
        <f>HYPERLINK(AB2 &amp; "/flashlight/sn_d3afd0ef3bf3b87a2c4a81f1d7e1fb38/rendering/11.obj", "3.94871398926")</f>
        <v>3.94871398926</v>
      </c>
      <c r="O959" s="46" t="str">
        <f>HYPERLINK(AB2 &amp; "/flashlight/sn_d3afd0ef3bf3b87a2c4a81f1d7e1fb38/rendering/12.obj", "3.67469665527")</f>
        <v>3.67469665527</v>
      </c>
      <c r="P959" s="48" t="str">
        <f>HYPERLINK(AB2 &amp; "/flashlight/sn_d3afd0ef3bf3b87a2c4a81f1d7e1fb38/rendering/13.obj", "3.5246697998")</f>
        <v>3.5246697998</v>
      </c>
      <c r="Q959" s="51" t="str">
        <f>HYPERLINK(AB2 &amp; "/flashlight/sn_d3afd0ef3bf3b87a2c4a81f1d7e1fb38/rendering/14.obj", "3.90089813232")</f>
        <v>3.90089813232</v>
      </c>
      <c r="R959" s="51" t="str">
        <f>HYPERLINK(AB2 &amp; "/flashlight/sn_d3afd0ef3bf3b87a2c4a81f1d7e1fb38/rendering/15.obj", "3.32154663086")</f>
        <v>3.32154663086</v>
      </c>
      <c r="S959" s="73" t="str">
        <f>HYPERLINK(AB2 &amp; "/flashlight/sn_d3afd0ef3bf3b87a2c4a81f1d7e1fb38/rendering/16.obj", "3.47758789063")</f>
        <v>3.47758789063</v>
      </c>
      <c r="T959" s="73" t="str">
        <f>HYPERLINK(AB2 &amp; "/flashlight/sn_d3afd0ef3bf3b87a2c4a81f1d7e1fb38/rendering/17.obj", "3.48420501709")</f>
        <v>3.48420501709</v>
      </c>
      <c r="U959" s="39" t="str">
        <f>HYPERLINK(AB2 &amp; "/flashlight/sn_d3afd0ef3bf3b87a2c4a81f1d7e1fb38/rendering/18.obj", "3.30175537109")</f>
        <v>3.30175537109</v>
      </c>
      <c r="V959" s="46" t="str">
        <f>HYPERLINK(AB2 &amp; "/flashlight/sn_d3afd0ef3bf3b87a2c4a81f1d7e1fb38/rendering/19.obj", "3.54954925537")</f>
        <v>3.54954925537</v>
      </c>
      <c r="W959" s="12" t="s">
        <v>31</v>
      </c>
      <c r="X959" s="13">
        <v>3.6104008941650392</v>
      </c>
      <c r="Y959" s="13">
        <v>0.23729499709457849</v>
      </c>
      <c r="Z959" s="26">
        <v>6.5725387304795879E-2</v>
      </c>
    </row>
    <row r="960" spans="1:26" x14ac:dyDescent="0.2">
      <c r="A960" s="1">
        <v>958</v>
      </c>
      <c r="B960" s="2" t="s">
        <v>224</v>
      </c>
      <c r="C960" s="94" t="str">
        <f>HYPERLINK(AB2 &amp; "/flashlight/sn_d3afd0ef3bf3b87a2c4a81f1d7e1fb38/rendering/00.obj", "3.02888274193")</f>
        <v>3.02888274193</v>
      </c>
      <c r="D960" s="25" t="str">
        <f>HYPERLINK(AB2 &amp; "/flashlight/sn_d3afd0ef3bf3b87a2c4a81f1d7e1fb38/rendering/01.obj", "3.30546092987")</f>
        <v>3.30546092987</v>
      </c>
      <c r="E960" s="68" t="str">
        <f>HYPERLINK(AB2 &amp; "/flashlight/sn_d3afd0ef3bf3b87a2c4a81f1d7e1fb38/rendering/02.obj", "3.13160562515")</f>
        <v>3.13160562515</v>
      </c>
      <c r="F960" s="68" t="str">
        <f>HYPERLINK(AB2 &amp; "/flashlight/sn_d3afd0ef3bf3b87a2c4a81f1d7e1fb38/rendering/03.obj", "3.40313076973")</f>
        <v>3.40313076973</v>
      </c>
      <c r="G960" s="32" t="str">
        <f>HYPERLINK(AB2 &amp; "/flashlight/sn_d3afd0ef3bf3b87a2c4a81f1d7e1fb38/rendering/04.obj", "3.60847830772")</f>
        <v>3.60847830772</v>
      </c>
      <c r="H960" s="13" t="str">
        <f>HYPERLINK(AB2 &amp; "/flashlight/sn_d3afd0ef3bf3b87a2c4a81f1d7e1fb38/rendering/05.obj", "3.26189827919")</f>
        <v>3.26189827919</v>
      </c>
      <c r="I960" s="35" t="str">
        <f>HYPERLINK(AB2 &amp; "/flashlight/sn_d3afd0ef3bf3b87a2c4a81f1d7e1fb38/rendering/06.obj", "3.07641267776")</f>
        <v>3.07641267776</v>
      </c>
      <c r="J960" s="30" t="str">
        <f>HYPERLINK(AB2 &amp; "/flashlight/sn_d3afd0ef3bf3b87a2c4a81f1d7e1fb38/rendering/07.obj", "3.27857327461")</f>
        <v>3.27857327461</v>
      </c>
      <c r="K960" s="23" t="str">
        <f>HYPERLINK(AB2 &amp; "/flashlight/sn_d3afd0ef3bf3b87a2c4a81f1d7e1fb38/rendering/08.obj", "3.13648247719")</f>
        <v>3.13648247719</v>
      </c>
      <c r="L960" s="47" t="str">
        <f>HYPERLINK(AB2 &amp; "/flashlight/sn_d3afd0ef3bf3b87a2c4a81f1d7e1fb38/rendering/09.obj", "3.23682165146")</f>
        <v>3.23682165146</v>
      </c>
      <c r="M960" s="92" t="str">
        <f>HYPERLINK(AB2 &amp; "/flashlight/sn_d3afd0ef3bf3b87a2c4a81f1d7e1fb38/rendering/10.obj", "3.66727852821")</f>
        <v>3.66727852821</v>
      </c>
      <c r="N960" s="47" t="str">
        <f>HYPERLINK(AB2 &amp; "/flashlight/sn_d3afd0ef3bf3b87a2c4a81f1d7e1fb38/rendering/11.obj", "3.24445009232")</f>
        <v>3.24445009232</v>
      </c>
      <c r="O960" s="25" t="str">
        <f>HYPERLINK(AB2 &amp; "/flashlight/sn_d3afd0ef3bf3b87a2c4a81f1d7e1fb38/rendering/12.obj", "3.23434638977")</f>
        <v>3.23434638977</v>
      </c>
      <c r="P960" s="73" t="str">
        <f>HYPERLINK(AB2 &amp; "/flashlight/sn_d3afd0ef3bf3b87a2c4a81f1d7e1fb38/rendering/13.obj", "3.14622712135")</f>
        <v>3.14622712135</v>
      </c>
      <c r="Q960" s="25" t="str">
        <f>HYPERLINK(AB2 &amp; "/flashlight/sn_d3afd0ef3bf3b87a2c4a81f1d7e1fb38/rendering/14.obj", "3.2303981781")</f>
        <v>3.2303981781</v>
      </c>
      <c r="R960" s="94" t="str">
        <f>HYPERLINK(AB2 &amp; "/flashlight/sn_d3afd0ef3bf3b87a2c4a81f1d7e1fb38/rendering/15.obj", "3.02677416801")</f>
        <v>3.02677416801</v>
      </c>
      <c r="S960" s="25" t="str">
        <f>HYPERLINK(AB2 &amp; "/flashlight/sn_d3afd0ef3bf3b87a2c4a81f1d7e1fb38/rendering/16.obj", "3.23341155052")</f>
        <v>3.23341155052</v>
      </c>
      <c r="T960" s="28" t="str">
        <f>HYPERLINK(AB2 &amp; "/flashlight/sn_d3afd0ef3bf3b87a2c4a81f1d7e1fb38/rendering/17.obj", "3.62656331062")</f>
        <v>3.62656331062</v>
      </c>
      <c r="U960" s="34" t="str">
        <f>HYPERLINK(AB2 &amp; "/flashlight/sn_d3afd0ef3bf3b87a2c4a81f1d7e1fb38/rendering/18.obj", "3.42768406868")</f>
        <v>3.42768406868</v>
      </c>
      <c r="V960" s="5" t="str">
        <f>HYPERLINK(AB2 &amp; "/flashlight/sn_d3afd0ef3bf3b87a2c4a81f1d7e1fb38/rendering/19.obj", "3.01439642906")</f>
        <v>3.01439642906</v>
      </c>
      <c r="W960" s="12" t="s">
        <v>32</v>
      </c>
      <c r="X960" s="13">
        <v>3.2659638285636898</v>
      </c>
      <c r="Y960" s="13">
        <v>0.18993829124362729</v>
      </c>
      <c r="Z960" s="35">
        <v>5.8156887587808542E-2</v>
      </c>
    </row>
    <row r="961" spans="1:26" x14ac:dyDescent="0.2">
      <c r="A961" s="1">
        <v>959</v>
      </c>
      <c r="B961" s="2" t="s">
        <v>224</v>
      </c>
      <c r="C961" s="13" t="str">
        <f>HYPERLINK(AC2 &amp; "/flashlight/sn_d3afd0ef3bf3b87a2c4a81f1d7e1fb38/rendering/00.xyz", "0.0")</f>
        <v>0.0</v>
      </c>
      <c r="D961" s="13" t="str">
        <f>HYPERLINK(AC2 &amp; "/flashlight/sn_d3afd0ef3bf3b87a2c4a81f1d7e1fb38/rendering/01.xyz", "0.0")</f>
        <v>0.0</v>
      </c>
      <c r="E961" s="13" t="str">
        <f>HYPERLINK(AC2 &amp; "/flashlight/sn_d3afd0ef3bf3b87a2c4a81f1d7e1fb38/rendering/02.xyz", "0.0")</f>
        <v>0.0</v>
      </c>
      <c r="F961" s="13" t="str">
        <f>HYPERLINK(AC2 &amp; "/flashlight/sn_d3afd0ef3bf3b87a2c4a81f1d7e1fb38/rendering/03.xyz", "0.0")</f>
        <v>0.0</v>
      </c>
      <c r="G961" s="13" t="str">
        <f>HYPERLINK(AC2 &amp; "/flashlight/sn_d3afd0ef3bf3b87a2c4a81f1d7e1fb38/rendering/04.xyz", "0.0")</f>
        <v>0.0</v>
      </c>
      <c r="H961" s="13" t="str">
        <f>HYPERLINK(AC2 &amp; "/flashlight/sn_d3afd0ef3bf3b87a2c4a81f1d7e1fb38/rendering/05.xyz", "0.0")</f>
        <v>0.0</v>
      </c>
      <c r="I961" s="13" t="str">
        <f>HYPERLINK(AC2 &amp; "/flashlight/sn_d3afd0ef3bf3b87a2c4a81f1d7e1fb38/rendering/06.xyz", "0.0")</f>
        <v>0.0</v>
      </c>
      <c r="J961" s="13" t="str">
        <f>HYPERLINK(AC2 &amp; "/flashlight/sn_d3afd0ef3bf3b87a2c4a81f1d7e1fb38/rendering/07.xyz", "0.0")</f>
        <v>0.0</v>
      </c>
      <c r="K961" s="13" t="str">
        <f>HYPERLINK(AC2 &amp; "/flashlight/sn_d3afd0ef3bf3b87a2c4a81f1d7e1fb38/rendering/08.xyz", "0.0")</f>
        <v>0.0</v>
      </c>
      <c r="L961" s="13" t="str">
        <f>HYPERLINK(AC2 &amp; "/flashlight/sn_d3afd0ef3bf3b87a2c4a81f1d7e1fb38/rendering/09.xyz", "0.0")</f>
        <v>0.0</v>
      </c>
      <c r="M961" s="13" t="str">
        <f>HYPERLINK(AC2 &amp; "/flashlight/sn_d3afd0ef3bf3b87a2c4a81f1d7e1fb38/rendering/10.xyz", "0.0")</f>
        <v>0.0</v>
      </c>
      <c r="N961" s="13" t="str">
        <f>HYPERLINK(AC2 &amp; "/flashlight/sn_d3afd0ef3bf3b87a2c4a81f1d7e1fb38/rendering/11.xyz", "0.0")</f>
        <v>0.0</v>
      </c>
      <c r="O961" s="13" t="str">
        <f>HYPERLINK(AC2 &amp; "/flashlight/sn_d3afd0ef3bf3b87a2c4a81f1d7e1fb38/rendering/12.xyz", "0.0")</f>
        <v>0.0</v>
      </c>
      <c r="P961" s="13" t="str">
        <f>HYPERLINK(AC2 &amp; "/flashlight/sn_d3afd0ef3bf3b87a2c4a81f1d7e1fb38/rendering/13.xyz", "0.0")</f>
        <v>0.0</v>
      </c>
      <c r="Q961" s="13" t="str">
        <f>HYPERLINK(AC2 &amp; "/flashlight/sn_d3afd0ef3bf3b87a2c4a81f1d7e1fb38/rendering/14.xyz", "0.0")</f>
        <v>0.0</v>
      </c>
      <c r="R961" s="13" t="str">
        <f>HYPERLINK(AC2 &amp; "/flashlight/sn_d3afd0ef3bf3b87a2c4a81f1d7e1fb38/rendering/15.xyz", "0.0")</f>
        <v>0.0</v>
      </c>
      <c r="S961" s="13" t="str">
        <f>HYPERLINK(AC2 &amp; "/flashlight/sn_d3afd0ef3bf3b87a2c4a81f1d7e1fb38/rendering/16.xyz", "0.0")</f>
        <v>0.0</v>
      </c>
      <c r="T961" s="13" t="str">
        <f>HYPERLINK(AC2 &amp; "/flashlight/sn_d3afd0ef3bf3b87a2c4a81f1d7e1fb38/rendering/17.xyz", "0.0")</f>
        <v>0.0</v>
      </c>
      <c r="U961" s="13" t="str">
        <f>HYPERLINK(AC2 &amp; "/flashlight/sn_d3afd0ef3bf3b87a2c4a81f1d7e1fb38/rendering/18.xyz", "0.0")</f>
        <v>0.0</v>
      </c>
      <c r="V961" s="13" t="str">
        <f>HYPERLINK(AC2 &amp; "/flashlight/sn_d3afd0ef3bf3b87a2c4a81f1d7e1fb38/rendering/19.xyz", "0.0")</f>
        <v>0.0</v>
      </c>
      <c r="W961" s="12" t="s">
        <v>33</v>
      </c>
      <c r="X961" s="13">
        <v>0</v>
      </c>
      <c r="Y961" s="13">
        <v>0</v>
      </c>
      <c r="Z961" s="13">
        <v>0</v>
      </c>
    </row>
    <row r="962" spans="1:26" x14ac:dyDescent="0.2">
      <c r="A962" s="1">
        <v>960</v>
      </c>
      <c r="B962" s="2" t="s">
        <v>225</v>
      </c>
      <c r="C962" s="71" t="str">
        <f>HYPERLINK(AA2 &amp; "/flashlight/sn_d6aaf2df23073dbe1535ae196bdb53a2/rendering/00.obj", "5.29830810547")</f>
        <v>5.29830810547</v>
      </c>
      <c r="D962" s="70" t="str">
        <f>HYPERLINK(AA2 &amp; "/flashlight/sn_d6aaf2df23073dbe1535ae196bdb53a2/rendering/01.obj", "5.24249694824")</f>
        <v>5.24249694824</v>
      </c>
      <c r="E962" s="49" t="str">
        <f>HYPERLINK(AA2 &amp; "/flashlight/sn_d6aaf2df23073dbe1535ae196bdb53a2/rendering/02.obj", "4.75133361816")</f>
        <v>4.75133361816</v>
      </c>
      <c r="F962" s="170" t="str">
        <f>HYPERLINK(AA2 &amp; "/flashlight/sn_d6aaf2df23073dbe1535ae196bdb53a2/rendering/03.obj", "4.48121124268")</f>
        <v>4.48121124268</v>
      </c>
      <c r="G962" s="20" t="str">
        <f>HYPERLINK(AA2 &amp; "/flashlight/sn_d6aaf2df23073dbe1535ae196bdb53a2/rendering/04.obj", "14.0585253906")</f>
        <v>14.0585253906</v>
      </c>
      <c r="H962" s="20" t="str">
        <f>HYPERLINK(AA2 &amp; "/flashlight/sn_d6aaf2df23073dbe1535ae196bdb53a2/rendering/05.obj", "13.8179296875")</f>
        <v>13.8179296875</v>
      </c>
      <c r="I962" s="79" t="str">
        <f>HYPERLINK(AA2 &amp; "/flashlight/sn_d6aaf2df23073dbe1535ae196bdb53a2/rendering/06.obj", "5.05870605469")</f>
        <v>5.05870605469</v>
      </c>
      <c r="J962" s="84" t="str">
        <f>HYPERLINK(AA2 &amp; "/flashlight/sn_d6aaf2df23073dbe1535ae196bdb53a2/rendering/07.obj", "5.12272033691")</f>
        <v>5.12272033691</v>
      </c>
      <c r="K962" s="49" t="str">
        <f>HYPERLINK(AA2 &amp; "/flashlight/sn_d6aaf2df23073dbe1535ae196bdb53a2/rendering/08.obj", "4.75649536133")</f>
        <v>4.75649536133</v>
      </c>
      <c r="L962" s="134" t="str">
        <f>HYPERLINK(AA2 &amp; "/flashlight/sn_d6aaf2df23073dbe1535ae196bdb53a2/rendering/09.obj", "4.9183782959")</f>
        <v>4.9183782959</v>
      </c>
      <c r="M962" s="175" t="str">
        <f>HYPERLINK(AA2 &amp; "/flashlight/sn_d6aaf2df23073dbe1535ae196bdb53a2/rendering/10.obj", "4.60300415039")</f>
        <v>4.60300415039</v>
      </c>
      <c r="N962" s="90" t="str">
        <f>HYPERLINK(AA2 &amp; "/flashlight/sn_d6aaf2df23073dbe1535ae196bdb53a2/rendering/11.obj", "5.42870056152")</f>
        <v>5.42870056152</v>
      </c>
      <c r="O962" s="49" t="str">
        <f>HYPERLINK(AA2 &amp; "/flashlight/sn_d6aaf2df23073dbe1535ae196bdb53a2/rendering/12.obj", "4.74269348145")</f>
        <v>4.74269348145</v>
      </c>
      <c r="P962" s="73" t="str">
        <f>HYPERLINK(AA2 &amp; "/flashlight/sn_d6aaf2df23073dbe1535ae196bdb53a2/rendering/13.obj", "5.77954589844")</f>
        <v>5.77954589844</v>
      </c>
      <c r="Q962" s="32" t="str">
        <f>HYPERLINK(AA2 &amp; "/flashlight/sn_d6aaf2df23073dbe1535ae196bdb53a2/rendering/14.obj", "5.36969177246")</f>
        <v>5.36969177246</v>
      </c>
      <c r="R962" s="101" t="str">
        <f>HYPERLINK(AA2 &amp; "/flashlight/sn_d6aaf2df23073dbe1535ae196bdb53a2/rendering/15.obj", "3.72820495605")</f>
        <v>3.72820495605</v>
      </c>
      <c r="S962" s="120" t="str">
        <f>HYPERLINK(AA2 &amp; "/flashlight/sn_d6aaf2df23073dbe1535ae196bdb53a2/rendering/16.obj", "4.72597229004")</f>
        <v>4.72597229004</v>
      </c>
      <c r="T962" s="14" t="str">
        <f>HYPERLINK(AA2 &amp; "/flashlight/sn_d6aaf2df23073dbe1535ae196bdb53a2/rendering/17.obj", "4.26557037354")</f>
        <v>4.26557037354</v>
      </c>
      <c r="U962" s="145" t="str">
        <f>HYPERLINK(AA2 &amp; "/flashlight/sn_d6aaf2df23073dbe1535ae196bdb53a2/rendering/18.obj", "8.94981201172")</f>
        <v>8.94981201172</v>
      </c>
      <c r="V962" s="76" t="str">
        <f>HYPERLINK(AA2 &amp; "/flashlight/sn_d6aaf2df23073dbe1535ae196bdb53a2/rendering/19.obj", "4.90376586914")</f>
        <v>4.90376586914</v>
      </c>
      <c r="W962" s="12" t="s">
        <v>29</v>
      </c>
      <c r="X962" s="13">
        <v>6.0001533203125001</v>
      </c>
      <c r="Y962" s="13">
        <v>2.8228004042419839</v>
      </c>
      <c r="Z962" s="159">
        <v>0.47045471232974539</v>
      </c>
    </row>
    <row r="963" spans="1:26" x14ac:dyDescent="0.2">
      <c r="A963" s="1">
        <v>961</v>
      </c>
      <c r="B963" s="2" t="s">
        <v>225</v>
      </c>
      <c r="C963" s="185" t="str">
        <f>HYPERLINK(AA2 &amp; "/flashlight/sn_d6aaf2df23073dbe1535ae196bdb53a2/rendering/00.obj", "3.06186127663")</f>
        <v>3.06186127663</v>
      </c>
      <c r="D963" s="149" t="str">
        <f>HYPERLINK(AA2 &amp; "/flashlight/sn_d6aaf2df23073dbe1535ae196bdb53a2/rendering/01.obj", "3.03564143181")</f>
        <v>3.03564143181</v>
      </c>
      <c r="E963" s="239" t="str">
        <f>HYPERLINK(AA2 &amp; "/flashlight/sn_d6aaf2df23073dbe1535ae196bdb53a2/rendering/02.obj", "1.81494057178")</f>
        <v>1.81494057178</v>
      </c>
      <c r="F963" s="18" t="str">
        <f>HYPERLINK(AA2 &amp; "/flashlight/sn_d6aaf2df23073dbe1535ae196bdb53a2/rendering/03.obj", "1.94924819469")</f>
        <v>1.94924819469</v>
      </c>
      <c r="G963" s="20" t="str">
        <f>HYPERLINK(AA2 &amp; "/flashlight/sn_d6aaf2df23073dbe1535ae196bdb53a2/rendering/04.obj", "19.7233982086")</f>
        <v>19.7233982086</v>
      </c>
      <c r="H963" s="20" t="str">
        <f>HYPERLINK(AA2 &amp; "/flashlight/sn_d6aaf2df23073dbe1535ae196bdb53a2/rendering/05.obj", "22.9111614227")</f>
        <v>22.9111614227</v>
      </c>
      <c r="I963" s="147" t="str">
        <f>HYPERLINK(AA2 &amp; "/flashlight/sn_d6aaf2df23073dbe1535ae196bdb53a2/rendering/06.obj", "2.37086129189")</f>
        <v>2.37086129189</v>
      </c>
      <c r="J963" s="226" t="str">
        <f>HYPERLINK(AA2 &amp; "/flashlight/sn_d6aaf2df23073dbe1535ae196bdb53a2/rendering/07.obj", "2.0180208683")</f>
        <v>2.0180208683</v>
      </c>
      <c r="K963" s="214" t="str">
        <f>HYPERLINK(AA2 &amp; "/flashlight/sn_d6aaf2df23073dbe1535ae196bdb53a2/rendering/08.obj", "1.7793841362")</f>
        <v>1.7793841362</v>
      </c>
      <c r="L963" s="223" t="str">
        <f>HYPERLINK(AA2 &amp; "/flashlight/sn_d6aaf2df23073dbe1535ae196bdb53a2/rendering/09.obj", "2.04586648941")</f>
        <v>2.04586648941</v>
      </c>
      <c r="M963" s="115" t="str">
        <f>HYPERLINK(AA2 &amp; "/flashlight/sn_d6aaf2df23073dbe1535ae196bdb53a2/rendering/10.obj", "1.67859864235")</f>
        <v>1.67859864235</v>
      </c>
      <c r="N963" s="138" t="str">
        <f>HYPERLINK(AA2 &amp; "/flashlight/sn_d6aaf2df23073dbe1535ae196bdb53a2/rendering/11.obj", "3.07464146614")</f>
        <v>3.07464146614</v>
      </c>
      <c r="O963" s="241" t="str">
        <f>HYPERLINK(AA2 &amp; "/flashlight/sn_d6aaf2df23073dbe1535ae196bdb53a2/rendering/12.obj", "1.66550791264")</f>
        <v>1.66550791264</v>
      </c>
      <c r="P963" s="77" t="str">
        <f>HYPERLINK(AA2 &amp; "/flashlight/sn_d6aaf2df23073dbe1535ae196bdb53a2/rendering/13.obj", "3.77565908432")</f>
        <v>3.77565908432</v>
      </c>
      <c r="Q963" s="98" t="str">
        <f>HYPERLINK(AA2 &amp; "/flashlight/sn_d6aaf2df23073dbe1535ae196bdb53a2/rendering/14.obj", "3.57278871536")</f>
        <v>3.57278871536</v>
      </c>
      <c r="R963" s="62" t="str">
        <f>HYPERLINK(AA2 &amp; "/flashlight/sn_d6aaf2df23073dbe1535ae196bdb53a2/rendering/15.obj", "1.86114895344")</f>
        <v>1.86114895344</v>
      </c>
      <c r="S963" s="249" t="str">
        <f>HYPERLINK(AA2 &amp; "/flashlight/sn_d6aaf2df23073dbe1535ae196bdb53a2/rendering/16.obj", "1.98087501526")</f>
        <v>1.98087501526</v>
      </c>
      <c r="T963" s="235" t="str">
        <f>HYPERLINK(AA2 &amp; "/flashlight/sn_d6aaf2df23073dbe1535ae196bdb53a2/rendering/17.obj", "2.12315130234")</f>
        <v>2.12315130234</v>
      </c>
      <c r="U963" s="20" t="str">
        <f>HYPERLINK(AA2 &amp; "/flashlight/sn_d6aaf2df23073dbe1535ae196bdb53a2/rendering/18.obj", "10.3712396622")</f>
        <v>10.3712396622</v>
      </c>
      <c r="V963" s="112" t="str">
        <f>HYPERLINK(AA2 &amp; "/flashlight/sn_d6aaf2df23073dbe1535ae196bdb53a2/rendering/19.obj", "1.87243747711")</f>
        <v>1.87243747711</v>
      </c>
      <c r="W963" s="12" t="s">
        <v>30</v>
      </c>
      <c r="X963" s="13">
        <v>4.6343216061592098</v>
      </c>
      <c r="Y963" s="13">
        <v>5.8828287317399814</v>
      </c>
      <c r="Z963" s="20">
        <v>1.2694045065671431</v>
      </c>
    </row>
    <row r="964" spans="1:26" x14ac:dyDescent="0.2">
      <c r="A964" s="1">
        <v>962</v>
      </c>
      <c r="B964" s="2" t="s">
        <v>225</v>
      </c>
      <c r="C964" s="5" t="str">
        <f>HYPERLINK(AB2 &amp; "/flashlight/sn_d6aaf2df23073dbe1535ae196bdb53a2/rendering/00.obj", "3.84819213867")</f>
        <v>3.84819213867</v>
      </c>
      <c r="D964" s="13" t="str">
        <f>HYPERLINK(AB2 &amp; "/flashlight/sn_d6aaf2df23073dbe1535ae196bdb53a2/rendering/01.obj", "4.16114746094")</f>
        <v>4.16114746094</v>
      </c>
      <c r="E964" s="73" t="str">
        <f>HYPERLINK(AB2 &amp; "/flashlight/sn_d6aaf2df23073dbe1535ae196bdb53a2/rendering/02.obj", "4.31751037598")</f>
        <v>4.31751037598</v>
      </c>
      <c r="F964" s="35" t="str">
        <f>HYPERLINK(AB2 &amp; "/flashlight/sn_d6aaf2df23073dbe1535ae196bdb53a2/rendering/03.obj", "4.40398498535")</f>
        <v>4.40398498535</v>
      </c>
      <c r="G964" s="34" t="str">
        <f>HYPERLINK(AB2 &amp; "/flashlight/sn_d6aaf2df23073dbe1535ae196bdb53a2/rendering/04.obj", "4.35985229492")</f>
        <v>4.35985229492</v>
      </c>
      <c r="H964" s="28" t="str">
        <f>HYPERLINK(AB2 &amp; "/flashlight/sn_d6aaf2df23073dbe1535ae196bdb53a2/rendering/05.obj", "4.62534057617")</f>
        <v>4.62534057617</v>
      </c>
      <c r="I964" s="74" t="str">
        <f>HYPERLINK(AB2 &amp; "/flashlight/sn_d6aaf2df23073dbe1535ae196bdb53a2/rendering/06.obj", "4.22517272949")</f>
        <v>4.22517272949</v>
      </c>
      <c r="J964" s="30" t="str">
        <f>HYPERLINK(AB2 &amp; "/flashlight/sn_d6aaf2df23073dbe1535ae196bdb53a2/rendering/07.obj", "4.17536865234")</f>
        <v>4.17536865234</v>
      </c>
      <c r="K964" s="6" t="str">
        <f>HYPERLINK(AB2 &amp; "/flashlight/sn_d6aaf2df23073dbe1535ae196bdb53a2/rendering/08.obj", "4.3497467041")</f>
        <v>4.3497467041</v>
      </c>
      <c r="L964" s="68" t="str">
        <f>HYPERLINK(AB2 &amp; "/flashlight/sn_d6aaf2df23073dbe1535ae196bdb53a2/rendering/09.obj", "4.34253967285")</f>
        <v>4.34253967285</v>
      </c>
      <c r="M964" s="69" t="str">
        <f>HYPERLINK(AB2 &amp; "/flashlight/sn_d6aaf2df23073dbe1535ae196bdb53a2/rendering/10.obj", "4.03938293457")</f>
        <v>4.03938293457</v>
      </c>
      <c r="N964" s="70" t="str">
        <f>HYPERLINK(AB2 &amp; "/flashlight/sn_d6aaf2df23073dbe1535ae196bdb53a2/rendering/11.obj", "4.69032409668")</f>
        <v>4.69032409668</v>
      </c>
      <c r="O964" s="68" t="str">
        <f>HYPERLINK(AB2 &amp; "/flashlight/sn_d6aaf2df23073dbe1535ae196bdb53a2/rendering/12.obj", "3.99053283691")</f>
        <v>3.99053283691</v>
      </c>
      <c r="P964" s="6" t="str">
        <f>HYPERLINK(AB2 &amp; "/flashlight/sn_d6aaf2df23073dbe1535ae196bdb53a2/rendering/13.obj", "3.97867797852")</f>
        <v>3.97867797852</v>
      </c>
      <c r="Q964" s="48" t="str">
        <f>HYPERLINK(AB2 &amp; "/flashlight/sn_d6aaf2df23073dbe1535ae196bdb53a2/rendering/14.obj", "4.05796417236")</f>
        <v>4.05796417236</v>
      </c>
      <c r="R964" s="46" t="str">
        <f>HYPERLINK(AB2 &amp; "/flashlight/sn_d6aaf2df23073dbe1535ae196bdb53a2/rendering/15.obj", "4.2347076416")</f>
        <v>4.2347076416</v>
      </c>
      <c r="S964" s="66" t="str">
        <f>HYPERLINK(AB2 &amp; "/flashlight/sn_d6aaf2df23073dbe1535ae196bdb53a2/rendering/16.obj", "3.48922546387")</f>
        <v>3.48922546387</v>
      </c>
      <c r="T964" s="32" t="str">
        <f>HYPERLINK(AB2 &amp; "/flashlight/sn_d6aaf2df23073dbe1535ae196bdb53a2/rendering/17.obj", "3.72092651367")</f>
        <v>3.72092651367</v>
      </c>
      <c r="U964" s="41" t="str">
        <f>HYPERLINK(AB2 &amp; "/flashlight/sn_d6aaf2df23073dbe1535ae196bdb53a2/rendering/18.obj", "3.88526611328")</f>
        <v>3.88526611328</v>
      </c>
      <c r="V964" s="6" t="str">
        <f>HYPERLINK(AB2 &amp; "/flashlight/sn_d6aaf2df23073dbe1535ae196bdb53a2/rendering/19.obj", "4.34759094238")</f>
        <v>4.34759094238</v>
      </c>
      <c r="W964" s="12" t="s">
        <v>31</v>
      </c>
      <c r="X964" s="13">
        <v>4.1621727142333977</v>
      </c>
      <c r="Y964" s="13">
        <v>0.28622847413683677</v>
      </c>
      <c r="Z964" s="41">
        <v>6.8769004505272027E-2</v>
      </c>
    </row>
    <row r="965" spans="1:26" x14ac:dyDescent="0.2">
      <c r="A965" s="1">
        <v>963</v>
      </c>
      <c r="B965" s="2" t="s">
        <v>225</v>
      </c>
      <c r="C965" s="33" t="str">
        <f>HYPERLINK(AB2 &amp; "/flashlight/sn_d6aaf2df23073dbe1535ae196bdb53a2/rendering/00.obj", "1.72692382336")</f>
        <v>1.72692382336</v>
      </c>
      <c r="D965" s="83" t="str">
        <f>HYPERLINK(AB2 &amp; "/flashlight/sn_d6aaf2df23073dbe1535ae196bdb53a2/rendering/01.obj", "1.6403427124")</f>
        <v>1.6403427124</v>
      </c>
      <c r="E965" s="63" t="str">
        <f>HYPERLINK(AB2 &amp; "/flashlight/sn_d6aaf2df23073dbe1535ae196bdb53a2/rendering/02.obj", "1.70077228546")</f>
        <v>1.70077228546</v>
      </c>
      <c r="F965" s="35" t="str">
        <f>HYPERLINK(AB2 &amp; "/flashlight/sn_d6aaf2df23073dbe1535ae196bdb53a2/rendering/03.obj", "1.8237285614")</f>
        <v>1.8237285614</v>
      </c>
      <c r="G965" s="192" t="str">
        <f>HYPERLINK(AB2 &amp; "/flashlight/sn_d6aaf2df23073dbe1535ae196bdb53a2/rendering/04.obj", "2.65054965019")</f>
        <v>2.65054965019</v>
      </c>
      <c r="H965" s="100" t="str">
        <f>HYPERLINK(AB2 &amp; "/flashlight/sn_d6aaf2df23073dbe1535ae196bdb53a2/rendering/05.obj", "2.51103138924")</f>
        <v>2.51103138924</v>
      </c>
      <c r="I965" s="5" t="str">
        <f>HYPERLINK(AB2 &amp; "/flashlight/sn_d6aaf2df23073dbe1535ae196bdb53a2/rendering/06.obj", "1.78491353989")</f>
        <v>1.78491353989</v>
      </c>
      <c r="J965" s="94" t="str">
        <f>HYPERLINK(AB2 &amp; "/flashlight/sn_d6aaf2df23073dbe1535ae196bdb53a2/rendering/07.obj", "2.07849478722")</f>
        <v>2.07849478722</v>
      </c>
      <c r="K965" s="28" t="str">
        <f>HYPERLINK(AB2 &amp; "/flashlight/sn_d6aaf2df23073dbe1535ae196bdb53a2/rendering/08.obj", "1.71573102474")</f>
        <v>1.71573102474</v>
      </c>
      <c r="L965" s="107" t="str">
        <f>HYPERLINK(AB2 &amp; "/flashlight/sn_d6aaf2df23073dbe1535ae196bdb53a2/rendering/09.obj", "1.77003073692")</f>
        <v>1.77003073692</v>
      </c>
      <c r="M965" s="91" t="str">
        <f>HYPERLINK(AB2 &amp; "/flashlight/sn_d6aaf2df23073dbe1535ae196bdb53a2/rendering/10.obj", "1.87939095497")</f>
        <v>1.87939095497</v>
      </c>
      <c r="N965" s="24" t="str">
        <f>HYPERLINK(AB2 &amp; "/flashlight/sn_d6aaf2df23073dbe1535ae196bdb53a2/rendering/11.obj", "2.25490736961")</f>
        <v>2.25490736961</v>
      </c>
      <c r="O965" s="133" t="str">
        <f>HYPERLINK(AB2 &amp; "/flashlight/sn_d6aaf2df23073dbe1535ae196bdb53a2/rendering/12.obj", "1.73666155338")</f>
        <v>1.73666155338</v>
      </c>
      <c r="P965" s="91" t="str">
        <f>HYPERLINK(AB2 &amp; "/flashlight/sn_d6aaf2df23073dbe1535ae196bdb53a2/rendering/13.obj", "1.98239481449")</f>
        <v>1.98239481449</v>
      </c>
      <c r="Q965" s="29" t="str">
        <f>HYPERLINK(AB2 &amp; "/flashlight/sn_d6aaf2df23073dbe1535ae196bdb53a2/rendering/14.obj", "1.68010365963")</f>
        <v>1.68010365963</v>
      </c>
      <c r="R965" s="27" t="str">
        <f>HYPERLINK(AB2 &amp; "/flashlight/sn_d6aaf2df23073dbe1535ae196bdb53a2/rendering/15.obj", "1.79752206802")</f>
        <v>1.79752206802</v>
      </c>
      <c r="S965" s="5" t="str">
        <f>HYPERLINK(AB2 &amp; "/flashlight/sn_d6aaf2df23073dbe1535ae196bdb53a2/rendering/16.obj", "1.78738582134")</f>
        <v>1.78738582134</v>
      </c>
      <c r="T965" s="47" t="str">
        <f>HYPERLINK(AB2 &amp; "/flashlight/sn_d6aaf2df23073dbe1535ae196bdb53a2/rendering/17.obj", "1.91663753986")</f>
        <v>1.91663753986</v>
      </c>
      <c r="U965" s="72" t="str">
        <f>HYPERLINK(AB2 &amp; "/flashlight/sn_d6aaf2df23073dbe1535ae196bdb53a2/rendering/18.obj", "1.99656331539")</f>
        <v>1.99656331539</v>
      </c>
      <c r="V965" s="31" t="str">
        <f>HYPERLINK(AB2 &amp; "/flashlight/sn_d6aaf2df23073dbe1535ae196bdb53a2/rendering/19.obj", "2.23177289963")</f>
        <v>2.23177289963</v>
      </c>
      <c r="W965" s="12" t="s">
        <v>32</v>
      </c>
      <c r="X965" s="13">
        <v>1.933292925357819</v>
      </c>
      <c r="Y965" s="13">
        <v>0.27426441038591087</v>
      </c>
      <c r="Z965" s="8">
        <v>0.14186386697460729</v>
      </c>
    </row>
    <row r="966" spans="1:26" x14ac:dyDescent="0.2">
      <c r="A966" s="1">
        <v>964</v>
      </c>
      <c r="B966" s="2" t="s">
        <v>225</v>
      </c>
      <c r="C966" s="13" t="str">
        <f>HYPERLINK(AC2 &amp; "/flashlight/sn_d6aaf2df23073dbe1535ae196bdb53a2/rendering/00.xyz", "0.0")</f>
        <v>0.0</v>
      </c>
      <c r="D966" s="13" t="str">
        <f>HYPERLINK(AC2 &amp; "/flashlight/sn_d6aaf2df23073dbe1535ae196bdb53a2/rendering/01.xyz", "0.0")</f>
        <v>0.0</v>
      </c>
      <c r="E966" s="13" t="str">
        <f>HYPERLINK(AC2 &amp; "/flashlight/sn_d6aaf2df23073dbe1535ae196bdb53a2/rendering/02.xyz", "0.0")</f>
        <v>0.0</v>
      </c>
      <c r="F966" s="13" t="str">
        <f>HYPERLINK(AC2 &amp; "/flashlight/sn_d6aaf2df23073dbe1535ae196bdb53a2/rendering/03.xyz", "0.0")</f>
        <v>0.0</v>
      </c>
      <c r="G966" s="13" t="str">
        <f>HYPERLINK(AC2 &amp; "/flashlight/sn_d6aaf2df23073dbe1535ae196bdb53a2/rendering/04.xyz", "0.0")</f>
        <v>0.0</v>
      </c>
      <c r="H966" s="13" t="str">
        <f>HYPERLINK(AC2 &amp; "/flashlight/sn_d6aaf2df23073dbe1535ae196bdb53a2/rendering/05.xyz", "0.0")</f>
        <v>0.0</v>
      </c>
      <c r="I966" s="13" t="str">
        <f>HYPERLINK(AC2 &amp; "/flashlight/sn_d6aaf2df23073dbe1535ae196bdb53a2/rendering/06.xyz", "0.0")</f>
        <v>0.0</v>
      </c>
      <c r="J966" s="13" t="str">
        <f>HYPERLINK(AC2 &amp; "/flashlight/sn_d6aaf2df23073dbe1535ae196bdb53a2/rendering/07.xyz", "0.0")</f>
        <v>0.0</v>
      </c>
      <c r="K966" s="13" t="str">
        <f>HYPERLINK(AC2 &amp; "/flashlight/sn_d6aaf2df23073dbe1535ae196bdb53a2/rendering/08.xyz", "0.0")</f>
        <v>0.0</v>
      </c>
      <c r="L966" s="13" t="str">
        <f>HYPERLINK(AC2 &amp; "/flashlight/sn_d6aaf2df23073dbe1535ae196bdb53a2/rendering/09.xyz", "0.0")</f>
        <v>0.0</v>
      </c>
      <c r="M966" s="13" t="str">
        <f>HYPERLINK(AC2 &amp; "/flashlight/sn_d6aaf2df23073dbe1535ae196bdb53a2/rendering/10.xyz", "0.0")</f>
        <v>0.0</v>
      </c>
      <c r="N966" s="13" t="str">
        <f>HYPERLINK(AC2 &amp; "/flashlight/sn_d6aaf2df23073dbe1535ae196bdb53a2/rendering/11.xyz", "0.0")</f>
        <v>0.0</v>
      </c>
      <c r="O966" s="13" t="str">
        <f>HYPERLINK(AC2 &amp; "/flashlight/sn_d6aaf2df23073dbe1535ae196bdb53a2/rendering/12.xyz", "0.0")</f>
        <v>0.0</v>
      </c>
      <c r="P966" s="13" t="str">
        <f>HYPERLINK(AC2 &amp; "/flashlight/sn_d6aaf2df23073dbe1535ae196bdb53a2/rendering/13.xyz", "0.0")</f>
        <v>0.0</v>
      </c>
      <c r="Q966" s="13" t="str">
        <f>HYPERLINK(AC2 &amp; "/flashlight/sn_d6aaf2df23073dbe1535ae196bdb53a2/rendering/14.xyz", "0.0")</f>
        <v>0.0</v>
      </c>
      <c r="R966" s="13" t="str">
        <f>HYPERLINK(AC2 &amp; "/flashlight/sn_d6aaf2df23073dbe1535ae196bdb53a2/rendering/15.xyz", "0.0")</f>
        <v>0.0</v>
      </c>
      <c r="S966" s="13" t="str">
        <f>HYPERLINK(AC2 &amp; "/flashlight/sn_d6aaf2df23073dbe1535ae196bdb53a2/rendering/16.xyz", "0.0")</f>
        <v>0.0</v>
      </c>
      <c r="T966" s="13" t="str">
        <f>HYPERLINK(AC2 &amp; "/flashlight/sn_d6aaf2df23073dbe1535ae196bdb53a2/rendering/17.xyz", "0.0")</f>
        <v>0.0</v>
      </c>
      <c r="U966" s="13" t="str">
        <f>HYPERLINK(AC2 &amp; "/flashlight/sn_d6aaf2df23073dbe1535ae196bdb53a2/rendering/18.xyz", "0.0")</f>
        <v>0.0</v>
      </c>
      <c r="V966" s="13" t="str">
        <f>HYPERLINK(AC2 &amp; "/flashlight/sn_d6aaf2df23073dbe1535ae196bdb53a2/rendering/19.xyz", "0.0")</f>
        <v>0.0</v>
      </c>
      <c r="W966" s="12" t="s">
        <v>33</v>
      </c>
      <c r="X966" s="13">
        <v>0</v>
      </c>
      <c r="Y966" s="13">
        <v>0</v>
      </c>
      <c r="Z966" s="13">
        <v>0</v>
      </c>
    </row>
    <row r="967" spans="1:26" x14ac:dyDescent="0.2">
      <c r="A967" s="1">
        <v>965</v>
      </c>
      <c r="B967" s="2" t="s">
        <v>226</v>
      </c>
      <c r="C967" s="68" t="str">
        <f>HYPERLINK(AA2 &amp; "/flashlight/sn_dad7644f7508c45ba8963fe61f2bc75f/rendering/00.obj", "7.14889404297")</f>
        <v>7.14889404297</v>
      </c>
      <c r="D967" s="27" t="str">
        <f>HYPERLINK(AA2 &amp; "/flashlight/sn_dad7644f7508c45ba8963fe61f2bc75f/rendering/01.obj", "8.00975463867")</f>
        <v>8.00975463867</v>
      </c>
      <c r="E967" s="27" t="str">
        <f>HYPERLINK(AA2 &amp; "/flashlight/sn_dad7644f7508c45ba8963fe61f2bc75f/rendering/02.obj", "6.93704345703")</f>
        <v>6.93704345703</v>
      </c>
      <c r="F967" s="135" t="str">
        <f>HYPERLINK(AA2 &amp; "/flashlight/sn_dad7644f7508c45ba8963fe61f2bc75f/rendering/03.obj", "9.37801757813")</f>
        <v>9.37801757813</v>
      </c>
      <c r="G967" s="71" t="str">
        <f>HYPERLINK(AA2 &amp; "/flashlight/sn_dad7644f7508c45ba8963fe61f2bc75f/rendering/04.obj", "6.59037109375")</f>
        <v>6.59037109375</v>
      </c>
      <c r="H967" s="27" t="str">
        <f>HYPERLINK(AA2 &amp; "/flashlight/sn_dad7644f7508c45ba8963fe61f2bc75f/rendering/05.obj", "6.94331604004")</f>
        <v>6.94331604004</v>
      </c>
      <c r="I967" s="107" t="str">
        <f>HYPERLINK(AA2 &amp; "/flashlight/sn_dad7644f7508c45ba8963fe61f2bc75f/rendering/06.obj", "6.85749572754")</f>
        <v>6.85749572754</v>
      </c>
      <c r="J967" s="90" t="str">
        <f>HYPERLINK(AA2 &amp; "/flashlight/sn_dad7644f7508c45ba8963fe61f2bc75f/rendering/07.obj", "8.18670898438")</f>
        <v>8.18670898438</v>
      </c>
      <c r="K967" s="98" t="str">
        <f>HYPERLINK(AA2 &amp; "/flashlight/sn_dad7644f7508c45ba8963fe61f2bc75f/rendering/08.obj", "5.74167602539")</f>
        <v>5.74167602539</v>
      </c>
      <c r="L967" s="23" t="str">
        <f>HYPERLINK(AA2 &amp; "/flashlight/sn_dad7644f7508c45ba8963fe61f2bc75f/rendering/09.obj", "7.17923461914")</f>
        <v>7.17923461914</v>
      </c>
      <c r="M967" s="77" t="str">
        <f>HYPERLINK(AA2 &amp; "/flashlight/sn_dad7644f7508c45ba8963fe61f2bc75f/rendering/10.obj", "8.86545593262")</f>
        <v>8.86545593262</v>
      </c>
      <c r="N967" s="30" t="str">
        <f>HYPERLINK(AA2 &amp; "/flashlight/sn_dad7644f7508c45ba8963fe61f2bc75f/rendering/11.obj", "7.50932556152")</f>
        <v>7.50932556152</v>
      </c>
      <c r="O967" s="27" t="str">
        <f>HYPERLINK(AA2 &amp; "/flashlight/sn_dad7644f7508c45ba8963fe61f2bc75f/rendering/12.obj", "6.9573840332")</f>
        <v>6.9573840332</v>
      </c>
      <c r="P967" s="74" t="str">
        <f>HYPERLINK(AA2 &amp; "/flashlight/sn_dad7644f7508c45ba8963fe61f2bc75f/rendering/13.obj", "7.36087768555")</f>
        <v>7.36087768555</v>
      </c>
      <c r="Q967" s="97" t="str">
        <f>HYPERLINK(AA2 &amp; "/flashlight/sn_dad7644f7508c45ba8963fe61f2bc75f/rendering/14.obj", "10.7316833496")</f>
        <v>10.7316833496</v>
      </c>
      <c r="R967" s="28" t="str">
        <f>HYPERLINK(AA2 &amp; "/flashlight/sn_dad7644f7508c45ba8963fe61f2bc75f/rendering/15.obj", "6.63474243164")</f>
        <v>6.63474243164</v>
      </c>
      <c r="S967" s="28" t="str">
        <f>HYPERLINK(AA2 &amp; "/flashlight/sn_dad7644f7508c45ba8963fe61f2bc75f/rendering/16.obj", "8.30439941406")</f>
        <v>8.30439941406</v>
      </c>
      <c r="T967" s="91" t="str">
        <f>HYPERLINK(AA2 &amp; "/flashlight/sn_dad7644f7508c45ba8963fe61f2bc75f/rendering/17.obj", "7.28648132324")</f>
        <v>7.28648132324</v>
      </c>
      <c r="U967" s="29" t="str">
        <f>HYPERLINK(AA2 &amp; "/flashlight/sn_dad7644f7508c45ba8963fe61f2bc75f/rendering/18.obj", "6.51432373047")</f>
        <v>6.51432373047</v>
      </c>
      <c r="V967" s="84" t="str">
        <f>HYPERLINK(AA2 &amp; "/flashlight/sn_dad7644f7508c45ba8963fe61f2bc75f/rendering/19.obj", "6.38680725098")</f>
        <v>6.38680725098</v>
      </c>
      <c r="W967" s="12" t="s">
        <v>29</v>
      </c>
      <c r="X967" s="13">
        <v>7.4761996459960942</v>
      </c>
      <c r="Y967" s="13">
        <v>1.1337142248534591</v>
      </c>
      <c r="Z967" s="83">
        <v>0.1516431179657734</v>
      </c>
    </row>
    <row r="968" spans="1:26" x14ac:dyDescent="0.2">
      <c r="A968" s="1">
        <v>966</v>
      </c>
      <c r="B968" s="2" t="s">
        <v>226</v>
      </c>
      <c r="C968" s="51" t="str">
        <f>HYPERLINK(AA2 &amp; "/flashlight/sn_dad7644f7508c45ba8963fe61f2bc75f/rendering/00.obj", "7.21850156784")</f>
        <v>7.21850156784</v>
      </c>
      <c r="D968" s="70" t="str">
        <f>HYPERLINK(AA2 &amp; "/flashlight/sn_dad7644f7508c45ba8963fe61f2bc75f/rendering/01.obj", "8.83041572571")</f>
        <v>8.83041572571</v>
      </c>
      <c r="E968" s="29" t="str">
        <f>HYPERLINK(AA2 &amp; "/flashlight/sn_dad7644f7508c45ba8963fe61f2bc75f/rendering/02.obj", "6.82873821259")</f>
        <v>6.82873821259</v>
      </c>
      <c r="F968" s="253" t="str">
        <f>HYPERLINK(AA2 &amp; "/flashlight/sn_dad7644f7508c45ba8963fe61f2bc75f/rendering/03.obj", "13.5397672653")</f>
        <v>13.5397672653</v>
      </c>
      <c r="G968" s="121" t="str">
        <f>HYPERLINK(AA2 &amp; "/flashlight/sn_dad7644f7508c45ba8963fe61f2bc75f/rendering/04.obj", "5.08361721039")</f>
        <v>5.08361721039</v>
      </c>
      <c r="H968" s="78" t="str">
        <f>HYPERLINK(AA2 &amp; "/flashlight/sn_dad7644f7508c45ba8963fe61f2bc75f/rendering/05.obj", "7.36885356903")</f>
        <v>7.36885356903</v>
      </c>
      <c r="I968" s="31" t="str">
        <f>HYPERLINK(AA2 &amp; "/flashlight/sn_dad7644f7508c45ba8963fe61f2bc75f/rendering/06.obj", "6.61364603043")</f>
        <v>6.61364603043</v>
      </c>
      <c r="J968" s="30" t="str">
        <f>HYPERLINK(AA2 &amp; "/flashlight/sn_dad7644f7508c45ba8963fe61f2bc75f/rendering/07.obj", "7.80254220963")</f>
        <v>7.80254220963</v>
      </c>
      <c r="K968" s="142" t="str">
        <f>HYPERLINK(AA2 &amp; "/flashlight/sn_dad7644f7508c45ba8963fe61f2bc75f/rendering/08.obj", "4.74111652374")</f>
        <v>4.74111652374</v>
      </c>
      <c r="L968" s="59" t="str">
        <f>HYPERLINK(AA2 &amp; "/flashlight/sn_dad7644f7508c45ba8963fe61f2bc75f/rendering/09.obj", "5.9689617157")</f>
        <v>5.9689617157</v>
      </c>
      <c r="M968" s="76" t="str">
        <f>HYPERLINK(AA2 &amp; "/flashlight/sn_dad7644f7508c45ba8963fe61f2bc75f/rendering/10.obj", "9.28507614136")</f>
        <v>9.28507614136</v>
      </c>
      <c r="N968" s="56" t="str">
        <f>HYPERLINK(AA2 &amp; "/flashlight/sn_dad7644f7508c45ba8963fe61f2bc75f/rendering/11.obj", "10.2553663254")</f>
        <v>10.2553663254</v>
      </c>
      <c r="O968" s="69" t="str">
        <f>HYPERLINK(AA2 &amp; "/flashlight/sn_dad7644f7508c45ba8963fe61f2bc75f/rendering/12.obj", "8.06553840637")</f>
        <v>8.06553840637</v>
      </c>
      <c r="P968" s="94" t="str">
        <f>HYPERLINK(AA2 &amp; "/flashlight/sn_dad7644f7508c45ba8963fe61f2bc75f/rendering/13.obj", "7.27133178711")</f>
        <v>7.27133178711</v>
      </c>
      <c r="Q968" s="20" t="str">
        <f>HYPERLINK(AA2 &amp; "/flashlight/sn_dad7644f7508c45ba8963fe61f2bc75f/rendering/14.obj", "15.0799846649")</f>
        <v>15.0799846649</v>
      </c>
      <c r="R968" s="11" t="str">
        <f>HYPERLINK(AA2 &amp; "/flashlight/sn_dad7644f7508c45ba8963fe61f2bc75f/rendering/15.obj", "6.07407855988")</f>
        <v>6.07407855988</v>
      </c>
      <c r="S968" s="19" t="str">
        <f>HYPERLINK(AA2 &amp; "/flashlight/sn_dad7644f7508c45ba8963fe61f2bc75f/rendering/16.obj", "9.88582992554")</f>
        <v>9.88582992554</v>
      </c>
      <c r="T968" s="117" t="str">
        <f>HYPERLINK(AA2 &amp; "/flashlight/sn_dad7644f7508c45ba8963fe61f2bc75f/rendering/17.obj", "6.43952035904")</f>
        <v>6.43952035904</v>
      </c>
      <c r="U968" s="96" t="str">
        <f>HYPERLINK(AA2 &amp; "/flashlight/sn_dad7644f7508c45ba8963fe61f2bc75f/rendering/18.obj", "4.98862791061")</f>
        <v>4.98862791061</v>
      </c>
      <c r="V968" s="56" t="str">
        <f>HYPERLINK(AA2 &amp; "/flashlight/sn_dad7644f7508c45ba8963fe61f2bc75f/rendering/19.obj", "5.42551469803")</f>
        <v>5.42551469803</v>
      </c>
      <c r="W968" s="12" t="s">
        <v>30</v>
      </c>
      <c r="X968" s="13">
        <v>7.8383514404296877</v>
      </c>
      <c r="Y968" s="13">
        <v>2.6574906800387681</v>
      </c>
      <c r="Z968" s="185">
        <v>0.3390369391108965</v>
      </c>
    </row>
    <row r="969" spans="1:26" x14ac:dyDescent="0.2">
      <c r="A969" s="1">
        <v>967</v>
      </c>
      <c r="B969" s="2" t="s">
        <v>226</v>
      </c>
      <c r="C969" s="74" t="str">
        <f>HYPERLINK(AB2 &amp; "/flashlight/sn_dad7644f7508c45ba8963fe61f2bc75f/rendering/00.obj", "7.15313659668")</f>
        <v>7.15313659668</v>
      </c>
      <c r="D969" s="29" t="str">
        <f>HYPERLINK(AB2 &amp; "/flashlight/sn_dad7644f7508c45ba8963fe61f2bc75f/rendering/01.obj", "6.11750244141")</f>
        <v>6.11750244141</v>
      </c>
      <c r="E969" s="47" t="str">
        <f>HYPERLINK(AB2 &amp; "/flashlight/sn_dad7644f7508c45ba8963fe61f2bc75f/rendering/02.obj", "6.98321838379")</f>
        <v>6.98321838379</v>
      </c>
      <c r="F969" s="42" t="str">
        <f>HYPERLINK(AB2 &amp; "/flashlight/sn_dad7644f7508c45ba8963fe61f2bc75f/rendering/03.obj", "8.01556030273")</f>
        <v>8.01556030273</v>
      </c>
      <c r="G969" s="28" t="str">
        <f>HYPERLINK(AB2 &amp; "/flashlight/sn_dad7644f7508c45ba8963fe61f2bc75f/rendering/04.obj", "6.25080322266")</f>
        <v>6.25080322266</v>
      </c>
      <c r="H969" s="60" t="str">
        <f>HYPERLINK(AB2 &amp; "/flashlight/sn_dad7644f7508c45ba8963fe61f2bc75f/rendering/05.obj", "6.68166625977")</f>
        <v>6.68166625977</v>
      </c>
      <c r="I969" s="10" t="str">
        <f>HYPERLINK(AB2 &amp; "/flashlight/sn_dad7644f7508c45ba8963fe61f2bc75f/rendering/06.obj", "7.43216674805")</f>
        <v>7.43216674805</v>
      </c>
      <c r="J969" s="30" t="str">
        <f>HYPERLINK(AB2 &amp; "/flashlight/sn_dad7644f7508c45ba8963fe61f2bc75f/rendering/07.obj", "7.00769348145")</f>
        <v>7.00769348145</v>
      </c>
      <c r="K969" s="133" t="str">
        <f>HYPERLINK(AB2 &amp; "/flashlight/sn_dad7644f7508c45ba8963fe61f2bc75f/rendering/08.obj", "6.31598815918")</f>
        <v>6.31598815918</v>
      </c>
      <c r="L969" s="47" t="str">
        <f>HYPERLINK(AB2 &amp; "/flashlight/sn_dad7644f7508c45ba8963fe61f2bc75f/rendering/09.obj", "7.1015045166")</f>
        <v>7.1015045166</v>
      </c>
      <c r="M969" s="67" t="str">
        <f>HYPERLINK(AB2 &amp; "/flashlight/sn_dad7644f7508c45ba8963fe61f2bc75f/rendering/10.obj", "7.68858581543")</f>
        <v>7.68858581543</v>
      </c>
      <c r="N969" s="41" t="str">
        <f>HYPERLINK(AB2 &amp; "/flashlight/sn_dad7644f7508c45ba8963fe61f2bc75f/rendering/11.obj", "7.52495178223")</f>
        <v>7.52495178223</v>
      </c>
      <c r="O969" s="27" t="str">
        <f>HYPERLINK(AB2 &amp; "/flashlight/sn_dad7644f7508c45ba8963fe61f2bc75f/rendering/12.obj", "6.53931945801")</f>
        <v>6.53931945801</v>
      </c>
      <c r="P969" s="107" t="str">
        <f>HYPERLINK(AB2 &amp; "/flashlight/sn_dad7644f7508c45ba8963fe61f2bc75f/rendering/13.obj", "7.61932739258")</f>
        <v>7.61932739258</v>
      </c>
      <c r="Q969" s="47" t="str">
        <f>HYPERLINK(AB2 &amp; "/flashlight/sn_dad7644f7508c45ba8963fe61f2bc75f/rendering/14.obj", "6.99313842773")</f>
        <v>6.99313842773</v>
      </c>
      <c r="R969" s="60" t="str">
        <f>HYPERLINK(AB2 &amp; "/flashlight/sn_dad7644f7508c45ba8963fe61f2bc75f/rendering/15.obj", "6.67776489258")</f>
        <v>6.67776489258</v>
      </c>
      <c r="S969" s="26" t="str">
        <f>HYPERLINK(AB2 &amp; "/flashlight/sn_dad7644f7508c45ba8963fe61f2bc75f/rendering/16.obj", "7.4877746582")</f>
        <v>7.4877746582</v>
      </c>
      <c r="T969" s="13" t="str">
        <f>HYPERLINK(AB2 &amp; "/flashlight/sn_dad7644f7508c45ba8963fe61f2bc75f/rendering/17.obj", "7.05795715332")</f>
        <v>7.05795715332</v>
      </c>
      <c r="U969" s="73" t="str">
        <f>HYPERLINK(AB2 &amp; "/flashlight/sn_dad7644f7508c45ba8963fe61f2bc75f/rendering/18.obj", "7.30341796875")</f>
        <v>7.30341796875</v>
      </c>
      <c r="V969" s="46" t="str">
        <f>HYPERLINK(AB2 &amp; "/flashlight/sn_dad7644f7508c45ba8963fe61f2bc75f/rendering/19.obj", "6.93087890625")</f>
        <v>6.93087890625</v>
      </c>
      <c r="W969" s="12" t="s">
        <v>31</v>
      </c>
      <c r="X969" s="13">
        <v>7.0441178283691412</v>
      </c>
      <c r="Y969" s="13">
        <v>0.49548602158579819</v>
      </c>
      <c r="Z969" s="27">
        <v>7.0340393738205456E-2</v>
      </c>
    </row>
    <row r="970" spans="1:26" x14ac:dyDescent="0.2">
      <c r="A970" s="1">
        <v>968</v>
      </c>
      <c r="B970" s="2" t="s">
        <v>226</v>
      </c>
      <c r="C970" s="26" t="str">
        <f>HYPERLINK(AB2 &amp; "/flashlight/sn_dad7644f7508c45ba8963fe61f2bc75f/rendering/00.obj", "6.97843837738")</f>
        <v>6.97843837738</v>
      </c>
      <c r="D970" s="107" t="str">
        <f>HYPERLINK(AB2 &amp; "/flashlight/sn_dad7644f7508c45ba8963fe61f2bc75f/rendering/01.obj", "6.00039196014")</f>
        <v>6.00039196014</v>
      </c>
      <c r="E970" s="38" t="str">
        <f>HYPERLINK(AB2 &amp; "/flashlight/sn_dad7644f7508c45ba8963fe61f2bc75f/rendering/02.obj", "7.12851428986")</f>
        <v>7.12851428986</v>
      </c>
      <c r="F970" s="52" t="str">
        <f>HYPERLINK(AB2 &amp; "/flashlight/sn_dad7644f7508c45ba8963fe61f2bc75f/rendering/03.obj", "9.16260814667")</f>
        <v>9.16260814667</v>
      </c>
      <c r="G970" s="58" t="str">
        <f>HYPERLINK(AB2 &amp; "/flashlight/sn_dad7644f7508c45ba8963fe61f2bc75f/rendering/04.obj", "4.95027542114")</f>
        <v>4.95027542114</v>
      </c>
      <c r="H970" s="36" t="str">
        <f>HYPERLINK(AB2 &amp; "/flashlight/sn_dad7644f7508c45ba8963fe61f2bc75f/rendering/05.obj", "7.96037387848")</f>
        <v>7.96037387848</v>
      </c>
      <c r="I970" s="39" t="str">
        <f>HYPERLINK(AB2 &amp; "/flashlight/sn_dad7644f7508c45ba8963fe61f2bc75f/rendering/06.obj", "5.99181938171")</f>
        <v>5.99181938171</v>
      </c>
      <c r="J970" s="75" t="str">
        <f>HYPERLINK(AB2 &amp; "/flashlight/sn_dad7644f7508c45ba8963fe61f2bc75f/rendering/07.obj", "5.09064674377")</f>
        <v>5.09064674377</v>
      </c>
      <c r="K970" s="77" t="str">
        <f>HYPERLINK(AB2 &amp; "/flashlight/sn_dad7644f7508c45ba8963fe61f2bc75f/rendering/08.obj", "5.32878255844")</f>
        <v>5.32878255844</v>
      </c>
      <c r="L970" s="27" t="str">
        <f>HYPERLINK(AB2 &amp; "/flashlight/sn_dad7644f7508c45ba8963fe61f2bc75f/rendering/09.obj", "7.0074839592")</f>
        <v>7.0074839592</v>
      </c>
      <c r="M970" s="73" t="str">
        <f>HYPERLINK(AB2 &amp; "/flashlight/sn_dad7644f7508c45ba8963fe61f2bc75f/rendering/10.obj", "6.78983211517")</f>
        <v>6.78983211517</v>
      </c>
      <c r="N970" s="135" t="str">
        <f>HYPERLINK(AB2 &amp; "/flashlight/sn_dad7644f7508c45ba8963fe61f2bc75f/rendering/11.obj", "8.23382377625")</f>
        <v>8.23382377625</v>
      </c>
      <c r="O970" s="42" t="str">
        <f>HYPERLINK(AB2 &amp; "/flashlight/sn_dad7644f7508c45ba8963fe61f2bc75f/rendering/12.obj", "5.65677022934")</f>
        <v>5.65677022934</v>
      </c>
      <c r="P970" s="34" t="str">
        <f>HYPERLINK(AB2 &amp; "/flashlight/sn_dad7644f7508c45ba8963fe61f2bc75f/rendering/13.obj", "6.23034191132")</f>
        <v>6.23034191132</v>
      </c>
      <c r="Q970" s="87" t="str">
        <f>HYPERLINK(AB2 &amp; "/flashlight/sn_dad7644f7508c45ba8963fe61f2bc75f/rendering/14.obj", "5.06854534149")</f>
        <v>5.06854534149</v>
      </c>
      <c r="R970" s="25" t="str">
        <f>HYPERLINK(AB2 &amp; "/flashlight/sn_dad7644f7508c45ba8963fe61f2bc75f/rendering/15.obj", "6.47651100159")</f>
        <v>6.47651100159</v>
      </c>
      <c r="S970" s="99" t="str">
        <f>HYPERLINK(AB2 &amp; "/flashlight/sn_dad7644f7508c45ba8963fe61f2bc75f/rendering/16.obj", "8.33246231079")</f>
        <v>8.33246231079</v>
      </c>
      <c r="T970" s="92" t="str">
        <f>HYPERLINK(AB2 &amp; "/flashlight/sn_dad7644f7508c45ba8963fe61f2bc75f/rendering/17.obj", "5.73587226868")</f>
        <v>5.73587226868</v>
      </c>
      <c r="U970" s="110" t="str">
        <f>HYPERLINK(AB2 &amp; "/flashlight/sn_dad7644f7508c45ba8963fe61f2bc75f/rendering/18.obj", "7.1882481575")</f>
        <v>7.1882481575</v>
      </c>
      <c r="V970" s="65" t="str">
        <f>HYPERLINK(AB2 &amp; "/flashlight/sn_dad7644f7508c45ba8963fe61f2bc75f/rendering/19.obj", "5.67577075958")</f>
        <v>5.67577075958</v>
      </c>
      <c r="W970" s="12" t="s">
        <v>32</v>
      </c>
      <c r="X970" s="13">
        <v>6.5493756294250476</v>
      </c>
      <c r="Y970" s="13">
        <v>1.1692044226293259</v>
      </c>
      <c r="Z970" s="117">
        <v>0.178521509344543</v>
      </c>
    </row>
    <row r="971" spans="1:26" x14ac:dyDescent="0.2">
      <c r="A971" s="1">
        <v>969</v>
      </c>
      <c r="B971" s="2" t="s">
        <v>226</v>
      </c>
      <c r="C971" s="13" t="str">
        <f>HYPERLINK(AC2 &amp; "/flashlight/sn_dad7644f7508c45ba8963fe61f2bc75f/rendering/00.xyz", "0.0")</f>
        <v>0.0</v>
      </c>
      <c r="D971" s="13" t="str">
        <f>HYPERLINK(AC2 &amp; "/flashlight/sn_dad7644f7508c45ba8963fe61f2bc75f/rendering/01.xyz", "0.0")</f>
        <v>0.0</v>
      </c>
      <c r="E971" s="13" t="str">
        <f>HYPERLINK(AC2 &amp; "/flashlight/sn_dad7644f7508c45ba8963fe61f2bc75f/rendering/02.xyz", "0.0")</f>
        <v>0.0</v>
      </c>
      <c r="F971" s="13" t="str">
        <f>HYPERLINK(AC2 &amp; "/flashlight/sn_dad7644f7508c45ba8963fe61f2bc75f/rendering/03.xyz", "0.0")</f>
        <v>0.0</v>
      </c>
      <c r="G971" s="13" t="str">
        <f>HYPERLINK(AC2 &amp; "/flashlight/sn_dad7644f7508c45ba8963fe61f2bc75f/rendering/04.xyz", "0.0")</f>
        <v>0.0</v>
      </c>
      <c r="H971" s="13" t="str">
        <f>HYPERLINK(AC2 &amp; "/flashlight/sn_dad7644f7508c45ba8963fe61f2bc75f/rendering/05.xyz", "0.0")</f>
        <v>0.0</v>
      </c>
      <c r="I971" s="13" t="str">
        <f>HYPERLINK(AC2 &amp; "/flashlight/sn_dad7644f7508c45ba8963fe61f2bc75f/rendering/06.xyz", "0.0")</f>
        <v>0.0</v>
      </c>
      <c r="J971" s="13" t="str">
        <f>HYPERLINK(AC2 &amp; "/flashlight/sn_dad7644f7508c45ba8963fe61f2bc75f/rendering/07.xyz", "0.0")</f>
        <v>0.0</v>
      </c>
      <c r="K971" s="13" t="str">
        <f>HYPERLINK(AC2 &amp; "/flashlight/sn_dad7644f7508c45ba8963fe61f2bc75f/rendering/08.xyz", "0.0")</f>
        <v>0.0</v>
      </c>
      <c r="L971" s="13" t="str">
        <f>HYPERLINK(AC2 &amp; "/flashlight/sn_dad7644f7508c45ba8963fe61f2bc75f/rendering/09.xyz", "0.0")</f>
        <v>0.0</v>
      </c>
      <c r="M971" s="13" t="str">
        <f>HYPERLINK(AC2 &amp; "/flashlight/sn_dad7644f7508c45ba8963fe61f2bc75f/rendering/10.xyz", "0.0")</f>
        <v>0.0</v>
      </c>
      <c r="N971" s="13" t="str">
        <f>HYPERLINK(AC2 &amp; "/flashlight/sn_dad7644f7508c45ba8963fe61f2bc75f/rendering/11.xyz", "0.0")</f>
        <v>0.0</v>
      </c>
      <c r="O971" s="13" t="str">
        <f>HYPERLINK(AC2 &amp; "/flashlight/sn_dad7644f7508c45ba8963fe61f2bc75f/rendering/12.xyz", "0.0")</f>
        <v>0.0</v>
      </c>
      <c r="P971" s="13" t="str">
        <f>HYPERLINK(AC2 &amp; "/flashlight/sn_dad7644f7508c45ba8963fe61f2bc75f/rendering/13.xyz", "0.0")</f>
        <v>0.0</v>
      </c>
      <c r="Q971" s="13" t="str">
        <f>HYPERLINK(AC2 &amp; "/flashlight/sn_dad7644f7508c45ba8963fe61f2bc75f/rendering/14.xyz", "0.0")</f>
        <v>0.0</v>
      </c>
      <c r="R971" s="13" t="str">
        <f>HYPERLINK(AC2 &amp; "/flashlight/sn_dad7644f7508c45ba8963fe61f2bc75f/rendering/15.xyz", "0.0")</f>
        <v>0.0</v>
      </c>
      <c r="S971" s="13" t="str">
        <f>HYPERLINK(AC2 &amp; "/flashlight/sn_dad7644f7508c45ba8963fe61f2bc75f/rendering/16.xyz", "0.0")</f>
        <v>0.0</v>
      </c>
      <c r="T971" s="13" t="str">
        <f>HYPERLINK(AC2 &amp; "/flashlight/sn_dad7644f7508c45ba8963fe61f2bc75f/rendering/17.xyz", "0.0")</f>
        <v>0.0</v>
      </c>
      <c r="U971" s="13" t="str">
        <f>HYPERLINK(AC2 &amp; "/flashlight/sn_dad7644f7508c45ba8963fe61f2bc75f/rendering/18.xyz", "0.0")</f>
        <v>0.0</v>
      </c>
      <c r="V971" s="13" t="str">
        <f>HYPERLINK(AC2 &amp; "/flashlight/sn_dad7644f7508c45ba8963fe61f2bc75f/rendering/19.xyz", "0.0")</f>
        <v>0.0</v>
      </c>
      <c r="W971" s="12" t="s">
        <v>33</v>
      </c>
      <c r="X971" s="13">
        <v>0</v>
      </c>
      <c r="Y971" s="13">
        <v>0</v>
      </c>
      <c r="Z971" s="13">
        <v>0</v>
      </c>
    </row>
    <row r="972" spans="1:26" x14ac:dyDescent="0.2">
      <c r="A972" s="1">
        <v>970</v>
      </c>
      <c r="B972" s="2" t="s">
        <v>227</v>
      </c>
      <c r="C972" s="5" t="str">
        <f>HYPERLINK(AA2 &amp; "/flashlight/sn_e4581dced70ba14529b9c66a6c136299/rendering/00.obj", "4.97052734375")</f>
        <v>4.97052734375</v>
      </c>
      <c r="D972" s="34" t="str">
        <f>HYPERLINK(AA2 &amp; "/flashlight/sn_e4581dced70ba14529b9c66a6c136299/rendering/01.obj", "5.64504638672")</f>
        <v>5.64504638672</v>
      </c>
      <c r="E972" s="76" t="str">
        <f>HYPERLINK(AA2 &amp; "/flashlight/sn_e4581dced70ba14529b9c66a6c136299/rendering/02.obj", "6.37132629395")</f>
        <v>6.37132629395</v>
      </c>
      <c r="F972" s="134" t="str">
        <f>HYPERLINK(AA2 &amp; "/flashlight/sn_e4581dced70ba14529b9c66a6c136299/rendering/03.obj", "6.35057861328")</f>
        <v>6.35057861328</v>
      </c>
      <c r="G972" s="27" t="str">
        <f>HYPERLINK(AA2 &amp; "/flashlight/sn_e4581dced70ba14529b9c66a6c136299/rendering/04.obj", "4.99958862305")</f>
        <v>4.99958862305</v>
      </c>
      <c r="H972" s="20" t="str">
        <f>HYPERLINK(AA2 &amp; "/flashlight/sn_e4581dced70ba14529b9c66a6c136299/rendering/05.obj", "13.5475")</f>
        <v>13.5475</v>
      </c>
      <c r="I972" s="64" t="str">
        <f>HYPERLINK(AA2 &amp; "/flashlight/sn_e4581dced70ba14529b9c66a6c136299/rendering/06.obj", "4.48970458984")</f>
        <v>4.48970458984</v>
      </c>
      <c r="J972" s="86" t="str">
        <f>HYPERLINK(AA2 &amp; "/flashlight/sn_e4581dced70ba14529b9c66a6c136299/rendering/07.obj", "3.94089050293")</f>
        <v>3.94089050293</v>
      </c>
      <c r="K972" s="63" t="str">
        <f>HYPERLINK(AA2 &amp; "/flashlight/sn_e4581dced70ba14529b9c66a6c136299/rendering/08.obj", "4.73688720703")</f>
        <v>4.73688720703</v>
      </c>
      <c r="L972" s="117" t="str">
        <f>HYPERLINK(AA2 &amp; "/flashlight/sn_e4581dced70ba14529b9c66a6c136299/rendering/09.obj", "4.41792755127")</f>
        <v>4.41792755127</v>
      </c>
      <c r="M972" s="170" t="str">
        <f>HYPERLINK(AA2 &amp; "/flashlight/sn_e4581dced70ba14529b9c66a6c136299/rendering/10.obj", "4.01974578857")</f>
        <v>4.01974578857</v>
      </c>
      <c r="N972" s="68" t="str">
        <f>HYPERLINK(AA2 &amp; "/flashlight/sn_e4581dced70ba14529b9c66a6c136299/rendering/11.obj", "5.15173339844")</f>
        <v>5.15173339844</v>
      </c>
      <c r="O972" s="170" t="str">
        <f>HYPERLINK(AA2 &amp; "/flashlight/sn_e4581dced70ba14529b9c66a6c136299/rendering/12.obj", "4.01630615234")</f>
        <v>4.01630615234</v>
      </c>
      <c r="P972" s="83" t="str">
        <f>HYPERLINK(AA2 &amp; "/flashlight/sn_e4581dced70ba14529b9c66a6c136299/rendering/13.obj", "4.56630462646")</f>
        <v>4.56630462646</v>
      </c>
      <c r="Q972" s="80" t="str">
        <f>HYPERLINK(AA2 &amp; "/flashlight/sn_e4581dced70ba14529b9c66a6c136299/rendering/14.obj", "4.58590423584")</f>
        <v>4.58590423584</v>
      </c>
      <c r="R972" s="42" t="str">
        <f>HYPERLINK(AA2 &amp; "/flashlight/sn_e4581dced70ba14529b9c66a6c136299/rendering/15.obj", "4.64287597656")</f>
        <v>4.64287597656</v>
      </c>
      <c r="S972" s="66" t="str">
        <f>HYPERLINK(AA2 &amp; "/flashlight/sn_e4581dced70ba14529b9c66a6c136299/rendering/16.obj", "6.25348388672")</f>
        <v>6.25348388672</v>
      </c>
      <c r="T972" s="24" t="str">
        <f>HYPERLINK(AA2 &amp; "/flashlight/sn_e4581dced70ba14529b9c66a6c136299/rendering/17.obj", "4.48202453613")</f>
        <v>4.48202453613</v>
      </c>
      <c r="U972" s="60" t="str">
        <f>HYPERLINK(AA2 &amp; "/flashlight/sn_e4581dced70ba14529b9c66a6c136299/rendering/18.obj", "5.09903961182")</f>
        <v>5.09903961182</v>
      </c>
      <c r="V972" s="74" t="str">
        <f>HYPERLINK(AA2 &amp; "/flashlight/sn_e4581dced70ba14529b9c66a6c136299/rendering/19.obj", "5.30519104004")</f>
        <v>5.30519104004</v>
      </c>
      <c r="W972" s="12" t="s">
        <v>29</v>
      </c>
      <c r="X972" s="13">
        <v>5.3796293182373054</v>
      </c>
      <c r="Y972" s="13">
        <v>2.0058694030839681</v>
      </c>
      <c r="Z972" s="192">
        <v>0.37286386931603932</v>
      </c>
    </row>
    <row r="973" spans="1:26" x14ac:dyDescent="0.2">
      <c r="A973" s="1">
        <v>971</v>
      </c>
      <c r="B973" s="2" t="s">
        <v>227</v>
      </c>
      <c r="C973" s="175" t="str">
        <f>HYPERLINK(AA2 &amp; "/flashlight/sn_e4581dced70ba14529b9c66a6c136299/rendering/00.obj", "5.50045633316")</f>
        <v>5.50045633316</v>
      </c>
      <c r="D973" s="60" t="str">
        <f>HYPERLINK(AA2 &amp; "/flashlight/sn_e4581dced70ba14529b9c66a6c136299/rendering/01.obj", "7.57444572449")</f>
        <v>7.57444572449</v>
      </c>
      <c r="E973" s="71" t="str">
        <f>HYPERLINK(AA2 &amp; "/flashlight/sn_e4581dced70ba14529b9c66a6c136299/rendering/02.obj", "8.03752040863")</f>
        <v>8.03752040863</v>
      </c>
      <c r="F973" s="54" t="str">
        <f>HYPERLINK(AA2 &amp; "/flashlight/sn_e4581dced70ba14529b9c66a6c136299/rendering/03.obj", "9.55215167999")</f>
        <v>9.55215167999</v>
      </c>
      <c r="G973" s="77" t="str">
        <f>HYPERLINK(AA2 &amp; "/flashlight/sn_e4581dced70ba14529b9c66a6c136299/rendering/04.obj", "5.859167099")</f>
        <v>5.859167099</v>
      </c>
      <c r="H973" s="20" t="str">
        <f>HYPERLINK(AA2 &amp; "/flashlight/sn_e4581dced70ba14529b9c66a6c136299/rendering/05.obj", "23.4016876221")</f>
        <v>23.4016876221</v>
      </c>
      <c r="I973" s="82" t="str">
        <f>HYPERLINK(AA2 &amp; "/flashlight/sn_e4581dced70ba14529b9c66a6c136299/rendering/06.obj", "5.71235704422")</f>
        <v>5.71235704422</v>
      </c>
      <c r="J973" s="122" t="str">
        <f>HYPERLINK(AA2 &amp; "/flashlight/sn_e4581dced70ba14529b9c66a6c136299/rendering/07.obj", "4.28892850876")</f>
        <v>4.28892850876</v>
      </c>
      <c r="K973" s="129" t="str">
        <f>HYPERLINK(AA2 &amp; "/flashlight/sn_e4581dced70ba14529b9c66a6c136299/rendering/08.obj", "5.38747501373")</f>
        <v>5.38747501373</v>
      </c>
      <c r="L973" s="34" t="str">
        <f>HYPERLINK(AA2 &amp; "/flashlight/sn_e4581dced70ba14529b9c66a6c136299/rendering/09.obj", "6.85103845596")</f>
        <v>6.85103845596</v>
      </c>
      <c r="M973" s="187" t="str">
        <f>HYPERLINK(AA2 &amp; "/flashlight/sn_e4581dced70ba14529b9c66a6c136299/rendering/10.obj", "4.67586660385")</f>
        <v>4.67586660385</v>
      </c>
      <c r="N973" s="28" t="str">
        <f>HYPERLINK(AA2 &amp; "/flashlight/sn_e4581dced70ba14529b9c66a6c136299/rendering/11.obj", "6.39241409302")</f>
        <v>6.39241409302</v>
      </c>
      <c r="O973" s="152" t="str">
        <f>HYPERLINK(AA2 &amp; "/flashlight/sn_e4581dced70ba14529b9c66a6c136299/rendering/12.obj", "4.26807975769")</f>
        <v>4.26807975769</v>
      </c>
      <c r="P973" s="31" t="str">
        <f>HYPERLINK(AA2 &amp; "/flashlight/sn_e4581dced70ba14529b9c66a6c136299/rendering/13.obj", "6.08474063873")</f>
        <v>6.08474063873</v>
      </c>
      <c r="Q973" s="99" t="str">
        <f>HYPERLINK(AA2 &amp; "/flashlight/sn_e4581dced70ba14529b9c66a6c136299/rendering/14.obj", "5.23774623871")</f>
        <v>5.23774623871</v>
      </c>
      <c r="R973" s="81" t="str">
        <f>HYPERLINK(AA2 &amp; "/flashlight/sn_e4581dced70ba14529b9c66a6c136299/rendering/15.obj", "5.61319112778")</f>
        <v>5.61319112778</v>
      </c>
      <c r="S973" s="77" t="str">
        <f>HYPERLINK(AA2 &amp; "/flashlight/sn_e4581dced70ba14529b9c66a6c136299/rendering/16.obj", "8.54224491119")</f>
        <v>8.54224491119</v>
      </c>
      <c r="T973" s="92" t="str">
        <f>HYPERLINK(AA2 &amp; "/flashlight/sn_e4581dced70ba14529b9c66a6c136299/rendering/17.obj", "6.30680561066")</f>
        <v>6.30680561066</v>
      </c>
      <c r="U973" s="34" t="str">
        <f>HYPERLINK(AA2 &amp; "/flashlight/sn_e4581dced70ba14529b9c66a6c136299/rendering/18.obj", "6.84618091583")</f>
        <v>6.84618091583</v>
      </c>
      <c r="V973" s="94" t="str">
        <f>HYPERLINK(AA2 &amp; "/flashlight/sn_e4581dced70ba14529b9c66a6c136299/rendering/19.obj", "7.71501493454")</f>
        <v>7.71501493454</v>
      </c>
      <c r="W973" s="12" t="s">
        <v>30</v>
      </c>
      <c r="X973" s="13">
        <v>7.1923756361007687</v>
      </c>
      <c r="Y973" s="13">
        <v>3.9615032524358602</v>
      </c>
      <c r="Z973" s="141">
        <v>0.55079204047016728</v>
      </c>
    </row>
    <row r="974" spans="1:26" x14ac:dyDescent="0.2">
      <c r="A974" s="1">
        <v>972</v>
      </c>
      <c r="B974" s="2" t="s">
        <v>227</v>
      </c>
      <c r="C974" s="87" t="str">
        <f>HYPERLINK(AB2 &amp; "/flashlight/sn_e4581dced70ba14529b9c66a6c136299/rendering/00.obj", "5.49950073242")</f>
        <v>5.49950073242</v>
      </c>
      <c r="D974" s="74" t="str">
        <f>HYPERLINK(AB2 &amp; "/flashlight/sn_e4581dced70ba14529b9c66a6c136299/rendering/01.obj", "4.40749450684")</f>
        <v>4.40749450684</v>
      </c>
      <c r="E974" s="64" t="str">
        <f>HYPERLINK(AB2 &amp; "/flashlight/sn_e4581dced70ba14529b9c66a6c136299/rendering/02.obj", "5.21258300781")</f>
        <v>5.21258300781</v>
      </c>
      <c r="F974" s="118" t="str">
        <f>HYPERLINK(AB2 &amp; "/flashlight/sn_e4581dced70ba14529b9c66a6c136299/rendering/03.obj", "5.78465087891")</f>
        <v>5.78465087891</v>
      </c>
      <c r="G974" s="50" t="str">
        <f>HYPERLINK(AB2 &amp; "/flashlight/sn_e4581dced70ba14529b9c66a6c136299/rendering/04.obj", "3.58920166016")</f>
        <v>3.58920166016</v>
      </c>
      <c r="H974" s="80" t="str">
        <f>HYPERLINK(AB2 &amp; "/flashlight/sn_e4581dced70ba14529b9c66a6c136299/rendering/05.obj", "5.14472900391")</f>
        <v>5.14472900391</v>
      </c>
      <c r="I974" s="25" t="str">
        <f>HYPERLINK(AB2 &amp; "/flashlight/sn_e4581dced70ba14529b9c66a6c136299/rendering/06.obj", "4.53046142578")</f>
        <v>4.53046142578</v>
      </c>
      <c r="J974" s="41" t="str">
        <f>HYPERLINK(AB2 &amp; "/flashlight/sn_e4581dced70ba14529b9c66a6c136299/rendering/07.obj", "4.17116333008")</f>
        <v>4.17116333008</v>
      </c>
      <c r="K974" s="44" t="str">
        <f>HYPERLINK(AB2 &amp; "/flashlight/sn_e4581dced70ba14529b9c66a6c136299/rendering/08.obj", "3.59852783203")</f>
        <v>3.59852783203</v>
      </c>
      <c r="L974" s="42" t="str">
        <f>HYPERLINK(AB2 &amp; "/flashlight/sn_e4581dced70ba14529b9c66a6c136299/rendering/09.obj", "5.07966125488")</f>
        <v>5.07966125488</v>
      </c>
      <c r="M974" s="65" t="str">
        <f>HYPERLINK(AB2 &amp; "/flashlight/sn_e4581dced70ba14529b9c66a6c136299/rendering/10.obj", "3.88549987793")</f>
        <v>3.88549987793</v>
      </c>
      <c r="N974" s="133" t="str">
        <f>HYPERLINK(AB2 &amp; "/flashlight/sn_e4581dced70ba14529b9c66a6c136299/rendering/11.obj", "4.93796264648")</f>
        <v>4.93796264648</v>
      </c>
      <c r="O974" s="25" t="str">
        <f>HYPERLINK(AB2 &amp; "/flashlight/sn_e4581dced70ba14529b9c66a6c136299/rendering/12.obj", "4.42394683838")</f>
        <v>4.42394683838</v>
      </c>
      <c r="P974" s="8" t="str">
        <f>HYPERLINK(AB2 &amp; "/flashlight/sn_e4581dced70ba14529b9c66a6c136299/rendering/13.obj", "3.83208068848")</f>
        <v>3.83208068848</v>
      </c>
      <c r="Q974" s="30" t="str">
        <f>HYPERLINK(AB2 &amp; "/flashlight/sn_e4581dced70ba14529b9c66a6c136299/rendering/14.obj", "4.49997009277")</f>
        <v>4.49997009277</v>
      </c>
      <c r="R974" s="28" t="str">
        <f>HYPERLINK(AB2 &amp; "/flashlight/sn_e4581dced70ba14529b9c66a6c136299/rendering/15.obj", "3.97286193848")</f>
        <v>3.97286193848</v>
      </c>
      <c r="S974" s="69" t="str">
        <f>HYPERLINK(AB2 &amp; "/flashlight/sn_e4581dced70ba14529b9c66a6c136299/rendering/16.obj", "4.6073928833")</f>
        <v>4.6073928833</v>
      </c>
      <c r="T974" s="23" t="str">
        <f>HYPERLINK(AB2 &amp; "/flashlight/sn_e4581dced70ba14529b9c66a6c136299/rendering/17.obj", "4.64418334961")</f>
        <v>4.64418334961</v>
      </c>
      <c r="U974" s="23" t="str">
        <f>HYPERLINK(AB2 &amp; "/flashlight/sn_e4581dced70ba14529b9c66a6c136299/rendering/18.obj", "4.2961138916")</f>
        <v>4.2961138916</v>
      </c>
      <c r="V974" s="59" t="str">
        <f>HYPERLINK(AB2 &amp; "/flashlight/sn_e4581dced70ba14529b9c66a6c136299/rendering/19.obj", "3.39448303223")</f>
        <v>3.39448303223</v>
      </c>
      <c r="W974" s="12" t="s">
        <v>31</v>
      </c>
      <c r="X974" s="13">
        <v>4.4756234436035154</v>
      </c>
      <c r="Y974" s="13">
        <v>0.64233880312189706</v>
      </c>
      <c r="Z974" s="8">
        <v>0.1435194026521415</v>
      </c>
    </row>
    <row r="975" spans="1:26" x14ac:dyDescent="0.2">
      <c r="A975" s="1">
        <v>973</v>
      </c>
      <c r="B975" s="2" t="s">
        <v>227</v>
      </c>
      <c r="C975" s="135" t="str">
        <f>HYPERLINK(AB2 &amp; "/flashlight/sn_e4581dced70ba14529b9c66a6c136299/rendering/00.obj", "6.58211040497")</f>
        <v>6.58211040497</v>
      </c>
      <c r="D975" s="72" t="str">
        <f>HYPERLINK(AB2 &amp; "/flashlight/sn_e4581dced70ba14529b9c66a6c136299/rendering/01.obj", "5.05802822113")</f>
        <v>5.05802822113</v>
      </c>
      <c r="E975" s="49" t="str">
        <f>HYPERLINK(AB2 &amp; "/flashlight/sn_e4581dced70ba14529b9c66a6c136299/rendering/02.obj", "6.32954645157")</f>
        <v>6.32954645157</v>
      </c>
      <c r="F975" s="156" t="str">
        <f>HYPERLINK(AB2 &amp; "/flashlight/sn_e4581dced70ba14529b9c66a6c136299/rendering/03.obj", "7.58378124237")</f>
        <v>7.58378124237</v>
      </c>
      <c r="G975" s="36" t="str">
        <f>HYPERLINK(AB2 &amp; "/flashlight/sn_e4581dced70ba14529b9c66a6c136299/rendering/04.obj", "4.11833572388")</f>
        <v>4.11833572388</v>
      </c>
      <c r="H975" s="108" t="str">
        <f>HYPERLINK(AB2 &amp; "/flashlight/sn_e4581dced70ba14529b9c66a6c136299/rendering/05.obj", "6.52215862274")</f>
        <v>6.52215862274</v>
      </c>
      <c r="I975" s="74" t="str">
        <f>HYPERLINK(AB2 &amp; "/flashlight/sn_e4581dced70ba14529b9c66a6c136299/rendering/06.obj", "5.3122587204")</f>
        <v>5.3122587204</v>
      </c>
      <c r="J975" s="98" t="str">
        <f>HYPERLINK(AB2 &amp; "/flashlight/sn_e4581dced70ba14529b9c66a6c136299/rendering/07.obj", "4.03453969955")</f>
        <v>4.03453969955</v>
      </c>
      <c r="K975" s="87" t="str">
        <f>HYPERLINK(AB2 &amp; "/flashlight/sn_e4581dced70ba14529b9c66a6c136299/rendering/08.obj", "4.03884983063")</f>
        <v>4.03884983063</v>
      </c>
      <c r="L975" s="122" t="str">
        <f>HYPERLINK(AB2 &amp; "/flashlight/sn_e4581dced70ba14529b9c66a6c136299/rendering/09.obj", "7.34772396088")</f>
        <v>7.34772396088</v>
      </c>
      <c r="M975" s="77" t="str">
        <f>HYPERLINK(AB2 &amp; "/flashlight/sn_e4581dced70ba14529b9c66a6c136299/rendering/10.obj", "4.26160860062")</f>
        <v>4.26160860062</v>
      </c>
      <c r="N975" s="133" t="str">
        <f>HYPERLINK(AB2 &amp; "/flashlight/sn_e4581dced70ba14529b9c66a6c136299/rendering/11.obj", "5.77452898026")</f>
        <v>5.77452898026</v>
      </c>
      <c r="O975" s="39" t="str">
        <f>HYPERLINK(AB2 &amp; "/flashlight/sn_e4581dced70ba14529b9c66a6c136299/rendering/12.obj", "4.78227567673")</f>
        <v>4.78227567673</v>
      </c>
      <c r="P975" s="117" t="str">
        <f>HYPERLINK(AB2 &amp; "/flashlight/sn_e4581dced70ba14529b9c66a6c136299/rendering/13.obj", "4.29923629761")</f>
        <v>4.29923629761</v>
      </c>
      <c r="Q975" s="31" t="str">
        <f>HYPERLINK(AB2 &amp; "/flashlight/sn_e4581dced70ba14529b9c66a6c136299/rendering/14.obj", "4.41728591919")</f>
        <v>4.41728591919</v>
      </c>
      <c r="R975" s="84" t="str">
        <f>HYPERLINK(AB2 &amp; "/flashlight/sn_e4581dced70ba14529b9c66a6c136299/rendering/15.obj", "4.47264146805")</f>
        <v>4.47264146805</v>
      </c>
      <c r="S975" s="90" t="str">
        <f>HYPERLINK(AB2 &amp; "/flashlight/sn_e4581dced70ba14529b9c66a6c136299/rendering/16.obj", "5.72974967957")</f>
        <v>5.72974967957</v>
      </c>
      <c r="T975" s="71" t="str">
        <f>HYPERLINK(AB2 &amp; "/flashlight/sn_e4581dced70ba14529b9c66a6c136299/rendering/17.obj", "4.61824512482")</f>
        <v>4.61824512482</v>
      </c>
      <c r="U975" s="10" t="str">
        <f>HYPERLINK(AB2 &amp; "/flashlight/sn_e4581dced70ba14529b9c66a6c136299/rendering/18.obj", "5.51900100708")</f>
        <v>5.51900100708</v>
      </c>
      <c r="V975" s="170" t="str">
        <f>HYPERLINK(AB2 &amp; "/flashlight/sn_e4581dced70ba14529b9c66a6c136299/rendering/19.obj", "3.90677714348")</f>
        <v>3.90677714348</v>
      </c>
      <c r="W975" s="12" t="s">
        <v>32</v>
      </c>
      <c r="X975" s="13">
        <v>5.2354341387748722</v>
      </c>
      <c r="Y975" s="13">
        <v>1.1145634466054539</v>
      </c>
      <c r="Z975" s="120">
        <v>0.21288844765532089</v>
      </c>
    </row>
    <row r="976" spans="1:26" x14ac:dyDescent="0.2">
      <c r="A976" s="1">
        <v>974</v>
      </c>
      <c r="B976" s="2" t="s">
        <v>227</v>
      </c>
      <c r="C976" s="13" t="str">
        <f>HYPERLINK(AC2 &amp; "/flashlight/sn_e4581dced70ba14529b9c66a6c136299/rendering/00.xyz", "0.0")</f>
        <v>0.0</v>
      </c>
      <c r="D976" s="13" t="str">
        <f>HYPERLINK(AC2 &amp; "/flashlight/sn_e4581dced70ba14529b9c66a6c136299/rendering/01.xyz", "0.0")</f>
        <v>0.0</v>
      </c>
      <c r="E976" s="13" t="str">
        <f>HYPERLINK(AC2 &amp; "/flashlight/sn_e4581dced70ba14529b9c66a6c136299/rendering/02.xyz", "0.0")</f>
        <v>0.0</v>
      </c>
      <c r="F976" s="13" t="str">
        <f>HYPERLINK(AC2 &amp; "/flashlight/sn_e4581dced70ba14529b9c66a6c136299/rendering/03.xyz", "0.0")</f>
        <v>0.0</v>
      </c>
      <c r="G976" s="13" t="str">
        <f>HYPERLINK(AC2 &amp; "/flashlight/sn_e4581dced70ba14529b9c66a6c136299/rendering/04.xyz", "0.0")</f>
        <v>0.0</v>
      </c>
      <c r="H976" s="13" t="str">
        <f>HYPERLINK(AC2 &amp; "/flashlight/sn_e4581dced70ba14529b9c66a6c136299/rendering/05.xyz", "0.0")</f>
        <v>0.0</v>
      </c>
      <c r="I976" s="13" t="str">
        <f>HYPERLINK(AC2 &amp; "/flashlight/sn_e4581dced70ba14529b9c66a6c136299/rendering/06.xyz", "0.0")</f>
        <v>0.0</v>
      </c>
      <c r="J976" s="13" t="str">
        <f>HYPERLINK(AC2 &amp; "/flashlight/sn_e4581dced70ba14529b9c66a6c136299/rendering/07.xyz", "0.0")</f>
        <v>0.0</v>
      </c>
      <c r="K976" s="13" t="str">
        <f>HYPERLINK(AC2 &amp; "/flashlight/sn_e4581dced70ba14529b9c66a6c136299/rendering/08.xyz", "0.0")</f>
        <v>0.0</v>
      </c>
      <c r="L976" s="13" t="str">
        <f>HYPERLINK(AC2 &amp; "/flashlight/sn_e4581dced70ba14529b9c66a6c136299/rendering/09.xyz", "0.0")</f>
        <v>0.0</v>
      </c>
      <c r="M976" s="13" t="str">
        <f>HYPERLINK(AC2 &amp; "/flashlight/sn_e4581dced70ba14529b9c66a6c136299/rendering/10.xyz", "0.0")</f>
        <v>0.0</v>
      </c>
      <c r="N976" s="13" t="str">
        <f>HYPERLINK(AC2 &amp; "/flashlight/sn_e4581dced70ba14529b9c66a6c136299/rendering/11.xyz", "0.0")</f>
        <v>0.0</v>
      </c>
      <c r="O976" s="13" t="str">
        <f>HYPERLINK(AC2 &amp; "/flashlight/sn_e4581dced70ba14529b9c66a6c136299/rendering/12.xyz", "0.0")</f>
        <v>0.0</v>
      </c>
      <c r="P976" s="13" t="str">
        <f>HYPERLINK(AC2 &amp; "/flashlight/sn_e4581dced70ba14529b9c66a6c136299/rendering/13.xyz", "0.0")</f>
        <v>0.0</v>
      </c>
      <c r="Q976" s="13" t="str">
        <f>HYPERLINK(AC2 &amp; "/flashlight/sn_e4581dced70ba14529b9c66a6c136299/rendering/14.xyz", "0.0")</f>
        <v>0.0</v>
      </c>
      <c r="R976" s="13" t="str">
        <f>HYPERLINK(AC2 &amp; "/flashlight/sn_e4581dced70ba14529b9c66a6c136299/rendering/15.xyz", "0.0")</f>
        <v>0.0</v>
      </c>
      <c r="S976" s="13" t="str">
        <f>HYPERLINK(AC2 &amp; "/flashlight/sn_e4581dced70ba14529b9c66a6c136299/rendering/16.xyz", "0.0")</f>
        <v>0.0</v>
      </c>
      <c r="T976" s="13" t="str">
        <f>HYPERLINK(AC2 &amp; "/flashlight/sn_e4581dced70ba14529b9c66a6c136299/rendering/17.xyz", "0.0")</f>
        <v>0.0</v>
      </c>
      <c r="U976" s="13" t="str">
        <f>HYPERLINK(AC2 &amp; "/flashlight/sn_e4581dced70ba14529b9c66a6c136299/rendering/18.xyz", "0.0")</f>
        <v>0.0</v>
      </c>
      <c r="V976" s="13" t="str">
        <f>HYPERLINK(AC2 &amp; "/flashlight/sn_e4581dced70ba14529b9c66a6c136299/rendering/19.xyz", "0.0")</f>
        <v>0.0</v>
      </c>
      <c r="W976" s="12" t="s">
        <v>33</v>
      </c>
      <c r="X976" s="13">
        <v>0</v>
      </c>
      <c r="Y976" s="13">
        <v>0</v>
      </c>
      <c r="Z976" s="13">
        <v>0</v>
      </c>
    </row>
    <row r="977" spans="1:26" x14ac:dyDescent="0.2">
      <c r="A977" s="1">
        <v>975</v>
      </c>
      <c r="B977" s="2" t="s">
        <v>228</v>
      </c>
      <c r="C977" s="23" t="str">
        <f>HYPERLINK(AA2 &amp; "/flashlight/sn_e755e4a4c1f01a16ddde105aaa44e3ec/rendering/00.obj", "4.76614440918")</f>
        <v>4.76614440918</v>
      </c>
      <c r="D977" s="78" t="str">
        <f>HYPERLINK(AA2 &amp; "/flashlight/sn_e755e4a4c1f01a16ddde105aaa44e3ec/rendering/01.obj", "4.65215148926")</f>
        <v>4.65215148926</v>
      </c>
      <c r="E977" s="93" t="str">
        <f>HYPERLINK(AA2 &amp; "/flashlight/sn_e755e4a4c1f01a16ddde105aaa44e3ec/rendering/02.obj", "4.26536315918")</f>
        <v>4.26536315918</v>
      </c>
      <c r="F977" s="17" t="str">
        <f>HYPERLINK(AA2 &amp; "/flashlight/sn_e755e4a4c1f01a16ddde105aaa44e3ec/rendering/03.obj", "4.8620300293")</f>
        <v>4.8620300293</v>
      </c>
      <c r="G977" s="74" t="str">
        <f>HYPERLINK(AA2 &amp; "/flashlight/sn_e755e4a4c1f01a16ddde105aaa44e3ec/rendering/04.obj", "5.02961975098")</f>
        <v>5.02961975098</v>
      </c>
      <c r="H977" s="46" t="str">
        <f>HYPERLINK(AA2 &amp; "/flashlight/sn_e755e4a4c1f01a16ddde105aaa44e3ec/rendering/05.obj", "5.04954193115")</f>
        <v>5.04954193115</v>
      </c>
      <c r="I977" s="47" t="str">
        <f>HYPERLINK(AA2 &amp; "/flashlight/sn_e755e4a4c1f01a16ddde105aaa44e3ec/rendering/06.obj", "4.92620849609")</f>
        <v>4.92620849609</v>
      </c>
      <c r="J977" s="91" t="str">
        <f>HYPERLINK(AA2 &amp; "/flashlight/sn_e755e4a4c1f01a16ddde105aaa44e3ec/rendering/07.obj", "4.83593200684")</f>
        <v>4.83593200684</v>
      </c>
      <c r="K977" s="6" t="str">
        <f>HYPERLINK(AA2 &amp; "/flashlight/sn_e755e4a4c1f01a16ddde105aaa44e3ec/rendering/08.obj", "5.18141967773")</f>
        <v>5.18141967773</v>
      </c>
      <c r="L977" s="8" t="str">
        <f>HYPERLINK(AA2 &amp; "/flashlight/sn_e755e4a4c1f01a16ddde105aaa44e3ec/rendering/09.obj", "4.25092681885")</f>
        <v>4.25092681885</v>
      </c>
      <c r="M977" s="72" t="str">
        <f>HYPERLINK(AA2 &amp; "/flashlight/sn_e755e4a4c1f01a16ddde105aaa44e3ec/rendering/10.obj", "5.11955993652")</f>
        <v>5.11955993652</v>
      </c>
      <c r="N977" s="35" t="str">
        <f>HYPERLINK(AA2 &amp; "/flashlight/sn_e755e4a4c1f01a16ddde105aaa44e3ec/rendering/11.obj", "5.24090332031")</f>
        <v>5.24090332031</v>
      </c>
      <c r="O977" s="6" t="str">
        <f>HYPERLINK(AA2 &amp; "/flashlight/sn_e755e4a4c1f01a16ddde105aaa44e3ec/rendering/12.obj", "4.73071960449")</f>
        <v>4.73071960449</v>
      </c>
      <c r="P977" s="23" t="str">
        <f>HYPERLINK(AA2 &amp; "/flashlight/sn_e755e4a4c1f01a16ddde105aaa44e3ec/rendering/13.obj", "4.76871582031")</f>
        <v>4.76871582031</v>
      </c>
      <c r="Q977" s="13" t="str">
        <f>HYPERLINK(AA2 &amp; "/flashlight/sn_e755e4a4c1f01a16ddde105aaa44e3ec/rendering/14.obj", "4.95987304687")</f>
        <v>4.95987304687</v>
      </c>
      <c r="R977" s="60" t="str">
        <f>HYPERLINK(AA2 &amp; "/flashlight/sn_e755e4a4c1f01a16ddde105aaa44e3ec/rendering/15.obj", "5.22383666992")</f>
        <v>5.22383666992</v>
      </c>
      <c r="S977" s="15" t="str">
        <f>HYPERLINK(AA2 &amp; "/flashlight/sn_e755e4a4c1f01a16ddde105aaa44e3ec/rendering/16.obj", "7.46963500977")</f>
        <v>7.46963500977</v>
      </c>
      <c r="T977" s="37" t="str">
        <f>HYPERLINK(AA2 &amp; "/flashlight/sn_e755e4a4c1f01a16ddde105aaa44e3ec/rendering/17.obj", "4.09819396973")</f>
        <v>4.09819396973</v>
      </c>
      <c r="U977" s="133" t="str">
        <f>HYPERLINK(AA2 &amp; "/flashlight/sn_e755e4a4c1f01a16ddde105aaa44e3ec/rendering/18.obj", "4.44712402344")</f>
        <v>4.44712402344</v>
      </c>
      <c r="V977" s="5" t="str">
        <f>HYPERLINK(AA2 &amp; "/flashlight/sn_e755e4a4c1f01a16ddde105aaa44e3ec/rendering/19.obj", "5.33505004883")</f>
        <v>5.33505004883</v>
      </c>
      <c r="W977" s="12" t="s">
        <v>29</v>
      </c>
      <c r="X977" s="13">
        <v>4.9606474609375004</v>
      </c>
      <c r="Y977" s="13">
        <v>0.66758851210797976</v>
      </c>
      <c r="Z977" s="65">
        <v>0.1345768908927493</v>
      </c>
    </row>
    <row r="978" spans="1:26" x14ac:dyDescent="0.2">
      <c r="A978" s="1">
        <v>976</v>
      </c>
      <c r="B978" s="2" t="s">
        <v>228</v>
      </c>
      <c r="C978" s="70" t="str">
        <f>HYPERLINK(AA2 &amp; "/flashlight/sn_e755e4a4c1f01a16ddde105aaa44e3ec/rendering/00.obj", "3.96389603615")</f>
        <v>3.96389603615</v>
      </c>
      <c r="D978" s="82" t="str">
        <f>HYPERLINK(AA2 &amp; "/flashlight/sn_e755e4a4c1f01a16ddde105aaa44e3ec/rendering/01.obj", "3.61381936073")</f>
        <v>3.61381936073</v>
      </c>
      <c r="E978" s="7" t="str">
        <f>HYPERLINK(AA2 &amp; "/flashlight/sn_e755e4a4c1f01a16ddde105aaa44e3ec/rendering/02.obj", "3.27636528015")</f>
        <v>3.27636528015</v>
      </c>
      <c r="F978" s="107" t="str">
        <f>HYPERLINK(AA2 &amp; "/flashlight/sn_e755e4a4c1f01a16ddde105aaa44e3ec/rendering/03.obj", "4.16760110855")</f>
        <v>4.16760110855</v>
      </c>
      <c r="G978" s="80" t="str">
        <f>HYPERLINK(AA2 &amp; "/flashlight/sn_e755e4a4c1f01a16ddde105aaa44e3ec/rendering/04.obj", "5.21600627899")</f>
        <v>5.21600627899</v>
      </c>
      <c r="H978" s="66" t="str">
        <f>HYPERLINK(AA2 &amp; "/flashlight/sn_e755e4a4c1f01a16ddde105aaa44e3ec/rendering/05.obj", "5.28523683548")</f>
        <v>5.28523683548</v>
      </c>
      <c r="I978" s="24" t="str">
        <f>HYPERLINK(AA2 &amp; "/flashlight/sn_e755e4a4c1f01a16ddde105aaa44e3ec/rendering/06.obj", "3.78677964211")</f>
        <v>3.78677964211</v>
      </c>
      <c r="J978" s="129" t="str">
        <f>HYPERLINK(AA2 &amp; "/flashlight/sn_e755e4a4c1f01a16ddde105aaa44e3ec/rendering/07.obj", "5.67498445511")</f>
        <v>5.67498445511</v>
      </c>
      <c r="K978" s="76" t="str">
        <f>HYPERLINK(AA2 &amp; "/flashlight/sn_e755e4a4c1f01a16ddde105aaa44e3ec/rendering/08.obj", "3.71255087852")</f>
        <v>3.71255087852</v>
      </c>
      <c r="L978" s="136" t="str">
        <f>HYPERLINK(AA2 &amp; "/flashlight/sn_e755e4a4c1f01a16ddde105aaa44e3ec/rendering/09.obj", "3.46648788452")</f>
        <v>3.46648788452</v>
      </c>
      <c r="M978" s="48" t="str">
        <f>HYPERLINK(AA2 &amp; "/flashlight/sn_e755e4a4c1f01a16ddde105aaa44e3ec/rendering/10.obj", "4.43395853043")</f>
        <v>4.43395853043</v>
      </c>
      <c r="N978" s="48" t="str">
        <f>HYPERLINK(AA2 &amp; "/flashlight/sn_e755e4a4c1f01a16ddde105aaa44e3ec/rendering/11.obj", "4.64842128754")</f>
        <v>4.64842128754</v>
      </c>
      <c r="O978" s="41" t="str">
        <f>HYPERLINK(AA2 &amp; "/flashlight/sn_e755e4a4c1f01a16ddde105aaa44e3ec/rendering/12.obj", "4.23742437363")</f>
        <v>4.23742437363</v>
      </c>
      <c r="P978" s="68" t="str">
        <f>HYPERLINK(AA2 &amp; "/flashlight/sn_e755e4a4c1f01a16ddde105aaa44e3ec/rendering/13.obj", "4.34576797485")</f>
        <v>4.34576797485</v>
      </c>
      <c r="Q978" s="92" t="str">
        <f>HYPERLINK(AA2 &amp; "/flashlight/sn_e755e4a4c1f01a16ddde105aaa44e3ec/rendering/14.obj", "3.98716330528")</f>
        <v>3.98716330528</v>
      </c>
      <c r="R978" s="72" t="str">
        <f>HYPERLINK(AA2 &amp; "/flashlight/sn_e755e4a4c1f01a16ddde105aaa44e3ec/rendering/15.obj", "4.39087867737")</f>
        <v>4.39087867737</v>
      </c>
      <c r="S978" s="20" t="str">
        <f>HYPERLINK(AA2 &amp; "/flashlight/sn_e755e4a4c1f01a16ddde105aaa44e3ec/rendering/16.obj", "9.43569850922")</f>
        <v>9.43569850922</v>
      </c>
      <c r="T978" s="108" t="str">
        <f>HYPERLINK(AA2 &amp; "/flashlight/sn_e755e4a4c1f01a16ddde105aaa44e3ec/rendering/17.obj", "3.42882704735")</f>
        <v>3.42882704735</v>
      </c>
      <c r="U978" s="41" t="str">
        <f>HYPERLINK(AA2 &amp; "/flashlight/sn_e755e4a4c1f01a16ddde105aaa44e3ec/rendering/18.obj", "4.2440662384")</f>
        <v>4.2440662384</v>
      </c>
      <c r="V978" s="98" t="str">
        <f>HYPERLINK(AA2 &amp; "/flashlight/sn_e755e4a4c1f01a16ddde105aaa44e3ec/rendering/19.obj", "5.59168577194")</f>
        <v>5.59168577194</v>
      </c>
      <c r="W978" s="12" t="s">
        <v>30</v>
      </c>
      <c r="X978" s="13">
        <v>4.5453809738159183</v>
      </c>
      <c r="Y978" s="13">
        <v>1.313504984259769</v>
      </c>
      <c r="Z978" s="14">
        <v>0.2889757738298141</v>
      </c>
    </row>
    <row r="979" spans="1:26" x14ac:dyDescent="0.2">
      <c r="A979" s="1">
        <v>977</v>
      </c>
      <c r="B979" s="2" t="s">
        <v>228</v>
      </c>
      <c r="C979" s="48" t="str">
        <f>HYPERLINK(AB2 &amp; "/flashlight/sn_e755e4a4c1f01a16ddde105aaa44e3ec/rendering/00.obj", "4.46745483398")</f>
        <v>4.46745483398</v>
      </c>
      <c r="D979" s="110" t="str">
        <f>HYPERLINK(AB2 &amp; "/flashlight/sn_e755e4a4c1f01a16ddde105aaa44e3ec/rendering/01.obj", "4.7991986084")</f>
        <v>4.7991986084</v>
      </c>
      <c r="E979" s="36" t="str">
        <f>HYPERLINK(AB2 &amp; "/flashlight/sn_e755e4a4c1f01a16ddde105aaa44e3ec/rendering/02.obj", "5.29822753906")</f>
        <v>5.29822753906</v>
      </c>
      <c r="F979" s="68" t="str">
        <f>HYPERLINK(AB2 &amp; "/flashlight/sn_e755e4a4c1f01a16ddde105aaa44e3ec/rendering/03.obj", "4.18671203613")</f>
        <v>4.18671203613</v>
      </c>
      <c r="G979" s="72" t="str">
        <f>HYPERLINK(AB2 &amp; "/flashlight/sn_e755e4a4c1f01a16ddde105aaa44e3ec/rendering/04.obj", "4.22351318359")</f>
        <v>4.22351318359</v>
      </c>
      <c r="H979" s="77" t="str">
        <f>HYPERLINK(AB2 &amp; "/flashlight/sn_e755e4a4c1f01a16ddde105aaa44e3ec/rendering/05.obj", "3.55256652832")</f>
        <v>3.55256652832</v>
      </c>
      <c r="I979" s="35" t="str">
        <f>HYPERLINK(AB2 &amp; "/flashlight/sn_e755e4a4c1f01a16ddde105aaa44e3ec/rendering/06.obj", "4.62386169434")</f>
        <v>4.62386169434</v>
      </c>
      <c r="J979" s="91" t="str">
        <f>HYPERLINK(AB2 &amp; "/flashlight/sn_e755e4a4c1f01a16ddde105aaa44e3ec/rendering/07.obj", "4.48422119141")</f>
        <v>4.48422119141</v>
      </c>
      <c r="K979" s="36" t="str">
        <f>HYPERLINK(AB2 &amp; "/flashlight/sn_e755e4a4c1f01a16ddde105aaa44e3ec/rendering/08.obj", "5.30606567383")</f>
        <v>5.30606567383</v>
      </c>
      <c r="L979" s="78" t="str">
        <f>HYPERLINK(AB2 &amp; "/flashlight/sn_e755e4a4c1f01a16ddde105aaa44e3ec/rendering/09.obj", "4.62690429687")</f>
        <v>4.62690429687</v>
      </c>
      <c r="M979" s="71" t="str">
        <f>HYPERLINK(AB2 &amp; "/flashlight/sn_e755e4a4c1f01a16ddde105aaa44e3ec/rendering/10.obj", "3.85034118652")</f>
        <v>3.85034118652</v>
      </c>
      <c r="N979" s="17" t="str">
        <f>HYPERLINK(AB2 &amp; "/flashlight/sn_e755e4a4c1f01a16ddde105aaa44e3ec/rendering/11.obj", "4.27439605713")</f>
        <v>4.27439605713</v>
      </c>
      <c r="O979" s="108" t="str">
        <f>HYPERLINK(AB2 &amp; "/flashlight/sn_e755e4a4c1f01a16ddde105aaa44e3ec/rendering/12.obj", "5.44486877441")</f>
        <v>5.44486877441</v>
      </c>
      <c r="P979" s="94" t="str">
        <f>HYPERLINK(AB2 &amp; "/flashlight/sn_e755e4a4c1f01a16ddde105aaa44e3ec/rendering/13.obj", "4.69304504395")</f>
        <v>4.69304504395</v>
      </c>
      <c r="Q979" s="68" t="str">
        <f>HYPERLINK(AB2 &amp; "/flashlight/sn_e755e4a4c1f01a16ddde105aaa44e3ec/rendering/14.obj", "4.55643798828")</f>
        <v>4.55643798828</v>
      </c>
      <c r="R979" s="10" t="str">
        <f>HYPERLINK(AB2 &amp; "/flashlight/sn_e755e4a4c1f01a16ddde105aaa44e3ec/rendering/15.obj", "4.60420318604")</f>
        <v>4.60420318604</v>
      </c>
      <c r="S979" s="86" t="str">
        <f>HYPERLINK(AB2 &amp; "/flashlight/sn_e755e4a4c1f01a16ddde105aaa44e3ec/rendering/16.obj", "3.19018798828")</f>
        <v>3.19018798828</v>
      </c>
      <c r="T979" s="44" t="str">
        <f>HYPERLINK(AB2 &amp; "/flashlight/sn_e755e4a4c1f01a16ddde105aaa44e3ec/rendering/17.obj", "3.50327026367")</f>
        <v>3.50327026367</v>
      </c>
      <c r="U979" s="65" t="str">
        <f>HYPERLINK(AB2 &amp; "/flashlight/sn_e755e4a4c1f01a16ddde105aaa44e3ec/rendering/18.obj", "3.78750427246")</f>
        <v>3.78750427246</v>
      </c>
      <c r="V979" s="71" t="str">
        <f>HYPERLINK(AB2 &amp; "/flashlight/sn_e755e4a4c1f01a16ddde105aaa44e3ec/rendering/19.obj", "3.84573944092")</f>
        <v>3.84573944092</v>
      </c>
      <c r="W979" s="12" t="s">
        <v>31</v>
      </c>
      <c r="X979" s="13">
        <v>4.3659359893798833</v>
      </c>
      <c r="Y979" s="13">
        <v>0.59932337432917748</v>
      </c>
      <c r="Z979" s="42">
        <v>0.1372725976255787</v>
      </c>
    </row>
    <row r="980" spans="1:26" x14ac:dyDescent="0.2">
      <c r="A980" s="1">
        <v>978</v>
      </c>
      <c r="B980" s="2" t="s">
        <v>228</v>
      </c>
      <c r="C980" s="46" t="str">
        <f>HYPERLINK(AB2 &amp; "/flashlight/sn_e755e4a4c1f01a16ddde105aaa44e3ec/rendering/00.obj", "3.80717015266")</f>
        <v>3.80717015266</v>
      </c>
      <c r="D980" s="68" t="str">
        <f>HYPERLINK(AB2 &amp; "/flashlight/sn_e755e4a4c1f01a16ddde105aaa44e3ec/rendering/01.obj", "3.71200656891")</f>
        <v>3.71200656891</v>
      </c>
      <c r="E980" s="4" t="str">
        <f>HYPERLINK(AB2 &amp; "/flashlight/sn_e755e4a4c1f01a16ddde105aaa44e3ec/rendering/02.obj", "4.96955537796")</f>
        <v>4.96955537796</v>
      </c>
      <c r="F980" s="66" t="str">
        <f>HYPERLINK(AB2 &amp; "/flashlight/sn_e755e4a4c1f01a16ddde105aaa44e3ec/rendering/03.obj", "3.24402308464")</f>
        <v>3.24402308464</v>
      </c>
      <c r="G980" s="106" t="str">
        <f>HYPERLINK(AB2 &amp; "/flashlight/sn_e755e4a4c1f01a16ddde105aaa44e3ec/rendering/04.obj", "3.42805624008")</f>
        <v>3.42805624008</v>
      </c>
      <c r="H980" s="6" t="str">
        <f>HYPERLINK(AB2 &amp; "/flashlight/sn_e755e4a4c1f01a16ddde105aaa44e3ec/rendering/05.obj", "3.69369292259")</f>
        <v>3.69369292259</v>
      </c>
      <c r="I980" s="33" t="str">
        <f>HYPERLINK(AB2 &amp; "/flashlight/sn_e755e4a4c1f01a16ddde105aaa44e3ec/rendering/06.obj", "3.45625543594")</f>
        <v>3.45625543594</v>
      </c>
      <c r="J980" s="30" t="str">
        <f>HYPERLINK(AB2 &amp; "/flashlight/sn_e755e4a4c1f01a16ddde105aaa44e3ec/rendering/07.obj", "3.89797949791")</f>
        <v>3.89797949791</v>
      </c>
      <c r="K980" s="40" t="str">
        <f>HYPERLINK(AB2 &amp; "/flashlight/sn_e755e4a4c1f01a16ddde105aaa44e3ec/rendering/08.obj", "4.53245687485")</f>
        <v>4.53245687485</v>
      </c>
      <c r="L980" s="25" t="str">
        <f>HYPERLINK(AB2 &amp; "/flashlight/sn_e755e4a4c1f01a16ddde105aaa44e3ec/rendering/09.obj", "3.83592629433")</f>
        <v>3.83592629433</v>
      </c>
      <c r="M980" s="27" t="str">
        <f>HYPERLINK(AB2 &amp; "/flashlight/sn_e755e4a4c1f01a16ddde105aaa44e3ec/rendering/10.obj", "3.59869861603")</f>
        <v>3.59869861603</v>
      </c>
      <c r="N980" s="65" t="str">
        <f>HYPERLINK(AB2 &amp; "/flashlight/sn_e755e4a4c1f01a16ddde105aaa44e3ec/rendering/11.obj", "3.35993146896")</f>
        <v>3.35993146896</v>
      </c>
      <c r="O980" s="181" t="str">
        <f>HYPERLINK(AB2 &amp; "/flashlight/sn_e755e4a4c1f01a16ddde105aaa44e3ec/rendering/12.obj", "5.59287261963")</f>
        <v>5.59287261963</v>
      </c>
      <c r="P980" s="74" t="str">
        <f>HYPERLINK(AB2 &amp; "/flashlight/sn_e755e4a4c1f01a16ddde105aaa44e3ec/rendering/13.obj", "3.93537831306")</f>
        <v>3.93537831306</v>
      </c>
      <c r="Q980" s="34" t="str">
        <f>HYPERLINK(AB2 &amp; "/flashlight/sn_e755e4a4c1f01a16ddde105aaa44e3ec/rendering/14.obj", "3.6898086071")</f>
        <v>3.6898086071</v>
      </c>
      <c r="R980" s="78" t="str">
        <f>HYPERLINK(AB2 &amp; "/flashlight/sn_e755e4a4c1f01a16ddde105aaa44e3ec/rendering/15.obj", "4.11006593704")</f>
        <v>4.11006593704</v>
      </c>
      <c r="S980" s="38" t="str">
        <f>HYPERLINK(AB2 &amp; "/flashlight/sn_e755e4a4c1f01a16ddde105aaa44e3ec/rendering/16.obj", "3.53457260132")</f>
        <v>3.53457260132</v>
      </c>
      <c r="T980" s="35" t="str">
        <f>HYPERLINK(AB2 &amp; "/flashlight/sn_e755e4a4c1f01a16ddde105aaa44e3ec/rendering/17.obj", "3.65076088905")</f>
        <v>3.65076088905</v>
      </c>
      <c r="U980" s="68" t="str">
        <f>HYPERLINK(AB2 &amp; "/flashlight/sn_e755e4a4c1f01a16ddde105aaa44e3ec/rendering/18.obj", "3.70697641373")</f>
        <v>3.70697641373</v>
      </c>
      <c r="V980" s="72" t="str">
        <f>HYPERLINK(AB2 &amp; "/flashlight/sn_e755e4a4c1f01a16ddde105aaa44e3ec/rendering/19.obj", "3.75056505203")</f>
        <v>3.75056505203</v>
      </c>
      <c r="W980" s="12" t="s">
        <v>32</v>
      </c>
      <c r="X980" s="13">
        <v>3.875337648391723</v>
      </c>
      <c r="Y980" s="13">
        <v>0.55070150264351692</v>
      </c>
      <c r="Z980" s="8">
        <v>0.1421041345576842</v>
      </c>
    </row>
    <row r="981" spans="1:26" x14ac:dyDescent="0.2">
      <c r="A981" s="1">
        <v>979</v>
      </c>
      <c r="B981" s="2" t="s">
        <v>228</v>
      </c>
      <c r="C981" s="13" t="str">
        <f>HYPERLINK(AC2 &amp; "/flashlight/sn_e755e4a4c1f01a16ddde105aaa44e3ec/rendering/00.xyz", "0.0")</f>
        <v>0.0</v>
      </c>
      <c r="D981" s="13" t="str">
        <f>HYPERLINK(AC2 &amp; "/flashlight/sn_e755e4a4c1f01a16ddde105aaa44e3ec/rendering/01.xyz", "0.0")</f>
        <v>0.0</v>
      </c>
      <c r="E981" s="13" t="str">
        <f>HYPERLINK(AC2 &amp; "/flashlight/sn_e755e4a4c1f01a16ddde105aaa44e3ec/rendering/02.xyz", "0.0")</f>
        <v>0.0</v>
      </c>
      <c r="F981" s="13" t="str">
        <f>HYPERLINK(AC2 &amp; "/flashlight/sn_e755e4a4c1f01a16ddde105aaa44e3ec/rendering/03.xyz", "0.0")</f>
        <v>0.0</v>
      </c>
      <c r="G981" s="13" t="str">
        <f>HYPERLINK(AC2 &amp; "/flashlight/sn_e755e4a4c1f01a16ddde105aaa44e3ec/rendering/04.xyz", "0.0")</f>
        <v>0.0</v>
      </c>
      <c r="H981" s="13" t="str">
        <f>HYPERLINK(AC2 &amp; "/flashlight/sn_e755e4a4c1f01a16ddde105aaa44e3ec/rendering/05.xyz", "0.0")</f>
        <v>0.0</v>
      </c>
      <c r="I981" s="13" t="str">
        <f>HYPERLINK(AC2 &amp; "/flashlight/sn_e755e4a4c1f01a16ddde105aaa44e3ec/rendering/06.xyz", "0.0")</f>
        <v>0.0</v>
      </c>
      <c r="J981" s="13" t="str">
        <f>HYPERLINK(AC2 &amp; "/flashlight/sn_e755e4a4c1f01a16ddde105aaa44e3ec/rendering/07.xyz", "0.0")</f>
        <v>0.0</v>
      </c>
      <c r="K981" s="13" t="str">
        <f>HYPERLINK(AC2 &amp; "/flashlight/sn_e755e4a4c1f01a16ddde105aaa44e3ec/rendering/08.xyz", "0.0")</f>
        <v>0.0</v>
      </c>
      <c r="L981" s="13" t="str">
        <f>HYPERLINK(AC2 &amp; "/flashlight/sn_e755e4a4c1f01a16ddde105aaa44e3ec/rendering/09.xyz", "0.0")</f>
        <v>0.0</v>
      </c>
      <c r="M981" s="13" t="str">
        <f>HYPERLINK(AC2 &amp; "/flashlight/sn_e755e4a4c1f01a16ddde105aaa44e3ec/rendering/10.xyz", "0.0")</f>
        <v>0.0</v>
      </c>
      <c r="N981" s="13" t="str">
        <f>HYPERLINK(AC2 &amp; "/flashlight/sn_e755e4a4c1f01a16ddde105aaa44e3ec/rendering/11.xyz", "0.0")</f>
        <v>0.0</v>
      </c>
      <c r="O981" s="13" t="str">
        <f>HYPERLINK(AC2 &amp; "/flashlight/sn_e755e4a4c1f01a16ddde105aaa44e3ec/rendering/12.xyz", "0.0")</f>
        <v>0.0</v>
      </c>
      <c r="P981" s="13" t="str">
        <f>HYPERLINK(AC2 &amp; "/flashlight/sn_e755e4a4c1f01a16ddde105aaa44e3ec/rendering/13.xyz", "0.0")</f>
        <v>0.0</v>
      </c>
      <c r="Q981" s="13" t="str">
        <f>HYPERLINK(AC2 &amp; "/flashlight/sn_e755e4a4c1f01a16ddde105aaa44e3ec/rendering/14.xyz", "0.0")</f>
        <v>0.0</v>
      </c>
      <c r="R981" s="13" t="str">
        <f>HYPERLINK(AC2 &amp; "/flashlight/sn_e755e4a4c1f01a16ddde105aaa44e3ec/rendering/15.xyz", "0.0")</f>
        <v>0.0</v>
      </c>
      <c r="S981" s="13" t="str">
        <f>HYPERLINK(AC2 &amp; "/flashlight/sn_e755e4a4c1f01a16ddde105aaa44e3ec/rendering/16.xyz", "0.0")</f>
        <v>0.0</v>
      </c>
      <c r="T981" s="13" t="str">
        <f>HYPERLINK(AC2 &amp; "/flashlight/sn_e755e4a4c1f01a16ddde105aaa44e3ec/rendering/17.xyz", "0.0")</f>
        <v>0.0</v>
      </c>
      <c r="U981" s="13" t="str">
        <f>HYPERLINK(AC2 &amp; "/flashlight/sn_e755e4a4c1f01a16ddde105aaa44e3ec/rendering/18.xyz", "0.0")</f>
        <v>0.0</v>
      </c>
      <c r="V981" s="13" t="str">
        <f>HYPERLINK(AC2 &amp; "/flashlight/sn_e755e4a4c1f01a16ddde105aaa44e3ec/rendering/19.xyz", "0.0")</f>
        <v>0.0</v>
      </c>
      <c r="W981" s="12" t="s">
        <v>33</v>
      </c>
      <c r="X981" s="13">
        <v>0</v>
      </c>
      <c r="Y981" s="13">
        <v>0</v>
      </c>
      <c r="Z981" s="13">
        <v>0</v>
      </c>
    </row>
    <row r="982" spans="1:26" x14ac:dyDescent="0.2">
      <c r="A982" s="1">
        <v>980</v>
      </c>
      <c r="B982" s="2" t="s">
        <v>229</v>
      </c>
      <c r="C982" s="230" t="str">
        <f>HYPERLINK(AA2 &amp; "/flashlight/sn_e9b98bccac1c7c6cc7be5a77064d8875/rendering/00.obj", "11.0946936035")</f>
        <v>11.0946936035</v>
      </c>
      <c r="D982" s="111" t="str">
        <f>HYPERLINK(AA2 &amp; "/flashlight/sn_e9b98bccac1c7c6cc7be5a77064d8875/rendering/01.obj", "10.8393774414")</f>
        <v>10.8393774414</v>
      </c>
      <c r="E982" s="24" t="str">
        <f>HYPERLINK(AA2 &amp; "/flashlight/sn_e9b98bccac1c7c6cc7be5a77064d8875/rendering/02.obj", "8.90069213867")</f>
        <v>8.90069213867</v>
      </c>
      <c r="F982" s="137" t="str">
        <f>HYPERLINK(AA2 &amp; "/flashlight/sn_e9b98bccac1c7c6cc7be5a77064d8875/rendering/03.obj", "10.3933679199")</f>
        <v>10.3933679199</v>
      </c>
      <c r="G982" s="157" t="str">
        <f>HYPERLINK(AA2 &amp; "/flashlight/sn_e9b98bccac1c7c6cc7be5a77064d8875/rendering/04.obj", "4.4602722168")</f>
        <v>4.4602722168</v>
      </c>
      <c r="H982" s="86" t="str">
        <f>HYPERLINK(AA2 &amp; "/flashlight/sn_e9b98bccac1c7c6cc7be5a77064d8875/rendering/05.obj", "5.58358764648")</f>
        <v>5.58358764648</v>
      </c>
      <c r="I982" s="145" t="str">
        <f>HYPERLINK(AA2 &amp; "/flashlight/sn_e9b98bccac1c7c6cc7be5a77064d8875/rendering/06.obj", "3.88233947754")</f>
        <v>3.88233947754</v>
      </c>
      <c r="J982" s="147" t="str">
        <f>HYPERLINK(AA2 &amp; "/flashlight/sn_e9b98bccac1c7c6cc7be5a77064d8875/rendering/07.obj", "3.90723937988")</f>
        <v>3.90723937988</v>
      </c>
      <c r="K982" s="20" t="str">
        <f>HYPERLINK(AA2 &amp; "/flashlight/sn_e9b98bccac1c7c6cc7be5a77064d8875/rendering/08.obj", "18.1023974609")</f>
        <v>18.1023974609</v>
      </c>
      <c r="L982" s="15" t="str">
        <f>HYPERLINK(AA2 &amp; "/flashlight/sn_e9b98bccac1c7c6cc7be5a77064d8875/rendering/09.obj", "3.74632080078")</f>
        <v>3.74632080078</v>
      </c>
      <c r="M982" s="64" t="str">
        <f>HYPERLINK(AA2 &amp; "/flashlight/sn_e9b98bccac1c7c6cc7be5a77064d8875/rendering/10.obj", "6.35297119141")</f>
        <v>6.35297119141</v>
      </c>
      <c r="N982" s="191" t="str">
        <f>HYPERLINK(AA2 &amp; "/flashlight/sn_e9b98bccac1c7c6cc7be5a77064d8875/rendering/11.obj", "4.16946838379")</f>
        <v>4.16946838379</v>
      </c>
      <c r="O982" s="148" t="str">
        <f>HYPERLINK(AA2 &amp; "/flashlight/sn_e9b98bccac1c7c6cc7be5a77064d8875/rendering/12.obj", "3.92908599854")</f>
        <v>3.92908599854</v>
      </c>
      <c r="P982" s="41" t="str">
        <f>HYPERLINK(AA2 &amp; "/flashlight/sn_e9b98bccac1c7c6cc7be5a77064d8875/rendering/13.obj", "7.11102294922")</f>
        <v>7.11102294922</v>
      </c>
      <c r="Q982" s="160" t="str">
        <f>HYPERLINK(AA2 &amp; "/flashlight/sn_e9b98bccac1c7c6cc7be5a77064d8875/rendering/14.obj", "3.5815927124")</f>
        <v>3.5815927124</v>
      </c>
      <c r="R982" s="60" t="str">
        <f>HYPERLINK(AA2 &amp; "/flashlight/sn_e9b98bccac1c7c6cc7be5a77064d8875/rendering/15.obj", "7.21181518555")</f>
        <v>7.21181518555</v>
      </c>
      <c r="S982" s="132" t="str">
        <f>HYPERLINK(AA2 &amp; "/flashlight/sn_e9b98bccac1c7c6cc7be5a77064d8875/rendering/16.obj", "10.8086816406")</f>
        <v>10.8086816406</v>
      </c>
      <c r="T982" s="20" t="str">
        <f>HYPERLINK(AA2 &amp; "/flashlight/sn_e9b98bccac1c7c6cc7be5a77064d8875/rendering/17.obj", "18.4405371094")</f>
        <v>18.4405371094</v>
      </c>
      <c r="U982" s="81" t="str">
        <f>HYPERLINK(AA2 &amp; "/flashlight/sn_e9b98bccac1c7c6cc7be5a77064d8875/rendering/18.obj", "5.95461914062")</f>
        <v>5.95461914062</v>
      </c>
      <c r="V982" s="145" t="str">
        <f>HYPERLINK(AA2 &amp; "/flashlight/sn_e9b98bccac1c7c6cc7be5a77064d8875/rendering/19.obj", "3.87579864502")</f>
        <v>3.87579864502</v>
      </c>
      <c r="W982" s="12" t="s">
        <v>29</v>
      </c>
      <c r="X982" s="13">
        <v>7.6172940521240218</v>
      </c>
      <c r="Y982" s="13">
        <v>4.3957599770987876</v>
      </c>
      <c r="Z982" s="231">
        <v>0.5770763143734835</v>
      </c>
    </row>
    <row r="983" spans="1:26" x14ac:dyDescent="0.2">
      <c r="A983" s="1">
        <v>981</v>
      </c>
      <c r="B983" s="2" t="s">
        <v>229</v>
      </c>
      <c r="C983" s="126" t="str">
        <f>HYPERLINK(AA2 &amp; "/flashlight/sn_e9b98bccac1c7c6cc7be5a77064d8875/rendering/00.obj", "17.7982769012")</f>
        <v>17.7982769012</v>
      </c>
      <c r="D983" s="20" t="str">
        <f>HYPERLINK(AA2 &amp; "/flashlight/sn_e9b98bccac1c7c6cc7be5a77064d8875/rendering/01.obj", "22.1184768677")</f>
        <v>22.1184768677</v>
      </c>
      <c r="E983" s="129" t="str">
        <f>HYPERLINK(AA2 &amp; "/flashlight/sn_e9b98bccac1c7c6cc7be5a77064d8875/rendering/02.obj", "14.8386087418")</f>
        <v>14.8386087418</v>
      </c>
      <c r="F983" s="130" t="str">
        <f>HYPERLINK(AA2 &amp; "/flashlight/sn_e9b98bccac1c7c6cc7be5a77064d8875/rendering/03.obj", "17.211687088")</f>
        <v>17.211687088</v>
      </c>
      <c r="G983" s="214" t="str">
        <f>HYPERLINK(AA2 &amp; "/flashlight/sn_e9b98bccac1c7c6cc7be5a77064d8875/rendering/04.obj", "4.56612348557")</f>
        <v>4.56612348557</v>
      </c>
      <c r="H983" s="161" t="str">
        <f>HYPERLINK(AA2 &amp; "/flashlight/sn_e9b98bccac1c7c6cc7be5a77064d8875/rendering/05.obj", "4.9233212471")</f>
        <v>4.9233212471</v>
      </c>
      <c r="I983" s="248" t="str">
        <f>HYPERLINK(AA2 &amp; "/flashlight/sn_e9b98bccac1c7c6cc7be5a77064d8875/rendering/06.obj", "4.01500511169")</f>
        <v>4.01500511169</v>
      </c>
      <c r="J983" s="233" t="str">
        <f>HYPERLINK(AA2 &amp; "/flashlight/sn_e9b98bccac1c7c6cc7be5a77064d8875/rendering/07.obj", "3.53802728653")</f>
        <v>3.53802728653</v>
      </c>
      <c r="K983" s="20" t="str">
        <f>HYPERLINK(AA2 &amp; "/flashlight/sn_e9b98bccac1c7c6cc7be5a77064d8875/rendering/08.obj", "42.6079940796")</f>
        <v>42.6079940796</v>
      </c>
      <c r="L983" s="255" t="str">
        <f>HYPERLINK(AA2 &amp; "/flashlight/sn_e9b98bccac1c7c6cc7be5a77064d8875/rendering/09.obj", "3.29039025307")</f>
        <v>3.29039025307</v>
      </c>
      <c r="M983" s="227" t="str">
        <f>HYPERLINK(AA2 &amp; "/flashlight/sn_e9b98bccac1c7c6cc7be5a77064d8875/rendering/10.obj", "5.8204035759")</f>
        <v>5.8204035759</v>
      </c>
      <c r="N983" s="248" t="str">
        <f>HYPERLINK(AA2 &amp; "/flashlight/sn_e9b98bccac1c7c6cc7be5a77064d8875/rendering/11.obj", "4.02518796921")</f>
        <v>4.02518796921</v>
      </c>
      <c r="O983" s="186" t="str">
        <f>HYPERLINK(AA2 &amp; "/flashlight/sn_e9b98bccac1c7c6cc7be5a77064d8875/rendering/12.obj", "4.72208690643")</f>
        <v>4.72208690643</v>
      </c>
      <c r="P983" s="114" t="str">
        <f>HYPERLINK(AA2 &amp; "/flashlight/sn_e9b98bccac1c7c6cc7be5a77064d8875/rendering/13.obj", "6.40119218826")</f>
        <v>6.40119218826</v>
      </c>
      <c r="Q983" s="183" t="str">
        <f>HYPERLINK(AA2 &amp; "/flashlight/sn_e9b98bccac1c7c6cc7be5a77064d8875/rendering/14.obj", "2.95700144768")</f>
        <v>2.95700144768</v>
      </c>
      <c r="R983" s="95" t="str">
        <f>HYPERLINK(AA2 &amp; "/flashlight/sn_e9b98bccac1c7c6cc7be5a77064d8875/rendering/15.obj", "8.54204368591")</f>
        <v>8.54204368591</v>
      </c>
      <c r="S983" s="140" t="str">
        <f>HYPERLINK(AA2 &amp; "/flashlight/sn_e9b98bccac1c7c6cc7be5a77064d8875/rendering/16.obj", "16.0023117065")</f>
        <v>16.0023117065</v>
      </c>
      <c r="T983" s="20" t="str">
        <f>HYPERLINK(AA2 &amp; "/flashlight/sn_e9b98bccac1c7c6cc7be5a77064d8875/rendering/17.obj", "42.1296272278")</f>
        <v>42.1296272278</v>
      </c>
      <c r="U983" s="43" t="str">
        <f>HYPERLINK(AA2 &amp; "/flashlight/sn_e9b98bccac1c7c6cc7be5a77064d8875/rendering/18.obj", "7.43647098541")</f>
        <v>7.43647098541</v>
      </c>
      <c r="V983" s="189" t="str">
        <f>HYPERLINK(AA2 &amp; "/flashlight/sn_e9b98bccac1c7c6cc7be5a77064d8875/rendering/19.obj", "4.44168806076")</f>
        <v>4.44168806076</v>
      </c>
      <c r="W983" s="12" t="s">
        <v>30</v>
      </c>
      <c r="X983" s="13">
        <v>11.86929624080658</v>
      </c>
      <c r="Y983" s="13">
        <v>11.631626577323109</v>
      </c>
      <c r="Z983" s="20">
        <v>0.97997609473539238</v>
      </c>
    </row>
    <row r="984" spans="1:26" x14ac:dyDescent="0.2">
      <c r="A984" s="1">
        <v>982</v>
      </c>
      <c r="B984" s="2" t="s">
        <v>229</v>
      </c>
      <c r="C984" s="60" t="str">
        <f>HYPERLINK(AB2 &amp; "/flashlight/sn_e9b98bccac1c7c6cc7be5a77064d8875/rendering/00.obj", "4.39490722656")</f>
        <v>4.39490722656</v>
      </c>
      <c r="D984" s="99" t="str">
        <f>HYPERLINK(AB2 &amp; "/flashlight/sn_e9b98bccac1c7c6cc7be5a77064d8875/rendering/01.obj", "5.3071472168")</f>
        <v>5.3071472168</v>
      </c>
      <c r="E984" s="47" t="str">
        <f>HYPERLINK(AB2 &amp; "/flashlight/sn_e9b98bccac1c7c6cc7be5a77064d8875/rendering/02.obj", "4.21356750488")</f>
        <v>4.21356750488</v>
      </c>
      <c r="F984" s="34" t="str">
        <f>HYPERLINK(AB2 &amp; "/flashlight/sn_e9b98bccac1c7c6cc7be5a77064d8875/rendering/03.obj", "4.3770526123")</f>
        <v>4.3770526123</v>
      </c>
      <c r="G984" s="25" t="str">
        <f>HYPERLINK(AB2 &amp; "/flashlight/sn_e9b98bccac1c7c6cc7be5a77064d8875/rendering/04.obj", "4.13440185547")</f>
        <v>4.13440185547</v>
      </c>
      <c r="H984" s="32" t="str">
        <f>HYPERLINK(AB2 &amp; "/flashlight/sn_e9b98bccac1c7c6cc7be5a77064d8875/rendering/05.obj", "4.61015716553")</f>
        <v>4.61015716553</v>
      </c>
      <c r="I984" s="93" t="str">
        <f>HYPERLINK(AB2 &amp; "/flashlight/sn_e9b98bccac1c7c6cc7be5a77064d8875/rendering/06.obj", "3.59561645508")</f>
        <v>3.59561645508</v>
      </c>
      <c r="J984" s="65" t="str">
        <f>HYPERLINK(AB2 &amp; "/flashlight/sn_e9b98bccac1c7c6cc7be5a77064d8875/rendering/07.obj", "3.62508880615")</f>
        <v>3.62508880615</v>
      </c>
      <c r="K984" s="26" t="str">
        <f>HYPERLINK(AB2 &amp; "/flashlight/sn_e9b98bccac1c7c6cc7be5a77064d8875/rendering/08.obj", "3.91024780273")</f>
        <v>3.91024780273</v>
      </c>
      <c r="L984" s="75" t="str">
        <f>HYPERLINK(AB2 &amp; "/flashlight/sn_e9b98bccac1c7c6cc7be5a77064d8875/rendering/09.obj", "3.25606994629")</f>
        <v>3.25606994629</v>
      </c>
      <c r="M984" s="41" t="str">
        <f>HYPERLINK(AB2 &amp; "/flashlight/sn_e9b98bccac1c7c6cc7be5a77064d8875/rendering/10.obj", "4.4560760498")</f>
        <v>4.4560760498</v>
      </c>
      <c r="N984" s="120" t="str">
        <f>HYPERLINK(AB2 &amp; "/flashlight/sn_e9b98bccac1c7c6cc7be5a77064d8875/rendering/11.obj", "3.29264007568")</f>
        <v>3.29264007568</v>
      </c>
      <c r="O984" s="81" t="str">
        <f>HYPERLINK(AB2 &amp; "/flashlight/sn_e9b98bccac1c7c6cc7be5a77064d8875/rendering/12.obj", "3.26961364746")</f>
        <v>3.26961364746</v>
      </c>
      <c r="P984" s="107" t="str">
        <f>HYPERLINK(AB2 &amp; "/flashlight/sn_e9b98bccac1c7c6cc7be5a77064d8875/rendering/13.obj", "3.82680236816")</f>
        <v>3.82680236816</v>
      </c>
      <c r="Q984" s="23" t="str">
        <f>HYPERLINK(AB2 &amp; "/flashlight/sn_e9b98bccac1c7c6cc7be5a77064d8875/rendering/14.obj", "4.33384460449")</f>
        <v>4.33384460449</v>
      </c>
      <c r="R984" s="36" t="str">
        <f>HYPERLINK(AB2 &amp; "/flashlight/sn_e9b98bccac1c7c6cc7be5a77064d8875/rendering/15.obj", "5.06984619141")</f>
        <v>5.06984619141</v>
      </c>
      <c r="S984" s="152" t="str">
        <f>HYPERLINK(AB2 &amp; "/flashlight/sn_e9b98bccac1c7c6cc7be5a77064d8875/rendering/16.obj", "5.86921875")</f>
        <v>5.86921875</v>
      </c>
      <c r="T984" s="50" t="str">
        <f>HYPERLINK(AB2 &amp; "/flashlight/sn_e9b98bccac1c7c6cc7be5a77064d8875/rendering/17.obj", "5.0086819458")</f>
        <v>5.0086819458</v>
      </c>
      <c r="U984" s="134" t="str">
        <f>HYPERLINK(AB2 &amp; "/flashlight/sn_e9b98bccac1c7c6cc7be5a77064d8875/rendering/18.obj", "3.42714416504")</f>
        <v>3.42714416504</v>
      </c>
      <c r="V984" s="83" t="str">
        <f>HYPERLINK(AB2 &amp; "/flashlight/sn_e9b98bccac1c7c6cc7be5a77064d8875/rendering/19.obj", "3.54402313232")</f>
        <v>3.54402313232</v>
      </c>
      <c r="W984" s="12" t="s">
        <v>31</v>
      </c>
      <c r="X984" s="13">
        <v>4.1761073760986323</v>
      </c>
      <c r="Y984" s="13">
        <v>0.71635750489097139</v>
      </c>
      <c r="Z984" s="40">
        <v>0.17153713742873181</v>
      </c>
    </row>
    <row r="985" spans="1:26" x14ac:dyDescent="0.2">
      <c r="A985" s="1">
        <v>983</v>
      </c>
      <c r="B985" s="2" t="s">
        <v>229</v>
      </c>
      <c r="C985" s="73" t="str">
        <f>HYPERLINK(AB2 &amp; "/flashlight/sn_e9b98bccac1c7c6cc7be5a77064d8875/rendering/00.obj", "4.29316806793")</f>
        <v>4.29316806793</v>
      </c>
      <c r="D985" s="212" t="str">
        <f>HYPERLINK(AB2 &amp; "/flashlight/sn_e9b98bccac1c7c6cc7be5a77064d8875/rendering/01.obj", "5.93914985657")</f>
        <v>5.93914985657</v>
      </c>
      <c r="E985" s="67" t="str">
        <f>HYPERLINK(AB2 &amp; "/flashlight/sn_e9b98bccac1c7c6cc7be5a77064d8875/rendering/02.obj", "3.76638412476")</f>
        <v>3.76638412476</v>
      </c>
      <c r="F985" s="175" t="str">
        <f>HYPERLINK(AB2 &amp; "/flashlight/sn_e9b98bccac1c7c6cc7be5a77064d8875/rendering/03.obj", "5.1152305603")</f>
        <v>5.1152305603</v>
      </c>
      <c r="G985" s="29" t="str">
        <f>HYPERLINK(AB2 &amp; "/flashlight/sn_e9b98bccac1c7c6cc7be5a77064d8875/rendering/04.obj", "3.60716438293")</f>
        <v>3.60716438293</v>
      </c>
      <c r="H985" s="93" t="str">
        <f>HYPERLINK(AB2 &amp; "/flashlight/sn_e9b98bccac1c7c6cc7be5a77064d8875/rendering/05.obj", "4.72528934479")</f>
        <v>4.72528934479</v>
      </c>
      <c r="I985" s="169" t="str">
        <f>HYPERLINK(AB2 &amp; "/flashlight/sn_e9b98bccac1c7c6cc7be5a77064d8875/rendering/06.obj", "2.8489253521")</f>
        <v>2.8489253521</v>
      </c>
      <c r="J985" s="58" t="str">
        <f>HYPERLINK(AB2 &amp; "/flashlight/sn_e9b98bccac1c7c6cc7be5a77064d8875/rendering/07.obj", "3.13404846191")</f>
        <v>3.13404846191</v>
      </c>
      <c r="K985" s="6" t="str">
        <f>HYPERLINK(AB2 &amp; "/flashlight/sn_e9b98bccac1c7c6cc7be5a77064d8875/rendering/08.obj", "4.34192085266")</f>
        <v>4.34192085266</v>
      </c>
      <c r="L985" s="170" t="str">
        <f>HYPERLINK(AB2 &amp; "/flashlight/sn_e9b98bccac1c7c6cc7be5a77064d8875/rendering/09.obj", "3.09504985809")</f>
        <v>3.09504985809</v>
      </c>
      <c r="M985" s="70" t="str">
        <f>HYPERLINK(AB2 &amp; "/flashlight/sn_e9b98bccac1c7c6cc7be5a77064d8875/rendering/10.obj", "4.67066955566")</f>
        <v>4.67066955566</v>
      </c>
      <c r="N985" s="100" t="str">
        <f>HYPERLINK(AB2 &amp; "/flashlight/sn_e9b98bccac1c7c6cc7be5a77064d8875/rendering/11.obj", "2.90695142746")</f>
        <v>2.90695142746</v>
      </c>
      <c r="O985" s="95" t="str">
        <f>HYPERLINK(AB2 &amp; "/flashlight/sn_e9b98bccac1c7c6cc7be5a77064d8875/rendering/12.obj", "2.98264241219")</f>
        <v>2.98264241219</v>
      </c>
      <c r="P985" s="51" t="str">
        <f>HYPERLINK(AB2 &amp; "/flashlight/sn_e9b98bccac1c7c6cc7be5a77064d8875/rendering/13.obj", "3.81243777275")</f>
        <v>3.81243777275</v>
      </c>
      <c r="Q985" s="47" t="str">
        <f>HYPERLINK(AB2 &amp; "/flashlight/sn_e9b98bccac1c7c6cc7be5a77064d8875/rendering/14.obj", "4.11413812637")</f>
        <v>4.11413812637</v>
      </c>
      <c r="R985" s="153" t="str">
        <f>HYPERLINK(AB2 &amp; "/flashlight/sn_e9b98bccac1c7c6cc7be5a77064d8875/rendering/15.obj", "5.6331281662")</f>
        <v>5.6331281662</v>
      </c>
      <c r="S985" s="205" t="str">
        <f>HYPERLINK(AB2 &amp; "/flashlight/sn_e9b98bccac1c7c6cc7be5a77064d8875/rendering/16.obj", "6.90958881378")</f>
        <v>6.90958881378</v>
      </c>
      <c r="T985" s="129" t="str">
        <f>HYPERLINK(AB2 &amp; "/flashlight/sn_e9b98bccac1c7c6cc7be5a77064d8875/rendering/17.obj", "5.18840122223")</f>
        <v>5.18840122223</v>
      </c>
      <c r="U985" s="135" t="str">
        <f>HYPERLINK(AB2 &amp; "/flashlight/sn_e9b98bccac1c7c6cc7be5a77064d8875/rendering/18.obj", "3.08668541908")</f>
        <v>3.08668541908</v>
      </c>
      <c r="V985" s="168" t="str">
        <f>HYPERLINK(AB2 &amp; "/flashlight/sn_e9b98bccac1c7c6cc7be5a77064d8875/rendering/19.obj", "2.81393313408")</f>
        <v>2.81393313408</v>
      </c>
      <c r="W985" s="12" t="s">
        <v>32</v>
      </c>
      <c r="X985" s="13">
        <v>4.1492453455924991</v>
      </c>
      <c r="Y985" s="13">
        <v>1.138066835983141</v>
      </c>
      <c r="Z985" s="113">
        <v>0.27428284933597441</v>
      </c>
    </row>
    <row r="986" spans="1:26" x14ac:dyDescent="0.2">
      <c r="A986" s="1">
        <v>984</v>
      </c>
      <c r="B986" s="2" t="s">
        <v>229</v>
      </c>
      <c r="C986" s="13" t="str">
        <f>HYPERLINK(AC2 &amp; "/flashlight/sn_e9b98bccac1c7c6cc7be5a77064d8875/rendering/00.xyz", "0.0")</f>
        <v>0.0</v>
      </c>
      <c r="D986" s="13" t="str">
        <f>HYPERLINK(AC2 &amp; "/flashlight/sn_e9b98bccac1c7c6cc7be5a77064d8875/rendering/01.xyz", "0.0")</f>
        <v>0.0</v>
      </c>
      <c r="E986" s="13" t="str">
        <f>HYPERLINK(AC2 &amp; "/flashlight/sn_e9b98bccac1c7c6cc7be5a77064d8875/rendering/02.xyz", "0.0")</f>
        <v>0.0</v>
      </c>
      <c r="F986" s="13" t="str">
        <f>HYPERLINK(AC2 &amp; "/flashlight/sn_e9b98bccac1c7c6cc7be5a77064d8875/rendering/03.xyz", "0.0")</f>
        <v>0.0</v>
      </c>
      <c r="G986" s="13" t="str">
        <f>HYPERLINK(AC2 &amp; "/flashlight/sn_e9b98bccac1c7c6cc7be5a77064d8875/rendering/04.xyz", "0.0")</f>
        <v>0.0</v>
      </c>
      <c r="H986" s="13" t="str">
        <f>HYPERLINK(AC2 &amp; "/flashlight/sn_e9b98bccac1c7c6cc7be5a77064d8875/rendering/05.xyz", "0.0")</f>
        <v>0.0</v>
      </c>
      <c r="I986" s="13" t="str">
        <f>HYPERLINK(AC2 &amp; "/flashlight/sn_e9b98bccac1c7c6cc7be5a77064d8875/rendering/06.xyz", "0.0")</f>
        <v>0.0</v>
      </c>
      <c r="J986" s="13" t="str">
        <f>HYPERLINK(AC2 &amp; "/flashlight/sn_e9b98bccac1c7c6cc7be5a77064d8875/rendering/07.xyz", "0.0")</f>
        <v>0.0</v>
      </c>
      <c r="K986" s="13" t="str">
        <f>HYPERLINK(AC2 &amp; "/flashlight/sn_e9b98bccac1c7c6cc7be5a77064d8875/rendering/08.xyz", "0.0")</f>
        <v>0.0</v>
      </c>
      <c r="L986" s="13" t="str">
        <f>HYPERLINK(AC2 &amp; "/flashlight/sn_e9b98bccac1c7c6cc7be5a77064d8875/rendering/09.xyz", "0.0")</f>
        <v>0.0</v>
      </c>
      <c r="M986" s="13" t="str">
        <f>HYPERLINK(AC2 &amp; "/flashlight/sn_e9b98bccac1c7c6cc7be5a77064d8875/rendering/10.xyz", "0.0")</f>
        <v>0.0</v>
      </c>
      <c r="N986" s="13" t="str">
        <f>HYPERLINK(AC2 &amp; "/flashlight/sn_e9b98bccac1c7c6cc7be5a77064d8875/rendering/11.xyz", "0.0")</f>
        <v>0.0</v>
      </c>
      <c r="O986" s="13" t="str">
        <f>HYPERLINK(AC2 &amp; "/flashlight/sn_e9b98bccac1c7c6cc7be5a77064d8875/rendering/12.xyz", "0.0")</f>
        <v>0.0</v>
      </c>
      <c r="P986" s="13" t="str">
        <f>HYPERLINK(AC2 &amp; "/flashlight/sn_e9b98bccac1c7c6cc7be5a77064d8875/rendering/13.xyz", "0.0")</f>
        <v>0.0</v>
      </c>
      <c r="Q986" s="13" t="str">
        <f>HYPERLINK(AC2 &amp; "/flashlight/sn_e9b98bccac1c7c6cc7be5a77064d8875/rendering/14.xyz", "0.0")</f>
        <v>0.0</v>
      </c>
      <c r="R986" s="13" t="str">
        <f>HYPERLINK(AC2 &amp; "/flashlight/sn_e9b98bccac1c7c6cc7be5a77064d8875/rendering/15.xyz", "0.0")</f>
        <v>0.0</v>
      </c>
      <c r="S986" s="13" t="str">
        <f>HYPERLINK(AC2 &amp; "/flashlight/sn_e9b98bccac1c7c6cc7be5a77064d8875/rendering/16.xyz", "0.0")</f>
        <v>0.0</v>
      </c>
      <c r="T986" s="13" t="str">
        <f>HYPERLINK(AC2 &amp; "/flashlight/sn_e9b98bccac1c7c6cc7be5a77064d8875/rendering/17.xyz", "0.0")</f>
        <v>0.0</v>
      </c>
      <c r="U986" s="13" t="str">
        <f>HYPERLINK(AC2 &amp; "/flashlight/sn_e9b98bccac1c7c6cc7be5a77064d8875/rendering/18.xyz", "0.0")</f>
        <v>0.0</v>
      </c>
      <c r="V986" s="13" t="str">
        <f>HYPERLINK(AC2 &amp; "/flashlight/sn_e9b98bccac1c7c6cc7be5a77064d8875/rendering/19.xyz", "0.0")</f>
        <v>0.0</v>
      </c>
      <c r="W986" s="12" t="s">
        <v>33</v>
      </c>
      <c r="X986" s="13">
        <v>0</v>
      </c>
      <c r="Y986" s="13">
        <v>0</v>
      </c>
      <c r="Z986" s="13">
        <v>0</v>
      </c>
    </row>
    <row r="987" spans="1:26" x14ac:dyDescent="0.2">
      <c r="A987" s="1">
        <v>985</v>
      </c>
      <c r="B987" s="2" t="s">
        <v>230</v>
      </c>
      <c r="C987" s="120" t="str">
        <f>HYPERLINK(AA2 &amp; "/flashlight/sn_eaa9a6c52b062cc5cb7e9ee2bb5c85bb/rendering/00.obj", "2.9834286499")</f>
        <v>2.9834286499</v>
      </c>
      <c r="D987" s="74" t="str">
        <f>HYPERLINK(AA2 &amp; "/flashlight/sn_eaa9a6c52b062cc5cb7e9ee2bb5c85bb/rendering/01.obj", "2.49350952148")</f>
        <v>2.49350952148</v>
      </c>
      <c r="E987" s="83" t="str">
        <f>HYPERLINK(AA2 &amp; "/flashlight/sn_eaa9a6c52b062cc5cb7e9ee2bb5c85bb/rendering/02.obj", "2.83685058594")</f>
        <v>2.83685058594</v>
      </c>
      <c r="F987" s="63" t="str">
        <f>HYPERLINK(AA2 &amp; "/flashlight/sn_eaa9a6c52b062cc5cb7e9ee2bb5c85bb/rendering/03.obj", "2.16021484375")</f>
        <v>2.16021484375</v>
      </c>
      <c r="G987" s="5" t="str">
        <f>HYPERLINK(AA2 &amp; "/flashlight/sn_eaa9a6c52b062cc5cb7e9ee2bb5c85bb/rendering/04.obj", "2.26857498169")</f>
        <v>2.26857498169</v>
      </c>
      <c r="H987" s="41" t="str">
        <f>HYPERLINK(AA2 &amp; "/flashlight/sn_eaa9a6c52b062cc5cb7e9ee2bb5c85bb/rendering/05.obj", "2.62197387695")</f>
        <v>2.62197387695</v>
      </c>
      <c r="I987" s="27" t="str">
        <f>HYPERLINK(AA2 &amp; "/flashlight/sn_eaa9a6c52b062cc5cb7e9ee2bb5c85bb/rendering/06.obj", "2.6334967041")</f>
        <v>2.6334967041</v>
      </c>
      <c r="J987" s="10" t="str">
        <f>HYPERLINK(AA2 &amp; "/flashlight/sn_eaa9a6c52b062cc5cb7e9ee2bb5c85bb/rendering/07.obj", "2.32196655273")</f>
        <v>2.32196655273</v>
      </c>
      <c r="K987" s="41" t="str">
        <f>HYPERLINK(AA2 &amp; "/flashlight/sn_eaa9a6c52b062cc5cb7e9ee2bb5c85bb/rendering/08.obj", "2.29093200684")</f>
        <v>2.29093200684</v>
      </c>
      <c r="L987" s="94" t="str">
        <f>HYPERLINK(AA2 &amp; "/flashlight/sn_eaa9a6c52b062cc5cb7e9ee2bb5c85bb/rendering/09.obj", "2.64377471924")</f>
        <v>2.64377471924</v>
      </c>
      <c r="M987" s="27" t="str">
        <f>HYPERLINK(AA2 &amp; "/flashlight/sn_eaa9a6c52b062cc5cb7e9ee2bb5c85bb/rendering/10.obj", "2.28481826782")</f>
        <v>2.28481826782</v>
      </c>
      <c r="N987" s="28" t="str">
        <f>HYPERLINK(AA2 &amp; "/flashlight/sn_eaa9a6c52b062cc5cb7e9ee2bb5c85bb/rendering/11.obj", "2.73654571533")</f>
        <v>2.73654571533</v>
      </c>
      <c r="O987" s="70" t="str">
        <f>HYPERLINK(AA2 &amp; "/flashlight/sn_eaa9a6c52b062cc5cb7e9ee2bb5c85bb/rendering/12.obj", "2.15038513184")</f>
        <v>2.15038513184</v>
      </c>
      <c r="P987" s="78" t="str">
        <f>HYPERLINK(AA2 &amp; "/flashlight/sn_eaa9a6c52b062cc5cb7e9ee2bb5c85bb/rendering/13.obj", "2.30881378174")</f>
        <v>2.30881378174</v>
      </c>
      <c r="Q987" s="35" t="str">
        <f>HYPERLINK(AA2 &amp; "/flashlight/sn_eaa9a6c52b062cc5cb7e9ee2bb5c85bb/rendering/14.obj", "2.31548583984")</f>
        <v>2.31548583984</v>
      </c>
      <c r="R987" s="17" t="str">
        <f>HYPERLINK(AA2 &amp; "/flashlight/sn_eaa9a6c52b062cc5cb7e9ee2bb5c85bb/rendering/15.obj", "2.41039428711")</f>
        <v>2.41039428711</v>
      </c>
      <c r="S987" s="13" t="str">
        <f>HYPERLINK(AA2 &amp; "/flashlight/sn_eaa9a6c52b062cc5cb7e9ee2bb5c85bb/rendering/16.obj", "2.4626864624")</f>
        <v>2.4626864624</v>
      </c>
      <c r="T987" s="13" t="str">
        <f>HYPERLINK(AA2 &amp; "/flashlight/sn_eaa9a6c52b062cc5cb7e9ee2bb5c85bb/rendering/17.obj", "2.46015029907")</f>
        <v>2.46015029907</v>
      </c>
      <c r="U987" s="30" t="str">
        <f>HYPERLINK(AA2 &amp; "/flashlight/sn_eaa9a6c52b062cc5cb7e9ee2bb5c85bb/rendering/18.obj", "2.45138793945")</f>
        <v>2.45138793945</v>
      </c>
      <c r="V987" s="68" t="str">
        <f>HYPERLINK(AA2 &amp; "/flashlight/sn_eaa9a6c52b062cc5cb7e9ee2bb5c85bb/rendering/19.obj", "2.35608154297")</f>
        <v>2.35608154297</v>
      </c>
      <c r="W987" s="12" t="s">
        <v>29</v>
      </c>
      <c r="X987" s="13">
        <v>2.4595735855102552</v>
      </c>
      <c r="Y987" s="13">
        <v>0.21696603276174051</v>
      </c>
      <c r="Z987" s="38">
        <v>8.8212865042917352E-2</v>
      </c>
    </row>
    <row r="988" spans="1:26" x14ac:dyDescent="0.2">
      <c r="A988" s="1">
        <v>986</v>
      </c>
      <c r="B988" s="2" t="s">
        <v>230</v>
      </c>
      <c r="C988" s="59" t="str">
        <f>HYPERLINK(AA2 &amp; "/flashlight/sn_eaa9a6c52b062cc5cb7e9ee2bb5c85bb/rendering/00.obj", "3.06479310989")</f>
        <v>3.06479310989</v>
      </c>
      <c r="D988" s="35" t="str">
        <f>HYPERLINK(AA2 &amp; "/flashlight/sn_eaa9a6c52b062cc5cb7e9ee2bb5c85bb/rendering/01.obj", "2.61966490746")</f>
        <v>2.61966490746</v>
      </c>
      <c r="E988" s="63" t="str">
        <f>HYPERLINK(AA2 &amp; "/flashlight/sn_eaa9a6c52b062cc5cb7e9ee2bb5c85bb/rendering/02.obj", "2.77571630478")</f>
        <v>2.77571630478</v>
      </c>
      <c r="F988" s="70" t="str">
        <f>HYPERLINK(AA2 &amp; "/flashlight/sn_eaa9a6c52b062cc5cb7e9ee2bb5c85bb/rendering/03.obj", "2.1599714756")</f>
        <v>2.1599714756</v>
      </c>
      <c r="G988" s="37" t="str">
        <f>HYPERLINK(AA2 &amp; "/flashlight/sn_eaa9a6c52b062cc5cb7e9ee2bb5c85bb/rendering/04.obj", "2.04080367088")</f>
        <v>2.04080367088</v>
      </c>
      <c r="H988" s="65" t="str">
        <f>HYPERLINK(AA2 &amp; "/flashlight/sn_eaa9a6c52b062cc5cb7e9ee2bb5c85bb/rendering/05.obj", "2.80115938187")</f>
        <v>2.80115938187</v>
      </c>
      <c r="I988" s="68" t="str">
        <f>HYPERLINK(AA2 &amp; "/flashlight/sn_eaa9a6c52b062cc5cb7e9ee2bb5c85bb/rendering/06.obj", "2.36749982834")</f>
        <v>2.36749982834</v>
      </c>
      <c r="J988" s="91" t="str">
        <f>HYPERLINK(AA2 &amp; "/flashlight/sn_eaa9a6c52b062cc5cb7e9ee2bb5c85bb/rendering/07.obj", "2.53774380684")</f>
        <v>2.53774380684</v>
      </c>
      <c r="K988" s="106" t="str">
        <f>HYPERLINK(AA2 &amp; "/flashlight/sn_eaa9a6c52b062cc5cb7e9ee2bb5c85bb/rendering/08.obj", "2.18871593475")</f>
        <v>2.18871593475</v>
      </c>
      <c r="L988" s="28" t="str">
        <f>HYPERLINK(AA2 &amp; "/flashlight/sn_eaa9a6c52b062cc5cb7e9ee2bb5c85bb/rendering/09.obj", "2.74568939209")</f>
        <v>2.74568939209</v>
      </c>
      <c r="M988" s="70" t="str">
        <f>HYPERLINK(AA2 &amp; "/flashlight/sn_eaa9a6c52b062cc5cb7e9ee2bb5c85bb/rendering/10.obj", "2.15588116646")</f>
        <v>2.15588116646</v>
      </c>
      <c r="N988" s="57" t="str">
        <f>HYPERLINK(AA2 &amp; "/flashlight/sn_eaa9a6c52b062cc5cb7e9ee2bb5c85bb/rendering/11.obj", "3.2525844574")</f>
        <v>3.2525844574</v>
      </c>
      <c r="O988" s="120" t="str">
        <f>HYPERLINK(AA2 &amp; "/flashlight/sn_eaa9a6c52b062cc5cb7e9ee2bb5c85bb/rendering/12.obj", "1.95219564438")</f>
        <v>1.95219564438</v>
      </c>
      <c r="P988" s="73" t="str">
        <f>HYPERLINK(AA2 &amp; "/flashlight/sn_eaa9a6c52b062cc5cb7e9ee2bb5c85bb/rendering/13.obj", "2.38728404045")</f>
        <v>2.38728404045</v>
      </c>
      <c r="Q988" s="107" t="str">
        <f>HYPERLINK(AA2 &amp; "/flashlight/sn_eaa9a6c52b062cc5cb7e9ee2bb5c85bb/rendering/14.obj", "2.26477098465")</f>
        <v>2.26477098465</v>
      </c>
      <c r="R988" s="69" t="str">
        <f>HYPERLINK(AA2 &amp; "/flashlight/sn_eaa9a6c52b062cc5cb7e9ee2bb5c85bb/rendering/15.obj", "2.55042934418")</f>
        <v>2.55042934418</v>
      </c>
      <c r="S988" s="63" t="str">
        <f>HYPERLINK(AA2 &amp; "/flashlight/sn_eaa9a6c52b062cc5cb7e9ee2bb5c85bb/rendering/16.obj", "2.17374134064")</f>
        <v>2.17374134064</v>
      </c>
      <c r="T988" s="63" t="str">
        <f>HYPERLINK(AA2 &amp; "/flashlight/sn_eaa9a6c52b062cc5cb7e9ee2bb5c85bb/rendering/17.obj", "2.1756939888")</f>
        <v>2.1756939888</v>
      </c>
      <c r="U988" s="120" t="str">
        <f>HYPERLINK(AA2 &amp; "/flashlight/sn_eaa9a6c52b062cc5cb7e9ee2bb5c85bb/rendering/18.obj", "3.00104951859")</f>
        <v>3.00104951859</v>
      </c>
      <c r="V988" s="39" t="str">
        <f>HYPERLINK(AA2 &amp; "/flashlight/sn_eaa9a6c52b062cc5cb7e9ee2bb5c85bb/rendering/19.obj", "2.26138782501")</f>
        <v>2.26138782501</v>
      </c>
      <c r="W988" s="12" t="s">
        <v>30</v>
      </c>
      <c r="X988" s="13">
        <v>2.4738388061523442</v>
      </c>
      <c r="Y988" s="13">
        <v>0.35805996564297538</v>
      </c>
      <c r="Z988" s="84">
        <v>0.1447386000868342</v>
      </c>
    </row>
    <row r="989" spans="1:26" x14ac:dyDescent="0.2">
      <c r="A989" s="1">
        <v>987</v>
      </c>
      <c r="B989" s="2" t="s">
        <v>230</v>
      </c>
      <c r="C989" s="51" t="str">
        <f>HYPERLINK(AB2 &amp; "/flashlight/sn_eaa9a6c52b062cc5cb7e9ee2bb5c85bb/rendering/00.obj", "2.23598403931")</f>
        <v>2.23598403931</v>
      </c>
      <c r="D989" s="27" t="str">
        <f>HYPERLINK(AB2 &amp; "/flashlight/sn_eaa9a6c52b062cc5cb7e9ee2bb5c85bb/rendering/01.obj", "2.22023605347")</f>
        <v>2.22023605347</v>
      </c>
      <c r="E989" s="69" t="str">
        <f>HYPERLINK(AB2 &amp; "/flashlight/sn_eaa9a6c52b062cc5cb7e9ee2bb5c85bb/rendering/02.obj", "2.01163040161")</f>
        <v>2.01163040161</v>
      </c>
      <c r="F989" s="23" t="str">
        <f>HYPERLINK(AB2 &amp; "/flashlight/sn_eaa9a6c52b062cc5cb7e9ee2bb5c85bb/rendering/03.obj", "1.99021697998")</f>
        <v>1.99021697998</v>
      </c>
      <c r="G989" s="91" t="str">
        <f>HYPERLINK(AB2 &amp; "/flashlight/sn_eaa9a6c52b062cc5cb7e9ee2bb5c85bb/rendering/04.obj", "2.01574035645")</f>
        <v>2.01574035645</v>
      </c>
      <c r="H989" s="23" t="str">
        <f>HYPERLINK(AB2 &amp; "/flashlight/sn_eaa9a6c52b062cc5cb7e9ee2bb5c85bb/rendering/05.obj", "1.98963119507")</f>
        <v>1.98963119507</v>
      </c>
      <c r="I989" s="39" t="str">
        <f>HYPERLINK(AB2 &amp; "/flashlight/sn_eaa9a6c52b062cc5cb7e9ee2bb5c85bb/rendering/06.obj", "1.89182830811")</f>
        <v>1.89182830811</v>
      </c>
      <c r="J989" s="29" t="str">
        <f>HYPERLINK(AB2 &amp; "/flashlight/sn_eaa9a6c52b062cc5cb7e9ee2bb5c85bb/rendering/07.obj", "2.33992858887")</f>
        <v>2.33992858887</v>
      </c>
      <c r="K989" s="30" t="str">
        <f>HYPERLINK(AB2 &amp; "/flashlight/sn_eaa9a6c52b062cc5cb7e9ee2bb5c85bb/rendering/08.obj", "2.0629989624")</f>
        <v>2.0629989624</v>
      </c>
      <c r="L989" s="47" t="str">
        <f>HYPERLINK(AB2 &amp; "/flashlight/sn_eaa9a6c52b062cc5cb7e9ee2bb5c85bb/rendering/09.obj", "2.05578842163")</f>
        <v>2.05578842163</v>
      </c>
      <c r="M989" s="23" t="str">
        <f>HYPERLINK(AB2 &amp; "/flashlight/sn_eaa9a6c52b062cc5cb7e9ee2bb5c85bb/rendering/10.obj", "2.1553163147")</f>
        <v>2.1553163147</v>
      </c>
      <c r="N989" s="48" t="str">
        <f>HYPERLINK(AB2 &amp; "/flashlight/sn_eaa9a6c52b062cc5cb7e9ee2bb5c85bb/rendering/11.obj", "2.11807174683")</f>
        <v>2.11807174683</v>
      </c>
      <c r="O989" s="72" t="str">
        <f>HYPERLINK(AB2 &amp; "/flashlight/sn_eaa9a6c52b062cc5cb7e9ee2bb5c85bb/rendering/12.obj", "2.13934417725")</f>
        <v>2.13934417725</v>
      </c>
      <c r="P989" s="69" t="str">
        <f>HYPERLINK(AB2 &amp; "/flashlight/sn_eaa9a6c52b062cc5cb7e9ee2bb5c85bb/rendering/13.obj", "2.13094848633")</f>
        <v>2.13094848633</v>
      </c>
      <c r="Q989" s="70" t="str">
        <f>HYPERLINK(AB2 &amp; "/flashlight/sn_eaa9a6c52b062cc5cb7e9ee2bb5c85bb/rendering/14.obj", "2.33574157715")</f>
        <v>2.33574157715</v>
      </c>
      <c r="R989" s="41" t="str">
        <f>HYPERLINK(AB2 &amp; "/flashlight/sn_eaa9a6c52b062cc5cb7e9ee2bb5c85bb/rendering/15.obj", "1.93191864014")</f>
        <v>1.93191864014</v>
      </c>
      <c r="S989" s="133" t="str">
        <f>HYPERLINK(AB2 &amp; "/flashlight/sn_eaa9a6c52b062cc5cb7e9ee2bb5c85bb/rendering/16.obj", "1.86274414063")</f>
        <v>1.86274414063</v>
      </c>
      <c r="T989" s="72" t="str">
        <f>HYPERLINK(AB2 &amp; "/flashlight/sn_eaa9a6c52b062cc5cb7e9ee2bb5c85bb/rendering/17.obj", "2.00345489502")</f>
        <v>2.00345489502</v>
      </c>
      <c r="U989" s="73" t="str">
        <f>HYPERLINK(AB2 &amp; "/flashlight/sn_eaa9a6c52b062cc5cb7e9ee2bb5c85bb/rendering/18.obj", "1.99729095459")</f>
        <v>1.99729095459</v>
      </c>
      <c r="V989" s="26" t="str">
        <f>HYPERLINK(AB2 &amp; "/flashlight/sn_eaa9a6c52b062cc5cb7e9ee2bb5c85bb/rendering/19.obj", "1.93988861084")</f>
        <v>1.93988861084</v>
      </c>
      <c r="W989" s="12" t="s">
        <v>31</v>
      </c>
      <c r="X989" s="13">
        <v>2.0714351425170898</v>
      </c>
      <c r="Y989" s="13">
        <v>0.13257271984833549</v>
      </c>
      <c r="Z989" s="26">
        <v>6.400042034974876E-2</v>
      </c>
    </row>
    <row r="990" spans="1:26" x14ac:dyDescent="0.2">
      <c r="A990" s="1">
        <v>988</v>
      </c>
      <c r="B990" s="2" t="s">
        <v>230</v>
      </c>
      <c r="C990" s="68" t="str">
        <f>HYPERLINK(AB2 &amp; "/flashlight/sn_eaa9a6c52b062cc5cb7e9ee2bb5c85bb/rendering/00.obj", "2.27821469307")</f>
        <v>2.27821469307</v>
      </c>
      <c r="D990" s="162" t="str">
        <f>HYPERLINK(AB2 &amp; "/flashlight/sn_eaa9a6c52b062cc5cb7e9ee2bb5c85bb/rendering/01.obj", "3.11512088776")</f>
        <v>3.11512088776</v>
      </c>
      <c r="E990" s="33" t="str">
        <f>HYPERLINK(AB2 &amp; "/flashlight/sn_eaa9a6c52b062cc5cb7e9ee2bb5c85bb/rendering/02.obj", "1.94749403")</f>
        <v>1.94749403</v>
      </c>
      <c r="F990" s="34" t="str">
        <f>HYPERLINK(AB2 &amp; "/flashlight/sn_eaa9a6c52b062cc5cb7e9ee2bb5c85bb/rendering/03.obj", "2.08363199234")</f>
        <v>2.08363199234</v>
      </c>
      <c r="G990" s="93" t="str">
        <f>HYPERLINK(AB2 &amp; "/flashlight/sn_eaa9a6c52b062cc5cb7e9ee2bb5c85bb/rendering/04.obj", "1.8820990324")</f>
        <v>1.8820990324</v>
      </c>
      <c r="H990" s="83" t="str">
        <f>HYPERLINK(AB2 &amp; "/flashlight/sn_eaa9a6c52b062cc5cb7e9ee2bb5c85bb/rendering/05.obj", "1.85480976105")</f>
        <v>1.85480976105</v>
      </c>
      <c r="I990" s="78" t="str">
        <f>HYPERLINK(AB2 &amp; "/flashlight/sn_eaa9a6c52b062cc5cb7e9ee2bb5c85bb/rendering/06.obj", "2.32369542122")</f>
        <v>2.32369542122</v>
      </c>
      <c r="J990" s="78" t="str">
        <f>HYPERLINK(AB2 &amp; "/flashlight/sn_eaa9a6c52b062cc5cb7e9ee2bb5c85bb/rendering/07.obj", "2.0536441803")</f>
        <v>2.0536441803</v>
      </c>
      <c r="K990" s="42" t="str">
        <f>HYPERLINK(AB2 &amp; "/flashlight/sn_eaa9a6c52b062cc5cb7e9ee2bb5c85bb/rendering/08.obj", "1.8856471777")</f>
        <v>1.8856471777</v>
      </c>
      <c r="L990" s="70" t="str">
        <f>HYPERLINK(AB2 &amp; "/flashlight/sn_eaa9a6c52b062cc5cb7e9ee2bb5c85bb/rendering/09.obj", "2.46120262146")</f>
        <v>2.46120262146</v>
      </c>
      <c r="M990" s="68" t="str">
        <f>HYPERLINK(AB2 &amp; "/flashlight/sn_eaa9a6c52b062cc5cb7e9ee2bb5c85bb/rendering/10.obj", "2.28008794785")</f>
        <v>2.28008794785</v>
      </c>
      <c r="N990" s="69" t="str">
        <f>HYPERLINK(AB2 &amp; "/flashlight/sn_eaa9a6c52b062cc5cb7e9ee2bb5c85bb/rendering/11.obj", "2.2492454052")</f>
        <v>2.2492454052</v>
      </c>
      <c r="O990" s="93" t="str">
        <f>HYPERLINK(AB2 &amp; "/flashlight/sn_eaa9a6c52b062cc5cb7e9ee2bb5c85bb/rendering/12.obj", "1.88149011135")</f>
        <v>1.88149011135</v>
      </c>
      <c r="P990" s="17" t="str">
        <f>HYPERLINK(AB2 &amp; "/flashlight/sn_eaa9a6c52b062cc5cb7e9ee2bb5c85bb/rendering/13.obj", "2.14538836479")</f>
        <v>2.14538836479</v>
      </c>
      <c r="Q990" s="65" t="str">
        <f>HYPERLINK(AB2 &amp; "/flashlight/sn_eaa9a6c52b062cc5cb7e9ee2bb5c85bb/rendering/14.obj", "2.4764945507")</f>
        <v>2.4764945507</v>
      </c>
      <c r="R990" s="34" t="str">
        <f>HYPERLINK(AB2 &amp; "/flashlight/sn_eaa9a6c52b062cc5cb7e9ee2bb5c85bb/rendering/15.obj", "2.08108782768")</f>
        <v>2.08108782768</v>
      </c>
      <c r="S990" s="23" t="str">
        <f>HYPERLINK(AB2 &amp; "/flashlight/sn_eaa9a6c52b062cc5cb7e9ee2bb5c85bb/rendering/16.obj", "2.272544384")</f>
        <v>2.272544384</v>
      </c>
      <c r="T990" s="73" t="str">
        <f>HYPERLINK(AB2 &amp; "/flashlight/sn_eaa9a6c52b062cc5cb7e9ee2bb5c85bb/rendering/17.obj", "2.10664844513")</f>
        <v>2.10664844513</v>
      </c>
      <c r="U990" s="39" t="str">
        <f>HYPERLINK(AB2 &amp; "/flashlight/sn_eaa9a6c52b062cc5cb7e9ee2bb5c85bb/rendering/18.obj", "2.00128626823")</f>
        <v>2.00128626823</v>
      </c>
      <c r="V990" s="5" t="str">
        <f>HYPERLINK(AB2 &amp; "/flashlight/sn_eaa9a6c52b062cc5cb7e9ee2bb5c85bb/rendering/19.obj", "2.35246157646")</f>
        <v>2.35246157646</v>
      </c>
      <c r="W990" s="12" t="s">
        <v>32</v>
      </c>
      <c r="X990" s="13">
        <v>2.1866147339344031</v>
      </c>
      <c r="Y990" s="13">
        <v>0.28476587355130673</v>
      </c>
      <c r="Z990" s="29">
        <v>0.13023138879107621</v>
      </c>
    </row>
    <row r="991" spans="1:26" x14ac:dyDescent="0.2">
      <c r="A991" s="1">
        <v>989</v>
      </c>
      <c r="B991" s="2" t="s">
        <v>230</v>
      </c>
      <c r="C991" s="13" t="str">
        <f>HYPERLINK(AC2 &amp; "/flashlight/sn_eaa9a6c52b062cc5cb7e9ee2bb5c85bb/rendering/00.xyz", "0.0")</f>
        <v>0.0</v>
      </c>
      <c r="D991" s="13" t="str">
        <f>HYPERLINK(AC2 &amp; "/flashlight/sn_eaa9a6c52b062cc5cb7e9ee2bb5c85bb/rendering/01.xyz", "0.0")</f>
        <v>0.0</v>
      </c>
      <c r="E991" s="13" t="str">
        <f>HYPERLINK(AC2 &amp; "/flashlight/sn_eaa9a6c52b062cc5cb7e9ee2bb5c85bb/rendering/02.xyz", "0.0")</f>
        <v>0.0</v>
      </c>
      <c r="F991" s="13" t="str">
        <f>HYPERLINK(AC2 &amp; "/flashlight/sn_eaa9a6c52b062cc5cb7e9ee2bb5c85bb/rendering/03.xyz", "0.0")</f>
        <v>0.0</v>
      </c>
      <c r="G991" s="13" t="str">
        <f>HYPERLINK(AC2 &amp; "/flashlight/sn_eaa9a6c52b062cc5cb7e9ee2bb5c85bb/rendering/04.xyz", "0.0")</f>
        <v>0.0</v>
      </c>
      <c r="H991" s="13" t="str">
        <f>HYPERLINK(AC2 &amp; "/flashlight/sn_eaa9a6c52b062cc5cb7e9ee2bb5c85bb/rendering/05.xyz", "0.0")</f>
        <v>0.0</v>
      </c>
      <c r="I991" s="13" t="str">
        <f>HYPERLINK(AC2 &amp; "/flashlight/sn_eaa9a6c52b062cc5cb7e9ee2bb5c85bb/rendering/06.xyz", "0.0")</f>
        <v>0.0</v>
      </c>
      <c r="J991" s="13" t="str">
        <f>HYPERLINK(AC2 &amp; "/flashlight/sn_eaa9a6c52b062cc5cb7e9ee2bb5c85bb/rendering/07.xyz", "0.0")</f>
        <v>0.0</v>
      </c>
      <c r="K991" s="13" t="str">
        <f>HYPERLINK(AC2 &amp; "/flashlight/sn_eaa9a6c52b062cc5cb7e9ee2bb5c85bb/rendering/08.xyz", "0.0")</f>
        <v>0.0</v>
      </c>
      <c r="L991" s="13" t="str">
        <f>HYPERLINK(AC2 &amp; "/flashlight/sn_eaa9a6c52b062cc5cb7e9ee2bb5c85bb/rendering/09.xyz", "0.0")</f>
        <v>0.0</v>
      </c>
      <c r="M991" s="13" t="str">
        <f>HYPERLINK(AC2 &amp; "/flashlight/sn_eaa9a6c52b062cc5cb7e9ee2bb5c85bb/rendering/10.xyz", "0.0")</f>
        <v>0.0</v>
      </c>
      <c r="N991" s="13" t="str">
        <f>HYPERLINK(AC2 &amp; "/flashlight/sn_eaa9a6c52b062cc5cb7e9ee2bb5c85bb/rendering/11.xyz", "0.0")</f>
        <v>0.0</v>
      </c>
      <c r="O991" s="13" t="str">
        <f>HYPERLINK(AC2 &amp; "/flashlight/sn_eaa9a6c52b062cc5cb7e9ee2bb5c85bb/rendering/12.xyz", "0.0")</f>
        <v>0.0</v>
      </c>
      <c r="P991" s="13" t="str">
        <f>HYPERLINK(AC2 &amp; "/flashlight/sn_eaa9a6c52b062cc5cb7e9ee2bb5c85bb/rendering/13.xyz", "0.0")</f>
        <v>0.0</v>
      </c>
      <c r="Q991" s="13" t="str">
        <f>HYPERLINK(AC2 &amp; "/flashlight/sn_eaa9a6c52b062cc5cb7e9ee2bb5c85bb/rendering/14.xyz", "0.0")</f>
        <v>0.0</v>
      </c>
      <c r="R991" s="13" t="str">
        <f>HYPERLINK(AC2 &amp; "/flashlight/sn_eaa9a6c52b062cc5cb7e9ee2bb5c85bb/rendering/15.xyz", "0.0")</f>
        <v>0.0</v>
      </c>
      <c r="S991" s="13" t="str">
        <f>HYPERLINK(AC2 &amp; "/flashlight/sn_eaa9a6c52b062cc5cb7e9ee2bb5c85bb/rendering/16.xyz", "0.0")</f>
        <v>0.0</v>
      </c>
      <c r="T991" s="13" t="str">
        <f>HYPERLINK(AC2 &amp; "/flashlight/sn_eaa9a6c52b062cc5cb7e9ee2bb5c85bb/rendering/17.xyz", "0.0")</f>
        <v>0.0</v>
      </c>
      <c r="U991" s="13" t="str">
        <f>HYPERLINK(AC2 &amp; "/flashlight/sn_eaa9a6c52b062cc5cb7e9ee2bb5c85bb/rendering/18.xyz", "0.0")</f>
        <v>0.0</v>
      </c>
      <c r="V991" s="13" t="str">
        <f>HYPERLINK(AC2 &amp; "/flashlight/sn_eaa9a6c52b062cc5cb7e9ee2bb5c85bb/rendering/19.xyz", "0.0")</f>
        <v>0.0</v>
      </c>
      <c r="W991" s="12" t="s">
        <v>33</v>
      </c>
      <c r="X991" s="13">
        <v>0</v>
      </c>
      <c r="Y991" s="13">
        <v>0</v>
      </c>
      <c r="Z991" s="13">
        <v>0</v>
      </c>
    </row>
    <row r="992" spans="1:26" x14ac:dyDescent="0.2">
      <c r="A992" s="1">
        <v>990</v>
      </c>
      <c r="B992" s="2" t="s">
        <v>231</v>
      </c>
      <c r="C992" s="156" t="str">
        <f>HYPERLINK(AA2 &amp; "/flashlight/sn_f341ac6a0ed1f2fcbcbb5732017b0d93/rendering/00.obj", "8.78938598633")</f>
        <v>8.78938598633</v>
      </c>
      <c r="D992" s="88" t="str">
        <f>HYPERLINK(AA2 &amp; "/flashlight/sn_f341ac6a0ed1f2fcbcbb5732017b0d93/rendering/01.obj", "4.85216003418")</f>
        <v>4.85216003418</v>
      </c>
      <c r="E992" s="20" t="str">
        <f>HYPERLINK(AA2 &amp; "/flashlight/sn_f341ac6a0ed1f2fcbcbb5732017b0d93/rendering/02.obj", "15.0456933594")</f>
        <v>15.0456933594</v>
      </c>
      <c r="F992" s="78" t="str">
        <f>HYPERLINK(AA2 &amp; "/flashlight/sn_f341ac6a0ed1f2fcbcbb5732017b0d93/rendering/03.obj", "5.69647155762")</f>
        <v>5.69647155762</v>
      </c>
      <c r="G992" s="49" t="str">
        <f>HYPERLINK(AA2 &amp; "/flashlight/sn_f341ac6a0ed1f2fcbcbb5732017b0d93/rendering/04.obj", "4.80040588379")</f>
        <v>4.80040588379</v>
      </c>
      <c r="H992" s="49" t="str">
        <f>HYPERLINK(AA2 &amp; "/flashlight/sn_f341ac6a0ed1f2fcbcbb5732017b0d93/rendering/05.obj", "4.81454956055")</f>
        <v>4.81454956055</v>
      </c>
      <c r="I992" s="30" t="str">
        <f>HYPERLINK(AA2 &amp; "/flashlight/sn_f341ac6a0ed1f2fcbcbb5732017b0d93/rendering/06.obj", "6.0424206543")</f>
        <v>6.0424206543</v>
      </c>
      <c r="J992" s="11" t="str">
        <f>HYPERLINK(AA2 &amp; "/flashlight/sn_f341ac6a0ed1f2fcbcbb5732017b0d93/rendering/07.obj", "4.71990600586")</f>
        <v>4.71990600586</v>
      </c>
      <c r="K992" s="168" t="str">
        <f>HYPERLINK(AA2 &amp; "/flashlight/sn_f341ac6a0ed1f2fcbcbb5732017b0d93/rendering/08.obj", "4.12726470947")</f>
        <v>4.12726470947</v>
      </c>
      <c r="L992" s="133" t="str">
        <f>HYPERLINK(AA2 &amp; "/flashlight/sn_f341ac6a0ed1f2fcbcbb5732017b0d93/rendering/09.obj", "5.45177978516")</f>
        <v>5.45177978516</v>
      </c>
      <c r="M992" s="34" t="str">
        <f>HYPERLINK(AA2 &amp; "/flashlight/sn_f341ac6a0ed1f2fcbcbb5732017b0d93/rendering/10.obj", "5.78794799805")</f>
        <v>5.78794799805</v>
      </c>
      <c r="N992" s="32" t="str">
        <f>HYPERLINK(AA2 &amp; "/flashlight/sn_f341ac6a0ed1f2fcbcbb5732017b0d93/rendering/11.obj", "5.44717834473")</f>
        <v>5.44717834473</v>
      </c>
      <c r="O992" s="31" t="str">
        <f>HYPERLINK(AA2 &amp; "/flashlight/sn_f341ac6a0ed1f2fcbcbb5732017b0d93/rendering/12.obj", "5.13635864258")</f>
        <v>5.13635864258</v>
      </c>
      <c r="P992" s="166" t="str">
        <f>HYPERLINK(AA2 &amp; "/flashlight/sn_f341ac6a0ed1f2fcbcbb5732017b0d93/rendering/13.obj", "4.32467895508")</f>
        <v>4.32467895508</v>
      </c>
      <c r="Q992" s="28" t="str">
        <f>HYPERLINK(AA2 &amp; "/flashlight/sn_f341ac6a0ed1f2fcbcbb5732017b0d93/rendering/14.obj", "5.40223876953")</f>
        <v>5.40223876953</v>
      </c>
      <c r="R992" s="198" t="str">
        <f>HYPERLINK(AA2 &amp; "/flashlight/sn_f341ac6a0ed1f2fcbcbb5732017b0d93/rendering/15.obj", "3.71567687988")</f>
        <v>3.71567687988</v>
      </c>
      <c r="S992" s="117" t="str">
        <f>HYPERLINK(AA2 &amp; "/flashlight/sn_f341ac6a0ed1f2fcbcbb5732017b0d93/rendering/16.obj", "4.99993988037")</f>
        <v>4.99993988037</v>
      </c>
      <c r="T992" s="63" t="str">
        <f>HYPERLINK(AA2 &amp; "/flashlight/sn_f341ac6a0ed1f2fcbcbb5732017b0d93/rendering/17.obj", "5.34650390625")</f>
        <v>5.34650390625</v>
      </c>
      <c r="U992" s="86" t="str">
        <f>HYPERLINK(AA2 &amp; "/flashlight/sn_f341ac6a0ed1f2fcbcbb5732017b0d93/rendering/18.obj", "4.44815185547")</f>
        <v>4.44815185547</v>
      </c>
      <c r="V992" s="20" t="str">
        <f>HYPERLINK(AA2 &amp; "/flashlight/sn_f341ac6a0ed1f2fcbcbb5732017b0d93/rendering/19.obj", "12.5965795898")</f>
        <v>12.5965795898</v>
      </c>
      <c r="W992" s="12" t="s">
        <v>29</v>
      </c>
      <c r="X992" s="13">
        <v>6.0772646179199219</v>
      </c>
      <c r="Y992" s="13">
        <v>2.792998673392193</v>
      </c>
      <c r="Z992" s="114">
        <v>0.45958154679599228</v>
      </c>
    </row>
    <row r="993" spans="1:26" x14ac:dyDescent="0.2">
      <c r="A993" s="1">
        <v>991</v>
      </c>
      <c r="B993" s="2" t="s">
        <v>231</v>
      </c>
      <c r="C993" s="20" t="str">
        <f>HYPERLINK(AA2 &amp; "/flashlight/sn_f341ac6a0ed1f2fcbcbb5732017b0d93/rendering/00.obj", "15.4738025665")</f>
        <v>15.4738025665</v>
      </c>
      <c r="D993" s="42" t="str">
        <f>HYPERLINK(AA2 &amp; "/flashlight/sn_f341ac6a0ed1f2fcbcbb5732017b0d93/rendering/01.obj", "7.00652694702")</f>
        <v>7.00652694702</v>
      </c>
      <c r="E993" s="20" t="str">
        <f>HYPERLINK(AA2 &amp; "/flashlight/sn_f341ac6a0ed1f2fcbcbb5732017b0d93/rendering/02.obj", "27.1151027679")</f>
        <v>27.1151027679</v>
      </c>
      <c r="F993" s="193" t="str">
        <f>HYPERLINK(AA2 &amp; "/flashlight/sn_f341ac6a0ed1f2fcbcbb5732017b0d93/rendering/03.obj", "5.43857240677")</f>
        <v>5.43857240677</v>
      </c>
      <c r="G993" s="187" t="str">
        <f>HYPERLINK(AA2 &amp; "/flashlight/sn_f341ac6a0ed1f2fcbcbb5732017b0d93/rendering/04.obj", "5.27916002274")</f>
        <v>5.27916002274</v>
      </c>
      <c r="H993" s="196" t="str">
        <f>HYPERLINK(AA2 &amp; "/flashlight/sn_f341ac6a0ed1f2fcbcbb5732017b0d93/rendering/05.obj", "4.90647268295")</f>
        <v>4.90647268295</v>
      </c>
      <c r="I993" s="129" t="str">
        <f>HYPERLINK(AA2 &amp; "/flashlight/sn_f341ac6a0ed1f2fcbcbb5732017b0d93/rendering/06.obj", "6.10410070419")</f>
        <v>6.10410070419</v>
      </c>
      <c r="J993" s="36" t="str">
        <f>HYPERLINK(AA2 &amp; "/flashlight/sn_f341ac6a0ed1f2fcbcbb5732017b0d93/rendering/07.obj", "6.38615942001")</f>
        <v>6.38615942001</v>
      </c>
      <c r="K993" s="132" t="str">
        <f>HYPERLINK(AA2 &amp; "/flashlight/sn_f341ac6a0ed1f2fcbcbb5732017b0d93/rendering/08.obj", "4.71872663498")</f>
        <v>4.71872663498</v>
      </c>
      <c r="L993" s="104" t="str">
        <f>HYPERLINK(AA2 &amp; "/flashlight/sn_f341ac6a0ed1f2fcbcbb5732017b0d93/rendering/09.obj", "4.26454114914")</f>
        <v>4.26454114914</v>
      </c>
      <c r="M993" s="19" t="str">
        <f>HYPERLINK(AA2 &amp; "/flashlight/sn_f341ac6a0ed1f2fcbcbb5732017b0d93/rendering/10.obj", "5.99370002747")</f>
        <v>5.99370002747</v>
      </c>
      <c r="N993" s="109" t="str">
        <f>HYPERLINK(AA2 &amp; "/flashlight/sn_f341ac6a0ed1f2fcbcbb5732017b0d93/rendering/11.obj", "6.58768701553")</f>
        <v>6.58768701553</v>
      </c>
      <c r="O993" s="50" t="str">
        <f>HYPERLINK(AA2 &amp; "/flashlight/sn_f341ac6a0ed1f2fcbcbb5732017b0d93/rendering/12.obj", "6.51311826706")</f>
        <v>6.51311826706</v>
      </c>
      <c r="P993" s="249" t="str">
        <f>HYPERLINK(AA2 &amp; "/flashlight/sn_f341ac6a0ed1f2fcbcbb5732017b0d93/rendering/13.obj", "3.46802091599")</f>
        <v>3.46802091599</v>
      </c>
      <c r="Q993" s="87" t="str">
        <f>HYPERLINK(AA2 &amp; "/flashlight/sn_f341ac6a0ed1f2fcbcbb5732017b0d93/rendering/14.obj", "6.28313970566")</f>
        <v>6.28313970566</v>
      </c>
      <c r="R993" s="203" t="str">
        <f>HYPERLINK(AA2 &amp; "/flashlight/sn_f341ac6a0ed1f2fcbcbb5732017b0d93/rendering/15.obj", "4.33054018021")</f>
        <v>4.33054018021</v>
      </c>
      <c r="S993" s="227" t="str">
        <f>HYPERLINK(AA2 &amp; "/flashlight/sn_f341ac6a0ed1f2fcbcbb5732017b0d93/rendering/16.obj", "3.98018550873")</f>
        <v>3.98018550873</v>
      </c>
      <c r="T993" s="151" t="str">
        <f>HYPERLINK(AA2 &amp; "/flashlight/sn_f341ac6a0ed1f2fcbcbb5732017b0d93/rendering/17.obj", "5.20108270645")</f>
        <v>5.20108270645</v>
      </c>
      <c r="U993" s="227" t="str">
        <f>HYPERLINK(AA2 &amp; "/flashlight/sn_f341ac6a0ed1f2fcbcbb5732017b0d93/rendering/18.obj", "3.98560404778")</f>
        <v>3.98560404778</v>
      </c>
      <c r="V993" s="20" t="str">
        <f>HYPERLINK(AA2 &amp; "/flashlight/sn_f341ac6a0ed1f2fcbcbb5732017b0d93/rendering/19.obj", "29.3296070099")</f>
        <v>29.3296070099</v>
      </c>
      <c r="W993" s="12" t="s">
        <v>30</v>
      </c>
      <c r="X993" s="13">
        <v>8.1182925343513492</v>
      </c>
      <c r="Y993" s="13">
        <v>7.1296828169741806</v>
      </c>
      <c r="Z993" s="20">
        <v>0.87822442795772482</v>
      </c>
    </row>
    <row r="994" spans="1:26" x14ac:dyDescent="0.2">
      <c r="A994" s="1">
        <v>992</v>
      </c>
      <c r="B994" s="2" t="s">
        <v>231</v>
      </c>
      <c r="C994" s="76" t="str">
        <f>HYPERLINK(AB2 &amp; "/flashlight/sn_f341ac6a0ed1f2fcbcbb5732017b0d93/rendering/00.obj", "5.37935791016")</f>
        <v>5.37935791016</v>
      </c>
      <c r="D994" s="60" t="str">
        <f>HYPERLINK(AB2 &amp; "/flashlight/sn_f341ac6a0ed1f2fcbcbb5732017b0d93/rendering/01.obj", "4.30511901855")</f>
        <v>4.30511901855</v>
      </c>
      <c r="E994" s="94" t="str">
        <f>HYPERLINK(AB2 &amp; "/flashlight/sn_f341ac6a0ed1f2fcbcbb5732017b0d93/rendering/02.obj", "4.87369018555")</f>
        <v>4.87369018555</v>
      </c>
      <c r="F994" s="69" t="str">
        <f>HYPERLINK(AB2 &amp; "/flashlight/sn_f341ac6a0ed1f2fcbcbb5732017b0d93/rendering/03.obj", "4.40644836426")</f>
        <v>4.40644836426</v>
      </c>
      <c r="G994" s="32" t="str">
        <f>HYPERLINK(AB2 &amp; "/flashlight/sn_f341ac6a0ed1f2fcbcbb5732017b0d93/rendering/04.obj", "4.06480163574")</f>
        <v>4.06480163574</v>
      </c>
      <c r="H994" s="134" t="str">
        <f>HYPERLINK(AB2 &amp; "/flashlight/sn_f341ac6a0ed1f2fcbcbb5732017b0d93/rendering/05.obj", "5.35830078125")</f>
        <v>5.35830078125</v>
      </c>
      <c r="I994" s="27" t="str">
        <f>HYPERLINK(AB2 &amp; "/flashlight/sn_f341ac6a0ed1f2fcbcbb5732017b0d93/rendering/06.obj", "4.22367706299")</f>
        <v>4.22367706299</v>
      </c>
      <c r="J994" s="6" t="str">
        <f>HYPERLINK(AB2 &amp; "/flashlight/sn_f341ac6a0ed1f2fcbcbb5732017b0d93/rendering/07.obj", "4.33707885742")</f>
        <v>4.33707885742</v>
      </c>
      <c r="K994" s="76" t="str">
        <f>HYPERLINK(AB2 &amp; "/flashlight/sn_f341ac6a0ed1f2fcbcbb5732017b0d93/rendering/08.obj", "5.38250183105")</f>
        <v>5.38250183105</v>
      </c>
      <c r="L994" s="88" t="str">
        <f>HYPERLINK(AB2 &amp; "/flashlight/sn_f341ac6a0ed1f2fcbcbb5732017b0d93/rendering/09.obj", "3.6316418457")</f>
        <v>3.6316418457</v>
      </c>
      <c r="M994" s="10" t="str">
        <f>HYPERLINK(AB2 &amp; "/flashlight/sn_f341ac6a0ed1f2fcbcbb5732017b0d93/rendering/10.obj", "4.79069641113")</f>
        <v>4.79069641113</v>
      </c>
      <c r="N994" s="88" t="str">
        <f>HYPERLINK(AB2 &amp; "/flashlight/sn_f341ac6a0ed1f2fcbcbb5732017b0d93/rendering/11.obj", "5.46983398437")</f>
        <v>5.46983398437</v>
      </c>
      <c r="O994" s="35" t="str">
        <f>HYPERLINK(AB2 &amp; "/flashlight/sn_f341ac6a0ed1f2fcbcbb5732017b0d93/rendering/12.obj", "4.81536315918")</f>
        <v>4.81536315918</v>
      </c>
      <c r="P994" s="90" t="str">
        <f>HYPERLINK(AB2 &amp; "/flashlight/sn_f341ac6a0ed1f2fcbcbb5732017b0d93/rendering/13.obj", "4.11509277344")</f>
        <v>4.11509277344</v>
      </c>
      <c r="Q994" s="24" t="str">
        <f>HYPERLINK(AB2 &amp; "/flashlight/sn_f341ac6a0ed1f2fcbcbb5732017b0d93/rendering/14.obj", "3.77682403564")</f>
        <v>3.77682403564</v>
      </c>
      <c r="R994" s="68" t="str">
        <f>HYPERLINK(AB2 &amp; "/flashlight/sn_f341ac6a0ed1f2fcbcbb5732017b0d93/rendering/15.obj", "4.34621643066")</f>
        <v>4.34621643066</v>
      </c>
      <c r="S994" s="91" t="str">
        <f>HYPERLINK(AB2 &amp; "/flashlight/sn_f341ac6a0ed1f2fcbcbb5732017b0d93/rendering/16.obj", "4.66946075439")</f>
        <v>4.66946075439</v>
      </c>
      <c r="T994" s="25" t="str">
        <f>HYPERLINK(AB2 &amp; "/flashlight/sn_f341ac6a0ed1f2fcbcbb5732017b0d93/rendering/17.obj", "4.49601196289")</f>
        <v>4.49601196289</v>
      </c>
      <c r="U994" s="51" t="str">
        <f>HYPERLINK(AB2 &amp; "/flashlight/sn_f341ac6a0ed1f2fcbcbb5732017b0d93/rendering/18.obj", "4.90709320068")</f>
        <v>4.90709320068</v>
      </c>
      <c r="V994" s="75" t="str">
        <f>HYPERLINK(AB2 &amp; "/flashlight/sn_f341ac6a0ed1f2fcbcbb5732017b0d93/rendering/19.obj", "3.54598571777")</f>
        <v>3.54598571777</v>
      </c>
      <c r="W994" s="12" t="s">
        <v>31</v>
      </c>
      <c r="X994" s="13">
        <v>4.5447597961425776</v>
      </c>
      <c r="Y994" s="13">
        <v>0.56592097411665099</v>
      </c>
      <c r="Z994" s="92">
        <v>0.12452164679791961</v>
      </c>
    </row>
    <row r="995" spans="1:26" x14ac:dyDescent="0.2">
      <c r="A995" s="1">
        <v>993</v>
      </c>
      <c r="B995" s="2" t="s">
        <v>231</v>
      </c>
      <c r="C995" s="174" t="str">
        <f>HYPERLINK(AB2 &amp; "/flashlight/sn_f341ac6a0ed1f2fcbcbb5732017b0d93/rendering/00.obj", "6.27923727036")</f>
        <v>6.27923727036</v>
      </c>
      <c r="D995" s="120" t="str">
        <f>HYPERLINK(AB2 &amp; "/flashlight/sn_f341ac6a0ed1f2fcbcbb5732017b0d93/rendering/01.obj", "3.24259519577")</f>
        <v>3.24259519577</v>
      </c>
      <c r="E995" s="72" t="str">
        <f>HYPERLINK(AB2 &amp; "/flashlight/sn_f341ac6a0ed1f2fcbcbb5732017b0d93/rendering/02.obj", "4.25937652588")</f>
        <v>4.25937652588</v>
      </c>
      <c r="F995" s="106" t="str">
        <f>HYPERLINK(AB2 &amp; "/flashlight/sn_f341ac6a0ed1f2fcbcbb5732017b0d93/rendering/03.obj", "3.65202355385")</f>
        <v>3.65202355385</v>
      </c>
      <c r="G995" s="40" t="str">
        <f>HYPERLINK(AB2 &amp; "/flashlight/sn_f341ac6a0ed1f2fcbcbb5732017b0d93/rendering/04.obj", "3.42152619362")</f>
        <v>3.42152619362</v>
      </c>
      <c r="H995" s="77" t="str">
        <f>HYPERLINK(AB2 &amp; "/flashlight/sn_f341ac6a0ed1f2fcbcbb5732017b0d93/rendering/05.obj", "4.89057159424")</f>
        <v>4.89057159424</v>
      </c>
      <c r="I995" s="107" t="str">
        <f>HYPERLINK(AB2 &amp; "/flashlight/sn_f341ac6a0ed1f2fcbcbb5732017b0d93/rendering/06.obj", "4.45694971085")</f>
        <v>4.45694971085</v>
      </c>
      <c r="J995" s="82" t="str">
        <f>HYPERLINK(AB2 &amp; "/flashlight/sn_f341ac6a0ed1f2fcbcbb5732017b0d93/rendering/07.obj", "3.27520656586")</f>
        <v>3.27520656586</v>
      </c>
      <c r="K995" s="56" t="str">
        <f>HYPERLINK(AB2 &amp; "/flashlight/sn_f341ac6a0ed1f2fcbcbb5732017b0d93/rendering/08.obj", "5.39575147629")</f>
        <v>5.39575147629</v>
      </c>
      <c r="L995" s="13" t="str">
        <f>HYPERLINK(AB2 &amp; "/flashlight/sn_f341ac6a0ed1f2fcbcbb5732017b0d93/rendering/09.obj", "4.12956953049")</f>
        <v>4.12956953049</v>
      </c>
      <c r="M995" s="84" t="str">
        <f>HYPERLINK(AB2 &amp; "/flashlight/sn_f341ac6a0ed1f2fcbcbb5732017b0d93/rendering/10.obj", "3.52346897125")</f>
        <v>3.52346897125</v>
      </c>
      <c r="N995" s="72" t="str">
        <f>HYPERLINK(AB2 &amp; "/flashlight/sn_f341ac6a0ed1f2fcbcbb5732017b0d93/rendering/11.obj", "3.98103070259")</f>
        <v>3.98103070259</v>
      </c>
      <c r="O995" s="13" t="str">
        <f>HYPERLINK(AB2 &amp; "/flashlight/sn_f341ac6a0ed1f2fcbcbb5732017b0d93/rendering/12.obj", "4.11046409607")</f>
        <v>4.11046409607</v>
      </c>
      <c r="P995" s="134" t="str">
        <f>HYPERLINK(AB2 &amp; "/flashlight/sn_f341ac6a0ed1f2fcbcbb5732017b0d93/rendering/13.obj", "3.37415933609")</f>
        <v>3.37415933609</v>
      </c>
      <c r="Q995" s="10" t="str">
        <f>HYPERLINK(AB2 &amp; "/flashlight/sn_f341ac6a0ed1f2fcbcbb5732017b0d93/rendering/14.obj", "4.34185361862")</f>
        <v>4.34185361862</v>
      </c>
      <c r="R995" s="51" t="str">
        <f>HYPERLINK(AB2 &amp; "/flashlight/sn_f341ac6a0ed1f2fcbcbb5732017b0d93/rendering/15.obj", "4.44789457321")</f>
        <v>4.44789457321</v>
      </c>
      <c r="S995" s="26" t="str">
        <f>HYPERLINK(AB2 &amp; "/flashlight/sn_f341ac6a0ed1f2fcbcbb5732017b0d93/rendering/16.obj", "3.8511865139")</f>
        <v>3.8511865139</v>
      </c>
      <c r="T995" s="29" t="str">
        <f>HYPERLINK(AB2 &amp; "/flashlight/sn_f341ac6a0ed1f2fcbcbb5732017b0d93/rendering/17.obj", "3.58306264877")</f>
        <v>3.58306264877</v>
      </c>
      <c r="U995" s="47" t="str">
        <f>HYPERLINK(AB2 &amp; "/flashlight/sn_f341ac6a0ed1f2fcbcbb5732017b0d93/rendering/18.obj", "4.09249210358")</f>
        <v>4.09249210358</v>
      </c>
      <c r="V995" s="30" t="str">
        <f>HYPERLINK(AB2 &amp; "/flashlight/sn_f341ac6a0ed1f2fcbcbb5732017b0d93/rendering/19.obj", "4.09610462189")</f>
        <v>4.09610462189</v>
      </c>
      <c r="W995" s="12" t="s">
        <v>32</v>
      </c>
      <c r="X995" s="13">
        <v>4.1202262401580807</v>
      </c>
      <c r="Y995" s="13">
        <v>0.72997318961935986</v>
      </c>
      <c r="Z995" s="117">
        <v>0.17716822986675429</v>
      </c>
    </row>
    <row r="996" spans="1:26" x14ac:dyDescent="0.2">
      <c r="A996" s="1">
        <v>994</v>
      </c>
      <c r="B996" s="2" t="s">
        <v>231</v>
      </c>
      <c r="C996" s="13" t="str">
        <f>HYPERLINK(AC2 &amp; "/flashlight/sn_f341ac6a0ed1f2fcbcbb5732017b0d93/rendering/00.xyz", "0.0")</f>
        <v>0.0</v>
      </c>
      <c r="D996" s="13" t="str">
        <f>HYPERLINK(AC2 &amp; "/flashlight/sn_f341ac6a0ed1f2fcbcbb5732017b0d93/rendering/01.xyz", "0.0")</f>
        <v>0.0</v>
      </c>
      <c r="E996" s="13" t="str">
        <f>HYPERLINK(AC2 &amp; "/flashlight/sn_f341ac6a0ed1f2fcbcbb5732017b0d93/rendering/02.xyz", "0.0")</f>
        <v>0.0</v>
      </c>
      <c r="F996" s="13" t="str">
        <f>HYPERLINK(AC2 &amp; "/flashlight/sn_f341ac6a0ed1f2fcbcbb5732017b0d93/rendering/03.xyz", "0.0")</f>
        <v>0.0</v>
      </c>
      <c r="G996" s="13" t="str">
        <f>HYPERLINK(AC2 &amp; "/flashlight/sn_f341ac6a0ed1f2fcbcbb5732017b0d93/rendering/04.xyz", "0.0")</f>
        <v>0.0</v>
      </c>
      <c r="H996" s="13" t="str">
        <f>HYPERLINK(AC2 &amp; "/flashlight/sn_f341ac6a0ed1f2fcbcbb5732017b0d93/rendering/05.xyz", "0.0")</f>
        <v>0.0</v>
      </c>
      <c r="I996" s="13" t="str">
        <f>HYPERLINK(AC2 &amp; "/flashlight/sn_f341ac6a0ed1f2fcbcbb5732017b0d93/rendering/06.xyz", "0.0")</f>
        <v>0.0</v>
      </c>
      <c r="J996" s="13" t="str">
        <f>HYPERLINK(AC2 &amp; "/flashlight/sn_f341ac6a0ed1f2fcbcbb5732017b0d93/rendering/07.xyz", "0.0")</f>
        <v>0.0</v>
      </c>
      <c r="K996" s="13" t="str">
        <f>HYPERLINK(AC2 &amp; "/flashlight/sn_f341ac6a0ed1f2fcbcbb5732017b0d93/rendering/08.xyz", "0.0")</f>
        <v>0.0</v>
      </c>
      <c r="L996" s="13" t="str">
        <f>HYPERLINK(AC2 &amp; "/flashlight/sn_f341ac6a0ed1f2fcbcbb5732017b0d93/rendering/09.xyz", "0.0")</f>
        <v>0.0</v>
      </c>
      <c r="M996" s="13" t="str">
        <f>HYPERLINK(AC2 &amp; "/flashlight/sn_f341ac6a0ed1f2fcbcbb5732017b0d93/rendering/10.xyz", "0.0")</f>
        <v>0.0</v>
      </c>
      <c r="N996" s="13" t="str">
        <f>HYPERLINK(AC2 &amp; "/flashlight/sn_f341ac6a0ed1f2fcbcbb5732017b0d93/rendering/11.xyz", "0.0")</f>
        <v>0.0</v>
      </c>
      <c r="O996" s="13" t="str">
        <f>HYPERLINK(AC2 &amp; "/flashlight/sn_f341ac6a0ed1f2fcbcbb5732017b0d93/rendering/12.xyz", "0.0")</f>
        <v>0.0</v>
      </c>
      <c r="P996" s="13" t="str">
        <f>HYPERLINK(AC2 &amp; "/flashlight/sn_f341ac6a0ed1f2fcbcbb5732017b0d93/rendering/13.xyz", "0.0")</f>
        <v>0.0</v>
      </c>
      <c r="Q996" s="13" t="str">
        <f>HYPERLINK(AC2 &amp; "/flashlight/sn_f341ac6a0ed1f2fcbcbb5732017b0d93/rendering/14.xyz", "0.0")</f>
        <v>0.0</v>
      </c>
      <c r="R996" s="13" t="str">
        <f>HYPERLINK(AC2 &amp; "/flashlight/sn_f341ac6a0ed1f2fcbcbb5732017b0d93/rendering/15.xyz", "0.0")</f>
        <v>0.0</v>
      </c>
      <c r="S996" s="13" t="str">
        <f>HYPERLINK(AC2 &amp; "/flashlight/sn_f341ac6a0ed1f2fcbcbb5732017b0d93/rendering/16.xyz", "0.0")</f>
        <v>0.0</v>
      </c>
      <c r="T996" s="13" t="str">
        <f>HYPERLINK(AC2 &amp; "/flashlight/sn_f341ac6a0ed1f2fcbcbb5732017b0d93/rendering/17.xyz", "0.0")</f>
        <v>0.0</v>
      </c>
      <c r="U996" s="13" t="str">
        <f>HYPERLINK(AC2 &amp; "/flashlight/sn_f341ac6a0ed1f2fcbcbb5732017b0d93/rendering/18.xyz", "0.0")</f>
        <v>0.0</v>
      </c>
      <c r="V996" s="13" t="str">
        <f>HYPERLINK(AC2 &amp; "/flashlight/sn_f341ac6a0ed1f2fcbcbb5732017b0d93/rendering/19.xyz", "0.0")</f>
        <v>0.0</v>
      </c>
      <c r="W996" s="12" t="s">
        <v>33</v>
      </c>
      <c r="X996" s="13">
        <v>0</v>
      </c>
      <c r="Y996" s="13">
        <v>0</v>
      </c>
      <c r="Z996" s="13">
        <v>0</v>
      </c>
    </row>
    <row r="997" spans="1:26" x14ac:dyDescent="0.2">
      <c r="A997" s="1">
        <v>995</v>
      </c>
      <c r="B997" s="2" t="s">
        <v>232</v>
      </c>
      <c r="C997" s="24" t="str">
        <f>HYPERLINK(AA2 &amp; "/flashlight/sn_f87bddb9765ab115b7fb80ad0b36293d/rendering/00.obj", "2.32205047607")</f>
        <v>2.32205047607</v>
      </c>
      <c r="D997" s="32" t="str">
        <f>HYPERLINK(AA2 &amp; "/flashlight/sn_f87bddb9765ab115b7fb80ad0b36293d/rendering/01.obj", "3.08449951172")</f>
        <v>3.08449951172</v>
      </c>
      <c r="E997" s="51" t="str">
        <f>HYPERLINK(AA2 &amp; "/flashlight/sn_f87bddb9765ab115b7fb80ad0b36293d/rendering/02.obj", "3.0113848877")</f>
        <v>3.0113848877</v>
      </c>
      <c r="F997" s="73" t="str">
        <f>HYPERLINK(AA2 &amp; "/flashlight/sn_f87bddb9765ab115b7fb80ad0b36293d/rendering/03.obj", "2.69294677734")</f>
        <v>2.69294677734</v>
      </c>
      <c r="G997" s="17" t="str">
        <f>HYPERLINK(AA2 &amp; "/flashlight/sn_f87bddb9765ab115b7fb80ad0b36293d/rendering/04.obj", "2.72905181885")</f>
        <v>2.72905181885</v>
      </c>
      <c r="H997" s="26" t="str">
        <f>HYPERLINK(AA2 &amp; "/flashlight/sn_f87bddb9765ab115b7fb80ad0b36293d/rendering/05.obj", "2.60802520752")</f>
        <v>2.60802520752</v>
      </c>
      <c r="I997" s="39" t="str">
        <f>HYPERLINK(AA2 &amp; "/flashlight/sn_f87bddb9765ab115b7fb80ad0b36293d/rendering/06.obj", "2.54662612915")</f>
        <v>2.54662612915</v>
      </c>
      <c r="J997" s="94" t="str">
        <f>HYPERLINK(AA2 &amp; "/flashlight/sn_f87bddb9765ab115b7fb80ad0b36293d/rendering/07.obj", "2.58087249756")</f>
        <v>2.58087249756</v>
      </c>
      <c r="K997" s="32" t="str">
        <f>HYPERLINK(AA2 &amp; "/flashlight/sn_f87bddb9765ab115b7fb80ad0b36293d/rendering/08.obj", "2.49466674805")</f>
        <v>2.49466674805</v>
      </c>
      <c r="L997" s="41" t="str">
        <f>HYPERLINK(AA2 &amp; "/flashlight/sn_f87bddb9765ab115b7fb80ad0b36293d/rendering/09.obj", "2.97406982422")</f>
        <v>2.97406982422</v>
      </c>
      <c r="M997" s="95" t="str">
        <f>HYPERLINK(AA2 &amp; "/flashlight/sn_f87bddb9765ab115b7fb80ad0b36293d/rendering/10.obj", "3.57471069336")</f>
        <v>3.57471069336</v>
      </c>
      <c r="N997" s="65" t="str">
        <f>HYPERLINK(AA2 &amp; "/flashlight/sn_f87bddb9765ab115b7fb80ad0b36293d/rendering/11.obj", "2.41378616333")</f>
        <v>2.41378616333</v>
      </c>
      <c r="O997" s="44" t="str">
        <f>HYPERLINK(AA2 &amp; "/flashlight/sn_f87bddb9765ab115b7fb80ad0b36293d/rendering/12.obj", "3.33684326172")</f>
        <v>3.33684326172</v>
      </c>
      <c r="P997" s="34" t="str">
        <f>HYPERLINK(AA2 &amp; "/flashlight/sn_f87bddb9765ab115b7fb80ad0b36293d/rendering/13.obj", "2.92675872803")</f>
        <v>2.92675872803</v>
      </c>
      <c r="Q997" s="47" t="str">
        <f>HYPERLINK(AA2 &amp; "/flashlight/sn_f87bddb9765ab115b7fb80ad0b36293d/rendering/14.obj", "2.76528869629")</f>
        <v>2.76528869629</v>
      </c>
      <c r="R997" s="80" t="str">
        <f>HYPERLINK(AA2 &amp; "/flashlight/sn_f87bddb9765ab115b7fb80ad0b36293d/rendering/15.obj", "2.37793075562")</f>
        <v>2.37793075562</v>
      </c>
      <c r="S997" s="78" t="str">
        <f>HYPERLINK(AA2 &amp; "/flashlight/sn_f87bddb9765ab115b7fb80ad0b36293d/rendering/16.obj", "2.61758453369")</f>
        <v>2.61758453369</v>
      </c>
      <c r="T997" s="106" t="str">
        <f>HYPERLINK(AA2 &amp; "/flashlight/sn_f87bddb9765ab115b7fb80ad0b36293d/rendering/17.obj", "3.11096252441")</f>
        <v>3.11096252441</v>
      </c>
      <c r="U997" s="76" t="str">
        <f>HYPERLINK(AA2 &amp; "/flashlight/sn_f87bddb9765ab115b7fb80ad0b36293d/rendering/18.obj", "3.30458740234")</f>
        <v>3.30458740234</v>
      </c>
      <c r="V997" s="40" t="str">
        <f>HYPERLINK(AA2 &amp; "/flashlight/sn_f87bddb9765ab115b7fb80ad0b36293d/rendering/19.obj", "2.3163067627")</f>
        <v>2.3163067627</v>
      </c>
      <c r="W997" s="12" t="s">
        <v>29</v>
      </c>
      <c r="X997" s="13">
        <v>2.78944766998291</v>
      </c>
      <c r="Y997" s="13">
        <v>0.35301690843688499</v>
      </c>
      <c r="Z997" s="70">
        <v>0.12655441155454539</v>
      </c>
    </row>
    <row r="998" spans="1:26" x14ac:dyDescent="0.2">
      <c r="A998" s="1">
        <v>996</v>
      </c>
      <c r="B998" s="2" t="s">
        <v>232</v>
      </c>
      <c r="C998" s="11" t="str">
        <f>HYPERLINK(AA2 &amp; "/flashlight/sn_f87bddb9765ab115b7fb80ad0b36293d/rendering/00.obj", "1.16472411156")</f>
        <v>1.16472411156</v>
      </c>
      <c r="D998" s="4" t="str">
        <f>HYPERLINK(AA2 &amp; "/flashlight/sn_f87bddb9765ab115b7fb80ad0b36293d/rendering/01.obj", "1.92897224426")</f>
        <v>1.92897224426</v>
      </c>
      <c r="E998" s="13" t="str">
        <f>HYPERLINK(AA2 &amp; "/flashlight/sn_f87bddb9765ab115b7fb80ad0b36293d/rendering/02.obj", "1.50169420242")</f>
        <v>1.50169420242</v>
      </c>
      <c r="F998" s="6" t="str">
        <f>HYPERLINK(AA2 &amp; "/flashlight/sn_f87bddb9765ab115b7fb80ad0b36293d/rendering/03.obj", "1.43274629116")</f>
        <v>1.43274629116</v>
      </c>
      <c r="G998" s="133" t="str">
        <f>HYPERLINK(AA2 &amp; "/flashlight/sn_f87bddb9765ab115b7fb80ad0b36293d/rendering/04.obj", "1.35019075871")</f>
        <v>1.35019075871</v>
      </c>
      <c r="H998" s="136" t="str">
        <f>HYPERLINK(AA2 &amp; "/flashlight/sn_f87bddb9765ab115b7fb80ad0b36293d/rendering/05.obj", "1.14503669739")</f>
        <v>1.14503669739</v>
      </c>
      <c r="I998" s="42" t="str">
        <f>HYPERLINK(AA2 &amp; "/flashlight/sn_f87bddb9765ab115b7fb80ad0b36293d/rendering/06.obj", "1.29892683029")</f>
        <v>1.29892683029</v>
      </c>
      <c r="J998" s="71" t="str">
        <f>HYPERLINK(AA2 &amp; "/flashlight/sn_f87bddb9765ab115b7fb80ad0b36293d/rendering/07.obj", "1.32473242283")</f>
        <v>1.32473242283</v>
      </c>
      <c r="K998" s="64" t="str">
        <f>HYPERLINK(AA2 &amp; "/flashlight/sn_f87bddb9765ab115b7fb80ad0b36293d/rendering/08.obj", "1.25524973869")</f>
        <v>1.25524973869</v>
      </c>
      <c r="L998" s="71" t="str">
        <f>HYPERLINK(AA2 &amp; "/flashlight/sn_f87bddb9765ab115b7fb80ad0b36293d/rendering/09.obj", "1.32526898384")</f>
        <v>1.32526898384</v>
      </c>
      <c r="M998" s="20" t="str">
        <f>HYPERLINK(AA2 &amp; "/flashlight/sn_f87bddb9765ab115b7fb80ad0b36293d/rendering/10.obj", "3.06801319122")</f>
        <v>3.06801319122</v>
      </c>
      <c r="N998" s="49" t="str">
        <f>HYPERLINK(AA2 &amp; "/flashlight/sn_f87bddb9765ab115b7fb80ad0b36293d/rendering/11.obj", "1.18691492081")</f>
        <v>1.18691492081</v>
      </c>
      <c r="O998" s="97" t="str">
        <f>HYPERLINK(AA2 &amp; "/flashlight/sn_f87bddb9765ab115b7fb80ad0b36293d/rendering/12.obj", "2.15325021744")</f>
        <v>2.15325021744</v>
      </c>
      <c r="P998" s="5" t="str">
        <f>HYPERLINK(AA2 &amp; "/flashlight/sn_f87bddb9765ab115b7fb80ad0b36293d/rendering/13.obj", "1.61867415905")</f>
        <v>1.61867415905</v>
      </c>
      <c r="Q998" s="72" t="str">
        <f>HYPERLINK(AA2 &amp; "/flashlight/sn_f87bddb9765ab115b7fb80ad0b36293d/rendering/14.obj", "1.45260238647")</f>
        <v>1.45260238647</v>
      </c>
      <c r="R998" s="88" t="str">
        <f>HYPERLINK(AA2 &amp; "/flashlight/sn_f87bddb9765ab115b7fb80ad0b36293d/rendering/15.obj", "1.19927227497")</f>
        <v>1.19927227497</v>
      </c>
      <c r="S998" s="65" t="str">
        <f>HYPERLINK(AA2 &amp; "/flashlight/sn_f87bddb9765ab115b7fb80ad0b36293d/rendering/16.obj", "1.30222904682")</f>
        <v>1.30222904682</v>
      </c>
      <c r="T998" s="32" t="str">
        <f>HYPERLINK(AA2 &amp; "/flashlight/sn_f87bddb9765ab115b7fb80ad0b36293d/rendering/17.obj", "1.34182500839")</f>
        <v>1.34182500839</v>
      </c>
      <c r="U998" s="120" t="str">
        <f>HYPERLINK(AA2 &amp; "/flashlight/sn_f87bddb9765ab115b7fb80ad0b36293d/rendering/18.obj", "1.81951546669")</f>
        <v>1.81951546669</v>
      </c>
      <c r="V998" s="11" t="str">
        <f>HYPERLINK(AA2 &amp; "/flashlight/sn_f87bddb9765ab115b7fb80ad0b36293d/rendering/19.obj", "1.16327381134")</f>
        <v>1.16327381134</v>
      </c>
      <c r="W998" s="12" t="s">
        <v>30</v>
      </c>
      <c r="X998" s="13">
        <v>1.501655638217926</v>
      </c>
      <c r="Y998" s="13">
        <v>0.44613455404907387</v>
      </c>
      <c r="Z998" s="85">
        <v>0.29709511468189831</v>
      </c>
    </row>
    <row r="999" spans="1:26" x14ac:dyDescent="0.2">
      <c r="A999" s="1">
        <v>997</v>
      </c>
      <c r="B999" s="2" t="s">
        <v>232</v>
      </c>
      <c r="C999" s="72" t="str">
        <f>HYPERLINK(AB2 &amp; "/flashlight/sn_f87bddb9765ab115b7fb80ad0b36293d/rendering/00.obj", "4.1520489502")</f>
        <v>4.1520489502</v>
      </c>
      <c r="D999" s="73" t="str">
        <f>HYPERLINK(AB2 &amp; "/flashlight/sn_f87bddb9765ab115b7fb80ad0b36293d/rendering/01.obj", "4.16316894531")</f>
        <v>4.16316894531</v>
      </c>
      <c r="E999" s="94" t="str">
        <f>HYPERLINK(AB2 &amp; "/flashlight/sn_f87bddb9765ab115b7fb80ad0b36293d/rendering/02.obj", "3.72923309326")</f>
        <v>3.72923309326</v>
      </c>
      <c r="F999" s="13" t="str">
        <f>HYPERLINK(AB2 &amp; "/flashlight/sn_f87bddb9765ab115b7fb80ad0b36293d/rendering/03.obj", "4.01874938965")</f>
        <v>4.01874938965</v>
      </c>
      <c r="G999" s="35" t="str">
        <f>HYPERLINK(AB2 &amp; "/flashlight/sn_f87bddb9765ab115b7fb80ad0b36293d/rendering/04.obj", "3.78757995605")</f>
        <v>3.78757995605</v>
      </c>
      <c r="H999" s="13" t="str">
        <f>HYPERLINK(AB2 &amp; "/flashlight/sn_f87bddb9765ab115b7fb80ad0b36293d/rendering/05.obj", "4.00958984375")</f>
        <v>4.00958984375</v>
      </c>
      <c r="I999" s="91" t="str">
        <f>HYPERLINK(AB2 &amp; "/flashlight/sn_f87bddb9765ab115b7fb80ad0b36293d/rendering/06.obj", "3.91870117188")</f>
        <v>3.91870117188</v>
      </c>
      <c r="J999" s="73" t="str">
        <f>HYPERLINK(AB2 &amp; "/flashlight/sn_f87bddb9765ab115b7fb80ad0b36293d/rendering/07.obj", "4.16381408691")</f>
        <v>4.16381408691</v>
      </c>
      <c r="K999" s="91" t="str">
        <f>HYPERLINK(AB2 &amp; "/flashlight/sn_f87bddb9765ab115b7fb80ad0b36293d/rendering/08.obj", "4.12633880615")</f>
        <v>4.12633880615</v>
      </c>
      <c r="L999" s="47" t="str">
        <f>HYPERLINK(AB2 &amp; "/flashlight/sn_f87bddb9765ab115b7fb80ad0b36293d/rendering/09.obj", "3.98892028809")</f>
        <v>3.98892028809</v>
      </c>
      <c r="M999" s="73" t="str">
        <f>HYPERLINK(AB2 &amp; "/flashlight/sn_f87bddb9765ab115b7fb80ad0b36293d/rendering/10.obj", "4.17028198242")</f>
        <v>4.17028198242</v>
      </c>
      <c r="N999" s="25" t="str">
        <f>HYPERLINK(AB2 &amp; "/flashlight/sn_f87bddb9765ab115b7fb80ad0b36293d/rendering/11.obj", "4.06754455566")</f>
        <v>4.06754455566</v>
      </c>
      <c r="O999" s="72" t="str">
        <f>HYPERLINK(AB2 &amp; "/flashlight/sn_f87bddb9765ab115b7fb80ad0b36293d/rendering/12.obj", "4.14768859863")</f>
        <v>4.14768859863</v>
      </c>
      <c r="P999" s="72" t="str">
        <f>HYPERLINK(AB2 &amp; "/flashlight/sn_f87bddb9765ab115b7fb80ad0b36293d/rendering/13.obj", "4.15261138916")</f>
        <v>4.15261138916</v>
      </c>
      <c r="Q999" s="6" t="str">
        <f>HYPERLINK(AB2 &amp; "/flashlight/sn_f87bddb9765ab115b7fb80ad0b36293d/rendering/14.obj", "3.83462097168")</f>
        <v>3.83462097168</v>
      </c>
      <c r="R999" s="25" t="str">
        <f>HYPERLINK(AB2 &amp; "/flashlight/sn_f87bddb9765ab115b7fb80ad0b36293d/rendering/15.obj", "4.06200866699")</f>
        <v>4.06200866699</v>
      </c>
      <c r="S999" s="94" t="str">
        <f>HYPERLINK(AB2 &amp; "/flashlight/sn_f87bddb9765ab115b7fb80ad0b36293d/rendering/16.obj", "4.31414550781")</f>
        <v>4.31414550781</v>
      </c>
      <c r="T999" s="38" t="str">
        <f>HYPERLINK(AB2 &amp; "/flashlight/sn_f87bddb9765ab115b7fb80ad0b36293d/rendering/17.obj", "3.66045654297")</f>
        <v>3.66045654297</v>
      </c>
      <c r="U999" s="35" t="str">
        <f>HYPERLINK(AB2 &amp; "/flashlight/sn_f87bddb9765ab115b7fb80ad0b36293d/rendering/18.obj", "3.78143096924")</f>
        <v>3.78143096924</v>
      </c>
      <c r="V999" s="73" t="str">
        <f>HYPERLINK(AB2 &amp; "/flashlight/sn_f87bddb9765ab115b7fb80ad0b36293d/rendering/19.obj", "4.16212188721")</f>
        <v>4.16212188721</v>
      </c>
      <c r="W999" s="12" t="s">
        <v>31</v>
      </c>
      <c r="X999" s="13">
        <v>4.0205527801513679</v>
      </c>
      <c r="Y999" s="13">
        <v>0.17429755046888309</v>
      </c>
      <c r="Z999" s="68">
        <v>4.3351638443687092E-2</v>
      </c>
    </row>
    <row r="1000" spans="1:26" x14ac:dyDescent="0.2">
      <c r="A1000" s="1">
        <v>998</v>
      </c>
      <c r="B1000" s="2" t="s">
        <v>232</v>
      </c>
      <c r="C1000" s="67" t="str">
        <f>HYPERLINK(AB2 &amp; "/flashlight/sn_f87bddb9765ab115b7fb80ad0b36293d/rendering/00.obj", "1.67113876343")</f>
        <v>1.67113876343</v>
      </c>
      <c r="D1000" s="90" t="str">
        <f>HYPERLINK(AB2 &amp; "/flashlight/sn_f87bddb9765ab115b7fb80ad0b36293d/rendering/01.obj", "1.67295920849")</f>
        <v>1.67295920849</v>
      </c>
      <c r="E1000" s="66" t="str">
        <f>HYPERLINK(AB2 &amp; "/flashlight/sn_f87bddb9765ab115b7fb80ad0b36293d/rendering/02.obj", "1.28165352345")</f>
        <v>1.28165352345</v>
      </c>
      <c r="F1000" s="30" t="str">
        <f>HYPERLINK(AB2 &amp; "/flashlight/sn_f87bddb9765ab115b7fb80ad0b36293d/rendering/03.obj", "1.52048563957")</f>
        <v>1.52048563957</v>
      </c>
      <c r="G1000" s="134" t="str">
        <f>HYPERLINK(AB2 &amp; "/flashlight/sn_f87bddb9765ab115b7fb80ad0b36293d/rendering/04.obj", "1.25177645683")</f>
        <v>1.25177645683</v>
      </c>
      <c r="H1000" s="25" t="str">
        <f>HYPERLINK(AB2 &amp; "/flashlight/sn_f87bddb9765ab115b7fb80ad0b36293d/rendering/05.obj", "1.51074266434")</f>
        <v>1.51074266434</v>
      </c>
      <c r="I1000" s="30" t="str">
        <f>HYPERLINK(AB2 &amp; "/flashlight/sn_f87bddb9765ab115b7fb80ad0b36293d/rendering/06.obj", "1.51994848251")</f>
        <v>1.51994848251</v>
      </c>
      <c r="J1000" s="23" t="str">
        <f>HYPERLINK(AB2 &amp; "/flashlight/sn_f87bddb9765ab115b7fb80ad0b36293d/rendering/07.obj", "1.58687484264")</f>
        <v>1.58687484264</v>
      </c>
      <c r="K1000" s="10" t="str">
        <f>HYPERLINK(AB2 &amp; "/flashlight/sn_f87bddb9765ab115b7fb80ad0b36293d/rendering/08.obj", "1.4469922781")</f>
        <v>1.4469922781</v>
      </c>
      <c r="L1000" s="107" t="str">
        <f>HYPERLINK(AB2 &amp; "/flashlight/sn_f87bddb9765ab115b7fb80ad0b36293d/rendering/09.obj", "1.39974284172")</f>
        <v>1.39974284172</v>
      </c>
      <c r="M1000" s="23" t="str">
        <f>HYPERLINK(AB2 &amp; "/flashlight/sn_f87bddb9765ab115b7fb80ad0b36293d/rendering/10.obj", "1.59064781666")</f>
        <v>1.59064781666</v>
      </c>
      <c r="N1000" s="5" t="str">
        <f>HYPERLINK(AB2 &amp; "/flashlight/sn_f87bddb9765ab115b7fb80ad0b36293d/rendering/11.obj", "1.64495527744")</f>
        <v>1.64495527744</v>
      </c>
      <c r="O1000" s="17" t="str">
        <f>HYPERLINK(AB2 &amp; "/flashlight/sn_f87bddb9765ab115b7fb80ad0b36293d/rendering/12.obj", "1.49914884567")</f>
        <v>1.49914884567</v>
      </c>
      <c r="P1000" s="60" t="str">
        <f>HYPERLINK(AB2 &amp; "/flashlight/sn_f87bddb9765ab115b7fb80ad0b36293d/rendering/13.obj", "1.60886907578")</f>
        <v>1.60886907578</v>
      </c>
      <c r="Q1000" s="51" t="str">
        <f>HYPERLINK(AB2 &amp; "/flashlight/sn_f87bddb9765ab115b7fb80ad0b36293d/rendering/14.obj", "1.40736341476")</f>
        <v>1.40736341476</v>
      </c>
      <c r="R1000" s="23" t="str">
        <f>HYPERLINK(AB2 &amp; "/flashlight/sn_f87bddb9765ab115b7fb80ad0b36293d/rendering/15.obj", "1.5907484293")</f>
        <v>1.5907484293</v>
      </c>
      <c r="S1000" s="54" t="str">
        <f>HYPERLINK(AB2 &amp; "/flashlight/sn_f87bddb9765ab115b7fb80ad0b36293d/rendering/16.obj", "2.03133559227")</f>
        <v>2.03133559227</v>
      </c>
      <c r="T1000" s="133" t="str">
        <f>HYPERLINK(AB2 &amp; "/flashlight/sn_f87bddb9765ab115b7fb80ad0b36293d/rendering/17.obj", "1.37248420715")</f>
        <v>1.37248420715</v>
      </c>
      <c r="U1000" s="31" t="str">
        <f>HYPERLINK(AB2 &amp; "/flashlight/sn_f87bddb9765ab115b7fb80ad0b36293d/rendering/18.obj", "1.29092478752")</f>
        <v>1.29092478752</v>
      </c>
      <c r="V1000" s="90" t="str">
        <f>HYPERLINK(AB2 &amp; "/flashlight/sn_f87bddb9765ab115b7fb80ad0b36293d/rendering/19.obj", "1.6728811264")</f>
        <v>1.6728811264</v>
      </c>
      <c r="W1000" s="12" t="s">
        <v>32</v>
      </c>
      <c r="X1000" s="13">
        <v>1.5285836637020109</v>
      </c>
      <c r="Y1000" s="13">
        <v>0.17371984811523949</v>
      </c>
      <c r="Z1000" s="106">
        <v>0.1136475890986005</v>
      </c>
    </row>
    <row r="1001" spans="1:26" x14ac:dyDescent="0.2">
      <c r="A1001" s="1">
        <v>999</v>
      </c>
      <c r="B1001" s="2" t="s">
        <v>232</v>
      </c>
      <c r="C1001" s="13" t="str">
        <f>HYPERLINK(AC2 &amp; "/flashlight/sn_f87bddb9765ab115b7fb80ad0b36293d/rendering/00.xyz", "0.0")</f>
        <v>0.0</v>
      </c>
      <c r="D1001" s="13" t="str">
        <f>HYPERLINK(AC2 &amp; "/flashlight/sn_f87bddb9765ab115b7fb80ad0b36293d/rendering/01.xyz", "0.0")</f>
        <v>0.0</v>
      </c>
      <c r="E1001" s="13" t="str">
        <f>HYPERLINK(AC2 &amp; "/flashlight/sn_f87bddb9765ab115b7fb80ad0b36293d/rendering/02.xyz", "0.0")</f>
        <v>0.0</v>
      </c>
      <c r="F1001" s="13" t="str">
        <f>HYPERLINK(AC2 &amp; "/flashlight/sn_f87bddb9765ab115b7fb80ad0b36293d/rendering/03.xyz", "0.0")</f>
        <v>0.0</v>
      </c>
      <c r="G1001" s="13" t="str">
        <f>HYPERLINK(AC2 &amp; "/flashlight/sn_f87bddb9765ab115b7fb80ad0b36293d/rendering/04.xyz", "0.0")</f>
        <v>0.0</v>
      </c>
      <c r="H1001" s="13" t="str">
        <f>HYPERLINK(AC2 &amp; "/flashlight/sn_f87bddb9765ab115b7fb80ad0b36293d/rendering/05.xyz", "0.0")</f>
        <v>0.0</v>
      </c>
      <c r="I1001" s="13" t="str">
        <f>HYPERLINK(AC2 &amp; "/flashlight/sn_f87bddb9765ab115b7fb80ad0b36293d/rendering/06.xyz", "0.0")</f>
        <v>0.0</v>
      </c>
      <c r="J1001" s="13" t="str">
        <f>HYPERLINK(AC2 &amp; "/flashlight/sn_f87bddb9765ab115b7fb80ad0b36293d/rendering/07.xyz", "0.0")</f>
        <v>0.0</v>
      </c>
      <c r="K1001" s="13" t="str">
        <f>HYPERLINK(AC2 &amp; "/flashlight/sn_f87bddb9765ab115b7fb80ad0b36293d/rendering/08.xyz", "0.0")</f>
        <v>0.0</v>
      </c>
      <c r="L1001" s="13" t="str">
        <f>HYPERLINK(AC2 &amp; "/flashlight/sn_f87bddb9765ab115b7fb80ad0b36293d/rendering/09.xyz", "0.0")</f>
        <v>0.0</v>
      </c>
      <c r="M1001" s="13" t="str">
        <f>HYPERLINK(AC2 &amp; "/flashlight/sn_f87bddb9765ab115b7fb80ad0b36293d/rendering/10.xyz", "0.0")</f>
        <v>0.0</v>
      </c>
      <c r="N1001" s="13" t="str">
        <f>HYPERLINK(AC2 &amp; "/flashlight/sn_f87bddb9765ab115b7fb80ad0b36293d/rendering/11.xyz", "0.0")</f>
        <v>0.0</v>
      </c>
      <c r="O1001" s="13" t="str">
        <f>HYPERLINK(AC2 &amp; "/flashlight/sn_f87bddb9765ab115b7fb80ad0b36293d/rendering/12.xyz", "0.0")</f>
        <v>0.0</v>
      </c>
      <c r="P1001" s="13" t="str">
        <f>HYPERLINK(AC2 &amp; "/flashlight/sn_f87bddb9765ab115b7fb80ad0b36293d/rendering/13.xyz", "0.0")</f>
        <v>0.0</v>
      </c>
      <c r="Q1001" s="13" t="str">
        <f>HYPERLINK(AC2 &amp; "/flashlight/sn_f87bddb9765ab115b7fb80ad0b36293d/rendering/14.xyz", "0.0")</f>
        <v>0.0</v>
      </c>
      <c r="R1001" s="13" t="str">
        <f>HYPERLINK(AC2 &amp; "/flashlight/sn_f87bddb9765ab115b7fb80ad0b36293d/rendering/15.xyz", "0.0")</f>
        <v>0.0</v>
      </c>
      <c r="S1001" s="13" t="str">
        <f>HYPERLINK(AC2 &amp; "/flashlight/sn_f87bddb9765ab115b7fb80ad0b36293d/rendering/16.xyz", "0.0")</f>
        <v>0.0</v>
      </c>
      <c r="T1001" s="13" t="str">
        <f>HYPERLINK(AC2 &amp; "/flashlight/sn_f87bddb9765ab115b7fb80ad0b36293d/rendering/17.xyz", "0.0")</f>
        <v>0.0</v>
      </c>
      <c r="U1001" s="13" t="str">
        <f>HYPERLINK(AC2 &amp; "/flashlight/sn_f87bddb9765ab115b7fb80ad0b36293d/rendering/18.xyz", "0.0")</f>
        <v>0.0</v>
      </c>
      <c r="V1001" s="13" t="str">
        <f>HYPERLINK(AC2 &amp; "/flashlight/sn_f87bddb9765ab115b7fb80ad0b36293d/rendering/19.xyz", "0.0")</f>
        <v>0.0</v>
      </c>
      <c r="W1001" s="12" t="s">
        <v>33</v>
      </c>
      <c r="X1001" s="13">
        <v>0</v>
      </c>
      <c r="Y1001" s="13">
        <v>0</v>
      </c>
      <c r="Z1001" s="13">
        <v>0</v>
      </c>
    </row>
    <row r="1002" spans="1:26" x14ac:dyDescent="0.2">
      <c r="A1002" s="1">
        <v>1000</v>
      </c>
      <c r="B1002" s="2" t="s">
        <v>233</v>
      </c>
      <c r="C1002" s="11" t="str">
        <f>HYPERLINK(AA2 &amp; "/flashlight/sn_f96033c358bae9ead8e11a41b91b8155/rendering/00.obj", "4.38803039551")</f>
        <v>4.38803039551</v>
      </c>
      <c r="D1002" s="57" t="str">
        <f>HYPERLINK(AA2 &amp; "/flashlight/sn_f96033c358bae9ead8e11a41b91b8155/rendering/01.obj", "7.44357727051")</f>
        <v>7.44357727051</v>
      </c>
      <c r="E1002" s="54" t="str">
        <f>HYPERLINK(AA2 &amp; "/flashlight/sn_f96033c358bae9ead8e11a41b91b8155/rendering/02.obj", "3.80837768555")</f>
        <v>3.80837768555</v>
      </c>
      <c r="F1002" s="101" t="str">
        <f>HYPERLINK(AA2 &amp; "/flashlight/sn_f96033c358bae9ead8e11a41b91b8155/rendering/03.obj", "3.52379089355")</f>
        <v>3.52379089355</v>
      </c>
      <c r="G1002" s="65" t="str">
        <f>HYPERLINK(AA2 &amp; "/flashlight/sn_f96033c358bae9ead8e11a41b91b8155/rendering/04.obj", "4.91315246582")</f>
        <v>4.91315246582</v>
      </c>
      <c r="H1002" s="92" t="str">
        <f>HYPERLINK(AA2 &amp; "/flashlight/sn_f96033c358bae9ead8e11a41b91b8155/rendering/05.obj", "4.96801391602")</f>
        <v>4.96801391602</v>
      </c>
      <c r="I1002" s="117" t="str">
        <f>HYPERLINK(AA2 &amp; "/flashlight/sn_f96033c358bae9ead8e11a41b91b8155/rendering/06.obj", "4.65679260254")</f>
        <v>4.65679260254</v>
      </c>
      <c r="J1002" s="214" t="str">
        <f>HYPERLINK(AA2 &amp; "/flashlight/sn_f96033c358bae9ead8e11a41b91b8155/rendering/07.obj", "9.15071472168")</f>
        <v>9.15071472168</v>
      </c>
      <c r="K1002" s="11" t="str">
        <f>HYPERLINK(AA2 &amp; "/flashlight/sn_f96033c358bae9ead8e11a41b91b8155/rendering/08.obj", "4.38937927246")</f>
        <v>4.38937927246</v>
      </c>
      <c r="L1002" s="79" t="str">
        <f>HYPERLINK(AA2 &amp; "/flashlight/sn_f96033c358bae9ead8e11a41b91b8155/rendering/09.obj", "4.76748779297")</f>
        <v>4.76748779297</v>
      </c>
      <c r="M1002" s="19" t="str">
        <f>HYPERLINK(AA2 &amp; "/flashlight/sn_f96033c358bae9ead8e11a41b91b8155/rendering/10.obj", "4.1849810791")</f>
        <v>4.1849810791</v>
      </c>
      <c r="N1002" s="185" t="str">
        <f>HYPERLINK(AA2 &amp; "/flashlight/sn_f96033c358bae9ead8e11a41b91b8155/rendering/11.obj", "3.73304931641")</f>
        <v>3.73304931641</v>
      </c>
      <c r="O1002" s="19" t="str">
        <f>HYPERLINK(AA2 &amp; "/flashlight/sn_f96033c358bae9ead8e11a41b91b8155/rendering/12.obj", "4.18566955566")</f>
        <v>4.18566955566</v>
      </c>
      <c r="P1002" s="152" t="str">
        <f>HYPERLINK(AA2 &amp; "/flashlight/sn_f96033c358bae9ead8e11a41b91b8155/rendering/13.obj", "7.96773010254")</f>
        <v>7.96773010254</v>
      </c>
      <c r="Q1002" s="30" t="str">
        <f>HYPERLINK(AA2 &amp; "/flashlight/sn_f96033c358bae9ead8e11a41b91b8155/rendering/14.obj", "5.69567626953")</f>
        <v>5.69567626953</v>
      </c>
      <c r="R1002" s="70" t="str">
        <f>HYPERLINK(AA2 &amp; "/flashlight/sn_f96033c358bae9ead8e11a41b91b8155/rendering/15.obj", "6.38517822266")</f>
        <v>6.38517822266</v>
      </c>
      <c r="S1002" s="20" t="str">
        <f>HYPERLINK(AA2 &amp; "/flashlight/sn_f96033c358bae9ead8e11a41b91b8155/rendering/16.obj", "16.445769043")</f>
        <v>16.445769043</v>
      </c>
      <c r="T1002" s="83" t="str">
        <f>HYPERLINK(AA2 &amp; "/flashlight/sn_f96033c358bae9ead8e11a41b91b8155/rendering/17.obj", "4.80097106934")</f>
        <v>4.80097106934</v>
      </c>
      <c r="U1002" s="171" t="str">
        <f>HYPERLINK(AA2 &amp; "/flashlight/sn_f96033c358bae9ead8e11a41b91b8155/rendering/18.obj", "3.93450134277")</f>
        <v>3.93450134277</v>
      </c>
      <c r="V1002" s="171" t="str">
        <f>HYPERLINK(AA2 &amp; "/flashlight/sn_f96033c358bae9ead8e11a41b91b8155/rendering/19.obj", "3.93394348145")</f>
        <v>3.93394348145</v>
      </c>
      <c r="W1002" s="12" t="s">
        <v>29</v>
      </c>
      <c r="X1002" s="13">
        <v>5.6638393249511729</v>
      </c>
      <c r="Y1002" s="13">
        <v>2.8842022766678088</v>
      </c>
      <c r="Z1002" s="227">
        <v>0.50923094939538627</v>
      </c>
    </row>
    <row r="1003" spans="1:26" x14ac:dyDescent="0.2">
      <c r="A1003" s="1">
        <v>1001</v>
      </c>
      <c r="B1003" s="2" t="s">
        <v>233</v>
      </c>
      <c r="C1003" s="89" t="str">
        <f>HYPERLINK(AA2 &amp; "/flashlight/sn_f96033c358bae9ead8e11a41b91b8155/rendering/00.obj", "4.36776924133")</f>
        <v>4.36776924133</v>
      </c>
      <c r="D1003" s="117" t="str">
        <f>HYPERLINK(AA2 &amp; "/flashlight/sn_f96033c358bae9ead8e11a41b91b8155/rendering/01.obj", "6.93579435349")</f>
        <v>6.93579435349</v>
      </c>
      <c r="E1003" s="139" t="str">
        <f>HYPERLINK(AA2 &amp; "/flashlight/sn_f96033c358bae9ead8e11a41b91b8155/rendering/02.obj", "3.05279445648")</f>
        <v>3.05279445648</v>
      </c>
      <c r="F1003" s="162" t="str">
        <f>HYPERLINK(AA2 &amp; "/flashlight/sn_f96033c358bae9ead8e11a41b91b8155/rendering/03.obj", "3.38610720634")</f>
        <v>3.38610720634</v>
      </c>
      <c r="G1003" s="59" t="str">
        <f>HYPERLINK(AA2 &amp; "/flashlight/sn_f96033c358bae9ead8e11a41b91b8155/rendering/04.obj", "4.47906541824")</f>
        <v>4.47906541824</v>
      </c>
      <c r="H1003" s="44" t="str">
        <f>HYPERLINK(AA2 &amp; "/flashlight/sn_f96033c358bae9ead8e11a41b91b8155/rendering/05.obj", "4.73623180389")</f>
        <v>4.73623180389</v>
      </c>
      <c r="I1003" s="120" t="str">
        <f>HYPERLINK(AA2 &amp; "/flashlight/sn_f96033c358bae9ead8e11a41b91b8155/rendering/06.obj", "4.64454078674")</f>
        <v>4.64454078674</v>
      </c>
      <c r="J1003" s="149" t="str">
        <f>HYPERLINK(AA2 &amp; "/flashlight/sn_f96033c358bae9ead8e11a41b91b8155/rendering/07.obj", "7.92646598816")</f>
        <v>7.92646598816</v>
      </c>
      <c r="K1003" s="85" t="str">
        <f>HYPERLINK(AA2 &amp; "/flashlight/sn_f96033c358bae9ead8e11a41b91b8155/rendering/08.obj", "4.15210962296")</f>
        <v>4.15210962296</v>
      </c>
      <c r="L1003" s="4" t="str">
        <f>HYPERLINK(AA2 &amp; "/flashlight/sn_f96033c358bae9ead8e11a41b91b8155/rendering/09.obj", "4.22736787796")</f>
        <v>4.22736787796</v>
      </c>
      <c r="M1003" s="101" t="str">
        <f>HYPERLINK(AA2 &amp; "/flashlight/sn_f96033c358bae9ead8e11a41b91b8155/rendering/10.obj", "3.66841125488")</f>
        <v>3.66841125488</v>
      </c>
      <c r="N1003" s="111" t="str">
        <f>HYPERLINK(AA2 &amp; "/flashlight/sn_f96033c358bae9ead8e11a41b91b8155/rendering/11.obj", "3.4110519886")</f>
        <v>3.4110519886</v>
      </c>
      <c r="O1003" s="119" t="str">
        <f>HYPERLINK(AA2 &amp; "/flashlight/sn_f96033c358bae9ead8e11a41b91b8155/rendering/12.obj", "4.32377576828")</f>
        <v>4.32377576828</v>
      </c>
      <c r="P1003" s="86" t="str">
        <f>HYPERLINK(AA2 &amp; "/flashlight/sn_f96033c358bae9ead8e11a41b91b8155/rendering/13.obj", "7.48227787018")</f>
        <v>7.48227787018</v>
      </c>
      <c r="Q1003" s="73" t="str">
        <f>HYPERLINK(AA2 &amp; "/flashlight/sn_f96033c358bae9ead8e11a41b91b8155/rendering/14.obj", "6.10364198685")</f>
        <v>6.10364198685</v>
      </c>
      <c r="R1003" s="29" t="str">
        <f>HYPERLINK(AA2 &amp; "/flashlight/sn_f96033c358bae9ead8e11a41b91b8155/rendering/15.obj", "6.65316581726")</f>
        <v>6.65316581726</v>
      </c>
      <c r="S1003" s="20" t="str">
        <f>HYPERLINK(AA2 &amp; "/flashlight/sn_f96033c358bae9ead8e11a41b91b8155/rendering/16.obj", "26.4957485199")</f>
        <v>26.4957485199</v>
      </c>
      <c r="T1003" s="49" t="str">
        <f>HYPERLINK(AA2 &amp; "/flashlight/sn_f96033c358bae9ead8e11a41b91b8155/rendering/17.obj", "4.65954685211")</f>
        <v>4.65954685211</v>
      </c>
      <c r="U1003" s="101" t="str">
        <f>HYPERLINK(AA2 &amp; "/flashlight/sn_f96033c358bae9ead8e11a41b91b8155/rendering/18.obj", "3.65985250473")</f>
        <v>3.65985250473</v>
      </c>
      <c r="V1003" s="152" t="str">
        <f>HYPERLINK(AA2 &amp; "/flashlight/sn_f96033c358bae9ead8e11a41b91b8155/rendering/19.obj", "3.5037946701")</f>
        <v>3.5037946701</v>
      </c>
      <c r="W1003" s="12" t="s">
        <v>30</v>
      </c>
      <c r="X1003" s="13">
        <v>5.8934756994247426</v>
      </c>
      <c r="Y1003" s="13">
        <v>4.9295550820240734</v>
      </c>
      <c r="Z1003" s="20">
        <v>0.83644276034008969</v>
      </c>
    </row>
    <row r="1004" spans="1:26" x14ac:dyDescent="0.2">
      <c r="A1004" s="1">
        <v>1002</v>
      </c>
      <c r="B1004" s="2" t="s">
        <v>233</v>
      </c>
      <c r="C1004" s="40" t="str">
        <f>HYPERLINK(AB2 &amp; "/flashlight/sn_f96033c358bae9ead8e11a41b91b8155/rendering/00.obj", "3.1736529541")</f>
        <v>3.1736529541</v>
      </c>
      <c r="D1004" s="34" t="str">
        <f>HYPERLINK(AB2 &amp; "/flashlight/sn_f96033c358bae9ead8e11a41b91b8155/rendering/01.obj", "3.6423739624")</f>
        <v>3.6423739624</v>
      </c>
      <c r="E1004" s="17" t="str">
        <f>HYPERLINK(AB2 &amp; "/flashlight/sn_f96033c358bae9ead8e11a41b91b8155/rendering/02.obj", "3.89961975098")</f>
        <v>3.89961975098</v>
      </c>
      <c r="F1004" s="110" t="str">
        <f>HYPERLINK(AB2 &amp; "/flashlight/sn_f96033c358bae9ead8e11a41b91b8155/rendering/03.obj", "4.20270874023")</f>
        <v>4.20270874023</v>
      </c>
      <c r="G1004" s="30" t="str">
        <f>HYPERLINK(AB2 &amp; "/flashlight/sn_f96033c358bae9ead8e11a41b91b8155/rendering/04.obj", "3.84155578613")</f>
        <v>3.84155578613</v>
      </c>
      <c r="H1004" s="66" t="str">
        <f>HYPERLINK(AB2 &amp; "/flashlight/sn_f96033c358bae9ead8e11a41b91b8155/rendering/05.obj", "3.21142578125")</f>
        <v>3.21142578125</v>
      </c>
      <c r="I1004" s="90" t="str">
        <f>HYPERLINK(AB2 &amp; "/flashlight/sn_f96033c358bae9ead8e11a41b91b8155/rendering/06.obj", "3.4583215332")</f>
        <v>3.4583215332</v>
      </c>
      <c r="J1004" s="48" t="str">
        <f>HYPERLINK(AB2 &amp; "/flashlight/sn_f96033c358bae9ead8e11a41b91b8155/rendering/07.obj", "3.73034912109")</f>
        <v>3.73034912109</v>
      </c>
      <c r="K1004" s="133" t="str">
        <f>HYPERLINK(AB2 &amp; "/flashlight/sn_f96033c358bae9ead8e11a41b91b8155/rendering/08.obj", "3.43287902832")</f>
        <v>3.43287902832</v>
      </c>
      <c r="L1004" s="70" t="str">
        <f>HYPERLINK(AB2 &amp; "/flashlight/sn_f96033c358bae9ead8e11a41b91b8155/rendering/09.obj", "4.31082397461")</f>
        <v>4.31082397461</v>
      </c>
      <c r="M1004" s="17" t="str">
        <f>HYPERLINK(AB2 &amp; "/flashlight/sn_f96033c358bae9ead8e11a41b91b8155/rendering/10.obj", "3.90535644531")</f>
        <v>3.90535644531</v>
      </c>
      <c r="N1004" s="13" t="str">
        <f>HYPERLINK(AB2 &amp; "/flashlight/sn_f96033c358bae9ead8e11a41b91b8155/rendering/11.obj", "3.83252593994")</f>
        <v>3.83252593994</v>
      </c>
      <c r="O1004" s="30" t="str">
        <f>HYPERLINK(AB2 &amp; "/flashlight/sn_f96033c358bae9ead8e11a41b91b8155/rendering/12.obj", "3.84349914551")</f>
        <v>3.84349914551</v>
      </c>
      <c r="P1004" s="6" t="str">
        <f>HYPERLINK(AB2 &amp; "/flashlight/sn_f96033c358bae9ead8e11a41b91b8155/rendering/13.obj", "3.65091918945")</f>
        <v>3.65091918945</v>
      </c>
      <c r="Q1004" s="10" t="str">
        <f>HYPERLINK(AB2 &amp; "/flashlight/sn_f96033c358bae9ead8e11a41b91b8155/rendering/14.obj", "3.61816253662")</f>
        <v>3.61816253662</v>
      </c>
      <c r="R1004" s="68" t="str">
        <f>HYPERLINK(AB2 &amp; "/flashlight/sn_f96033c358bae9ead8e11a41b91b8155/rendering/15.obj", "3.66481719971")</f>
        <v>3.66481719971</v>
      </c>
      <c r="S1004" s="47" t="str">
        <f>HYPERLINK(AB2 &amp; "/flashlight/sn_f96033c358bae9ead8e11a41b91b8155/rendering/16.obj", "3.85485931396")</f>
        <v>3.85485931396</v>
      </c>
      <c r="T1004" s="93" t="str">
        <f>HYPERLINK(AB2 &amp; "/flashlight/sn_f96033c358bae9ead8e11a41b91b8155/rendering/17.obj", "4.35941864014")</f>
        <v>4.35941864014</v>
      </c>
      <c r="U1004" s="75" t="str">
        <f>HYPERLINK(AB2 &amp; "/flashlight/sn_f96033c358bae9ead8e11a41b91b8155/rendering/18.obj", "4.67320983887")</f>
        <v>4.67320983887</v>
      </c>
      <c r="V1004" s="133" t="str">
        <f>HYPERLINK(AB2 &amp; "/flashlight/sn_f96033c358bae9ead8e11a41b91b8155/rendering/19.obj", "4.21884399414")</f>
        <v>4.21884399414</v>
      </c>
      <c r="W1004" s="12" t="s">
        <v>31</v>
      </c>
      <c r="X1004" s="13">
        <v>3.8262661437988279</v>
      </c>
      <c r="Y1004" s="13">
        <v>0.37298904605515432</v>
      </c>
      <c r="Z1004" s="110">
        <v>9.7481208059625429E-2</v>
      </c>
    </row>
    <row r="1005" spans="1:26" x14ac:dyDescent="0.2">
      <c r="A1005" s="1">
        <v>1003</v>
      </c>
      <c r="B1005" s="2" t="s">
        <v>233</v>
      </c>
      <c r="C1005" s="5" t="str">
        <f>HYPERLINK(AB2 &amp; "/flashlight/sn_f96033c358bae9ead8e11a41b91b8155/rendering/00.obj", "3.33309745789")</f>
        <v>3.33309745789</v>
      </c>
      <c r="D1005" s="6" t="str">
        <f>HYPERLINK(AB2 &amp; "/flashlight/sn_f96033c358bae9ead8e11a41b91b8155/rendering/01.obj", "3.44455218315")</f>
        <v>3.44455218315</v>
      </c>
      <c r="E1005" s="91" t="str">
        <f>HYPERLINK(AB2 &amp; "/flashlight/sn_f96033c358bae9ead8e11a41b91b8155/rendering/02.obj", "3.70615243912")</f>
        <v>3.70615243912</v>
      </c>
      <c r="F1005" s="17" t="str">
        <f>HYPERLINK(AB2 &amp; "/flashlight/sn_f96033c358bae9ead8e11a41b91b8155/rendering/03.obj", "3.53238892555")</f>
        <v>3.53238892555</v>
      </c>
      <c r="G1005" s="47" t="str">
        <f>HYPERLINK(AB2 &amp; "/flashlight/sn_f96033c358bae9ead8e11a41b91b8155/rendering/04.obj", "3.57459545135")</f>
        <v>3.57459545135</v>
      </c>
      <c r="H1005" s="26" t="str">
        <f>HYPERLINK(AB2 &amp; "/flashlight/sn_f96033c358bae9ead8e11a41b91b8155/rendering/05.obj", "3.37296366692")</f>
        <v>3.37296366692</v>
      </c>
      <c r="I1005" s="6" t="str">
        <f>HYPERLINK(AB2 &amp; "/flashlight/sn_f96033c358bae9ead8e11a41b91b8155/rendering/06.obj", "3.4404528141")</f>
        <v>3.4404528141</v>
      </c>
      <c r="J1005" s="72" t="str">
        <f>HYPERLINK(AB2 &amp; "/flashlight/sn_f96033c358bae9ead8e11a41b91b8155/rendering/07.obj", "3.49124622345")</f>
        <v>3.49124622345</v>
      </c>
      <c r="K1005" s="90" t="str">
        <f>HYPERLINK(AB2 &amp; "/flashlight/sn_f96033c358bae9ead8e11a41b91b8155/rendering/08.obj", "3.26201939583")</f>
        <v>3.26201939583</v>
      </c>
      <c r="L1005" s="68" t="str">
        <f>HYPERLINK(AB2 &amp; "/flashlight/sn_f96033c358bae9ead8e11a41b91b8155/rendering/09.obj", "3.76015591621")</f>
        <v>3.76015591621</v>
      </c>
      <c r="M1005" s="74" t="str">
        <f>HYPERLINK(AB2 &amp; "/flashlight/sn_f96033c358bae9ead8e11a41b91b8155/rendering/10.obj", "3.65961933136")</f>
        <v>3.65961933136</v>
      </c>
      <c r="N1005" s="32" t="str">
        <f>HYPERLINK(AB2 &amp; "/flashlight/sn_f96033c358bae9ead8e11a41b91b8155/rendering/11.obj", "3.98589944839")</f>
        <v>3.98589944839</v>
      </c>
      <c r="O1005" s="35" t="str">
        <f>HYPERLINK(AB2 &amp; "/flashlight/sn_f96033c358bae9ead8e11a41b91b8155/rendering/12.obj", "3.8209002018")</f>
        <v>3.8209002018</v>
      </c>
      <c r="P1005" s="23" t="str">
        <f>HYPERLINK(AB2 &amp; "/flashlight/sn_f96033c358bae9ead8e11a41b91b8155/rendering/13.obj", "3.4689912796")</f>
        <v>3.4689912796</v>
      </c>
      <c r="Q1005" s="78" t="str">
        <f>HYPERLINK(AB2 &amp; "/flashlight/sn_f96033c358bae9ead8e11a41b91b8155/rendering/14.obj", "3.3907866478")</f>
        <v>3.3907866478</v>
      </c>
      <c r="R1005" s="84" t="str">
        <f>HYPERLINK(AB2 &amp; "/flashlight/sn_f96033c358bae9ead8e11a41b91b8155/rendering/15.obj", "4.13308811188")</f>
        <v>4.13308811188</v>
      </c>
      <c r="S1005" s="6" t="str">
        <f>HYPERLINK(AB2 &amp; "/flashlight/sn_f96033c358bae9ead8e11a41b91b8155/rendering/16.obj", "3.44299006462")</f>
        <v>3.44299006462</v>
      </c>
      <c r="T1005" s="91" t="str">
        <f>HYPERLINK(AB2 &amp; "/flashlight/sn_f96033c358bae9ead8e11a41b91b8155/rendering/17.obj", "3.50611639023")</f>
        <v>3.50611639023</v>
      </c>
      <c r="U1005" s="29" t="str">
        <f>HYPERLINK(AB2 &amp; "/flashlight/sn_f96033c358bae9ead8e11a41b91b8155/rendering/18.obj", "4.08059406281")</f>
        <v>4.08059406281</v>
      </c>
      <c r="V1005" s="72" t="str">
        <f>HYPERLINK(AB2 &amp; "/flashlight/sn_f96033c358bae9ead8e11a41b91b8155/rendering/19.obj", "3.72886276245")</f>
        <v>3.72886276245</v>
      </c>
      <c r="W1005" s="12" t="s">
        <v>32</v>
      </c>
      <c r="X1005" s="13">
        <v>3.6067736387252811</v>
      </c>
      <c r="Y1005" s="13">
        <v>0.24156842080766661</v>
      </c>
      <c r="Z1005" s="41">
        <v>6.6976318728181286E-2</v>
      </c>
    </row>
    <row r="1006" spans="1:26" x14ac:dyDescent="0.2">
      <c r="A1006" s="1">
        <v>1004</v>
      </c>
      <c r="B1006" s="2" t="s">
        <v>233</v>
      </c>
      <c r="C1006" s="13" t="str">
        <f>HYPERLINK(AC2 &amp; "/flashlight/sn_f96033c358bae9ead8e11a41b91b8155/rendering/00.xyz", "0.0")</f>
        <v>0.0</v>
      </c>
      <c r="D1006" s="13" t="str">
        <f>HYPERLINK(AC2 &amp; "/flashlight/sn_f96033c358bae9ead8e11a41b91b8155/rendering/01.xyz", "0.0")</f>
        <v>0.0</v>
      </c>
      <c r="E1006" s="13" t="str">
        <f>HYPERLINK(AC2 &amp; "/flashlight/sn_f96033c358bae9ead8e11a41b91b8155/rendering/02.xyz", "0.0")</f>
        <v>0.0</v>
      </c>
      <c r="F1006" s="13" t="str">
        <f>HYPERLINK(AC2 &amp; "/flashlight/sn_f96033c358bae9ead8e11a41b91b8155/rendering/03.xyz", "0.0")</f>
        <v>0.0</v>
      </c>
      <c r="G1006" s="13" t="str">
        <f>HYPERLINK(AC2 &amp; "/flashlight/sn_f96033c358bae9ead8e11a41b91b8155/rendering/04.xyz", "0.0")</f>
        <v>0.0</v>
      </c>
      <c r="H1006" s="13" t="str">
        <f>HYPERLINK(AC2 &amp; "/flashlight/sn_f96033c358bae9ead8e11a41b91b8155/rendering/05.xyz", "0.0")</f>
        <v>0.0</v>
      </c>
      <c r="I1006" s="13" t="str">
        <f>HYPERLINK(AC2 &amp; "/flashlight/sn_f96033c358bae9ead8e11a41b91b8155/rendering/06.xyz", "0.0")</f>
        <v>0.0</v>
      </c>
      <c r="J1006" s="13" t="str">
        <f>HYPERLINK(AC2 &amp; "/flashlight/sn_f96033c358bae9ead8e11a41b91b8155/rendering/07.xyz", "0.0")</f>
        <v>0.0</v>
      </c>
      <c r="K1006" s="13" t="str">
        <f>HYPERLINK(AC2 &amp; "/flashlight/sn_f96033c358bae9ead8e11a41b91b8155/rendering/08.xyz", "0.0")</f>
        <v>0.0</v>
      </c>
      <c r="L1006" s="13" t="str">
        <f>HYPERLINK(AC2 &amp; "/flashlight/sn_f96033c358bae9ead8e11a41b91b8155/rendering/09.xyz", "0.0")</f>
        <v>0.0</v>
      </c>
      <c r="M1006" s="13" t="str">
        <f>HYPERLINK(AC2 &amp; "/flashlight/sn_f96033c358bae9ead8e11a41b91b8155/rendering/10.xyz", "0.0")</f>
        <v>0.0</v>
      </c>
      <c r="N1006" s="13" t="str">
        <f>HYPERLINK(AC2 &amp; "/flashlight/sn_f96033c358bae9ead8e11a41b91b8155/rendering/11.xyz", "0.0")</f>
        <v>0.0</v>
      </c>
      <c r="O1006" s="13" t="str">
        <f>HYPERLINK(AC2 &amp; "/flashlight/sn_f96033c358bae9ead8e11a41b91b8155/rendering/12.xyz", "0.0")</f>
        <v>0.0</v>
      </c>
      <c r="P1006" s="13" t="str">
        <f>HYPERLINK(AC2 &amp; "/flashlight/sn_f96033c358bae9ead8e11a41b91b8155/rendering/13.xyz", "0.0")</f>
        <v>0.0</v>
      </c>
      <c r="Q1006" s="13" t="str">
        <f>HYPERLINK(AC2 &amp; "/flashlight/sn_f96033c358bae9ead8e11a41b91b8155/rendering/14.xyz", "0.0")</f>
        <v>0.0</v>
      </c>
      <c r="R1006" s="13" t="str">
        <f>HYPERLINK(AC2 &amp; "/flashlight/sn_f96033c358bae9ead8e11a41b91b8155/rendering/15.xyz", "0.0")</f>
        <v>0.0</v>
      </c>
      <c r="S1006" s="13" t="str">
        <f>HYPERLINK(AC2 &amp; "/flashlight/sn_f96033c358bae9ead8e11a41b91b8155/rendering/16.xyz", "0.0")</f>
        <v>0.0</v>
      </c>
      <c r="T1006" s="13" t="str">
        <f>HYPERLINK(AC2 &amp; "/flashlight/sn_f96033c358bae9ead8e11a41b91b8155/rendering/17.xyz", "0.0")</f>
        <v>0.0</v>
      </c>
      <c r="U1006" s="13" t="str">
        <f>HYPERLINK(AC2 &amp; "/flashlight/sn_f96033c358bae9ead8e11a41b91b8155/rendering/18.xyz", "0.0")</f>
        <v>0.0</v>
      </c>
      <c r="V1006" s="13" t="str">
        <f>HYPERLINK(AC2 &amp; "/flashlight/sn_f96033c358bae9ead8e11a41b91b8155/rendering/19.xyz", "0.0")</f>
        <v>0.0</v>
      </c>
      <c r="W1006" s="12" t="s">
        <v>33</v>
      </c>
      <c r="X1006" s="13">
        <v>0</v>
      </c>
      <c r="Y1006" s="13">
        <v>0</v>
      </c>
      <c r="Z1006" s="13">
        <v>0</v>
      </c>
    </row>
    <row r="1007" spans="1:26" x14ac:dyDescent="0.2">
      <c r="A1007" s="1">
        <v>1005</v>
      </c>
      <c r="B1007" s="2" t="s">
        <v>234</v>
      </c>
      <c r="C1007" s="147" t="str">
        <f>HYPERLINK(AA2 &amp; "/flashlight/sn_fb33de3f0191556210581477dc7999da/rendering/00.obj", "2.98820556641")</f>
        <v>2.98820556641</v>
      </c>
      <c r="D1007" s="153" t="str">
        <f>HYPERLINK(AA2 &amp; "/flashlight/sn_fb33de3f0191556210581477dc7999da/rendering/01.obj", "3.7594732666")</f>
        <v>3.7594732666</v>
      </c>
      <c r="E1007" s="131" t="str">
        <f>HYPERLINK(AA2 &amp; "/flashlight/sn_fb33de3f0191556210581477dc7999da/rendering/02.obj", "3.13888549805")</f>
        <v>3.13888549805</v>
      </c>
      <c r="F1007" s="37" t="str">
        <f>HYPERLINK(AA2 &amp; "/flashlight/sn_fb33de3f0191556210581477dc7999da/rendering/03.obj", "4.83121154785")</f>
        <v>4.83121154785</v>
      </c>
      <c r="G1007" s="156" t="str">
        <f>HYPERLINK(AA2 &amp; "/flashlight/sn_fb33de3f0191556210581477dc7999da/rendering/04.obj", "3.22716583252")</f>
        <v>3.22716583252</v>
      </c>
      <c r="H1007" s="101" t="str">
        <f>HYPERLINK(AA2 &amp; "/flashlight/sn_fb33de3f0191556210581477dc7999da/rendering/05.obj", "3.64623077393")</f>
        <v>3.64623077393</v>
      </c>
      <c r="I1007" s="56" t="str">
        <f>HYPERLINK(AA2 &amp; "/flashlight/sn_fb33de3f0191556210581477dc7999da/rendering/06.obj", "4.04097808838")</f>
        <v>4.04097808838</v>
      </c>
      <c r="J1007" s="185" t="str">
        <f>HYPERLINK(AA2 &amp; "/flashlight/sn_fb33de3f0191556210581477dc7999da/rendering/07.obj", "3.86348114014")</f>
        <v>3.86348114014</v>
      </c>
      <c r="K1007" s="48" t="str">
        <f>HYPERLINK(AA2 &amp; "/flashlight/sn_fb33de3f0191556210581477dc7999da/rendering/08.obj", "5.97986816406")</f>
        <v>5.97986816406</v>
      </c>
      <c r="L1007" s="20" t="str">
        <f>HYPERLINK(AA2 &amp; "/flashlight/sn_fb33de3f0191556210581477dc7999da/rendering/09.obj", "17.9082458496")</f>
        <v>17.9082458496</v>
      </c>
      <c r="M1007" s="84" t="str">
        <f>HYPERLINK(AA2 &amp; "/flashlight/sn_fb33de3f0191556210581477dc7999da/rendering/10.obj", "6.69653076172")</f>
        <v>6.69653076172</v>
      </c>
      <c r="N1007" s="76" t="str">
        <f>HYPERLINK(AA2 &amp; "/flashlight/sn_fb33de3f0191556210581477dc7999da/rendering/11.obj", "6.91875732422")</f>
        <v>6.91875732422</v>
      </c>
      <c r="O1007" s="47" t="str">
        <f>HYPERLINK(AA2 &amp; "/flashlight/sn_fb33de3f0191556210581477dc7999da/rendering/12.obj", "5.90317749023")</f>
        <v>5.90317749023</v>
      </c>
      <c r="P1007" s="20" t="str">
        <f>HYPERLINK(AA2 &amp; "/flashlight/sn_fb33de3f0191556210581477dc7999da/rendering/13.obj", "11.7680395508")</f>
        <v>11.7680395508</v>
      </c>
      <c r="Q1007" s="195" t="str">
        <f>HYPERLINK(AA2 &amp; "/flashlight/sn_fb33de3f0191556210581477dc7999da/rendering/14.obj", "2.64046386719")</f>
        <v>2.64046386719</v>
      </c>
      <c r="R1007" s="102" t="str">
        <f>HYPERLINK(AA2 &amp; "/flashlight/sn_fb33de3f0191556210581477dc7999da/rendering/15.obj", "2.93950500488")</f>
        <v>2.93950500488</v>
      </c>
      <c r="S1007" s="101" t="str">
        <f>HYPERLINK(AA2 &amp; "/flashlight/sn_fb33de3f0191556210581477dc7999da/rendering/16.obj", "3.64384368896")</f>
        <v>3.64384368896</v>
      </c>
      <c r="T1007" s="59" t="str">
        <f>HYPERLINK(AA2 &amp; "/flashlight/sn_fb33de3f0191556210581477dc7999da/rendering/17.obj", "4.43933563232")</f>
        <v>4.43933563232</v>
      </c>
      <c r="U1007" s="124" t="str">
        <f>HYPERLINK(AA2 &amp; "/flashlight/sn_fb33de3f0191556210581477dc7999da/rendering/18.obj", "3.61840057373")</f>
        <v>3.61840057373</v>
      </c>
      <c r="V1007" s="20" t="str">
        <f>HYPERLINK(AA2 &amp; "/flashlight/sn_fb33de3f0191556210581477dc7999da/rendering/19.obj", "15.072175293")</f>
        <v>15.072175293</v>
      </c>
      <c r="W1007" s="12" t="s">
        <v>29</v>
      </c>
      <c r="X1007" s="13">
        <v>5.8511987457275394</v>
      </c>
      <c r="Y1007" s="13">
        <v>4.1101318655173067</v>
      </c>
      <c r="Z1007" s="233">
        <v>0.7024427034748163</v>
      </c>
    </row>
    <row r="1008" spans="1:26" x14ac:dyDescent="0.2">
      <c r="A1008" s="1">
        <v>1006</v>
      </c>
      <c r="B1008" s="2" t="s">
        <v>234</v>
      </c>
      <c r="C1008" s="20" t="str">
        <f>HYPERLINK(AA2 &amp; "/flashlight/sn_fb33de3f0191556210581477dc7999da/rendering/00.obj", "1.91599607468")</f>
        <v>1.91599607468</v>
      </c>
      <c r="D1008" s="233" t="str">
        <f>HYPERLINK(AA2 &amp; "/flashlight/sn_fb33de3f0191556210581477dc7999da/rendering/01.obj", "3.13548135757")</f>
        <v>3.13548135757</v>
      </c>
      <c r="E1008" s="183" t="str">
        <f>HYPERLINK(AA2 &amp; "/flashlight/sn_fb33de3f0191556210581477dc7999da/rendering/02.obj", "2.59481811523")</f>
        <v>2.59481811523</v>
      </c>
      <c r="F1008" s="164" t="str">
        <f>HYPERLINK(AA2 &amp; "/flashlight/sn_fb33de3f0191556210581477dc7999da/rendering/03.obj", "3.7946870327")</f>
        <v>3.7946870327</v>
      </c>
      <c r="G1008" s="242" t="str">
        <f>HYPERLINK(AA2 &amp; "/flashlight/sn_fb33de3f0191556210581477dc7999da/rendering/04.obj", "2.79056930542")</f>
        <v>2.79056930542</v>
      </c>
      <c r="H1008" s="254" t="str">
        <f>HYPERLINK(AA2 &amp; "/flashlight/sn_fb33de3f0191556210581477dc7999da/rendering/05.obj", "2.36155867577")</f>
        <v>2.36155867577</v>
      </c>
      <c r="I1008" s="214" t="str">
        <f>HYPERLINK(AA2 &amp; "/flashlight/sn_fb33de3f0191556210581477dc7999da/rendering/06.obj", "4.01496315002")</f>
        <v>4.01496315002</v>
      </c>
      <c r="J1008" s="210" t="str">
        <f>HYPERLINK(AA2 &amp; "/flashlight/sn_fb33de3f0191556210581477dc7999da/rendering/07.obj", "2.40194249153")</f>
        <v>2.40194249153</v>
      </c>
      <c r="K1008" s="6" t="str">
        <f>HYPERLINK(AA2 &amp; "/flashlight/sn_fb33de3f0191556210581477dc7999da/rendering/08.obj", "10.9307994843")</f>
        <v>10.9307994843</v>
      </c>
      <c r="L1008" s="20" t="str">
        <f>HYPERLINK(AA2 &amp; "/flashlight/sn_fb33de3f0191556210581477dc7999da/rendering/09.obj", "58.8264160156")</f>
        <v>58.8264160156</v>
      </c>
      <c r="M1008" s="15" t="str">
        <f>HYPERLINK(AA2 &amp; "/flashlight/sn_fb33de3f0191556210581477dc7999da/rendering/10.obj", "15.727637291")</f>
        <v>15.727637291</v>
      </c>
      <c r="N1008" s="235" t="str">
        <f>HYPERLINK(AA2 &amp; "/flashlight/sn_fb33de3f0191556210581477dc7999da/rendering/11.obj", "4.78081560135")</f>
        <v>4.78081560135</v>
      </c>
      <c r="O1008" s="21" t="str">
        <f>HYPERLINK(AA2 &amp; "/flashlight/sn_fb33de3f0191556210581477dc7999da/rendering/12.obj", "4.6628203392")</f>
        <v>4.6628203392</v>
      </c>
      <c r="P1008" s="20" t="str">
        <f>HYPERLINK(AA2 &amp; "/flashlight/sn_fb33de3f0191556210581477dc7999da/rendering/13.obj", "26.5840625763")</f>
        <v>26.5840625763</v>
      </c>
      <c r="Q1008" s="20" t="str">
        <f>HYPERLINK(AA2 &amp; "/flashlight/sn_fb33de3f0191556210581477dc7999da/rendering/14.obj", "1.23433470726")</f>
        <v>1.23433470726</v>
      </c>
      <c r="R1008" s="20" t="str">
        <f>HYPERLINK(AA2 &amp; "/flashlight/sn_fb33de3f0191556210581477dc7999da/rendering/15.obj", "1.84862112999")</f>
        <v>1.84862112999</v>
      </c>
      <c r="S1008" s="165" t="str">
        <f>HYPERLINK(AA2 &amp; "/flashlight/sn_fb33de3f0191556210581477dc7999da/rendering/16.obj", "3.23509144783")</f>
        <v>3.23509144783</v>
      </c>
      <c r="T1008" s="240" t="str">
        <f>HYPERLINK(AA2 &amp; "/flashlight/sn_fb33de3f0191556210581477dc7999da/rendering/17.obj", "3.62249135971")</f>
        <v>3.62249135971</v>
      </c>
      <c r="U1008" s="204" t="str">
        <f>HYPERLINK(AA2 &amp; "/flashlight/sn_fb33de3f0191556210581477dc7999da/rendering/18.obj", "2.12670350075")</f>
        <v>2.12670350075</v>
      </c>
      <c r="V1008" s="20" t="str">
        <f>HYPERLINK(AA2 &amp; "/flashlight/sn_fb33de3f0191556210581477dc7999da/rendering/19.obj", "52.2610435486")</f>
        <v>52.2610435486</v>
      </c>
      <c r="W1008" s="12" t="s">
        <v>30</v>
      </c>
      <c r="X1008" s="13">
        <v>10.442542660236359</v>
      </c>
      <c r="Y1008" s="13">
        <v>16.17393272362705</v>
      </c>
      <c r="Z1008" s="20">
        <v>1.54885005020999</v>
      </c>
    </row>
    <row r="1009" spans="1:26" x14ac:dyDescent="0.2">
      <c r="A1009" s="1">
        <v>1007</v>
      </c>
      <c r="B1009" s="2" t="s">
        <v>234</v>
      </c>
      <c r="C1009" s="193" t="str">
        <f>HYPERLINK(AB2 &amp; "/flashlight/sn_fb33de3f0191556210581477dc7999da/rendering/00.obj", "3.42390075684")</f>
        <v>3.42390075684</v>
      </c>
      <c r="D1009" s="106" t="str">
        <f>HYPERLINK(AB2 &amp; "/flashlight/sn_fb33de3f0191556210581477dc7999da/rendering/01.obj", "2.27882064819")</f>
        <v>2.27882064819</v>
      </c>
      <c r="E1009" s="67" t="str">
        <f>HYPERLINK(AB2 &amp; "/flashlight/sn_fb33de3f0191556210581477dc7999da/rendering/02.obj", "2.338019104")</f>
        <v>2.338019104</v>
      </c>
      <c r="F1009" s="72" t="str">
        <f>HYPERLINK(AB2 &amp; "/flashlight/sn_fb33de3f0191556210581477dc7999da/rendering/03.obj", "2.65675354004")</f>
        <v>2.65675354004</v>
      </c>
      <c r="G1009" s="86" t="str">
        <f>HYPERLINK(AB2 &amp; "/flashlight/sn_fb33de3f0191556210581477dc7999da/rendering/04.obj", "3.26084594727")</f>
        <v>3.26084594727</v>
      </c>
      <c r="H1009" s="94" t="str">
        <f>HYPERLINK(AB2 &amp; "/flashlight/sn_fb33de3f0191556210581477dc7999da/rendering/05.obj", "2.7665032959")</f>
        <v>2.7665032959</v>
      </c>
      <c r="I1009" s="5" t="str">
        <f>HYPERLINK(AB2 &amp; "/flashlight/sn_fb33de3f0191556210581477dc7999da/rendering/06.obj", "2.37370147705")</f>
        <v>2.37370147705</v>
      </c>
      <c r="J1009" s="73" t="str">
        <f>HYPERLINK(AB2 &amp; "/flashlight/sn_fb33de3f0191556210581477dc7999da/rendering/07.obj", "2.48252807617")</f>
        <v>2.48252807617</v>
      </c>
      <c r="K1009" s="78" t="str">
        <f>HYPERLINK(AB2 &amp; "/flashlight/sn_fb33de3f0191556210581477dc7999da/rendering/08.obj", "2.72723297119")</f>
        <v>2.72723297119</v>
      </c>
      <c r="L1009" s="41" t="str">
        <f>HYPERLINK(AB2 &amp; "/flashlight/sn_fb33de3f0191556210581477dc7999da/rendering/09.obj", "2.39892456055")</f>
        <v>2.39892456055</v>
      </c>
      <c r="M1009" s="82" t="str">
        <f>HYPERLINK(AB2 &amp; "/flashlight/sn_fb33de3f0191556210581477dc7999da/rendering/10.obj", "2.04439086914")</f>
        <v>2.04439086914</v>
      </c>
      <c r="N1009" s="26" t="str">
        <f>HYPERLINK(AB2 &amp; "/flashlight/sn_fb33de3f0191556210581477dc7999da/rendering/11.obj", "2.40879318237")</f>
        <v>2.40879318237</v>
      </c>
      <c r="O1009" s="73" t="str">
        <f>HYPERLINK(AB2 &amp; "/flashlight/sn_fb33de3f0191556210581477dc7999da/rendering/12.obj", "2.66982543945")</f>
        <v>2.66982543945</v>
      </c>
      <c r="P1009" s="120" t="str">
        <f>HYPERLINK(AB2 &amp; "/flashlight/sn_fb33de3f0191556210581477dc7999da/rendering/13.obj", "3.11414123535")</f>
        <v>3.11414123535</v>
      </c>
      <c r="Q1009" s="34" t="str">
        <f>HYPERLINK(AB2 &amp; "/flashlight/sn_fb33de3f0191556210581477dc7999da/rendering/14.obj", "2.44595153809")</f>
        <v>2.44595153809</v>
      </c>
      <c r="R1009" s="33" t="str">
        <f>HYPERLINK(AB2 &amp; "/flashlight/sn_fb33de3f0191556210581477dc7999da/rendering/15.obj", "2.29244354248")</f>
        <v>2.29244354248</v>
      </c>
      <c r="S1009" s="73" t="str">
        <f>HYPERLINK(AB2 &amp; "/flashlight/sn_fb33de3f0191556210581477dc7999da/rendering/16.obj", "2.47787277222")</f>
        <v>2.47787277222</v>
      </c>
      <c r="T1009" s="26" t="str">
        <f>HYPERLINK(AB2 &amp; "/flashlight/sn_fb33de3f0191556210581477dc7999da/rendering/17.obj", "2.40863708496")</f>
        <v>2.40863708496</v>
      </c>
      <c r="U1009" s="47" t="str">
        <f>HYPERLINK(AB2 &amp; "/flashlight/sn_fb33de3f0191556210581477dc7999da/rendering/18.obj", "2.55604248047")</f>
        <v>2.55604248047</v>
      </c>
      <c r="V1009" s="67" t="str">
        <f>HYPERLINK(AB2 &amp; "/flashlight/sn_fb33de3f0191556210581477dc7999da/rendering/19.obj", "2.33453826904")</f>
        <v>2.33453826904</v>
      </c>
      <c r="W1009" s="12" t="s">
        <v>31</v>
      </c>
      <c r="X1009" s="13">
        <v>2.572993339538574</v>
      </c>
      <c r="Y1009" s="13">
        <v>0.3377902174418464</v>
      </c>
      <c r="Z1009" s="29">
        <v>0.13128297390090549</v>
      </c>
    </row>
    <row r="1010" spans="1:26" x14ac:dyDescent="0.2">
      <c r="A1010" s="1">
        <v>1008</v>
      </c>
      <c r="B1010" s="2" t="s">
        <v>234</v>
      </c>
      <c r="C1010" s="119" t="str">
        <f>HYPERLINK(AB2 &amp; "/flashlight/sn_fb33de3f0191556210581477dc7999da/rendering/00.obj", "1.47742009163")</f>
        <v>1.47742009163</v>
      </c>
      <c r="D1010" s="107" t="str">
        <f>HYPERLINK(AB2 &amp; "/flashlight/sn_fb33de3f0191556210581477dc7999da/rendering/01.obj", "1.07321333885")</f>
        <v>1.07321333885</v>
      </c>
      <c r="E1010" s="94" t="str">
        <f>HYPERLINK(AB2 &amp; "/flashlight/sn_fb33de3f0191556210581477dc7999da/rendering/02.obj", "1.08275234699")</f>
        <v>1.08275234699</v>
      </c>
      <c r="F1010" s="35" t="str">
        <f>HYPERLINK(AB2 &amp; "/flashlight/sn_fb33de3f0191556210581477dc7999da/rendering/03.obj", "1.23725318909")</f>
        <v>1.23725318909</v>
      </c>
      <c r="G1010" s="198" t="str">
        <f>HYPERLINK(AB2 &amp; "/flashlight/sn_fb33de3f0191556210581477dc7999da/rendering/04.obj", "1.61988294125")</f>
        <v>1.61988294125</v>
      </c>
      <c r="H1010" s="26" t="str">
        <f>HYPERLINK(AB2 &amp; "/flashlight/sn_fb33de3f0191556210581477dc7999da/rendering/05.obj", "1.09228086472")</f>
        <v>1.09228086472</v>
      </c>
      <c r="I1010" s="29" t="str">
        <f>HYPERLINK(AB2 &amp; "/flashlight/sn_fb33de3f0191556210581477dc7999da/rendering/06.obj", "1.01697874069")</f>
        <v>1.01697874069</v>
      </c>
      <c r="J1010" s="68" t="str">
        <f>HYPERLINK(AB2 &amp; "/flashlight/sn_fb33de3f0191556210581477dc7999da/rendering/07.obj", "1.21886885166")</f>
        <v>1.21886885166</v>
      </c>
      <c r="K1010" s="78" t="str">
        <f>HYPERLINK(AB2 &amp; "/flashlight/sn_fb33de3f0191556210581477dc7999da/rendering/08.obj", "1.23847174644")</f>
        <v>1.23847174644</v>
      </c>
      <c r="L1010" s="30" t="str">
        <f>HYPERLINK(AB2 &amp; "/flashlight/sn_fb33de3f0191556210581477dc7999da/rendering/09.obj", "1.17323029041")</f>
        <v>1.17323029041</v>
      </c>
      <c r="M1010" s="83" t="str">
        <f>HYPERLINK(AB2 &amp; "/flashlight/sn_fb33de3f0191556210581477dc7999da/rendering/10.obj", "0.989773273468")</f>
        <v>0.989773273468</v>
      </c>
      <c r="N1010" s="67" t="str">
        <f>HYPERLINK(AB2 &amp; "/flashlight/sn_fb33de3f0191556210581477dc7999da/rendering/11.obj", "1.06218481064")</f>
        <v>1.06218481064</v>
      </c>
      <c r="O1010" s="73" t="str">
        <f>HYPERLINK(AB2 &amp; "/flashlight/sn_fb33de3f0191556210581477dc7999da/rendering/12.obj", "1.12616479397")</f>
        <v>1.12616479397</v>
      </c>
      <c r="P1010" s="50" t="str">
        <f>HYPERLINK(AB2 &amp; "/flashlight/sn_fb33de3f0191556210581477dc7999da/rendering/13.obj", "1.40107178688")</f>
        <v>1.40107178688</v>
      </c>
      <c r="Q1010" s="26" t="str">
        <f>HYPERLINK(AB2 &amp; "/flashlight/sn_fb33de3f0191556210581477dc7999da/rendering/14.obj", "1.09394347668")</f>
        <v>1.09394347668</v>
      </c>
      <c r="R1010" s="72" t="str">
        <f>HYPERLINK(AB2 &amp; "/flashlight/sn_fb33de3f0191556210581477dc7999da/rendering/15.obj", "1.13015460968")</f>
        <v>1.13015460968</v>
      </c>
      <c r="S1010" s="47" t="str">
        <f>HYPERLINK(AB2 &amp; "/flashlight/sn_fb33de3f0191556210581477dc7999da/rendering/16.obj", "1.15951180458")</f>
        <v>1.15951180458</v>
      </c>
      <c r="T1010" s="6" t="str">
        <f>HYPERLINK(AB2 &amp; "/flashlight/sn_fb33de3f0191556210581477dc7999da/rendering/17.obj", "1.11716103554")</f>
        <v>1.11716103554</v>
      </c>
      <c r="U1010" s="5" t="str">
        <f>HYPERLINK(AB2 &amp; "/flashlight/sn_fb33de3f0191556210581477dc7999da/rendering/18.obj", "1.07792830467")</f>
        <v>1.07792830467</v>
      </c>
      <c r="V1010" s="79" t="str">
        <f>HYPERLINK(AB2 &amp; "/flashlight/sn_fb33de3f0191556210581477dc7999da/rendering/19.obj", "0.984324932098")</f>
        <v>0.984324932098</v>
      </c>
      <c r="W1010" s="12" t="s">
        <v>32</v>
      </c>
      <c r="X1010" s="13">
        <v>1.1686285614967351</v>
      </c>
      <c r="Y1010" s="13">
        <v>0.159304398612547</v>
      </c>
      <c r="Z1010" s="42">
        <v>0.13631739276380181</v>
      </c>
    </row>
    <row r="1011" spans="1:26" x14ac:dyDescent="0.2">
      <c r="A1011" s="1">
        <v>1009</v>
      </c>
      <c r="B1011" s="2" t="s">
        <v>234</v>
      </c>
      <c r="C1011" s="13" t="str">
        <f>HYPERLINK(AC2 &amp; "/flashlight/sn_fb33de3f0191556210581477dc7999da/rendering/00.xyz", "0.0")</f>
        <v>0.0</v>
      </c>
      <c r="D1011" s="13" t="str">
        <f>HYPERLINK(AC2 &amp; "/flashlight/sn_fb33de3f0191556210581477dc7999da/rendering/01.xyz", "0.0")</f>
        <v>0.0</v>
      </c>
      <c r="E1011" s="13" t="str">
        <f>HYPERLINK(AC2 &amp; "/flashlight/sn_fb33de3f0191556210581477dc7999da/rendering/02.xyz", "0.0")</f>
        <v>0.0</v>
      </c>
      <c r="F1011" s="13" t="str">
        <f>HYPERLINK(AC2 &amp; "/flashlight/sn_fb33de3f0191556210581477dc7999da/rendering/03.xyz", "0.0")</f>
        <v>0.0</v>
      </c>
      <c r="G1011" s="13" t="str">
        <f>HYPERLINK(AC2 &amp; "/flashlight/sn_fb33de3f0191556210581477dc7999da/rendering/04.xyz", "0.0")</f>
        <v>0.0</v>
      </c>
      <c r="H1011" s="13" t="str">
        <f>HYPERLINK(AC2 &amp; "/flashlight/sn_fb33de3f0191556210581477dc7999da/rendering/05.xyz", "0.0")</f>
        <v>0.0</v>
      </c>
      <c r="I1011" s="13" t="str">
        <f>HYPERLINK(AC2 &amp; "/flashlight/sn_fb33de3f0191556210581477dc7999da/rendering/06.xyz", "0.0")</f>
        <v>0.0</v>
      </c>
      <c r="J1011" s="13" t="str">
        <f>HYPERLINK(AC2 &amp; "/flashlight/sn_fb33de3f0191556210581477dc7999da/rendering/07.xyz", "0.0")</f>
        <v>0.0</v>
      </c>
      <c r="K1011" s="13" t="str">
        <f>HYPERLINK(AC2 &amp; "/flashlight/sn_fb33de3f0191556210581477dc7999da/rendering/08.xyz", "0.0")</f>
        <v>0.0</v>
      </c>
      <c r="L1011" s="13" t="str">
        <f>HYPERLINK(AC2 &amp; "/flashlight/sn_fb33de3f0191556210581477dc7999da/rendering/09.xyz", "0.0")</f>
        <v>0.0</v>
      </c>
      <c r="M1011" s="13" t="str">
        <f>HYPERLINK(AC2 &amp; "/flashlight/sn_fb33de3f0191556210581477dc7999da/rendering/10.xyz", "0.0")</f>
        <v>0.0</v>
      </c>
      <c r="N1011" s="13" t="str">
        <f>HYPERLINK(AC2 &amp; "/flashlight/sn_fb33de3f0191556210581477dc7999da/rendering/11.xyz", "0.0")</f>
        <v>0.0</v>
      </c>
      <c r="O1011" s="13" t="str">
        <f>HYPERLINK(AC2 &amp; "/flashlight/sn_fb33de3f0191556210581477dc7999da/rendering/12.xyz", "0.0")</f>
        <v>0.0</v>
      </c>
      <c r="P1011" s="13" t="str">
        <f>HYPERLINK(AC2 &amp; "/flashlight/sn_fb33de3f0191556210581477dc7999da/rendering/13.xyz", "0.0")</f>
        <v>0.0</v>
      </c>
      <c r="Q1011" s="13" t="str">
        <f>HYPERLINK(AC2 &amp; "/flashlight/sn_fb33de3f0191556210581477dc7999da/rendering/14.xyz", "0.0")</f>
        <v>0.0</v>
      </c>
      <c r="R1011" s="13" t="str">
        <f>HYPERLINK(AC2 &amp; "/flashlight/sn_fb33de3f0191556210581477dc7999da/rendering/15.xyz", "0.0")</f>
        <v>0.0</v>
      </c>
      <c r="S1011" s="13" t="str">
        <f>HYPERLINK(AC2 &amp; "/flashlight/sn_fb33de3f0191556210581477dc7999da/rendering/16.xyz", "0.0")</f>
        <v>0.0</v>
      </c>
      <c r="T1011" s="13" t="str">
        <f>HYPERLINK(AC2 &amp; "/flashlight/sn_fb33de3f0191556210581477dc7999da/rendering/17.xyz", "0.0")</f>
        <v>0.0</v>
      </c>
      <c r="U1011" s="13" t="str">
        <f>HYPERLINK(AC2 &amp; "/flashlight/sn_fb33de3f0191556210581477dc7999da/rendering/18.xyz", "0.0")</f>
        <v>0.0</v>
      </c>
      <c r="V1011" s="13" t="str">
        <f>HYPERLINK(AC2 &amp; "/flashlight/sn_fb33de3f0191556210581477dc7999da/rendering/19.xyz", "0.0")</f>
        <v>0.0</v>
      </c>
      <c r="W1011" s="12" t="s">
        <v>33</v>
      </c>
      <c r="X1011" s="13">
        <v>0</v>
      </c>
      <c r="Y1011" s="13">
        <v>0</v>
      </c>
      <c r="Z1011" s="13">
        <v>0</v>
      </c>
    </row>
    <row r="1012" spans="1:26" x14ac:dyDescent="0.2">
      <c r="A1012" s="1">
        <v>1010</v>
      </c>
      <c r="B1012" s="2" t="s">
        <v>235</v>
      </c>
      <c r="C1012" s="32" t="str">
        <f>HYPERLINK(AA2 &amp; "/flashlight/sn_fbb6a1fb01f08eb1575f032b182448e5/rendering/00.obj", "7.38248474121")</f>
        <v>7.38248474121</v>
      </c>
      <c r="D1012" s="51" t="str">
        <f>HYPERLINK(AA2 &amp; "/flashlight/sn_fbb6a1fb01f08eb1575f032b182448e5/rendering/01.obj", "8.88793273926")</f>
        <v>8.88793273926</v>
      </c>
      <c r="E1012" s="99" t="str">
        <f>HYPERLINK(AA2 &amp; "/flashlight/sn_fbb6a1fb01f08eb1575f032b182448e5/rendering/02.obj", "5.99957885742")</f>
        <v>5.99957885742</v>
      </c>
      <c r="F1012" s="103" t="str">
        <f>HYPERLINK(AA2 &amp; "/flashlight/sn_fbb6a1fb01f08eb1575f032b182448e5/rendering/03.obj", "5.57078613281")</f>
        <v>5.57078613281</v>
      </c>
      <c r="G1012" s="76" t="str">
        <f>HYPERLINK(AA2 &amp; "/flashlight/sn_fbb6a1fb01f08eb1575f032b182448e5/rendering/04.obj", "9.74605957031")</f>
        <v>9.74605957031</v>
      </c>
      <c r="H1012" s="32" t="str">
        <f>HYPERLINK(AA2 &amp; "/flashlight/sn_fbb6a1fb01f08eb1575f032b182448e5/rendering/05.obj", "7.36892883301")</f>
        <v>7.36892883301</v>
      </c>
      <c r="I1012" s="80" t="str">
        <f>HYPERLINK(AA2 &amp; "/flashlight/sn_fbb6a1fb01f08eb1575f032b182448e5/rendering/06.obj", "7.02079406738")</f>
        <v>7.02079406738</v>
      </c>
      <c r="J1012" s="94" t="str">
        <f>HYPERLINK(AA2 &amp; "/flashlight/sn_fbb6a1fb01f08eb1575f032b182448e5/rendering/07.obj", "7.62419433594")</f>
        <v>7.62419433594</v>
      </c>
      <c r="K1012" s="98" t="str">
        <f>HYPERLINK(AA2 &amp; "/flashlight/sn_fbb6a1fb01f08eb1575f032b182448e5/rendering/08.obj", "6.34139953613")</f>
        <v>6.34139953613</v>
      </c>
      <c r="L1012" s="91" t="str">
        <f>HYPERLINK(AA2 &amp; "/flashlight/sn_fbb6a1fb01f08eb1575f032b182448e5/rendering/09.obj", "8.0087109375")</f>
        <v>8.0087109375</v>
      </c>
      <c r="M1012" s="70" t="str">
        <f>HYPERLINK(AA2 &amp; "/flashlight/sn_fbb6a1fb01f08eb1575f032b182448e5/rendering/10.obj", "7.18845458984")</f>
        <v>7.18845458984</v>
      </c>
      <c r="N1012" s="32" t="str">
        <f>HYPERLINK(AA2 &amp; "/flashlight/sn_fbb6a1fb01f08eb1575f032b182448e5/rendering/11.obj", "9.11056640625")</f>
        <v>9.11056640625</v>
      </c>
      <c r="O1012" s="181" t="str">
        <f>HYPERLINK(AA2 &amp; "/flashlight/sn_fbb6a1fb01f08eb1575f032b182448e5/rendering/12.obj", "11.9032446289")</f>
        <v>11.9032446289</v>
      </c>
      <c r="P1012" s="49" t="str">
        <f>HYPERLINK(AA2 &amp; "/flashlight/sn_fbb6a1fb01f08eb1575f032b182448e5/rendering/13.obj", "9.96326538086")</f>
        <v>9.96326538086</v>
      </c>
      <c r="Q1012" s="226" t="str">
        <f>HYPERLINK(AA2 &amp; "/flashlight/sn_fbb6a1fb01f08eb1575f032b182448e5/rendering/14.obj", "12.8781799316")</f>
        <v>12.8781799316</v>
      </c>
      <c r="R1012" s="38" t="str">
        <f>HYPERLINK(AA2 &amp; "/flashlight/sn_fbb6a1fb01f08eb1575f032b182448e5/rendering/15.obj", "7.49586303711")</f>
        <v>7.49586303711</v>
      </c>
      <c r="S1012" s="70" t="str">
        <f>HYPERLINK(AA2 &amp; "/flashlight/sn_fbb6a1fb01f08eb1575f032b182448e5/rendering/16.obj", "7.18850463867")</f>
        <v>7.18850463867</v>
      </c>
      <c r="T1012" s="94" t="str">
        <f>HYPERLINK(AA2 &amp; "/flashlight/sn_fbb6a1fb01f08eb1575f032b182448e5/rendering/17.obj", "7.62187988281")</f>
        <v>7.62187988281</v>
      </c>
      <c r="U1012" s="32" t="str">
        <f>HYPERLINK(AA2 &amp; "/flashlight/sn_fbb6a1fb01f08eb1575f032b182448e5/rendering/18.obj", "9.09712036133")</f>
        <v>9.09712036133</v>
      </c>
      <c r="V1012" s="46" t="str">
        <f>HYPERLINK(AA2 &amp; "/flashlight/sn_fbb6a1fb01f08eb1575f032b182448e5/rendering/19.obj", "8.36834716797")</f>
        <v>8.36834716797</v>
      </c>
      <c r="W1012" s="12" t="s">
        <v>29</v>
      </c>
      <c r="X1012" s="13">
        <v>8.2383147888183608</v>
      </c>
      <c r="Y1012" s="13">
        <v>1.794548064049343</v>
      </c>
      <c r="Z1012" s="81">
        <v>0.2178295088317132</v>
      </c>
    </row>
    <row r="1013" spans="1:26" x14ac:dyDescent="0.2">
      <c r="A1013" s="1">
        <v>1011</v>
      </c>
      <c r="B1013" s="2" t="s">
        <v>235</v>
      </c>
      <c r="C1013" s="48" t="str">
        <f>HYPERLINK(AA2 &amp; "/flashlight/sn_fbb6a1fb01f08eb1575f032b182448e5/rendering/00.obj", "7.65821886063")</f>
        <v>7.65821886063</v>
      </c>
      <c r="D1013" s="75" t="str">
        <f>HYPERLINK(AA2 &amp; "/flashlight/sn_fbb6a1fb01f08eb1575f032b182448e5/rendering/01.obj", "9.56985569")</f>
        <v>9.56985569</v>
      </c>
      <c r="E1013" s="130" t="str">
        <f>HYPERLINK(AA2 &amp; "/flashlight/sn_fbb6a1fb01f08eb1575f032b182448e5/rendering/02.obj", "4.30547380447")</f>
        <v>4.30547380447</v>
      </c>
      <c r="F1013" s="126" t="str">
        <f>HYPERLINK(AA2 &amp; "/flashlight/sn_fbb6a1fb01f08eb1575f032b182448e5/rendering/03.obj", "3.92931890488")</f>
        <v>3.92931890488</v>
      </c>
      <c r="G1013" s="63" t="str">
        <f>HYPERLINK(AA2 &amp; "/flashlight/sn_fbb6a1fb01f08eb1575f032b182448e5/rendering/04.obj", "8.78381252289")</f>
        <v>8.78381252289</v>
      </c>
      <c r="H1013" s="118" t="str">
        <f>HYPERLINK(AA2 &amp; "/flashlight/sn_fbb6a1fb01f08eb1575f032b182448e5/rendering/05.obj", "5.53101968765")</f>
        <v>5.53101968765</v>
      </c>
      <c r="I1013" s="54" t="str">
        <f>HYPERLINK(AA2 &amp; "/flashlight/sn_fbb6a1fb01f08eb1575f032b182448e5/rendering/06.obj", "5.27799129486")</f>
        <v>5.27799129486</v>
      </c>
      <c r="J1013" s="200" t="str">
        <f>HYPERLINK(AA2 &amp; "/flashlight/sn_fbb6a1fb01f08eb1575f032b182448e5/rendering/07.obj", "4.08553314209")</f>
        <v>4.08553314209</v>
      </c>
      <c r="K1013" s="145" t="str">
        <f>HYPERLINK(AA2 &amp; "/flashlight/sn_fbb6a1fb01f08eb1575f032b182448e5/rendering/08.obj", "3.98207950592")</f>
        <v>3.98207950592</v>
      </c>
      <c r="L1013" s="48" t="str">
        <f>HYPERLINK(AA2 &amp; "/flashlight/sn_fbb6a1fb01f08eb1575f032b182448e5/rendering/09.obj", "7.65177965164")</f>
        <v>7.65177965164</v>
      </c>
      <c r="M1013" s="171" t="str">
        <f>HYPERLINK(AA2 &amp; "/flashlight/sn_fbb6a1fb01f08eb1575f032b182448e5/rendering/10.obj", "5.45368528366")</f>
        <v>5.45368528366</v>
      </c>
      <c r="N1013" s="50" t="str">
        <f>HYPERLINK(AA2 &amp; "/flashlight/sn_fbb6a1fb01f08eb1575f032b182448e5/rendering/11.obj", "9.40652942657")</f>
        <v>9.40652942657</v>
      </c>
      <c r="O1013" s="20" t="str">
        <f>HYPERLINK(AA2 &amp; "/flashlight/sn_fbb6a1fb01f08eb1575f032b182448e5/rendering/12.obj", "16.0209197998")</f>
        <v>16.0209197998</v>
      </c>
      <c r="P1013" s="76" t="str">
        <f>HYPERLINK(AA2 &amp; "/flashlight/sn_fbb6a1fb01f08eb1575f032b182448e5/rendering/13.obj", "9.28433609009")</f>
        <v>9.28433609009</v>
      </c>
      <c r="Q1013" s="20" t="str">
        <f>HYPERLINK(AA2 &amp; "/flashlight/sn_fbb6a1fb01f08eb1575f032b182448e5/rendering/14.obj", "22.2657241821")</f>
        <v>22.2657241821</v>
      </c>
      <c r="R1013" s="94" t="str">
        <f>HYPERLINK(AA2 &amp; "/flashlight/sn_fbb6a1fb01f08eb1575f032b182448e5/rendering/15.obj", "7.26192426682")</f>
        <v>7.26192426682</v>
      </c>
      <c r="S1013" s="137" t="str">
        <f>HYPERLINK(AA2 &amp; "/flashlight/sn_fbb6a1fb01f08eb1575f032b182448e5/rendering/16.obj", "4.97036552429")</f>
        <v>4.97036552429</v>
      </c>
      <c r="T1013" s="196" t="str">
        <f>HYPERLINK(AA2 &amp; "/flashlight/sn_fbb6a1fb01f08eb1575f032b182448e5/rendering/17.obj", "4.73528194427")</f>
        <v>4.73528194427</v>
      </c>
      <c r="U1013" s="63" t="str">
        <f>HYPERLINK(AA2 &amp; "/flashlight/sn_fbb6a1fb01f08eb1575f032b182448e5/rendering/18.obj", "8.79120349884")</f>
        <v>8.79120349884</v>
      </c>
      <c r="V1013" s="13" t="str">
        <f>HYPERLINK(AA2 &amp; "/flashlight/sn_fbb6a1fb01f08eb1575f032b182448e5/rendering/19.obj", "7.85549402237")</f>
        <v>7.85549402237</v>
      </c>
      <c r="W1013" s="12" t="s">
        <v>30</v>
      </c>
      <c r="X1013" s="13">
        <v>7.8410273551940914</v>
      </c>
      <c r="Y1013" s="13">
        <v>4.3415990581381534</v>
      </c>
      <c r="Z1013" s="21">
        <v>0.55370283273685683</v>
      </c>
    </row>
    <row r="1014" spans="1:26" x14ac:dyDescent="0.2">
      <c r="A1014" s="1">
        <v>1012</v>
      </c>
      <c r="B1014" s="2" t="s">
        <v>235</v>
      </c>
      <c r="C1014" s="25" t="str">
        <f>HYPERLINK(AB2 &amp; "/flashlight/sn_fbb6a1fb01f08eb1575f032b182448e5/rendering/00.obj", "5.88344360352")</f>
        <v>5.88344360352</v>
      </c>
      <c r="D1014" s="94" t="str">
        <f>HYPERLINK(AB2 &amp; "/flashlight/sn_fbb6a1fb01f08eb1575f032b182448e5/rendering/01.obj", "5.38469726563")</f>
        <v>5.38469726563</v>
      </c>
      <c r="E1014" s="26" t="str">
        <f>HYPERLINK(AB2 &amp; "/flashlight/sn_fbb6a1fb01f08eb1575f032b182448e5/rendering/02.obj", "6.1805480957")</f>
        <v>6.1805480957</v>
      </c>
      <c r="F1014" s="41" t="str">
        <f>HYPERLINK(AB2 &amp; "/flashlight/sn_fbb6a1fb01f08eb1575f032b182448e5/rendering/03.obj", "6.19897033691")</f>
        <v>6.19897033691</v>
      </c>
      <c r="G1014" s="66" t="str">
        <f>HYPERLINK(AB2 &amp; "/flashlight/sn_fbb6a1fb01f08eb1575f032b182448e5/rendering/04.obj", "6.75115234375")</f>
        <v>6.75115234375</v>
      </c>
      <c r="H1014" s="30" t="str">
        <f>HYPERLINK(AB2 &amp; "/flashlight/sn_fbb6a1fb01f08eb1575f032b182448e5/rendering/05.obj", "5.78270141602")</f>
        <v>5.78270141602</v>
      </c>
      <c r="I1014" s="30" t="str">
        <f>HYPERLINK(AB2 &amp; "/flashlight/sn_fbb6a1fb01f08eb1575f032b182448e5/rendering/06.obj", "5.83892089844")</f>
        <v>5.83892089844</v>
      </c>
      <c r="J1014" s="64" t="str">
        <f>HYPERLINK(AB2 &amp; "/flashlight/sn_fbb6a1fb01f08eb1575f032b182448e5/rendering/07.obj", "4.84882873535")</f>
        <v>4.84882873535</v>
      </c>
      <c r="K1014" s="47" t="str">
        <f>HYPERLINK(AB2 &amp; "/flashlight/sn_fbb6a1fb01f08eb1575f032b182448e5/rendering/08.obj", "5.77263305664")</f>
        <v>5.77263305664</v>
      </c>
      <c r="L1014" s="33" t="str">
        <f>HYPERLINK(AB2 &amp; "/flashlight/sn_fbb6a1fb01f08eb1575f032b182448e5/rendering/09.obj", "6.44501098633")</f>
        <v>6.44501098633</v>
      </c>
      <c r="M1014" s="23" t="str">
        <f>HYPERLINK(AB2 &amp; "/flashlight/sn_fbb6a1fb01f08eb1575f032b182448e5/rendering/10.obj", "6.04177124023")</f>
        <v>6.04177124023</v>
      </c>
      <c r="N1014" s="80" t="str">
        <f>HYPERLINK(AB2 &amp; "/flashlight/sn_fbb6a1fb01f08eb1575f032b182448e5/rendering/11.obj", "6.68590148926")</f>
        <v>6.68590148926</v>
      </c>
      <c r="O1014" s="64" t="str">
        <f>HYPERLINK(AB2 &amp; "/flashlight/sn_fbb6a1fb01f08eb1575f032b182448e5/rendering/12.obj", "4.8518548584")</f>
        <v>4.8518548584</v>
      </c>
      <c r="P1014" s="78" t="str">
        <f>HYPERLINK(AB2 &amp; "/flashlight/sn_fbb6a1fb01f08eb1575f032b182448e5/rendering/13.obj", "6.16308837891")</f>
        <v>6.16308837891</v>
      </c>
      <c r="Q1014" s="90" t="str">
        <f>HYPERLINK(AB2 &amp; "/flashlight/sn_fbb6a1fb01f08eb1575f032b182448e5/rendering/14.obj", "5.24769897461")</f>
        <v>5.24769897461</v>
      </c>
      <c r="R1014" s="60" t="str">
        <f>HYPERLINK(AB2 &amp; "/flashlight/sn_fbb6a1fb01f08eb1575f032b182448e5/rendering/15.obj", "6.11833251953")</f>
        <v>6.11833251953</v>
      </c>
      <c r="S1014" s="6" t="str">
        <f>HYPERLINK(AB2 &amp; "/flashlight/sn_fbb6a1fb01f08eb1575f032b182448e5/rendering/16.obj", "5.54806152344")</f>
        <v>5.54806152344</v>
      </c>
      <c r="T1014" s="31" t="str">
        <f>HYPERLINK(AB2 &amp; "/flashlight/sn_fbb6a1fb01f08eb1575f032b182448e5/rendering/17.obj", "4.90557189941")</f>
        <v>4.90557189941</v>
      </c>
      <c r="U1014" s="10" t="str">
        <f>HYPERLINK(AB2 &amp; "/flashlight/sn_fbb6a1fb01f08eb1575f032b182448e5/rendering/18.obj", "5.48705444336")</f>
        <v>5.48705444336</v>
      </c>
      <c r="V1014" s="34" t="str">
        <f>HYPERLINK(AB2 &amp; "/flashlight/sn_fbb6a1fb01f08eb1575f032b182448e5/rendering/19.obj", "6.08734802246")</f>
        <v>6.08734802246</v>
      </c>
      <c r="W1014" s="12" t="s">
        <v>31</v>
      </c>
      <c r="X1014" s="13">
        <v>5.8111795043945307</v>
      </c>
      <c r="Y1014" s="13">
        <v>0.54924453186457978</v>
      </c>
      <c r="Z1014" s="90">
        <v>9.4515155047134577E-2</v>
      </c>
    </row>
    <row r="1015" spans="1:26" x14ac:dyDescent="0.2">
      <c r="A1015" s="1">
        <v>1013</v>
      </c>
      <c r="B1015" s="2" t="s">
        <v>235</v>
      </c>
      <c r="C1015" s="70" t="str">
        <f>HYPERLINK(AB2 &amp; "/flashlight/sn_fbb6a1fb01f08eb1575f032b182448e5/rendering/00.obj", "2.66074585915")</f>
        <v>2.66074585915</v>
      </c>
      <c r="D1015" s="67" t="str">
        <f>HYPERLINK(AB2 &amp; "/flashlight/sn_fbb6a1fb01f08eb1575f032b182448e5/rendering/01.obj", "2.7710018158")</f>
        <v>2.7710018158</v>
      </c>
      <c r="E1015" s="91" t="str">
        <f>HYPERLINK(AB2 &amp; "/flashlight/sn_fbb6a1fb01f08eb1575f032b182448e5/rendering/02.obj", "3.13494729996")</f>
        <v>3.13494729996</v>
      </c>
      <c r="F1015" s="40" t="str">
        <f>HYPERLINK(AB2 &amp; "/flashlight/sn_fbb6a1fb01f08eb1575f032b182448e5/rendering/03.obj", "2.53216791153")</f>
        <v>2.53216791153</v>
      </c>
      <c r="G1015" s="128" t="str">
        <f>HYPERLINK(AB2 &amp; "/flashlight/sn_fbb6a1fb01f08eb1575f032b182448e5/rendering/04.obj", "4.2467212677")</f>
        <v>4.2467212677</v>
      </c>
      <c r="H1015" s="92" t="str">
        <f>HYPERLINK(AB2 &amp; "/flashlight/sn_fbb6a1fb01f08eb1575f032b182448e5/rendering/05.obj", "3.43151807785")</f>
        <v>3.43151807785</v>
      </c>
      <c r="I1015" s="107" t="str">
        <f>HYPERLINK(AB2 &amp; "/flashlight/sn_fbb6a1fb01f08eb1575f032b182448e5/rendering/06.obj", "2.80064845085")</f>
        <v>2.80064845085</v>
      </c>
      <c r="J1015" s="48" t="str">
        <f>HYPERLINK(AB2 &amp; "/flashlight/sn_fbb6a1fb01f08eb1575f032b182448e5/rendering/07.obj", "3.12600898743")</f>
        <v>3.12600898743</v>
      </c>
      <c r="K1015" s="117" t="str">
        <f>HYPERLINK(AB2 &amp; "/flashlight/sn_fbb6a1fb01f08eb1575f032b182448e5/rendering/08.obj", "3.59112334251")</f>
        <v>3.59112334251</v>
      </c>
      <c r="L1015" s="60" t="str">
        <f>HYPERLINK(AB2 &amp; "/flashlight/sn_fbb6a1fb01f08eb1575f032b182448e5/rendering/09.obj", "2.89487695694")</f>
        <v>2.89487695694</v>
      </c>
      <c r="M1015" s="94" t="str">
        <f>HYPERLINK(AB2 &amp; "/flashlight/sn_fbb6a1fb01f08eb1575f032b182448e5/rendering/10.obj", "2.82887601852")</f>
        <v>2.82887601852</v>
      </c>
      <c r="N1015" s="72" t="str">
        <f>HYPERLINK(AB2 &amp; "/flashlight/sn_fbb6a1fb01f08eb1575f032b182448e5/rendering/11.obj", "3.15373516083")</f>
        <v>3.15373516083</v>
      </c>
      <c r="O1015" s="48" t="str">
        <f>HYPERLINK(AB2 &amp; "/flashlight/sn_fbb6a1fb01f08eb1575f032b182448e5/rendering/12.obj", "3.12187671661")</f>
        <v>3.12187671661</v>
      </c>
      <c r="P1015" s="69" t="str">
        <f>HYPERLINK(AB2 &amp; "/flashlight/sn_fbb6a1fb01f08eb1575f032b182448e5/rendering/13.obj", "2.966547966")</f>
        <v>2.966547966</v>
      </c>
      <c r="Q1015" s="91" t="str">
        <f>HYPERLINK(AB2 &amp; "/flashlight/sn_fbb6a1fb01f08eb1575f032b182448e5/rendering/14.obj", "3.13063836098")</f>
        <v>3.13063836098</v>
      </c>
      <c r="R1015" s="6" t="str">
        <f>HYPERLINK(AB2 &amp; "/flashlight/sn_fbb6a1fb01f08eb1575f032b182448e5/rendering/15.obj", "2.91466665268")</f>
        <v>2.91466665268</v>
      </c>
      <c r="S1015" s="13" t="str">
        <f>HYPERLINK(AB2 &amp; "/flashlight/sn_fbb6a1fb01f08eb1575f032b182448e5/rendering/16.obj", "3.05842494965")</f>
        <v>3.05842494965</v>
      </c>
      <c r="T1015" s="35" t="str">
        <f>HYPERLINK(AB2 &amp; "/flashlight/sn_fbb6a1fb01f08eb1575f032b182448e5/rendering/17.obj", "3.23132109642")</f>
        <v>3.23132109642</v>
      </c>
      <c r="U1015" s="90" t="str">
        <f>HYPERLINK(AB2 &amp; "/flashlight/sn_fbb6a1fb01f08eb1575f032b182448e5/rendering/18.obj", "2.76224064827")</f>
        <v>2.76224064827</v>
      </c>
      <c r="V1015" s="106" t="str">
        <f>HYPERLINK(AB2 &amp; "/flashlight/sn_fbb6a1fb01f08eb1575f032b182448e5/rendering/19.obj", "2.70175099373")</f>
        <v>2.70175099373</v>
      </c>
      <c r="W1015" s="12" t="s">
        <v>32</v>
      </c>
      <c r="X1015" s="13">
        <v>3.052991926670074</v>
      </c>
      <c r="Y1015" s="13">
        <v>0.37421324013639568</v>
      </c>
      <c r="Z1015" s="92">
        <v>0.122572626827924</v>
      </c>
    </row>
    <row r="1016" spans="1:26" x14ac:dyDescent="0.2">
      <c r="A1016" s="1">
        <v>1014</v>
      </c>
      <c r="B1016" s="2" t="s">
        <v>235</v>
      </c>
      <c r="C1016" s="13" t="str">
        <f>HYPERLINK(AC2 &amp; "/flashlight/sn_fbb6a1fb01f08eb1575f032b182448e5/rendering/00.xyz", "0.0")</f>
        <v>0.0</v>
      </c>
      <c r="D1016" s="13" t="str">
        <f>HYPERLINK(AC2 &amp; "/flashlight/sn_fbb6a1fb01f08eb1575f032b182448e5/rendering/01.xyz", "0.0")</f>
        <v>0.0</v>
      </c>
      <c r="E1016" s="13" t="str">
        <f>HYPERLINK(AC2 &amp; "/flashlight/sn_fbb6a1fb01f08eb1575f032b182448e5/rendering/02.xyz", "0.0")</f>
        <v>0.0</v>
      </c>
      <c r="F1016" s="13" t="str">
        <f>HYPERLINK(AC2 &amp; "/flashlight/sn_fbb6a1fb01f08eb1575f032b182448e5/rendering/03.xyz", "0.0")</f>
        <v>0.0</v>
      </c>
      <c r="G1016" s="13" t="str">
        <f>HYPERLINK(AC2 &amp; "/flashlight/sn_fbb6a1fb01f08eb1575f032b182448e5/rendering/04.xyz", "0.0")</f>
        <v>0.0</v>
      </c>
      <c r="H1016" s="13" t="str">
        <f>HYPERLINK(AC2 &amp; "/flashlight/sn_fbb6a1fb01f08eb1575f032b182448e5/rendering/05.xyz", "0.0")</f>
        <v>0.0</v>
      </c>
      <c r="I1016" s="13" t="str">
        <f>HYPERLINK(AC2 &amp; "/flashlight/sn_fbb6a1fb01f08eb1575f032b182448e5/rendering/06.xyz", "0.0")</f>
        <v>0.0</v>
      </c>
      <c r="J1016" s="13" t="str">
        <f>HYPERLINK(AC2 &amp; "/flashlight/sn_fbb6a1fb01f08eb1575f032b182448e5/rendering/07.xyz", "0.0")</f>
        <v>0.0</v>
      </c>
      <c r="K1016" s="13" t="str">
        <f>HYPERLINK(AC2 &amp; "/flashlight/sn_fbb6a1fb01f08eb1575f032b182448e5/rendering/08.xyz", "0.0")</f>
        <v>0.0</v>
      </c>
      <c r="L1016" s="13" t="str">
        <f>HYPERLINK(AC2 &amp; "/flashlight/sn_fbb6a1fb01f08eb1575f032b182448e5/rendering/09.xyz", "0.0")</f>
        <v>0.0</v>
      </c>
      <c r="M1016" s="13" t="str">
        <f>HYPERLINK(AC2 &amp; "/flashlight/sn_fbb6a1fb01f08eb1575f032b182448e5/rendering/10.xyz", "0.0")</f>
        <v>0.0</v>
      </c>
      <c r="N1016" s="13" t="str">
        <f>HYPERLINK(AC2 &amp; "/flashlight/sn_fbb6a1fb01f08eb1575f032b182448e5/rendering/11.xyz", "0.0")</f>
        <v>0.0</v>
      </c>
      <c r="O1016" s="13" t="str">
        <f>HYPERLINK(AC2 &amp; "/flashlight/sn_fbb6a1fb01f08eb1575f032b182448e5/rendering/12.xyz", "0.0")</f>
        <v>0.0</v>
      </c>
      <c r="P1016" s="13" t="str">
        <f>HYPERLINK(AC2 &amp; "/flashlight/sn_fbb6a1fb01f08eb1575f032b182448e5/rendering/13.xyz", "0.0")</f>
        <v>0.0</v>
      </c>
      <c r="Q1016" s="13" t="str">
        <f>HYPERLINK(AC2 &amp; "/flashlight/sn_fbb6a1fb01f08eb1575f032b182448e5/rendering/14.xyz", "0.0")</f>
        <v>0.0</v>
      </c>
      <c r="R1016" s="13" t="str">
        <f>HYPERLINK(AC2 &amp; "/flashlight/sn_fbb6a1fb01f08eb1575f032b182448e5/rendering/15.xyz", "0.0")</f>
        <v>0.0</v>
      </c>
      <c r="S1016" s="13" t="str">
        <f>HYPERLINK(AC2 &amp; "/flashlight/sn_fbb6a1fb01f08eb1575f032b182448e5/rendering/16.xyz", "0.0")</f>
        <v>0.0</v>
      </c>
      <c r="T1016" s="13" t="str">
        <f>HYPERLINK(AC2 &amp; "/flashlight/sn_fbb6a1fb01f08eb1575f032b182448e5/rendering/17.xyz", "0.0")</f>
        <v>0.0</v>
      </c>
      <c r="U1016" s="13" t="str">
        <f>HYPERLINK(AC2 &amp; "/flashlight/sn_fbb6a1fb01f08eb1575f032b182448e5/rendering/18.xyz", "0.0")</f>
        <v>0.0</v>
      </c>
      <c r="V1016" s="13" t="str">
        <f>HYPERLINK(AC2 &amp; "/flashlight/sn_fbb6a1fb01f08eb1575f032b182448e5/rendering/19.xyz", "0.0")</f>
        <v>0.0</v>
      </c>
      <c r="W1016" s="12" t="s">
        <v>33</v>
      </c>
      <c r="X1016" s="13">
        <v>0</v>
      </c>
      <c r="Y1016" s="13">
        <v>0</v>
      </c>
      <c r="Z1016" s="13">
        <v>0</v>
      </c>
    </row>
    <row r="1017" spans="1:26" x14ac:dyDescent="0.2">
      <c r="A1017" s="1">
        <v>1015</v>
      </c>
      <c r="B1017" s="2" t="s">
        <v>236</v>
      </c>
      <c r="C1017" s="3" t="str">
        <f>HYPERLINK(AA2 &amp; "/hammer/sn_b3de45501d68b8cb184c81c7a4fc673d/rendering/00.obj", "nan")</f>
        <v>nan</v>
      </c>
      <c r="D1017" s="3" t="str">
        <f>HYPERLINK(AA2 &amp; "/hammer/sn_b3de45501d68b8cb184c81c7a4fc673d/rendering/01.obj", "nan")</f>
        <v>nan</v>
      </c>
      <c r="E1017" s="3" t="str">
        <f>HYPERLINK(AA2 &amp; "/hammer/sn_b3de45501d68b8cb184c81c7a4fc673d/rendering/02.obj", "nan")</f>
        <v>nan</v>
      </c>
      <c r="F1017" s="3" t="str">
        <f>HYPERLINK(AA2 &amp; "/hammer/sn_b3de45501d68b8cb184c81c7a4fc673d/rendering/03.obj", "nan")</f>
        <v>nan</v>
      </c>
      <c r="G1017" s="20" t="str">
        <f>HYPERLINK(AA2 &amp; "/hammer/sn_b3de45501d68b8cb184c81c7a4fc673d/rendering/04.obj", "18.1450317383")</f>
        <v>18.1450317383</v>
      </c>
      <c r="H1017" s="82" t="str">
        <f>HYPERLINK(AA2 &amp; "/hammer/sn_b3de45501d68b8cb184c81c7a4fc673d/rendering/05.obj", "6.64029907227")</f>
        <v>6.64029907227</v>
      </c>
      <c r="I1017" s="58" t="str">
        <f>HYPERLINK(AA2 &amp; "/hammer/sn_b3de45501d68b8cb184c81c7a4fc673d/rendering/06.obj", "6.31353515625")</f>
        <v>6.31353515625</v>
      </c>
      <c r="J1017" s="61" t="str">
        <f>HYPERLINK(AA2 &amp; "/hammer/sn_b3de45501d68b8cb184c81c7a4fc673d/rendering/07.obj", "10.8787084961")</f>
        <v>10.8787084961</v>
      </c>
      <c r="K1017" s="59" t="str">
        <f>HYPERLINK(AA2 &amp; "/hammer/sn_b3de45501d68b8cb184c81c7a4fc673d/rendering/08.obj", "6.34822998047")</f>
        <v>6.34822998047</v>
      </c>
      <c r="L1017" s="168" t="str">
        <f>HYPERLINK(AA2 &amp; "/hammer/sn_b3de45501d68b8cb184c81c7a4fc673d/rendering/09.obj", "11.0433129883")</f>
        <v>11.0433129883</v>
      </c>
      <c r="M1017" s="84" t="str">
        <f>HYPERLINK(AA2 &amp; "/hammer/sn_b3de45501d68b8cb184c81c7a4fc673d/rendering/10.obj", "7.13614746094")</f>
        <v>7.13614746094</v>
      </c>
      <c r="N1017" s="113" t="str">
        <f>HYPERLINK(AA2 &amp; "/hammer/sn_b3de45501d68b8cb184c81c7a4fc673d/rendering/11.obj", "6.04924743652")</f>
        <v>6.04924743652</v>
      </c>
      <c r="O1017" s="113" t="str">
        <f>HYPERLINK(AA2 &amp; "/hammer/sn_b3de45501d68b8cb184c81c7a4fc673d/rendering/12.obj", "6.05394226074")</f>
        <v>6.05394226074</v>
      </c>
      <c r="P1017" s="92" t="str">
        <f>HYPERLINK(AA2 &amp; "/hammer/sn_b3de45501d68b8cb184c81c7a4fc673d/rendering/13.obj", "7.31282897949")</f>
        <v>7.31282897949</v>
      </c>
      <c r="Q1017" s="20" t="str">
        <f>HYPERLINK(AA2 &amp; "/hammer/sn_b3de45501d68b8cb184c81c7a4fc673d/rendering/14.obj", "17.730748291")</f>
        <v>17.730748291</v>
      </c>
      <c r="R1017" s="43" t="str">
        <f>HYPERLINK(AA2 &amp; "/hammer/sn_b3de45501d68b8cb184c81c7a4fc673d/rendering/15.obj", "5.22955932617")</f>
        <v>5.22955932617</v>
      </c>
      <c r="S1017" s="75" t="str">
        <f>HYPERLINK(AA2 &amp; "/hammer/sn_b3de45501d68b8cb184c81c7a4fc673d/rendering/16.obj", "6.5029699707")</f>
        <v>6.5029699707</v>
      </c>
      <c r="T1017" s="95" t="str">
        <f>HYPERLINK(AA2 &amp; "/hammer/sn_b3de45501d68b8cb184c81c7a4fc673d/rendering/17.obj", "6.01050537109")</f>
        <v>6.01050537109</v>
      </c>
      <c r="U1017" s="58" t="str">
        <f>HYPERLINK(AA2 &amp; "/hammer/sn_b3de45501d68b8cb184c81c7a4fc673d/rendering/18.obj", "6.31482788086")</f>
        <v>6.31482788086</v>
      </c>
      <c r="V1017" s="14" t="str">
        <f>HYPERLINK(AA2 &amp; "/hammer/sn_b3de45501d68b8cb184c81c7a4fc673d/rendering/19.obj", "5.9155670166")</f>
        <v>5.9155670166</v>
      </c>
      <c r="W1017" s="12" t="s">
        <v>29</v>
      </c>
      <c r="X1017" s="13">
        <v>8.3515913391113283</v>
      </c>
      <c r="Y1017" s="13">
        <v>3.9565728189340139</v>
      </c>
      <c r="Z1017" s="104">
        <v>0.47375076895884399</v>
      </c>
    </row>
    <row r="1018" spans="1:26" x14ac:dyDescent="0.2">
      <c r="A1018" s="1">
        <v>1016</v>
      </c>
      <c r="B1018" s="2" t="s">
        <v>236</v>
      </c>
      <c r="C1018" s="3" t="str">
        <f>HYPERLINK(AA2 &amp; "/hammer/sn_b3de45501d68b8cb184c81c7a4fc673d/rendering/00.obj", "nan")</f>
        <v>nan</v>
      </c>
      <c r="D1018" s="3" t="str">
        <f>HYPERLINK(AA2 &amp; "/hammer/sn_b3de45501d68b8cb184c81c7a4fc673d/rendering/01.obj", "nan")</f>
        <v>nan</v>
      </c>
      <c r="E1018" s="3" t="str">
        <f>HYPERLINK(AA2 &amp; "/hammer/sn_b3de45501d68b8cb184c81c7a4fc673d/rendering/02.obj", "nan")</f>
        <v>nan</v>
      </c>
      <c r="F1018" s="3" t="str">
        <f>HYPERLINK(AA2 &amp; "/hammer/sn_b3de45501d68b8cb184c81c7a4fc673d/rendering/03.obj", "nan")</f>
        <v>nan</v>
      </c>
      <c r="G1018" s="20" t="str">
        <f>HYPERLINK(AA2 &amp; "/hammer/sn_b3de45501d68b8cb184c81c7a4fc673d/rendering/04.obj", "92.0155029297")</f>
        <v>92.0155029297</v>
      </c>
      <c r="H1018" s="190" t="str">
        <f>HYPERLINK(AA2 &amp; "/hammer/sn_b3de45501d68b8cb184c81c7a4fc673d/rendering/05.obj", "5.82038164139")</f>
        <v>5.82038164139</v>
      </c>
      <c r="I1018" s="253" t="str">
        <f>HYPERLINK(AA2 &amp; "/hammer/sn_b3de45501d68b8cb184c81c7a4fc673d/rendering/06.obj", "5.209379673")</f>
        <v>5.209379673</v>
      </c>
      <c r="J1018" s="190" t="str">
        <f>HYPERLINK(AA2 &amp; "/hammer/sn_b3de45501d68b8cb184c81c7a4fc673d/rendering/07.obj", "32.2178993225")</f>
        <v>32.2178993225</v>
      </c>
      <c r="K1018" s="112" t="str">
        <f>HYPERLINK(AA2 &amp; "/hammer/sn_b3de45501d68b8cb184c81c7a4fc673d/rendering/08.obj", "7.69114875793")</f>
        <v>7.69114875793</v>
      </c>
      <c r="L1018" s="58" t="str">
        <f>HYPERLINK(AA2 &amp; "/hammer/sn_b3de45501d68b8cb184c81c7a4fc673d/rendering/09.obj", "23.6214733124")</f>
        <v>23.6214733124</v>
      </c>
      <c r="M1018" s="53" t="str">
        <f>HYPERLINK(AA2 &amp; "/hammer/sn_b3de45501d68b8cb184c81c7a4fc673d/rendering/10.obj", "11.2014188766")</f>
        <v>11.2014188766</v>
      </c>
      <c r="N1018" s="184" t="str">
        <f>HYPERLINK(AA2 &amp; "/hammer/sn_b3de45501d68b8cb184c81c7a4fc673d/rendering/11.obj", "5.05670022964")</f>
        <v>5.05670022964</v>
      </c>
      <c r="O1018" s="209" t="str">
        <f>HYPERLINK(AA2 &amp; "/hammer/sn_b3de45501d68b8cb184c81c7a4fc673d/rendering/12.obj", "4.62769889832")</f>
        <v>4.62769889832</v>
      </c>
      <c r="P1018" s="53" t="str">
        <f>HYPERLINK(AA2 &amp; "/hammer/sn_b3de45501d68b8cb184c81c7a4fc673d/rendering/13.obj", "11.1889753342")</f>
        <v>11.1889753342</v>
      </c>
      <c r="Q1018" s="20" t="str">
        <f>HYPERLINK(AA2 &amp; "/hammer/sn_b3de45501d68b8cb184c81c7a4fc673d/rendering/14.obj", "56.4887733459")</f>
        <v>56.4887733459</v>
      </c>
      <c r="R1018" s="251" t="str">
        <f>HYPERLINK(AA2 &amp; "/hammer/sn_b3de45501d68b8cb184c81c7a4fc673d/rendering/15.obj", "7.82394266129")</f>
        <v>7.82394266129</v>
      </c>
      <c r="S1018" s="52" t="str">
        <f>HYPERLINK(AA2 &amp; "/hammer/sn_b3de45501d68b8cb184c81c7a4fc673d/rendering/16.obj", "11.4057683945")</f>
        <v>11.4057683945</v>
      </c>
      <c r="T1018" s="141" t="str">
        <f>HYPERLINK(AA2 &amp; "/hammer/sn_b3de45501d68b8cb184c81c7a4fc673d/rendering/17.obj", "8.54402637482")</f>
        <v>8.54402637482</v>
      </c>
      <c r="U1018" s="169" t="str">
        <f>HYPERLINK(AA2 &amp; "/hammer/sn_b3de45501d68b8cb184c81c7a4fc673d/rendering/18.obj", "13.0768442154")</f>
        <v>13.0768442154</v>
      </c>
      <c r="V1018" s="223" t="str">
        <f>HYPERLINK(AA2 &amp; "/hammer/sn_b3de45501d68b8cb184c81c7a4fc673d/rendering/19.obj", "8.38297653198")</f>
        <v>8.38297653198</v>
      </c>
      <c r="W1018" s="12" t="s">
        <v>30</v>
      </c>
      <c r="X1018" s="13">
        <v>19.023306906223301</v>
      </c>
      <c r="Y1018" s="13">
        <v>22.895175837513701</v>
      </c>
      <c r="Z1018" s="20">
        <v>1.203532905733848</v>
      </c>
    </row>
    <row r="1019" spans="1:26" x14ac:dyDescent="0.2">
      <c r="A1019" s="1">
        <v>1017</v>
      </c>
      <c r="B1019" s="2" t="s">
        <v>236</v>
      </c>
      <c r="C1019" s="3" t="str">
        <f>HYPERLINK(AB2 &amp; "/hammer/sn_b3de45501d68b8cb184c81c7a4fc673d/rendering/00.obj", "nan")</f>
        <v>nan</v>
      </c>
      <c r="D1019" s="3" t="str">
        <f>HYPERLINK(AB2 &amp; "/hammer/sn_b3de45501d68b8cb184c81c7a4fc673d/rendering/01.obj", "nan")</f>
        <v>nan</v>
      </c>
      <c r="E1019" s="3" t="str">
        <f>HYPERLINK(AB2 &amp; "/hammer/sn_b3de45501d68b8cb184c81c7a4fc673d/rendering/02.obj", "nan")</f>
        <v>nan</v>
      </c>
      <c r="F1019" s="3" t="str">
        <f>HYPERLINK(AB2 &amp; "/hammer/sn_b3de45501d68b8cb184c81c7a4fc673d/rendering/03.obj", "nan")</f>
        <v>nan</v>
      </c>
      <c r="G1019" s="28" t="str">
        <f>HYPERLINK(AB2 &amp; "/hammer/sn_b3de45501d68b8cb184c81c7a4fc673d/rendering/04.obj", "5.08948425293")</f>
        <v>5.08948425293</v>
      </c>
      <c r="H1019" s="212" t="str">
        <f>HYPERLINK(AB2 &amp; "/hammer/sn_b3de45501d68b8cb184c81c7a4fc673d/rendering/05.obj", "8.19697998047")</f>
        <v>8.19697998047</v>
      </c>
      <c r="I1019" s="128" t="str">
        <f>HYPERLINK(AB2 &amp; "/hammer/sn_b3de45501d68b8cb184c81c7a4fc673d/rendering/06.obj", "7.96833374023")</f>
        <v>7.96833374023</v>
      </c>
      <c r="J1019" s="23" t="str">
        <f>HYPERLINK(AB2 &amp; "/hammer/sn_b3de45501d68b8cb184c81c7a4fc673d/rendering/07.obj", "5.9459765625")</f>
        <v>5.9459765625</v>
      </c>
      <c r="K1019" s="49" t="str">
        <f>HYPERLINK(AB2 &amp; "/hammer/sn_b3de45501d68b8cb184c81c7a4fc673d/rendering/08.obj", "4.53452972412")</f>
        <v>4.53452972412</v>
      </c>
      <c r="L1019" s="84" t="str">
        <f>HYPERLINK(AB2 &amp; "/hammer/sn_b3de45501d68b8cb184c81c7a4fc673d/rendering/09.obj", "4.89281799316")</f>
        <v>4.89281799316</v>
      </c>
      <c r="M1019" s="133" t="str">
        <f>HYPERLINK(AB2 &amp; "/hammer/sn_b3de45501d68b8cb184c81c7a4fc673d/rendering/10.obj", "5.14858154297")</f>
        <v>5.14858154297</v>
      </c>
      <c r="N1019" s="166" t="str">
        <f>HYPERLINK(AB2 &amp; "/hammer/sn_b3de45501d68b8cb184c81c7a4fc673d/rendering/11.obj", "7.3676159668")</f>
        <v>7.3676159668</v>
      </c>
      <c r="O1019" s="70" t="str">
        <f>HYPERLINK(AB2 &amp; "/hammer/sn_b3de45501d68b8cb184c81c7a4fc673d/rendering/12.obj", "6.44744873047")</f>
        <v>6.44744873047</v>
      </c>
      <c r="P1019" s="73" t="str">
        <f>HYPERLINK(AB2 &amp; "/hammer/sn_b3de45501d68b8cb184c81c7a4fc673d/rendering/13.obj", "5.92866333008")</f>
        <v>5.92866333008</v>
      </c>
      <c r="Q1019" s="148" t="str">
        <f>HYPERLINK(AB2 &amp; "/hammer/sn_b3de45501d68b8cb184c81c7a4fc673d/rendering/14.obj", "2.95638549805")</f>
        <v>2.95638549805</v>
      </c>
      <c r="R1019" s="30" t="str">
        <f>HYPERLINK(AB2 &amp; "/hammer/sn_b3de45501d68b8cb184c81c7a4fc673d/rendering/15.obj", "5.69168579102")</f>
        <v>5.69168579102</v>
      </c>
      <c r="S1019" s="46" t="str">
        <f>HYPERLINK(AB2 &amp; "/hammer/sn_b3de45501d68b8cb184c81c7a4fc673d/rendering/16.obj", "5.8187713623")</f>
        <v>5.8187713623</v>
      </c>
      <c r="T1019" s="120" t="str">
        <f>HYPERLINK(AB2 &amp; "/hammer/sn_b3de45501d68b8cb184c81c7a4fc673d/rendering/17.obj", "4.51593994141")</f>
        <v>4.51593994141</v>
      </c>
      <c r="U1019" s="8" t="str">
        <f>HYPERLINK(AB2 &amp; "/hammer/sn_b3de45501d68b8cb184c81c7a4fc673d/rendering/18.obj", "4.90875915527")</f>
        <v>4.90875915527</v>
      </c>
      <c r="V1019" s="51" t="str">
        <f>HYPERLINK(AB2 &amp; "/hammer/sn_b3de45501d68b8cb184c81c7a4fc673d/rendering/19.obj", "6.18066772461")</f>
        <v>6.18066772461</v>
      </c>
      <c r="W1019" s="12" t="s">
        <v>31</v>
      </c>
      <c r="X1019" s="13">
        <v>5.7245400810241707</v>
      </c>
      <c r="Y1019" s="13">
        <v>1.306483331799867</v>
      </c>
      <c r="Z1019" s="87">
        <v>0.22822503001256411</v>
      </c>
    </row>
    <row r="1020" spans="1:26" x14ac:dyDescent="0.2">
      <c r="A1020" s="1">
        <v>1018</v>
      </c>
      <c r="B1020" s="2" t="s">
        <v>236</v>
      </c>
      <c r="C1020" s="3" t="str">
        <f>HYPERLINK(AB2 &amp; "/hammer/sn_b3de45501d68b8cb184c81c7a4fc673d/rendering/00.obj", "nan")</f>
        <v>nan</v>
      </c>
      <c r="D1020" s="3" t="str">
        <f>HYPERLINK(AB2 &amp; "/hammer/sn_b3de45501d68b8cb184c81c7a4fc673d/rendering/01.obj", "nan")</f>
        <v>nan</v>
      </c>
      <c r="E1020" s="3" t="str">
        <f>HYPERLINK(AB2 &amp; "/hammer/sn_b3de45501d68b8cb184c81c7a4fc673d/rendering/02.obj", "nan")</f>
        <v>nan</v>
      </c>
      <c r="F1020" s="3" t="str">
        <f>HYPERLINK(AB2 &amp; "/hammer/sn_b3de45501d68b8cb184c81c7a4fc673d/rendering/03.obj", "nan")</f>
        <v>nan</v>
      </c>
      <c r="G1020" s="167" t="str">
        <f>HYPERLINK(AB2 &amp; "/hammer/sn_b3de45501d68b8cb184c81c7a4fc673d/rendering/04.obj", "7.45154571533")</f>
        <v>7.45154571533</v>
      </c>
      <c r="H1020" s="63" t="str">
        <f>HYPERLINK(AB2 &amp; "/hammer/sn_b3de45501d68b8cb184c81c7a4fc673d/rendering/05.obj", "5.20886611938")</f>
        <v>5.20886611938</v>
      </c>
      <c r="I1020" s="23" t="str">
        <f>HYPERLINK(AB2 &amp; "/hammer/sn_b3de45501d68b8cb184c81c7a4fc673d/rendering/06.obj", "4.82290887833")</f>
        <v>4.82290887833</v>
      </c>
      <c r="J1020" s="136" t="str">
        <f>HYPERLINK(AB2 &amp; "/hammer/sn_b3de45501d68b8cb184c81c7a4fc673d/rendering/07.obj", "5.7412405014")</f>
        <v>5.7412405014</v>
      </c>
      <c r="K1020" s="153" t="str">
        <f>HYPERLINK(AB2 &amp; "/hammer/sn_b3de45501d68b8cb184c81c7a4fc673d/rendering/08.obj", "2.99748682976")</f>
        <v>2.99748682976</v>
      </c>
      <c r="L1020" s="78" t="str">
        <f>HYPERLINK(AB2 &amp; "/hammer/sn_b3de45501d68b8cb184c81c7a4fc673d/rendering/09.obj", "4.35972499847")</f>
        <v>4.35972499847</v>
      </c>
      <c r="M1020" s="24" t="str">
        <f>HYPERLINK(AB2 &amp; "/hammer/sn_b3de45501d68b8cb184c81c7a4fc673d/rendering/10.obj", "3.87041401863")</f>
        <v>3.87041401863</v>
      </c>
      <c r="N1020" s="49" t="str">
        <f>HYPERLINK(AB2 &amp; "/hammer/sn_b3de45501d68b8cb184c81c7a4fc673d/rendering/11.obj", "5.61994934082")</f>
        <v>5.61994934082</v>
      </c>
      <c r="O1020" s="17" t="str">
        <f>HYPERLINK(AB2 &amp; "/hammer/sn_b3de45501d68b8cb184c81c7a4fc673d/rendering/12.obj", "4.5481004715")</f>
        <v>4.5481004715</v>
      </c>
      <c r="P1020" s="68" t="str">
        <f>HYPERLINK(AB2 &amp; "/hammer/sn_b3de45501d68b8cb184c81c7a4fc673d/rendering/13.obj", "4.44593906403")</f>
        <v>4.44593906403</v>
      </c>
      <c r="Q1020" s="90" t="str">
        <f>HYPERLINK(AB2 &amp; "/hammer/sn_b3de45501d68b8cb184c81c7a4fc673d/rendering/14.obj", "4.20483779907")</f>
        <v>4.20483779907</v>
      </c>
      <c r="R1020" s="26" t="str">
        <f>HYPERLINK(AB2 &amp; "/hammer/sn_b3de45501d68b8cb184c81c7a4fc673d/rendering/15.obj", "4.34246587753")</f>
        <v>4.34246587753</v>
      </c>
      <c r="S1020" s="69" t="str">
        <f>HYPERLINK(AB2 &amp; "/hammer/sn_b3de45501d68b8cb184c81c7a4fc673d/rendering/16.obj", "4.50261831284")</f>
        <v>4.50261831284</v>
      </c>
      <c r="T1020" s="77" t="str">
        <f>HYPERLINK(AB2 &amp; "/hammer/sn_b3de45501d68b8cb184c81c7a4fc673d/rendering/17.obj", "3.78007054329")</f>
        <v>3.78007054329</v>
      </c>
      <c r="U1020" s="26" t="str">
        <f>HYPERLINK(AB2 &amp; "/hammer/sn_b3de45501d68b8cb184c81c7a4fc673d/rendering/18.obj", "4.34472179413")</f>
        <v>4.34472179413</v>
      </c>
      <c r="V1020" s="106" t="str">
        <f>HYPERLINK(AB2 &amp; "/hammer/sn_b3de45501d68b8cb184c81c7a4fc673d/rendering/19.obj", "4.10971641541")</f>
        <v>4.10971641541</v>
      </c>
      <c r="W1020" s="12" t="s">
        <v>32</v>
      </c>
      <c r="X1020" s="13">
        <v>4.6469129174947739</v>
      </c>
      <c r="Y1020" s="13">
        <v>0.97639408997560984</v>
      </c>
      <c r="Z1020" s="49">
        <v>0.21011671776754531</v>
      </c>
    </row>
    <row r="1021" spans="1:26" x14ac:dyDescent="0.2">
      <c r="A1021" s="1">
        <v>1019</v>
      </c>
      <c r="B1021" s="2" t="s">
        <v>236</v>
      </c>
      <c r="C1021" s="13" t="str">
        <f>HYPERLINK(AC2 &amp; "/hammer/sn_b3de45501d68b8cb184c81c7a4fc673d/rendering/00.xyz", "0.0")</f>
        <v>0.0</v>
      </c>
      <c r="D1021" s="13" t="str">
        <f>HYPERLINK(AC2 &amp; "/hammer/sn_b3de45501d68b8cb184c81c7a4fc673d/rendering/01.xyz", "0.0")</f>
        <v>0.0</v>
      </c>
      <c r="E1021" s="13" t="str">
        <f>HYPERLINK(AC2 &amp; "/hammer/sn_b3de45501d68b8cb184c81c7a4fc673d/rendering/02.xyz", "0.0")</f>
        <v>0.0</v>
      </c>
      <c r="F1021" s="13" t="str">
        <f>HYPERLINK(AC2 &amp; "/hammer/sn_b3de45501d68b8cb184c81c7a4fc673d/rendering/03.xyz", "0.0")</f>
        <v>0.0</v>
      </c>
      <c r="G1021" s="13" t="str">
        <f>HYPERLINK(AC2 &amp; "/hammer/sn_b3de45501d68b8cb184c81c7a4fc673d/rendering/04.xyz", "0.0")</f>
        <v>0.0</v>
      </c>
      <c r="H1021" s="13" t="str">
        <f>HYPERLINK(AC2 &amp; "/hammer/sn_b3de45501d68b8cb184c81c7a4fc673d/rendering/05.xyz", "0.0")</f>
        <v>0.0</v>
      </c>
      <c r="I1021" s="13" t="str">
        <f>HYPERLINK(AC2 &amp; "/hammer/sn_b3de45501d68b8cb184c81c7a4fc673d/rendering/06.xyz", "0.0")</f>
        <v>0.0</v>
      </c>
      <c r="J1021" s="13" t="str">
        <f>HYPERLINK(AC2 &amp; "/hammer/sn_b3de45501d68b8cb184c81c7a4fc673d/rendering/07.xyz", "0.0")</f>
        <v>0.0</v>
      </c>
      <c r="K1021" s="13" t="str">
        <f>HYPERLINK(AC2 &amp; "/hammer/sn_b3de45501d68b8cb184c81c7a4fc673d/rendering/08.xyz", "0.0")</f>
        <v>0.0</v>
      </c>
      <c r="L1021" s="13" t="str">
        <f>HYPERLINK(AC2 &amp; "/hammer/sn_b3de45501d68b8cb184c81c7a4fc673d/rendering/09.xyz", "0.0")</f>
        <v>0.0</v>
      </c>
      <c r="M1021" s="13" t="str">
        <f>HYPERLINK(AC2 &amp; "/hammer/sn_b3de45501d68b8cb184c81c7a4fc673d/rendering/10.xyz", "0.0")</f>
        <v>0.0</v>
      </c>
      <c r="N1021" s="13" t="str">
        <f>HYPERLINK(AC2 &amp; "/hammer/sn_b3de45501d68b8cb184c81c7a4fc673d/rendering/11.xyz", "0.0")</f>
        <v>0.0</v>
      </c>
      <c r="O1021" s="13" t="str">
        <f>HYPERLINK(AC2 &amp; "/hammer/sn_b3de45501d68b8cb184c81c7a4fc673d/rendering/12.xyz", "0.0")</f>
        <v>0.0</v>
      </c>
      <c r="P1021" s="13" t="str">
        <f>HYPERLINK(AC2 &amp; "/hammer/sn_b3de45501d68b8cb184c81c7a4fc673d/rendering/13.xyz", "0.0")</f>
        <v>0.0</v>
      </c>
      <c r="Q1021" s="13" t="str">
        <f>HYPERLINK(AC2 &amp; "/hammer/sn_b3de45501d68b8cb184c81c7a4fc673d/rendering/14.xyz", "0.0")</f>
        <v>0.0</v>
      </c>
      <c r="R1021" s="13" t="str">
        <f>HYPERLINK(AC2 &amp; "/hammer/sn_b3de45501d68b8cb184c81c7a4fc673d/rendering/15.xyz", "0.0")</f>
        <v>0.0</v>
      </c>
      <c r="S1021" s="13" t="str">
        <f>HYPERLINK(AC2 &amp; "/hammer/sn_b3de45501d68b8cb184c81c7a4fc673d/rendering/16.xyz", "0.0")</f>
        <v>0.0</v>
      </c>
      <c r="T1021" s="13" t="str">
        <f>HYPERLINK(AC2 &amp; "/hammer/sn_b3de45501d68b8cb184c81c7a4fc673d/rendering/17.xyz", "0.0")</f>
        <v>0.0</v>
      </c>
      <c r="U1021" s="13" t="str">
        <f>HYPERLINK(AC2 &amp; "/hammer/sn_b3de45501d68b8cb184c81c7a4fc673d/rendering/18.xyz", "0.0")</f>
        <v>0.0</v>
      </c>
      <c r="V1021" s="13" t="str">
        <f>HYPERLINK(AC2 &amp; "/hammer/sn_b3de45501d68b8cb184c81c7a4fc673d/rendering/19.xyz", "0.0")</f>
        <v>0.0</v>
      </c>
      <c r="W1021" s="12" t="s">
        <v>33</v>
      </c>
      <c r="X1021" s="13">
        <v>0</v>
      </c>
      <c r="Y1021" s="13">
        <v>0</v>
      </c>
      <c r="Z1021" s="13">
        <v>0</v>
      </c>
    </row>
    <row r="1022" spans="1:26" x14ac:dyDescent="0.2">
      <c r="A1022" s="1">
        <v>1020</v>
      </c>
      <c r="B1022" s="2" t="s">
        <v>237</v>
      </c>
      <c r="C1022" s="30" t="str">
        <f>HYPERLINK(AA2 &amp; "/hammer/sn_b5dffdfe095e0164e3d7746581537bbd/rendering/00.obj", "8.4686730957")</f>
        <v>8.4686730957</v>
      </c>
      <c r="D1022" s="134" t="str">
        <f>HYPERLINK(AA2 &amp; "/hammer/sn_b5dffdfe095e0164e3d7746581537bbd/rendering/01.obj", "10.0387145996")</f>
        <v>10.0387145996</v>
      </c>
      <c r="E1022" s="110" t="str">
        <f>HYPERLINK(AA2 &amp; "/hammer/sn_b5dffdfe095e0164e3d7746581537bbd/rendering/02.obj", "9.34314819336")</f>
        <v>9.34314819336</v>
      </c>
      <c r="F1022" s="83" t="str">
        <f>HYPERLINK(AA2 &amp; "/hammer/sn_b5dffdfe095e0164e3d7746581537bbd/rendering/03.obj", "7.2081829834")</f>
        <v>7.2081829834</v>
      </c>
      <c r="G1022" s="187" t="str">
        <f>HYPERLINK(AA2 &amp; "/hammer/sn_b5dffdfe095e0164e3d7746581537bbd/rendering/04.obj", "11.4849194336")</f>
        <v>11.4849194336</v>
      </c>
      <c r="H1022" s="46" t="str">
        <f>HYPERLINK(AA2 &amp; "/hammer/sn_b5dffdfe095e0164e3d7746581537bbd/rendering/05.obj", "8.36912109375")</f>
        <v>8.36912109375</v>
      </c>
      <c r="I1022" s="93" t="str">
        <f>HYPERLINK(AA2 &amp; "/hammer/sn_b5dffdfe095e0164e3d7746581537bbd/rendering/06.obj", "7.31655639648")</f>
        <v>7.31655639648</v>
      </c>
      <c r="J1022" s="33" t="str">
        <f>HYPERLINK(AA2 &amp; "/hammer/sn_b5dffdfe095e0164e3d7746581537bbd/rendering/07.obj", "7.58571533203")</f>
        <v>7.58571533203</v>
      </c>
      <c r="K1022" s="32" t="str">
        <f>HYPERLINK(AA2 &amp; "/hammer/sn_b5dffdfe095e0164e3d7746581537bbd/rendering/08.obj", "7.61742675781")</f>
        <v>7.61742675781</v>
      </c>
      <c r="L1022" s="17" t="str">
        <f>HYPERLINK(AA2 &amp; "/hammer/sn_b5dffdfe095e0164e3d7746581537bbd/rendering/09.obj", "8.6681072998")</f>
        <v>8.6681072998</v>
      </c>
      <c r="M1022" s="72" t="str">
        <f>HYPERLINK(AA2 &amp; "/hammer/sn_b5dffdfe095e0164e3d7746581537bbd/rendering/10.obj", "8.22222900391")</f>
        <v>8.22222900391</v>
      </c>
      <c r="N1022" s="94" t="str">
        <f>HYPERLINK(AA2 &amp; "/hammer/sn_b5dffdfe095e0164e3d7746581537bbd/rendering/11.obj", "7.86773498535")</f>
        <v>7.86773498535</v>
      </c>
      <c r="O1022" s="109" t="str">
        <f>HYPERLINK(AA2 &amp; "/hammer/sn_b5dffdfe095e0164e3d7746581537bbd/rendering/12.obj", "10.1228771973")</f>
        <v>10.1228771973</v>
      </c>
      <c r="P1022" s="49" t="str">
        <f>HYPERLINK(AA2 &amp; "/hammer/sn_b5dffdfe095e0164e3d7746581537bbd/rendering/13.obj", "6.72489868164")</f>
        <v>6.72489868164</v>
      </c>
      <c r="Q1022" s="67" t="str">
        <f>HYPERLINK(AA2 &amp; "/hammer/sn_b5dffdfe095e0164e3d7746581537bbd/rendering/14.obj", "7.70359802246")</f>
        <v>7.70359802246</v>
      </c>
      <c r="R1022" s="27" t="str">
        <f>HYPERLINK(AA2 &amp; "/hammer/sn_b5dffdfe095e0164e3d7746581537bbd/rendering/15.obj", "9.09951904297")</f>
        <v>9.09951904297</v>
      </c>
      <c r="S1022" s="73" t="str">
        <f>HYPERLINK(AA2 &amp; "/hammer/sn_b5dffdfe095e0164e3d7746581537bbd/rendering/16.obj", "8.81113830566")</f>
        <v>8.81113830566</v>
      </c>
      <c r="T1022" s="38" t="str">
        <f>HYPERLINK(AA2 &amp; "/hammer/sn_b5dffdfe095e0164e3d7746581537bbd/rendering/17.obj", "7.74249084473")</f>
        <v>7.74249084473</v>
      </c>
      <c r="U1022" s="26" t="str">
        <f>HYPERLINK(AA2 &amp; "/hammer/sn_b5dffdfe095e0164e3d7746581537bbd/rendering/18.obj", "9.03793823242")</f>
        <v>9.03793823242</v>
      </c>
      <c r="V1022" s="46" t="str">
        <f>HYPERLINK(AA2 &amp; "/hammer/sn_b5dffdfe095e0164e3d7746581537bbd/rendering/19.obj", "8.64070068359")</f>
        <v>8.64070068359</v>
      </c>
      <c r="W1022" s="12" t="s">
        <v>29</v>
      </c>
      <c r="X1022" s="13">
        <v>8.5036845092773454</v>
      </c>
      <c r="Y1022" s="13">
        <v>1.1169977199971739</v>
      </c>
      <c r="Z1022" s="29">
        <v>0.13135455798936951</v>
      </c>
    </row>
    <row r="1023" spans="1:26" x14ac:dyDescent="0.2">
      <c r="A1023" s="1">
        <v>1021</v>
      </c>
      <c r="B1023" s="2" t="s">
        <v>237</v>
      </c>
      <c r="C1023" s="158" t="str">
        <f>HYPERLINK(AA2 &amp; "/hammer/sn_b5dffdfe095e0164e3d7746581537bbd/rendering/00.obj", "6.81632518768")</f>
        <v>6.81632518768</v>
      </c>
      <c r="D1023" s="20" t="str">
        <f>HYPERLINK(AA2 &amp; "/hammer/sn_b5dffdfe095e0164e3d7746581537bbd/rendering/01.obj", "9.39076900482")</f>
        <v>9.39076900482</v>
      </c>
      <c r="E1023" s="20" t="str">
        <f>HYPERLINK(AA2 &amp; "/hammer/sn_b5dffdfe095e0164e3d7746581537bbd/rendering/02.obj", "9.01511859894")</f>
        <v>9.01511859894</v>
      </c>
      <c r="F1023" s="197" t="str">
        <f>HYPERLINK(AA2 &amp; "/hammer/sn_b5dffdfe095e0164e3d7746581537bbd/rendering/03.obj", "2.09446048737")</f>
        <v>2.09446048737</v>
      </c>
      <c r="G1023" s="20" t="str">
        <f>HYPERLINK(AA2 &amp; "/hammer/sn_b5dffdfe095e0164e3d7746581537bbd/rendering/04.obj", "17.9465446472")</f>
        <v>17.9465446472</v>
      </c>
      <c r="H1023" s="191" t="str">
        <f>HYPERLINK(AA2 &amp; "/hammer/sn_b5dffdfe095e0164e3d7746581537bbd/rendering/05.obj", "2.64356565475")</f>
        <v>2.64356565475</v>
      </c>
      <c r="I1023" s="161" t="str">
        <f>HYPERLINK(AA2 &amp; "/hammer/sn_b5dffdfe095e0164e3d7746581537bbd/rendering/06.obj", "1.9990259409")</f>
        <v>1.9990259409</v>
      </c>
      <c r="J1023" s="226" t="str">
        <f>HYPERLINK(AA2 &amp; "/hammer/sn_b5dffdfe095e0164e3d7746581537bbd/rendering/07.obj", "2.10769248009")</f>
        <v>2.10769248009</v>
      </c>
      <c r="K1023" s="235" t="str">
        <f>HYPERLINK(AA2 &amp; "/hammer/sn_b5dffdfe095e0164e3d7746581537bbd/rendering/08.obj", "2.22363638878")</f>
        <v>2.22363638878</v>
      </c>
      <c r="L1023" s="23" t="str">
        <f>HYPERLINK(AA2 &amp; "/hammer/sn_b5dffdfe095e0164e3d7746581537bbd/rendering/09.obj", "4.63831615448")</f>
        <v>4.63831615448</v>
      </c>
      <c r="M1023" s="43" t="str">
        <f>HYPERLINK(AA2 &amp; "/hammer/sn_b5dffdfe095e0164e3d7746581537bbd/rendering/10.obj", "3.02251696587")</f>
        <v>3.02251696587</v>
      </c>
      <c r="N1023" s="214" t="str">
        <f>HYPERLINK(AA2 &amp; "/hammer/sn_b5dffdfe095e0164e3d7746581537bbd/rendering/11.obj", "1.85298252106")</f>
        <v>1.85298252106</v>
      </c>
      <c r="O1023" s="20" t="str">
        <f>HYPERLINK(AA2 &amp; "/hammer/sn_b5dffdfe095e0164e3d7746581537bbd/rendering/12.obj", "9.1320400238")</f>
        <v>9.1320400238</v>
      </c>
      <c r="P1023" s="189" t="str">
        <f>HYPERLINK(AA2 &amp; "/hammer/sn_b5dffdfe095e0164e3d7746581537bbd/rendering/13.obj", "1.81474208832")</f>
        <v>1.81474208832</v>
      </c>
      <c r="Q1023" s="21" t="str">
        <f>HYPERLINK(AA2 &amp; "/hammer/sn_b5dffdfe095e0164e3d7746581537bbd/rendering/14.obj", "2.154307127")</f>
        <v>2.154307127</v>
      </c>
      <c r="R1023" s="47" t="str">
        <f>HYPERLINK(AA2 &amp; "/hammer/sn_b5dffdfe095e0164e3d7746581537bbd/rendering/15.obj", "4.78755044937")</f>
        <v>4.78755044937</v>
      </c>
      <c r="S1023" s="49" t="str">
        <f>HYPERLINK(AA2 &amp; "/hammer/sn_b5dffdfe095e0164e3d7746581537bbd/rendering/16.obj", "3.82364606857")</f>
        <v>3.82364606857</v>
      </c>
      <c r="T1023" s="131" t="str">
        <f>HYPERLINK(AA2 &amp; "/hammer/sn_b5dffdfe095e0164e3d7746581537bbd/rendering/17.obj", "2.59545469284")</f>
        <v>2.59545469284</v>
      </c>
      <c r="U1023" s="74" t="str">
        <f>HYPERLINK(AA2 &amp; "/hammer/sn_b5dffdfe095e0164e3d7746581537bbd/rendering/18.obj", "4.89833784103")</f>
        <v>4.89833784103</v>
      </c>
      <c r="V1023" s="136" t="str">
        <f>HYPERLINK(AA2 &amp; "/hammer/sn_b5dffdfe095e0164e3d7746581537bbd/rendering/19.obj", "3.68426895142")</f>
        <v>3.68426895142</v>
      </c>
      <c r="W1023" s="12" t="s">
        <v>30</v>
      </c>
      <c r="X1023" s="13">
        <v>4.8320650637149809</v>
      </c>
      <c r="Y1023" s="13">
        <v>3.8925396404513961</v>
      </c>
      <c r="Z1023" s="20">
        <v>0.80556440965195519</v>
      </c>
    </row>
    <row r="1024" spans="1:26" x14ac:dyDescent="0.2">
      <c r="A1024" s="1">
        <v>1022</v>
      </c>
      <c r="B1024" s="2" t="s">
        <v>237</v>
      </c>
      <c r="C1024" s="65" t="str">
        <f>HYPERLINK(AB2 &amp; "/hammer/sn_b5dffdfe095e0164e3d7746581537bbd/rendering/00.obj", "6.00544921875")</f>
        <v>6.00544921875</v>
      </c>
      <c r="D1024" s="84" t="str">
        <f>HYPERLINK(AB2 &amp; "/hammer/sn_b5dffdfe095e0164e3d7746581537bbd/rendering/01.obj", "7.94444213867")</f>
        <v>7.94444213867</v>
      </c>
      <c r="E1024" s="64" t="str">
        <f>HYPERLINK(AB2 &amp; "/hammer/sn_b5dffdfe095e0164e3d7746581537bbd/rendering/02.obj", "8.08512207031")</f>
        <v>8.08512207031</v>
      </c>
      <c r="F1024" s="68" t="str">
        <f>HYPERLINK(AB2 &amp; "/hammer/sn_b5dffdfe095e0164e3d7746581537bbd/rendering/03.obj", "7.23018554688")</f>
        <v>7.23018554688</v>
      </c>
      <c r="G1024" s="70" t="str">
        <f>HYPERLINK(AB2 &amp; "/hammer/sn_b5dffdfe095e0164e3d7746581537bbd/rendering/04.obj", "7.82931640625")</f>
        <v>7.82931640625</v>
      </c>
      <c r="H1024" s="32" t="str">
        <f>HYPERLINK(AB2 &amp; "/hammer/sn_b5dffdfe095e0164e3d7746581537bbd/rendering/05.obj", "6.21454956055")</f>
        <v>6.21454956055</v>
      </c>
      <c r="I1024" s="134" t="str">
        <f>HYPERLINK(AB2 &amp; "/hammer/sn_b5dffdfe095e0164e3d7746581537bbd/rendering/06.obj", "8.19281616211")</f>
        <v>8.19281616211</v>
      </c>
      <c r="J1024" s="93" t="str">
        <f>HYPERLINK(AB2 &amp; "/hammer/sn_b5dffdfe095e0164e3d7746581537bbd/rendering/07.obj", "5.97940795898")</f>
        <v>5.97940795898</v>
      </c>
      <c r="K1024" s="64" t="str">
        <f>HYPERLINK(AB2 &amp; "/hammer/sn_b5dffdfe095e0164e3d7746581537bbd/rendering/08.obj", "5.79714599609")</f>
        <v>5.79714599609</v>
      </c>
      <c r="L1024" s="28" t="str">
        <f>HYPERLINK(AB2 &amp; "/hammer/sn_b5dffdfe095e0164e3d7746581537bbd/rendering/09.obj", "6.16589111328")</f>
        <v>6.16589111328</v>
      </c>
      <c r="M1024" s="74" t="str">
        <f>HYPERLINK(AB2 &amp; "/hammer/sn_b5dffdfe095e0164e3d7746581537bbd/rendering/10.obj", "6.84415283203")</f>
        <v>6.84415283203</v>
      </c>
      <c r="N1024" s="51" t="str">
        <f>HYPERLINK(AB2 &amp; "/hammer/sn_b5dffdfe095e0164e3d7746581537bbd/rendering/11.obj", "6.37681030273")</f>
        <v>6.37681030273</v>
      </c>
      <c r="O1024" s="134" t="str">
        <f>HYPERLINK(AB2 &amp; "/hammer/sn_b5dffdfe095e0164e3d7746581537bbd/rendering/12.obj", "8.18962280273")</f>
        <v>8.18962280273</v>
      </c>
      <c r="P1024" s="69" t="str">
        <f>HYPERLINK(AB2 &amp; "/hammer/sn_b5dffdfe095e0164e3d7746581537bbd/rendering/13.obj", "7.15137329102")</f>
        <v>7.15137329102</v>
      </c>
      <c r="Q1024" s="32" t="str">
        <f>HYPERLINK(AB2 &amp; "/hammer/sn_b5dffdfe095e0164e3d7746581537bbd/rendering/14.obj", "6.20595214844")</f>
        <v>6.20595214844</v>
      </c>
      <c r="R1024" s="32" t="str">
        <f>HYPERLINK(AB2 &amp; "/hammer/sn_b5dffdfe095e0164e3d7746581537bbd/rendering/15.obj", "6.20130432129")</f>
        <v>6.20130432129</v>
      </c>
      <c r="S1024" s="79" t="str">
        <f>HYPERLINK(AB2 &amp; "/hammer/sn_b5dffdfe095e0164e3d7746581537bbd/rendering/16.obj", "8.04993530273")</f>
        <v>8.04993530273</v>
      </c>
      <c r="T1024" s="30" t="str">
        <f>HYPERLINK(AB2 &amp; "/hammer/sn_b5dffdfe095e0164e3d7746581537bbd/rendering/17.obj", "6.90812927246")</f>
        <v>6.90812927246</v>
      </c>
      <c r="U1024" s="23" t="str">
        <f>HYPERLINK(AB2 &amp; "/hammer/sn_b5dffdfe095e0164e3d7746581537bbd/rendering/18.obj", "7.21200805664")</f>
        <v>7.21200805664</v>
      </c>
      <c r="V1024" s="133" t="str">
        <f>HYPERLINK(AB2 &amp; "/hammer/sn_b5dffdfe095e0164e3d7746581537bbd/rendering/19.obj", "6.24026367187")</f>
        <v>6.24026367187</v>
      </c>
      <c r="W1024" s="12" t="s">
        <v>31</v>
      </c>
      <c r="X1024" s="13">
        <v>6.9411939086914076</v>
      </c>
      <c r="Y1024" s="13">
        <v>0.83085119750287506</v>
      </c>
      <c r="Z1024" s="63">
        <v>0.1196986006200642</v>
      </c>
    </row>
    <row r="1025" spans="1:26" x14ac:dyDescent="0.2">
      <c r="A1025" s="1">
        <v>1023</v>
      </c>
      <c r="B1025" s="2" t="s">
        <v>237</v>
      </c>
      <c r="C1025" s="49" t="str">
        <f>HYPERLINK(AB2 &amp; "/hammer/sn_b5dffdfe095e0164e3d7746581537bbd/rendering/00.obj", "1.32918381691")</f>
        <v>1.32918381691</v>
      </c>
      <c r="D1025" s="136" t="str">
        <f>HYPERLINK(AB2 &amp; "/hammer/sn_b5dffdfe095e0164e3d7746581537bbd/rendering/01.obj", "2.07547426224")</f>
        <v>2.07547426224</v>
      </c>
      <c r="E1025" s="101" t="str">
        <f>HYPERLINK(AB2 &amp; "/hammer/sn_b5dffdfe095e0164e3d7746581537bbd/rendering/02.obj", "2.31003022194")</f>
        <v>2.31003022194</v>
      </c>
      <c r="F1025" s="26" t="str">
        <f>HYPERLINK(AB2 &amp; "/hammer/sn_b5dffdfe095e0164e3d7746581537bbd/rendering/03.obj", "1.78310847282")</f>
        <v>1.78310847282</v>
      </c>
      <c r="G1025" s="107" t="str">
        <f>HYPERLINK(AB2 &amp; "/hammer/sn_b5dffdfe095e0164e3d7746581537bbd/rendering/04.obj", "1.81690371037")</f>
        <v>1.81690371037</v>
      </c>
      <c r="H1025" s="70" t="str">
        <f>HYPERLINK(AB2 &amp; "/hammer/sn_b5dffdfe095e0164e3d7746581537bbd/rendering/05.obj", "1.46713411808")</f>
        <v>1.46713411808</v>
      </c>
      <c r="I1025" s="67" t="str">
        <f>HYPERLINK(AB2 &amp; "/hammer/sn_b5dffdfe095e0164e3d7746581537bbd/rendering/06.obj", "1.83083641529")</f>
        <v>1.83083641529</v>
      </c>
      <c r="J1025" s="72" t="str">
        <f>HYPERLINK(AB2 &amp; "/hammer/sn_b5dffdfe095e0164e3d7746581537bbd/rendering/07.obj", "1.62025678158")</f>
        <v>1.62025678158</v>
      </c>
      <c r="K1025" s="81" t="str">
        <f>HYPERLINK(AB2 &amp; "/hammer/sn_b5dffdfe095e0164e3d7746581537bbd/rendering/08.obj", "1.31295871735")</f>
        <v>1.31295871735</v>
      </c>
      <c r="L1025" s="33" t="str">
        <f>HYPERLINK(AB2 &amp; "/hammer/sn_b5dffdfe095e0164e3d7746581537bbd/rendering/09.obj", "1.49685132504")</f>
        <v>1.49685132504</v>
      </c>
      <c r="M1025" s="38" t="str">
        <f>HYPERLINK(AB2 &amp; "/hammer/sn_b5dffdfe095e0164e3d7746581537bbd/rendering/10.obj", "1.52873504162")</f>
        <v>1.52873504162</v>
      </c>
      <c r="N1025" s="74" t="str">
        <f>HYPERLINK(AB2 &amp; "/hammer/sn_b5dffdfe095e0164e3d7746581537bbd/rendering/11.obj", "1.65639412403")</f>
        <v>1.65639412403</v>
      </c>
      <c r="O1025" s="53" t="str">
        <f>HYPERLINK(AB2 &amp; "/hammer/sn_b5dffdfe095e0164e3d7746581537bbd/rendering/12.obj", "2.37254190445")</f>
        <v>2.37254190445</v>
      </c>
      <c r="P1025" s="60" t="str">
        <f>HYPERLINK(AB2 &amp; "/hammer/sn_b5dffdfe095e0164e3d7746581537bbd/rendering/13.obj", "1.5935035944")</f>
        <v>1.5935035944</v>
      </c>
      <c r="Q1025" s="40" t="str">
        <f>HYPERLINK(AB2 &amp; "/hammer/sn_b5dffdfe095e0164e3d7746581537bbd/rendering/14.obj", "1.39068102837")</f>
        <v>1.39068102837</v>
      </c>
      <c r="R1025" s="65" t="str">
        <f>HYPERLINK(AB2 &amp; "/hammer/sn_b5dffdfe095e0164e3d7746581537bbd/rendering/15.obj", "1.45239675045")</f>
        <v>1.45239675045</v>
      </c>
      <c r="S1025" s="93" t="str">
        <f>HYPERLINK(AB2 &amp; "/hammer/sn_b5dffdfe095e0164e3d7746581537bbd/rendering/16.obj", "1.91123819351")</f>
        <v>1.91123819351</v>
      </c>
      <c r="T1025" s="35" t="str">
        <f>HYPERLINK(AB2 &amp; "/hammer/sn_b5dffdfe095e0164e3d7746581537bbd/rendering/17.obj", "1.57916593552")</f>
        <v>1.57916593552</v>
      </c>
      <c r="U1025" s="26" t="str">
        <f>HYPERLINK(AB2 &amp; "/hammer/sn_b5dffdfe095e0164e3d7746581537bbd/rendering/18.obj", "1.57214665413")</f>
        <v>1.57214665413</v>
      </c>
      <c r="V1025" s="65" t="str">
        <f>HYPERLINK(AB2 &amp; "/hammer/sn_b5dffdfe095e0164e3d7746581537bbd/rendering/19.obj", "1.45597910881")</f>
        <v>1.45597910881</v>
      </c>
      <c r="W1025" s="12" t="s">
        <v>32</v>
      </c>
      <c r="X1025" s="13">
        <v>1.6777760088443761</v>
      </c>
      <c r="Y1025" s="13">
        <v>0.29300851450168641</v>
      </c>
      <c r="Z1025" s="37">
        <v>0.17464102058742981</v>
      </c>
    </row>
    <row r="1026" spans="1:26" x14ac:dyDescent="0.2">
      <c r="A1026" s="1">
        <v>1024</v>
      </c>
      <c r="B1026" s="2" t="s">
        <v>237</v>
      </c>
      <c r="C1026" s="13" t="str">
        <f>HYPERLINK(AC2 &amp; "/hammer/sn_b5dffdfe095e0164e3d7746581537bbd/rendering/00.xyz", "0.0")</f>
        <v>0.0</v>
      </c>
      <c r="D1026" s="13" t="str">
        <f>HYPERLINK(AC2 &amp; "/hammer/sn_b5dffdfe095e0164e3d7746581537bbd/rendering/01.xyz", "0.0")</f>
        <v>0.0</v>
      </c>
      <c r="E1026" s="13" t="str">
        <f>HYPERLINK(AC2 &amp; "/hammer/sn_b5dffdfe095e0164e3d7746581537bbd/rendering/02.xyz", "0.0")</f>
        <v>0.0</v>
      </c>
      <c r="F1026" s="13" t="str">
        <f>HYPERLINK(AC2 &amp; "/hammer/sn_b5dffdfe095e0164e3d7746581537bbd/rendering/03.xyz", "0.0")</f>
        <v>0.0</v>
      </c>
      <c r="G1026" s="13" t="str">
        <f>HYPERLINK(AC2 &amp; "/hammer/sn_b5dffdfe095e0164e3d7746581537bbd/rendering/04.xyz", "0.0")</f>
        <v>0.0</v>
      </c>
      <c r="H1026" s="13" t="str">
        <f>HYPERLINK(AC2 &amp; "/hammer/sn_b5dffdfe095e0164e3d7746581537bbd/rendering/05.xyz", "0.0")</f>
        <v>0.0</v>
      </c>
      <c r="I1026" s="13" t="str">
        <f>HYPERLINK(AC2 &amp; "/hammer/sn_b5dffdfe095e0164e3d7746581537bbd/rendering/06.xyz", "0.0")</f>
        <v>0.0</v>
      </c>
      <c r="J1026" s="13" t="str">
        <f>HYPERLINK(AC2 &amp; "/hammer/sn_b5dffdfe095e0164e3d7746581537bbd/rendering/07.xyz", "0.0")</f>
        <v>0.0</v>
      </c>
      <c r="K1026" s="13" t="str">
        <f>HYPERLINK(AC2 &amp; "/hammer/sn_b5dffdfe095e0164e3d7746581537bbd/rendering/08.xyz", "0.0")</f>
        <v>0.0</v>
      </c>
      <c r="L1026" s="13" t="str">
        <f>HYPERLINK(AC2 &amp; "/hammer/sn_b5dffdfe095e0164e3d7746581537bbd/rendering/09.xyz", "0.0")</f>
        <v>0.0</v>
      </c>
      <c r="M1026" s="13" t="str">
        <f>HYPERLINK(AC2 &amp; "/hammer/sn_b5dffdfe095e0164e3d7746581537bbd/rendering/10.xyz", "0.0")</f>
        <v>0.0</v>
      </c>
      <c r="N1026" s="13" t="str">
        <f>HYPERLINK(AC2 &amp; "/hammer/sn_b5dffdfe095e0164e3d7746581537bbd/rendering/11.xyz", "0.0")</f>
        <v>0.0</v>
      </c>
      <c r="O1026" s="13" t="str">
        <f>HYPERLINK(AC2 &amp; "/hammer/sn_b5dffdfe095e0164e3d7746581537bbd/rendering/12.xyz", "0.0")</f>
        <v>0.0</v>
      </c>
      <c r="P1026" s="13" t="str">
        <f>HYPERLINK(AC2 &amp; "/hammer/sn_b5dffdfe095e0164e3d7746581537bbd/rendering/13.xyz", "0.0")</f>
        <v>0.0</v>
      </c>
      <c r="Q1026" s="13" t="str">
        <f>HYPERLINK(AC2 &amp; "/hammer/sn_b5dffdfe095e0164e3d7746581537bbd/rendering/14.xyz", "0.0")</f>
        <v>0.0</v>
      </c>
      <c r="R1026" s="13" t="str">
        <f>HYPERLINK(AC2 &amp; "/hammer/sn_b5dffdfe095e0164e3d7746581537bbd/rendering/15.xyz", "0.0")</f>
        <v>0.0</v>
      </c>
      <c r="S1026" s="13" t="str">
        <f>HYPERLINK(AC2 &amp; "/hammer/sn_b5dffdfe095e0164e3d7746581537bbd/rendering/16.xyz", "0.0")</f>
        <v>0.0</v>
      </c>
      <c r="T1026" s="13" t="str">
        <f>HYPERLINK(AC2 &amp; "/hammer/sn_b5dffdfe095e0164e3d7746581537bbd/rendering/17.xyz", "0.0")</f>
        <v>0.0</v>
      </c>
      <c r="U1026" s="13" t="str">
        <f>HYPERLINK(AC2 &amp; "/hammer/sn_b5dffdfe095e0164e3d7746581537bbd/rendering/18.xyz", "0.0")</f>
        <v>0.0</v>
      </c>
      <c r="V1026" s="13" t="str">
        <f>HYPERLINK(AC2 &amp; "/hammer/sn_b5dffdfe095e0164e3d7746581537bbd/rendering/19.xyz", "0.0")</f>
        <v>0.0</v>
      </c>
      <c r="W1026" s="12" t="s">
        <v>33</v>
      </c>
      <c r="X1026" s="13">
        <v>0</v>
      </c>
      <c r="Y1026" s="13">
        <v>0</v>
      </c>
      <c r="Z1026" s="13">
        <v>0</v>
      </c>
    </row>
    <row r="1027" spans="1:26" x14ac:dyDescent="0.2">
      <c r="A1027" s="1">
        <v>1025</v>
      </c>
      <c r="B1027" s="2" t="s">
        <v>238</v>
      </c>
      <c r="C1027" s="129" t="str">
        <f>HYPERLINK(AA2 &amp; "/hammer/sn_bc7a3ca5bb39389bb36dcc661f3905d/rendering/00.obj", "3.88807312012")</f>
        <v>3.88807312012</v>
      </c>
      <c r="D1027" s="172" t="str">
        <f>HYPERLINK(AA2 &amp; "/hammer/sn_bc7a3ca5bb39389bb36dcc661f3905d/rendering/01.obj", "7.16768188477")</f>
        <v>7.16768188477</v>
      </c>
      <c r="E1027" s="246" t="str">
        <f>HYPERLINK(AA2 &amp; "/hammer/sn_bc7a3ca5bb39389bb36dcc661f3905d/rendering/02.obj", "8.35185791016")</f>
        <v>8.35185791016</v>
      </c>
      <c r="F1027" s="176" t="str">
        <f>HYPERLINK(AA2 &amp; "/hammer/sn_bc7a3ca5bb39389bb36dcc661f3905d/rendering/03.obj", "6.8287902832")</f>
        <v>6.8287902832</v>
      </c>
      <c r="G1027" s="44" t="str">
        <f>HYPERLINK(AA2 &amp; "/hammer/sn_bc7a3ca5bb39389bb36dcc661f3905d/rendering/04.obj", "4.1690032959")</f>
        <v>4.1690032959</v>
      </c>
      <c r="H1027" s="67" t="str">
        <f>HYPERLINK(AA2 &amp; "/hammer/sn_bc7a3ca5bb39389bb36dcc661f3905d/rendering/05.obj", "4.69543457031")</f>
        <v>4.69543457031</v>
      </c>
      <c r="I1027" s="68" t="str">
        <f>HYPERLINK(AA2 &amp; "/hammer/sn_bc7a3ca5bb39389bb36dcc661f3905d/rendering/06.obj", "4.95808624268")</f>
        <v>4.95808624268</v>
      </c>
      <c r="J1027" s="71" t="str">
        <f>HYPERLINK(AA2 &amp; "/hammer/sn_bc7a3ca5bb39389bb36dcc661f3905d/rendering/07.obj", "4.56614929199")</f>
        <v>4.56614929199</v>
      </c>
      <c r="K1027" s="49" t="str">
        <f>HYPERLINK(AA2 &amp; "/hammer/sn_bc7a3ca5bb39389bb36dcc661f3905d/rendering/08.obj", "4.09326904297")</f>
        <v>4.09326904297</v>
      </c>
      <c r="L1027" s="106" t="str">
        <f>HYPERLINK(AA2 &amp; "/hammer/sn_bc7a3ca5bb39389bb36dcc661f3905d/rendering/09.obj", "5.77534790039")</f>
        <v>5.77534790039</v>
      </c>
      <c r="M1027" s="136" t="str">
        <f>HYPERLINK(AA2 &amp; "/hammer/sn_bc7a3ca5bb39389bb36dcc661f3905d/rendering/10.obj", "3.94737121582")</f>
        <v>3.94737121582</v>
      </c>
      <c r="N1027" s="148" t="str">
        <f>HYPERLINK(AA2 &amp; "/hammer/sn_bc7a3ca5bb39389bb36dcc661f3905d/rendering/11.obj", "7.70070922852")</f>
        <v>7.70070922852</v>
      </c>
      <c r="O1027" s="83" t="str">
        <f>HYPERLINK(AA2 &amp; "/hammer/sn_bc7a3ca5bb39389bb36dcc661f3905d/rendering/12.obj", "4.40124908447")</f>
        <v>4.40124908447</v>
      </c>
      <c r="P1027" s="109" t="str">
        <f>HYPERLINK(AA2 &amp; "/hammer/sn_bc7a3ca5bb39389bb36dcc661f3905d/rendering/13.obj", "4.19404968262")</f>
        <v>4.19404968262</v>
      </c>
      <c r="Q1027" s="94" t="str">
        <f>HYPERLINK(AA2 &amp; "/hammer/sn_bc7a3ca5bb39389bb36dcc661f3905d/rendering/14.obj", "4.79901000977")</f>
        <v>4.79901000977</v>
      </c>
      <c r="R1027" s="74" t="str">
        <f>HYPERLINK(AA2 &amp; "/hammer/sn_bc7a3ca5bb39389bb36dcc661f3905d/rendering/15.obj", "5.10850830078")</f>
        <v>5.10850830078</v>
      </c>
      <c r="S1027" s="40" t="str">
        <f>HYPERLINK(AA2 &amp; "/hammer/sn_bc7a3ca5bb39389bb36dcc661f3905d/rendering/16.obj", "4.2884387207")</f>
        <v>4.2884387207</v>
      </c>
      <c r="T1027" s="92" t="str">
        <f>HYPERLINK(AA2 &amp; "/hammer/sn_bc7a3ca5bb39389bb36dcc661f3905d/rendering/17.obj", "4.54647216797")</f>
        <v>4.54647216797</v>
      </c>
      <c r="U1027" s="89" t="str">
        <f>HYPERLINK(AA2 &amp; "/hammer/sn_bc7a3ca5bb39389bb36dcc661f3905d/rendering/18.obj", "6.52971191406")</f>
        <v>6.52971191406</v>
      </c>
      <c r="V1027" s="85" t="str">
        <f>HYPERLINK(AA2 &amp; "/hammer/sn_bc7a3ca5bb39389bb36dcc661f3905d/rendering/19.obj", "3.6380682373")</f>
        <v>3.6380682373</v>
      </c>
      <c r="W1027" s="12" t="s">
        <v>29</v>
      </c>
      <c r="X1027" s="13">
        <v>5.1823641052246092</v>
      </c>
      <c r="Y1027" s="13">
        <v>1.3530541984680231</v>
      </c>
      <c r="Z1027" s="19">
        <v>0.26108821591750742</v>
      </c>
    </row>
    <row r="1028" spans="1:26" x14ac:dyDescent="0.2">
      <c r="A1028" s="1">
        <v>1026</v>
      </c>
      <c r="B1028" s="2" t="s">
        <v>238</v>
      </c>
      <c r="C1028" s="176" t="str">
        <f>HYPERLINK(AA2 &amp; "/hammer/sn_bc7a3ca5bb39389bb36dcc661f3905d/rendering/00.obj", "3.06884098053")</f>
        <v>3.06884098053</v>
      </c>
      <c r="D1028" s="211" t="str">
        <f>HYPERLINK(AA2 &amp; "/hammer/sn_bc7a3ca5bb39389bb36dcc661f3905d/rendering/01.obj", "7.94297742844")</f>
        <v>7.94297742844</v>
      </c>
      <c r="E1028" s="20" t="str">
        <f>HYPERLINK(AA2 &amp; "/hammer/sn_bc7a3ca5bb39389bb36dcc661f3905d/rendering/02.obj", "18.9359035492")</f>
        <v>18.9359035492</v>
      </c>
      <c r="F1028" s="6" t="str">
        <f>HYPERLINK(AA2 &amp; "/hammer/sn_bc7a3ca5bb39389bb36dcc661f3905d/rendering/03.obj", "4.293364048")</f>
        <v>4.293364048</v>
      </c>
      <c r="G1028" s="228" t="str">
        <f>HYPERLINK(AA2 &amp; "/hammer/sn_bc7a3ca5bb39389bb36dcc661f3905d/rendering/04.obj", "2.0981798172")</f>
        <v>2.0981798172</v>
      </c>
      <c r="H1028" s="19" t="str">
        <f>HYPERLINK(AA2 &amp; "/hammer/sn_bc7a3ca5bb39389bb36dcc661f3905d/rendering/05.obj", "3.3177113533")</f>
        <v>3.3177113533</v>
      </c>
      <c r="I1028" s="75" t="str">
        <f>HYPERLINK(AA2 &amp; "/hammer/sn_bc7a3ca5bb39389bb36dcc661f3905d/rendering/06.obj", "3.50701332092")</f>
        <v>3.50701332092</v>
      </c>
      <c r="J1028" s="19" t="str">
        <f>HYPERLINK(AA2 &amp; "/hammer/sn_bc7a3ca5bb39389bb36dcc661f3905d/rendering/07.obj", "3.3141617775")</f>
        <v>3.3141617775</v>
      </c>
      <c r="K1028" s="16" t="str">
        <f>HYPERLINK(AA2 &amp; "/hammer/sn_bc7a3ca5bb39389bb36dcc661f3905d/rendering/08.obj", "2.05443572998")</f>
        <v>2.05443572998</v>
      </c>
      <c r="L1028" s="19" t="str">
        <f>HYPERLINK(AA2 &amp; "/hammer/sn_bc7a3ca5bb39389bb36dcc661f3905d/rendering/09.obj", "3.31141781807")</f>
        <v>3.31141781807</v>
      </c>
      <c r="M1028" s="122" t="str">
        <f>HYPERLINK(AA2 &amp; "/hammer/sn_bc7a3ca5bb39389bb36dcc661f3905d/rendering/10.obj", "2.68651461601")</f>
        <v>2.68651461601</v>
      </c>
      <c r="N1028" s="20" t="str">
        <f>HYPERLINK(AA2 &amp; "/hammer/sn_bc7a3ca5bb39389bb36dcc661f3905d/rendering/11.obj", "12.0508050919")</f>
        <v>12.0508050919</v>
      </c>
      <c r="O1028" s="162" t="str">
        <f>HYPERLINK(AA2 &amp; "/hammer/sn_bc7a3ca5bb39389bb36dcc661f3905d/rendering/12.obj", "2.58955168724")</f>
        <v>2.58955168724</v>
      </c>
      <c r="P1028" s="126" t="str">
        <f>HYPERLINK(AA2 &amp; "/hammer/sn_bc7a3ca5bb39389bb36dcc661f3905d/rendering/13.obj", "2.2403049469")</f>
        <v>2.2403049469</v>
      </c>
      <c r="Q1028" s="175" t="str">
        <f>HYPERLINK(AA2 &amp; "/hammer/sn_bc7a3ca5bb39389bb36dcc661f3905d/rendering/14.obj", "3.44826292992")</f>
        <v>3.44826292992</v>
      </c>
      <c r="R1028" s="128" t="str">
        <f>HYPERLINK(AA2 &amp; "/hammer/sn_bc7a3ca5bb39389bb36dcc661f3905d/rendering/15.obj", "2.74179959297")</f>
        <v>2.74179959297</v>
      </c>
      <c r="S1028" s="152" t="str">
        <f>HYPERLINK(AA2 &amp; "/hammer/sn_bc7a3ca5bb39389bb36dcc661f3905d/rendering/16.obj", "2.66362714767")</f>
        <v>2.66362714767</v>
      </c>
      <c r="T1028" s="114" t="str">
        <f>HYPERLINK(AA2 &amp; "/hammer/sn_bc7a3ca5bb39389bb36dcc661f3905d/rendering/17.obj", "2.42599272728")</f>
        <v>2.42599272728</v>
      </c>
      <c r="U1028" s="27" t="str">
        <f>HYPERLINK(AA2 &amp; "/hammer/sn_bc7a3ca5bb39389bb36dcc661f3905d/rendering/18.obj", "4.80829334259")</f>
        <v>4.80829334259</v>
      </c>
      <c r="V1028" s="131" t="str">
        <f>HYPERLINK(AA2 &amp; "/hammer/sn_bc7a3ca5bb39389bb36dcc661f3905d/rendering/19.obj", "2.42227101326")</f>
        <v>2.42227101326</v>
      </c>
      <c r="W1028" s="12" t="s">
        <v>30</v>
      </c>
      <c r="X1028" s="13">
        <v>4.4960714459419249</v>
      </c>
      <c r="Y1028" s="13">
        <v>4.0288641026716334</v>
      </c>
      <c r="Z1028" s="20">
        <v>0.8960854272696257</v>
      </c>
    </row>
    <row r="1029" spans="1:26" x14ac:dyDescent="0.2">
      <c r="A1029" s="1">
        <v>1027</v>
      </c>
      <c r="B1029" s="2" t="s">
        <v>238</v>
      </c>
      <c r="C1029" s="30" t="str">
        <f>HYPERLINK(AB2 &amp; "/hammer/sn_bc7a3ca5bb39389bb36dcc661f3905d/rendering/00.obj", "6.37193481445")</f>
        <v>6.37193481445</v>
      </c>
      <c r="D1029" s="35" t="str">
        <f>HYPERLINK(AB2 &amp; "/hammer/sn_bc7a3ca5bb39389bb36dcc661f3905d/rendering/01.obj", "6.71261169434")</f>
        <v>6.71261169434</v>
      </c>
      <c r="E1029" s="68" t="str">
        <f>HYPERLINK(AB2 &amp; "/hammer/sn_bc7a3ca5bb39389bb36dcc661f3905d/rendering/02.obj", "6.62802246094")</f>
        <v>6.62802246094</v>
      </c>
      <c r="F1029" s="17" t="str">
        <f>HYPERLINK(AB2 &amp; "/hammer/sn_bc7a3ca5bb39389bb36dcc661f3905d/rendering/03.obj", "6.22818603516")</f>
        <v>6.22818603516</v>
      </c>
      <c r="G1029" s="27" t="str">
        <f>HYPERLINK(AB2 &amp; "/hammer/sn_bc7a3ca5bb39389bb36dcc661f3905d/rendering/04.obj", "5.8991809082")</f>
        <v>5.8991809082</v>
      </c>
      <c r="H1029" s="74" t="str">
        <f>HYPERLINK(AB2 &amp; "/hammer/sn_bc7a3ca5bb39389bb36dcc661f3905d/rendering/05.obj", "6.25516479492")</f>
        <v>6.25516479492</v>
      </c>
      <c r="I1029" s="39" t="str">
        <f>HYPERLINK(AB2 &amp; "/hammer/sn_bc7a3ca5bb39389bb36dcc661f3905d/rendering/06.obj", "5.79362548828")</f>
        <v>5.79362548828</v>
      </c>
      <c r="J1029" s="23" t="str">
        <f>HYPERLINK(AB2 &amp; "/hammer/sn_bc7a3ca5bb39389bb36dcc661f3905d/rendering/07.obj", "6.59806640625")</f>
        <v>6.59806640625</v>
      </c>
      <c r="K1029" s="17" t="str">
        <f>HYPERLINK(AB2 &amp; "/hammer/sn_bc7a3ca5bb39389bb36dcc661f3905d/rendering/08.obj", "6.21450317383")</f>
        <v>6.21450317383</v>
      </c>
      <c r="L1029" s="25" t="str">
        <f>HYPERLINK(AB2 &amp; "/hammer/sn_bc7a3ca5bb39389bb36dcc661f3905d/rendering/09.obj", "6.42845214844")</f>
        <v>6.42845214844</v>
      </c>
      <c r="M1029" s="25" t="str">
        <f>HYPERLINK(AB2 &amp; "/hammer/sn_bc7a3ca5bb39389bb36dcc661f3905d/rendering/10.obj", "6.42709594727")</f>
        <v>6.42709594727</v>
      </c>
      <c r="N1029" s="68" t="str">
        <f>HYPERLINK(AB2 &amp; "/hammer/sn_bc7a3ca5bb39389bb36dcc661f3905d/rendering/11.obj", "6.62837219238")</f>
        <v>6.62837219238</v>
      </c>
      <c r="O1029" s="35" t="str">
        <f>HYPERLINK(AB2 &amp; "/hammer/sn_bc7a3ca5bb39389bb36dcc661f3905d/rendering/12.obj", "5.97881713867")</f>
        <v>5.97881713867</v>
      </c>
      <c r="P1029" s="39" t="str">
        <f>HYPERLINK(AB2 &amp; "/hammer/sn_bc7a3ca5bb39389bb36dcc661f3905d/rendering/13.obj", "5.80628845215")</f>
        <v>5.80628845215</v>
      </c>
      <c r="Q1029" s="38" t="str">
        <f>HYPERLINK(AB2 &amp; "/hammer/sn_bc7a3ca5bb39389bb36dcc661f3905d/rendering/14.obj", "5.77847045898")</f>
        <v>5.77847045898</v>
      </c>
      <c r="R1029" s="94" t="str">
        <f>HYPERLINK(AB2 &amp; "/hammer/sn_bc7a3ca5bb39389bb36dcc661f3905d/rendering/15.obj", "6.824375")</f>
        <v>6.824375</v>
      </c>
      <c r="S1029" s="25" t="str">
        <f>HYPERLINK(AB2 &amp; "/hammer/sn_bc7a3ca5bb39389bb36dcc661f3905d/rendering/16.obj", "6.42466674805")</f>
        <v>6.42466674805</v>
      </c>
      <c r="T1029" s="6" t="str">
        <f>HYPERLINK(AB2 &amp; "/hammer/sn_bc7a3ca5bb39389bb36dcc661f3905d/rendering/17.obj", "6.63482543945")</f>
        <v>6.63482543945</v>
      </c>
      <c r="U1029" s="60" t="str">
        <f>HYPERLINK(AB2 &amp; "/hammer/sn_bc7a3ca5bb39389bb36dcc661f3905d/rendering/18.obj", "6.67012695313")</f>
        <v>6.67012695313</v>
      </c>
      <c r="V1029" s="10" t="str">
        <f>HYPERLINK(AB2 &amp; "/hammer/sn_bc7a3ca5bb39389bb36dcc661f3905d/rendering/19.obj", "6.69170410156")</f>
        <v>6.69170410156</v>
      </c>
      <c r="W1029" s="12" t="s">
        <v>31</v>
      </c>
      <c r="X1029" s="13">
        <v>6.3497245178222652</v>
      </c>
      <c r="Y1029" s="13">
        <v>0.33214396915658512</v>
      </c>
      <c r="Z1029" s="60">
        <v>5.2308406171689928E-2</v>
      </c>
    </row>
    <row r="1030" spans="1:26" x14ac:dyDescent="0.2">
      <c r="A1030" s="1">
        <v>1028</v>
      </c>
      <c r="B1030" s="2" t="s">
        <v>238</v>
      </c>
      <c r="C1030" s="72" t="str">
        <f>HYPERLINK(AB2 &amp; "/hammer/sn_bc7a3ca5bb39389bb36dcc661f3905d/rendering/00.obj", "2.76110672951")</f>
        <v>2.76110672951</v>
      </c>
      <c r="D1030" s="142" t="str">
        <f>HYPERLINK(AB2 &amp; "/hammer/sn_bc7a3ca5bb39389bb36dcc661f3905d/rendering/01.obj", "3.97922635078")</f>
        <v>3.97922635078</v>
      </c>
      <c r="E1030" s="75" t="str">
        <f>HYPERLINK(AB2 &amp; "/hammer/sn_bc7a3ca5bb39389bb36dcc661f3905d/rendering/02.obj", "3.48370575905")</f>
        <v>3.48370575905</v>
      </c>
      <c r="F1030" s="110" t="str">
        <f>HYPERLINK(AB2 &amp; "/hammer/sn_bc7a3ca5bb39389bb36dcc661f3905d/rendering/03.obj", "2.56788563728")</f>
        <v>2.56788563728</v>
      </c>
      <c r="G1030" s="77" t="str">
        <f>HYPERLINK(AB2 &amp; "/hammer/sn_bc7a3ca5bb39389bb36dcc661f3905d/rendering/04.obj", "2.318805933")</f>
        <v>2.318805933</v>
      </c>
      <c r="H1030" s="6" t="str">
        <f>HYPERLINK(AB2 &amp; "/hammer/sn_bc7a3ca5bb39389bb36dcc661f3905d/rendering/05.obj", "2.98355579376")</f>
        <v>2.98355579376</v>
      </c>
      <c r="I1030" s="82" t="str">
        <f>HYPERLINK(AB2 &amp; "/hammer/sn_bc7a3ca5bb39389bb36dcc661f3905d/rendering/06.obj", "2.26317095757")</f>
        <v>2.26317095757</v>
      </c>
      <c r="J1030" s="13" t="str">
        <f>HYPERLINK(AB2 &amp; "/hammer/sn_bc7a3ca5bb39389bb36dcc661f3905d/rendering/07.obj", "2.85118150711")</f>
        <v>2.85118150711</v>
      </c>
      <c r="K1030" s="36" t="str">
        <f>HYPERLINK(AB2 &amp; "/hammer/sn_bc7a3ca5bb39389bb36dcc661f3905d/rendering/08.obj", "2.24068784714")</f>
        <v>2.24068784714</v>
      </c>
      <c r="L1030" s="78" t="str">
        <f>HYPERLINK(AB2 &amp; "/hammer/sn_bc7a3ca5bb39389bb36dcc661f3905d/rendering/09.obj", "2.6774160862")</f>
        <v>2.6774160862</v>
      </c>
      <c r="M1030" s="91" t="str">
        <f>HYPERLINK(AB2 &amp; "/hammer/sn_bc7a3ca5bb39389bb36dcc661f3905d/rendering/10.obj", "2.92462539673")</f>
        <v>2.92462539673</v>
      </c>
      <c r="N1030" s="17" t="str">
        <f>HYPERLINK(AB2 &amp; "/hammer/sn_bc7a3ca5bb39389bb36dcc661f3905d/rendering/11.obj", "2.91017627716")</f>
        <v>2.91017627716</v>
      </c>
      <c r="O1030" s="28" t="str">
        <f>HYPERLINK(AB2 &amp; "/hammer/sn_bc7a3ca5bb39389bb36dcc661f3905d/rendering/12.obj", "2.53231191635")</f>
        <v>2.53231191635</v>
      </c>
      <c r="P1030" s="88" t="str">
        <f>HYPERLINK(AB2 &amp; "/hammer/sn_bc7a3ca5bb39389bb36dcc661f3905d/rendering/13.obj", "2.27912282944")</f>
        <v>2.27912282944</v>
      </c>
      <c r="Q1030" s="37" t="str">
        <f>HYPERLINK(AB2 &amp; "/hammer/sn_bc7a3ca5bb39389bb36dcc661f3905d/rendering/14.obj", "2.35573720932")</f>
        <v>2.35573720932</v>
      </c>
      <c r="R1030" s="66" t="str">
        <f>HYPERLINK(AB2 &amp; "/hammer/sn_bc7a3ca5bb39389bb36dcc661f3905d/rendering/15.obj", "3.31560444832")</f>
        <v>3.31560444832</v>
      </c>
      <c r="S1030" s="32" t="str">
        <f>HYPERLINK(AB2 &amp; "/hammer/sn_bc7a3ca5bb39389bb36dcc661f3905d/rendering/16.obj", "3.14922714233")</f>
        <v>3.14922714233</v>
      </c>
      <c r="T1030" s="17" t="str">
        <f>HYPERLINK(AB2 &amp; "/hammer/sn_bc7a3ca5bb39389bb36dcc661f3905d/rendering/17.obj", "2.7971394062")</f>
        <v>2.7971394062</v>
      </c>
      <c r="U1030" s="79" t="str">
        <f>HYPERLINK(AB2 &amp; "/hammer/sn_bc7a3ca5bb39389bb36dcc661f3905d/rendering/18.obj", "3.3052482605")</f>
        <v>3.3052482605</v>
      </c>
      <c r="V1030" s="37" t="str">
        <f>HYPERLINK(AB2 &amp; "/hammer/sn_bc7a3ca5bb39389bb36dcc661f3905d/rendering/19.obj", "3.35345745087")</f>
        <v>3.35345745087</v>
      </c>
      <c r="W1030" s="12" t="s">
        <v>32</v>
      </c>
      <c r="X1030" s="13">
        <v>2.852469646930694</v>
      </c>
      <c r="Y1030" s="13">
        <v>0.46150165291729339</v>
      </c>
      <c r="Z1030" s="66">
        <v>0.16179020639671909</v>
      </c>
    </row>
    <row r="1031" spans="1:26" x14ac:dyDescent="0.2">
      <c r="A1031" s="1">
        <v>1029</v>
      </c>
      <c r="B1031" s="2" t="s">
        <v>238</v>
      </c>
      <c r="C1031" s="13" t="str">
        <f>HYPERLINK(AC2 &amp; "/hammer/sn_bc7a3ca5bb39389bb36dcc661f3905d/rendering/00.xyz", "0.0")</f>
        <v>0.0</v>
      </c>
      <c r="D1031" s="13" t="str">
        <f>HYPERLINK(AC2 &amp; "/hammer/sn_bc7a3ca5bb39389bb36dcc661f3905d/rendering/01.xyz", "0.0")</f>
        <v>0.0</v>
      </c>
      <c r="E1031" s="13" t="str">
        <f>HYPERLINK(AC2 &amp; "/hammer/sn_bc7a3ca5bb39389bb36dcc661f3905d/rendering/02.xyz", "0.0")</f>
        <v>0.0</v>
      </c>
      <c r="F1031" s="13" t="str">
        <f>HYPERLINK(AC2 &amp; "/hammer/sn_bc7a3ca5bb39389bb36dcc661f3905d/rendering/03.xyz", "0.0")</f>
        <v>0.0</v>
      </c>
      <c r="G1031" s="13" t="str">
        <f>HYPERLINK(AC2 &amp; "/hammer/sn_bc7a3ca5bb39389bb36dcc661f3905d/rendering/04.xyz", "0.0")</f>
        <v>0.0</v>
      </c>
      <c r="H1031" s="13" t="str">
        <f>HYPERLINK(AC2 &amp; "/hammer/sn_bc7a3ca5bb39389bb36dcc661f3905d/rendering/05.xyz", "0.0")</f>
        <v>0.0</v>
      </c>
      <c r="I1031" s="13" t="str">
        <f>HYPERLINK(AC2 &amp; "/hammer/sn_bc7a3ca5bb39389bb36dcc661f3905d/rendering/06.xyz", "0.0")</f>
        <v>0.0</v>
      </c>
      <c r="J1031" s="13" t="str">
        <f>HYPERLINK(AC2 &amp; "/hammer/sn_bc7a3ca5bb39389bb36dcc661f3905d/rendering/07.xyz", "0.0")</f>
        <v>0.0</v>
      </c>
      <c r="K1031" s="13" t="str">
        <f>HYPERLINK(AC2 &amp; "/hammer/sn_bc7a3ca5bb39389bb36dcc661f3905d/rendering/08.xyz", "0.0")</f>
        <v>0.0</v>
      </c>
      <c r="L1031" s="13" t="str">
        <f>HYPERLINK(AC2 &amp; "/hammer/sn_bc7a3ca5bb39389bb36dcc661f3905d/rendering/09.xyz", "0.0")</f>
        <v>0.0</v>
      </c>
      <c r="M1031" s="13" t="str">
        <f>HYPERLINK(AC2 &amp; "/hammer/sn_bc7a3ca5bb39389bb36dcc661f3905d/rendering/10.xyz", "0.0")</f>
        <v>0.0</v>
      </c>
      <c r="N1031" s="13" t="str">
        <f>HYPERLINK(AC2 &amp; "/hammer/sn_bc7a3ca5bb39389bb36dcc661f3905d/rendering/11.xyz", "0.0")</f>
        <v>0.0</v>
      </c>
      <c r="O1031" s="13" t="str">
        <f>HYPERLINK(AC2 &amp; "/hammer/sn_bc7a3ca5bb39389bb36dcc661f3905d/rendering/12.xyz", "0.0")</f>
        <v>0.0</v>
      </c>
      <c r="P1031" s="13" t="str">
        <f>HYPERLINK(AC2 &amp; "/hammer/sn_bc7a3ca5bb39389bb36dcc661f3905d/rendering/13.xyz", "0.0")</f>
        <v>0.0</v>
      </c>
      <c r="Q1031" s="13" t="str">
        <f>HYPERLINK(AC2 &amp; "/hammer/sn_bc7a3ca5bb39389bb36dcc661f3905d/rendering/14.xyz", "0.0")</f>
        <v>0.0</v>
      </c>
      <c r="R1031" s="13" t="str">
        <f>HYPERLINK(AC2 &amp; "/hammer/sn_bc7a3ca5bb39389bb36dcc661f3905d/rendering/15.xyz", "0.0")</f>
        <v>0.0</v>
      </c>
      <c r="S1031" s="13" t="str">
        <f>HYPERLINK(AC2 &amp; "/hammer/sn_bc7a3ca5bb39389bb36dcc661f3905d/rendering/16.xyz", "0.0")</f>
        <v>0.0</v>
      </c>
      <c r="T1031" s="13" t="str">
        <f>HYPERLINK(AC2 &amp; "/hammer/sn_bc7a3ca5bb39389bb36dcc661f3905d/rendering/17.xyz", "0.0")</f>
        <v>0.0</v>
      </c>
      <c r="U1031" s="13" t="str">
        <f>HYPERLINK(AC2 &amp; "/hammer/sn_bc7a3ca5bb39389bb36dcc661f3905d/rendering/18.xyz", "0.0")</f>
        <v>0.0</v>
      </c>
      <c r="V1031" s="13" t="str">
        <f>HYPERLINK(AC2 &amp; "/hammer/sn_bc7a3ca5bb39389bb36dcc661f3905d/rendering/19.xyz", "0.0")</f>
        <v>0.0</v>
      </c>
      <c r="W1031" s="12" t="s">
        <v>33</v>
      </c>
      <c r="X1031" s="13">
        <v>0</v>
      </c>
      <c r="Y1031" s="13">
        <v>0</v>
      </c>
      <c r="Z1031" s="13">
        <v>0</v>
      </c>
    </row>
    <row r="1032" spans="1:26" x14ac:dyDescent="0.2">
      <c r="A1032" s="1">
        <v>1030</v>
      </c>
      <c r="B1032" s="2" t="s">
        <v>239</v>
      </c>
      <c r="C1032" s="71" t="str">
        <f>HYPERLINK(AA2 &amp; "/hammer/sn_c0524a8d8b1c07fee478c4e51cacf083/rendering/00.obj", "6.32048522949")</f>
        <v>6.32048522949</v>
      </c>
      <c r="D1032" s="78" t="str">
        <f>HYPERLINK(AA2 &amp; "/hammer/sn_c0524a8d8b1c07fee478c4e51cacf083/rendering/01.obj", "6.72605102539")</f>
        <v>6.72605102539</v>
      </c>
      <c r="E1032" s="46" t="str">
        <f>HYPERLINK(AA2 &amp; "/hammer/sn_c0524a8d8b1c07fee478c4e51cacf083/rendering/02.obj", "7.03962158203")</f>
        <v>7.03962158203</v>
      </c>
      <c r="F1032" s="133" t="str">
        <f>HYPERLINK(AA2 &amp; "/hammer/sn_c0524a8d8b1c07fee478c4e51cacf083/rendering/03.obj", "6.43922363281")</f>
        <v>6.43922363281</v>
      </c>
      <c r="G1032" s="33" t="str">
        <f>HYPERLINK(AA2 &amp; "/hammer/sn_c0524a8d8b1c07fee478c4e51cacf083/rendering/04.obj", "6.39500427246")</f>
        <v>6.39500427246</v>
      </c>
      <c r="H1032" s="107" t="str">
        <f>HYPERLINK(AA2 &amp; "/hammer/sn_c0524a8d8b1c07fee478c4e51cacf083/rendering/05.obj", "7.75768188477")</f>
        <v>7.75768188477</v>
      </c>
      <c r="I1032" s="60" t="str">
        <f>HYPERLINK(AA2 &amp; "/hammer/sn_c0524a8d8b1c07fee478c4e51cacf083/rendering/06.obj", "6.79933532715")</f>
        <v>6.79933532715</v>
      </c>
      <c r="J1032" s="48" t="str">
        <f>HYPERLINK(AA2 &amp; "/hammer/sn_c0524a8d8b1c07fee478c4e51cacf083/rendering/07.obj", "7.00033813477")</f>
        <v>7.00033813477</v>
      </c>
      <c r="K1032" s="81" t="str">
        <f>HYPERLINK(AA2 &amp; "/hammer/sn_c0524a8d8b1c07fee478c4e51cacf083/rendering/08.obj", "5.60814575195")</f>
        <v>5.60814575195</v>
      </c>
      <c r="L1032" s="80" t="str">
        <f>HYPERLINK(AA2 &amp; "/hammer/sn_c0524a8d8b1c07fee478c4e51cacf083/rendering/09.obj", "6.10919555664")</f>
        <v>6.10919555664</v>
      </c>
      <c r="M1032" s="20" t="str">
        <f>HYPERLINK(AA2 &amp; "/hammer/sn_c0524a8d8b1c07fee478c4e51cacf083/rendering/10.obj", "15.6143640137")</f>
        <v>15.6143640137</v>
      </c>
      <c r="N1032" s="32" t="str">
        <f>HYPERLINK(AA2 &amp; "/hammer/sn_c0524a8d8b1c07fee478c4e51cacf083/rendering/11.obj", "6.42693847656")</f>
        <v>6.42693847656</v>
      </c>
      <c r="O1032" s="41" t="str">
        <f>HYPERLINK(AA2 &amp; "/hammer/sn_c0524a8d8b1c07fee478c4e51cacf083/rendering/12.obj", "7.6595703125")</f>
        <v>7.6595703125</v>
      </c>
      <c r="P1032" s="71" t="str">
        <f>HYPERLINK(AA2 &amp; "/hammer/sn_c0524a8d8b1c07fee478c4e51cacf083/rendering/13.obj", "6.3205859375")</f>
        <v>6.3205859375</v>
      </c>
      <c r="Q1032" s="110" t="str">
        <f>HYPERLINK(AA2 &amp; "/hammer/sn_c0524a8d8b1c07fee478c4e51cacf083/rendering/14.obj", "6.46827270508")</f>
        <v>6.46827270508</v>
      </c>
      <c r="R1032" s="91" t="str">
        <f>HYPERLINK(AA2 &amp; "/hammer/sn_c0524a8d8b1c07fee478c4e51cacf083/rendering/15.obj", "7.36568481445")</f>
        <v>7.36568481445</v>
      </c>
      <c r="S1032" s="134" t="str">
        <f>HYPERLINK(AA2 &amp; "/hammer/sn_c0524a8d8b1c07fee478c4e51cacf083/rendering/16.obj", "8.45958984375")</f>
        <v>8.45958984375</v>
      </c>
      <c r="T1032" s="90" t="str">
        <f>HYPERLINK(AA2 &amp; "/hammer/sn_c0524a8d8b1c07fee478c4e51cacf083/rendering/17.obj", "6.48297668457")</f>
        <v>6.48297668457</v>
      </c>
      <c r="U1032" s="71" t="str">
        <f>HYPERLINK(AA2 &amp; "/hammer/sn_c0524a8d8b1c07fee478c4e51cacf083/rendering/18.obj", "6.31982177734")</f>
        <v>6.31982177734</v>
      </c>
      <c r="V1032" s="80" t="str">
        <f>HYPERLINK(AA2 &amp; "/hammer/sn_c0524a8d8b1c07fee478c4e51cacf083/rendering/19.obj", "6.11111938477")</f>
        <v>6.11111938477</v>
      </c>
      <c r="W1032" s="12" t="s">
        <v>29</v>
      </c>
      <c r="X1032" s="13">
        <v>7.1712003173828123</v>
      </c>
      <c r="Y1032" s="13">
        <v>2.043000559358608</v>
      </c>
      <c r="Z1032" s="4">
        <v>0.28488962362499132</v>
      </c>
    </row>
    <row r="1033" spans="1:26" x14ac:dyDescent="0.2">
      <c r="A1033" s="1">
        <v>1031</v>
      </c>
      <c r="B1033" s="2" t="s">
        <v>239</v>
      </c>
      <c r="C1033" s="215" t="str">
        <f>HYPERLINK(AA2 &amp; "/hammer/sn_c0524a8d8b1c07fee478c4e51cacf083/rendering/00.obj", "1.95913124084")</f>
        <v>1.95913124084</v>
      </c>
      <c r="D1033" s="169" t="str">
        <f>HYPERLINK(AA2 &amp; "/hammer/sn_c0524a8d8b1c07fee478c4e51cacf083/rendering/01.obj", "4.08531761169")</f>
        <v>4.08531761169</v>
      </c>
      <c r="E1033" s="16" t="str">
        <f>HYPERLINK(AA2 &amp; "/hammer/sn_c0524a8d8b1c07fee478c4e51cacf083/rendering/02.obj", "2.71062517166")</f>
        <v>2.71062517166</v>
      </c>
      <c r="F1033" s="206" t="str">
        <f>HYPERLINK(AA2 &amp; "/hammer/sn_c0524a8d8b1c07fee478c4e51cacf083/rendering/03.obj", "2.42594838142")</f>
        <v>2.42594838142</v>
      </c>
      <c r="G1033" s="9" t="str">
        <f>HYPERLINK(AA2 &amp; "/hammer/sn_c0524a8d8b1c07fee478c4e51cacf083/rendering/04.obj", "2.02666068077")</f>
        <v>2.02666068077</v>
      </c>
      <c r="H1033" s="20" t="str">
        <f>HYPERLINK(AA2 &amp; "/hammer/sn_c0524a8d8b1c07fee478c4e51cacf083/rendering/05.obj", "12.4168300629")</f>
        <v>12.4168300629</v>
      </c>
      <c r="I1033" s="167" t="str">
        <f>HYPERLINK(AA2 &amp; "/hammer/sn_c0524a8d8b1c07fee478c4e51cacf083/rendering/06.obj", "2.34252309799")</f>
        <v>2.34252309799</v>
      </c>
      <c r="J1033" s="186" t="str">
        <f>HYPERLINK(AA2 &amp; "/hammer/sn_c0524a8d8b1c07fee478c4e51cacf083/rendering/07.obj", "2.36326599121")</f>
        <v>2.36326599121</v>
      </c>
      <c r="K1033" s="164" t="str">
        <f>HYPERLINK(AA2 &amp; "/hammer/sn_c0524a8d8b1c07fee478c4e51cacf083/rendering/08.obj", "2.16234469414")</f>
        <v>2.16234469414</v>
      </c>
      <c r="L1033" s="45" t="str">
        <f>HYPERLINK(AA2 &amp; "/hammer/sn_c0524a8d8b1c07fee478c4e51cacf083/rendering/09.obj", "1.99024808407")</f>
        <v>1.99024808407</v>
      </c>
      <c r="M1033" s="20" t="str">
        <f>HYPERLINK(AA2 &amp; "/hammer/sn_c0524a8d8b1c07fee478c4e51cacf083/rendering/10.obj", "47.0219726562")</f>
        <v>47.0219726562</v>
      </c>
      <c r="N1033" s="225" t="str">
        <f>HYPERLINK(AA2 &amp; "/hammer/sn_c0524a8d8b1c07fee478c4e51cacf083/rendering/11.obj", "2.55390572548")</f>
        <v>2.55390572548</v>
      </c>
      <c r="O1033" s="20" t="str">
        <f>HYPERLINK(AA2 &amp; "/hammer/sn_c0524a8d8b1c07fee478c4e51cacf083/rendering/12.obj", "13.3195266724")</f>
        <v>13.3195266724</v>
      </c>
      <c r="P1033" s="115" t="str">
        <f>HYPERLINK(AA2 &amp; "/hammer/sn_c0524a8d8b1c07fee478c4e51cacf083/rendering/13.obj", "2.15124297142")</f>
        <v>2.15124297142</v>
      </c>
      <c r="Q1033" s="149" t="str">
        <f>HYPERLINK(AA2 &amp; "/hammer/sn_c0524a8d8b1c07fee478c4e51cacf083/rendering/14.obj", "3.89943528175")</f>
        <v>3.89943528175</v>
      </c>
      <c r="R1033" s="144" t="str">
        <f>HYPERLINK(AA2 &amp; "/hammer/sn_c0524a8d8b1c07fee478c4e51cacf083/rendering/15.obj", "2.95321249962")</f>
        <v>2.95321249962</v>
      </c>
      <c r="S1033" s="24" t="str">
        <f>HYPERLINK(AA2 &amp; "/hammer/sn_c0524a8d8b1c07fee478c4e51cacf083/rendering/16.obj", "4.94221878052")</f>
        <v>4.94221878052</v>
      </c>
      <c r="T1033" s="112" t="str">
        <f>HYPERLINK(AA2 &amp; "/hammer/sn_c0524a8d8b1c07fee478c4e51cacf083/rendering/17.obj", "2.398853302")</f>
        <v>2.398853302</v>
      </c>
      <c r="U1033" s="18" t="str">
        <f>HYPERLINK(AA2 &amp; "/hammer/sn_c0524a8d8b1c07fee478c4e51cacf083/rendering/18.obj", "2.5022277832")</f>
        <v>2.5022277832</v>
      </c>
      <c r="V1033" s="231" t="str">
        <f>HYPERLINK(AA2 &amp; "/hammer/sn_c0524a8d8b1c07fee478c4e51cacf083/rendering/19.obj", "2.52132940292")</f>
        <v>2.52132940292</v>
      </c>
      <c r="W1033" s="12" t="s">
        <v>30</v>
      </c>
      <c r="X1033" s="13">
        <v>5.9373410046100616</v>
      </c>
      <c r="Y1033" s="13">
        <v>9.9324366686199639</v>
      </c>
      <c r="Z1033" s="20">
        <v>1.6728762354912581</v>
      </c>
    </row>
    <row r="1034" spans="1:26" x14ac:dyDescent="0.2">
      <c r="A1034" s="1">
        <v>1032</v>
      </c>
      <c r="B1034" s="2" t="s">
        <v>239</v>
      </c>
      <c r="C1034" s="25" t="str">
        <f>HYPERLINK(AB2 &amp; "/hammer/sn_c0524a8d8b1c07fee478c4e51cacf083/rendering/00.obj", "6.01729003906")</f>
        <v>6.01729003906</v>
      </c>
      <c r="D1034" s="6" t="str">
        <f>HYPERLINK(AB2 &amp; "/hammer/sn_c0524a8d8b1c07fee478c4e51cacf083/rendering/01.obj", "5.69194824219")</f>
        <v>5.69194824219</v>
      </c>
      <c r="E1034" s="69" t="str">
        <f>HYPERLINK(AB2 &amp; "/hammer/sn_c0524a8d8b1c07fee478c4e51cacf083/rendering/02.obj", "5.78010803223")</f>
        <v>5.78010803223</v>
      </c>
      <c r="F1034" s="107" t="str">
        <f>HYPERLINK(AB2 &amp; "/hammer/sn_c0524a8d8b1c07fee478c4e51cacf083/rendering/03.obj", "6.45441650391")</f>
        <v>6.45441650391</v>
      </c>
      <c r="G1034" s="70" t="str">
        <f>HYPERLINK(AB2 &amp; "/hammer/sn_c0524a8d8b1c07fee478c4e51cacf083/rendering/04.obj", "6.70876464844")</f>
        <v>6.70876464844</v>
      </c>
      <c r="H1034" s="72" t="str">
        <f>HYPERLINK(AB2 &amp; "/hammer/sn_c0524a8d8b1c07fee478c4e51cacf083/rendering/05.obj", "5.76274536133")</f>
        <v>5.76274536133</v>
      </c>
      <c r="I1034" s="13" t="str">
        <f>HYPERLINK(AB2 &amp; "/hammer/sn_c0524a8d8b1c07fee478c4e51cacf083/rendering/06.obj", "5.94831542969")</f>
        <v>5.94831542969</v>
      </c>
      <c r="J1034" s="93" t="str">
        <f>HYPERLINK(AB2 &amp; "/hammer/sn_c0524a8d8b1c07fee478c4e51cacf083/rendering/07.obj", "6.77902832031")</f>
        <v>6.77902832031</v>
      </c>
      <c r="K1034" s="13" t="str">
        <f>HYPERLINK(AB2 &amp; "/hammer/sn_c0524a8d8b1c07fee478c4e51cacf083/rendering/08.obj", "5.93866638184")</f>
        <v>5.93866638184</v>
      </c>
      <c r="L1034" s="17" t="str">
        <f>HYPERLINK(AB2 &amp; "/hammer/sn_c0524a8d8b1c07fee478c4e51cacf083/rendering/09.obj", "6.07344970703")</f>
        <v>6.07344970703</v>
      </c>
      <c r="M1034" s="129" t="str">
        <f>HYPERLINK(AB2 &amp; "/hammer/sn_c0524a8d8b1c07fee478c4e51cacf083/rendering/10.obj", "4.47864074707")</f>
        <v>4.47864074707</v>
      </c>
      <c r="N1034" s="10" t="str">
        <f>HYPERLINK(AB2 &amp; "/hammer/sn_c0524a8d8b1c07fee478c4e51cacf083/rendering/11.obj", "6.27405700684")</f>
        <v>6.27405700684</v>
      </c>
      <c r="O1034" s="46" t="str">
        <f>HYPERLINK(AB2 &amp; "/hammer/sn_c0524a8d8b1c07fee478c4e51cacf083/rendering/12.obj", "6.06170349121")</f>
        <v>6.06170349121</v>
      </c>
      <c r="P1034" s="47" t="str">
        <f>HYPERLINK(AB2 &amp; "/hammer/sn_c0524a8d8b1c07fee478c4e51cacf083/rendering/13.obj", "5.99587402344")</f>
        <v>5.99587402344</v>
      </c>
      <c r="Q1034" s="71" t="str">
        <f>HYPERLINK(AB2 &amp; "/hammer/sn_c0524a8d8b1c07fee478c4e51cacf083/rendering/14.obj", "5.25029174805")</f>
        <v>5.25029174805</v>
      </c>
      <c r="R1034" s="133" t="str">
        <f>HYPERLINK(AB2 &amp; "/hammer/sn_c0524a8d8b1c07fee478c4e51cacf083/rendering/15.obj", "5.35524841309")</f>
        <v>5.35524841309</v>
      </c>
      <c r="S1034" s="106" t="str">
        <f>HYPERLINK(AB2 &amp; "/hammer/sn_c0524a8d8b1c07fee478c4e51cacf083/rendering/16.obj", "5.27645629883")</f>
        <v>5.27645629883</v>
      </c>
      <c r="T1034" s="106" t="str">
        <f>HYPERLINK(AB2 &amp; "/hammer/sn_c0524a8d8b1c07fee478c4e51cacf083/rendering/17.obj", "6.63839050293")</f>
        <v>6.63839050293</v>
      </c>
      <c r="U1034" s="83" t="str">
        <f>HYPERLINK(AB2 &amp; "/hammer/sn_c0524a8d8b1c07fee478c4e51cacf083/rendering/18.obj", "6.87143554688")</f>
        <v>6.87143554688</v>
      </c>
      <c r="V1034" s="72" t="str">
        <f>HYPERLINK(AB2 &amp; "/hammer/sn_c0524a8d8b1c07fee478c4e51cacf083/rendering/19.obj", "5.76169555664")</f>
        <v>5.76169555664</v>
      </c>
      <c r="W1034" s="12" t="s">
        <v>31</v>
      </c>
      <c r="X1034" s="13">
        <v>5.9559263000488283</v>
      </c>
      <c r="Y1034" s="13">
        <v>0.57476175524584372</v>
      </c>
      <c r="Z1034" s="90">
        <v>9.6502496218116685E-2</v>
      </c>
    </row>
    <row r="1035" spans="1:26" x14ac:dyDescent="0.2">
      <c r="A1035" s="1">
        <v>1033</v>
      </c>
      <c r="B1035" s="2" t="s">
        <v>239</v>
      </c>
      <c r="C1035" s="90" t="str">
        <f>HYPERLINK(AB2 &amp; "/hammer/sn_c0524a8d8b1c07fee478c4e51cacf083/rendering/00.obj", "1.79591870308")</f>
        <v>1.79591870308</v>
      </c>
      <c r="D1035" s="84" t="str">
        <f>HYPERLINK(AB2 &amp; "/hammer/sn_c0524a8d8b1c07fee478c4e51cacf083/rendering/01.obj", "1.69706058502")</f>
        <v>1.69706058502</v>
      </c>
      <c r="E1035" s="47" t="str">
        <f>HYPERLINK(AB2 &amp; "/hammer/sn_c0524a8d8b1c07fee478c4e51cacf083/rendering/02.obj", "2.00411915779")</f>
        <v>2.00411915779</v>
      </c>
      <c r="F1035" s="27" t="str">
        <f>HYPERLINK(AB2 &amp; "/hammer/sn_c0524a8d8b1c07fee478c4e51cacf083/rendering/03.obj", "1.84686923027")</f>
        <v>1.84686923027</v>
      </c>
      <c r="G1035" s="91" t="str">
        <f>HYPERLINK(AB2 &amp; "/hammer/sn_c0524a8d8b1c07fee478c4e51cacf083/rendering/04.obj", "1.93493688107")</f>
        <v>1.93493688107</v>
      </c>
      <c r="H1035" s="83" t="str">
        <f>HYPERLINK(AB2 &amp; "/hammer/sn_c0524a8d8b1c07fee478c4e51cacf083/rendering/05.obj", "2.28691458702")</f>
        <v>2.28691458702</v>
      </c>
      <c r="I1035" s="10" t="str">
        <f>HYPERLINK(AB2 &amp; "/hammer/sn_c0524a8d8b1c07fee478c4e51cacf083/rendering/06.obj", "1.87942433357")</f>
        <v>1.87942433357</v>
      </c>
      <c r="J1035" s="67" t="str">
        <f>HYPERLINK(AB2 &amp; "/hammer/sn_c0524a8d8b1c07fee478c4e51cacf083/rendering/07.obj", "2.16959500313")</f>
        <v>2.16959500313</v>
      </c>
      <c r="K1035" s="70" t="str">
        <f>HYPERLINK(AB2 &amp; "/hammer/sn_c0524a8d8b1c07fee478c4e51cacf083/rendering/08.obj", "1.73220765591")</f>
        <v>1.73220765591</v>
      </c>
      <c r="L1035" s="29" t="str">
        <f>HYPERLINK(AB2 &amp; "/hammer/sn_c0524a8d8b1c07fee478c4e51cacf083/rendering/09.obj", "1.73003554344")</f>
        <v>1.73003554344</v>
      </c>
      <c r="M1035" s="14" t="str">
        <f>HYPERLINK(AB2 &amp; "/hammer/sn_c0524a8d8b1c07fee478c4e51cacf083/rendering/10.obj", "2.56060886383")</f>
        <v>2.56060886383</v>
      </c>
      <c r="N1035" s="32" t="str">
        <f>HYPERLINK(AB2 &amp; "/hammer/sn_c0524a8d8b1c07fee478c4e51cacf083/rendering/11.obj", "1.7760771513")</f>
        <v>1.7760771513</v>
      </c>
      <c r="O1035" s="7" t="str">
        <f>HYPERLINK(AB2 &amp; "/hammer/sn_c0524a8d8b1c07fee478c4e51cacf083/rendering/12.obj", "2.53563213348")</f>
        <v>2.53563213348</v>
      </c>
      <c r="P1035" s="47" t="str">
        <f>HYPERLINK(AB2 &amp; "/hammer/sn_c0524a8d8b1c07fee478c4e51cacf083/rendering/13.obj", "2.0023958683")</f>
        <v>2.0023958683</v>
      </c>
      <c r="Q1035" s="13" t="str">
        <f>HYPERLINK(AB2 &amp; "/hammer/sn_c0524a8d8b1c07fee478c4e51cacf083/rendering/14.obj", "1.9870673418")</f>
        <v>1.9870673418</v>
      </c>
      <c r="R1035" s="69" t="str">
        <f>HYPERLINK(AB2 &amp; "/hammer/sn_c0524a8d8b1c07fee478c4e51cacf083/rendering/15.obj", "1.92701280117")</f>
        <v>1.92701280117</v>
      </c>
      <c r="S1035" s="13" t="str">
        <f>HYPERLINK(AB2 &amp; "/hammer/sn_c0524a8d8b1c07fee478c4e51cacf083/rendering/16.obj", "1.98860919476")</f>
        <v>1.98860919476</v>
      </c>
      <c r="T1035" s="133" t="str">
        <f>HYPERLINK(AB2 &amp; "/hammer/sn_c0524a8d8b1c07fee478c4e51cacf083/rendering/17.obj", "2.1919696331")</f>
        <v>2.1919696331</v>
      </c>
      <c r="U1035" s="69" t="str">
        <f>HYPERLINK(AB2 &amp; "/hammer/sn_c0524a8d8b1c07fee478c4e51cacf083/rendering/18.obj", "1.92908000946")</f>
        <v>1.92908000946</v>
      </c>
      <c r="V1035" s="71" t="str">
        <f>HYPERLINK(AB2 &amp; "/hammer/sn_c0524a8d8b1c07fee478c4e51cacf083/rendering/19.obj", "1.75267708302")</f>
        <v>1.75267708302</v>
      </c>
      <c r="W1035" s="12" t="s">
        <v>32</v>
      </c>
      <c r="X1035" s="13">
        <v>1.986410588026047</v>
      </c>
      <c r="Y1035" s="13">
        <v>0.24368501438722179</v>
      </c>
      <c r="Z1035" s="92">
        <v>0.1226760549184238</v>
      </c>
    </row>
    <row r="1036" spans="1:26" x14ac:dyDescent="0.2">
      <c r="A1036" s="1">
        <v>1034</v>
      </c>
      <c r="B1036" s="2" t="s">
        <v>239</v>
      </c>
      <c r="C1036" s="13" t="str">
        <f>HYPERLINK(AC2 &amp; "/hammer/sn_c0524a8d8b1c07fee478c4e51cacf083/rendering/00.xyz", "0.0")</f>
        <v>0.0</v>
      </c>
      <c r="D1036" s="13" t="str">
        <f>HYPERLINK(AC2 &amp; "/hammer/sn_c0524a8d8b1c07fee478c4e51cacf083/rendering/01.xyz", "0.0")</f>
        <v>0.0</v>
      </c>
      <c r="E1036" s="13" t="str">
        <f>HYPERLINK(AC2 &amp; "/hammer/sn_c0524a8d8b1c07fee478c4e51cacf083/rendering/02.xyz", "0.0")</f>
        <v>0.0</v>
      </c>
      <c r="F1036" s="13" t="str">
        <f>HYPERLINK(AC2 &amp; "/hammer/sn_c0524a8d8b1c07fee478c4e51cacf083/rendering/03.xyz", "0.0")</f>
        <v>0.0</v>
      </c>
      <c r="G1036" s="13" t="str">
        <f>HYPERLINK(AC2 &amp; "/hammer/sn_c0524a8d8b1c07fee478c4e51cacf083/rendering/04.xyz", "0.0")</f>
        <v>0.0</v>
      </c>
      <c r="H1036" s="13" t="str">
        <f>HYPERLINK(AC2 &amp; "/hammer/sn_c0524a8d8b1c07fee478c4e51cacf083/rendering/05.xyz", "0.0")</f>
        <v>0.0</v>
      </c>
      <c r="I1036" s="13" t="str">
        <f>HYPERLINK(AC2 &amp; "/hammer/sn_c0524a8d8b1c07fee478c4e51cacf083/rendering/06.xyz", "0.0")</f>
        <v>0.0</v>
      </c>
      <c r="J1036" s="13" t="str">
        <f>HYPERLINK(AC2 &amp; "/hammer/sn_c0524a8d8b1c07fee478c4e51cacf083/rendering/07.xyz", "0.0")</f>
        <v>0.0</v>
      </c>
      <c r="K1036" s="13" t="str">
        <f>HYPERLINK(AC2 &amp; "/hammer/sn_c0524a8d8b1c07fee478c4e51cacf083/rendering/08.xyz", "0.0")</f>
        <v>0.0</v>
      </c>
      <c r="L1036" s="13" t="str">
        <f>HYPERLINK(AC2 &amp; "/hammer/sn_c0524a8d8b1c07fee478c4e51cacf083/rendering/09.xyz", "0.0")</f>
        <v>0.0</v>
      </c>
      <c r="M1036" s="13" t="str">
        <f>HYPERLINK(AC2 &amp; "/hammer/sn_c0524a8d8b1c07fee478c4e51cacf083/rendering/10.xyz", "0.0")</f>
        <v>0.0</v>
      </c>
      <c r="N1036" s="13" t="str">
        <f>HYPERLINK(AC2 &amp; "/hammer/sn_c0524a8d8b1c07fee478c4e51cacf083/rendering/11.xyz", "0.0")</f>
        <v>0.0</v>
      </c>
      <c r="O1036" s="13" t="str">
        <f>HYPERLINK(AC2 &amp; "/hammer/sn_c0524a8d8b1c07fee478c4e51cacf083/rendering/12.xyz", "0.0")</f>
        <v>0.0</v>
      </c>
      <c r="P1036" s="13" t="str">
        <f>HYPERLINK(AC2 &amp; "/hammer/sn_c0524a8d8b1c07fee478c4e51cacf083/rendering/13.xyz", "0.0")</f>
        <v>0.0</v>
      </c>
      <c r="Q1036" s="13" t="str">
        <f>HYPERLINK(AC2 &amp; "/hammer/sn_c0524a8d8b1c07fee478c4e51cacf083/rendering/14.xyz", "0.0")</f>
        <v>0.0</v>
      </c>
      <c r="R1036" s="13" t="str">
        <f>HYPERLINK(AC2 &amp; "/hammer/sn_c0524a8d8b1c07fee478c4e51cacf083/rendering/15.xyz", "0.0")</f>
        <v>0.0</v>
      </c>
      <c r="S1036" s="13" t="str">
        <f>HYPERLINK(AC2 &amp; "/hammer/sn_c0524a8d8b1c07fee478c4e51cacf083/rendering/16.xyz", "0.0")</f>
        <v>0.0</v>
      </c>
      <c r="T1036" s="13" t="str">
        <f>HYPERLINK(AC2 &amp; "/hammer/sn_c0524a8d8b1c07fee478c4e51cacf083/rendering/17.xyz", "0.0")</f>
        <v>0.0</v>
      </c>
      <c r="U1036" s="13" t="str">
        <f>HYPERLINK(AC2 &amp; "/hammer/sn_c0524a8d8b1c07fee478c4e51cacf083/rendering/18.xyz", "0.0")</f>
        <v>0.0</v>
      </c>
      <c r="V1036" s="13" t="str">
        <f>HYPERLINK(AC2 &amp; "/hammer/sn_c0524a8d8b1c07fee478c4e51cacf083/rendering/19.xyz", "0.0")</f>
        <v>0.0</v>
      </c>
      <c r="W1036" s="12" t="s">
        <v>33</v>
      </c>
      <c r="X1036" s="13">
        <v>0</v>
      </c>
      <c r="Y1036" s="13">
        <v>0</v>
      </c>
      <c r="Z1036" s="13">
        <v>0</v>
      </c>
    </row>
    <row r="1037" spans="1:26" x14ac:dyDescent="0.2">
      <c r="A1037" s="1">
        <v>1035</v>
      </c>
      <c r="B1037" s="2" t="s">
        <v>240</v>
      </c>
      <c r="C1037" s="180" t="str">
        <f>HYPERLINK(AA2 &amp; "/hammer/sn_c0a6c9def11a4a0e495152ca3ebb451/rendering/00.obj", "23.1029882812")</f>
        <v>23.1029882812</v>
      </c>
      <c r="D1037" s="94" t="str">
        <f>HYPERLINK(AA2 &amp; "/hammer/sn_c0a6c9def11a4a0e495152ca3ebb451/rendering/01.obj", "13.8501184082")</f>
        <v>13.8501184082</v>
      </c>
      <c r="E1037" s="104" t="str">
        <f>HYPERLINK(AA2 &amp; "/hammer/sn_c0a6c9def11a4a0e495152ca3ebb451/rendering/02.obj", "6.78567504883")</f>
        <v>6.78567504883</v>
      </c>
      <c r="F1037" s="57" t="str">
        <f>HYPERLINK(AA2 &amp; "/hammer/sn_c0a6c9def11a4a0e495152ca3ebb451/rendering/03.obj", "8.85234313965")</f>
        <v>8.85234313965</v>
      </c>
      <c r="G1037" s="138" t="str">
        <f>HYPERLINK(AA2 &amp; "/hammer/sn_c0a6c9def11a4a0e495152ca3ebb451/rendering/04.obj", "8.53751342773")</f>
        <v>8.53751342773</v>
      </c>
      <c r="H1037" s="77" t="str">
        <f>HYPERLINK(AA2 &amp; "/hammer/sn_c0a6c9def11a4a0e495152ca3ebb451/rendering/05.obj", "15.3046411133")</f>
        <v>15.3046411133</v>
      </c>
      <c r="I1037" s="20" t="str">
        <f>HYPERLINK(AA2 &amp; "/hammer/sn_c0a6c9def11a4a0e495152ca3ebb451/rendering/06.obj", "24.1455224609")</f>
        <v>24.1455224609</v>
      </c>
      <c r="J1037" s="69" t="str">
        <f>HYPERLINK(AA2 &amp; "/hammer/sn_c0a6c9def11a4a0e495152ca3ebb451/rendering/07.obj", "12.5378625488")</f>
        <v>12.5378625488</v>
      </c>
      <c r="K1037" s="19" t="str">
        <f>HYPERLINK(AA2 &amp; "/hammer/sn_c0a6c9def11a4a0e495152ca3ebb451/rendering/08.obj", "9.53390625")</f>
        <v>9.53390625</v>
      </c>
      <c r="L1037" s="46" t="str">
        <f>HYPERLINK(AA2 &amp; "/hammer/sn_c0a6c9def11a4a0e495152ca3ebb451/rendering/09.obj", "13.1331188965")</f>
        <v>13.1331188965</v>
      </c>
      <c r="M1037" s="37" t="str">
        <f>HYPERLINK(AA2 &amp; "/hammer/sn_c0a6c9def11a4a0e495152ca3ebb451/rendering/10.obj", "10.679284668")</f>
        <v>10.679284668</v>
      </c>
      <c r="N1037" s="69" t="str">
        <f>HYPERLINK(AA2 &amp; "/hammer/sn_c0a6c9def11a4a0e495152ca3ebb451/rendering/11.obj", "13.2750073242")</f>
        <v>13.2750073242</v>
      </c>
      <c r="O1037" s="5" t="str">
        <f>HYPERLINK(AA2 &amp; "/hammer/sn_c0a6c9def11a4a0e495152ca3ebb451/rendering/12.obj", "11.9129943848")</f>
        <v>11.9129943848</v>
      </c>
      <c r="P1037" s="64" t="str">
        <f>HYPERLINK(AA2 &amp; "/hammer/sn_c0a6c9def11a4a0e495152ca3ebb451/rendering/13.obj", "10.7870727539")</f>
        <v>10.7870727539</v>
      </c>
      <c r="Q1037" s="40" t="str">
        <f>HYPERLINK(AA2 &amp; "/hammer/sn_c0a6c9def11a4a0e495152ca3ebb451/rendering/14.obj", "15.1304882813")</f>
        <v>15.1304882813</v>
      </c>
      <c r="R1037" s="137" t="str">
        <f>HYPERLINK(AA2 &amp; "/hammer/sn_c0a6c9def11a4a0e495152ca3ebb451/rendering/15.obj", "8.18455627441")</f>
        <v>8.18455627441</v>
      </c>
      <c r="S1037" s="24" t="str">
        <f>HYPERLINK(AA2 &amp; "/hammer/sn_c0a6c9def11a4a0e495152ca3ebb451/rendering/16.obj", "10.7354980469")</f>
        <v>10.7354980469</v>
      </c>
      <c r="T1037" s="34" t="str">
        <f>HYPERLINK(AA2 &amp; "/hammer/sn_c0a6c9def11a4a0e495152ca3ebb451/rendering/17.obj", "12.2981445313")</f>
        <v>12.2981445313</v>
      </c>
      <c r="U1037" s="83" t="str">
        <f>HYPERLINK(AA2 &amp; "/hammer/sn_c0a6c9def11a4a0e495152ca3ebb451/rendering/18.obj", "14.878215332")</f>
        <v>14.878215332</v>
      </c>
      <c r="V1037" s="63" t="str">
        <f>HYPERLINK(AA2 &amp; "/hammer/sn_c0a6c9def11a4a0e495152ca3ebb451/rendering/19.obj", "14.4730493164")</f>
        <v>14.4730493164</v>
      </c>
      <c r="W1037" s="12" t="s">
        <v>29</v>
      </c>
      <c r="X1037" s="13">
        <v>12.90690002441406</v>
      </c>
      <c r="Y1037" s="13">
        <v>4.3053404730426879</v>
      </c>
      <c r="Z1037" s="182">
        <v>0.3335689022847404</v>
      </c>
    </row>
    <row r="1038" spans="1:26" x14ac:dyDescent="0.2">
      <c r="A1038" s="1">
        <v>1036</v>
      </c>
      <c r="B1038" s="2" t="s">
        <v>240</v>
      </c>
      <c r="C1038" s="20" t="str">
        <f>HYPERLINK(AA2 &amp; "/hammer/sn_c0a6c9def11a4a0e495152ca3ebb451/rendering/00.obj", "111.133857727")</f>
        <v>111.133857727</v>
      </c>
      <c r="D1038" s="82" t="str">
        <f>HYPERLINK(AA2 &amp; "/hammer/sn_c0a6c9def11a4a0e495152ca3ebb451/rendering/01.obj", "34.1794204712")</f>
        <v>34.1794204712</v>
      </c>
      <c r="E1038" s="165" t="str">
        <f>HYPERLINK(AA2 &amp; "/hammer/sn_c0a6c9def11a4a0e495152ca3ebb451/rendering/02.obj", "13.2557926178")</f>
        <v>13.2557926178</v>
      </c>
      <c r="F1038" s="143" t="str">
        <f>HYPERLINK(AA2 &amp; "/hammer/sn_c0a6c9def11a4a0e495152ca3ebb451/rendering/03.obj", "22.7680435181")</f>
        <v>22.7680435181</v>
      </c>
      <c r="G1038" s="186" t="str">
        <f>HYPERLINK(AA2 &amp; "/hammer/sn_c0a6c9def11a4a0e495152ca3ebb451/rendering/04.obj", "17.1638965607")</f>
        <v>17.1638965607</v>
      </c>
      <c r="H1038" s="68" t="str">
        <f>HYPERLINK(AA2 &amp; "/hammer/sn_c0a6c9def11a4a0e495152ca3ebb451/rendering/05.obj", "44.9083061218")</f>
        <v>44.9083061218</v>
      </c>
      <c r="I1038" s="20" t="str">
        <f>HYPERLINK(AA2 &amp; "/hammer/sn_c0a6c9def11a4a0e495152ca3ebb451/rendering/06.obj", "164.626617432")</f>
        <v>164.626617432</v>
      </c>
      <c r="J1038" s="47" t="str">
        <f>HYPERLINK(AA2 &amp; "/hammer/sn_c0a6c9def11a4a0e495152ca3ebb451/rendering/07.obj", "43.3399353027")</f>
        <v>43.3399353027</v>
      </c>
      <c r="K1038" s="116" t="str">
        <f>HYPERLINK(AA2 &amp; "/hammer/sn_c0a6c9def11a4a0e495152ca3ebb451/rendering/08.obj", "24.2034034729")</f>
        <v>24.2034034729</v>
      </c>
      <c r="L1038" s="106" t="str">
        <f>HYPERLINK(AA2 &amp; "/hammer/sn_c0a6c9def11a4a0e495152ca3ebb451/rendering/09.obj", "48.0274238586")</f>
        <v>48.0274238586</v>
      </c>
      <c r="M1038" s="4" t="str">
        <f>HYPERLINK(AA2 &amp; "/hammer/sn_c0a6c9def11a4a0e495152ca3ebb451/rendering/10.obj", "30.8695011139")</f>
        <v>30.8695011139</v>
      </c>
      <c r="N1038" s="70" t="str">
        <f>HYPERLINK(AA2 &amp; "/hammer/sn_c0a6c9def11a4a0e495152ca3ebb451/rendering/11.obj", "37.5953788757")</f>
        <v>37.5953788757</v>
      </c>
      <c r="O1038" s="74" t="str">
        <f>HYPERLINK(AA2 &amp; "/hammer/sn_c0a6c9def11a4a0e495152ca3ebb451/rendering/12.obj", "42.5123596191")</f>
        <v>42.5123596191</v>
      </c>
      <c r="P1038" s="185" t="str">
        <f>HYPERLINK(AA2 &amp; "/hammer/sn_c0a6c9def11a4a0e495152ca3ebb451/rendering/13.obj", "28.4028892517")</f>
        <v>28.4028892517</v>
      </c>
      <c r="Q1038" s="100" t="str">
        <f>HYPERLINK(AA2 &amp; "/hammer/sn_c0a6c9def11a4a0e495152ca3ebb451/rendering/14.obj", "30.16588974")</f>
        <v>30.16588974</v>
      </c>
      <c r="R1038" s="141" t="str">
        <f>HYPERLINK(AA2 &amp; "/hammer/sn_c0a6c9def11a4a0e495152ca3ebb451/rendering/15.obj", "19.4095516205")</f>
        <v>19.4095516205</v>
      </c>
      <c r="S1038" s="86" t="str">
        <f>HYPERLINK(AA2 &amp; "/hammer/sn_c0a6c9def11a4a0e495152ca3ebb451/rendering/16.obj", "31.5589866638")</f>
        <v>31.5589866638</v>
      </c>
      <c r="T1038" s="134" t="str">
        <f>HYPERLINK(AA2 &amp; "/hammer/sn_c0a6c9def11a4a0e495152ca3ebb451/rendering/17.obj", "35.2787704468")</f>
        <v>35.2787704468</v>
      </c>
      <c r="U1038" s="68" t="str">
        <f>HYPERLINK(AA2 &amp; "/hammer/sn_c0a6c9def11a4a0e495152ca3ebb451/rendering/18.obj", "44.8754196167")</f>
        <v>44.8754196167</v>
      </c>
      <c r="V1038" s="93" t="str">
        <f>HYPERLINK(AA2 &amp; "/hammer/sn_c0a6c9def11a4a0e495152ca3ebb451/rendering/19.obj", "37.0342140198")</f>
        <v>37.0342140198</v>
      </c>
      <c r="W1038" s="12" t="s">
        <v>30</v>
      </c>
      <c r="X1038" s="13">
        <v>43.065482902526853</v>
      </c>
      <c r="Y1038" s="13">
        <v>34.056856782757571</v>
      </c>
      <c r="Z1038" s="259">
        <v>0.79081562512234815</v>
      </c>
    </row>
    <row r="1039" spans="1:26" x14ac:dyDescent="0.2">
      <c r="A1039" s="1">
        <v>1037</v>
      </c>
      <c r="B1039" s="2" t="s">
        <v>240</v>
      </c>
      <c r="C1039" s="232" t="str">
        <f>HYPERLINK(AB2 &amp; "/hammer/sn_c0a6c9def11a4a0e495152ca3ebb451/rendering/00.obj", "12.5071337891")</f>
        <v>12.5071337891</v>
      </c>
      <c r="D1039" s="10" t="str">
        <f>HYPERLINK(AB2 &amp; "/hammer/sn_c0a6c9def11a4a0e495152ca3ebb451/rendering/01.obj", "6.63020629883")</f>
        <v>6.63020629883</v>
      </c>
      <c r="E1039" s="24" t="str">
        <f>HYPERLINK(AB2 &amp; "/hammer/sn_c0a6c9def11a4a0e495152ca3ebb451/rendering/02.obj", "8.17849853516")</f>
        <v>8.17849853516</v>
      </c>
      <c r="F1039" s="80" t="str">
        <f>HYPERLINK(AB2 &amp; "/hammer/sn_c0a6c9def11a4a0e495152ca3ebb451/rendering/03.obj", "5.96451904297")</f>
        <v>5.96451904297</v>
      </c>
      <c r="G1039" s="70" t="str">
        <f>HYPERLINK(AB2 &amp; "/hammer/sn_c0a6c9def11a4a0e495152ca3ebb451/rendering/04.obj", "6.12203125")</f>
        <v>6.12203125</v>
      </c>
      <c r="H1039" s="136" t="str">
        <f>HYPERLINK(AB2 &amp; "/hammer/sn_c0a6c9def11a4a0e495152ca3ebb451/rendering/05.obj", "5.36137817383")</f>
        <v>5.36137817383</v>
      </c>
      <c r="I1039" s="186" t="str">
        <f>HYPERLINK(AB2 &amp; "/hammer/sn_c0a6c9def11a4a0e495152ca3ebb451/rendering/06.obj", "11.2164746094")</f>
        <v>11.2164746094</v>
      </c>
      <c r="J1039" s="33" t="str">
        <f>HYPERLINK(AB2 &amp; "/hammer/sn_c0a6c9def11a4a0e495152ca3ebb451/rendering/07.obj", "6.25189941406")</f>
        <v>6.25189941406</v>
      </c>
      <c r="K1039" s="35" t="str">
        <f>HYPERLINK(AB2 &amp; "/hammer/sn_c0a6c9def11a4a0e495152ca3ebb451/rendering/08.obj", "6.60706787109")</f>
        <v>6.60706787109</v>
      </c>
      <c r="L1039" s="95" t="str">
        <f>HYPERLINK(AB2 &amp; "/hammer/sn_c0a6c9def11a4a0e495152ca3ebb451/rendering/09.obj", "5.05033630371")</f>
        <v>5.05033630371</v>
      </c>
      <c r="M1039" s="59" t="str">
        <f>HYPERLINK(AB2 &amp; "/hammer/sn_c0a6c9def11a4a0e495152ca3ebb451/rendering/10.obj", "5.32129760742")</f>
        <v>5.32129760742</v>
      </c>
      <c r="N1039" s="94" t="str">
        <f>HYPERLINK(AB2 &amp; "/hammer/sn_c0a6c9def11a4a0e495152ca3ebb451/rendering/11.obj", "7.53692687988")</f>
        <v>7.53692687988</v>
      </c>
      <c r="O1039" s="106" t="str">
        <f>HYPERLINK(AB2 &amp; "/hammer/sn_c0a6c9def11a4a0e495152ca3ebb451/rendering/12.obj", "6.21848266602")</f>
        <v>6.21848266602</v>
      </c>
      <c r="P1039" s="6" t="str">
        <f>HYPERLINK(AB2 &amp; "/hammer/sn_c0a6c9def11a4a0e495152ca3ebb451/rendering/13.obj", "6.69052124023")</f>
        <v>6.69052124023</v>
      </c>
      <c r="Q1039" s="35" t="str">
        <f>HYPERLINK(AB2 &amp; "/hammer/sn_c0a6c9def11a4a0e495152ca3ebb451/rendering/14.obj", "6.60126403809")</f>
        <v>6.60126403809</v>
      </c>
      <c r="R1039" s="30" t="str">
        <f>HYPERLINK(AB2 &amp; "/hammer/sn_c0a6c9def11a4a0e495152ca3ebb451/rendering/15.obj", "7.04976196289")</f>
        <v>7.04976196289</v>
      </c>
      <c r="S1039" s="6" t="str">
        <f>HYPERLINK(AB2 &amp; "/hammer/sn_c0a6c9def11a4a0e495152ca3ebb451/rendering/16.obj", "7.33504760742")</f>
        <v>7.33504760742</v>
      </c>
      <c r="T1039" s="107" t="str">
        <f>HYPERLINK(AB2 &amp; "/hammer/sn_c0a6c9def11a4a0e495152ca3ebb451/rendering/17.obj", "7.5855480957")</f>
        <v>7.5855480957</v>
      </c>
      <c r="U1039" s="17" t="str">
        <f>HYPERLINK(AB2 &amp; "/hammer/sn_c0a6c9def11a4a0e495152ca3ebb451/rendering/18.obj", "6.86957214355")</f>
        <v>6.86957214355</v>
      </c>
      <c r="V1039" s="86" t="str">
        <f>HYPERLINK(AB2 &amp; "/hammer/sn_c0a6c9def11a4a0e495152ca3ebb451/rendering/19.obj", "5.12585998535")</f>
        <v>5.12585998535</v>
      </c>
      <c r="W1039" s="12" t="s">
        <v>31</v>
      </c>
      <c r="X1039" s="13">
        <v>7.0111913757324196</v>
      </c>
      <c r="Y1039" s="13">
        <v>1.8252744040184321</v>
      </c>
      <c r="Z1039" s="89">
        <v>0.26033726740596291</v>
      </c>
    </row>
    <row r="1040" spans="1:26" x14ac:dyDescent="0.2">
      <c r="A1040" s="1">
        <v>1038</v>
      </c>
      <c r="B1040" s="2" t="s">
        <v>240</v>
      </c>
      <c r="C1040" s="20" t="str">
        <f>HYPERLINK(AB2 &amp; "/hammer/sn_c0a6c9def11a4a0e495152ca3ebb451/rendering/00.obj", "27.7019805908")</f>
        <v>27.7019805908</v>
      </c>
      <c r="D1040" s="136" t="str">
        <f>HYPERLINK(AB2 &amp; "/hammer/sn_c0a6c9def11a4a0e495152ca3ebb451/rendering/01.obj", "9.40744304657")</f>
        <v>9.40744304657</v>
      </c>
      <c r="E1040" s="77" t="str">
        <f>HYPERLINK(AB2 &amp; "/hammer/sn_c0a6c9def11a4a0e495152ca3ebb451/rendering/02.obj", "10.0242118835")</f>
        <v>10.0242118835</v>
      </c>
      <c r="F1040" s="58" t="str">
        <f>HYPERLINK(AB2 &amp; "/hammer/sn_c0a6c9def11a4a0e495152ca3ebb451/rendering/03.obj", "9.32876396179")</f>
        <v>9.32876396179</v>
      </c>
      <c r="G1040" s="75" t="str">
        <f>HYPERLINK(AB2 &amp; "/hammer/sn_c0a6c9def11a4a0e495152ca3ebb451/rendering/04.obj", "9.60105133057")</f>
        <v>9.60105133057</v>
      </c>
      <c r="H1040" s="212" t="str">
        <f>HYPERLINK(AB2 &amp; "/hammer/sn_c0a6c9def11a4a0e495152ca3ebb451/rendering/05.obj", "6.99959945679")</f>
        <v>6.99959945679</v>
      </c>
      <c r="I1040" s="20" t="str">
        <f>HYPERLINK(AB2 &amp; "/hammer/sn_c0a6c9def11a4a0e495152ca3ebb451/rendering/06.obj", "31.0316162109")</f>
        <v>31.0316162109</v>
      </c>
      <c r="J1040" s="170" t="str">
        <f>HYPERLINK(AB2 &amp; "/hammer/sn_c0a6c9def11a4a0e495152ca3ebb451/rendering/07.obj", "9.20383548737")</f>
        <v>9.20383548737</v>
      </c>
      <c r="K1040" s="26" t="str">
        <f>HYPERLINK(AB2 &amp; "/hammer/sn_c0a6c9def11a4a0e495152ca3ebb451/rendering/08.obj", "11.5070610046")</f>
        <v>11.5070610046</v>
      </c>
      <c r="L1040" s="7" t="str">
        <f>HYPERLINK(AB2 &amp; "/hammer/sn_c0a6c9def11a4a0e495152ca3ebb451/rendering/09.obj", "8.90611171722")</f>
        <v>8.90611171722</v>
      </c>
      <c r="M1040" s="113" t="str">
        <f>HYPERLINK(AB2 &amp; "/hammer/sn_c0a6c9def11a4a0e495152ca3ebb451/rendering/10.obj", "8.92369174957")</f>
        <v>8.92369174957</v>
      </c>
      <c r="N1040" s="17" t="str">
        <f>HYPERLINK(AB2 &amp; "/hammer/sn_c0a6c9def11a4a0e495152ca3ebb451/rendering/11.obj", "12.5510377884")</f>
        <v>12.5510377884</v>
      </c>
      <c r="O1040" s="110" t="str">
        <f>HYPERLINK(AB2 &amp; "/hammer/sn_c0a6c9def11a4a0e495152ca3ebb451/rendering/12.obj", "13.5392093658")</f>
        <v>13.5392093658</v>
      </c>
      <c r="P1040" s="72" t="str">
        <f>HYPERLINK(AB2 &amp; "/hammer/sn_c0a6c9def11a4a0e495152ca3ebb451/rendering/13.obj", "11.8829774857")</f>
        <v>11.8829774857</v>
      </c>
      <c r="Q1040" s="89" t="str">
        <f>HYPERLINK(AB2 &amp; "/hammer/sn_c0a6c9def11a4a0e495152ca3ebb451/rendering/14.obj", "9.12819576263")</f>
        <v>9.12819576263</v>
      </c>
      <c r="R1040" s="86" t="str">
        <f>HYPERLINK(AB2 &amp; "/hammer/sn_c0a6c9def11a4a0e495152ca3ebb451/rendering/15.obj", "15.6205530167")</f>
        <v>15.6205530167</v>
      </c>
      <c r="S1040" s="120" t="str">
        <f>HYPERLINK(AB2 &amp; "/hammer/sn_c0a6c9def11a4a0e495152ca3ebb451/rendering/16.obj", "14.9110546112")</f>
        <v>14.9110546112</v>
      </c>
      <c r="T1040" s="49" t="str">
        <f>HYPERLINK(AB2 &amp; "/hammer/sn_c0a6c9def11a4a0e495152ca3ebb451/rendering/17.obj", "9.73007583618")</f>
        <v>9.73007583618</v>
      </c>
      <c r="U1040" s="119" t="str">
        <f>HYPERLINK(AB2 &amp; "/hammer/sn_c0a6c9def11a4a0e495152ca3ebb451/rendering/18.obj", "9.03855133057")</f>
        <v>9.03855133057</v>
      </c>
      <c r="V1040" s="111" t="str">
        <f>HYPERLINK(AB2 &amp; "/hammer/sn_c0a6c9def11a4a0e495152ca3ebb451/rendering/19.obj", "7.10082960129")</f>
        <v>7.10082960129</v>
      </c>
      <c r="W1040" s="12" t="s">
        <v>32</v>
      </c>
      <c r="X1040" s="13">
        <v>12.306892561912541</v>
      </c>
      <c r="Y1040" s="13">
        <v>6.1356696997266846</v>
      </c>
      <c r="Z1040" s="102">
        <v>0.49855555891626141</v>
      </c>
    </row>
    <row r="1041" spans="1:26" x14ac:dyDescent="0.2">
      <c r="A1041" s="1">
        <v>1039</v>
      </c>
      <c r="B1041" s="2" t="s">
        <v>240</v>
      </c>
      <c r="C1041" s="13" t="str">
        <f>HYPERLINK(AC2 &amp; "/hammer/sn_c0a6c9def11a4a0e495152ca3ebb451/rendering/00.xyz", "0.0")</f>
        <v>0.0</v>
      </c>
      <c r="D1041" s="13" t="str">
        <f>HYPERLINK(AC2 &amp; "/hammer/sn_c0a6c9def11a4a0e495152ca3ebb451/rendering/01.xyz", "0.0")</f>
        <v>0.0</v>
      </c>
      <c r="E1041" s="13" t="str">
        <f>HYPERLINK(AC2 &amp; "/hammer/sn_c0a6c9def11a4a0e495152ca3ebb451/rendering/02.xyz", "0.0")</f>
        <v>0.0</v>
      </c>
      <c r="F1041" s="13" t="str">
        <f>HYPERLINK(AC2 &amp; "/hammer/sn_c0a6c9def11a4a0e495152ca3ebb451/rendering/03.xyz", "0.0")</f>
        <v>0.0</v>
      </c>
      <c r="G1041" s="13" t="str">
        <f>HYPERLINK(AC2 &amp; "/hammer/sn_c0a6c9def11a4a0e495152ca3ebb451/rendering/04.xyz", "0.0")</f>
        <v>0.0</v>
      </c>
      <c r="H1041" s="13" t="str">
        <f>HYPERLINK(AC2 &amp; "/hammer/sn_c0a6c9def11a4a0e495152ca3ebb451/rendering/05.xyz", "0.0")</f>
        <v>0.0</v>
      </c>
      <c r="I1041" s="13" t="str">
        <f>HYPERLINK(AC2 &amp; "/hammer/sn_c0a6c9def11a4a0e495152ca3ebb451/rendering/06.xyz", "0.0")</f>
        <v>0.0</v>
      </c>
      <c r="J1041" s="13" t="str">
        <f>HYPERLINK(AC2 &amp; "/hammer/sn_c0a6c9def11a4a0e495152ca3ebb451/rendering/07.xyz", "0.0")</f>
        <v>0.0</v>
      </c>
      <c r="K1041" s="13" t="str">
        <f>HYPERLINK(AC2 &amp; "/hammer/sn_c0a6c9def11a4a0e495152ca3ebb451/rendering/08.xyz", "0.0")</f>
        <v>0.0</v>
      </c>
      <c r="L1041" s="13" t="str">
        <f>HYPERLINK(AC2 &amp; "/hammer/sn_c0a6c9def11a4a0e495152ca3ebb451/rendering/09.xyz", "0.0")</f>
        <v>0.0</v>
      </c>
      <c r="M1041" s="13" t="str">
        <f>HYPERLINK(AC2 &amp; "/hammer/sn_c0a6c9def11a4a0e495152ca3ebb451/rendering/10.xyz", "0.0")</f>
        <v>0.0</v>
      </c>
      <c r="N1041" s="13" t="str">
        <f>HYPERLINK(AC2 &amp; "/hammer/sn_c0a6c9def11a4a0e495152ca3ebb451/rendering/11.xyz", "0.0")</f>
        <v>0.0</v>
      </c>
      <c r="O1041" s="13" t="str">
        <f>HYPERLINK(AC2 &amp; "/hammer/sn_c0a6c9def11a4a0e495152ca3ebb451/rendering/12.xyz", "0.0")</f>
        <v>0.0</v>
      </c>
      <c r="P1041" s="13" t="str">
        <f>HYPERLINK(AC2 &amp; "/hammer/sn_c0a6c9def11a4a0e495152ca3ebb451/rendering/13.xyz", "0.0")</f>
        <v>0.0</v>
      </c>
      <c r="Q1041" s="13" t="str">
        <f>HYPERLINK(AC2 &amp; "/hammer/sn_c0a6c9def11a4a0e495152ca3ebb451/rendering/14.xyz", "0.0")</f>
        <v>0.0</v>
      </c>
      <c r="R1041" s="13" t="str">
        <f>HYPERLINK(AC2 &amp; "/hammer/sn_c0a6c9def11a4a0e495152ca3ebb451/rendering/15.xyz", "0.0")</f>
        <v>0.0</v>
      </c>
      <c r="S1041" s="13" t="str">
        <f>HYPERLINK(AC2 &amp; "/hammer/sn_c0a6c9def11a4a0e495152ca3ebb451/rendering/16.xyz", "0.0")</f>
        <v>0.0</v>
      </c>
      <c r="T1041" s="13" t="str">
        <f>HYPERLINK(AC2 &amp; "/hammer/sn_c0a6c9def11a4a0e495152ca3ebb451/rendering/17.xyz", "0.0")</f>
        <v>0.0</v>
      </c>
      <c r="U1041" s="13" t="str">
        <f>HYPERLINK(AC2 &amp; "/hammer/sn_c0a6c9def11a4a0e495152ca3ebb451/rendering/18.xyz", "0.0")</f>
        <v>0.0</v>
      </c>
      <c r="V1041" s="13" t="str">
        <f>HYPERLINK(AC2 &amp; "/hammer/sn_c0a6c9def11a4a0e495152ca3ebb451/rendering/19.xyz", "0.0")</f>
        <v>0.0</v>
      </c>
      <c r="W1041" s="12" t="s">
        <v>33</v>
      </c>
      <c r="X1041" s="13">
        <v>0</v>
      </c>
      <c r="Y1041" s="13">
        <v>0</v>
      </c>
      <c r="Z1041" s="13">
        <v>0</v>
      </c>
    </row>
    <row r="1042" spans="1:26" x14ac:dyDescent="0.2">
      <c r="A1042" s="1">
        <v>1040</v>
      </c>
      <c r="B1042" s="2" t="s">
        <v>241</v>
      </c>
      <c r="C1042" s="123" t="str">
        <f>HYPERLINK(AA2 &amp; "/hammer/sn_c2258b62483062866b0f9e3b3feb2454/rendering/00.obj", "3.79861907959")</f>
        <v>3.79861907959</v>
      </c>
      <c r="D1042" s="58" t="str">
        <f>HYPERLINK(AA2 &amp; "/hammer/sn_c2258b62483062866b0f9e3b3feb2454/rendering/01.obj", "4.55560241699")</f>
        <v>4.55560241699</v>
      </c>
      <c r="E1042" s="20" t="str">
        <f>HYPERLINK(AA2 &amp; "/hammer/sn_c2258b62483062866b0f9e3b3feb2454/rendering/02.obj", "11.8868444824")</f>
        <v>11.8868444824</v>
      </c>
      <c r="F1042" s="20" t="str">
        <f>HYPERLINK(AA2 &amp; "/hammer/sn_c2258b62483062866b0f9e3b3feb2454/rendering/03.obj", "12.7628442383")</f>
        <v>12.7628442383</v>
      </c>
      <c r="G1042" s="8" t="str">
        <f>HYPERLINK(AA2 &amp; "/hammer/sn_c2258b62483062866b0f9e3b3feb2454/rendering/04.obj", "5.17434082031")</f>
        <v>5.17434082031</v>
      </c>
      <c r="H1042" s="207" t="str">
        <f>HYPERLINK(AA2 &amp; "/hammer/sn_c2258b62483062866b0f9e3b3feb2454/rendering/05.obj", "10.4313183594")</f>
        <v>10.4313183594</v>
      </c>
      <c r="I1042" s="151" t="str">
        <f>HYPERLINK(AA2 &amp; "/hammer/sn_c2258b62483062866b0f9e3b3feb2454/rendering/06.obj", "3.861769104")</f>
        <v>3.861769104</v>
      </c>
      <c r="J1042" s="98" t="str">
        <f>HYPERLINK(AA2 &amp; "/hammer/sn_c2258b62483062866b0f9e3b3feb2454/rendering/07.obj", "4.63275390625")</f>
        <v>4.63275390625</v>
      </c>
      <c r="K1042" s="129" t="str">
        <f>HYPERLINK(AA2 &amp; "/hammer/sn_c2258b62483062866b0f9e3b3feb2454/rendering/08.obj", "4.52021636963")</f>
        <v>4.52021636963</v>
      </c>
      <c r="L1042" s="70" t="str">
        <f>HYPERLINK(AA2 &amp; "/hammer/sn_c2258b62483062866b0f9e3b3feb2454/rendering/09.obj", "6.78904663086")</f>
        <v>6.78904663086</v>
      </c>
      <c r="M1042" s="166" t="str">
        <f>HYPERLINK(AA2 &amp; "/hammer/sn_c2258b62483062866b0f9e3b3feb2454/rendering/10.obj", "4.30620452881")</f>
        <v>4.30620452881</v>
      </c>
      <c r="N1042" s="57" t="str">
        <f>HYPERLINK(AA2 &amp; "/hammer/sn_c2258b62483062866b0f9e3b3feb2454/rendering/11.obj", "4.13279296875")</f>
        <v>4.13279296875</v>
      </c>
      <c r="O1042" s="43" t="str">
        <f>HYPERLINK(AA2 &amp; "/hammer/sn_c2258b62483062866b0f9e3b3feb2454/rendering/12.obj", "3.77117675781")</f>
        <v>3.77117675781</v>
      </c>
      <c r="P1042" s="79" t="str">
        <f>HYPERLINK(AA2 &amp; "/hammer/sn_c2258b62483062866b0f9e3b3feb2454/rendering/13.obj", "5.0681729126")</f>
        <v>5.0681729126</v>
      </c>
      <c r="Q1042" s="171" t="str">
        <f>HYPERLINK(AA2 &amp; "/hammer/sn_c2258b62483062866b0f9e3b3feb2454/rendering/14.obj", "4.18836181641")</f>
        <v>4.18836181641</v>
      </c>
      <c r="R1042" s="65" t="str">
        <f>HYPERLINK(AA2 &amp; "/hammer/sn_c2258b62483062866b0f9e3b3feb2454/rendering/15.obj", "5.21968933105")</f>
        <v>5.21968933105</v>
      </c>
      <c r="S1042" s="214" t="str">
        <f>HYPERLINK(AA2 &amp; "/hammer/sn_c2258b62483062866b0f9e3b3feb2454/rendering/16.obj", "9.74918457031")</f>
        <v>9.74918457031</v>
      </c>
      <c r="T1042" s="27" t="str">
        <f>HYPERLINK(AA2 &amp; "/hammer/sn_c2258b62483062866b0f9e3b3feb2454/rendering/17.obj", "6.45904785156")</f>
        <v>6.45904785156</v>
      </c>
      <c r="U1042" s="166" t="str">
        <f>HYPERLINK(AA2 &amp; "/hammer/sn_c2258b62483062866b0f9e3b3feb2454/rendering/18.obj", "4.29431274414")</f>
        <v>4.29431274414</v>
      </c>
      <c r="V1042" s="40" t="str">
        <f>HYPERLINK(AA2 &amp; "/hammer/sn_c2258b62483062866b0f9e3b3feb2454/rendering/19.obj", "5.00731872559")</f>
        <v>5.00731872559</v>
      </c>
      <c r="W1042" s="12" t="s">
        <v>29</v>
      </c>
      <c r="X1042" s="13">
        <v>6.0304808807373043</v>
      </c>
      <c r="Y1042" s="13">
        <v>2.7488269891055199</v>
      </c>
      <c r="Z1042" s="230">
        <v>0.45582218789315532</v>
      </c>
    </row>
    <row r="1043" spans="1:26" x14ac:dyDescent="0.2">
      <c r="A1043" s="1">
        <v>1041</v>
      </c>
      <c r="B1043" s="2" t="s">
        <v>241</v>
      </c>
      <c r="C1043" s="114" t="str">
        <f>HYPERLINK(AA2 &amp; "/hammer/sn_c2258b62483062866b0f9e3b3feb2454/rendering/00.obj", "3.78268384933")</f>
        <v>3.78268384933</v>
      </c>
      <c r="D1043" s="156" t="str">
        <f>HYPERLINK(AA2 &amp; "/hammer/sn_c2258b62483062866b0f9e3b3feb2454/rendering/01.obj", "3.8727684021")</f>
        <v>3.8727684021</v>
      </c>
      <c r="E1043" s="20" t="str">
        <f>HYPERLINK(AA2 &amp; "/hammer/sn_c2258b62483062866b0f9e3b3feb2454/rendering/02.obj", "32.621181488")</f>
        <v>32.621181488</v>
      </c>
      <c r="F1043" s="20" t="str">
        <f>HYPERLINK(AA2 &amp; "/hammer/sn_c2258b62483062866b0f9e3b3feb2454/rendering/03.obj", "22.6927528381")</f>
        <v>22.6927528381</v>
      </c>
      <c r="G1043" s="4" t="str">
        <f>HYPERLINK(AA2 &amp; "/hammer/sn_c2258b62483062866b0f9e3b3feb2454/rendering/04.obj", "4.99495887756")</f>
        <v>4.99495887756</v>
      </c>
      <c r="H1043" s="235" t="str">
        <f>HYPERLINK(AA2 &amp; "/hammer/sn_c2258b62483062866b0f9e3b3feb2454/rendering/05.obj", "10.7768936157")</f>
        <v>10.7768936157</v>
      </c>
      <c r="I1043" s="167" t="str">
        <f>HYPERLINK(AA2 &amp; "/hammer/sn_c2258b62483062866b0f9e3b3feb2454/rendering/06.obj", "2.76775836945")</f>
        <v>2.76775836945</v>
      </c>
      <c r="J1043" s="225" t="str">
        <f>HYPERLINK(AA2 &amp; "/hammer/sn_c2258b62483062866b0f9e3b3feb2454/rendering/07.obj", "3.01521754265")</f>
        <v>3.01521754265</v>
      </c>
      <c r="K1043" s="88" t="str">
        <f>HYPERLINK(AA2 &amp; "/hammer/sn_c2258b62483062866b0f9e3b3feb2454/rendering/08.obj", "5.56362009048")</f>
        <v>5.56362009048</v>
      </c>
      <c r="L1043" s="57" t="str">
        <f>HYPERLINK(AA2 &amp; "/hammer/sn_c2258b62483062866b0f9e3b3feb2454/rendering/09.obj", "4.78311491013")</f>
        <v>4.78311491013</v>
      </c>
      <c r="M1043" s="61" t="str">
        <f>HYPERLINK(AA2 &amp; "/hammer/sn_c2258b62483062866b0f9e3b3feb2454/rendering/10.obj", "4.86234235764")</f>
        <v>4.86234235764</v>
      </c>
      <c r="N1043" s="162" t="str">
        <f>HYPERLINK(AA2 &amp; "/hammer/sn_c2258b62483062866b0f9e3b3feb2454/rendering/11.obj", "4.02505254745")</f>
        <v>4.02505254745</v>
      </c>
      <c r="O1043" s="235" t="str">
        <f>HYPERLINK(AA2 &amp; "/hammer/sn_c2258b62483062866b0f9e3b3feb2454/rendering/12.obj", "3.21460938454")</f>
        <v>3.21460938454</v>
      </c>
      <c r="P1043" s="141" t="str">
        <f>HYPERLINK(AA2 &amp; "/hammer/sn_c2258b62483062866b0f9e3b3feb2454/rendering/13.obj", "3.13106751442")</f>
        <v>3.13106751442</v>
      </c>
      <c r="Q1043" s="251" t="str">
        <f>HYPERLINK(AA2 &amp; "/hammer/sn_c2258b62483062866b0f9e3b3feb2454/rendering/14.obj", "2.8847117424")</f>
        <v>2.8847117424</v>
      </c>
      <c r="R1043" s="105" t="str">
        <f>HYPERLINK(AA2 &amp; "/hammer/sn_c2258b62483062866b0f9e3b3feb2454/rendering/15.obj", "3.40716123581")</f>
        <v>3.40716123581</v>
      </c>
      <c r="S1043" s="229" t="str">
        <f>HYPERLINK(AA2 &amp; "/hammer/sn_c2258b62483062866b0f9e3b3feb2454/rendering/16.obj", "11.7585067749")</f>
        <v>11.7585067749</v>
      </c>
      <c r="T1043" s="185" t="str">
        <f>HYPERLINK(AA2 &amp; "/hammer/sn_c2258b62483062866b0f9e3b3feb2454/rendering/17.obj", "4.61276197433")</f>
        <v>4.61276197433</v>
      </c>
      <c r="U1043" s="177" t="str">
        <f>HYPERLINK(AA2 &amp; "/hammer/sn_c2258b62483062866b0f9e3b3feb2454/rendering/18.obj", "3.25882101059")</f>
        <v>3.25882101059</v>
      </c>
      <c r="V1043" s="203" t="str">
        <f>HYPERLINK(AA2 &amp; "/hammer/sn_c2258b62483062866b0f9e3b3feb2454/rendering/19.obj", "3.74149441719")</f>
        <v>3.74149441719</v>
      </c>
      <c r="W1043" s="12" t="s">
        <v>30</v>
      </c>
      <c r="X1043" s="13">
        <v>6.9883739471435549</v>
      </c>
      <c r="Y1043" s="13">
        <v>7.4411257360245964</v>
      </c>
      <c r="Z1043" s="20">
        <v>1.064786428474696</v>
      </c>
    </row>
    <row r="1044" spans="1:26" x14ac:dyDescent="0.2">
      <c r="A1044" s="1">
        <v>1042</v>
      </c>
      <c r="B1044" s="2" t="s">
        <v>241</v>
      </c>
      <c r="C1044" s="5" t="str">
        <f>HYPERLINK(AB2 &amp; "/hammer/sn_c2258b62483062866b0f9e3b3feb2454/rendering/00.obj", "4.4268145752")</f>
        <v>4.4268145752</v>
      </c>
      <c r="D1044" s="32" t="str">
        <f>HYPERLINK(AB2 &amp; "/hammer/sn_c2258b62483062866b0f9e3b3feb2454/rendering/01.obj", "3.67279327393")</f>
        <v>3.67279327393</v>
      </c>
      <c r="E1044" s="8" t="str">
        <f>HYPERLINK(AB2 &amp; "/hammer/sn_c2258b62483062866b0f9e3b3feb2454/rendering/02.obj", "3.51915771484")</f>
        <v>3.51915771484</v>
      </c>
      <c r="F1044" s="68" t="str">
        <f>HYPERLINK(AB2 &amp; "/hammer/sn_c2258b62483062866b0f9e3b3feb2454/rendering/03.obj", "4.28585601807")</f>
        <v>4.28585601807</v>
      </c>
      <c r="G1044" s="72" t="str">
        <f>HYPERLINK(AB2 &amp; "/hammer/sn_c2258b62483062866b0f9e3b3feb2454/rendering/04.obj", "4.24007568359")</f>
        <v>4.24007568359</v>
      </c>
      <c r="H1044" s="8" t="str">
        <f>HYPERLINK(AB2 &amp; "/hammer/sn_c2258b62483062866b0f9e3b3feb2454/rendering/05.obj", "3.51941772461")</f>
        <v>3.51941772461</v>
      </c>
      <c r="I1044" s="6" t="str">
        <f>HYPERLINK(AB2 &amp; "/hammer/sn_c2258b62483062866b0f9e3b3feb2454/rendering/06.obj", "3.92889953613")</f>
        <v>3.92889953613</v>
      </c>
      <c r="J1044" s="28" t="str">
        <f>HYPERLINK(AB2 &amp; "/hammer/sn_c2258b62483062866b0f9e3b3feb2454/rendering/07.obj", "3.65450164795")</f>
        <v>3.65450164795</v>
      </c>
      <c r="K1044" s="39" t="str">
        <f>HYPERLINK(AB2 &amp; "/hammer/sn_c2258b62483062866b0f9e3b3feb2454/rendering/08.obj", "4.46703948975")</f>
        <v>4.46703948975</v>
      </c>
      <c r="L1044" s="92" t="str">
        <f>HYPERLINK(AB2 &amp; "/hammer/sn_c2258b62483062866b0f9e3b3feb2454/rendering/09.obj", "4.6241192627")</f>
        <v>4.6241192627</v>
      </c>
      <c r="M1044" s="34" t="str">
        <f>HYPERLINK(AB2 &amp; "/hammer/sn_c2258b62483062866b0f9e3b3feb2454/rendering/10.obj", "4.31284454346")</f>
        <v>4.31284454346</v>
      </c>
      <c r="N1044" s="64" t="str">
        <f>HYPERLINK(AB2 &amp; "/hammer/sn_c2258b62483062866b0f9e3b3feb2454/rendering/11.obj", "3.43105560303")</f>
        <v>3.43105560303</v>
      </c>
      <c r="O1044" s="89" t="str">
        <f>HYPERLINK(AB2 &amp; "/hammer/sn_c2258b62483062866b0f9e3b3feb2454/rendering/12.obj", "3.04471618652")</f>
        <v>3.04471618652</v>
      </c>
      <c r="P1044" s="129" t="str">
        <f>HYPERLINK(AB2 &amp; "/hammer/sn_c2258b62483062866b0f9e3b3feb2454/rendering/13.obj", "5.1299597168")</f>
        <v>5.1299597168</v>
      </c>
      <c r="Q1044" s="48" t="str">
        <f>HYPERLINK(AB2 &amp; "/hammer/sn_c2258b62483062866b0f9e3b3feb2454/rendering/14.obj", "4.01110412598")</f>
        <v>4.01110412598</v>
      </c>
      <c r="R1044" s="11" t="str">
        <f>HYPERLINK(AB2 &amp; "/hammer/sn_c2258b62483062866b0f9e3b3feb2454/rendering/15.obj", "5.02675720215")</f>
        <v>5.02675720215</v>
      </c>
      <c r="S1044" s="41" t="str">
        <f>HYPERLINK(AB2 &amp; "/hammer/sn_c2258b62483062866b0f9e3b3feb2454/rendering/16.obj", "4.38233032227")</f>
        <v>4.38233032227</v>
      </c>
      <c r="T1044" s="66" t="str">
        <f>HYPERLINK(AB2 &amp; "/hammer/sn_c2258b62483062866b0f9e3b3feb2454/rendering/17.obj", "3.44942718506")</f>
        <v>3.44942718506</v>
      </c>
      <c r="U1044" s="90" t="str">
        <f>HYPERLINK(AB2 &amp; "/hammer/sn_c2258b62483062866b0f9e3b3feb2454/rendering/18.obj", "4.50174682617")</f>
        <v>4.50174682617</v>
      </c>
      <c r="V1044" s="28" t="str">
        <f>HYPERLINK(AB2 &amp; "/hammer/sn_c2258b62483062866b0f9e3b3feb2454/rendering/19.obj", "4.56248779297")</f>
        <v>4.56248779297</v>
      </c>
      <c r="W1044" s="12" t="s">
        <v>31</v>
      </c>
      <c r="X1044" s="13">
        <v>4.1095552215576188</v>
      </c>
      <c r="Y1044" s="13">
        <v>0.55070546806561282</v>
      </c>
      <c r="Z1044" s="65">
        <v>0.13400610002190999</v>
      </c>
    </row>
    <row r="1045" spans="1:26" x14ac:dyDescent="0.2">
      <c r="A1045" s="1">
        <v>1043</v>
      </c>
      <c r="B1045" s="2" t="s">
        <v>241</v>
      </c>
      <c r="C1045" s="47" t="str">
        <f>HYPERLINK(AB2 &amp; "/hammer/sn_c2258b62483062866b0f9e3b3feb2454/rendering/00.obj", "2.83668637276")</f>
        <v>2.83668637276</v>
      </c>
      <c r="D1045" s="27" t="str">
        <f>HYPERLINK(AB2 &amp; "/hammer/sn_c2258b62483062866b0f9e3b3feb2454/rendering/01.obj", "2.61290788651")</f>
        <v>2.61290788651</v>
      </c>
      <c r="E1045" s="79" t="str">
        <f>HYPERLINK(AB2 &amp; "/hammer/sn_c2258b62483062866b0f9e3b3feb2454/rendering/02.obj", "3.26033091545")</f>
        <v>3.26033091545</v>
      </c>
      <c r="F1045" s="47" t="str">
        <f>HYPERLINK(AB2 &amp; "/hammer/sn_c2258b62483062866b0f9e3b3feb2454/rendering/03.obj", "2.79024863243")</f>
        <v>2.79024863243</v>
      </c>
      <c r="G1045" s="73" t="str">
        <f>HYPERLINK(AB2 &amp; "/hammer/sn_c2258b62483062866b0f9e3b3feb2454/rendering/04.obj", "2.92091751099")</f>
        <v>2.92091751099</v>
      </c>
      <c r="H1045" s="47" t="str">
        <f>HYPERLINK(AB2 &amp; "/hammer/sn_c2258b62483062866b0f9e3b3feb2454/rendering/05.obj", "2.79114055634")</f>
        <v>2.79114055634</v>
      </c>
      <c r="I1045" s="110" t="str">
        <f>HYPERLINK(AB2 &amp; "/hammer/sn_c2258b62483062866b0f9e3b3feb2454/rendering/06.obj", "2.53338837624")</f>
        <v>2.53338837624</v>
      </c>
      <c r="J1045" s="69" t="str">
        <f>HYPERLINK(AB2 &amp; "/hammer/sn_c2258b62483062866b0f9e3b3feb2454/rendering/07.obj", "2.72969985008")</f>
        <v>2.72969985008</v>
      </c>
      <c r="K1045" s="134" t="str">
        <f>HYPERLINK(AB2 &amp; "/hammer/sn_c2258b62483062866b0f9e3b3feb2454/rendering/08.obj", "3.3219640255")</f>
        <v>3.3219640255</v>
      </c>
      <c r="L1045" s="60" t="str">
        <f>HYPERLINK(AB2 &amp; "/hammer/sn_c2258b62483062866b0f9e3b3feb2454/rendering/09.obj", "2.95815587044")</f>
        <v>2.95815587044</v>
      </c>
      <c r="M1045" s="25" t="str">
        <f>HYPERLINK(AB2 &amp; "/hammer/sn_c2258b62483062866b0f9e3b3feb2454/rendering/10.obj", "2.84475183487")</f>
        <v>2.84475183487</v>
      </c>
      <c r="N1045" s="13" t="str">
        <f>HYPERLINK(AB2 &amp; "/hammer/sn_c2258b62483062866b0f9e3b3feb2454/rendering/11.obj", "2.81443238258")</f>
        <v>2.81443238258</v>
      </c>
      <c r="O1045" s="69" t="str">
        <f>HYPERLINK(AB2 &amp; "/hammer/sn_c2258b62483062866b0f9e3b3feb2454/rendering/12.obj", "2.72733068466")</f>
        <v>2.72733068466</v>
      </c>
      <c r="P1045" s="69" t="str">
        <f>HYPERLINK(AB2 &amp; "/hammer/sn_c2258b62483062866b0f9e3b3feb2454/rendering/13.obj", "2.89838862419")</f>
        <v>2.89838862419</v>
      </c>
      <c r="Q1045" s="26" t="str">
        <f>HYPERLINK(AB2 &amp; "/hammer/sn_c2258b62483062866b0f9e3b3feb2454/rendering/14.obj", "2.99985313416")</f>
        <v>2.99985313416</v>
      </c>
      <c r="R1045" s="78" t="str">
        <f>HYPERLINK(AB2 &amp; "/hammer/sn_c2258b62483062866b0f9e3b3feb2454/rendering/15.obj", "2.64028596878")</f>
        <v>2.64028596878</v>
      </c>
      <c r="S1045" s="107" t="str">
        <f>HYPERLINK(AB2 &amp; "/hammer/sn_c2258b62483062866b0f9e3b3feb2454/rendering/16.obj", "2.58092355728")</f>
        <v>2.58092355728</v>
      </c>
      <c r="T1045" s="6" t="str">
        <f>HYPERLINK(AB2 &amp; "/hammer/sn_c2258b62483062866b0f9e3b3feb2454/rendering/17.obj", "2.69126534462")</f>
        <v>2.69126534462</v>
      </c>
      <c r="U1045" s="34" t="str">
        <f>HYPERLINK(AB2 &amp; "/hammer/sn_c2258b62483062866b0f9e3b3feb2454/rendering/18.obj", "2.6773276329")</f>
        <v>2.6773276329</v>
      </c>
      <c r="V1045" s="34" t="str">
        <f>HYPERLINK(AB2 &amp; "/hammer/sn_c2258b62483062866b0f9e3b3feb2454/rendering/19.obj", "2.68039941788")</f>
        <v>2.68039941788</v>
      </c>
      <c r="W1045" s="12" t="s">
        <v>32</v>
      </c>
      <c r="X1045" s="13">
        <v>2.8155199289321899</v>
      </c>
      <c r="Y1045" s="13">
        <v>0.20043793209426719</v>
      </c>
      <c r="Z1045" s="27">
        <v>7.1190379451615188E-2</v>
      </c>
    </row>
    <row r="1046" spans="1:26" x14ac:dyDescent="0.2">
      <c r="A1046" s="1">
        <v>1044</v>
      </c>
      <c r="B1046" s="2" t="s">
        <v>241</v>
      </c>
      <c r="C1046" s="13" t="str">
        <f>HYPERLINK(AC2 &amp; "/hammer/sn_c2258b62483062866b0f9e3b3feb2454/rendering/00.xyz", "0.0")</f>
        <v>0.0</v>
      </c>
      <c r="D1046" s="13" t="str">
        <f>HYPERLINK(AC2 &amp; "/hammer/sn_c2258b62483062866b0f9e3b3feb2454/rendering/01.xyz", "0.0")</f>
        <v>0.0</v>
      </c>
      <c r="E1046" s="13" t="str">
        <f>HYPERLINK(AC2 &amp; "/hammer/sn_c2258b62483062866b0f9e3b3feb2454/rendering/02.xyz", "0.0")</f>
        <v>0.0</v>
      </c>
      <c r="F1046" s="13" t="str">
        <f>HYPERLINK(AC2 &amp; "/hammer/sn_c2258b62483062866b0f9e3b3feb2454/rendering/03.xyz", "0.0")</f>
        <v>0.0</v>
      </c>
      <c r="G1046" s="13" t="str">
        <f>HYPERLINK(AC2 &amp; "/hammer/sn_c2258b62483062866b0f9e3b3feb2454/rendering/04.xyz", "0.0")</f>
        <v>0.0</v>
      </c>
      <c r="H1046" s="13" t="str">
        <f>HYPERLINK(AC2 &amp; "/hammer/sn_c2258b62483062866b0f9e3b3feb2454/rendering/05.xyz", "0.0")</f>
        <v>0.0</v>
      </c>
      <c r="I1046" s="13" t="str">
        <f>HYPERLINK(AC2 &amp; "/hammer/sn_c2258b62483062866b0f9e3b3feb2454/rendering/06.xyz", "0.0")</f>
        <v>0.0</v>
      </c>
      <c r="J1046" s="13" t="str">
        <f>HYPERLINK(AC2 &amp; "/hammer/sn_c2258b62483062866b0f9e3b3feb2454/rendering/07.xyz", "0.0")</f>
        <v>0.0</v>
      </c>
      <c r="K1046" s="13" t="str">
        <f>HYPERLINK(AC2 &amp; "/hammer/sn_c2258b62483062866b0f9e3b3feb2454/rendering/08.xyz", "0.0")</f>
        <v>0.0</v>
      </c>
      <c r="L1046" s="13" t="str">
        <f>HYPERLINK(AC2 &amp; "/hammer/sn_c2258b62483062866b0f9e3b3feb2454/rendering/09.xyz", "0.0")</f>
        <v>0.0</v>
      </c>
      <c r="M1046" s="13" t="str">
        <f>HYPERLINK(AC2 &amp; "/hammer/sn_c2258b62483062866b0f9e3b3feb2454/rendering/10.xyz", "0.0")</f>
        <v>0.0</v>
      </c>
      <c r="N1046" s="13" t="str">
        <f>HYPERLINK(AC2 &amp; "/hammer/sn_c2258b62483062866b0f9e3b3feb2454/rendering/11.xyz", "0.0")</f>
        <v>0.0</v>
      </c>
      <c r="O1046" s="13" t="str">
        <f>HYPERLINK(AC2 &amp; "/hammer/sn_c2258b62483062866b0f9e3b3feb2454/rendering/12.xyz", "0.0")</f>
        <v>0.0</v>
      </c>
      <c r="P1046" s="13" t="str">
        <f>HYPERLINK(AC2 &amp; "/hammer/sn_c2258b62483062866b0f9e3b3feb2454/rendering/13.xyz", "0.0")</f>
        <v>0.0</v>
      </c>
      <c r="Q1046" s="13" t="str">
        <f>HYPERLINK(AC2 &amp; "/hammer/sn_c2258b62483062866b0f9e3b3feb2454/rendering/14.xyz", "0.0")</f>
        <v>0.0</v>
      </c>
      <c r="R1046" s="13" t="str">
        <f>HYPERLINK(AC2 &amp; "/hammer/sn_c2258b62483062866b0f9e3b3feb2454/rendering/15.xyz", "0.0")</f>
        <v>0.0</v>
      </c>
      <c r="S1046" s="13" t="str">
        <f>HYPERLINK(AC2 &amp; "/hammer/sn_c2258b62483062866b0f9e3b3feb2454/rendering/16.xyz", "0.0")</f>
        <v>0.0</v>
      </c>
      <c r="T1046" s="13" t="str">
        <f>HYPERLINK(AC2 &amp; "/hammer/sn_c2258b62483062866b0f9e3b3feb2454/rendering/17.xyz", "0.0")</f>
        <v>0.0</v>
      </c>
      <c r="U1046" s="13" t="str">
        <f>HYPERLINK(AC2 &amp; "/hammer/sn_c2258b62483062866b0f9e3b3feb2454/rendering/18.xyz", "0.0")</f>
        <v>0.0</v>
      </c>
      <c r="V1046" s="13" t="str">
        <f>HYPERLINK(AC2 &amp; "/hammer/sn_c2258b62483062866b0f9e3b3feb2454/rendering/19.xyz", "0.0")</f>
        <v>0.0</v>
      </c>
      <c r="W1046" s="12" t="s">
        <v>33</v>
      </c>
      <c r="X1046" s="13">
        <v>0</v>
      </c>
      <c r="Y1046" s="13">
        <v>0</v>
      </c>
      <c r="Z1046" s="13">
        <v>0</v>
      </c>
    </row>
    <row r="1047" spans="1:26" x14ac:dyDescent="0.2">
      <c r="A1047" s="1">
        <v>1045</v>
      </c>
      <c r="B1047" s="2" t="s">
        <v>242</v>
      </c>
      <c r="C1047" s="66" t="str">
        <f>HYPERLINK(AA2 &amp; "/hammer/sn_c2adaca1dc30d0029a3a2d0a6cdaf9bb/rendering/00.obj", "9.60666748047")</f>
        <v>9.60666748047</v>
      </c>
      <c r="D1047" s="44" t="str">
        <f>HYPERLINK(AA2 &amp; "/hammer/sn_c2adaca1dc30d0029a3a2d0a6cdaf9bb/rendering/01.obj", "6.65391357422")</f>
        <v>6.65391357422</v>
      </c>
      <c r="E1047" s="221" t="str">
        <f>HYPERLINK(AA2 &amp; "/hammer/sn_c2adaca1dc30d0029a3a2d0a6cdaf9bb/rendering/02.obj", "12.8675964355")</f>
        <v>12.8675964355</v>
      </c>
      <c r="F1047" s="36" t="str">
        <f>HYPERLINK(AA2 &amp; "/hammer/sn_c2adaca1dc30d0029a3a2d0a6cdaf9bb/rendering/03.obj", "6.49139953613")</f>
        <v>6.49139953613</v>
      </c>
      <c r="G1047" s="113" t="str">
        <f>HYPERLINK(AA2 &amp; "/hammer/sn_c2adaca1dc30d0029a3a2d0a6cdaf9bb/rendering/04.obj", "6.00157653809")</f>
        <v>6.00157653809</v>
      </c>
      <c r="H1047" s="11" t="str">
        <f>HYPERLINK(AA2 &amp; "/hammer/sn_c2adaca1dc30d0029a3a2d0a6cdaf9bb/rendering/05.obj", "10.1158544922")</f>
        <v>10.1158544922</v>
      </c>
      <c r="I1047" s="87" t="str">
        <f>HYPERLINK(AA2 &amp; "/hammer/sn_c2adaca1dc30d0029a3a2d0a6cdaf9bb/rendering/06.obj", "6.38631103516")</f>
        <v>6.38631103516</v>
      </c>
      <c r="J1047" s="93" t="str">
        <f>HYPERLINK(AA2 &amp; "/hammer/sn_c2adaca1dc30d0029a3a2d0a6cdaf9bb/rendering/07.obj", "7.1075970459")</f>
        <v>7.1075970459</v>
      </c>
      <c r="K1047" s="91" t="str">
        <f>HYPERLINK(AA2 &amp; "/hammer/sn_c2adaca1dc30d0029a3a2d0a6cdaf9bb/rendering/08.obj", "8.05260620117")</f>
        <v>8.05260620117</v>
      </c>
      <c r="L1047" s="111" t="str">
        <f>HYPERLINK(AA2 &amp; "/hammer/sn_c2adaca1dc30d0029a3a2d0a6cdaf9bb/rendering/09.obj", "11.7557885742")</f>
        <v>11.7557885742</v>
      </c>
      <c r="M1047" s="48" t="str">
        <f>HYPERLINK(AA2 &amp; "/hammer/sn_c2adaca1dc30d0029a3a2d0a6cdaf9bb/rendering/10.obj", "8.0739263916")</f>
        <v>8.0739263916</v>
      </c>
      <c r="N1047" s="140" t="str">
        <f>HYPERLINK(AA2 &amp; "/hammer/sn_c2adaca1dc30d0029a3a2d0a6cdaf9bb/rendering/11.obj", "11.1419226074")</f>
        <v>11.1419226074</v>
      </c>
      <c r="O1047" s="13" t="str">
        <f>HYPERLINK(AA2 &amp; "/hammer/sn_c2adaca1dc30d0029a3a2d0a6cdaf9bb/rendering/12.obj", "8.24815734863")</f>
        <v>8.24815734863</v>
      </c>
      <c r="P1047" s="70" t="str">
        <f>HYPERLINK(AA2 &amp; "/hammer/sn_c2adaca1dc30d0029a3a2d0a6cdaf9bb/rendering/13.obj", "7.21049499512")</f>
        <v>7.21049499512</v>
      </c>
      <c r="Q1047" s="82" t="str">
        <f>HYPERLINK(AA2 &amp; "/hammer/sn_c2adaca1dc30d0029a3a2d0a6cdaf9bb/rendering/14.obj", "6.5658215332")</f>
        <v>6.5658215332</v>
      </c>
      <c r="R1047" s="100" t="str">
        <f>HYPERLINK(AA2 &amp; "/hammer/sn_c2adaca1dc30d0029a3a2d0a6cdaf9bb/rendering/15.obj", "10.7408398438")</f>
        <v>10.7408398438</v>
      </c>
      <c r="S1047" s="108" t="str">
        <f>HYPERLINK(AA2 &amp; "/hammer/sn_c2adaca1dc30d0029a3a2d0a6cdaf9bb/rendering/16.obj", "6.2171081543")</f>
        <v>6.2171081543</v>
      </c>
      <c r="T1047" s="94" t="str">
        <f>HYPERLINK(AA2 &amp; "/hammer/sn_c2adaca1dc30d0029a3a2d0a6cdaf9bb/rendering/17.obj", "8.8805456543")</f>
        <v>8.8805456543</v>
      </c>
      <c r="U1047" s="49" t="str">
        <f>HYPERLINK(AA2 &amp; "/hammer/sn_c2adaca1dc30d0029a3a2d0a6cdaf9bb/rendering/18.obj", "6.54996704102")</f>
        <v>6.54996704102</v>
      </c>
      <c r="V1047" s="50" t="str">
        <f>HYPERLINK(AA2 &amp; "/hammer/sn_c2adaca1dc30d0029a3a2d0a6cdaf9bb/rendering/19.obj", "6.61589172363")</f>
        <v>6.61589172363</v>
      </c>
      <c r="W1047" s="12" t="s">
        <v>29</v>
      </c>
      <c r="X1047" s="13">
        <v>8.264199310302736</v>
      </c>
      <c r="Y1047" s="13">
        <v>2.0377663025956179</v>
      </c>
      <c r="Z1047" s="108">
        <v>0.2465775843589825</v>
      </c>
    </row>
    <row r="1048" spans="1:26" x14ac:dyDescent="0.2">
      <c r="A1048" s="1">
        <v>1046</v>
      </c>
      <c r="B1048" s="2" t="s">
        <v>242</v>
      </c>
      <c r="C1048" s="131" t="str">
        <f>HYPERLINK(AA2 &amp; "/hammer/sn_c2adaca1dc30d0029a3a2d0a6cdaf9bb/rendering/00.obj", "15.9327917099")</f>
        <v>15.9327917099</v>
      </c>
      <c r="D1048" s="126" t="str">
        <f>HYPERLINK(AA2 &amp; "/hammer/sn_c2adaca1dc30d0029a3a2d0a6cdaf9bb/rendering/01.obj", "5.43199205399")</f>
        <v>5.43199205399</v>
      </c>
      <c r="E1048" s="20" t="str">
        <f>HYPERLINK(AA2 &amp; "/hammer/sn_c2adaca1dc30d0029a3a2d0a6cdaf9bb/rendering/02.obj", "23.8428688049")</f>
        <v>23.8428688049</v>
      </c>
      <c r="F1048" s="221" t="str">
        <f>HYPERLINK(AA2 &amp; "/hammer/sn_c2adaca1dc30d0029a3a2d0a6cdaf9bb/rendering/03.obj", "4.83900260925")</f>
        <v>4.83900260925</v>
      </c>
      <c r="G1048" s="249" t="str">
        <f>HYPERLINK(AA2 &amp; "/hammer/sn_c2adaca1dc30d0029a3a2d0a6cdaf9bb/rendering/04.obj", "4.65071630478")</f>
        <v>4.65071630478</v>
      </c>
      <c r="H1048" s="27" t="str">
        <f>HYPERLINK(AA2 &amp; "/hammer/sn_c2adaca1dc30d0029a3a2d0a6cdaf9bb/rendering/05.obj", "11.6558914185")</f>
        <v>11.6558914185</v>
      </c>
      <c r="I1048" s="64" t="str">
        <f>HYPERLINK(AA2 &amp; "/hammer/sn_c2adaca1dc30d0029a3a2d0a6cdaf9bb/rendering/06.obj", "9.09418010712")</f>
        <v>9.09418010712</v>
      </c>
      <c r="J1048" s="22" t="str">
        <f>HYPERLINK(AA2 &amp; "/hammer/sn_c2adaca1dc30d0029a3a2d0a6cdaf9bb/rendering/07.obj", "5.21407985687")</f>
        <v>5.21407985687</v>
      </c>
      <c r="K1048" s="108" t="str">
        <f>HYPERLINK(AA2 &amp; "/hammer/sn_c2adaca1dc30d0029a3a2d0a6cdaf9bb/rendering/08.obj", "8.23129081726")</f>
        <v>8.23129081726</v>
      </c>
      <c r="L1048" s="146" t="str">
        <f>HYPERLINK(AA2 &amp; "/hammer/sn_c2adaca1dc30d0029a3a2d0a6cdaf9bb/rendering/09.obj", "19.3574676514")</f>
        <v>19.3574676514</v>
      </c>
      <c r="M1048" s="33" t="str">
        <f>HYPERLINK(AA2 &amp; "/hammer/sn_c2adaca1dc30d0029a3a2d0a6cdaf9bb/rendering/10.obj", "12.0886249542")</f>
        <v>12.0886249542</v>
      </c>
      <c r="N1048" s="20" t="str">
        <f>HYPERLINK(AA2 &amp; "/hammer/sn_c2adaca1dc30d0029a3a2d0a6cdaf9bb/rendering/11.obj", "23.8575134277")</f>
        <v>23.8575134277</v>
      </c>
      <c r="O1048" s="108" t="str">
        <f>HYPERLINK(AA2 &amp; "/hammer/sn_c2adaca1dc30d0029a3a2d0a6cdaf9bb/rendering/12.obj", "8.22868156433")</f>
        <v>8.22868156433</v>
      </c>
      <c r="P1048" s="92" t="str">
        <f>HYPERLINK(AA2 &amp; "/hammer/sn_c2adaca1dc30d0029a3a2d0a6cdaf9bb/rendering/13.obj", "9.53600502014")</f>
        <v>9.53600502014</v>
      </c>
      <c r="Q1048" s="105" t="str">
        <f>HYPERLINK(AA2 &amp; "/hammer/sn_c2adaca1dc30d0029a3a2d0a6cdaf9bb/rendering/14.obj", "5.31624317169")</f>
        <v>5.31624317169</v>
      </c>
      <c r="R1048" s="154" t="str">
        <f>HYPERLINK(AA2 &amp; "/hammer/sn_c2adaca1dc30d0029a3a2d0a6cdaf9bb/rendering/15.obj", "19.0361213684")</f>
        <v>19.0361213684</v>
      </c>
      <c r="S1048" s="150" t="str">
        <f>HYPERLINK(AA2 &amp; "/hammer/sn_c2adaca1dc30d0029a3a2d0a6cdaf9bb/rendering/16.obj", "5.03908729553")</f>
        <v>5.03908729553</v>
      </c>
      <c r="T1048" s="89" t="str">
        <f>HYPERLINK(AA2 &amp; "/hammer/sn_c2adaca1dc30d0029a3a2d0a6cdaf9bb/rendering/17.obj", "13.7264738083")</f>
        <v>13.7264738083</v>
      </c>
      <c r="U1048" s="89" t="str">
        <f>HYPERLINK(AA2 &amp; "/hammer/sn_c2adaca1dc30d0029a3a2d0a6cdaf9bb/rendering/18.obj", "8.08107280731")</f>
        <v>8.08107280731</v>
      </c>
      <c r="V1048" s="21" t="str">
        <f>HYPERLINK(AA2 &amp; "/hammer/sn_c2adaca1dc30d0029a3a2d0a6cdaf9bb/rendering/19.obj", "4.86931848526")</f>
        <v>4.86931848526</v>
      </c>
      <c r="W1048" s="12" t="s">
        <v>30</v>
      </c>
      <c r="X1048" s="13">
        <v>10.90147116184235</v>
      </c>
      <c r="Y1048" s="13">
        <v>6.2276958145175039</v>
      </c>
      <c r="Z1048" s="249">
        <v>0.57127113598354229</v>
      </c>
    </row>
    <row r="1049" spans="1:26" x14ac:dyDescent="0.2">
      <c r="A1049" s="1">
        <v>1047</v>
      </c>
      <c r="B1049" s="2" t="s">
        <v>242</v>
      </c>
      <c r="C1049" s="39" t="str">
        <f>HYPERLINK(AB2 &amp; "/hammer/sn_c2adaca1dc30d0029a3a2d0a6cdaf9bb/rendering/00.obj", "5.59232299805")</f>
        <v>5.59232299805</v>
      </c>
      <c r="D1049" s="30" t="str">
        <f>HYPERLINK(AB2 &amp; "/hammer/sn_c2adaca1dc30d0029a3a2d0a6cdaf9bb/rendering/01.obj", "6.08701477051")</f>
        <v>6.08701477051</v>
      </c>
      <c r="E1049" s="84" t="str">
        <f>HYPERLINK(AB2 &amp; "/hammer/sn_c2adaca1dc30d0029a3a2d0a6cdaf9bb/rendering/02.obj", "7.01153015137")</f>
        <v>7.01153015137</v>
      </c>
      <c r="F1049" s="13" t="str">
        <f>HYPERLINK(AB2 &amp; "/hammer/sn_c2adaca1dc30d0029a3a2d0a6cdaf9bb/rendering/03.obj", "6.13226196289")</f>
        <v>6.13226196289</v>
      </c>
      <c r="G1049" s="94" t="str">
        <f>HYPERLINK(AB2 &amp; "/hammer/sn_c2adaca1dc30d0029a3a2d0a6cdaf9bb/rendering/04.obj", "6.58172485352")</f>
        <v>6.58172485352</v>
      </c>
      <c r="H1049" s="17" t="str">
        <f>HYPERLINK(AB2 &amp; "/hammer/sn_c2adaca1dc30d0029a3a2d0a6cdaf9bb/rendering/05.obj", "6.25243408203")</f>
        <v>6.25243408203</v>
      </c>
      <c r="I1049" s="38" t="str">
        <f>HYPERLINK(AB2 &amp; "/hammer/sn_c2adaca1dc30d0029a3a2d0a6cdaf9bb/rendering/06.obj", "6.67029602051")</f>
        <v>6.67029602051</v>
      </c>
      <c r="J1049" s="6" t="str">
        <f>HYPERLINK(AB2 &amp; "/hammer/sn_c2adaca1dc30d0029a3a2d0a6cdaf9bb/rendering/07.obj", "6.40983703613")</f>
        <v>6.40983703613</v>
      </c>
      <c r="K1049" s="27" t="str">
        <f>HYPERLINK(AB2 &amp; "/hammer/sn_c2adaca1dc30d0029a3a2d0a6cdaf9bb/rendering/08.obj", "6.54638061523")</f>
        <v>6.54638061523</v>
      </c>
      <c r="L1049" s="30" t="str">
        <f>HYPERLINK(AB2 &amp; "/hammer/sn_c2adaca1dc30d0029a3a2d0a6cdaf9bb/rendering/09.obj", "6.14372314453")</f>
        <v>6.14372314453</v>
      </c>
      <c r="M1049" s="60" t="str">
        <f>HYPERLINK(AB2 &amp; "/hammer/sn_c2adaca1dc30d0029a3a2d0a6cdaf9bb/rendering/10.obj", "5.81512268066")</f>
        <v>5.81512268066</v>
      </c>
      <c r="N1049" s="67" t="str">
        <f>HYPERLINK(AB2 &amp; "/hammer/sn_c2adaca1dc30d0029a3a2d0a6cdaf9bb/rendering/11.obj", "5.56569946289")</f>
        <v>5.56569946289</v>
      </c>
      <c r="O1049" s="68" t="str">
        <f>HYPERLINK(AB2 &amp; "/hammer/sn_c2adaca1dc30d0029a3a2d0a6cdaf9bb/rendering/12.obj", "5.86022949219")</f>
        <v>5.86022949219</v>
      </c>
      <c r="P1049" s="29" t="str">
        <f>HYPERLINK(AB2 &amp; "/hammer/sn_c2adaca1dc30d0029a3a2d0a6cdaf9bb/rendering/13.obj", "6.92378601074")</f>
        <v>6.92378601074</v>
      </c>
      <c r="Q1049" s="34" t="str">
        <f>HYPERLINK(AB2 &amp; "/hammer/sn_c2adaca1dc30d0029a3a2d0a6cdaf9bb/rendering/14.obj", "5.82950134277")</f>
        <v>5.82950134277</v>
      </c>
      <c r="R1049" s="30" t="str">
        <f>HYPERLINK(AB2 &amp; "/hammer/sn_c2adaca1dc30d0029a3a2d0a6cdaf9bb/rendering/15.obj", "6.0901739502")</f>
        <v>6.0901739502</v>
      </c>
      <c r="S1049" s="39" t="str">
        <f>HYPERLINK(AB2 &amp; "/hammer/sn_c2adaca1dc30d0029a3a2d0a6cdaf9bb/rendering/16.obj", "6.65124206543")</f>
        <v>6.65124206543</v>
      </c>
      <c r="T1049" s="80" t="str">
        <f>HYPERLINK(AB2 &amp; "/hammer/sn_c2adaca1dc30d0029a3a2d0a6cdaf9bb/rendering/17.obj", "5.21661987305")</f>
        <v>5.21661987305</v>
      </c>
      <c r="U1049" s="82" t="str">
        <f>HYPERLINK(AB2 &amp; "/hammer/sn_c2adaca1dc30d0029a3a2d0a6cdaf9bb/rendering/18.obj", "4.86698364258")</f>
        <v>4.86698364258</v>
      </c>
      <c r="V1049" s="74" t="str">
        <f>HYPERLINK(AB2 &amp; "/hammer/sn_c2adaca1dc30d0029a3a2d0a6cdaf9bb/rendering/19.obj", "6.21337890625")</f>
        <v>6.21337890625</v>
      </c>
      <c r="W1049" s="12" t="s">
        <v>31</v>
      </c>
      <c r="X1049" s="13">
        <v>6.1230131530761724</v>
      </c>
      <c r="Y1049" s="13">
        <v>0.53620720264467991</v>
      </c>
      <c r="Z1049" s="39">
        <v>8.7572440110681785E-2</v>
      </c>
    </row>
    <row r="1050" spans="1:26" x14ac:dyDescent="0.2">
      <c r="A1050" s="1">
        <v>1048</v>
      </c>
      <c r="B1050" s="2" t="s">
        <v>242</v>
      </c>
      <c r="C1050" s="73" t="str">
        <f>HYPERLINK(AB2 &amp; "/hammer/sn_c2adaca1dc30d0029a3a2d0a6cdaf9bb/rendering/00.obj", "4.33776283264")</f>
        <v>4.33776283264</v>
      </c>
      <c r="D1050" s="64" t="str">
        <f>HYPERLINK(AB2 &amp; "/hammer/sn_c2adaca1dc30d0029a3a2d0a6cdaf9bb/rendering/01.obj", "3.76226735115")</f>
        <v>3.76226735115</v>
      </c>
      <c r="E1050" s="169" t="str">
        <f>HYPERLINK(AB2 &amp; "/hammer/sn_c2adaca1dc30d0029a3a2d0a6cdaf9bb/rendering/02.obj", "5.90565538406")</f>
        <v>5.90565538406</v>
      </c>
      <c r="F1050" s="89" t="str">
        <f>HYPERLINK(AB2 &amp; "/hammer/sn_c2adaca1dc30d0029a3a2d0a6cdaf9bb/rendering/03.obj", "3.33191227913")</f>
        <v>3.33191227913</v>
      </c>
      <c r="G1050" s="91" t="str">
        <f>HYPERLINK(AB2 &amp; "/hammer/sn_c2adaca1dc30d0029a3a2d0a6cdaf9bb/rendering/04.obj", "4.6226143837")</f>
        <v>4.6226143837</v>
      </c>
      <c r="H1050" s="46" t="str">
        <f>HYPERLINK(AB2 &amp; "/hammer/sn_c2adaca1dc30d0029a3a2d0a6cdaf9bb/rendering/05.obj", "4.5732383728")</f>
        <v>4.5732383728</v>
      </c>
      <c r="I1050" s="64" t="str">
        <f>HYPERLINK(AB2 &amp; "/hammer/sn_c2adaca1dc30d0029a3a2d0a6cdaf9bb/rendering/06.obj", "5.24412727356")</f>
        <v>5.24412727356</v>
      </c>
      <c r="J1050" s="6" t="str">
        <f>HYPERLINK(AB2 &amp; "/hammer/sn_c2adaca1dc30d0029a3a2d0a6cdaf9bb/rendering/07.obj", "4.28794002533")</f>
        <v>4.28794002533</v>
      </c>
      <c r="K1050" s="71" t="str">
        <f>HYPERLINK(AB2 &amp; "/hammer/sn_c2adaca1dc30d0029a3a2d0a6cdaf9bb/rendering/08.obj", "3.96133852005")</f>
        <v>3.96133852005</v>
      </c>
      <c r="L1050" s="17" t="str">
        <f>HYPERLINK(AB2 &amp; "/hammer/sn_c2adaca1dc30d0029a3a2d0a6cdaf9bb/rendering/09.obj", "4.59486675262")</f>
        <v>4.59486675262</v>
      </c>
      <c r="M1050" s="24" t="str">
        <f>HYPERLINK(AB2 &amp; "/hammer/sn_c2adaca1dc30d0029a3a2d0a6cdaf9bb/rendering/10.obj", "3.73775315285")</f>
        <v>3.73775315285</v>
      </c>
      <c r="N1050" s="6" t="str">
        <f>HYPERLINK(AB2 &amp; "/hammer/sn_c2adaca1dc30d0029a3a2d0a6cdaf9bb/rendering/11.obj", "4.29227352142")</f>
        <v>4.29227352142</v>
      </c>
      <c r="O1050" s="67" t="str">
        <f>HYPERLINK(AB2 &amp; "/hammer/sn_c2adaca1dc30d0029a3a2d0a6cdaf9bb/rendering/12.obj", "4.08561468124")</f>
        <v>4.08561468124</v>
      </c>
      <c r="P1050" s="235" t="str">
        <f>HYPERLINK(AB2 &amp; "/hammer/sn_c2adaca1dc30d0029a3a2d0a6cdaf9bb/rendering/13.obj", "6.93118095398")</f>
        <v>6.93118095398</v>
      </c>
      <c r="Q1050" s="38" t="str">
        <f>HYPERLINK(AB2 &amp; "/hammer/sn_c2adaca1dc30d0029a3a2d0a6cdaf9bb/rendering/14.obj", "4.09738636017")</f>
        <v>4.09738636017</v>
      </c>
      <c r="R1050" s="35" t="str">
        <f>HYPERLINK(AB2 &amp; "/hammer/sn_c2adaca1dc30d0029a3a2d0a6cdaf9bb/rendering/15.obj", "4.75803804398")</f>
        <v>4.75803804398</v>
      </c>
      <c r="S1050" s="41" t="str">
        <f>HYPERLINK(AB2 &amp; "/hammer/sn_c2adaca1dc30d0029a3a2d0a6cdaf9bb/rendering/16.obj", "4.79895210266")</f>
        <v>4.79895210266</v>
      </c>
      <c r="T1050" s="33" t="str">
        <f>HYPERLINK(AB2 &amp; "/hammer/sn_c2adaca1dc30d0029a3a2d0a6cdaf9bb/rendering/17.obj", "4.01057100296")</f>
        <v>4.01057100296</v>
      </c>
      <c r="U1050" s="29" t="str">
        <f>HYPERLINK(AB2 &amp; "/hammer/sn_c2adaca1dc30d0029a3a2d0a6cdaf9bb/rendering/18.obj", "3.90871620178")</f>
        <v>3.90871620178</v>
      </c>
      <c r="V1050" s="6" t="str">
        <f>HYPERLINK(AB2 &amp; "/hammer/sn_c2adaca1dc30d0029a3a2d0a6cdaf9bb/rendering/19.obj", "4.69814300537")</f>
        <v>4.69814300537</v>
      </c>
      <c r="W1050" s="12" t="s">
        <v>32</v>
      </c>
      <c r="X1050" s="13">
        <v>4.4970176100730894</v>
      </c>
      <c r="Y1050" s="13">
        <v>0.78999796031667868</v>
      </c>
      <c r="Z1050" s="37">
        <v>0.17567152918127871</v>
      </c>
    </row>
    <row r="1051" spans="1:26" x14ac:dyDescent="0.2">
      <c r="A1051" s="1">
        <v>1049</v>
      </c>
      <c r="B1051" s="2" t="s">
        <v>242</v>
      </c>
      <c r="C1051" s="13" t="str">
        <f>HYPERLINK(AC2 &amp; "/hammer/sn_c2adaca1dc30d0029a3a2d0a6cdaf9bb/rendering/00.xyz", "0.0")</f>
        <v>0.0</v>
      </c>
      <c r="D1051" s="13" t="str">
        <f>HYPERLINK(AC2 &amp; "/hammer/sn_c2adaca1dc30d0029a3a2d0a6cdaf9bb/rendering/01.xyz", "0.0")</f>
        <v>0.0</v>
      </c>
      <c r="E1051" s="13" t="str">
        <f>HYPERLINK(AC2 &amp; "/hammer/sn_c2adaca1dc30d0029a3a2d0a6cdaf9bb/rendering/02.xyz", "0.0")</f>
        <v>0.0</v>
      </c>
      <c r="F1051" s="13" t="str">
        <f>HYPERLINK(AC2 &amp; "/hammer/sn_c2adaca1dc30d0029a3a2d0a6cdaf9bb/rendering/03.xyz", "0.0")</f>
        <v>0.0</v>
      </c>
      <c r="G1051" s="13" t="str">
        <f>HYPERLINK(AC2 &amp; "/hammer/sn_c2adaca1dc30d0029a3a2d0a6cdaf9bb/rendering/04.xyz", "0.0")</f>
        <v>0.0</v>
      </c>
      <c r="H1051" s="13" t="str">
        <f>HYPERLINK(AC2 &amp; "/hammer/sn_c2adaca1dc30d0029a3a2d0a6cdaf9bb/rendering/05.xyz", "0.0")</f>
        <v>0.0</v>
      </c>
      <c r="I1051" s="13" t="str">
        <f>HYPERLINK(AC2 &amp; "/hammer/sn_c2adaca1dc30d0029a3a2d0a6cdaf9bb/rendering/06.xyz", "0.0")</f>
        <v>0.0</v>
      </c>
      <c r="J1051" s="13" t="str">
        <f>HYPERLINK(AC2 &amp; "/hammer/sn_c2adaca1dc30d0029a3a2d0a6cdaf9bb/rendering/07.xyz", "0.0")</f>
        <v>0.0</v>
      </c>
      <c r="K1051" s="13" t="str">
        <f>HYPERLINK(AC2 &amp; "/hammer/sn_c2adaca1dc30d0029a3a2d0a6cdaf9bb/rendering/08.xyz", "0.0")</f>
        <v>0.0</v>
      </c>
      <c r="L1051" s="13" t="str">
        <f>HYPERLINK(AC2 &amp; "/hammer/sn_c2adaca1dc30d0029a3a2d0a6cdaf9bb/rendering/09.xyz", "0.0")</f>
        <v>0.0</v>
      </c>
      <c r="M1051" s="13" t="str">
        <f>HYPERLINK(AC2 &amp; "/hammer/sn_c2adaca1dc30d0029a3a2d0a6cdaf9bb/rendering/10.xyz", "0.0")</f>
        <v>0.0</v>
      </c>
      <c r="N1051" s="13" t="str">
        <f>HYPERLINK(AC2 &amp; "/hammer/sn_c2adaca1dc30d0029a3a2d0a6cdaf9bb/rendering/11.xyz", "0.0")</f>
        <v>0.0</v>
      </c>
      <c r="O1051" s="13" t="str">
        <f>HYPERLINK(AC2 &amp; "/hammer/sn_c2adaca1dc30d0029a3a2d0a6cdaf9bb/rendering/12.xyz", "0.0")</f>
        <v>0.0</v>
      </c>
      <c r="P1051" s="13" t="str">
        <f>HYPERLINK(AC2 &amp; "/hammer/sn_c2adaca1dc30d0029a3a2d0a6cdaf9bb/rendering/13.xyz", "0.0")</f>
        <v>0.0</v>
      </c>
      <c r="Q1051" s="13" t="str">
        <f>HYPERLINK(AC2 &amp; "/hammer/sn_c2adaca1dc30d0029a3a2d0a6cdaf9bb/rendering/14.xyz", "0.0")</f>
        <v>0.0</v>
      </c>
      <c r="R1051" s="13" t="str">
        <f>HYPERLINK(AC2 &amp; "/hammer/sn_c2adaca1dc30d0029a3a2d0a6cdaf9bb/rendering/15.xyz", "0.0")</f>
        <v>0.0</v>
      </c>
      <c r="S1051" s="13" t="str">
        <f>HYPERLINK(AC2 &amp; "/hammer/sn_c2adaca1dc30d0029a3a2d0a6cdaf9bb/rendering/16.xyz", "0.0")</f>
        <v>0.0</v>
      </c>
      <c r="T1051" s="13" t="str">
        <f>HYPERLINK(AC2 &amp; "/hammer/sn_c2adaca1dc30d0029a3a2d0a6cdaf9bb/rendering/17.xyz", "0.0")</f>
        <v>0.0</v>
      </c>
      <c r="U1051" s="13" t="str">
        <f>HYPERLINK(AC2 &amp; "/hammer/sn_c2adaca1dc30d0029a3a2d0a6cdaf9bb/rendering/18.xyz", "0.0")</f>
        <v>0.0</v>
      </c>
      <c r="V1051" s="13" t="str">
        <f>HYPERLINK(AC2 &amp; "/hammer/sn_c2adaca1dc30d0029a3a2d0a6cdaf9bb/rendering/19.xyz", "0.0")</f>
        <v>0.0</v>
      </c>
      <c r="W1051" s="12" t="s">
        <v>33</v>
      </c>
      <c r="X1051" s="13">
        <v>0</v>
      </c>
      <c r="Y1051" s="13">
        <v>0</v>
      </c>
      <c r="Z1051" s="13">
        <v>0</v>
      </c>
    </row>
    <row r="1052" spans="1:26" x14ac:dyDescent="0.2">
      <c r="A1052" s="1">
        <v>1050</v>
      </c>
      <c r="B1052" s="2" t="s">
        <v>243</v>
      </c>
      <c r="C1052" s="34" t="str">
        <f>HYPERLINK(AA2 &amp; "/hammer/sn_c4356dee81f725fd4e658c3e3c1d541/rendering/00.obj", "5.73025878906")</f>
        <v>5.73025878906</v>
      </c>
      <c r="D1052" s="69" t="str">
        <f>HYPERLINK(AA2 &amp; "/hammer/sn_c4356dee81f725fd4e658c3e3c1d541/rendering/01.obj", "5.8545880127")</f>
        <v>5.8545880127</v>
      </c>
      <c r="E1052" s="17" t="str">
        <f>HYPERLINK(AA2 &amp; "/hammer/sn_c4356dee81f725fd4e658c3e3c1d541/rendering/02.obj", "5.91149169922")</f>
        <v>5.91149169922</v>
      </c>
      <c r="F1052" s="5" t="str">
        <f>HYPERLINK(AA2 &amp; "/hammer/sn_c4356dee81f725fd4e658c3e3c1d541/rendering/03.obj", "5.57513793945")</f>
        <v>5.57513793945</v>
      </c>
      <c r="G1052" s="134" t="str">
        <f>HYPERLINK(AA2 &amp; "/hammer/sn_c4356dee81f725fd4e658c3e3c1d541/rendering/04.obj", "7.12657531738")</f>
        <v>7.12657531738</v>
      </c>
      <c r="H1052" s="107" t="str">
        <f>HYPERLINK(AA2 &amp; "/hammer/sn_c4356dee81f725fd4e658c3e3c1d541/rendering/05.obj", "5.53113952637")</f>
        <v>5.53113952637</v>
      </c>
      <c r="I1052" s="27" t="str">
        <f>HYPERLINK(AA2 &amp; "/hammer/sn_c4356dee81f725fd4e658c3e3c1d541/rendering/06.obj", "5.60232666016")</f>
        <v>5.60232666016</v>
      </c>
      <c r="J1052" s="48" t="str">
        <f>HYPERLINK(AA2 &amp; "/hammer/sn_c4356dee81f725fd4e658c3e3c1d541/rendering/07.obj", "5.89367553711")</f>
        <v>5.89367553711</v>
      </c>
      <c r="K1052" s="55" t="str">
        <f>HYPERLINK(AA2 &amp; "/hammer/sn_c4356dee81f725fd4e658c3e3c1d541/rendering/08.obj", "7.19094055176")</f>
        <v>7.19094055176</v>
      </c>
      <c r="L1052" s="41" t="str">
        <f>HYPERLINK(AA2 &amp; "/hammer/sn_c4356dee81f725fd4e658c3e3c1d541/rendering/09.obj", "5.61907958984")</f>
        <v>5.61907958984</v>
      </c>
      <c r="M1052" s="80" t="str">
        <f>HYPERLINK(AA2 &amp; "/hammer/sn_c4356dee81f725fd4e658c3e3c1d541/rendering/10.obj", "5.12909179688")</f>
        <v>5.12909179688</v>
      </c>
      <c r="N1052" s="25" t="str">
        <f>HYPERLINK(AA2 &amp; "/hammer/sn_c4356dee81f725fd4e658c3e3c1d541/rendering/11.obj", "5.95788452148")</f>
        <v>5.95788452148</v>
      </c>
      <c r="O1052" s="90" t="str">
        <f>HYPERLINK(AA2 &amp; "/hammer/sn_c4356dee81f725fd4e658c3e3c1d541/rendering/12.obj", "5.45278076172")</f>
        <v>5.45278076172</v>
      </c>
      <c r="P1052" s="61" t="str">
        <f>HYPERLINK(AA2 &amp; "/hammer/sn_c4356dee81f725fd4e658c3e3c1d541/rendering/13.obj", "7.84928833008")</f>
        <v>7.84928833008</v>
      </c>
      <c r="Q1052" s="17" t="str">
        <f>HYPERLINK(AA2 &amp; "/hammer/sn_c4356dee81f725fd4e658c3e3c1d541/rendering/14.obj", "5.91001464844")</f>
        <v>5.91001464844</v>
      </c>
      <c r="R1052" s="108" t="str">
        <f>HYPERLINK(AA2 &amp; "/hammer/sn_c4356dee81f725fd4e658c3e3c1d541/rendering/15.obj", "7.51295166016")</f>
        <v>7.51295166016</v>
      </c>
      <c r="S1052" s="72" t="str">
        <f>HYPERLINK(AA2 &amp; "/hammer/sn_c4356dee81f725fd4e658c3e3c1d541/rendering/16.obj", "5.83410217285")</f>
        <v>5.83410217285</v>
      </c>
      <c r="T1052" s="42" t="str">
        <f>HYPERLINK(AA2 &amp; "/hammer/sn_c4356dee81f725fd4e658c3e3c1d541/rendering/17.obj", "5.20230651855")</f>
        <v>5.20230651855</v>
      </c>
      <c r="U1052" s="28" t="str">
        <f>HYPERLINK(AA2 &amp; "/hammer/sn_c4356dee81f725fd4e658c3e3c1d541/rendering/18.obj", "5.35172851563")</f>
        <v>5.35172851563</v>
      </c>
      <c r="V1052" s="78" t="str">
        <f>HYPERLINK(AA2 &amp; "/hammer/sn_c4356dee81f725fd4e658c3e3c1d541/rendering/19.obj", "6.40759521484")</f>
        <v>6.40759521484</v>
      </c>
      <c r="W1052" s="12" t="s">
        <v>29</v>
      </c>
      <c r="X1052" s="13">
        <v>6.0321478881835926</v>
      </c>
      <c r="Y1052" s="13">
        <v>0.75862986446021374</v>
      </c>
      <c r="Z1052" s="70">
        <v>0.1257644670725494</v>
      </c>
    </row>
    <row r="1053" spans="1:26" x14ac:dyDescent="0.2">
      <c r="A1053" s="1">
        <v>1051</v>
      </c>
      <c r="B1053" s="2" t="s">
        <v>243</v>
      </c>
      <c r="C1053" s="11" t="str">
        <f>HYPERLINK(AA2 &amp; "/hammer/sn_c4356dee81f725fd4e658c3e3c1d541/rendering/00.obj", "2.85002827644")</f>
        <v>2.85002827644</v>
      </c>
      <c r="D1053" s="80" t="str">
        <f>HYPERLINK(AA2 &amp; "/hammer/sn_c4356dee81f725fd4e658c3e3c1d541/rendering/01.obj", "3.13541293144")</f>
        <v>3.13541293144</v>
      </c>
      <c r="E1053" s="5" t="str">
        <f>HYPERLINK(AA2 &amp; "/hammer/sn_c4356dee81f725fd4e658c3e3c1d541/rendering/02.obj", "3.39476323128")</f>
        <v>3.39476323128</v>
      </c>
      <c r="F1053" s="175" t="str">
        <f>HYPERLINK(AA2 &amp; "/hammer/sn_c4356dee81f725fd4e658c3e3c1d541/rendering/03.obj", "2.81843996048")</f>
        <v>2.81843996048</v>
      </c>
      <c r="G1053" s="151" t="str">
        <f>HYPERLINK(AA2 &amp; "/hammer/sn_c4356dee81f725fd4e658c3e3c1d541/rendering/04.obj", "5.00294446945")</f>
        <v>5.00294446945</v>
      </c>
      <c r="H1053" s="176" t="str">
        <f>HYPERLINK(AA2 &amp; "/hammer/sn_c4356dee81f725fd4e658c3e3c1d541/rendering/05.obj", "2.50517463684")</f>
        <v>2.50517463684</v>
      </c>
      <c r="I1053" s="70" t="str">
        <f>HYPERLINK(AA2 &amp; "/hammer/sn_c4356dee81f725fd4e658c3e3c1d541/rendering/06.obj", "3.21834802628")</f>
        <v>3.21834802628</v>
      </c>
      <c r="J1053" s="28" t="str">
        <f>HYPERLINK(AA2 &amp; "/hammer/sn_c4356dee81f725fd4e658c3e3c1d541/rendering/07.obj", "3.27515769005")</f>
        <v>3.27515769005</v>
      </c>
      <c r="K1053" s="20" t="str">
        <f>HYPERLINK(AA2 &amp; "/hammer/sn_c4356dee81f725fd4e658c3e3c1d541/rendering/08.obj", "8.23847389221")</f>
        <v>8.23847389221</v>
      </c>
      <c r="L1053" s="56" t="str">
        <f>HYPERLINK(AA2 &amp; "/hammer/sn_c4356dee81f725fd4e658c3e3c1d541/rendering/09.obj", "2.54129052162")</f>
        <v>2.54129052162</v>
      </c>
      <c r="M1053" s="50" t="str">
        <f>HYPERLINK(AA2 &amp; "/hammer/sn_c4356dee81f725fd4e658c3e3c1d541/rendering/10.obj", "2.94330406189")</f>
        <v>2.94330406189</v>
      </c>
      <c r="N1053" s="119" t="str">
        <f>HYPERLINK(AA2 &amp; "/hammer/sn_c4356dee81f725fd4e658c3e3c1d541/rendering/11.obj", "2.7055182457")</f>
        <v>2.7055182457</v>
      </c>
      <c r="O1053" s="56" t="str">
        <f>HYPERLINK(AA2 &amp; "/hammer/sn_c4356dee81f725fd4e658c3e3c1d541/rendering/12.obj", "2.54494261742")</f>
        <v>2.54494261742</v>
      </c>
      <c r="P1053" s="20" t="str">
        <f>HYPERLINK(AA2 &amp; "/hammer/sn_c4356dee81f725fd4e658c3e3c1d541/rendering/13.obj", "8.15697860718")</f>
        <v>8.15697860718</v>
      </c>
      <c r="Q1053" s="7" t="str">
        <f>HYPERLINK(AA2 &amp; "/hammer/sn_c4356dee81f725fd4e658c3e3c1d541/rendering/14.obj", "2.65838241577")</f>
        <v>2.65838241577</v>
      </c>
      <c r="R1053" s="154" t="str">
        <f>HYPERLINK(AA2 &amp; "/hammer/sn_c4356dee81f725fd4e658c3e3c1d541/rendering/15.obj", "6.41752290726")</f>
        <v>6.41752290726</v>
      </c>
      <c r="S1053" s="61" t="str">
        <f>HYPERLINK(AA2 &amp; "/hammer/sn_c4356dee81f725fd4e658c3e3c1d541/rendering/16.obj", "2.56611251831")</f>
        <v>2.56611251831</v>
      </c>
      <c r="T1053" s="50" t="str">
        <f>HYPERLINK(AA2 &amp; "/hammer/sn_c4356dee81f725fd4e658c3e3c1d541/rendering/17.obj", "2.94557118416")</f>
        <v>2.94557118416</v>
      </c>
      <c r="U1053" s="98" t="str">
        <f>HYPERLINK(AA2 &amp; "/hammer/sn_c4356dee81f725fd4e658c3e3c1d541/rendering/18.obj", "2.83390450478")</f>
        <v>2.83390450478</v>
      </c>
      <c r="V1053" s="11" t="str">
        <f>HYPERLINK(AA2 &amp; "/hammer/sn_c4356dee81f725fd4e658c3e3c1d541/rendering/19.obj", "2.8536593914")</f>
        <v>2.8536593914</v>
      </c>
      <c r="W1053" s="12" t="s">
        <v>30</v>
      </c>
      <c r="X1053" s="13">
        <v>3.680296504497528</v>
      </c>
      <c r="Y1053" s="13">
        <v>1.759736372279229</v>
      </c>
      <c r="Z1053" s="200">
        <v>0.47815070609901478</v>
      </c>
    </row>
    <row r="1054" spans="1:26" x14ac:dyDescent="0.2">
      <c r="A1054" s="1">
        <v>1052</v>
      </c>
      <c r="B1054" s="2" t="s">
        <v>243</v>
      </c>
      <c r="C1054" s="68" t="str">
        <f>HYPERLINK(AB2 &amp; "/hammer/sn_c4356dee81f725fd4e658c3e3c1d541/rendering/00.obj", "7.0002142334")</f>
        <v>7.0002142334</v>
      </c>
      <c r="D1054" s="23" t="str">
        <f>HYPERLINK(AB2 &amp; "/hammer/sn_c4356dee81f725fd4e658c3e3c1d541/rendering/01.obj", "7.02468383789")</f>
        <v>7.02468383789</v>
      </c>
      <c r="E1054" s="34" t="str">
        <f>HYPERLINK(AB2 &amp; "/hammer/sn_c4356dee81f725fd4e658c3e3c1d541/rendering/02.obj", "6.95374633789")</f>
        <v>6.95374633789</v>
      </c>
      <c r="F1054" s="10" t="str">
        <f>HYPERLINK(AB2 &amp; "/hammer/sn_c4356dee81f725fd4e658c3e3c1d541/rendering/03.obj", "7.71413085938")</f>
        <v>7.71413085938</v>
      </c>
      <c r="G1054" s="27" t="str">
        <f>HYPERLINK(AB2 &amp; "/hammer/sn_c4356dee81f725fd4e658c3e3c1d541/rendering/04.obj", "7.829921875")</f>
        <v>7.829921875</v>
      </c>
      <c r="H1054" s="73" t="str">
        <f>HYPERLINK(AB2 &amp; "/hammer/sn_c4356dee81f725fd4e658c3e3c1d541/rendering/05.obj", "7.06223022461")</f>
        <v>7.06223022461</v>
      </c>
      <c r="I1054" s="35" t="str">
        <f>HYPERLINK(AB2 &amp; "/hammer/sn_c4356dee81f725fd4e658c3e3c1d541/rendering/06.obj", "6.90376464844")</f>
        <v>6.90376464844</v>
      </c>
      <c r="J1054" s="17" t="str">
        <f>HYPERLINK(AB2 &amp; "/hammer/sn_c4356dee81f725fd4e658c3e3c1d541/rendering/07.obj", "7.17791015625")</f>
        <v>7.17791015625</v>
      </c>
      <c r="K1054" s="106" t="str">
        <f>HYPERLINK(AB2 &amp; "/hammer/sn_c4356dee81f725fd4e658c3e3c1d541/rendering/08.obj", "8.1634765625")</f>
        <v>8.1634765625</v>
      </c>
      <c r="L1054" s="60" t="str">
        <f>HYPERLINK(AB2 &amp; "/hammer/sn_c4356dee81f725fd4e658c3e3c1d541/rendering/09.obj", "6.94326416016")</f>
        <v>6.94326416016</v>
      </c>
      <c r="M1054" s="94" t="str">
        <f>HYPERLINK(AB2 &amp; "/hammer/sn_c4356dee81f725fd4e658c3e3c1d541/rendering/10.obj", "6.78239135742")</f>
        <v>6.78239135742</v>
      </c>
      <c r="N1054" s="78" t="str">
        <f>HYPERLINK(AB2 &amp; "/hammer/sn_c4356dee81f725fd4e658c3e3c1d541/rendering/11.obj", "6.88007324219")</f>
        <v>6.88007324219</v>
      </c>
      <c r="O1054" s="39" t="str">
        <f>HYPERLINK(AB2 &amp; "/hammer/sn_c4356dee81f725fd4e658c3e3c1d541/rendering/12.obj", "6.69744262695")</f>
        <v>6.69744262695</v>
      </c>
      <c r="P1054" s="50" t="str">
        <f>HYPERLINK(AB2 &amp; "/hammer/sn_c4356dee81f725fd4e658c3e3c1d541/rendering/13.obj", "8.78053405762")</f>
        <v>8.78053405762</v>
      </c>
      <c r="Q1054" s="35" t="str">
        <f>HYPERLINK(AB2 &amp; "/hammer/sn_c4356dee81f725fd4e658c3e3c1d541/rendering/14.obj", "6.889921875")</f>
        <v>6.889921875</v>
      </c>
      <c r="R1054" s="67" t="str">
        <f>HYPERLINK(AB2 &amp; "/hammer/sn_c4356dee81f725fd4e658c3e3c1d541/rendering/15.obj", "8.00770507812")</f>
        <v>8.00770507812</v>
      </c>
      <c r="S1054" s="72" t="str">
        <f>HYPERLINK(AB2 &amp; "/hammer/sn_c4356dee81f725fd4e658c3e3c1d541/rendering/16.obj", "7.08086914063")</f>
        <v>7.08086914063</v>
      </c>
      <c r="T1054" s="91" t="str">
        <f>HYPERLINK(AB2 &amp; "/hammer/sn_c4356dee81f725fd4e658c3e3c1d541/rendering/17.obj", "7.5086907959")</f>
        <v>7.5086907959</v>
      </c>
      <c r="U1054" s="41" t="str">
        <f>HYPERLINK(AB2 &amp; "/hammer/sn_c4356dee81f725fd4e658c3e3c1d541/rendering/18.obj", "6.82157226562")</f>
        <v>6.82157226562</v>
      </c>
      <c r="V1054" s="71" t="str">
        <f>HYPERLINK(AB2 &amp; "/hammer/sn_c4356dee81f725fd4e658c3e3c1d541/rendering/19.obj", "8.17464294434")</f>
        <v>8.17464294434</v>
      </c>
      <c r="W1054" s="12" t="s">
        <v>31</v>
      </c>
      <c r="X1054" s="13">
        <v>7.3198593139648453</v>
      </c>
      <c r="Y1054" s="13">
        <v>0.57380652965739021</v>
      </c>
      <c r="Z1054" s="5">
        <v>7.8390376788073063E-2</v>
      </c>
    </row>
    <row r="1055" spans="1:26" x14ac:dyDescent="0.2">
      <c r="A1055" s="1">
        <v>1053</v>
      </c>
      <c r="B1055" s="2" t="s">
        <v>243</v>
      </c>
      <c r="C1055" s="11" t="str">
        <f>HYPERLINK(AB2 &amp; "/hammer/sn_c4356dee81f725fd4e658c3e3c1d541/rendering/00.obj", "2.44154787064")</f>
        <v>2.44154787064</v>
      </c>
      <c r="D1055" s="65" t="str">
        <f>HYPERLINK(AB2 &amp; "/hammer/sn_c4356dee81f725fd4e658c3e3c1d541/rendering/01.obj", "2.72690916061")</f>
        <v>2.72690916061</v>
      </c>
      <c r="E1055" s="71" t="str">
        <f>HYPERLINK(AB2 &amp; "/hammer/sn_c4356dee81f725fd4e658c3e3c1d541/rendering/02.obj", "2.782558918")</f>
        <v>2.782558918</v>
      </c>
      <c r="F1055" s="92" t="str">
        <f>HYPERLINK(AB2 &amp; "/hammer/sn_c4356dee81f725fd4e658c3e3c1d541/rendering/03.obj", "3.5391664505")</f>
        <v>3.5391664505</v>
      </c>
      <c r="G1055" s="93" t="str">
        <f>HYPERLINK(AB2 &amp; "/hammer/sn_c4356dee81f725fd4e658c3e3c1d541/rendering/04.obj", "3.58689951897")</f>
        <v>3.58689951897</v>
      </c>
      <c r="H1055" s="63" t="str">
        <f>HYPERLINK(AB2 &amp; "/hammer/sn_c4356dee81f725fd4e658c3e3c1d541/rendering/05.obj", "2.76904511452")</f>
        <v>2.76904511452</v>
      </c>
      <c r="I1055" s="6" t="str">
        <f>HYPERLINK(AB2 &amp; "/hammer/sn_c4356dee81f725fd4e658c3e3c1d541/rendering/06.obj", "3.0042219162")</f>
        <v>3.0042219162</v>
      </c>
      <c r="J1055" s="13" t="str">
        <f>HYPERLINK(AB2 &amp; "/hammer/sn_c4356dee81f725fd4e658c3e3c1d541/rendering/07.obj", "3.13949203491")</f>
        <v>3.13949203491</v>
      </c>
      <c r="K1055" s="108" t="str">
        <f>HYPERLINK(AB2 &amp; "/hammer/sn_c4356dee81f725fd4e658c3e3c1d541/rendering/08.obj", "3.92749929428")</f>
        <v>3.92749929428</v>
      </c>
      <c r="L1055" s="76" t="str">
        <f>HYPERLINK(AB2 &amp; "/hammer/sn_c4356dee81f725fd4e658c3e3c1d541/rendering/09.obj", "2.57468891144")</f>
        <v>2.57468891144</v>
      </c>
      <c r="M1055" s="56" t="str">
        <f>HYPERLINK(AB2 &amp; "/hammer/sn_c4356dee81f725fd4e658c3e3c1d541/rendering/10.obj", "2.17694735527")</f>
        <v>2.17694735527</v>
      </c>
      <c r="N1055" s="80" t="str">
        <f>HYPERLINK(AB2 &amp; "/hammer/sn_c4356dee81f725fd4e658c3e3c1d541/rendering/11.obj", "2.67759752274")</f>
        <v>2.67759752274</v>
      </c>
      <c r="O1055" s="49" t="str">
        <f>HYPERLINK(AB2 &amp; "/hammer/sn_c4356dee81f725fd4e658c3e3c1d541/rendering/12.obj", "2.48925042152")</f>
        <v>2.48925042152</v>
      </c>
      <c r="P1055" s="202" t="str">
        <f>HYPERLINK(AB2 &amp; "/hammer/sn_c4356dee81f725fd4e658c3e3c1d541/rendering/13.obj", "5.13389825821")</f>
        <v>5.13389825821</v>
      </c>
      <c r="Q1055" s="66" t="str">
        <f>HYPERLINK(AB2 &amp; "/hammer/sn_c4356dee81f725fd4e658c3e3c1d541/rendering/14.obj", "2.64187669754")</f>
        <v>2.64187669754</v>
      </c>
      <c r="R1055" s="18" t="str">
        <f>HYPERLINK(AB2 &amp; "/hammer/sn_c4356dee81f725fd4e658c3e3c1d541/rendering/15.obj", "4.97595930099")</f>
        <v>4.97595930099</v>
      </c>
      <c r="S1055" s="136" t="str">
        <f>HYPERLINK(AB2 &amp; "/hammer/sn_c4356dee81f725fd4e658c3e3c1d541/rendering/16.obj", "2.39873766899")</f>
        <v>2.39873766899</v>
      </c>
      <c r="T1055" s="71" t="str">
        <f>HYPERLINK(AB2 &amp; "/hammer/sn_c4356dee81f725fd4e658c3e3c1d541/rendering/17.obj", "3.51948356628")</f>
        <v>3.51948356628</v>
      </c>
      <c r="U1055" s="55" t="str">
        <f>HYPERLINK(AB2 &amp; "/hammer/sn_c4356dee81f725fd4e658c3e3c1d541/rendering/18.obj", "2.54349660873")</f>
        <v>2.54349660873</v>
      </c>
      <c r="V1055" s="108" t="str">
        <f>HYPERLINK(AB2 &amp; "/hammer/sn_c4356dee81f725fd4e658c3e3c1d541/rendering/19.obj", "3.92695951462")</f>
        <v>3.92695951462</v>
      </c>
      <c r="W1055" s="12" t="s">
        <v>32</v>
      </c>
      <c r="X1055" s="13">
        <v>3.1488118052482599</v>
      </c>
      <c r="Y1055" s="13">
        <v>0.80831253732488995</v>
      </c>
      <c r="Z1055" s="135">
        <v>0.25670398465149319</v>
      </c>
    </row>
    <row r="1056" spans="1:26" x14ac:dyDescent="0.2">
      <c r="A1056" s="1">
        <v>1054</v>
      </c>
      <c r="B1056" s="2" t="s">
        <v>243</v>
      </c>
      <c r="C1056" s="13" t="str">
        <f>HYPERLINK(AC2 &amp; "/hammer/sn_c4356dee81f725fd4e658c3e3c1d541/rendering/00.xyz", "0.0")</f>
        <v>0.0</v>
      </c>
      <c r="D1056" s="13" t="str">
        <f>HYPERLINK(AC2 &amp; "/hammer/sn_c4356dee81f725fd4e658c3e3c1d541/rendering/01.xyz", "0.0")</f>
        <v>0.0</v>
      </c>
      <c r="E1056" s="13" t="str">
        <f>HYPERLINK(AC2 &amp; "/hammer/sn_c4356dee81f725fd4e658c3e3c1d541/rendering/02.xyz", "0.0")</f>
        <v>0.0</v>
      </c>
      <c r="F1056" s="13" t="str">
        <f>HYPERLINK(AC2 &amp; "/hammer/sn_c4356dee81f725fd4e658c3e3c1d541/rendering/03.xyz", "0.0")</f>
        <v>0.0</v>
      </c>
      <c r="G1056" s="13" t="str">
        <f>HYPERLINK(AC2 &amp; "/hammer/sn_c4356dee81f725fd4e658c3e3c1d541/rendering/04.xyz", "0.0")</f>
        <v>0.0</v>
      </c>
      <c r="H1056" s="13" t="str">
        <f>HYPERLINK(AC2 &amp; "/hammer/sn_c4356dee81f725fd4e658c3e3c1d541/rendering/05.xyz", "0.0")</f>
        <v>0.0</v>
      </c>
      <c r="I1056" s="13" t="str">
        <f>HYPERLINK(AC2 &amp; "/hammer/sn_c4356dee81f725fd4e658c3e3c1d541/rendering/06.xyz", "0.0")</f>
        <v>0.0</v>
      </c>
      <c r="J1056" s="13" t="str">
        <f>HYPERLINK(AC2 &amp; "/hammer/sn_c4356dee81f725fd4e658c3e3c1d541/rendering/07.xyz", "0.0")</f>
        <v>0.0</v>
      </c>
      <c r="K1056" s="13" t="str">
        <f>HYPERLINK(AC2 &amp; "/hammer/sn_c4356dee81f725fd4e658c3e3c1d541/rendering/08.xyz", "0.0")</f>
        <v>0.0</v>
      </c>
      <c r="L1056" s="13" t="str">
        <f>HYPERLINK(AC2 &amp; "/hammer/sn_c4356dee81f725fd4e658c3e3c1d541/rendering/09.xyz", "0.0")</f>
        <v>0.0</v>
      </c>
      <c r="M1056" s="13" t="str">
        <f>HYPERLINK(AC2 &amp; "/hammer/sn_c4356dee81f725fd4e658c3e3c1d541/rendering/10.xyz", "0.0")</f>
        <v>0.0</v>
      </c>
      <c r="N1056" s="13" t="str">
        <f>HYPERLINK(AC2 &amp; "/hammer/sn_c4356dee81f725fd4e658c3e3c1d541/rendering/11.xyz", "0.0")</f>
        <v>0.0</v>
      </c>
      <c r="O1056" s="13" t="str">
        <f>HYPERLINK(AC2 &amp; "/hammer/sn_c4356dee81f725fd4e658c3e3c1d541/rendering/12.xyz", "0.0")</f>
        <v>0.0</v>
      </c>
      <c r="P1056" s="13" t="str">
        <f>HYPERLINK(AC2 &amp; "/hammer/sn_c4356dee81f725fd4e658c3e3c1d541/rendering/13.xyz", "0.0")</f>
        <v>0.0</v>
      </c>
      <c r="Q1056" s="13" t="str">
        <f>HYPERLINK(AC2 &amp; "/hammer/sn_c4356dee81f725fd4e658c3e3c1d541/rendering/14.xyz", "0.0")</f>
        <v>0.0</v>
      </c>
      <c r="R1056" s="13" t="str">
        <f>HYPERLINK(AC2 &amp; "/hammer/sn_c4356dee81f725fd4e658c3e3c1d541/rendering/15.xyz", "0.0")</f>
        <v>0.0</v>
      </c>
      <c r="S1056" s="13" t="str">
        <f>HYPERLINK(AC2 &amp; "/hammer/sn_c4356dee81f725fd4e658c3e3c1d541/rendering/16.xyz", "0.0")</f>
        <v>0.0</v>
      </c>
      <c r="T1056" s="13" t="str">
        <f>HYPERLINK(AC2 &amp; "/hammer/sn_c4356dee81f725fd4e658c3e3c1d541/rendering/17.xyz", "0.0")</f>
        <v>0.0</v>
      </c>
      <c r="U1056" s="13" t="str">
        <f>HYPERLINK(AC2 &amp; "/hammer/sn_c4356dee81f725fd4e658c3e3c1d541/rendering/18.xyz", "0.0")</f>
        <v>0.0</v>
      </c>
      <c r="V1056" s="13" t="str">
        <f>HYPERLINK(AC2 &amp; "/hammer/sn_c4356dee81f725fd4e658c3e3c1d541/rendering/19.xyz", "0.0")</f>
        <v>0.0</v>
      </c>
      <c r="W1056" s="12" t="s">
        <v>33</v>
      </c>
      <c r="X1056" s="13">
        <v>0</v>
      </c>
      <c r="Y1056" s="13">
        <v>0</v>
      </c>
      <c r="Z1056" s="13">
        <v>0</v>
      </c>
    </row>
    <row r="1057" spans="1:26" x14ac:dyDescent="0.2">
      <c r="A1057" s="1">
        <v>1055</v>
      </c>
      <c r="B1057" s="2" t="s">
        <v>244</v>
      </c>
      <c r="C1057" s="149" t="str">
        <f>HYPERLINK(AA2 &amp; "/hammer/sn_c69138f016b94ca721588c0f6594126d/rendering/00.obj", "3.41563354492")</f>
        <v>3.41563354492</v>
      </c>
      <c r="D1057" s="142" t="str">
        <f>HYPERLINK(AA2 &amp; "/hammer/sn_c69138f016b94ca721588c0f6594126d/rendering/01.obj", "7.2332623291")</f>
        <v>7.2332623291</v>
      </c>
      <c r="E1057" s="31" t="str">
        <f>HYPERLINK(AA2 &amp; "/hammer/sn_c69138f016b94ca721588c0f6594126d/rendering/02.obj", "6.00188598633")</f>
        <v>6.00188598633</v>
      </c>
      <c r="F1057" s="85" t="str">
        <f>HYPERLINK(AA2 &amp; "/hammer/sn_c69138f016b94ca721588c0f6594126d/rendering/03.obj", "3.6588494873")</f>
        <v>3.6588494873</v>
      </c>
      <c r="G1057" s="170" t="str">
        <f>HYPERLINK(AA2 &amp; "/hammer/sn_c69138f016b94ca721588c0f6594126d/rendering/04.obj", "3.88818054199")</f>
        <v>3.88818054199</v>
      </c>
      <c r="H1057" s="244" t="str">
        <f>HYPERLINK(AA2 &amp; "/hammer/sn_c69138f016b94ca721588c0f6594126d/rendering/05.obj", "8.37208251953")</f>
        <v>8.37208251953</v>
      </c>
      <c r="I1057" s="91" t="str">
        <f>HYPERLINK(AA2 &amp; "/hammer/sn_c69138f016b94ca721588c0f6594126d/rendering/06.obj", "5.32974365234")</f>
        <v>5.32974365234</v>
      </c>
      <c r="J1057" s="67" t="str">
        <f>HYPERLINK(AA2 &amp; "/hammer/sn_c69138f016b94ca721588c0f6594126d/rendering/07.obj", "5.67752746582")</f>
        <v>5.67752746582</v>
      </c>
      <c r="K1057" s="77" t="str">
        <f>HYPERLINK(AA2 &amp; "/hammer/sn_c69138f016b94ca721588c0f6594126d/rendering/08.obj", "4.22403594971")</f>
        <v>4.22403594971</v>
      </c>
      <c r="L1057" s="4" t="str">
        <f>HYPERLINK(AA2 &amp; "/hammer/sn_c69138f016b94ca721588c0f6594126d/rendering/09.obj", "6.67200073242")</f>
        <v>6.67200073242</v>
      </c>
      <c r="M1057" s="149" t="str">
        <f>HYPERLINK(AA2 &amp; "/hammer/sn_c69138f016b94ca721588c0f6594126d/rendering/10.obj", "3.40647460938")</f>
        <v>3.40647460938</v>
      </c>
      <c r="N1057" s="119" t="str">
        <f>HYPERLINK(AA2 &amp; "/hammer/sn_c69138f016b94ca721588c0f6594126d/rendering/11.obj", "3.82384796143")</f>
        <v>3.82384796143</v>
      </c>
      <c r="O1057" s="91" t="str">
        <f>HYPERLINK(AA2 &amp; "/hammer/sn_c69138f016b94ca721588c0f6594126d/rendering/12.obj", "5.05966308594")</f>
        <v>5.05966308594</v>
      </c>
      <c r="P1057" s="49" t="str">
        <f>HYPERLINK(AA2 &amp; "/hammer/sn_c69138f016b94ca721588c0f6594126d/rendering/13.obj", "4.11467163086")</f>
        <v>4.11467163086</v>
      </c>
      <c r="Q1057" s="76" t="str">
        <f>HYPERLINK(AA2 &amp; "/hammer/sn_c69138f016b94ca721588c0f6594126d/rendering/14.obj", "4.23288421631")</f>
        <v>4.23288421631</v>
      </c>
      <c r="R1057" s="120" t="str">
        <f>HYPERLINK(AA2 &amp; "/hammer/sn_c69138f016b94ca721588c0f6594126d/rendering/15.obj", "6.29713928223")</f>
        <v>6.29713928223</v>
      </c>
      <c r="S1057" s="131" t="str">
        <f>HYPERLINK(AA2 &amp; "/hammer/sn_c69138f016b94ca721588c0f6594126d/rendering/16.obj", "7.6033203125")</f>
        <v>7.6033203125</v>
      </c>
      <c r="T1057" s="170" t="str">
        <f>HYPERLINK(AA2 &amp; "/hammer/sn_c69138f016b94ca721588c0f6594126d/rendering/17.obj", "6.50805297852")</f>
        <v>6.50805297852</v>
      </c>
      <c r="U1057" s="11" t="str">
        <f>HYPERLINK(AA2 &amp; "/hammer/sn_c69138f016b94ca721588c0f6594126d/rendering/18.obj", "4.02630371094")</f>
        <v>4.02630371094</v>
      </c>
      <c r="V1057" s="64" t="str">
        <f>HYPERLINK(AA2 &amp; "/hammer/sn_c69138f016b94ca721588c0f6594126d/rendering/19.obj", "4.33219177246")</f>
        <v>4.33219177246</v>
      </c>
      <c r="W1057" s="12" t="s">
        <v>29</v>
      </c>
      <c r="X1057" s="13">
        <v>5.1938875885009761</v>
      </c>
      <c r="Y1057" s="13">
        <v>1.4755925330520709</v>
      </c>
      <c r="Z1057" s="4">
        <v>0.28410174612153022</v>
      </c>
    </row>
    <row r="1058" spans="1:26" x14ac:dyDescent="0.2">
      <c r="A1058" s="1">
        <v>1056</v>
      </c>
      <c r="B1058" s="2" t="s">
        <v>244</v>
      </c>
      <c r="C1058" s="137" t="str">
        <f>HYPERLINK(AA2 &amp; "/hammer/sn_c69138f016b94ca721588c0f6594126d/rendering/00.obj", "2.9457244873")</f>
        <v>2.9457244873</v>
      </c>
      <c r="D1058" s="20" t="str">
        <f>HYPERLINK(AA2 &amp; "/hammer/sn_c69138f016b94ca721588c0f6594126d/rendering/01.obj", "8.84192276001")</f>
        <v>8.84192276001</v>
      </c>
      <c r="E1058" s="94" t="str">
        <f>HYPERLINK(AA2 &amp; "/hammer/sn_c69138f016b94ca721588c0f6594126d/rendering/02.obj", "4.97492456436")</f>
        <v>4.97492456436</v>
      </c>
      <c r="F1058" s="131" t="str">
        <f>HYPERLINK(AA2 &amp; "/hammer/sn_c69138f016b94ca721588c0f6594126d/rendering/03.obj", "2.48479866982")</f>
        <v>2.48479866982</v>
      </c>
      <c r="G1058" s="111" t="str">
        <f>HYPERLINK(AA2 &amp; "/hammer/sn_c69138f016b94ca721588c0f6594126d/rendering/04.obj", "2.68260169029")</f>
        <v>2.68260169029</v>
      </c>
      <c r="H1058" s="20" t="str">
        <f>HYPERLINK(AA2 &amp; "/hammer/sn_c69138f016b94ca721588c0f6594126d/rendering/05.obj", "14.4956674576")</f>
        <v>14.4956674576</v>
      </c>
      <c r="I1058" s="23" t="str">
        <f>HYPERLINK(AA2 &amp; "/hammer/sn_c69138f016b94ca721588c0f6594126d/rendering/06.obj", "4.45251941681")</f>
        <v>4.45251941681</v>
      </c>
      <c r="J1058" s="42" t="str">
        <f>HYPERLINK(AA2 &amp; "/hammer/sn_c69138f016b94ca721588c0f6594126d/rendering/07.obj", "4.00710964203")</f>
        <v>4.00710964203</v>
      </c>
      <c r="K1058" s="53" t="str">
        <f>HYPERLINK(AA2 &amp; "/hammer/sn_c69138f016b94ca721588c0f6594126d/rendering/08.obj", "2.72064042091")</f>
        <v>2.72064042091</v>
      </c>
      <c r="L1058" s="63" t="str">
        <f>HYPERLINK(AA2 &amp; "/hammer/sn_c69138f016b94ca721588c0f6594126d/rendering/09.obj", "5.19232988358")</f>
        <v>5.19232988358</v>
      </c>
      <c r="M1058" s="145" t="str">
        <f>HYPERLINK(AA2 &amp; "/hammer/sn_c69138f016b94ca721588c0f6594126d/rendering/10.obj", "2.35797548294")</f>
        <v>2.35797548294</v>
      </c>
      <c r="N1058" s="174" t="str">
        <f>HYPERLINK(AA2 &amp; "/hammer/sn_c69138f016b94ca721588c0f6594126d/rendering/11.obj", "2.20367240906")</f>
        <v>2.20367240906</v>
      </c>
      <c r="O1058" s="120" t="str">
        <f>HYPERLINK(AA2 &amp; "/hammer/sn_c69138f016b94ca721588c0f6594126d/rendering/12.obj", "5.62212276459")</f>
        <v>5.62212276459</v>
      </c>
      <c r="P1058" s="201" t="str">
        <f>HYPERLINK(AA2 &amp; "/hammer/sn_c69138f016b94ca721588c0f6594126d/rendering/13.obj", "1.93618202209")</f>
        <v>1.93618202209</v>
      </c>
      <c r="Q1058" s="197" t="str">
        <f>HYPERLINK(AA2 &amp; "/hammer/sn_c69138f016b94ca721588c0f6594126d/rendering/14.obj", "2.00577259064")</f>
        <v>2.00577259064</v>
      </c>
      <c r="R1058" s="44" t="str">
        <f>HYPERLINK(AA2 &amp; "/hammer/sn_c69138f016b94ca721588c0f6594126d/rendering/15.obj", "5.54880285263")</f>
        <v>5.54880285263</v>
      </c>
      <c r="S1058" s="20" t="str">
        <f>HYPERLINK(AA2 &amp; "/hammer/sn_c69138f016b94ca721588c0f6594126d/rendering/16.obj", "9.53532314301")</f>
        <v>9.53532314301</v>
      </c>
      <c r="T1058" s="83" t="str">
        <f>HYPERLINK(AA2 &amp; "/hammer/sn_c69138f016b94ca721588c0f6594126d/rendering/17.obj", "5.34419870377")</f>
        <v>5.34419870377</v>
      </c>
      <c r="U1058" s="114" t="str">
        <f>HYPERLINK(AA2 &amp; "/hammer/sn_c69138f016b94ca721588c0f6594126d/rendering/18.obj", "2.50049352646")</f>
        <v>2.50049352646</v>
      </c>
      <c r="V1058" s="172" t="str">
        <f>HYPERLINK(AA2 &amp; "/hammer/sn_c69138f016b94ca721588c0f6594126d/rendering/19.obj", "2.84688162804")</f>
        <v>2.84688162804</v>
      </c>
      <c r="W1058" s="12" t="s">
        <v>30</v>
      </c>
      <c r="X1058" s="13">
        <v>4.6349832057952884</v>
      </c>
      <c r="Y1058" s="13">
        <v>3.0830993620548619</v>
      </c>
      <c r="Z1058" s="205">
        <v>0.66518026606869907</v>
      </c>
    </row>
    <row r="1059" spans="1:26" x14ac:dyDescent="0.2">
      <c r="A1059" s="1">
        <v>1057</v>
      </c>
      <c r="B1059" s="2" t="s">
        <v>244</v>
      </c>
      <c r="C1059" s="71" t="str">
        <f>HYPERLINK(AB2 &amp; "/hammer/sn_c69138f016b94ca721588c0f6594126d/rendering/00.obj", "4.39059143066")</f>
        <v>4.39059143066</v>
      </c>
      <c r="D1059" s="17" t="str">
        <f>HYPERLINK(AB2 &amp; "/hammer/sn_c69138f016b94ca721588c0f6594126d/rendering/01.obj", "3.84325164795")</f>
        <v>3.84325164795</v>
      </c>
      <c r="E1059" s="6" t="str">
        <f>HYPERLINK(AB2 &amp; "/hammer/sn_c69138f016b94ca721588c0f6594126d/rendering/02.obj", "3.74797790527")</f>
        <v>3.74797790527</v>
      </c>
      <c r="F1059" s="74" t="str">
        <f>HYPERLINK(AB2 &amp; "/hammer/sn_c69138f016b94ca721588c0f6594126d/rendering/03.obj", "3.87191375732")</f>
        <v>3.87191375732</v>
      </c>
      <c r="G1059" s="107" t="str">
        <f>HYPERLINK(AB2 &amp; "/hammer/sn_c69138f016b94ca721588c0f6594126d/rendering/04.obj", "4.26028839111")</f>
        <v>4.26028839111</v>
      </c>
      <c r="H1059" s="30" t="str">
        <f>HYPERLINK(AB2 &amp; "/hammer/sn_c69138f016b94ca721588c0f6594126d/rendering/05.obj", "3.94354431152")</f>
        <v>3.94354431152</v>
      </c>
      <c r="I1059" s="47" t="str">
        <f>HYPERLINK(AB2 &amp; "/hammer/sn_c69138f016b94ca721588c0f6594126d/rendering/06.obj", "3.96403656006")</f>
        <v>3.96403656006</v>
      </c>
      <c r="J1059" s="77" t="str">
        <f>HYPERLINK(AB2 &amp; "/hammer/sn_c69138f016b94ca721588c0f6594126d/rendering/07.obj", "4.66243621826")</f>
        <v>4.66243621826</v>
      </c>
      <c r="K1059" s="33" t="str">
        <f>HYPERLINK(AB2 &amp; "/hammer/sn_c69138f016b94ca721588c0f6594126d/rendering/08.obj", "3.5010144043")</f>
        <v>3.5010144043</v>
      </c>
      <c r="L1059" s="96" t="str">
        <f>HYPERLINK(AB2 &amp; "/hammer/sn_c69138f016b94ca721588c0f6594126d/rendering/09.obj", "5.35049804687")</f>
        <v>5.35049804687</v>
      </c>
      <c r="M1059" s="29" t="str">
        <f>HYPERLINK(AB2 &amp; "/hammer/sn_c69138f016b94ca721588c0f6594126d/rendering/10.obj", "4.43751342773")</f>
        <v>4.43751342773</v>
      </c>
      <c r="N1059" s="73" t="str">
        <f>HYPERLINK(AB2 &amp; "/hammer/sn_c69138f016b94ca721588c0f6594126d/rendering/11.obj", "3.78846435547")</f>
        <v>3.78846435547</v>
      </c>
      <c r="O1059" s="27" t="str">
        <f>HYPERLINK(AB2 &amp; "/hammer/sn_c69138f016b94ca721588c0f6594126d/rendering/12.obj", "3.65281890869")</f>
        <v>3.65281890869</v>
      </c>
      <c r="P1059" s="92" t="str">
        <f>HYPERLINK(AB2 &amp; "/hammer/sn_c69138f016b94ca721588c0f6594126d/rendering/13.obj", "3.44471923828")</f>
        <v>3.44471923828</v>
      </c>
      <c r="Q1059" s="29" t="str">
        <f>HYPERLINK(AB2 &amp; "/hammer/sn_c69138f016b94ca721588c0f6594126d/rendering/14.obj", "3.41457458496")</f>
        <v>3.41457458496</v>
      </c>
      <c r="R1059" s="60" t="str">
        <f>HYPERLINK(AB2 &amp; "/hammer/sn_c69138f016b94ca721588c0f6594126d/rendering/15.obj", "3.72841003418")</f>
        <v>3.72841003418</v>
      </c>
      <c r="S1059" s="42" t="str">
        <f>HYPERLINK(AB2 &amp; "/hammer/sn_c69138f016b94ca721588c0f6594126d/rendering/16.obj", "3.38739837646")</f>
        <v>3.38739837646</v>
      </c>
      <c r="T1059" s="107" t="str">
        <f>HYPERLINK(AB2 &amp; "/hammer/sn_c69138f016b94ca721588c0f6594126d/rendering/17.obj", "3.60647735596")</f>
        <v>3.60647735596</v>
      </c>
      <c r="U1059" s="48" t="str">
        <f>HYPERLINK(AB2 &amp; "/hammer/sn_c69138f016b94ca721588c0f6594126d/rendering/18.obj", "3.8387979126")</f>
        <v>3.8387979126</v>
      </c>
      <c r="V1059" s="6" t="str">
        <f>HYPERLINK(AB2 &amp; "/hammer/sn_c69138f016b94ca721588c0f6594126d/rendering/19.obj", "3.75215576172")</f>
        <v>3.75215576172</v>
      </c>
      <c r="W1059" s="12" t="s">
        <v>31</v>
      </c>
      <c r="X1059" s="13">
        <v>3.9293441314697262</v>
      </c>
      <c r="Y1059" s="13">
        <v>0.47117758807379989</v>
      </c>
      <c r="Z1059" s="63">
        <v>0.1199125279713185</v>
      </c>
    </row>
    <row r="1060" spans="1:26" x14ac:dyDescent="0.2">
      <c r="A1060" s="1">
        <v>1058</v>
      </c>
      <c r="B1060" s="2" t="s">
        <v>244</v>
      </c>
      <c r="C1060" s="72" t="str">
        <f>HYPERLINK(AB2 &amp; "/hammer/sn_c69138f016b94ca721588c0f6594126d/rendering/00.obj", "2.22913002968")</f>
        <v>2.22913002968</v>
      </c>
      <c r="D1060" s="42" t="str">
        <f>HYPERLINK(AB2 &amp; "/hammer/sn_c69138f016b94ca721588c0f6594126d/rendering/01.obj", "1.98652493954")</f>
        <v>1.98652493954</v>
      </c>
      <c r="E1060" s="31" t="str">
        <f>HYPERLINK(AB2 &amp; "/hammer/sn_c69138f016b94ca721588c0f6594126d/rendering/02.obj", "1.94666647911")</f>
        <v>1.94666647911</v>
      </c>
      <c r="F1060" s="75" t="str">
        <f>HYPERLINK(AB2 &amp; "/hammer/sn_c69138f016b94ca721588c0f6594126d/rendering/03.obj", "1.79619121552")</f>
        <v>1.79619121552</v>
      </c>
      <c r="G1060" s="114" t="str">
        <f>HYPERLINK(AB2 &amp; "/hammer/sn_c69138f016b94ca721588c0f6594126d/rendering/04.obj", "3.35907173157")</f>
        <v>3.35907173157</v>
      </c>
      <c r="H1060" s="117" t="str">
        <f>HYPERLINK(AB2 &amp; "/hammer/sn_c69138f016b94ca721588c0f6594126d/rendering/05.obj", "1.89133739471")</f>
        <v>1.89133739471</v>
      </c>
      <c r="I1060" s="107" t="str">
        <f>HYPERLINK(AB2 &amp; "/hammer/sn_c69138f016b94ca721588c0f6594126d/rendering/06.obj", "2.10738706589")</f>
        <v>2.10738706589</v>
      </c>
      <c r="J1060" s="65" t="str">
        <f>HYPERLINK(AB2 &amp; "/hammer/sn_c69138f016b94ca721588c0f6594126d/rendering/07.obj", "2.61099696159")</f>
        <v>2.61099696159</v>
      </c>
      <c r="K1060" s="81" t="str">
        <f>HYPERLINK(AB2 &amp; "/hammer/sn_c69138f016b94ca721588c0f6594126d/rendering/08.obj", "1.79882121086")</f>
        <v>1.79882121086</v>
      </c>
      <c r="L1060" s="20" t="str">
        <f>HYPERLINK(AB2 &amp; "/hammer/sn_c69138f016b94ca721588c0f6594126d/rendering/09.obj", "5.45457363129")</f>
        <v>5.45457363129</v>
      </c>
      <c r="M1060" s="34" t="str">
        <f>HYPERLINK(AB2 &amp; "/hammer/sn_c69138f016b94ca721588c0f6594126d/rendering/10.obj", "2.41483259201")</f>
        <v>2.41483259201</v>
      </c>
      <c r="N1060" s="39" t="str">
        <f>HYPERLINK(AB2 &amp; "/hammer/sn_c69138f016b94ca721588c0f6594126d/rendering/11.obj", "2.50003886223")</f>
        <v>2.50003886223</v>
      </c>
      <c r="O1060" s="80" t="str">
        <f>HYPERLINK(AB2 &amp; "/hammer/sn_c69138f016b94ca721588c0f6594126d/rendering/12.obj", "1.96126461029")</f>
        <v>1.96126461029</v>
      </c>
      <c r="P1060" s="64" t="str">
        <f>HYPERLINK(AB2 &amp; "/hammer/sn_c69138f016b94ca721588c0f6594126d/rendering/13.obj", "1.92538976669")</f>
        <v>1.92538976669</v>
      </c>
      <c r="Q1060" s="79" t="str">
        <f>HYPERLINK(AB2 &amp; "/hammer/sn_c69138f016b94ca721588c0f6594126d/rendering/14.obj", "1.9405977726")</f>
        <v>1.9405977726</v>
      </c>
      <c r="R1060" s="42" t="str">
        <f>HYPERLINK(AB2 &amp; "/hammer/sn_c69138f016b94ca721588c0f6594126d/rendering/15.obj", "1.98831939697")</f>
        <v>1.98831939697</v>
      </c>
      <c r="S1060" s="70" t="str">
        <f>HYPERLINK(AB2 &amp; "/hammer/sn_c69138f016b94ca721588c0f6594126d/rendering/16.obj", "2.01034522057")</f>
        <v>2.01034522057</v>
      </c>
      <c r="T1060" s="51" t="str">
        <f>HYPERLINK(AB2 &amp; "/hammer/sn_c69138f016b94ca721588c0f6594126d/rendering/17.obj", "2.12093377113")</f>
        <v>2.12093377113</v>
      </c>
      <c r="U1060" s="109" t="str">
        <f>HYPERLINK(AB2 &amp; "/hammer/sn_c69138f016b94ca721588c0f6594126d/rendering/18.obj", "1.86214351654")</f>
        <v>1.86214351654</v>
      </c>
      <c r="V1060" s="27" t="str">
        <f>HYPERLINK(AB2 &amp; "/hammer/sn_c69138f016b94ca721588c0f6594126d/rendering/19.obj", "2.13670563698")</f>
        <v>2.13670563698</v>
      </c>
      <c r="W1060" s="12" t="s">
        <v>32</v>
      </c>
      <c r="X1060" s="13">
        <v>2.3020635902881619</v>
      </c>
      <c r="Y1060" s="13">
        <v>0.80547448830380586</v>
      </c>
      <c r="Z1060" s="187">
        <v>0.34989237121941541</v>
      </c>
    </row>
    <row r="1061" spans="1:26" x14ac:dyDescent="0.2">
      <c r="A1061" s="1">
        <v>1059</v>
      </c>
      <c r="B1061" s="2" t="s">
        <v>244</v>
      </c>
      <c r="C1061" s="13" t="str">
        <f>HYPERLINK(AC2 &amp; "/hammer/sn_c69138f016b94ca721588c0f6594126d/rendering/00.xyz", "0.0")</f>
        <v>0.0</v>
      </c>
      <c r="D1061" s="13" t="str">
        <f>HYPERLINK(AC2 &amp; "/hammer/sn_c69138f016b94ca721588c0f6594126d/rendering/01.xyz", "0.0")</f>
        <v>0.0</v>
      </c>
      <c r="E1061" s="13" t="str">
        <f>HYPERLINK(AC2 &amp; "/hammer/sn_c69138f016b94ca721588c0f6594126d/rendering/02.xyz", "0.0")</f>
        <v>0.0</v>
      </c>
      <c r="F1061" s="13" t="str">
        <f>HYPERLINK(AC2 &amp; "/hammer/sn_c69138f016b94ca721588c0f6594126d/rendering/03.xyz", "0.0")</f>
        <v>0.0</v>
      </c>
      <c r="G1061" s="13" t="str">
        <f>HYPERLINK(AC2 &amp; "/hammer/sn_c69138f016b94ca721588c0f6594126d/rendering/04.xyz", "0.0")</f>
        <v>0.0</v>
      </c>
      <c r="H1061" s="13" t="str">
        <f>HYPERLINK(AC2 &amp; "/hammer/sn_c69138f016b94ca721588c0f6594126d/rendering/05.xyz", "0.0")</f>
        <v>0.0</v>
      </c>
      <c r="I1061" s="13" t="str">
        <f>HYPERLINK(AC2 &amp; "/hammer/sn_c69138f016b94ca721588c0f6594126d/rendering/06.xyz", "0.0")</f>
        <v>0.0</v>
      </c>
      <c r="J1061" s="13" t="str">
        <f>HYPERLINK(AC2 &amp; "/hammer/sn_c69138f016b94ca721588c0f6594126d/rendering/07.xyz", "0.0")</f>
        <v>0.0</v>
      </c>
      <c r="K1061" s="13" t="str">
        <f>HYPERLINK(AC2 &amp; "/hammer/sn_c69138f016b94ca721588c0f6594126d/rendering/08.xyz", "0.0")</f>
        <v>0.0</v>
      </c>
      <c r="L1061" s="13" t="str">
        <f>HYPERLINK(AC2 &amp; "/hammer/sn_c69138f016b94ca721588c0f6594126d/rendering/09.xyz", "0.0")</f>
        <v>0.0</v>
      </c>
      <c r="M1061" s="13" t="str">
        <f>HYPERLINK(AC2 &amp; "/hammer/sn_c69138f016b94ca721588c0f6594126d/rendering/10.xyz", "0.0")</f>
        <v>0.0</v>
      </c>
      <c r="N1061" s="13" t="str">
        <f>HYPERLINK(AC2 &amp; "/hammer/sn_c69138f016b94ca721588c0f6594126d/rendering/11.xyz", "0.0")</f>
        <v>0.0</v>
      </c>
      <c r="O1061" s="13" t="str">
        <f>HYPERLINK(AC2 &amp; "/hammer/sn_c69138f016b94ca721588c0f6594126d/rendering/12.xyz", "0.0")</f>
        <v>0.0</v>
      </c>
      <c r="P1061" s="13" t="str">
        <f>HYPERLINK(AC2 &amp; "/hammer/sn_c69138f016b94ca721588c0f6594126d/rendering/13.xyz", "0.0")</f>
        <v>0.0</v>
      </c>
      <c r="Q1061" s="13" t="str">
        <f>HYPERLINK(AC2 &amp; "/hammer/sn_c69138f016b94ca721588c0f6594126d/rendering/14.xyz", "0.0")</f>
        <v>0.0</v>
      </c>
      <c r="R1061" s="13" t="str">
        <f>HYPERLINK(AC2 &amp; "/hammer/sn_c69138f016b94ca721588c0f6594126d/rendering/15.xyz", "0.0")</f>
        <v>0.0</v>
      </c>
      <c r="S1061" s="13" t="str">
        <f>HYPERLINK(AC2 &amp; "/hammer/sn_c69138f016b94ca721588c0f6594126d/rendering/16.xyz", "0.0")</f>
        <v>0.0</v>
      </c>
      <c r="T1061" s="13" t="str">
        <f>HYPERLINK(AC2 &amp; "/hammer/sn_c69138f016b94ca721588c0f6594126d/rendering/17.xyz", "0.0")</f>
        <v>0.0</v>
      </c>
      <c r="U1061" s="13" t="str">
        <f>HYPERLINK(AC2 &amp; "/hammer/sn_c69138f016b94ca721588c0f6594126d/rendering/18.xyz", "0.0")</f>
        <v>0.0</v>
      </c>
      <c r="V1061" s="13" t="str">
        <f>HYPERLINK(AC2 &amp; "/hammer/sn_c69138f016b94ca721588c0f6594126d/rendering/19.xyz", "0.0")</f>
        <v>0.0</v>
      </c>
      <c r="W1061" s="12" t="s">
        <v>33</v>
      </c>
      <c r="X1061" s="13">
        <v>0</v>
      </c>
      <c r="Y1061" s="13">
        <v>0</v>
      </c>
      <c r="Z1061" s="13">
        <v>0</v>
      </c>
    </row>
    <row r="1062" spans="1:26" x14ac:dyDescent="0.2">
      <c r="A1062" s="1">
        <v>1060</v>
      </c>
      <c r="B1062" s="2" t="s">
        <v>245</v>
      </c>
      <c r="C1062" s="29" t="str">
        <f>HYPERLINK(AA2 &amp; "/hammer/sn_c83fd3001ececb799ca96b2737246fca/rendering/00.obj", "7.65024169922")</f>
        <v>7.65024169922</v>
      </c>
      <c r="D1062" s="140" t="str">
        <f>HYPERLINK(AA2 &amp; "/hammer/sn_c83fd3001ececb799ca96b2737246fca/rendering/01.obj", "5.75182861328")</f>
        <v>5.75182861328</v>
      </c>
      <c r="E1062" s="128" t="str">
        <f>HYPERLINK(AA2 &amp; "/hammer/sn_c83fd3001ececb799ca96b2737246fca/rendering/02.obj", "5.34769958496")</f>
        <v>5.34769958496</v>
      </c>
      <c r="F1062" s="58" t="str">
        <f>HYPERLINK(AA2 &amp; "/hammer/sn_c83fd3001ececb799ca96b2737246fca/rendering/03.obj", "6.66182983398")</f>
        <v>6.66182983398</v>
      </c>
      <c r="G1062" s="50" t="str">
        <f>HYPERLINK(AA2 &amp; "/hammer/sn_c83fd3001ececb799ca96b2737246fca/rendering/04.obj", "10.550234375")</f>
        <v>10.550234375</v>
      </c>
      <c r="H1062" s="166" t="str">
        <f>HYPERLINK(AA2 &amp; "/hammer/sn_c83fd3001ececb799ca96b2737246fca/rendering/05.obj", "6.27432067871")</f>
        <v>6.27432067871</v>
      </c>
      <c r="I1062" s="84" t="str">
        <f>HYPERLINK(AA2 &amp; "/hammer/sn_c83fd3001ececb799ca96b2737246fca/rendering/06.obj", "7.52489379883")</f>
        <v>7.52489379883</v>
      </c>
      <c r="J1062" s="243" t="str">
        <f>HYPERLINK(AA2 &amp; "/hammer/sn_c83fd3001ececb799ca96b2737246fca/rendering/07.obj", "15.6640527344")</f>
        <v>15.6640527344</v>
      </c>
      <c r="K1062" s="175" t="str">
        <f>HYPERLINK(AA2 &amp; "/hammer/sn_c83fd3001ececb799ca96b2737246fca/rendering/08.obj", "6.74936645508")</f>
        <v>6.74936645508</v>
      </c>
      <c r="L1062" s="136" t="str">
        <f>HYPERLINK(AA2 &amp; "/hammer/sn_c83fd3001ececb799ca96b2737246fca/rendering/09.obj", "6.71309814453")</f>
        <v>6.71309814453</v>
      </c>
      <c r="M1062" s="20" t="str">
        <f>HYPERLINK(AA2 &amp; "/hammer/sn_c83fd3001ececb799ca96b2737246fca/rendering/10.obj", "25.2507421875")</f>
        <v>25.2507421875</v>
      </c>
      <c r="N1062" s="54" t="str">
        <f>HYPERLINK(AA2 &amp; "/hammer/sn_c83fd3001ececb799ca96b2737246fca/rendering/11.obj", "5.90977294922")</f>
        <v>5.90977294922</v>
      </c>
      <c r="O1062" s="20" t="str">
        <f>HYPERLINK(AA2 &amp; "/hammer/sn_c83fd3001ececb799ca96b2737246fca/rendering/12.obj", "18.4496252441")</f>
        <v>18.4496252441</v>
      </c>
      <c r="P1062" s="123" t="str">
        <f>HYPERLINK(AA2 &amp; "/hammer/sn_c83fd3001ececb799ca96b2737246fca/rendering/13.obj", "5.55125244141")</f>
        <v>5.55125244141</v>
      </c>
      <c r="Q1062" s="76" t="str">
        <f>HYPERLINK(AA2 &amp; "/hammer/sn_c83fd3001ececb799ca96b2737246fca/rendering/14.obj", "7.19158813477")</f>
        <v>7.19158813477</v>
      </c>
      <c r="R1062" s="43" t="str">
        <f>HYPERLINK(AA2 &amp; "/hammer/sn_c83fd3001ececb799ca96b2737246fca/rendering/15.obj", "5.48852050781")</f>
        <v>5.48852050781</v>
      </c>
      <c r="S1062" s="166" t="str">
        <f>HYPERLINK(AA2 &amp; "/hammer/sn_c83fd3001ececb799ca96b2737246fca/rendering/16.obj", "6.26974060059")</f>
        <v>6.26974060059</v>
      </c>
      <c r="T1062" s="25" t="str">
        <f>HYPERLINK(AA2 &amp; "/hammer/sn_c83fd3001ececb799ca96b2737246fca/rendering/17.obj", "8.90044921875")</f>
        <v>8.90044921875</v>
      </c>
      <c r="U1062" s="50" t="str">
        <f>HYPERLINK(AA2 &amp; "/hammer/sn_c83fd3001ececb799ca96b2737246fca/rendering/18.obj", "7.04882324219")</f>
        <v>7.04882324219</v>
      </c>
      <c r="V1062" s="88" t="str">
        <f>HYPERLINK(AA2 &amp; "/hammer/sn_c83fd3001ececb799ca96b2737246fca/rendering/19.obj", "7.00381469727")</f>
        <v>7.00381469727</v>
      </c>
      <c r="W1062" s="12" t="s">
        <v>29</v>
      </c>
      <c r="X1062" s="13">
        <v>8.7975947570800788</v>
      </c>
      <c r="Y1062" s="13">
        <v>5.0137567003404806</v>
      </c>
      <c r="Z1062" s="225">
        <v>0.56990084662691898</v>
      </c>
    </row>
    <row r="1063" spans="1:26" x14ac:dyDescent="0.2">
      <c r="A1063" s="1">
        <v>1061</v>
      </c>
      <c r="B1063" s="2" t="s">
        <v>245</v>
      </c>
      <c r="C1063" s="159" t="str">
        <f>HYPERLINK(AA2 &amp; "/hammer/sn_c83fd3001ececb799ca96b2737246fca/rendering/00.obj", "8.1700296402")</f>
        <v>8.1700296402</v>
      </c>
      <c r="D1063" s="20" t="str">
        <f>HYPERLINK(AA2 &amp; "/hammer/sn_c83fd3001ececb799ca96b2737246fca/rendering/01.obj", "1.92365705967")</f>
        <v>1.92365705967</v>
      </c>
      <c r="E1063" s="20" t="str">
        <f>HYPERLINK(AA2 &amp; "/hammer/sn_c83fd3001ececb799ca96b2737246fca/rendering/02.obj", "2.06904745102")</f>
        <v>2.06904745102</v>
      </c>
      <c r="F1063" s="125" t="str">
        <f>HYPERLINK(AA2 &amp; "/hammer/sn_c83fd3001ececb799ca96b2737246fca/rendering/03.obj", "4.48667526245")</f>
        <v>4.48667526245</v>
      </c>
      <c r="G1063" s="118" t="str">
        <f>HYPERLINK(AA2 &amp; "/hammer/sn_c83fd3001ececb799ca96b2737246fca/rendering/04.obj", "19.9545631409")</f>
        <v>19.9545631409</v>
      </c>
      <c r="H1063" s="20" t="str">
        <f>HYPERLINK(AA2 &amp; "/hammer/sn_c83fd3001ececb799ca96b2737246fca/rendering/05.obj", "1.90829861164")</f>
        <v>1.90829861164</v>
      </c>
      <c r="I1063" s="43" t="str">
        <f>HYPERLINK(AA2 &amp; "/hammer/sn_c83fd3001ececb799ca96b2737246fca/rendering/06.obj", "9.65638923645")</f>
        <v>9.65638923645</v>
      </c>
      <c r="J1063" s="20" t="str">
        <f>HYPERLINK(AA2 &amp; "/hammer/sn_c83fd3001ececb799ca96b2737246fca/rendering/07.obj", "44.7644538879")</f>
        <v>44.7644538879</v>
      </c>
      <c r="K1063" s="240" t="str">
        <f>HYPERLINK(AA2 &amp; "/hammer/sn_c83fd3001ececb799ca96b2737246fca/rendering/08.obj", "5.35076856613")</f>
        <v>5.35076856613</v>
      </c>
      <c r="L1063" s="197" t="str">
        <f>HYPERLINK(AA2 &amp; "/hammer/sn_c83fd3001ececb799ca96b2737246fca/rendering/09.obj", "6.68212890625")</f>
        <v>6.68212890625</v>
      </c>
      <c r="M1063" s="20" t="str">
        <f>HYPERLINK(AA2 &amp; "/hammer/sn_c83fd3001ececb799ca96b2737246fca/rendering/10.obj", "114.782951355")</f>
        <v>114.782951355</v>
      </c>
      <c r="N1063" s="20" t="str">
        <f>HYPERLINK(AA2 &amp; "/hammer/sn_c83fd3001ececb799ca96b2737246fca/rendering/11.obj", "2.36164689064")</f>
        <v>2.36164689064</v>
      </c>
      <c r="O1063" s="20" t="str">
        <f>HYPERLINK(AA2 &amp; "/hammer/sn_c83fd3001ececb799ca96b2737246fca/rendering/12.obj", "57.8196029663")</f>
        <v>57.8196029663</v>
      </c>
      <c r="P1063" s="224" t="str">
        <f>HYPERLINK(AA2 &amp; "/hammer/sn_c83fd3001ececb799ca96b2737246fca/rendering/13.obj", "4.5326666832")</f>
        <v>4.5326666832</v>
      </c>
      <c r="Q1063" s="258" t="str">
        <f>HYPERLINK(AA2 &amp; "/hammer/sn_c83fd3001ececb799ca96b2737246fca/rendering/14.obj", "3.66558790207")</f>
        <v>3.66558790207</v>
      </c>
      <c r="R1063" s="20" t="str">
        <f>HYPERLINK(AA2 &amp; "/hammer/sn_c83fd3001ececb799ca96b2737246fca/rendering/15.obj", "2.03308534622")</f>
        <v>2.03308534622</v>
      </c>
      <c r="S1063" s="237" t="str">
        <f>HYPERLINK(AA2 &amp; "/hammer/sn_c83fd3001ececb799ca96b2737246fca/rendering/16.obj", "5.04861211777")</f>
        <v>5.04861211777</v>
      </c>
      <c r="T1063" s="146" t="str">
        <f>HYPERLINK(AA2 &amp; "/hammer/sn_c83fd3001ececb799ca96b2737246fca/rendering/17.obj", "3.4658575058")</f>
        <v>3.4658575058</v>
      </c>
      <c r="U1063" s="208" t="str">
        <f>HYPERLINK(AA2 &amp; "/hammer/sn_c83fd3001ececb799ca96b2737246fca/rendering/18.obj", "3.65045666695")</f>
        <v>3.65045666695</v>
      </c>
      <c r="V1063" s="167" t="str">
        <f>HYPERLINK(AA2 &amp; "/hammer/sn_c83fd3001ececb799ca96b2737246fca/rendering/19.obj", "6.08603572845")</f>
        <v>6.08603572845</v>
      </c>
      <c r="W1063" s="12" t="s">
        <v>30</v>
      </c>
      <c r="X1063" s="13">
        <v>15.420625746250151</v>
      </c>
      <c r="Y1063" s="13">
        <v>26.982353654646261</v>
      </c>
      <c r="Z1063" s="20">
        <v>1.749757376817707</v>
      </c>
    </row>
    <row r="1064" spans="1:26" x14ac:dyDescent="0.2">
      <c r="A1064" s="1">
        <v>1062</v>
      </c>
      <c r="B1064" s="2" t="s">
        <v>245</v>
      </c>
      <c r="C1064" s="90" t="str">
        <f>HYPERLINK(AB2 &amp; "/hammer/sn_c83fd3001ececb799ca96b2737246fca/rendering/00.obj", "4.87195648193")</f>
        <v>4.87195648193</v>
      </c>
      <c r="D1064" s="29" t="str">
        <f>HYPERLINK(AB2 &amp; "/hammer/sn_c83fd3001ececb799ca96b2737246fca/rendering/01.obj", "6.0858215332")</f>
        <v>6.0858215332</v>
      </c>
      <c r="E1064" s="72" t="str">
        <f>HYPERLINK(AB2 &amp; "/hammer/sn_c83fd3001ececb799ca96b2737246fca/rendering/02.obj", "5.20346313477")</f>
        <v>5.20346313477</v>
      </c>
      <c r="F1064" s="83" t="str">
        <f>HYPERLINK(AB2 &amp; "/hammer/sn_c83fd3001ececb799ca96b2737246fca/rendering/03.obj", "6.20044372559")</f>
        <v>6.20044372559</v>
      </c>
      <c r="G1064" s="40" t="str">
        <f>HYPERLINK(AB2 &amp; "/hammer/sn_c83fd3001ececb799ca96b2737246fca/rendering/04.obj", "4.47128753662")</f>
        <v>4.47128753662</v>
      </c>
      <c r="H1064" s="6" t="str">
        <f>HYPERLINK(AB2 &amp; "/hammer/sn_c83fd3001ececb799ca96b2737246fca/rendering/05.obj", "5.13656066895")</f>
        <v>5.13656066895</v>
      </c>
      <c r="I1064" s="65" t="str">
        <f>HYPERLINK(AB2 &amp; "/hammer/sn_c83fd3001ececb799ca96b2737246fca/rendering/06.obj", "6.10907348633")</f>
        <v>6.10907348633</v>
      </c>
      <c r="J1064" s="81" t="str">
        <f>HYPERLINK(AB2 &amp; "/hammer/sn_c83fd3001ececb799ca96b2737246fca/rendering/07.obj", "4.21227325439")</f>
        <v>4.21227325439</v>
      </c>
      <c r="K1064" s="6" t="str">
        <f>HYPERLINK(AB2 &amp; "/hammer/sn_c83fd3001ececb799ca96b2737246fca/rendering/08.obj", "5.63425720215")</f>
        <v>5.63425720215</v>
      </c>
      <c r="L1064" s="41" t="str">
        <f>HYPERLINK(AB2 &amp; "/hammer/sn_c83fd3001ececb799ca96b2737246fca/rendering/09.obj", "5.74843383789")</f>
        <v>5.74843383789</v>
      </c>
      <c r="M1064" s="196" t="str">
        <f>HYPERLINK(AB2 &amp; "/hammer/sn_c83fd3001ececb799ca96b2737246fca/rendering/10.obj", "3.25021179199")</f>
        <v>3.25021179199</v>
      </c>
      <c r="N1064" s="23" t="str">
        <f>HYPERLINK(AB2 &amp; "/hammer/sn_c83fd3001ececb799ca96b2737246fca/rendering/11.obj", "5.16846862793")</f>
        <v>5.16846862793</v>
      </c>
      <c r="O1064" s="92" t="str">
        <f>HYPERLINK(AB2 &amp; "/hammer/sn_c83fd3001ececb799ca96b2737246fca/rendering/12.obj", "6.05755615234")</f>
        <v>6.05755615234</v>
      </c>
      <c r="P1064" s="107" t="str">
        <f>HYPERLINK(AB2 &amp; "/hammer/sn_c83fd3001ececb799ca96b2737246fca/rendering/13.obj", "5.83151000977")</f>
        <v>5.83151000977</v>
      </c>
      <c r="Q1064" s="27" t="str">
        <f>HYPERLINK(AB2 &amp; "/hammer/sn_c83fd3001ececb799ca96b2737246fca/rendering/14.obj", "5.75823364258")</f>
        <v>5.75823364258</v>
      </c>
      <c r="R1064" s="13" t="str">
        <f>HYPERLINK(AB2 &amp; "/hammer/sn_c83fd3001ececb799ca96b2737246fca/rendering/15.obj", "5.38777648926")</f>
        <v>5.38777648926</v>
      </c>
      <c r="S1064" s="30" t="str">
        <f>HYPERLINK(AB2 &amp; "/hammer/sn_c83fd3001ececb799ca96b2737246fca/rendering/16.obj", "5.41617248535")</f>
        <v>5.41617248535</v>
      </c>
      <c r="T1064" s="31" t="str">
        <f>HYPERLINK(AB2 &amp; "/hammer/sn_c83fd3001ececb799ca96b2737246fca/rendering/17.obj", "6.22204650879")</f>
        <v>6.22204650879</v>
      </c>
      <c r="U1064" s="82" t="str">
        <f>HYPERLINK(AB2 &amp; "/hammer/sn_c83fd3001ececb799ca96b2737246fca/rendering/18.obj", "6.48738647461")</f>
        <v>6.48738647461</v>
      </c>
      <c r="V1064" s="134" t="str">
        <f>HYPERLINK(AB2 &amp; "/hammer/sn_c83fd3001ececb799ca96b2737246fca/rendering/19.obj", "4.41456542969")</f>
        <v>4.41456542969</v>
      </c>
      <c r="W1064" s="12" t="s">
        <v>31</v>
      </c>
      <c r="X1064" s="13">
        <v>5.3833749237060564</v>
      </c>
      <c r="Y1064" s="13">
        <v>0.79675687629304648</v>
      </c>
      <c r="Z1064" s="80">
        <v>0.14800322986691369</v>
      </c>
    </row>
    <row r="1065" spans="1:26" x14ac:dyDescent="0.2">
      <c r="A1065" s="1">
        <v>1063</v>
      </c>
      <c r="B1065" s="2" t="s">
        <v>245</v>
      </c>
      <c r="C1065" s="38" t="str">
        <f>HYPERLINK(AB2 &amp; "/hammer/sn_c83fd3001ececb799ca96b2737246fca/rendering/00.obj", "1.91349887848")</f>
        <v>1.91349887848</v>
      </c>
      <c r="D1065" s="107" t="str">
        <f>HYPERLINK(AB2 &amp; "/hammer/sn_c83fd3001ececb799ca96b2737246fca/rendering/01.obj", "1.92463767529")</f>
        <v>1.92463767529</v>
      </c>
      <c r="E1065" s="98" t="str">
        <f>HYPERLINK(AB2 &amp; "/hammer/sn_c83fd3001ececb799ca96b2737246fca/rendering/02.obj", "1.61736524105")</f>
        <v>1.61736524105</v>
      </c>
      <c r="F1065" s="76" t="str">
        <f>HYPERLINK(AB2 &amp; "/hammer/sn_c83fd3001ececb799ca96b2737246fca/rendering/03.obj", "1.71266746521")</f>
        <v>1.71266746521</v>
      </c>
      <c r="G1065" s="40" t="str">
        <f>HYPERLINK(AB2 &amp; "/hammer/sn_c83fd3001ececb799ca96b2737246fca/rendering/04.obj", "1.74076867104")</f>
        <v>1.74076867104</v>
      </c>
      <c r="H1065" s="64" t="str">
        <f>HYPERLINK(AB2 &amp; "/hammer/sn_c83fd3001ececb799ca96b2737246fca/rendering/05.obj", "1.75687253475")</f>
        <v>1.75687253475</v>
      </c>
      <c r="I1065" s="79" t="str">
        <f>HYPERLINK(AB2 &amp; "/hammer/sn_c83fd3001ececb799ca96b2737246fca/rendering/06.obj", "1.76740753651")</f>
        <v>1.76740753651</v>
      </c>
      <c r="J1065" s="79" t="str">
        <f>HYPERLINK(AB2 &amp; "/hammer/sn_c83fd3001ececb799ca96b2737246fca/rendering/07.obj", "1.76831686497")</f>
        <v>1.76831686497</v>
      </c>
      <c r="K1065" s="89" t="str">
        <f>HYPERLINK(AB2 &amp; "/hammer/sn_c83fd3001ececb799ca96b2737246fca/rendering/08.obj", "2.64128923416")</f>
        <v>2.64128923416</v>
      </c>
      <c r="L1065" s="29" t="str">
        <f>HYPERLINK(AB2 &amp; "/hammer/sn_c83fd3001ececb799ca96b2737246fca/rendering/09.obj", "1.82416570187")</f>
        <v>1.82416570187</v>
      </c>
      <c r="M1065" s="132" t="str">
        <f>HYPERLINK(AB2 &amp; "/hammer/sn_c83fd3001ececb799ca96b2737246fca/rendering/10.obj", "2.98131346703")</f>
        <v>2.98131346703</v>
      </c>
      <c r="N1065" s="89" t="str">
        <f>HYPERLINK(AB2 &amp; "/hammer/sn_c83fd3001ececb799ca96b2737246fca/rendering/11.obj", "1.55309033394")</f>
        <v>1.55309033394</v>
      </c>
      <c r="O1065" s="208" t="str">
        <f>HYPERLINK(AB2 &amp; "/hammer/sn_c83fd3001ececb799ca96b2737246fca/rendering/12.obj", "3.70343565941")</f>
        <v>3.70343565941</v>
      </c>
      <c r="P1065" s="74" t="str">
        <f>HYPERLINK(AB2 &amp; "/hammer/sn_c83fd3001ececb799ca96b2737246fca/rendering/13.obj", "2.07052612305")</f>
        <v>2.07052612305</v>
      </c>
      <c r="Q1065" s="133" t="str">
        <f>HYPERLINK(AB2 &amp; "/hammer/sn_c83fd3001ececb799ca96b2737246fca/rendering/14.obj", "1.88425731659")</f>
        <v>1.88425731659</v>
      </c>
      <c r="R1065" s="92" t="str">
        <f>HYPERLINK(AB2 &amp; "/hammer/sn_c83fd3001ececb799ca96b2737246fca/rendering/15.obj", "1.83688545227")</f>
        <v>1.83688545227</v>
      </c>
      <c r="S1065" s="110" t="str">
        <f>HYPERLINK(AB2 &amp; "/hammer/sn_c83fd3001ececb799ca96b2737246fca/rendering/16.obj", "1.88918316364")</f>
        <v>1.88918316364</v>
      </c>
      <c r="T1065" s="141" t="str">
        <f>HYPERLINK(AB2 &amp; "/hammer/sn_c83fd3001ececb799ca96b2737246fca/rendering/17.obj", "3.2523765564")</f>
        <v>3.2523765564</v>
      </c>
      <c r="U1065" s="77" t="str">
        <f>HYPERLINK(AB2 &amp; "/hammer/sn_c83fd3001ececb799ca96b2737246fca/rendering/18.obj", "2.49181509018")</f>
        <v>2.49181509018</v>
      </c>
      <c r="V1065" s="49" t="str">
        <f>HYPERLINK(AB2 &amp; "/hammer/sn_c83fd3001ececb799ca96b2737246fca/rendering/19.obj", "1.65876269341")</f>
        <v>1.65876269341</v>
      </c>
      <c r="W1065" s="12" t="s">
        <v>32</v>
      </c>
      <c r="X1065" s="13">
        <v>2.0994317829608922</v>
      </c>
      <c r="Y1065" s="13">
        <v>0.58176807680109022</v>
      </c>
      <c r="Z1065" s="7">
        <v>0.2771073971170453</v>
      </c>
    </row>
    <row r="1066" spans="1:26" x14ac:dyDescent="0.2">
      <c r="A1066" s="1">
        <v>1064</v>
      </c>
      <c r="B1066" s="2" t="s">
        <v>245</v>
      </c>
      <c r="C1066" s="13" t="str">
        <f>HYPERLINK(AC2 &amp; "/hammer/sn_c83fd3001ececb799ca96b2737246fca/rendering/00.xyz", "0.0")</f>
        <v>0.0</v>
      </c>
      <c r="D1066" s="13" t="str">
        <f>HYPERLINK(AC2 &amp; "/hammer/sn_c83fd3001ececb799ca96b2737246fca/rendering/01.xyz", "0.0")</f>
        <v>0.0</v>
      </c>
      <c r="E1066" s="13" t="str">
        <f>HYPERLINK(AC2 &amp; "/hammer/sn_c83fd3001ececb799ca96b2737246fca/rendering/02.xyz", "0.0")</f>
        <v>0.0</v>
      </c>
      <c r="F1066" s="13" t="str">
        <f>HYPERLINK(AC2 &amp; "/hammer/sn_c83fd3001ececb799ca96b2737246fca/rendering/03.xyz", "0.0")</f>
        <v>0.0</v>
      </c>
      <c r="G1066" s="13" t="str">
        <f>HYPERLINK(AC2 &amp; "/hammer/sn_c83fd3001ececb799ca96b2737246fca/rendering/04.xyz", "0.0")</f>
        <v>0.0</v>
      </c>
      <c r="H1066" s="13" t="str">
        <f>HYPERLINK(AC2 &amp; "/hammer/sn_c83fd3001ececb799ca96b2737246fca/rendering/05.xyz", "0.0")</f>
        <v>0.0</v>
      </c>
      <c r="I1066" s="13" t="str">
        <f>HYPERLINK(AC2 &amp; "/hammer/sn_c83fd3001ececb799ca96b2737246fca/rendering/06.xyz", "0.0")</f>
        <v>0.0</v>
      </c>
      <c r="J1066" s="13" t="str">
        <f>HYPERLINK(AC2 &amp; "/hammer/sn_c83fd3001ececb799ca96b2737246fca/rendering/07.xyz", "0.0")</f>
        <v>0.0</v>
      </c>
      <c r="K1066" s="13" t="str">
        <f>HYPERLINK(AC2 &amp; "/hammer/sn_c83fd3001ececb799ca96b2737246fca/rendering/08.xyz", "0.0")</f>
        <v>0.0</v>
      </c>
      <c r="L1066" s="13" t="str">
        <f>HYPERLINK(AC2 &amp; "/hammer/sn_c83fd3001ececb799ca96b2737246fca/rendering/09.xyz", "0.0")</f>
        <v>0.0</v>
      </c>
      <c r="M1066" s="13" t="str">
        <f>HYPERLINK(AC2 &amp; "/hammer/sn_c83fd3001ececb799ca96b2737246fca/rendering/10.xyz", "0.0")</f>
        <v>0.0</v>
      </c>
      <c r="N1066" s="13" t="str">
        <f>HYPERLINK(AC2 &amp; "/hammer/sn_c83fd3001ececb799ca96b2737246fca/rendering/11.xyz", "0.0")</f>
        <v>0.0</v>
      </c>
      <c r="O1066" s="13" t="str">
        <f>HYPERLINK(AC2 &amp; "/hammer/sn_c83fd3001ececb799ca96b2737246fca/rendering/12.xyz", "0.0")</f>
        <v>0.0</v>
      </c>
      <c r="P1066" s="13" t="str">
        <f>HYPERLINK(AC2 &amp; "/hammer/sn_c83fd3001ececb799ca96b2737246fca/rendering/13.xyz", "0.0")</f>
        <v>0.0</v>
      </c>
      <c r="Q1066" s="13" t="str">
        <f>HYPERLINK(AC2 &amp; "/hammer/sn_c83fd3001ececb799ca96b2737246fca/rendering/14.xyz", "0.0")</f>
        <v>0.0</v>
      </c>
      <c r="R1066" s="13" t="str">
        <f>HYPERLINK(AC2 &amp; "/hammer/sn_c83fd3001ececb799ca96b2737246fca/rendering/15.xyz", "0.0")</f>
        <v>0.0</v>
      </c>
      <c r="S1066" s="13" t="str">
        <f>HYPERLINK(AC2 &amp; "/hammer/sn_c83fd3001ececb799ca96b2737246fca/rendering/16.xyz", "0.0")</f>
        <v>0.0</v>
      </c>
      <c r="T1066" s="13" t="str">
        <f>HYPERLINK(AC2 &amp; "/hammer/sn_c83fd3001ececb799ca96b2737246fca/rendering/17.xyz", "0.0")</f>
        <v>0.0</v>
      </c>
      <c r="U1066" s="13" t="str">
        <f>HYPERLINK(AC2 &amp; "/hammer/sn_c83fd3001ececb799ca96b2737246fca/rendering/18.xyz", "0.0")</f>
        <v>0.0</v>
      </c>
      <c r="V1066" s="13" t="str">
        <f>HYPERLINK(AC2 &amp; "/hammer/sn_c83fd3001ececb799ca96b2737246fca/rendering/19.xyz", "0.0")</f>
        <v>0.0</v>
      </c>
      <c r="W1066" s="12" t="s">
        <v>33</v>
      </c>
      <c r="X1066" s="13">
        <v>0</v>
      </c>
      <c r="Y1066" s="13">
        <v>0</v>
      </c>
      <c r="Z1066" s="13">
        <v>0</v>
      </c>
    </row>
    <row r="1067" spans="1:26" x14ac:dyDescent="0.2">
      <c r="A1067" s="1">
        <v>1065</v>
      </c>
      <c r="B1067" s="2" t="s">
        <v>246</v>
      </c>
      <c r="C1067" s="230" t="str">
        <f>HYPERLINK(AA2 &amp; "/hammer/sn_cea097235ec4680aad454fe44be80ba/rendering/00.obj", "16.7066308594")</f>
        <v>16.7066308594</v>
      </c>
      <c r="D1067" s="249" t="str">
        <f>HYPERLINK(AA2 &amp; "/hammer/sn_cea097235ec4680aad454fe44be80ba/rendering/01.obj", "18.0395959473")</f>
        <v>18.0395959473</v>
      </c>
      <c r="E1067" s="38" t="str">
        <f>HYPERLINK(AA2 &amp; "/hammer/sn_cea097235ec4680aad454fe44be80ba/rendering/02.obj", "10.4651452637")</f>
        <v>10.4651452637</v>
      </c>
      <c r="F1067" s="237" t="str">
        <f>HYPERLINK(AA2 &amp; "/hammer/sn_cea097235ec4680aad454fe44be80ba/rendering/03.obj", "19.2128979492")</f>
        <v>19.2128979492</v>
      </c>
      <c r="G1067" s="182" t="str">
        <f>HYPERLINK(AA2 &amp; "/hammer/sn_cea097235ec4680aad454fe44be80ba/rendering/04.obj", "15.3337548828")</f>
        <v>15.3337548828</v>
      </c>
      <c r="H1067" s="106" t="str">
        <f>HYPERLINK(AA2 &amp; "/hammer/sn_cea097235ec4680aad454fe44be80ba/rendering/05.obj", "10.1742480469")</f>
        <v>10.1742480469</v>
      </c>
      <c r="I1067" s="78" t="str">
        <f>HYPERLINK(AA2 &amp; "/hammer/sn_cea097235ec4680aad454fe44be80ba/rendering/06.obj", "10.7753173828")</f>
        <v>10.7753173828</v>
      </c>
      <c r="J1067" s="68" t="str">
        <f>HYPERLINK(AA2 &amp; "/hammer/sn_cea097235ec4680aad454fe44be80ba/rendering/07.obj", "10.9787670898")</f>
        <v>10.9787670898</v>
      </c>
      <c r="K1067" s="172" t="str">
        <f>HYPERLINK(AA2 &amp; "/hammer/sn_cea097235ec4680aad454fe44be80ba/rendering/08.obj", "7.08232421875")</f>
        <v>7.08232421875</v>
      </c>
      <c r="L1067" s="43" t="str">
        <f>HYPERLINK(AA2 &amp; "/hammer/sn_cea097235ec4680aad454fe44be80ba/rendering/09.obj", "7.16696166992")</f>
        <v>7.16696166992</v>
      </c>
      <c r="M1067" s="44" t="str">
        <f>HYPERLINK(AA2 &amp; "/hammer/sn_cea097235ec4680aad454fe44be80ba/rendering/10.obj", "9.24705444336")</f>
        <v>9.24705444336</v>
      </c>
      <c r="N1067" s="80" t="str">
        <f>HYPERLINK(AA2 &amp; "/hammer/sn_cea097235ec4680aad454fe44be80ba/rendering/11.obj", "9.76143554688")</f>
        <v>9.76143554688</v>
      </c>
      <c r="O1067" s="25" t="str">
        <f>HYPERLINK(AA2 &amp; "/hammer/sn_cea097235ec4680aad454fe44be80ba/rendering/12.obj", "11.6057995605")</f>
        <v>11.6057995605</v>
      </c>
      <c r="P1067" s="110" t="str">
        <f>HYPERLINK(AA2 &amp; "/hammer/sn_cea097235ec4680aad454fe44be80ba/rendering/13.obj", "12.6248278809")</f>
        <v>12.6248278809</v>
      </c>
      <c r="Q1067" s="70" t="str">
        <f>HYPERLINK(AA2 &amp; "/hammer/sn_cea097235ec4680aad454fe44be80ba/rendering/14.obj", "10.0055310059")</f>
        <v>10.0055310059</v>
      </c>
      <c r="R1067" s="49" t="str">
        <f>HYPERLINK(AA2 &amp; "/hammer/sn_cea097235ec4680aad454fe44be80ba/rendering/15.obj", "9.0833581543")</f>
        <v>9.0833581543</v>
      </c>
      <c r="S1067" s="38" t="str">
        <f>HYPERLINK(AA2 &amp; "/hammer/sn_cea097235ec4680aad454fe44be80ba/rendering/16.obj", "12.4963330078")</f>
        <v>12.4963330078</v>
      </c>
      <c r="T1067" s="37" t="str">
        <f>HYPERLINK(AA2 &amp; "/hammer/sn_cea097235ec4680aad454fe44be80ba/rendering/17.obj", "9.4638659668")</f>
        <v>9.4638659668</v>
      </c>
      <c r="U1067" s="38" t="str">
        <f>HYPERLINK(AA2 &amp; "/hammer/sn_cea097235ec4680aad454fe44be80ba/rendering/18.obj", "12.4951489258")</f>
        <v>12.4951489258</v>
      </c>
      <c r="V1067" s="52" t="str">
        <f>HYPERLINK(AA2 &amp; "/hammer/sn_cea097235ec4680aad454fe44be80ba/rendering/19.obj", "6.88642944336")</f>
        <v>6.88642944336</v>
      </c>
      <c r="W1067" s="12" t="s">
        <v>29</v>
      </c>
      <c r="X1067" s="13">
        <v>11.480271362304689</v>
      </c>
      <c r="Y1067" s="13">
        <v>3.3972985687262618</v>
      </c>
      <c r="Z1067" s="85">
        <v>0.29592493604996528</v>
      </c>
    </row>
    <row r="1068" spans="1:26" x14ac:dyDescent="0.2">
      <c r="A1068" s="1">
        <v>1066</v>
      </c>
      <c r="B1068" s="2" t="s">
        <v>246</v>
      </c>
      <c r="C1068" s="20" t="str">
        <f>HYPERLINK(AA2 &amp; "/hammer/sn_cea097235ec4680aad454fe44be80ba/rendering/00.obj", "74.535446167")</f>
        <v>74.535446167</v>
      </c>
      <c r="D1068" s="20" t="str">
        <f>HYPERLINK(AA2 &amp; "/hammer/sn_cea097235ec4680aad454fe44be80ba/rendering/01.obj", "77.9208297729")</f>
        <v>77.9208297729</v>
      </c>
      <c r="E1068" s="101" t="str">
        <f>HYPERLINK(AA2 &amp; "/hammer/sn_cea097235ec4680aad454fe44be80ba/rendering/02.obj", "18.7389640808")</f>
        <v>18.7389640808</v>
      </c>
      <c r="F1068" s="20" t="str">
        <f>HYPERLINK(AA2 &amp; "/hammer/sn_cea097235ec4680aad454fe44be80ba/rendering/03.obj", "112.84601593")</f>
        <v>112.84601593</v>
      </c>
      <c r="G1068" s="197" t="str">
        <f>HYPERLINK(AA2 &amp; "/hammer/sn_cea097235ec4680aad454fe44be80ba/rendering/04.obj", "47.2466239929")</f>
        <v>47.2466239929</v>
      </c>
      <c r="H1068" s="181" t="str">
        <f>HYPERLINK(AA2 &amp; "/hammer/sn_cea097235ec4680aad454fe44be80ba/rendering/05.obj", "16.7406044006")</f>
        <v>16.7406044006</v>
      </c>
      <c r="I1068" s="43" t="str">
        <f>HYPERLINK(AA2 &amp; "/hammer/sn_cea097235ec4680aad454fe44be80ba/rendering/06.obj", "18.8433914185")</f>
        <v>18.8433914185</v>
      </c>
      <c r="J1068" s="182" t="str">
        <f>HYPERLINK(AA2 &amp; "/hammer/sn_cea097235ec4680aad454fe44be80ba/rendering/07.obj", "20.1122512817")</f>
        <v>20.1122512817</v>
      </c>
      <c r="K1068" s="233" t="str">
        <f>HYPERLINK(AA2 &amp; "/hammer/sn_cea097235ec4680aad454fe44be80ba/rendering/08.obj", "8.96199321747")</f>
        <v>8.96199321747</v>
      </c>
      <c r="L1068" s="205" t="str">
        <f>HYPERLINK(AA2 &amp; "/hammer/sn_cea097235ec4680aad454fe44be80ba/rendering/09.obj", "10.0303945541")</f>
        <v>10.0303945541</v>
      </c>
      <c r="M1068" s="116" t="str">
        <f>HYPERLINK(AA2 &amp; "/hammer/sn_cea097235ec4680aad454fe44be80ba/rendering/10.obj", "16.9917793274")</f>
        <v>16.9917793274</v>
      </c>
      <c r="N1068" s="126" t="str">
        <f>HYPERLINK(AA2 &amp; "/hammer/sn_cea097235ec4680aad454fe44be80ba/rendering/11.obj", "15.0592288971")</f>
        <v>15.0592288971</v>
      </c>
      <c r="O1068" s="40" t="str">
        <f>HYPERLINK(AA2 &amp; "/hammer/sn_cea097235ec4680aad454fe44be80ba/rendering/12.obj", "24.958562851")</f>
        <v>24.958562851</v>
      </c>
      <c r="P1068" s="26" t="str">
        <f>HYPERLINK(AA2 &amp; "/hammer/sn_cea097235ec4680aad454fe44be80ba/rendering/13.obj", "28.2490119934")</f>
        <v>28.2490119934</v>
      </c>
      <c r="Q1068" s="203" t="str">
        <f>HYPERLINK(AA2 &amp; "/hammer/sn_cea097235ec4680aad454fe44be80ba/rendering/14.obj", "16.0603694916")</f>
        <v>16.0603694916</v>
      </c>
      <c r="R1068" s="206" t="str">
        <f>HYPERLINK(AA2 &amp; "/hammer/sn_cea097235ec4680aad454fe44be80ba/rendering/15.obj", "12.3162088394")</f>
        <v>12.3162088394</v>
      </c>
      <c r="S1068" s="95" t="str">
        <f>HYPERLINK(AA2 &amp; "/hammer/sn_cea097235ec4680aad454fe44be80ba/rendering/16.obj", "21.7234306335")</f>
        <v>21.7234306335</v>
      </c>
      <c r="T1068" s="174" t="str">
        <f>HYPERLINK(AA2 &amp; "/hammer/sn_cea097235ec4680aad454fe44be80ba/rendering/17.obj", "14.2665491104")</f>
        <v>14.2665491104</v>
      </c>
      <c r="U1068" s="82" t="str">
        <f>HYPERLINK(AA2 &amp; "/hammer/sn_cea097235ec4680aad454fe44be80ba/rendering/18.obj", "36.2978439331")</f>
        <v>36.2978439331</v>
      </c>
      <c r="V1068" s="115" t="str">
        <f>HYPERLINK(AA2 &amp; "/hammer/sn_cea097235ec4680aad454fe44be80ba/rendering/19.obj", "10.9374799728")</f>
        <v>10.9374799728</v>
      </c>
      <c r="W1068" s="12" t="s">
        <v>30</v>
      </c>
      <c r="X1068" s="13">
        <v>30.141848993301391</v>
      </c>
      <c r="Y1068" s="13">
        <v>26.882706870222339</v>
      </c>
      <c r="Z1068" s="20">
        <v>0.89187318522485615</v>
      </c>
    </row>
    <row r="1069" spans="1:26" x14ac:dyDescent="0.2">
      <c r="A1069" s="1">
        <v>1067</v>
      </c>
      <c r="B1069" s="2" t="s">
        <v>246</v>
      </c>
      <c r="C1069" s="43" t="str">
        <f>HYPERLINK(AB2 &amp; "/hammer/sn_cea097235ec4680aad454fe44be80ba/rendering/00.obj", "7.64768127441")</f>
        <v>7.64768127441</v>
      </c>
      <c r="D1069" s="60" t="str">
        <f>HYPERLINK(AB2 &amp; "/hammer/sn_cea097235ec4680aad454fe44be80ba/rendering/01.obj", "5.84657043457")</f>
        <v>5.84657043457</v>
      </c>
      <c r="E1069" s="50" t="str">
        <f>HYPERLINK(AB2 &amp; "/hammer/sn_cea097235ec4680aad454fe44be80ba/rendering/02.obj", "6.68060424805")</f>
        <v>6.68060424805</v>
      </c>
      <c r="F1069" s="108" t="str">
        <f>HYPERLINK(AB2 &amp; "/hammer/sn_cea097235ec4680aad454fe44be80ba/rendering/03.obj", "6.93368591309")</f>
        <v>6.93368591309</v>
      </c>
      <c r="G1069" s="65" t="str">
        <f>HYPERLINK(AB2 &amp; "/hammer/sn_cea097235ec4680aad454fe44be80ba/rendering/04.obj", "6.31173522949")</f>
        <v>6.31173522949</v>
      </c>
      <c r="H1069" s="68" t="str">
        <f>HYPERLINK(AB2 &amp; "/hammer/sn_cea097235ec4680aad454fe44be80ba/rendering/05.obj", "5.3228515625")</f>
        <v>5.3228515625</v>
      </c>
      <c r="I1069" s="13" t="str">
        <f>HYPERLINK(AB2 &amp; "/hammer/sn_cea097235ec4680aad454fe44be80ba/rendering/06.obj", "5.55114929199")</f>
        <v>5.55114929199</v>
      </c>
      <c r="J1069" s="117" t="str">
        <f>HYPERLINK(AB2 &amp; "/hammer/sn_cea097235ec4680aad454fe44be80ba/rendering/07.obj", "4.57913238525")</f>
        <v>4.57913238525</v>
      </c>
      <c r="K1069" s="10" t="str">
        <f>HYPERLINK(AB2 &amp; "/hammer/sn_cea097235ec4680aad454fe44be80ba/rendering/08.obj", "5.26879699707")</f>
        <v>5.26879699707</v>
      </c>
      <c r="L1069" s="78" t="str">
        <f>HYPERLINK(AB2 &amp; "/hammer/sn_cea097235ec4680aad454fe44be80ba/rendering/09.obj", "5.21986450195")</f>
        <v>5.21986450195</v>
      </c>
      <c r="M1069" s="71" t="str">
        <f>HYPERLINK(AB2 &amp; "/hammer/sn_cea097235ec4680aad454fe44be80ba/rendering/10.obj", "4.90467651367")</f>
        <v>4.90467651367</v>
      </c>
      <c r="N1069" s="79" t="str">
        <f>HYPERLINK(AB2 &amp; "/hammer/sn_cea097235ec4680aad454fe44be80ba/rendering/11.obj", "6.45191101074")</f>
        <v>6.45191101074</v>
      </c>
      <c r="O1069" s="60" t="str">
        <f>HYPERLINK(AB2 &amp; "/hammer/sn_cea097235ec4680aad454fe44be80ba/rendering/12.obj", "5.85670776367")</f>
        <v>5.85670776367</v>
      </c>
      <c r="P1069" s="90" t="str">
        <f>HYPERLINK(AB2 &amp; "/hammer/sn_cea097235ec4680aad454fe44be80ba/rendering/13.obj", "5.0398916626")</f>
        <v>5.0398916626</v>
      </c>
      <c r="Q1069" s="55" t="str">
        <f>HYPERLINK(AB2 &amp; "/hammer/sn_cea097235ec4680aad454fe44be80ba/rendering/14.obj", "4.48590759277")</f>
        <v>4.48590759277</v>
      </c>
      <c r="R1069" s="28" t="str">
        <f>HYPERLINK(AB2 &amp; "/hammer/sn_cea097235ec4680aad454fe44be80ba/rendering/15.obj", "4.93885375977")</f>
        <v>4.93885375977</v>
      </c>
      <c r="S1069" s="74" t="str">
        <f>HYPERLINK(AB2 &amp; "/hammer/sn_cea097235ec4680aad454fe44be80ba/rendering/16.obj", "5.48479003906")</f>
        <v>5.48479003906</v>
      </c>
      <c r="T1069" s="175" t="str">
        <f>HYPERLINK(AB2 &amp; "/hammer/sn_cea097235ec4680aad454fe44be80ba/rendering/17.obj", "4.26734069824")</f>
        <v>4.26734069824</v>
      </c>
      <c r="U1069" s="84" t="str">
        <f>HYPERLINK(AB2 &amp; "/hammer/sn_cea097235ec4680aad454fe44be80ba/rendering/18.obj", "6.38262207031")</f>
        <v>6.38262207031</v>
      </c>
      <c r="V1069" s="170" t="str">
        <f>HYPERLINK(AB2 &amp; "/hammer/sn_cea097235ec4680aad454fe44be80ba/rendering/19.obj", "4.16046051025")</f>
        <v>4.16046051025</v>
      </c>
      <c r="W1069" s="12" t="s">
        <v>31</v>
      </c>
      <c r="X1069" s="13">
        <v>5.5667616729736329</v>
      </c>
      <c r="Y1069" s="13">
        <v>0.91655458901804487</v>
      </c>
      <c r="Z1069" s="64">
        <v>0.1646477149305447</v>
      </c>
    </row>
    <row r="1070" spans="1:26" x14ac:dyDescent="0.2">
      <c r="A1070" s="1">
        <v>1068</v>
      </c>
      <c r="B1070" s="2" t="s">
        <v>246</v>
      </c>
      <c r="C1070" s="53" t="str">
        <f>HYPERLINK(AB2 &amp; "/hammer/sn_cea097235ec4680aad454fe44be80ba/rendering/00.obj", "6.5605301857")</f>
        <v>6.5605301857</v>
      </c>
      <c r="D1070" s="34" t="str">
        <f>HYPERLINK(AB2 &amp; "/hammer/sn_cea097235ec4680aad454fe44be80ba/rendering/01.obj", "4.42318868637")</f>
        <v>4.42318868637</v>
      </c>
      <c r="E1070" s="110" t="str">
        <f>HYPERLINK(AB2 &amp; "/hammer/sn_cea097235ec4680aad454fe44be80ba/rendering/02.obj", "5.09884595871")</f>
        <v>5.09884595871</v>
      </c>
      <c r="F1070" s="44" t="str">
        <f>HYPERLINK(AB2 &amp; "/hammer/sn_cea097235ec4680aad454fe44be80ba/rendering/03.obj", "5.55669403076")</f>
        <v>5.55669403076</v>
      </c>
      <c r="G1070" s="42" t="str">
        <f>HYPERLINK(AB2 &amp; "/hammer/sn_cea097235ec4680aad454fe44be80ba/rendering/04.obj", "5.28134536743")</f>
        <v>5.28134536743</v>
      </c>
      <c r="H1070" s="124" t="str">
        <f>HYPERLINK(AB2 &amp; "/hammer/sn_cea097235ec4680aad454fe44be80ba/rendering/05.obj", "6.42262935638")</f>
        <v>6.42262935638</v>
      </c>
      <c r="I1070" s="90" t="str">
        <f>HYPERLINK(AB2 &amp; "/hammer/sn_cea097235ec4680aad454fe44be80ba/rendering/06.obj", "4.19747161865")</f>
        <v>4.19747161865</v>
      </c>
      <c r="J1070" s="49" t="str">
        <f>HYPERLINK(AB2 &amp; "/hammer/sn_cea097235ec4680aad454fe44be80ba/rendering/07.obj", "3.6788380146")</f>
        <v>3.6788380146</v>
      </c>
      <c r="K1070" s="31" t="str">
        <f>HYPERLINK(AB2 &amp; "/hammer/sn_cea097235ec4680aad454fe44be80ba/rendering/08.obj", "3.91850185394")</f>
        <v>3.91850185394</v>
      </c>
      <c r="L1070" s="7" t="str">
        <f>HYPERLINK(AB2 &amp; "/hammer/sn_cea097235ec4680aad454fe44be80ba/rendering/09.obj", "5.93259620667")</f>
        <v>5.93259620667</v>
      </c>
      <c r="M1070" s="86" t="str">
        <f>HYPERLINK(AB2 &amp; "/hammer/sn_cea097235ec4680aad454fe44be80ba/rendering/10.obj", "3.39967513084")</f>
        <v>3.39967513084</v>
      </c>
      <c r="N1070" s="32" t="str">
        <f>HYPERLINK(AB2 &amp; "/hammer/sn_cea097235ec4680aad454fe44be80ba/rendering/11.obj", "5.13048124313")</f>
        <v>5.13048124313</v>
      </c>
      <c r="O1070" s="48" t="str">
        <f>HYPERLINK(AB2 &amp; "/hammer/sn_cea097235ec4680aad454fe44be80ba/rendering/12.obj", "4.5429353714")</f>
        <v>4.5429353714</v>
      </c>
      <c r="P1070" s="75" t="str">
        <f>HYPERLINK(AB2 &amp; "/hammer/sn_cea097235ec4680aad454fe44be80ba/rendering/13.obj", "3.61681032181")</f>
        <v>3.61681032181</v>
      </c>
      <c r="Q1070" s="80" t="str">
        <f>HYPERLINK(AB2 &amp; "/hammer/sn_cea097235ec4680aad454fe44be80ba/rendering/14.obj", "3.94738745689")</f>
        <v>3.94738745689</v>
      </c>
      <c r="R1070" s="103" t="str">
        <f>HYPERLINK(AB2 &amp; "/hammer/sn_cea097235ec4680aad454fe44be80ba/rendering/15.obj", "6.15682554245")</f>
        <v>6.15682554245</v>
      </c>
      <c r="S1070" s="36" t="str">
        <f>HYPERLINK(AB2 &amp; "/hammer/sn_cea097235ec4680aad454fe44be80ba/rendering/16.obj", "3.64431357384")</f>
        <v>3.64431357384</v>
      </c>
      <c r="T1070" s="61" t="str">
        <f>HYPERLINK(AB2 &amp; "/hammer/sn_cea097235ec4680aad454fe44be80ba/rendering/17.obj", "3.23527026176")</f>
        <v>3.23527026176</v>
      </c>
      <c r="U1070" s="23" t="str">
        <f>HYPERLINK(AB2 &amp; "/hammer/sn_cea097235ec4680aad454fe44be80ba/rendering/18.obj", "4.82670068741")</f>
        <v>4.82670068741</v>
      </c>
      <c r="V1070" s="95" t="str">
        <f>HYPERLINK(AB2 &amp; "/hammer/sn_cea097235ec4680aad454fe44be80ba/rendering/19.obj", "3.34772324562")</f>
        <v>3.34772324562</v>
      </c>
      <c r="W1070" s="12" t="s">
        <v>32</v>
      </c>
      <c r="X1070" s="13">
        <v>4.645938205718994</v>
      </c>
      <c r="Y1070" s="13">
        <v>1.0481175225210519</v>
      </c>
      <c r="Z1070" s="11">
        <v>0.22559867912811549</v>
      </c>
    </row>
    <row r="1071" spans="1:26" x14ac:dyDescent="0.2">
      <c r="A1071" s="1">
        <v>1069</v>
      </c>
      <c r="B1071" s="2" t="s">
        <v>246</v>
      </c>
      <c r="C1071" s="13" t="str">
        <f>HYPERLINK(AC2 &amp; "/hammer/sn_cea097235ec4680aad454fe44be80ba/rendering/00.xyz", "0.0")</f>
        <v>0.0</v>
      </c>
      <c r="D1071" s="13" t="str">
        <f>HYPERLINK(AC2 &amp; "/hammer/sn_cea097235ec4680aad454fe44be80ba/rendering/01.xyz", "0.0")</f>
        <v>0.0</v>
      </c>
      <c r="E1071" s="13" t="str">
        <f>HYPERLINK(AC2 &amp; "/hammer/sn_cea097235ec4680aad454fe44be80ba/rendering/02.xyz", "0.0")</f>
        <v>0.0</v>
      </c>
      <c r="F1071" s="13" t="str">
        <f>HYPERLINK(AC2 &amp; "/hammer/sn_cea097235ec4680aad454fe44be80ba/rendering/03.xyz", "0.0")</f>
        <v>0.0</v>
      </c>
      <c r="G1071" s="13" t="str">
        <f>HYPERLINK(AC2 &amp; "/hammer/sn_cea097235ec4680aad454fe44be80ba/rendering/04.xyz", "0.0")</f>
        <v>0.0</v>
      </c>
      <c r="H1071" s="13" t="str">
        <f>HYPERLINK(AC2 &amp; "/hammer/sn_cea097235ec4680aad454fe44be80ba/rendering/05.xyz", "0.0")</f>
        <v>0.0</v>
      </c>
      <c r="I1071" s="13" t="str">
        <f>HYPERLINK(AC2 &amp; "/hammer/sn_cea097235ec4680aad454fe44be80ba/rendering/06.xyz", "0.0")</f>
        <v>0.0</v>
      </c>
      <c r="J1071" s="13" t="str">
        <f>HYPERLINK(AC2 &amp; "/hammer/sn_cea097235ec4680aad454fe44be80ba/rendering/07.xyz", "0.0")</f>
        <v>0.0</v>
      </c>
      <c r="K1071" s="13" t="str">
        <f>HYPERLINK(AC2 &amp; "/hammer/sn_cea097235ec4680aad454fe44be80ba/rendering/08.xyz", "0.0")</f>
        <v>0.0</v>
      </c>
      <c r="L1071" s="13" t="str">
        <f>HYPERLINK(AC2 &amp; "/hammer/sn_cea097235ec4680aad454fe44be80ba/rendering/09.xyz", "0.0")</f>
        <v>0.0</v>
      </c>
      <c r="M1071" s="13" t="str">
        <f>HYPERLINK(AC2 &amp; "/hammer/sn_cea097235ec4680aad454fe44be80ba/rendering/10.xyz", "0.0")</f>
        <v>0.0</v>
      </c>
      <c r="N1071" s="13" t="str">
        <f>HYPERLINK(AC2 &amp; "/hammer/sn_cea097235ec4680aad454fe44be80ba/rendering/11.xyz", "0.0")</f>
        <v>0.0</v>
      </c>
      <c r="O1071" s="13" t="str">
        <f>HYPERLINK(AC2 &amp; "/hammer/sn_cea097235ec4680aad454fe44be80ba/rendering/12.xyz", "0.0")</f>
        <v>0.0</v>
      </c>
      <c r="P1071" s="13" t="str">
        <f>HYPERLINK(AC2 &amp; "/hammer/sn_cea097235ec4680aad454fe44be80ba/rendering/13.xyz", "0.0")</f>
        <v>0.0</v>
      </c>
      <c r="Q1071" s="13" t="str">
        <f>HYPERLINK(AC2 &amp; "/hammer/sn_cea097235ec4680aad454fe44be80ba/rendering/14.xyz", "0.0")</f>
        <v>0.0</v>
      </c>
      <c r="R1071" s="13" t="str">
        <f>HYPERLINK(AC2 &amp; "/hammer/sn_cea097235ec4680aad454fe44be80ba/rendering/15.xyz", "0.0")</f>
        <v>0.0</v>
      </c>
      <c r="S1071" s="13" t="str">
        <f>HYPERLINK(AC2 &amp; "/hammer/sn_cea097235ec4680aad454fe44be80ba/rendering/16.xyz", "0.0")</f>
        <v>0.0</v>
      </c>
      <c r="T1071" s="13" t="str">
        <f>HYPERLINK(AC2 &amp; "/hammer/sn_cea097235ec4680aad454fe44be80ba/rendering/17.xyz", "0.0")</f>
        <v>0.0</v>
      </c>
      <c r="U1071" s="13" t="str">
        <f>HYPERLINK(AC2 &amp; "/hammer/sn_cea097235ec4680aad454fe44be80ba/rendering/18.xyz", "0.0")</f>
        <v>0.0</v>
      </c>
      <c r="V1071" s="13" t="str">
        <f>HYPERLINK(AC2 &amp; "/hammer/sn_cea097235ec4680aad454fe44be80ba/rendering/19.xyz", "0.0")</f>
        <v>0.0</v>
      </c>
      <c r="W1071" s="12" t="s">
        <v>33</v>
      </c>
      <c r="X1071" s="13">
        <v>0</v>
      </c>
      <c r="Y1071" s="13">
        <v>0</v>
      </c>
      <c r="Z1071" s="13">
        <v>0</v>
      </c>
    </row>
    <row r="1072" spans="1:26" x14ac:dyDescent="0.2">
      <c r="A1072" s="1">
        <v>1070</v>
      </c>
      <c r="B1072" s="2" t="s">
        <v>247</v>
      </c>
      <c r="C1072" s="91" t="str">
        <f>HYPERLINK(AA2 &amp; "/hammer/sn_cef039797979c61deb198591fb4499f4/rendering/00.obj", "3.84714141846")</f>
        <v>3.84714141846</v>
      </c>
      <c r="D1072" s="41" t="str">
        <f>HYPERLINK(AA2 &amp; "/hammer/sn_cef039797979c61deb198591fb4499f4/rendering/01.obj", "3.67553741455")</f>
        <v>3.67553741455</v>
      </c>
      <c r="E1072" s="63" t="str">
        <f>HYPERLINK(AA2 &amp; "/hammer/sn_cef039797979c61deb198591fb4499f4/rendering/02.obj", "4.42657806396")</f>
        <v>4.42657806396</v>
      </c>
      <c r="F1072" s="73" t="str">
        <f>HYPERLINK(AA2 &amp; "/hammer/sn_cef039797979c61deb198591fb4499f4/rendering/03.obj", "4.09005249023")</f>
        <v>4.09005249023</v>
      </c>
      <c r="G1072" s="110" t="str">
        <f>HYPERLINK(AA2 &amp; "/hammer/sn_cef039797979c61deb198591fb4499f4/rendering/04.obj", "3.56229736328")</f>
        <v>3.56229736328</v>
      </c>
      <c r="H1072" s="110" t="str">
        <f>HYPERLINK(AA2 &amp; "/hammer/sn_cef039797979c61deb198591fb4499f4/rendering/05.obj", "3.5625189209")</f>
        <v>3.5625189209</v>
      </c>
      <c r="I1072" s="69" t="str">
        <f>HYPERLINK(AA2 &amp; "/hammer/sn_cef039797979c61deb198591fb4499f4/rendering/06.obj", "3.83304199219")</f>
        <v>3.83304199219</v>
      </c>
      <c r="J1072" s="5" t="str">
        <f>HYPERLINK(AA2 &amp; "/hammer/sn_cef039797979c61deb198591fb4499f4/rendering/07.obj", "3.64803131104")</f>
        <v>3.64803131104</v>
      </c>
      <c r="K1072" s="92" t="str">
        <f>HYPERLINK(AA2 &amp; "/hammer/sn_cef039797979c61deb198591fb4499f4/rendering/08.obj", "4.43459899902")</f>
        <v>4.43459899902</v>
      </c>
      <c r="L1072" s="109" t="str">
        <f>HYPERLINK(AA2 &amp; "/hammer/sn_cef039797979c61deb198591fb4499f4/rendering/09.obj", "3.19917816162")</f>
        <v>3.19917816162</v>
      </c>
      <c r="M1072" s="73" t="str">
        <f>HYPERLINK(AA2 &amp; "/hammer/sn_cef039797979c61deb198591fb4499f4/rendering/10.obj", "4.08881347656")</f>
        <v>4.08881347656</v>
      </c>
      <c r="N1072" s="26" t="str">
        <f>HYPERLINK(AA2 &amp; "/hammer/sn_cef039797979c61deb198591fb4499f4/rendering/11.obj", "3.68981842041")</f>
        <v>3.68981842041</v>
      </c>
      <c r="O1072" s="90" t="str">
        <f>HYPERLINK(AA2 &amp; "/hammer/sn_cef039797979c61deb198591fb4499f4/rendering/12.obj", "3.56661712646")</f>
        <v>3.56661712646</v>
      </c>
      <c r="P1072" s="26" t="str">
        <f>HYPERLINK(AA2 &amp; "/hammer/sn_cef039797979c61deb198591fb4499f4/rendering/13.obj", "3.6985345459")</f>
        <v>3.6985345459</v>
      </c>
      <c r="Q1072" s="28" t="str">
        <f>HYPERLINK(AA2 &amp; "/hammer/sn_cef039797979c61deb198591fb4499f4/rendering/14.obj", "4.38973449707")</f>
        <v>4.38973449707</v>
      </c>
      <c r="R1072" s="46" t="str">
        <f>HYPERLINK(AA2 &amp; "/hammer/sn_cef039797979c61deb198591fb4499f4/rendering/15.obj", "3.8750012207")</f>
        <v>3.8750012207</v>
      </c>
      <c r="S1072" s="5" t="str">
        <f>HYPERLINK(AA2 &amp; "/hammer/sn_cef039797979c61deb198591fb4499f4/rendering/16.obj", "4.25451293945")</f>
        <v>4.25451293945</v>
      </c>
      <c r="T1072" s="75" t="str">
        <f>HYPERLINK(AA2 &amp; "/hammer/sn_cef039797979c61deb198591fb4499f4/rendering/17.obj", "4.81883056641")</f>
        <v>4.81883056641</v>
      </c>
      <c r="U1072" s="107" t="str">
        <f>HYPERLINK(AA2 &amp; "/hammer/sn_cef039797979c61deb198591fb4499f4/rendering/18.obj", "3.61801391602")</f>
        <v>3.61801391602</v>
      </c>
      <c r="V1072" s="76" t="str">
        <f>HYPERLINK(AA2 &amp; "/hammer/sn_cef039797979c61deb198591fb4499f4/rendering/19.obj", "4.66836669922")</f>
        <v>4.66836669922</v>
      </c>
      <c r="W1072" s="12" t="s">
        <v>29</v>
      </c>
      <c r="X1072" s="13">
        <v>3.9473609771728522</v>
      </c>
      <c r="Y1072" s="13">
        <v>0.41871427073075779</v>
      </c>
      <c r="Z1072" s="32">
        <v>0.1060744819519005</v>
      </c>
    </row>
    <row r="1073" spans="1:26" x14ac:dyDescent="0.2">
      <c r="A1073" s="1">
        <v>1071</v>
      </c>
      <c r="B1073" s="2" t="s">
        <v>247</v>
      </c>
      <c r="C1073" s="77" t="str">
        <f>HYPERLINK(AA2 &amp; "/hammer/sn_cef039797979c61deb198591fb4499f4/rendering/00.obj", "4.37610578537")</f>
        <v>4.37610578537</v>
      </c>
      <c r="D1073" s="69" t="str">
        <f>HYPERLINK(AA2 &amp; "/hammer/sn_cef039797979c61deb198591fb4499f4/rendering/01.obj", "3.8042242527")</f>
        <v>3.8042242527</v>
      </c>
      <c r="E1073" s="17" t="str">
        <f>HYPERLINK(AA2 &amp; "/hammer/sn_cef039797979c61deb198591fb4499f4/rendering/02.obj", "3.61193919182")</f>
        <v>3.61193919182</v>
      </c>
      <c r="F1073" s="72" t="str">
        <f>HYPERLINK(AA2 &amp; "/hammer/sn_cef039797979c61deb198591fb4499f4/rendering/03.obj", "3.5700879097")</f>
        <v>3.5700879097</v>
      </c>
      <c r="G1073" s="63" t="str">
        <f>HYPERLINK(AA2 &amp; "/hammer/sn_cef039797979c61deb198591fb4499f4/rendering/04.obj", "4.13949298859")</f>
        <v>4.13949298859</v>
      </c>
      <c r="H1073" s="171" t="str">
        <f>HYPERLINK(AA2 &amp; "/hammer/sn_cef039797979c61deb198591fb4499f4/rendering/05.obj", "2.56498122215")</f>
        <v>2.56498122215</v>
      </c>
      <c r="I1073" s="7" t="str">
        <f>HYPERLINK(AA2 &amp; "/hammer/sn_cef039797979c61deb198591fb4499f4/rendering/06.obj", "2.66790103912")</f>
        <v>2.66790103912</v>
      </c>
      <c r="J1073" s="24" t="str">
        <f>HYPERLINK(AA2 &amp; "/hammer/sn_cef039797979c61deb198591fb4499f4/rendering/07.obj", "3.07352375984")</f>
        <v>3.07352375984</v>
      </c>
      <c r="K1073" s="87" t="str">
        <f>HYPERLINK(AA2 &amp; "/hammer/sn_cef039797979c61deb198591fb4499f4/rendering/08.obj", "4.52538204193")</f>
        <v>4.52538204193</v>
      </c>
      <c r="L1073" s="175" t="str">
        <f>HYPERLINK(AA2 &amp; "/hammer/sn_cef039797979c61deb198591fb4499f4/rendering/09.obj", "2.82293248177")</f>
        <v>2.82293248177</v>
      </c>
      <c r="M1073" s="51" t="str">
        <f>HYPERLINK(AA2 &amp; "/hammer/sn_cef039797979c61deb198591fb4499f4/rendering/10.obj", "3.39609885216")</f>
        <v>3.39609885216</v>
      </c>
      <c r="N1073" s="122" t="str">
        <f>HYPERLINK(AA2 &amp; "/hammer/sn_cef039797979c61deb198591fb4499f4/rendering/11.obj", "2.1982216835")</f>
        <v>2.1982216835</v>
      </c>
      <c r="O1073" s="10" t="str">
        <f>HYPERLINK(AA2 &amp; "/hammer/sn_cef039797979c61deb198591fb4499f4/rendering/12.obj", "3.48549389839")</f>
        <v>3.48549389839</v>
      </c>
      <c r="P1073" s="99" t="str">
        <f>HYPERLINK(AA2 &amp; "/hammer/sn_cef039797979c61deb198591fb4499f4/rendering/13.obj", "2.68613100052")</f>
        <v>2.68613100052</v>
      </c>
      <c r="Q1073" s="23" t="str">
        <f>HYPERLINK(AA2 &amp; "/hammer/sn_cef039797979c61deb198591fb4499f4/rendering/14.obj", "3.83044672012")</f>
        <v>3.83044672012</v>
      </c>
      <c r="R1073" s="44" t="str">
        <f>HYPERLINK(AA2 &amp; "/hammer/sn_cef039797979c61deb198591fb4499f4/rendering/15.obj", "4.41808366776")</f>
        <v>4.41808366776</v>
      </c>
      <c r="S1073" s="109" t="str">
        <f>HYPERLINK(AA2 &amp; "/hammer/sn_cef039797979c61deb198591fb4499f4/rendering/16.obj", "4.38768005371")</f>
        <v>4.38768005371</v>
      </c>
      <c r="T1073" s="156" t="str">
        <f>HYPERLINK(AA2 &amp; "/hammer/sn_cef039797979c61deb198591fb4499f4/rendering/17.obj", "5.33654546738")</f>
        <v>5.33654546738</v>
      </c>
      <c r="U1073" s="106" t="str">
        <f>HYPERLINK(AA2 &amp; "/hammer/sn_cef039797979c61deb198591fb4499f4/rendering/18.obj", "4.11399459839")</f>
        <v>4.11399459839</v>
      </c>
      <c r="V1073" s="85" t="str">
        <f>HYPERLINK(AA2 &amp; "/hammer/sn_cef039797979c61deb198591fb4499f4/rendering/19.obj", "4.78035402298")</f>
        <v>4.78035402298</v>
      </c>
      <c r="W1073" s="12" t="s">
        <v>30</v>
      </c>
      <c r="X1073" s="13">
        <v>3.689481031894684</v>
      </c>
      <c r="Y1073" s="13">
        <v>0.81621274852242343</v>
      </c>
      <c r="Z1073" s="75">
        <v>0.22122698056080481</v>
      </c>
    </row>
    <row r="1074" spans="1:26" x14ac:dyDescent="0.2">
      <c r="A1074" s="1">
        <v>1072</v>
      </c>
      <c r="B1074" s="2" t="s">
        <v>247</v>
      </c>
      <c r="C1074" s="13" t="str">
        <f>HYPERLINK(AB2 &amp; "/hammer/sn_cef039797979c61deb198591fb4499f4/rendering/00.obj", "4.65862792969")</f>
        <v>4.65862792969</v>
      </c>
      <c r="D1074" s="72" t="str">
        <f>HYPERLINK(AB2 &amp; "/hammer/sn_cef039797979c61deb198591fb4499f4/rendering/01.obj", "4.81832946777")</f>
        <v>4.81832946777</v>
      </c>
      <c r="E1074" s="23" t="str">
        <f>HYPERLINK(AB2 &amp; "/hammer/sn_cef039797979c61deb198591fb4499f4/rendering/02.obj", "4.48921386719")</f>
        <v>4.48921386719</v>
      </c>
      <c r="F1074" s="46" t="str">
        <f>HYPERLINK(AB2 &amp; "/hammer/sn_cef039797979c61deb198591fb4499f4/rendering/03.obj", "4.59653808594")</f>
        <v>4.59653808594</v>
      </c>
      <c r="G1074" s="74" t="str">
        <f>HYPERLINK(AB2 &amp; "/hammer/sn_cef039797979c61deb198591fb4499f4/rendering/04.obj", "4.73615325928")</f>
        <v>4.73615325928</v>
      </c>
      <c r="H1074" s="10" t="str">
        <f>HYPERLINK(AB2 &amp; "/hammer/sn_cef039797979c61deb198591fb4499f4/rendering/05.obj", "4.9207901001")</f>
        <v>4.9207901001</v>
      </c>
      <c r="I1074" s="13" t="str">
        <f>HYPERLINK(AB2 &amp; "/hammer/sn_cef039797979c61deb198591fb4499f4/rendering/06.obj", "4.6771295166")</f>
        <v>4.6771295166</v>
      </c>
      <c r="J1074" s="34" t="str">
        <f>HYPERLINK(AB2 &amp; "/hammer/sn_cef039797979c61deb198591fb4499f4/rendering/07.obj", "4.44526702881")</f>
        <v>4.44526702881</v>
      </c>
      <c r="K1074" s="27" t="str">
        <f>HYPERLINK(AB2 &amp; "/hammer/sn_cef039797979c61deb198591fb4499f4/rendering/08.obj", "4.33578796387")</f>
        <v>4.33578796387</v>
      </c>
      <c r="L1074" s="13" t="str">
        <f>HYPERLINK(AB2 &amp; "/hammer/sn_cef039797979c61deb198591fb4499f4/rendering/09.obj", "4.65913513184")</f>
        <v>4.65913513184</v>
      </c>
      <c r="M1074" s="46" t="str">
        <f>HYPERLINK(AB2 &amp; "/hammer/sn_cef039797979c61deb198591fb4499f4/rendering/10.obj", "4.58425354004")</f>
        <v>4.58425354004</v>
      </c>
      <c r="N1074" s="67" t="str">
        <f>HYPERLINK(AB2 &amp; "/hammer/sn_cef039797979c61deb198591fb4499f4/rendering/11.obj", "5.105078125")</f>
        <v>5.105078125</v>
      </c>
      <c r="O1074" s="30" t="str">
        <f>HYPERLINK(AB2 &amp; "/hammer/sn_cef039797979c61deb198591fb4499f4/rendering/12.obj", "4.69031036377")</f>
        <v>4.69031036377</v>
      </c>
      <c r="P1074" s="13" t="str">
        <f>HYPERLINK(AB2 &amp; "/hammer/sn_cef039797979c61deb198591fb4499f4/rendering/13.obj", "4.68112121582")</f>
        <v>4.68112121582</v>
      </c>
      <c r="Q1074" s="39" t="str">
        <f>HYPERLINK(AB2 &amp; "/hammer/sn_cef039797979c61deb198591fb4499f4/rendering/14.obj", "4.26541931152")</f>
        <v>4.26541931152</v>
      </c>
      <c r="R1074" s="13" t="str">
        <f>HYPERLINK(AB2 &amp; "/hammer/sn_cef039797979c61deb198591fb4499f4/rendering/15.obj", "4.6747052002")</f>
        <v>4.6747052002</v>
      </c>
      <c r="S1074" s="48" t="str">
        <f>HYPERLINK(AB2 &amp; "/hammer/sn_cef039797979c61deb198591fb4499f4/rendering/16.obj", "4.55609069824")</f>
        <v>4.55609069824</v>
      </c>
      <c r="T1074" s="26" t="str">
        <f>HYPERLINK(AB2 &amp; "/hammer/sn_cef039797979c61deb198591fb4499f4/rendering/17.obj", "4.96459533691")</f>
        <v>4.96459533691</v>
      </c>
      <c r="U1074" s="10" t="str">
        <f>HYPERLINK(AB2 &amp; "/hammer/sn_cef039797979c61deb198591fb4499f4/rendering/18.obj", "4.92062744141")</f>
        <v>4.92062744141</v>
      </c>
      <c r="V1074" s="25" t="str">
        <f>HYPERLINK(AB2 &amp; "/hammer/sn_cef039797979c61deb198591fb4499f4/rendering/19.obj", "4.61989929199")</f>
        <v>4.61989929199</v>
      </c>
      <c r="W1074" s="12" t="s">
        <v>31</v>
      </c>
      <c r="X1074" s="13">
        <v>4.669953643798828</v>
      </c>
      <c r="Y1074" s="13">
        <v>0.20196903467182031</v>
      </c>
      <c r="Z1074" s="68">
        <v>4.3248616598156688E-2</v>
      </c>
    </row>
    <row r="1075" spans="1:26" x14ac:dyDescent="0.2">
      <c r="A1075" s="1">
        <v>1073</v>
      </c>
      <c r="B1075" s="2" t="s">
        <v>247</v>
      </c>
      <c r="C1075" s="10" t="str">
        <f>HYPERLINK(AB2 &amp; "/hammer/sn_cef039797979c61deb198591fb4499f4/rendering/00.obj", "3.12652587891")</f>
        <v>3.12652587891</v>
      </c>
      <c r="D1075" s="106" t="str">
        <f>HYPERLINK(AB2 &amp; "/hammer/sn_cef039797979c61deb198591fb4499f4/rendering/01.obj", "3.30029964447")</f>
        <v>3.30029964447</v>
      </c>
      <c r="E1075" s="32" t="str">
        <f>HYPERLINK(AB2 &amp; "/hammer/sn_cef039797979c61deb198591fb4499f4/rendering/02.obj", "2.6529314518")</f>
        <v>2.6529314518</v>
      </c>
      <c r="F1075" s="51" t="str">
        <f>HYPERLINK(AB2 &amp; "/hammer/sn_cef039797979c61deb198591fb4499f4/rendering/03.obj", "2.72762084007")</f>
        <v>2.72762084007</v>
      </c>
      <c r="G1075" s="67" t="str">
        <f>HYPERLINK(AB2 &amp; "/hammer/sn_cef039797979c61deb198591fb4499f4/rendering/04.obj", "3.23868894577")</f>
        <v>3.23868894577</v>
      </c>
      <c r="H1075" s="23" t="str">
        <f>HYPERLINK(AB2 &amp; "/hammer/sn_cef039797979c61deb198591fb4499f4/rendering/05.obj", "3.08371067047")</f>
        <v>3.08371067047</v>
      </c>
      <c r="I1075" s="10" t="str">
        <f>HYPERLINK(AB2 &amp; "/hammer/sn_cef039797979c61deb198591fb4499f4/rendering/06.obj", "2.79961538315")</f>
        <v>2.79961538315</v>
      </c>
      <c r="J1075" s="39" t="str">
        <f>HYPERLINK(AB2 &amp; "/hammer/sn_cef039797979c61deb198591fb4499f4/rendering/07.obj", "2.70530819893")</f>
        <v>2.70530819893</v>
      </c>
      <c r="K1075" s="133" t="str">
        <f>HYPERLINK(AB2 &amp; "/hammer/sn_cef039797979c61deb198591fb4499f4/rendering/08.obj", "2.65952157974")</f>
        <v>2.65952157974</v>
      </c>
      <c r="L1075" s="69" t="str">
        <f>HYPERLINK(AB2 &amp; "/hammer/sn_cef039797979c61deb198591fb4499f4/rendering/09.obj", "2.87947487831")</f>
        <v>2.87947487831</v>
      </c>
      <c r="M1075" s="73" t="str">
        <f>HYPERLINK(AB2 &amp; "/hammer/sn_cef039797979c61deb198591fb4499f4/rendering/10.obj", "2.856746912")</f>
        <v>2.856746912</v>
      </c>
      <c r="N1075" s="91" t="str">
        <f>HYPERLINK(AB2 &amp; "/hammer/sn_cef039797979c61deb198591fb4499f4/rendering/11.obj", "2.88162589073")</f>
        <v>2.88162589073</v>
      </c>
      <c r="O1075" s="13" t="str">
        <f>HYPERLINK(AB2 &amp; "/hammer/sn_cef039797979c61deb198591fb4499f4/rendering/12.obj", "2.96229791641")</f>
        <v>2.96229791641</v>
      </c>
      <c r="P1075" s="73" t="str">
        <f>HYPERLINK(AB2 &amp; "/hammer/sn_cef039797979c61deb198591fb4499f4/rendering/13.obj", "2.85421609879")</f>
        <v>2.85421609879</v>
      </c>
      <c r="Q1075" s="70" t="str">
        <f>HYPERLINK(AB2 &amp; "/hammer/sn_cef039797979c61deb198591fb4499f4/rendering/14.obj", "2.58429598808")</f>
        <v>2.58429598808</v>
      </c>
      <c r="R1075" s="106" t="str">
        <f>HYPERLINK(AB2 &amp; "/hammer/sn_cef039797979c61deb198591fb4499f4/rendering/15.obj", "3.30733823776")</f>
        <v>3.30733823776</v>
      </c>
      <c r="S1075" s="5" t="str">
        <f>HYPERLINK(AB2 &amp; "/hammer/sn_cef039797979c61deb198591fb4499f4/rendering/16.obj", "2.74102163315")</f>
        <v>2.74102163315</v>
      </c>
      <c r="T1075" s="44" t="str">
        <f>HYPERLINK(AB2 &amp; "/hammer/sn_cef039797979c61deb198591fb4499f4/rendering/17.obj", "3.54860639572")</f>
        <v>3.54860639572</v>
      </c>
      <c r="U1075" s="40" t="str">
        <f>HYPERLINK(AB2 &amp; "/hammer/sn_cef039797979c61deb198591fb4499f4/rendering/18.obj", "3.46738696098")</f>
        <v>3.46738696098</v>
      </c>
      <c r="V1075" s="74" t="str">
        <f>HYPERLINK(AB2 &amp; "/hammer/sn_cef039797979c61deb198591fb4499f4/rendering/19.obj", "2.92069554329")</f>
        <v>2.92069554329</v>
      </c>
      <c r="W1075" s="12" t="s">
        <v>32</v>
      </c>
      <c r="X1075" s="13">
        <v>2.964896452426911</v>
      </c>
      <c r="Y1075" s="13">
        <v>0.27521563421979189</v>
      </c>
      <c r="Z1075" s="67">
        <v>9.2824703538808118E-2</v>
      </c>
    </row>
    <row r="1076" spans="1:26" x14ac:dyDescent="0.2">
      <c r="A1076" s="1">
        <v>1074</v>
      </c>
      <c r="B1076" s="2" t="s">
        <v>247</v>
      </c>
      <c r="C1076" s="13" t="str">
        <f>HYPERLINK(AC2 &amp; "/hammer/sn_cef039797979c61deb198591fb4499f4/rendering/00.xyz", "0.0")</f>
        <v>0.0</v>
      </c>
      <c r="D1076" s="13" t="str">
        <f>HYPERLINK(AC2 &amp; "/hammer/sn_cef039797979c61deb198591fb4499f4/rendering/01.xyz", "0.0")</f>
        <v>0.0</v>
      </c>
      <c r="E1076" s="13" t="str">
        <f>HYPERLINK(AC2 &amp; "/hammer/sn_cef039797979c61deb198591fb4499f4/rendering/02.xyz", "0.0")</f>
        <v>0.0</v>
      </c>
      <c r="F1076" s="13" t="str">
        <f>HYPERLINK(AC2 &amp; "/hammer/sn_cef039797979c61deb198591fb4499f4/rendering/03.xyz", "0.0")</f>
        <v>0.0</v>
      </c>
      <c r="G1076" s="13" t="str">
        <f>HYPERLINK(AC2 &amp; "/hammer/sn_cef039797979c61deb198591fb4499f4/rendering/04.xyz", "0.0")</f>
        <v>0.0</v>
      </c>
      <c r="H1076" s="13" t="str">
        <f>HYPERLINK(AC2 &amp; "/hammer/sn_cef039797979c61deb198591fb4499f4/rendering/05.xyz", "0.0")</f>
        <v>0.0</v>
      </c>
      <c r="I1076" s="13" t="str">
        <f>HYPERLINK(AC2 &amp; "/hammer/sn_cef039797979c61deb198591fb4499f4/rendering/06.xyz", "0.0")</f>
        <v>0.0</v>
      </c>
      <c r="J1076" s="13" t="str">
        <f>HYPERLINK(AC2 &amp; "/hammer/sn_cef039797979c61deb198591fb4499f4/rendering/07.xyz", "0.0")</f>
        <v>0.0</v>
      </c>
      <c r="K1076" s="13" t="str">
        <f>HYPERLINK(AC2 &amp; "/hammer/sn_cef039797979c61deb198591fb4499f4/rendering/08.xyz", "0.0")</f>
        <v>0.0</v>
      </c>
      <c r="L1076" s="13" t="str">
        <f>HYPERLINK(AC2 &amp; "/hammer/sn_cef039797979c61deb198591fb4499f4/rendering/09.xyz", "0.0")</f>
        <v>0.0</v>
      </c>
      <c r="M1076" s="13" t="str">
        <f>HYPERLINK(AC2 &amp; "/hammer/sn_cef039797979c61deb198591fb4499f4/rendering/10.xyz", "0.0")</f>
        <v>0.0</v>
      </c>
      <c r="N1076" s="13" t="str">
        <f>HYPERLINK(AC2 &amp; "/hammer/sn_cef039797979c61deb198591fb4499f4/rendering/11.xyz", "0.0")</f>
        <v>0.0</v>
      </c>
      <c r="O1076" s="13" t="str">
        <f>HYPERLINK(AC2 &amp; "/hammer/sn_cef039797979c61deb198591fb4499f4/rendering/12.xyz", "0.0")</f>
        <v>0.0</v>
      </c>
      <c r="P1076" s="13" t="str">
        <f>HYPERLINK(AC2 &amp; "/hammer/sn_cef039797979c61deb198591fb4499f4/rendering/13.xyz", "0.0")</f>
        <v>0.0</v>
      </c>
      <c r="Q1076" s="13" t="str">
        <f>HYPERLINK(AC2 &amp; "/hammer/sn_cef039797979c61deb198591fb4499f4/rendering/14.xyz", "0.0")</f>
        <v>0.0</v>
      </c>
      <c r="R1076" s="13" t="str">
        <f>HYPERLINK(AC2 &amp; "/hammer/sn_cef039797979c61deb198591fb4499f4/rendering/15.xyz", "0.0")</f>
        <v>0.0</v>
      </c>
      <c r="S1076" s="13" t="str">
        <f>HYPERLINK(AC2 &amp; "/hammer/sn_cef039797979c61deb198591fb4499f4/rendering/16.xyz", "0.0")</f>
        <v>0.0</v>
      </c>
      <c r="T1076" s="13" t="str">
        <f>HYPERLINK(AC2 &amp; "/hammer/sn_cef039797979c61deb198591fb4499f4/rendering/17.xyz", "0.0")</f>
        <v>0.0</v>
      </c>
      <c r="U1076" s="13" t="str">
        <f>HYPERLINK(AC2 &amp; "/hammer/sn_cef039797979c61deb198591fb4499f4/rendering/18.xyz", "0.0")</f>
        <v>0.0</v>
      </c>
      <c r="V1076" s="13" t="str">
        <f>HYPERLINK(AC2 &amp; "/hammer/sn_cef039797979c61deb198591fb4499f4/rendering/19.xyz", "0.0")</f>
        <v>0.0</v>
      </c>
      <c r="W1076" s="12" t="s">
        <v>33</v>
      </c>
      <c r="X1076" s="13">
        <v>0</v>
      </c>
      <c r="Y1076" s="13">
        <v>0</v>
      </c>
      <c r="Z1076" s="13">
        <v>0</v>
      </c>
    </row>
    <row r="1077" spans="1:26" x14ac:dyDescent="0.2">
      <c r="A1077" s="1">
        <v>1075</v>
      </c>
      <c r="B1077" s="2" t="s">
        <v>248</v>
      </c>
      <c r="C1077" s="68" t="str">
        <f>HYPERLINK(AA2 &amp; "/hammer/sn_d05b3552a37c1a8dac87f3f2c3d951e1/rendering/00.obj", "5.38965698242")</f>
        <v>5.38965698242</v>
      </c>
      <c r="D1077" s="68" t="str">
        <f>HYPERLINK(AA2 &amp; "/hammer/sn_d05b3552a37c1a8dac87f3f2c3d951e1/rendering/01.obj", "5.86510559082")</f>
        <v>5.86510559082</v>
      </c>
      <c r="E1077" s="41" t="str">
        <f>HYPERLINK(AA2 &amp; "/hammer/sn_d05b3552a37c1a8dac87f3f2c3d951e1/rendering/02.obj", "6.00577392578")</f>
        <v>6.00577392578</v>
      </c>
      <c r="F1077" s="41" t="str">
        <f>HYPERLINK(AA2 &amp; "/hammer/sn_d05b3552a37c1a8dac87f3f2c3d951e1/rendering/03.obj", "5.24635314941")</f>
        <v>5.24635314941</v>
      </c>
      <c r="G1077" s="23" t="str">
        <f>HYPERLINK(AA2 &amp; "/hammer/sn_d05b3552a37c1a8dac87f3f2c3d951e1/rendering/04.obj", "5.39442016602")</f>
        <v>5.39442016602</v>
      </c>
      <c r="H1077" s="68" t="str">
        <f>HYPERLINK(AA2 &amp; "/hammer/sn_d05b3552a37c1a8dac87f3f2c3d951e1/rendering/05.obj", "5.85639648437")</f>
        <v>5.85639648437</v>
      </c>
      <c r="I1077" s="23" t="str">
        <f>HYPERLINK(AA2 &amp; "/hammer/sn_d05b3552a37c1a8dac87f3f2c3d951e1/rendering/06.obj", "5.41046508789")</f>
        <v>5.41046508789</v>
      </c>
      <c r="J1077" s="47" t="str">
        <f>HYPERLINK(AA2 &amp; "/hammer/sn_d05b3552a37c1a8dac87f3f2c3d951e1/rendering/07.obj", "5.66226074219")</f>
        <v>5.66226074219</v>
      </c>
      <c r="K1077" s="72" t="str">
        <f>HYPERLINK(AA2 &amp; "/hammer/sn_d05b3552a37c1a8dac87f3f2c3d951e1/rendering/08.obj", "5.81390625")</f>
        <v>5.81390625</v>
      </c>
      <c r="L1077" s="47" t="str">
        <f>HYPERLINK(AA2 &amp; "/hammer/sn_d05b3552a37c1a8dac87f3f2c3d951e1/rendering/09.obj", "5.6695715332")</f>
        <v>5.6695715332</v>
      </c>
      <c r="M1077" s="25" t="str">
        <f>HYPERLINK(AA2 &amp; "/hammer/sn_d05b3552a37c1a8dac87f3f2c3d951e1/rendering/10.obj", "5.69315063477")</f>
        <v>5.69315063477</v>
      </c>
      <c r="N1077" s="73" t="str">
        <f>HYPERLINK(AA2 &amp; "/hammer/sn_d05b3552a37c1a8dac87f3f2c3d951e1/rendering/11.obj", "5.42581054687")</f>
        <v>5.42581054687</v>
      </c>
      <c r="O1077" s="23" t="str">
        <f>HYPERLINK(AA2 &amp; "/hammer/sn_d05b3552a37c1a8dac87f3f2c3d951e1/rendering/12.obj", "5.84707092285")</f>
        <v>5.84707092285</v>
      </c>
      <c r="P1077" s="8" t="str">
        <f>HYPERLINK(AA2 &amp; "/hammer/sn_d05b3552a37c1a8dac87f3f2c3d951e1/rendering/13.obj", "6.43278076172")</f>
        <v>6.43278076172</v>
      </c>
      <c r="Q1077" s="73" t="str">
        <f>HYPERLINK(AA2 &amp; "/hammer/sn_d05b3552a37c1a8dac87f3f2c3d951e1/rendering/14.obj", "5.83234863281")</f>
        <v>5.83234863281</v>
      </c>
      <c r="R1077" s="74" t="str">
        <f>HYPERLINK(AA2 &amp; "/hammer/sn_d05b3552a37c1a8dac87f3f2c3d951e1/rendering/15.obj", "5.54692871094")</f>
        <v>5.54692871094</v>
      </c>
      <c r="S1077" s="26" t="str">
        <f>HYPERLINK(AA2 &amp; "/hammer/sn_d05b3552a37c1a8dac87f3f2c3d951e1/rendering/16.obj", "5.26287109375")</f>
        <v>5.26287109375</v>
      </c>
      <c r="T1077" s="107" t="str">
        <f>HYPERLINK(AA2 &amp; "/hammer/sn_d05b3552a37c1a8dac87f3f2c3d951e1/rendering/17.obj", "5.15373413086")</f>
        <v>5.15373413086</v>
      </c>
      <c r="U1077" s="68" t="str">
        <f>HYPERLINK(AA2 &amp; "/hammer/sn_d05b3552a37c1a8dac87f3f2c3d951e1/rendering/18.obj", "5.38645874023")</f>
        <v>5.38645874023</v>
      </c>
      <c r="V1077" s="25" t="str">
        <f>HYPERLINK(AA2 &amp; "/hammer/sn_d05b3552a37c1a8dac87f3f2c3d951e1/rendering/19.obj", "5.5607800293")</f>
        <v>5.5607800293</v>
      </c>
      <c r="W1077" s="12" t="s">
        <v>29</v>
      </c>
      <c r="X1077" s="13">
        <v>5.6227922058105468</v>
      </c>
      <c r="Y1077" s="13">
        <v>0.30021564956095997</v>
      </c>
      <c r="Z1077" s="10">
        <v>5.3392627465535657E-2</v>
      </c>
    </row>
    <row r="1078" spans="1:26" x14ac:dyDescent="0.2">
      <c r="A1078" s="1">
        <v>1076</v>
      </c>
      <c r="B1078" s="2" t="s">
        <v>248</v>
      </c>
      <c r="C1078" s="80" t="str">
        <f>HYPERLINK(AA2 &amp; "/hammer/sn_d05b3552a37c1a8dac87f3f2c3d951e1/rendering/00.obj", "2.3082818985")</f>
        <v>2.3082818985</v>
      </c>
      <c r="D1078" s="54" t="str">
        <f>HYPERLINK(AA2 &amp; "/hammer/sn_d05b3552a37c1a8dac87f3f2c3d951e1/rendering/01.obj", "3.60137724876")</f>
        <v>3.60137724876</v>
      </c>
      <c r="E1078" s="51" t="str">
        <f>HYPERLINK(AA2 &amp; "/hammer/sn_d05b3552a37c1a8dac87f3f2c3d951e1/rendering/02.obj", "2.49804663658")</f>
        <v>2.49804663658</v>
      </c>
      <c r="F1078" s="79" t="str">
        <f>HYPERLINK(AA2 &amp; "/hammer/sn_d05b3552a37c1a8dac87f3f2c3d951e1/rendering/03.obj", "2.28270888329")</f>
        <v>2.28270888329</v>
      </c>
      <c r="G1078" s="24" t="str">
        <f>HYPERLINK(AA2 &amp; "/hammer/sn_d05b3552a37c1a8dac87f3f2c3d951e1/rendering/04.obj", "2.26174664497")</f>
        <v>2.26174664497</v>
      </c>
      <c r="H1078" s="134" t="str">
        <f>HYPERLINK(AA2 &amp; "/hammer/sn_d05b3552a37c1a8dac87f3f2c3d951e1/rendering/05.obj", "3.20190238953")</f>
        <v>3.20190238953</v>
      </c>
      <c r="I1078" s="84" t="str">
        <f>HYPERLINK(AA2 &amp; "/hammer/sn_d05b3552a37c1a8dac87f3f2c3d951e1/rendering/06.obj", "2.31461071968")</f>
        <v>2.31461071968</v>
      </c>
      <c r="J1078" s="46" t="str">
        <f>HYPERLINK(AA2 &amp; "/hammer/sn_d05b3552a37c1a8dac87f3f2c3d951e1/rendering/07.obj", "2.66503691673")</f>
        <v>2.66503691673</v>
      </c>
      <c r="K1078" s="82" t="str">
        <f>HYPERLINK(AA2 &amp; "/hammer/sn_d05b3552a37c1a8dac87f3f2c3d951e1/rendering/08.obj", "3.2679567337")</f>
        <v>3.2679567337</v>
      </c>
      <c r="L1078" s="83" t="str">
        <f>HYPERLINK(AA2 &amp; "/hammer/sn_d05b3552a37c1a8dac87f3f2c3d951e1/rendering/09.obj", "2.29811215401")</f>
        <v>2.29811215401</v>
      </c>
      <c r="M1078" s="94" t="str">
        <f>HYPERLINK(AA2 &amp; "/hammer/sn_d05b3552a37c1a8dac87f3f2c3d951e1/rendering/10.obj", "2.51696515083")</f>
        <v>2.51696515083</v>
      </c>
      <c r="N1078" s="39" t="str">
        <f>HYPERLINK(AA2 &amp; "/hammer/sn_d05b3552a37c1a8dac87f3f2c3d951e1/rendering/11.obj", "2.94683289528")</f>
        <v>2.94683289528</v>
      </c>
      <c r="O1078" s="91" t="str">
        <f>HYPERLINK(AA2 &amp; "/hammer/sn_d05b3552a37c1a8dac87f3f2c3d951e1/rendering/12.obj", "2.63652086258")</f>
        <v>2.63652086258</v>
      </c>
      <c r="P1078" s="121" t="str">
        <f>HYPERLINK(AA2 &amp; "/hammer/sn_d05b3552a37c1a8dac87f3f2c3d951e1/rendering/13.obj", "3.67154335976")</f>
        <v>3.67154335976</v>
      </c>
      <c r="Q1078" s="10" t="str">
        <f>HYPERLINK(AA2 &amp; "/hammer/sn_d05b3552a37c1a8dac87f3f2c3d951e1/rendering/14.obj", "2.55999898911")</f>
        <v>2.55999898911</v>
      </c>
      <c r="R1078" s="94" t="str">
        <f>HYPERLINK(AA2 &amp; "/hammer/sn_d05b3552a37c1a8dac87f3f2c3d951e1/rendering/15.obj", "2.91312170029")</f>
        <v>2.91312170029</v>
      </c>
      <c r="S1078" s="27" t="str">
        <f>HYPERLINK(AA2 &amp; "/hammer/sn_d05b3552a37c1a8dac87f3f2c3d951e1/rendering/16.obj", "2.52283000946")</f>
        <v>2.52283000946</v>
      </c>
      <c r="T1078" s="13" t="str">
        <f>HYPERLINK(AA2 &amp; "/hammer/sn_d05b3552a37c1a8dac87f3f2c3d951e1/rendering/17.obj", "2.71861672401")</f>
        <v>2.71861672401</v>
      </c>
      <c r="U1078" s="58" t="str">
        <f>HYPERLINK(AA2 &amp; "/hammer/sn_d05b3552a37c1a8dac87f3f2c3d951e1/rendering/18.obj", "2.05754947662")</f>
        <v>2.05754947662</v>
      </c>
      <c r="V1078" s="28" t="str">
        <f>HYPERLINK(AA2 &amp; "/hammer/sn_d05b3552a37c1a8dac87f3f2c3d951e1/rendering/19.obj", "3.01872944832")</f>
        <v>3.01872944832</v>
      </c>
      <c r="W1078" s="12" t="s">
        <v>30</v>
      </c>
      <c r="X1078" s="13">
        <v>2.7131244421005252</v>
      </c>
      <c r="Y1078" s="13">
        <v>0.44207728130607937</v>
      </c>
      <c r="Z1078" s="66">
        <v>0.1629402892275075</v>
      </c>
    </row>
    <row r="1079" spans="1:26" x14ac:dyDescent="0.2">
      <c r="A1079" s="1">
        <v>1077</v>
      </c>
      <c r="B1079" s="2" t="s">
        <v>248</v>
      </c>
      <c r="C1079" s="6" t="str">
        <f>HYPERLINK(AB2 &amp; "/hammer/sn_d05b3552a37c1a8dac87f3f2c3d951e1/rendering/00.obj", "6.03127929687")</f>
        <v>6.03127929687</v>
      </c>
      <c r="D1079" s="78" t="str">
        <f>HYPERLINK(AB2 &amp; "/hammer/sn_d05b3552a37c1a8dac87f3f2c3d951e1/rendering/01.obj", "6.69829467773")</f>
        <v>6.69829467773</v>
      </c>
      <c r="E1079" s="38" t="str">
        <f>HYPERLINK(AB2 &amp; "/hammer/sn_d05b3552a37c1a8dac87f3f2c3d951e1/rendering/02.obj", "5.7561932373")</f>
        <v>5.7561932373</v>
      </c>
      <c r="F1079" s="46" t="str">
        <f>HYPERLINK(AB2 &amp; "/hammer/sn_d05b3552a37c1a8dac87f3f2c3d951e1/rendering/03.obj", "6.42615112305")</f>
        <v>6.42615112305</v>
      </c>
      <c r="G1079" s="74" t="str">
        <f>HYPERLINK(AB2 &amp; "/hammer/sn_d05b3552a37c1a8dac87f3f2c3d951e1/rendering/04.obj", "6.23099121094")</f>
        <v>6.23099121094</v>
      </c>
      <c r="H1079" s="73" t="str">
        <f>HYPERLINK(AB2 &amp; "/hammer/sn_d05b3552a37c1a8dac87f3f2c3d951e1/rendering/05.obj", "6.54323974609")</f>
        <v>6.54323974609</v>
      </c>
      <c r="I1079" s="13" t="str">
        <f>HYPERLINK(AB2 &amp; "/hammer/sn_d05b3552a37c1a8dac87f3f2c3d951e1/rendering/06.obj", "6.32172485352")</f>
        <v>6.32172485352</v>
      </c>
      <c r="J1079" s="74" t="str">
        <f>HYPERLINK(AB2 &amp; "/hammer/sn_d05b3552a37c1a8dac87f3f2c3d951e1/rendering/07.obj", "6.22063781738")</f>
        <v>6.22063781738</v>
      </c>
      <c r="K1079" s="34" t="str">
        <f>HYPERLINK(AB2 &amp; "/hammer/sn_d05b3552a37c1a8dac87f3f2c3d951e1/rendering/08.obj", "6.62198913574")</f>
        <v>6.62198913574</v>
      </c>
      <c r="L1079" s="25" t="str">
        <f>HYPERLINK(AB2 &amp; "/hammer/sn_d05b3552a37c1a8dac87f3f2c3d951e1/rendering/09.obj", "6.23978942871")</f>
        <v>6.23978942871</v>
      </c>
      <c r="M1079" s="46" t="str">
        <f>HYPERLINK(AB2 &amp; "/hammer/sn_d05b3552a37c1a8dac87f3f2c3d951e1/rendering/10.obj", "6.19723388672")</f>
        <v>6.19723388672</v>
      </c>
      <c r="N1079" s="27" t="str">
        <f>HYPERLINK(AB2 &amp; "/hammer/sn_d05b3552a37c1a8dac87f3f2c3d951e1/rendering/11.obj", "5.86906494141")</f>
        <v>5.86906494141</v>
      </c>
      <c r="O1079" s="72" t="str">
        <f>HYPERLINK(AB2 &amp; "/hammer/sn_d05b3552a37c1a8dac87f3f2c3d951e1/rendering/12.obj", "6.52987426758")</f>
        <v>6.52987426758</v>
      </c>
      <c r="P1079" s="91" t="str">
        <f>HYPERLINK(AB2 &amp; "/hammer/sn_d05b3552a37c1a8dac87f3f2c3d951e1/rendering/13.obj", "6.48736816406")</f>
        <v>6.48736816406</v>
      </c>
      <c r="Q1079" s="60" t="str">
        <f>HYPERLINK(AB2 &amp; "/hammer/sn_d05b3552a37c1a8dac87f3f2c3d951e1/rendering/14.obj", "6.64632446289")</f>
        <v>6.64632446289</v>
      </c>
      <c r="R1079" s="72" t="str">
        <f>HYPERLINK(AB2 &amp; "/hammer/sn_d05b3552a37c1a8dac87f3f2c3d951e1/rendering/15.obj", "6.52454284668")</f>
        <v>6.52454284668</v>
      </c>
      <c r="S1079" s="72" t="str">
        <f>HYPERLINK(AB2 &amp; "/hammer/sn_d05b3552a37c1a8dac87f3f2c3d951e1/rendering/16.obj", "6.10559936523")</f>
        <v>6.10559936523</v>
      </c>
      <c r="T1079" s="48" t="str">
        <f>HYPERLINK(AB2 &amp; "/hammer/sn_d05b3552a37c1a8dac87f3f2c3d951e1/rendering/17.obj", "6.45796264648")</f>
        <v>6.45796264648</v>
      </c>
      <c r="U1079" s="30" t="str">
        <f>HYPERLINK(AB2 &amp; "/hammer/sn_d05b3552a37c1a8dac87f3f2c3d951e1/rendering/18.obj", "6.28692687988")</f>
        <v>6.28692687988</v>
      </c>
      <c r="V1079" s="68" t="str">
        <f>HYPERLINK(AB2 &amp; "/hammer/sn_d05b3552a37c1a8dac87f3f2c3d951e1/rendering/19.obj", "6.05406677246")</f>
        <v>6.05406677246</v>
      </c>
      <c r="W1079" s="12" t="s">
        <v>31</v>
      </c>
      <c r="X1079" s="13">
        <v>6.3124627380371097</v>
      </c>
      <c r="Y1079" s="13">
        <v>0.25449521538655923</v>
      </c>
      <c r="Z1079" s="23">
        <v>4.0316311707163537E-2</v>
      </c>
    </row>
    <row r="1080" spans="1:26" x14ac:dyDescent="0.2">
      <c r="A1080" s="1">
        <v>1078</v>
      </c>
      <c r="B1080" s="2" t="s">
        <v>248</v>
      </c>
      <c r="C1080" s="23" t="str">
        <f>HYPERLINK(AB2 &amp; "/hammer/sn_d05b3552a37c1a8dac87f3f2c3d951e1/rendering/00.obj", "3.05215477943")</f>
        <v>3.05215477943</v>
      </c>
      <c r="D1080" s="67" t="str">
        <f>HYPERLINK(AB2 &amp; "/hammer/sn_d05b3552a37c1a8dac87f3f2c3d951e1/rendering/01.obj", "3.20583558083")</f>
        <v>3.20583558083</v>
      </c>
      <c r="E1080" s="55" t="str">
        <f>HYPERLINK(AB2 &amp; "/hammer/sn_d05b3552a37c1a8dac87f3f2c3d951e1/rendering/02.obj", "3.50614094734")</f>
        <v>3.50614094734</v>
      </c>
      <c r="F1080" s="78" t="str">
        <f>HYPERLINK(AB2 &amp; "/hammer/sn_d05b3552a37c1a8dac87f3f2c3d951e1/rendering/03.obj", "2.76019740105")</f>
        <v>2.76019740105</v>
      </c>
      <c r="G1080" s="28" t="str">
        <f>HYPERLINK(AB2 &amp; "/hammer/sn_d05b3552a37c1a8dac87f3f2c3d951e1/rendering/04.obj", "2.60458517075")</f>
        <v>2.60458517075</v>
      </c>
      <c r="H1080" s="33" t="str">
        <f>HYPERLINK(AB2 &amp; "/hammer/sn_d05b3552a37c1a8dac87f3f2c3d951e1/rendering/05.obj", "3.25721764565")</f>
        <v>3.25721764565</v>
      </c>
      <c r="I1080" s="47" t="str">
        <f>HYPERLINK(AB2 &amp; "/hammer/sn_d05b3552a37c1a8dac87f3f2c3d951e1/rendering/06.obj", "2.91104149818")</f>
        <v>2.91104149818</v>
      </c>
      <c r="J1080" s="80" t="str">
        <f>HYPERLINK(AB2 &amp; "/hammer/sn_d05b3552a37c1a8dac87f3f2c3d951e1/rendering/07.obj", "2.5010573864")</f>
        <v>2.5010573864</v>
      </c>
      <c r="K1080" s="33" t="str">
        <f>HYPERLINK(AB2 &amp; "/hammer/sn_d05b3552a37c1a8dac87f3f2c3d951e1/rendering/08.obj", "3.25763130188")</f>
        <v>3.25763130188</v>
      </c>
      <c r="L1080" s="46" t="str">
        <f>HYPERLINK(AB2 &amp; "/hammer/sn_d05b3552a37c1a8dac87f3f2c3d951e1/rendering/09.obj", "2.88806843758")</f>
        <v>2.88806843758</v>
      </c>
      <c r="M1080" s="41" t="str">
        <f>HYPERLINK(AB2 &amp; "/hammer/sn_d05b3552a37c1a8dac87f3f2c3d951e1/rendering/10.obj", "2.74232673645")</f>
        <v>2.74232673645</v>
      </c>
      <c r="N1080" s="68" t="str">
        <f>HYPERLINK(AB2 &amp; "/hammer/sn_d05b3552a37c1a8dac87f3f2c3d951e1/rendering/11.obj", "2.81587648392")</f>
        <v>2.81587648392</v>
      </c>
      <c r="O1080" s="48" t="str">
        <f>HYPERLINK(AB2 &amp; "/hammer/sn_d05b3552a37c1a8dac87f3f2c3d951e1/rendering/12.obj", "2.8656001091")</f>
        <v>2.8656001091</v>
      </c>
      <c r="P1080" s="26" t="str">
        <f>HYPERLINK(AB2 &amp; "/hammer/sn_d05b3552a37c1a8dac87f3f2c3d951e1/rendering/13.obj", "2.74747729301")</f>
        <v>2.74747729301</v>
      </c>
      <c r="Q1080" s="41" t="str">
        <f>HYPERLINK(AB2 &amp; "/hammer/sn_d05b3552a37c1a8dac87f3f2c3d951e1/rendering/14.obj", "3.13252401352")</f>
        <v>3.13252401352</v>
      </c>
      <c r="R1080" s="27" t="str">
        <f>HYPERLINK(AB2 &amp; "/hammer/sn_d05b3552a37c1a8dac87f3f2c3d951e1/rendering/15.obj", "3.13978624344")</f>
        <v>3.13978624344</v>
      </c>
      <c r="S1080" s="71" t="str">
        <f>HYPERLINK(AB2 &amp; "/hammer/sn_d05b3552a37c1a8dac87f3f2c3d951e1/rendering/16.obj", "2.59043598175")</f>
        <v>2.59043598175</v>
      </c>
      <c r="T1080" s="46" t="str">
        <f>HYPERLINK(AB2 &amp; "/hammer/sn_d05b3552a37c1a8dac87f3f2c3d951e1/rendering/17.obj", "2.88306546211")</f>
        <v>2.88306546211</v>
      </c>
      <c r="U1080" s="94" t="str">
        <f>HYPERLINK(AB2 &amp; "/hammer/sn_d05b3552a37c1a8dac87f3f2c3d951e1/rendering/18.obj", "2.71581435204")</f>
        <v>2.71581435204</v>
      </c>
      <c r="V1080" s="27" t="str">
        <f>HYPERLINK(AB2 &amp; "/hammer/sn_d05b3552a37c1a8dac87f3f2c3d951e1/rendering/19.obj", "3.14392566681")</f>
        <v>3.14392566681</v>
      </c>
      <c r="W1080" s="12" t="s">
        <v>32</v>
      </c>
      <c r="X1080" s="13">
        <v>2.9360381245613101</v>
      </c>
      <c r="Y1080" s="13">
        <v>0.25858721189750011</v>
      </c>
      <c r="Z1080" s="38">
        <v>8.8073519800134434E-2</v>
      </c>
    </row>
    <row r="1081" spans="1:26" x14ac:dyDescent="0.2">
      <c r="A1081" s="1">
        <v>1079</v>
      </c>
      <c r="B1081" s="2" t="s">
        <v>248</v>
      </c>
      <c r="C1081" s="13" t="str">
        <f>HYPERLINK(AC2 &amp; "/hammer/sn_d05b3552a37c1a8dac87f3f2c3d951e1/rendering/00.xyz", "0.0")</f>
        <v>0.0</v>
      </c>
      <c r="D1081" s="13" t="str">
        <f>HYPERLINK(AC2 &amp; "/hammer/sn_d05b3552a37c1a8dac87f3f2c3d951e1/rendering/01.xyz", "0.0")</f>
        <v>0.0</v>
      </c>
      <c r="E1081" s="13" t="str">
        <f>HYPERLINK(AC2 &amp; "/hammer/sn_d05b3552a37c1a8dac87f3f2c3d951e1/rendering/02.xyz", "0.0")</f>
        <v>0.0</v>
      </c>
      <c r="F1081" s="13" t="str">
        <f>HYPERLINK(AC2 &amp; "/hammer/sn_d05b3552a37c1a8dac87f3f2c3d951e1/rendering/03.xyz", "0.0")</f>
        <v>0.0</v>
      </c>
      <c r="G1081" s="13" t="str">
        <f>HYPERLINK(AC2 &amp; "/hammer/sn_d05b3552a37c1a8dac87f3f2c3d951e1/rendering/04.xyz", "0.0")</f>
        <v>0.0</v>
      </c>
      <c r="H1081" s="13" t="str">
        <f>HYPERLINK(AC2 &amp; "/hammer/sn_d05b3552a37c1a8dac87f3f2c3d951e1/rendering/05.xyz", "0.0")</f>
        <v>0.0</v>
      </c>
      <c r="I1081" s="13" t="str">
        <f>HYPERLINK(AC2 &amp; "/hammer/sn_d05b3552a37c1a8dac87f3f2c3d951e1/rendering/06.xyz", "0.0")</f>
        <v>0.0</v>
      </c>
      <c r="J1081" s="13" t="str">
        <f>HYPERLINK(AC2 &amp; "/hammer/sn_d05b3552a37c1a8dac87f3f2c3d951e1/rendering/07.xyz", "0.0")</f>
        <v>0.0</v>
      </c>
      <c r="K1081" s="13" t="str">
        <f>HYPERLINK(AC2 &amp; "/hammer/sn_d05b3552a37c1a8dac87f3f2c3d951e1/rendering/08.xyz", "0.0")</f>
        <v>0.0</v>
      </c>
      <c r="L1081" s="13" t="str">
        <f>HYPERLINK(AC2 &amp; "/hammer/sn_d05b3552a37c1a8dac87f3f2c3d951e1/rendering/09.xyz", "0.0")</f>
        <v>0.0</v>
      </c>
      <c r="M1081" s="13" t="str">
        <f>HYPERLINK(AC2 &amp; "/hammer/sn_d05b3552a37c1a8dac87f3f2c3d951e1/rendering/10.xyz", "0.0")</f>
        <v>0.0</v>
      </c>
      <c r="N1081" s="13" t="str">
        <f>HYPERLINK(AC2 &amp; "/hammer/sn_d05b3552a37c1a8dac87f3f2c3d951e1/rendering/11.xyz", "0.0")</f>
        <v>0.0</v>
      </c>
      <c r="O1081" s="13" t="str">
        <f>HYPERLINK(AC2 &amp; "/hammer/sn_d05b3552a37c1a8dac87f3f2c3d951e1/rendering/12.xyz", "0.0")</f>
        <v>0.0</v>
      </c>
      <c r="P1081" s="13" t="str">
        <f>HYPERLINK(AC2 &amp; "/hammer/sn_d05b3552a37c1a8dac87f3f2c3d951e1/rendering/13.xyz", "0.0")</f>
        <v>0.0</v>
      </c>
      <c r="Q1081" s="13" t="str">
        <f>HYPERLINK(AC2 &amp; "/hammer/sn_d05b3552a37c1a8dac87f3f2c3d951e1/rendering/14.xyz", "0.0")</f>
        <v>0.0</v>
      </c>
      <c r="R1081" s="13" t="str">
        <f>HYPERLINK(AC2 &amp; "/hammer/sn_d05b3552a37c1a8dac87f3f2c3d951e1/rendering/15.xyz", "0.0")</f>
        <v>0.0</v>
      </c>
      <c r="S1081" s="13" t="str">
        <f>HYPERLINK(AC2 &amp; "/hammer/sn_d05b3552a37c1a8dac87f3f2c3d951e1/rendering/16.xyz", "0.0")</f>
        <v>0.0</v>
      </c>
      <c r="T1081" s="13" t="str">
        <f>HYPERLINK(AC2 &amp; "/hammer/sn_d05b3552a37c1a8dac87f3f2c3d951e1/rendering/17.xyz", "0.0")</f>
        <v>0.0</v>
      </c>
      <c r="U1081" s="13" t="str">
        <f>HYPERLINK(AC2 &amp; "/hammer/sn_d05b3552a37c1a8dac87f3f2c3d951e1/rendering/18.xyz", "0.0")</f>
        <v>0.0</v>
      </c>
      <c r="V1081" s="13" t="str">
        <f>HYPERLINK(AC2 &amp; "/hammer/sn_d05b3552a37c1a8dac87f3f2c3d951e1/rendering/19.xyz", "0.0")</f>
        <v>0.0</v>
      </c>
      <c r="W1081" s="12" t="s">
        <v>33</v>
      </c>
      <c r="X1081" s="13">
        <v>0</v>
      </c>
      <c r="Y1081" s="13">
        <v>0</v>
      </c>
      <c r="Z1081" s="13">
        <v>0</v>
      </c>
    </row>
    <row r="1082" spans="1:26" x14ac:dyDescent="0.2">
      <c r="A1082" s="1">
        <v>1080</v>
      </c>
      <c r="B1082" s="2" t="s">
        <v>249</v>
      </c>
      <c r="C1082" s="82" t="str">
        <f>HYPERLINK(AA2 &amp; "/hammer/sn_d0a1e80e901fd19aa047a2d5617a226e/rendering/00.obj", "6.04506164551")</f>
        <v>6.04506164551</v>
      </c>
      <c r="D1082" s="19" t="str">
        <f>HYPERLINK(AA2 &amp; "/hammer/sn_d0a1e80e901fd19aa047a2d5617a226e/rendering/01.obj", "5.62445800781")</f>
        <v>5.62445800781</v>
      </c>
      <c r="E1082" s="75" t="str">
        <f>HYPERLINK(AA2 &amp; "/hammer/sn_d0a1e80e901fd19aa047a2d5617a226e/rendering/02.obj", "9.29225585938")</f>
        <v>9.29225585938</v>
      </c>
      <c r="F1082" s="64" t="str">
        <f>HYPERLINK(AA2 &amp; "/hammer/sn_d0a1e80e901fd19aa047a2d5617a226e/rendering/03.obj", "6.36330810547")</f>
        <v>6.36330810547</v>
      </c>
      <c r="G1082" s="25" t="str">
        <f>HYPERLINK(AA2 &amp; "/hammer/sn_d0a1e80e901fd19aa047a2d5617a226e/rendering/04.obj", "7.52390136719")</f>
        <v>7.52390136719</v>
      </c>
      <c r="H1082" s="42" t="str">
        <f>HYPERLINK(AA2 &amp; "/hammer/sn_d0a1e80e901fd19aa047a2d5617a226e/rendering/05.obj", "6.56944946289")</f>
        <v>6.56944946289</v>
      </c>
      <c r="I1082" s="13" t="str">
        <f>HYPERLINK(AA2 &amp; "/hammer/sn_d0a1e80e901fd19aa047a2d5617a226e/rendering/06.obj", "7.60949462891")</f>
        <v>7.60949462891</v>
      </c>
      <c r="J1082" s="6" t="str">
        <f>HYPERLINK(AA2 &amp; "/hammer/sn_d0a1e80e901fd19aa047a2d5617a226e/rendering/07.obj", "7.27595092773")</f>
        <v>7.27595092773</v>
      </c>
      <c r="K1082" s="55" t="str">
        <f>HYPERLINK(AA2 &amp; "/hammer/sn_d0a1e80e901fd19aa047a2d5617a226e/rendering/08.obj", "6.14167053223")</f>
        <v>6.14167053223</v>
      </c>
      <c r="L1082" s="41" t="str">
        <f>HYPERLINK(AA2 &amp; "/hammer/sn_d0a1e80e901fd19aa047a2d5617a226e/rendering/09.obj", "8.12065612793")</f>
        <v>8.12065612793</v>
      </c>
      <c r="M1082" s="175" t="str">
        <f>HYPERLINK(AA2 &amp; "/hammer/sn_d0a1e80e901fd19aa047a2d5617a226e/rendering/10.obj", "5.83444702148")</f>
        <v>5.83444702148</v>
      </c>
      <c r="N1082" s="93" t="str">
        <f>HYPERLINK(AA2 &amp; "/hammer/sn_d0a1e80e901fd19aa047a2d5617a226e/rendering/11.obj", "8.66880249023")</f>
        <v>8.66880249023</v>
      </c>
      <c r="O1082" s="87" t="str">
        <f>HYPERLINK(AA2 &amp; "/hammer/sn_d0a1e80e901fd19aa047a2d5617a226e/rendering/12.obj", "5.88811767578")</f>
        <v>5.88811767578</v>
      </c>
      <c r="P1082" s="55" t="str">
        <f>HYPERLINK(AA2 &amp; "/hammer/sn_d0a1e80e901fd19aa047a2d5617a226e/rendering/13.obj", "6.1514453125")</f>
        <v>6.1514453125</v>
      </c>
      <c r="Q1082" s="20" t="str">
        <f>HYPERLINK(AA2 &amp; "/hammer/sn_d0a1e80e901fd19aa047a2d5617a226e/rendering/14.obj", "16.9344555664")</f>
        <v>16.9344555664</v>
      </c>
      <c r="R1082" s="117" t="str">
        <f>HYPERLINK(AA2 &amp; "/hammer/sn_d0a1e80e901fd19aa047a2d5617a226e/rendering/15.obj", "6.25348266602")</f>
        <v>6.25348266602</v>
      </c>
      <c r="S1082" s="71" t="str">
        <f>HYPERLINK(AA2 &amp; "/hammer/sn_d0a1e80e901fd19aa047a2d5617a226e/rendering/16.obj", "6.72727783203")</f>
        <v>6.72727783203</v>
      </c>
      <c r="T1082" s="215" t="str">
        <f>HYPERLINK(AA2 &amp; "/hammer/sn_d0a1e80e901fd19aa047a2d5617a226e/rendering/17.obj", "12.7113476563")</f>
        <v>12.7113476563</v>
      </c>
      <c r="U1082" s="33" t="str">
        <f>HYPERLINK(AA2 &amp; "/hammer/sn_d0a1e80e901fd19aa047a2d5617a226e/rendering/18.obj", "6.79312011719")</f>
        <v>6.79312011719</v>
      </c>
      <c r="V1082" s="170" t="str">
        <f>HYPERLINK(AA2 &amp; "/hammer/sn_d0a1e80e901fd19aa047a2d5617a226e/rendering/19.obj", "5.6943359375")</f>
        <v>5.6943359375</v>
      </c>
      <c r="W1082" s="12" t="s">
        <v>29</v>
      </c>
      <c r="X1082" s="13">
        <v>7.6111519470214848</v>
      </c>
      <c r="Y1082" s="13">
        <v>2.680351160638005</v>
      </c>
      <c r="Z1082" s="121">
        <v>0.35216103676486482</v>
      </c>
    </row>
    <row r="1083" spans="1:26" x14ac:dyDescent="0.2">
      <c r="A1083" s="1">
        <v>1081</v>
      </c>
      <c r="B1083" s="2" t="s">
        <v>249</v>
      </c>
      <c r="C1083" s="206" t="str">
        <f>HYPERLINK(AA2 &amp; "/hammer/sn_d0a1e80e901fd19aa047a2d5617a226e/rendering/00.obj", "3.19916582108")</f>
        <v>3.19916582108</v>
      </c>
      <c r="D1083" s="18" t="str">
        <f>HYPERLINK(AA2 &amp; "/hammer/sn_d0a1e80e901fd19aa047a2d5617a226e/rendering/01.obj", "3.29356169701")</f>
        <v>3.29356169701</v>
      </c>
      <c r="E1083" s="26" t="str">
        <f>HYPERLINK(AA2 &amp; "/hammer/sn_d0a1e80e901fd19aa047a2d5617a226e/rendering/02.obj", "7.31501722336")</f>
        <v>7.31501722336</v>
      </c>
      <c r="F1083" s="160" t="str">
        <f>HYPERLINK(AA2 &amp; "/hammer/sn_d0a1e80e901fd19aa047a2d5617a226e/rendering/03.obj", "3.68898844719")</f>
        <v>3.68898844719</v>
      </c>
      <c r="G1083" s="251" t="str">
        <f>HYPERLINK(AA2 &amp; "/hammer/sn_d0a1e80e901fd19aa047a2d5617a226e/rendering/04.obj", "12.4317493439")</f>
        <v>12.4317493439</v>
      </c>
      <c r="H1083" s="145" t="str">
        <f>HYPERLINK(AA2 &amp; "/hammer/sn_d0a1e80e901fd19aa047a2d5617a226e/rendering/05.obj", "3.98252010345")</f>
        <v>3.98252010345</v>
      </c>
      <c r="I1083" s="131" t="str">
        <f>HYPERLINK(AA2 &amp; "/hammer/sn_d0a1e80e901fd19aa047a2d5617a226e/rendering/06.obj", "11.4542713165")</f>
        <v>11.4542713165</v>
      </c>
      <c r="J1083" s="216" t="str">
        <f>HYPERLINK(AA2 &amp; "/hammer/sn_d0a1e80e901fd19aa047a2d5617a226e/rendering/07.obj", "2.73427677155")</f>
        <v>2.73427677155</v>
      </c>
      <c r="K1083" s="201" t="str">
        <f>HYPERLINK(AA2 &amp; "/hammer/sn_d0a1e80e901fd19aa047a2d5617a226e/rendering/08.obj", "3.28268146515")</f>
        <v>3.28268146515</v>
      </c>
      <c r="L1083" s="187" t="str">
        <f>HYPERLINK(AA2 &amp; "/hammer/sn_d0a1e80e901fd19aa047a2d5617a226e/rendering/09.obj", "5.09076309204")</f>
        <v>5.09076309204</v>
      </c>
      <c r="M1083" s="235" t="str">
        <f>HYPERLINK(AA2 &amp; "/hammer/sn_d0a1e80e901fd19aa047a2d5617a226e/rendering/10.obj", "3.58206725121")</f>
        <v>3.58206725121</v>
      </c>
      <c r="N1083" s="130" t="str">
        <f>HYPERLINK(AA2 &amp; "/hammer/sn_d0a1e80e901fd19aa047a2d5617a226e/rendering/11.obj", "4.30369663239")</f>
        <v>4.30369663239</v>
      </c>
      <c r="O1083" s="126" t="str">
        <f>HYPERLINK(AA2 &amp; "/hammer/sn_d0a1e80e901fd19aa047a2d5617a226e/rendering/12.obj", "3.9006357193")</f>
        <v>3.9006357193</v>
      </c>
      <c r="P1083" s="123" t="str">
        <f>HYPERLINK(AA2 &amp; "/hammer/sn_d0a1e80e901fd19aa047a2d5617a226e/rendering/13.obj", "4.95451450348")</f>
        <v>4.95451450348</v>
      </c>
      <c r="Q1083" s="20" t="str">
        <f>HYPERLINK(AA2 &amp; "/hammer/sn_d0a1e80e901fd19aa047a2d5617a226e/rendering/14.obj", "52.5442085266")</f>
        <v>52.5442085266</v>
      </c>
      <c r="R1083" s="159" t="str">
        <f>HYPERLINK(AA2 &amp; "/hammer/sn_d0a1e80e901fd19aa047a2d5617a226e/rendering/15.obj", "4.16001939774")</f>
        <v>4.16001939774</v>
      </c>
      <c r="S1083" s="138" t="str">
        <f>HYPERLINK(AA2 &amp; "/hammer/sn_d0a1e80e901fd19aa047a2d5617a226e/rendering/16.obj", "5.17818117142")</f>
        <v>5.17818117142</v>
      </c>
      <c r="T1083" s="163" t="str">
        <f>HYPERLINK(AA2 &amp; "/hammer/sn_d0a1e80e901fd19aa047a2d5617a226e/rendering/17.obj", "11.2799320221")</f>
        <v>11.2799320221</v>
      </c>
      <c r="U1083" s="94" t="str">
        <f>HYPERLINK(AA2 &amp; "/hammer/sn_d0a1e80e901fd19aa047a2d5617a226e/rendering/18.obj", "7.24721717834")</f>
        <v>7.24721717834</v>
      </c>
      <c r="V1083" s="194" t="str">
        <f>HYPERLINK(AA2 &amp; "/hammer/sn_d0a1e80e901fd19aa047a2d5617a226e/rendering/19.obj", "2.954007864")</f>
        <v>2.954007864</v>
      </c>
      <c r="W1083" s="12" t="s">
        <v>30</v>
      </c>
      <c r="X1083" s="13">
        <v>7.8288737773895267</v>
      </c>
      <c r="Y1083" s="13">
        <v>10.66012639899145</v>
      </c>
      <c r="Z1083" s="20">
        <v>1.3616423897111261</v>
      </c>
    </row>
    <row r="1084" spans="1:26" x14ac:dyDescent="0.2">
      <c r="A1084" s="1">
        <v>1082</v>
      </c>
      <c r="B1084" s="2" t="s">
        <v>249</v>
      </c>
      <c r="C1084" s="91" t="str">
        <f>HYPERLINK(AB2 &amp; "/hammer/sn_d0a1e80e901fd19aa047a2d5617a226e/rendering/00.obj", "5.73110229492")</f>
        <v>5.73110229492</v>
      </c>
      <c r="D1084" s="72" t="str">
        <f>HYPERLINK(AB2 &amp; "/hammer/sn_d0a1e80e901fd19aa047a2d5617a226e/rendering/01.obj", "6.08026855469")</f>
        <v>6.08026855469</v>
      </c>
      <c r="E1084" s="74" t="str">
        <f>HYPERLINK(AB2 &amp; "/hammer/sn_d0a1e80e901fd19aa047a2d5617a226e/rendering/02.obj", "5.95533203125")</f>
        <v>5.95533203125</v>
      </c>
      <c r="F1084" s="17" t="str">
        <f>HYPERLINK(AB2 &amp; "/hammer/sn_d0a1e80e901fd19aa047a2d5617a226e/rendering/03.obj", "5.76051147461")</f>
        <v>5.76051147461</v>
      </c>
      <c r="G1084" s="35" t="str">
        <f>HYPERLINK(AB2 &amp; "/hammer/sn_d0a1e80e901fd19aa047a2d5617a226e/rendering/04.obj", "5.53899902344")</f>
        <v>5.53899902344</v>
      </c>
      <c r="H1084" s="41" t="str">
        <f>HYPERLINK(AB2 &amp; "/hammer/sn_d0a1e80e901fd19aa047a2d5617a226e/rendering/05.obj", "5.47627807617")</f>
        <v>5.47627807617</v>
      </c>
      <c r="I1084" s="30" t="str">
        <f>HYPERLINK(AB2 &amp; "/hammer/sn_d0a1e80e901fd19aa047a2d5617a226e/rendering/06.obj", "5.90446533203")</f>
        <v>5.90446533203</v>
      </c>
      <c r="J1084" s="11" t="str">
        <f>HYPERLINK(AB2 &amp; "/hammer/sn_d0a1e80e901fd19aa047a2d5617a226e/rendering/07.obj", "7.19780639648")</f>
        <v>7.19780639648</v>
      </c>
      <c r="K1084" s="39" t="str">
        <f>HYPERLINK(AB2 &amp; "/hammer/sn_d0a1e80e901fd19aa047a2d5617a226e/rendering/08.obj", "6.39236022949")</f>
        <v>6.39236022949</v>
      </c>
      <c r="L1084" s="60" t="str">
        <f>HYPERLINK(AB2 &amp; "/hammer/sn_d0a1e80e901fd19aa047a2d5617a226e/rendering/09.obj", "5.57423095703")</f>
        <v>5.57423095703</v>
      </c>
      <c r="M1084" s="72" t="str">
        <f>HYPERLINK(AB2 &amp; "/hammer/sn_d0a1e80e901fd19aa047a2d5617a226e/rendering/10.obj", "5.68154052734")</f>
        <v>5.68154052734</v>
      </c>
      <c r="N1084" s="67" t="str">
        <f>HYPERLINK(AB2 &amp; "/hammer/sn_d0a1e80e901fd19aa047a2d5617a226e/rendering/11.obj", "5.32886047363")</f>
        <v>5.32886047363</v>
      </c>
      <c r="O1084" s="69" t="str">
        <f>HYPERLINK(AB2 &amp; "/hammer/sn_d0a1e80e901fd19aa047a2d5617a226e/rendering/12.obj", "6.05755126953")</f>
        <v>6.05755126953</v>
      </c>
      <c r="P1084" s="38" t="str">
        <f>HYPERLINK(AB2 &amp; "/hammer/sn_d0a1e80e901fd19aa047a2d5617a226e/rendering/13.obj", "5.35672607422")</f>
        <v>5.35672607422</v>
      </c>
      <c r="Q1084" s="47" t="str">
        <f>HYPERLINK(AB2 &amp; "/hammer/sn_d0a1e80e901fd19aa047a2d5617a226e/rendering/14.obj", "5.92969360352")</f>
        <v>5.92969360352</v>
      </c>
      <c r="R1084" s="72" t="str">
        <f>HYPERLINK(AB2 &amp; "/hammer/sn_d0a1e80e901fd19aa047a2d5617a226e/rendering/15.obj", "5.67685180664")</f>
        <v>5.67685180664</v>
      </c>
      <c r="S1084" s="94" t="str">
        <f>HYPERLINK(AB2 &amp; "/hammer/sn_d0a1e80e901fd19aa047a2d5617a226e/rendering/16.obj", "6.31373535156")</f>
        <v>6.31373535156</v>
      </c>
      <c r="T1084" s="49" t="str">
        <f>HYPERLINK(AB2 &amp; "/hammer/sn_d0a1e80e901fd19aa047a2d5617a226e/rendering/17.obj", "4.64934631348")</f>
        <v>4.64934631348</v>
      </c>
      <c r="U1084" s="92" t="str">
        <f>HYPERLINK(AB2 &amp; "/hammer/sn_d0a1e80e901fd19aa047a2d5617a226e/rendering/18.obj", "6.60325195313")</f>
        <v>6.60325195313</v>
      </c>
      <c r="V1084" s="107" t="str">
        <f>HYPERLINK(AB2 &amp; "/hammer/sn_d0a1e80e901fd19aa047a2d5617a226e/rendering/19.obj", "6.36469726562")</f>
        <v>6.36469726562</v>
      </c>
      <c r="W1084" s="12" t="s">
        <v>31</v>
      </c>
      <c r="X1084" s="13">
        <v>5.8786804504394521</v>
      </c>
      <c r="Y1084" s="13">
        <v>0.52950769379892881</v>
      </c>
      <c r="Z1084" s="38">
        <v>9.0072542343978948E-2</v>
      </c>
    </row>
    <row r="1085" spans="1:26" x14ac:dyDescent="0.2">
      <c r="A1085" s="1">
        <v>1083</v>
      </c>
      <c r="B1085" s="2" t="s">
        <v>249</v>
      </c>
      <c r="C1085" s="109" t="str">
        <f>HYPERLINK(AB2 &amp; "/hammer/sn_d0a1e80e901fd19aa047a2d5617a226e/rendering/00.obj", "1.91813528538")</f>
        <v>1.91813528538</v>
      </c>
      <c r="D1085" s="8" t="str">
        <f>HYPERLINK(AB2 &amp; "/hammer/sn_d0a1e80e901fd19aa047a2d5617a226e/rendering/01.obj", "2.03462505341")</f>
        <v>2.03462505341</v>
      </c>
      <c r="E1085" s="6" t="str">
        <f>HYPERLINK(AB2 &amp; "/hammer/sn_d0a1e80e901fd19aa047a2d5617a226e/rendering/02.obj", "2.26025319099")</f>
        <v>2.26025319099</v>
      </c>
      <c r="F1085" s="39" t="str">
        <f>HYPERLINK(AB2 &amp; "/hammer/sn_d0a1e80e901fd19aa047a2d5617a226e/rendering/03.obj", "2.16252160072")</f>
        <v>2.16252160072</v>
      </c>
      <c r="G1085" s="51" t="str">
        <f>HYPERLINK(AB2 &amp; "/hammer/sn_d0a1e80e901fd19aa047a2d5617a226e/rendering/04.obj", "2.17690110207")</f>
        <v>2.17690110207</v>
      </c>
      <c r="H1085" s="30" t="str">
        <f>HYPERLINK(AB2 &amp; "/hammer/sn_d0a1e80e901fd19aa047a2d5617a226e/rendering/05.obj", "2.35649442673")</f>
        <v>2.35649442673</v>
      </c>
      <c r="I1085" s="70" t="str">
        <f>HYPERLINK(AB2 &amp; "/hammer/sn_d0a1e80e901fd19aa047a2d5617a226e/rendering/06.obj", "2.67086696625")</f>
        <v>2.67086696625</v>
      </c>
      <c r="J1085" s="69" t="str">
        <f>HYPERLINK(AB2 &amp; "/hammer/sn_d0a1e80e901fd19aa047a2d5617a226e/rendering/07.obj", "2.29770112038")</f>
        <v>2.29770112038</v>
      </c>
      <c r="K1085" s="78" t="str">
        <f>HYPERLINK(AB2 &amp; "/hammer/sn_d0a1e80e901fd19aa047a2d5617a226e/rendering/08.obj", "2.22410941124")</f>
        <v>2.22410941124</v>
      </c>
      <c r="L1085" s="73" t="str">
        <f>HYPERLINK(AB2 &amp; "/hammer/sn_d0a1e80e901fd19aa047a2d5617a226e/rendering/09.obj", "2.45886898041")</f>
        <v>2.45886898041</v>
      </c>
      <c r="M1085" s="30" t="str">
        <f>HYPERLINK(AB2 &amp; "/hammer/sn_d0a1e80e901fd19aa047a2d5617a226e/rendering/10.obj", "2.37937617302")</f>
        <v>2.37937617302</v>
      </c>
      <c r="N1085" s="26" t="str">
        <f>HYPERLINK(AB2 &amp; "/hammer/sn_d0a1e80e901fd19aa047a2d5617a226e/rendering/11.obj", "2.21687245369")</f>
        <v>2.21687245369</v>
      </c>
      <c r="O1085" s="25" t="str">
        <f>HYPERLINK(AB2 &amp; "/hammer/sn_d0a1e80e901fd19aa047a2d5617a226e/rendering/12.obj", "2.39359879494")</f>
        <v>2.39359879494</v>
      </c>
      <c r="P1085" s="117" t="str">
        <f>HYPERLINK(AB2 &amp; "/hammer/sn_d0a1e80e901fd19aa047a2d5617a226e/rendering/13.obj", "1.95171093941")</f>
        <v>1.95171093941</v>
      </c>
      <c r="Q1085" s="212" t="str">
        <f>HYPERLINK(AB2 &amp; "/hammer/sn_d0a1e80e901fd19aa047a2d5617a226e/rendering/14.obj", "3.39301991463")</f>
        <v>3.39301991463</v>
      </c>
      <c r="R1085" s="84" t="str">
        <f>HYPERLINK(AB2 &amp; "/hammer/sn_d0a1e80e901fd19aa047a2d5617a226e/rendering/15.obj", "2.02508115768")</f>
        <v>2.02508115768</v>
      </c>
      <c r="S1085" s="49" t="str">
        <f>HYPERLINK(AB2 &amp; "/hammer/sn_d0a1e80e901fd19aa047a2d5617a226e/rendering/16.obj", "2.86303377151")</f>
        <v>2.86303377151</v>
      </c>
      <c r="T1085" s="42" t="str">
        <f>HYPERLINK(AB2 &amp; "/hammer/sn_d0a1e80e901fd19aa047a2d5617a226e/rendering/17.obj", "2.69264531136")</f>
        <v>2.69264531136</v>
      </c>
      <c r="U1085" s="120" t="str">
        <f>HYPERLINK(AB2 &amp; "/hammer/sn_d0a1e80e901fd19aa047a2d5617a226e/rendering/18.obj", "2.86916565895")</f>
        <v>2.86916565895</v>
      </c>
      <c r="V1085" s="65" t="str">
        <f>HYPERLINK(AB2 &amp; "/hammer/sn_d0a1e80e901fd19aa047a2d5617a226e/rendering/19.obj", "2.05762529373")</f>
        <v>2.05762529373</v>
      </c>
      <c r="W1085" s="12" t="s">
        <v>32</v>
      </c>
      <c r="X1085" s="13">
        <v>2.370130330324173</v>
      </c>
      <c r="Y1085" s="13">
        <v>0.36004671567582741</v>
      </c>
      <c r="Z1085" s="83">
        <v>0.1519100916389616</v>
      </c>
    </row>
    <row r="1086" spans="1:26" x14ac:dyDescent="0.2">
      <c r="A1086" s="1">
        <v>1084</v>
      </c>
      <c r="B1086" s="2" t="s">
        <v>249</v>
      </c>
      <c r="C1086" s="13" t="str">
        <f>HYPERLINK(AC2 &amp; "/hammer/sn_d0a1e80e901fd19aa047a2d5617a226e/rendering/00.xyz", "0.0")</f>
        <v>0.0</v>
      </c>
      <c r="D1086" s="13" t="str">
        <f>HYPERLINK(AC2 &amp; "/hammer/sn_d0a1e80e901fd19aa047a2d5617a226e/rendering/01.xyz", "0.0")</f>
        <v>0.0</v>
      </c>
      <c r="E1086" s="13" t="str">
        <f>HYPERLINK(AC2 &amp; "/hammer/sn_d0a1e80e901fd19aa047a2d5617a226e/rendering/02.xyz", "0.0")</f>
        <v>0.0</v>
      </c>
      <c r="F1086" s="13" t="str">
        <f>HYPERLINK(AC2 &amp; "/hammer/sn_d0a1e80e901fd19aa047a2d5617a226e/rendering/03.xyz", "0.0")</f>
        <v>0.0</v>
      </c>
      <c r="G1086" s="13" t="str">
        <f>HYPERLINK(AC2 &amp; "/hammer/sn_d0a1e80e901fd19aa047a2d5617a226e/rendering/04.xyz", "0.0")</f>
        <v>0.0</v>
      </c>
      <c r="H1086" s="13" t="str">
        <f>HYPERLINK(AC2 &amp; "/hammer/sn_d0a1e80e901fd19aa047a2d5617a226e/rendering/05.xyz", "0.0")</f>
        <v>0.0</v>
      </c>
      <c r="I1086" s="13" t="str">
        <f>HYPERLINK(AC2 &amp; "/hammer/sn_d0a1e80e901fd19aa047a2d5617a226e/rendering/06.xyz", "0.0")</f>
        <v>0.0</v>
      </c>
      <c r="J1086" s="13" t="str">
        <f>HYPERLINK(AC2 &amp; "/hammer/sn_d0a1e80e901fd19aa047a2d5617a226e/rendering/07.xyz", "0.0")</f>
        <v>0.0</v>
      </c>
      <c r="K1086" s="13" t="str">
        <f>HYPERLINK(AC2 &amp; "/hammer/sn_d0a1e80e901fd19aa047a2d5617a226e/rendering/08.xyz", "0.0")</f>
        <v>0.0</v>
      </c>
      <c r="L1086" s="13" t="str">
        <f>HYPERLINK(AC2 &amp; "/hammer/sn_d0a1e80e901fd19aa047a2d5617a226e/rendering/09.xyz", "0.0")</f>
        <v>0.0</v>
      </c>
      <c r="M1086" s="13" t="str">
        <f>HYPERLINK(AC2 &amp; "/hammer/sn_d0a1e80e901fd19aa047a2d5617a226e/rendering/10.xyz", "0.0")</f>
        <v>0.0</v>
      </c>
      <c r="N1086" s="13" t="str">
        <f>HYPERLINK(AC2 &amp; "/hammer/sn_d0a1e80e901fd19aa047a2d5617a226e/rendering/11.xyz", "0.0")</f>
        <v>0.0</v>
      </c>
      <c r="O1086" s="13" t="str">
        <f>HYPERLINK(AC2 &amp; "/hammer/sn_d0a1e80e901fd19aa047a2d5617a226e/rendering/12.xyz", "0.0")</f>
        <v>0.0</v>
      </c>
      <c r="P1086" s="13" t="str">
        <f>HYPERLINK(AC2 &amp; "/hammer/sn_d0a1e80e901fd19aa047a2d5617a226e/rendering/13.xyz", "0.0")</f>
        <v>0.0</v>
      </c>
      <c r="Q1086" s="13" t="str">
        <f>HYPERLINK(AC2 &amp; "/hammer/sn_d0a1e80e901fd19aa047a2d5617a226e/rendering/14.xyz", "0.0")</f>
        <v>0.0</v>
      </c>
      <c r="R1086" s="13" t="str">
        <f>HYPERLINK(AC2 &amp; "/hammer/sn_d0a1e80e901fd19aa047a2d5617a226e/rendering/15.xyz", "0.0")</f>
        <v>0.0</v>
      </c>
      <c r="S1086" s="13" t="str">
        <f>HYPERLINK(AC2 &amp; "/hammer/sn_d0a1e80e901fd19aa047a2d5617a226e/rendering/16.xyz", "0.0")</f>
        <v>0.0</v>
      </c>
      <c r="T1086" s="13" t="str">
        <f>HYPERLINK(AC2 &amp; "/hammer/sn_d0a1e80e901fd19aa047a2d5617a226e/rendering/17.xyz", "0.0")</f>
        <v>0.0</v>
      </c>
      <c r="U1086" s="13" t="str">
        <f>HYPERLINK(AC2 &amp; "/hammer/sn_d0a1e80e901fd19aa047a2d5617a226e/rendering/18.xyz", "0.0")</f>
        <v>0.0</v>
      </c>
      <c r="V1086" s="13" t="str">
        <f>HYPERLINK(AC2 &amp; "/hammer/sn_d0a1e80e901fd19aa047a2d5617a226e/rendering/19.xyz", "0.0")</f>
        <v>0.0</v>
      </c>
      <c r="W1086" s="12" t="s">
        <v>33</v>
      </c>
      <c r="X1086" s="13">
        <v>0</v>
      </c>
      <c r="Y1086" s="13">
        <v>0</v>
      </c>
      <c r="Z1086" s="13">
        <v>0</v>
      </c>
    </row>
    <row r="1087" spans="1:26" x14ac:dyDescent="0.2">
      <c r="A1087" s="1">
        <v>1085</v>
      </c>
      <c r="B1087" s="2" t="s">
        <v>250</v>
      </c>
      <c r="C1087" s="72" t="str">
        <f>HYPERLINK(AA2 &amp; "/hammer/sn_d1e8bdb40c3e485c83a93f42ef06608a/rendering/00.obj", "7.24678588867")</f>
        <v>7.24678588867</v>
      </c>
      <c r="D1087" s="90" t="str">
        <f>HYPERLINK(AA2 &amp; "/hammer/sn_d1e8bdb40c3e485c83a93f42ef06608a/rendering/01.obj", "6.75817749023")</f>
        <v>6.75817749023</v>
      </c>
      <c r="E1087" s="32" t="str">
        <f>HYPERLINK(AA2 &amp; "/hammer/sn_d1e8bdb40c3e485c83a93f42ef06608a/rendering/02.obj", "8.27830322266")</f>
        <v>8.27830322266</v>
      </c>
      <c r="F1087" s="6" t="str">
        <f>HYPERLINK(AA2 &amp; "/hammer/sn_d1e8bdb40c3e485c83a93f42ef06608a/rendering/03.obj", "7.82195861816")</f>
        <v>7.82195861816</v>
      </c>
      <c r="G1087" s="6" t="str">
        <f>HYPERLINK(AA2 &amp; "/hammer/sn_d1e8bdb40c3e485c83a93f42ef06608a/rendering/04.obj", "7.14615356445")</f>
        <v>7.14615356445</v>
      </c>
      <c r="H1087" s="28" t="str">
        <f>HYPERLINK(AA2 &amp; "/hammer/sn_d1e8bdb40c3e485c83a93f42ef06608a/rendering/05.obj", "8.32687011719")</f>
        <v>8.32687011719</v>
      </c>
      <c r="I1087" s="63" t="str">
        <f>HYPERLINK(AA2 &amp; "/hammer/sn_d1e8bdb40c3e485c83a93f42ef06608a/rendering/06.obj", "6.57712402344")</f>
        <v>6.57712402344</v>
      </c>
      <c r="J1087" s="79" t="str">
        <f>HYPERLINK(AA2 &amp; "/hammer/sn_d1e8bdb40c3e485c83a93f42ef06608a/rendering/07.obj", "6.28626831055")</f>
        <v>6.28626831055</v>
      </c>
      <c r="K1087" s="70" t="str">
        <f>HYPERLINK(AA2 &amp; "/hammer/sn_d1e8bdb40c3e485c83a93f42ef06608a/rendering/08.obj", "6.52710205078")</f>
        <v>6.52710205078</v>
      </c>
      <c r="L1087" s="172" t="str">
        <f>HYPERLINK(AA2 &amp; "/hammer/sn_d1e8bdb40c3e485c83a93f42ef06608a/rendering/09.obj", "10.3549121094")</f>
        <v>10.3549121094</v>
      </c>
      <c r="M1087" s="107" t="str">
        <f>HYPERLINK(AA2 &amp; "/hammer/sn_d1e8bdb40c3e485c83a93f42ef06608a/rendering/10.obj", "6.85428466797")</f>
        <v>6.85428466797</v>
      </c>
      <c r="N1087" s="72" t="str">
        <f>HYPERLINK(AA2 &amp; "/hammer/sn_d1e8bdb40c3e485c83a93f42ef06608a/rendering/11.obj", "7.23075317383")</f>
        <v>7.23075317383</v>
      </c>
      <c r="O1087" s="58" t="str">
        <f>HYPERLINK(AA2 &amp; "/hammer/sn_d1e8bdb40c3e485c83a93f42ef06608a/rendering/12.obj", "9.30817749023")</f>
        <v>9.30817749023</v>
      </c>
      <c r="P1087" s="23" t="str">
        <f>HYPERLINK(AA2 &amp; "/hammer/sn_d1e8bdb40c3e485c83a93f42ef06608a/rendering/13.obj", "7.18392822266")</f>
        <v>7.18392822266</v>
      </c>
      <c r="Q1087" s="72" t="str">
        <f>HYPERLINK(AA2 &amp; "/hammer/sn_d1e8bdb40c3e485c83a93f42ef06608a/rendering/14.obj", "7.24198608398")</f>
        <v>7.24198608398</v>
      </c>
      <c r="R1087" s="41" t="str">
        <f>HYPERLINK(AA2 &amp; "/hammer/sn_d1e8bdb40c3e485c83a93f42ef06608a/rendering/15.obj", "7.99261962891")</f>
        <v>7.99261962891</v>
      </c>
      <c r="S1087" s="68" t="str">
        <f>HYPERLINK(AA2 &amp; "/hammer/sn_d1e8bdb40c3e485c83a93f42ef06608a/rendering/16.obj", "7.16825073242")</f>
        <v>7.16825073242</v>
      </c>
      <c r="T1087" s="91" t="str">
        <f>HYPERLINK(AA2 &amp; "/hammer/sn_d1e8bdb40c3e485c83a93f42ef06608a/rendering/17.obj", "7.27294250488")</f>
        <v>7.27294250488</v>
      </c>
      <c r="U1087" s="90" t="str">
        <f>HYPERLINK(AA2 &amp; "/hammer/sn_d1e8bdb40c3e485c83a93f42ef06608a/rendering/18.obj", "6.76644714355")</f>
        <v>6.76644714355</v>
      </c>
      <c r="V1087" s="17" t="str">
        <f>HYPERLINK(AA2 &amp; "/hammer/sn_d1e8bdb40c3e485c83a93f42ef06608a/rendering/19.obj", "7.31982910156")</f>
        <v>7.31982910156</v>
      </c>
      <c r="W1087" s="12" t="s">
        <v>29</v>
      </c>
      <c r="X1087" s="13">
        <v>7.4831437072753912</v>
      </c>
      <c r="Y1087" s="13">
        <v>0.96044877502771075</v>
      </c>
      <c r="Z1087" s="70">
        <v>0.1283483002062257</v>
      </c>
    </row>
    <row r="1088" spans="1:26" x14ac:dyDescent="0.2">
      <c r="A1088" s="1">
        <v>1086</v>
      </c>
      <c r="B1088" s="2" t="s">
        <v>250</v>
      </c>
      <c r="C1088" s="19" t="str">
        <f>HYPERLINK(AA2 &amp; "/hammer/sn_d1e8bdb40c3e485c83a93f42ef06608a/rendering/00.obj", "5.4047293663")</f>
        <v>5.4047293663</v>
      </c>
      <c r="D1088" s="79" t="str">
        <f>HYPERLINK(AA2 &amp; "/hammer/sn_d1e8bdb40c3e485c83a93f42ef06608a/rendering/01.obj", "8.48554611206")</f>
        <v>8.48554611206</v>
      </c>
      <c r="E1088" s="254" t="str">
        <f>HYPERLINK(AA2 &amp; "/hammer/sn_d1e8bdb40c3e485c83a93f42ef06608a/rendering/02.obj", "12.9884357452")</f>
        <v>12.9884357452</v>
      </c>
      <c r="F1088" s="142" t="str">
        <f>HYPERLINK(AA2 &amp; "/hammer/sn_d1e8bdb40c3e485c83a93f42ef06608a/rendering/03.obj", "4.43689537048")</f>
        <v>4.43689537048</v>
      </c>
      <c r="G1088" s="18" t="str">
        <f>HYPERLINK(AA2 &amp; "/hammer/sn_d1e8bdb40c3e485c83a93f42ef06608a/rendering/04.obj", "3.0967168808")</f>
        <v>3.0967168808</v>
      </c>
      <c r="H1088" s="20" t="str">
        <f>HYPERLINK(AA2 &amp; "/hammer/sn_d1e8bdb40c3e485c83a93f42ef06608a/rendering/05.obj", "14.5555896759")</f>
        <v>14.5555896759</v>
      </c>
      <c r="I1088" s="84" t="str">
        <f>HYPERLINK(AA2 &amp; "/hammer/sn_d1e8bdb40c3e485c83a93f42ef06608a/rendering/06.obj", "6.26685810089")</f>
        <v>6.26685810089</v>
      </c>
      <c r="J1088" s="227" t="str">
        <f>HYPERLINK(AA2 &amp; "/hammer/sn_d1e8bdb40c3e485c83a93f42ef06608a/rendering/07.obj", "3.58367228508")</f>
        <v>3.58367228508</v>
      </c>
      <c r="K1088" s="76" t="str">
        <f>HYPERLINK(AA2 &amp; "/hammer/sn_d1e8bdb40c3e485c83a93f42ef06608a/rendering/08.obj", "5.98196649551")</f>
        <v>5.98196649551</v>
      </c>
      <c r="L1088" s="152" t="str">
        <f>HYPERLINK(AA2 &amp; "/hammer/sn_d1e8bdb40c3e485c83a93f42ef06608a/rendering/09.obj", "4.3503241539")</f>
        <v>4.3503241539</v>
      </c>
      <c r="M1088" s="187" t="str">
        <f>HYPERLINK(AA2 &amp; "/hammer/sn_d1e8bdb40c3e485c83a93f42ef06608a/rendering/10.obj", "4.75635528564")</f>
        <v>4.75635528564</v>
      </c>
      <c r="N1088" s="50" t="str">
        <f>HYPERLINK(AA2 &amp; "/hammer/sn_d1e8bdb40c3e485c83a93f42ef06608a/rendering/11.obj", "5.87548351288")</f>
        <v>5.87548351288</v>
      </c>
      <c r="O1088" s="20" t="str">
        <f>HYPERLINK(AA2 &amp; "/hammer/sn_d1e8bdb40c3e485c83a93f42ef06608a/rendering/12.obj", "21.4426841736")</f>
        <v>21.4426841736</v>
      </c>
      <c r="P1088" s="212" t="str">
        <f>HYPERLINK(AA2 &amp; "/hammer/sn_d1e8bdb40c3e485c83a93f42ef06608a/rendering/13.obj", "4.15517234802")</f>
        <v>4.15517234802</v>
      </c>
      <c r="Q1088" s="81" t="str">
        <f>HYPERLINK(AA2 &amp; "/hammer/sn_d1e8bdb40c3e485c83a93f42ef06608a/rendering/14.obj", "8.91611099243")</f>
        <v>8.91611099243</v>
      </c>
      <c r="R1088" s="20" t="str">
        <f>HYPERLINK(AA2 &amp; "/hammer/sn_d1e8bdb40c3e485c83a93f42ef06608a/rendering/15.obj", "13.5280036926")</f>
        <v>13.5280036926</v>
      </c>
      <c r="S1088" s="126" t="str">
        <f>HYPERLINK(AA2 &amp; "/hammer/sn_d1e8bdb40c3e485c83a93f42ef06608a/rendering/16.obj", "3.65979504585")</f>
        <v>3.65979504585</v>
      </c>
      <c r="T1088" s="137" t="str">
        <f>HYPERLINK(AA2 &amp; "/hammer/sn_d1e8bdb40c3e485c83a93f42ef06608a/rendering/17.obj", "4.65638303757")</f>
        <v>4.65638303757</v>
      </c>
      <c r="U1088" s="109" t="str">
        <f>HYPERLINK(AA2 &amp; "/hammer/sn_d1e8bdb40c3e485c83a93f42ef06608a/rendering/18.obj", "5.93291950226")</f>
        <v>5.93291950226</v>
      </c>
      <c r="V1088" s="142" t="str">
        <f>HYPERLINK(AA2 &amp; "/hammer/sn_d1e8bdb40c3e485c83a93f42ef06608a/rendering/19.obj", "4.45107555389")</f>
        <v>4.45107555389</v>
      </c>
      <c r="W1088" s="12" t="s">
        <v>30</v>
      </c>
      <c r="X1088" s="13">
        <v>7.3262358665466314</v>
      </c>
      <c r="Y1088" s="13">
        <v>4.6432568145945279</v>
      </c>
      <c r="Z1088" s="164">
        <v>0.63378478377917979</v>
      </c>
    </row>
    <row r="1089" spans="1:26" x14ac:dyDescent="0.2">
      <c r="A1089" s="1">
        <v>1087</v>
      </c>
      <c r="B1089" s="2" t="s">
        <v>250</v>
      </c>
      <c r="C1089" s="29" t="str">
        <f>HYPERLINK(AB2 &amp; "/hammer/sn_d1e8bdb40c3e485c83a93f42ef06608a/rendering/00.obj", "7.31097900391")</f>
        <v>7.31097900391</v>
      </c>
      <c r="D1089" s="10" t="str">
        <f>HYPERLINK(AB2 &amp; "/hammer/sn_d1e8bdb40c3e485c83a93f42ef06608a/rendering/01.obj", "6.8371697998")</f>
        <v>6.8371697998</v>
      </c>
      <c r="E1089" s="91" t="str">
        <f>HYPERLINK(AB2 &amp; "/hammer/sn_d1e8bdb40c3e485c83a93f42ef06608a/rendering/02.obj", "6.31367431641")</f>
        <v>6.31367431641</v>
      </c>
      <c r="F1089" s="39" t="str">
        <f>HYPERLINK(AB2 &amp; "/hammer/sn_d1e8bdb40c3e485c83a93f42ef06608a/rendering/03.obj", "7.03251647949")</f>
        <v>7.03251647949</v>
      </c>
      <c r="G1089" s="33" t="str">
        <f>HYPERLINK(AB2 &amp; "/hammer/sn_d1e8bdb40c3e485c83a93f42ef06608a/rendering/04.obj", "5.77720581055")</f>
        <v>5.77720581055</v>
      </c>
      <c r="H1089" s="6" t="str">
        <f>HYPERLINK(AB2 &amp; "/hammer/sn_d1e8bdb40c3e485c83a93f42ef06608a/rendering/05.obj", "6.18944824219")</f>
        <v>6.18944824219</v>
      </c>
      <c r="I1089" s="74" t="str">
        <f>HYPERLINK(AB2 &amp; "/hammer/sn_d1e8bdb40c3e485c83a93f42ef06608a/rendering/06.obj", "6.39159790039")</f>
        <v>6.39159790039</v>
      </c>
      <c r="J1089" s="41" t="str">
        <f>HYPERLINK(AB2 &amp; "/hammer/sn_d1e8bdb40c3e485c83a93f42ef06608a/rendering/07.obj", "6.03488586426")</f>
        <v>6.03488586426</v>
      </c>
      <c r="K1089" s="93" t="str">
        <f>HYPERLINK(AB2 &amp; "/hammer/sn_d1e8bdb40c3e485c83a93f42ef06608a/rendering/08.obj", "7.37221557617")</f>
        <v>7.37221557617</v>
      </c>
      <c r="L1089" s="13" t="str">
        <f>HYPERLINK(AB2 &amp; "/hammer/sn_d1e8bdb40c3e485c83a93f42ef06608a/rendering/09.obj", "6.46732421875")</f>
        <v>6.46732421875</v>
      </c>
      <c r="M1089" s="27" t="str">
        <f>HYPERLINK(AB2 &amp; "/hammer/sn_d1e8bdb40c3e485c83a93f42ef06608a/rendering/10.obj", "6.02063842773")</f>
        <v>6.02063842773</v>
      </c>
      <c r="N1089" s="107" t="str">
        <f>HYPERLINK(AB2 &amp; "/hammer/sn_d1e8bdb40c3e485c83a93f42ef06608a/rendering/11.obj", "5.94459716797")</f>
        <v>5.94459716797</v>
      </c>
      <c r="O1089" s="5" t="str">
        <f>HYPERLINK(AB2 &amp; "/hammer/sn_d1e8bdb40c3e485c83a93f42ef06608a/rendering/12.obj", "5.98402160645")</f>
        <v>5.98402160645</v>
      </c>
      <c r="P1089" s="71" t="str">
        <f>HYPERLINK(AB2 &amp; "/hammer/sn_d1e8bdb40c3e485c83a93f42ef06608a/rendering/13.obj", "5.72245605469")</f>
        <v>5.72245605469</v>
      </c>
      <c r="Q1089" s="34" t="str">
        <f>HYPERLINK(AB2 &amp; "/hammer/sn_d1e8bdb40c3e485c83a93f42ef06608a/rendering/14.obj", "6.17154663086")</f>
        <v>6.17154663086</v>
      </c>
      <c r="R1089" s="51" t="str">
        <f>HYPERLINK(AB2 &amp; "/hammer/sn_d1e8bdb40c3e485c83a93f42ef06608a/rendering/15.obj", "5.96620666504")</f>
        <v>5.96620666504</v>
      </c>
      <c r="S1089" s="70" t="str">
        <f>HYPERLINK(AB2 &amp; "/hammer/sn_d1e8bdb40c3e485c83a93f42ef06608a/rendering/16.obj", "7.29618896484")</f>
        <v>7.29618896484</v>
      </c>
      <c r="T1089" s="41" t="str">
        <f>HYPERLINK(AB2 &amp; "/hammer/sn_d1e8bdb40c3e485c83a93f42ef06608a/rendering/17.obj", "6.91994873047")</f>
        <v>6.91994873047</v>
      </c>
      <c r="U1089" s="47" t="str">
        <f>HYPERLINK(AB2 &amp; "/hammer/sn_d1e8bdb40c3e485c83a93f42ef06608a/rendering/18.obj", "6.52691833496")</f>
        <v>6.52691833496</v>
      </c>
      <c r="V1089" s="63" t="str">
        <f>HYPERLINK(AB2 &amp; "/hammer/sn_d1e8bdb40c3e485c83a93f42ef06608a/rendering/19.obj", "7.25903076172")</f>
        <v>7.25903076172</v>
      </c>
      <c r="W1089" s="12" t="s">
        <v>31</v>
      </c>
      <c r="X1089" s="13">
        <v>6.4769285278320314</v>
      </c>
      <c r="Y1089" s="13">
        <v>0.54207059046166817</v>
      </c>
      <c r="Z1089" s="107">
        <v>8.3692538543900061E-2</v>
      </c>
    </row>
    <row r="1090" spans="1:26" x14ac:dyDescent="0.2">
      <c r="A1090" s="1">
        <v>1088</v>
      </c>
      <c r="B1090" s="2" t="s">
        <v>250</v>
      </c>
      <c r="C1090" s="108" t="str">
        <f>HYPERLINK(AB2 &amp; "/hammer/sn_d1e8bdb40c3e485c83a93f42ef06608a/rendering/00.obj", "3.15269851685")</f>
        <v>3.15269851685</v>
      </c>
      <c r="D1090" s="20" t="str">
        <f>HYPERLINK(AB2 &amp; "/hammer/sn_d1e8bdb40c3e485c83a93f42ef06608a/rendering/01.obj", "7.82274055481")</f>
        <v>7.82274055481</v>
      </c>
      <c r="E1090" s="176" t="str">
        <f>HYPERLINK(AB2 &amp; "/hammer/sn_d1e8bdb40c3e485c83a93f42ef06608a/rendering/02.obj", "2.85508203506")</f>
        <v>2.85508203506</v>
      </c>
      <c r="F1090" s="86" t="str">
        <f>HYPERLINK(AB2 &amp; "/hammer/sn_d1e8bdb40c3e485c83a93f42ef06608a/rendering/03.obj", "3.05889511108")</f>
        <v>3.05889511108</v>
      </c>
      <c r="G1090" s="138" t="str">
        <f>HYPERLINK(AB2 &amp; "/hammer/sn_d1e8bdb40c3e485c83a93f42ef06608a/rendering/04.obj", "2.78186416626")</f>
        <v>2.78186416626</v>
      </c>
      <c r="H1090" s="88" t="str">
        <f>HYPERLINK(AB2 &amp; "/hammer/sn_d1e8bdb40c3e485c83a93f42ef06608a/rendering/05.obj", "5.03067111969")</f>
        <v>5.03067111969</v>
      </c>
      <c r="I1090" s="134" t="str">
        <f>HYPERLINK(AB2 &amp; "/hammer/sn_d1e8bdb40c3e485c83a93f42ef06608a/rendering/06.obj", "4.94298505783")</f>
        <v>4.94298505783</v>
      </c>
      <c r="J1090" s="108" t="str">
        <f>HYPERLINK(AB2 &amp; "/hammer/sn_d1e8bdb40c3e485c83a93f42ef06608a/rendering/07.obj", "3.15794610977")</f>
        <v>3.15794610977</v>
      </c>
      <c r="K1090" s="20" t="str">
        <f>HYPERLINK(AB2 &amp; "/hammer/sn_d1e8bdb40c3e485c83a93f42ef06608a/rendering/08.obj", "9.0306558609")</f>
        <v>9.0306558609</v>
      </c>
      <c r="L1090" s="70" t="str">
        <f>HYPERLINK(AB2 &amp; "/hammer/sn_d1e8bdb40c3e485c83a93f42ef06608a/rendering/09.obj", "3.65300607681")</f>
        <v>3.65300607681</v>
      </c>
      <c r="M1090" s="107" t="str">
        <f>HYPERLINK(AB2 &amp; "/hammer/sn_d1e8bdb40c3e485c83a93f42ef06608a/rendering/10.obj", "3.83519244194")</f>
        <v>3.83519244194</v>
      </c>
      <c r="N1090" s="136" t="str">
        <f>HYPERLINK(AB2 &amp; "/hammer/sn_d1e8bdb40c3e485c83a93f42ef06608a/rendering/11.obj", "3.19854331017")</f>
        <v>3.19854331017</v>
      </c>
      <c r="O1090" s="82" t="str">
        <f>HYPERLINK(AB2 &amp; "/hammer/sn_d1e8bdb40c3e485c83a93f42ef06608a/rendering/12.obj", "3.32128572464")</f>
        <v>3.32128572464</v>
      </c>
      <c r="P1090" s="103" t="str">
        <f>HYPERLINK(AB2 &amp; "/hammer/sn_d1e8bdb40c3e485c83a93f42ef06608a/rendering/13.obj", "2.82877182961")</f>
        <v>2.82877182961</v>
      </c>
      <c r="Q1090" s="68" t="str">
        <f>HYPERLINK(AB2 &amp; "/hammer/sn_d1e8bdb40c3e485c83a93f42ef06608a/rendering/14.obj", "4.36421585083")</f>
        <v>4.36421585083</v>
      </c>
      <c r="R1090" s="193" t="str">
        <f>HYPERLINK(AB2 &amp; "/hammer/sn_d1e8bdb40c3e485c83a93f42ef06608a/rendering/15.obj", "5.57089996338")</f>
        <v>5.57089996338</v>
      </c>
      <c r="S1090" s="151" t="str">
        <f>HYPERLINK(AB2 &amp; "/hammer/sn_d1e8bdb40c3e485c83a93f42ef06608a/rendering/16.obj", "2.68561816216")</f>
        <v>2.68561816216</v>
      </c>
      <c r="T1090" s="27" t="str">
        <f>HYPERLINK(AB2 &amp; "/hammer/sn_d1e8bdb40c3e485c83a93f42ef06608a/rendering/17.obj", "3.89697980881")</f>
        <v>3.89697980881</v>
      </c>
      <c r="U1090" s="185" t="str">
        <f>HYPERLINK(AB2 &amp; "/hammer/sn_d1e8bdb40c3e485c83a93f42ef06608a/rendering/18.obj", "5.60786247253")</f>
        <v>5.60786247253</v>
      </c>
      <c r="V1090" s="118" t="str">
        <f>HYPERLINK(AB2 &amp; "/hammer/sn_d1e8bdb40c3e485c83a93f42ef06608a/rendering/19.obj", "2.96388363838")</f>
        <v>2.96388363838</v>
      </c>
      <c r="W1090" s="12" t="s">
        <v>32</v>
      </c>
      <c r="X1090" s="13">
        <v>4.1879898905754089</v>
      </c>
      <c r="Y1090" s="13">
        <v>1.686602616187324</v>
      </c>
      <c r="Z1090" s="122">
        <v>0.40272365985954978</v>
      </c>
    </row>
    <row r="1091" spans="1:26" x14ac:dyDescent="0.2">
      <c r="A1091" s="1">
        <v>1089</v>
      </c>
      <c r="B1091" s="2" t="s">
        <v>250</v>
      </c>
      <c r="C1091" s="13" t="str">
        <f>HYPERLINK(AC2 &amp; "/hammer/sn_d1e8bdb40c3e485c83a93f42ef06608a/rendering/00.xyz", "0.0")</f>
        <v>0.0</v>
      </c>
      <c r="D1091" s="13" t="str">
        <f>HYPERLINK(AC2 &amp; "/hammer/sn_d1e8bdb40c3e485c83a93f42ef06608a/rendering/01.xyz", "0.0")</f>
        <v>0.0</v>
      </c>
      <c r="E1091" s="13" t="str">
        <f>HYPERLINK(AC2 &amp; "/hammer/sn_d1e8bdb40c3e485c83a93f42ef06608a/rendering/02.xyz", "0.0")</f>
        <v>0.0</v>
      </c>
      <c r="F1091" s="13" t="str">
        <f>HYPERLINK(AC2 &amp; "/hammer/sn_d1e8bdb40c3e485c83a93f42ef06608a/rendering/03.xyz", "0.0")</f>
        <v>0.0</v>
      </c>
      <c r="G1091" s="13" t="str">
        <f>HYPERLINK(AC2 &amp; "/hammer/sn_d1e8bdb40c3e485c83a93f42ef06608a/rendering/04.xyz", "0.0")</f>
        <v>0.0</v>
      </c>
      <c r="H1091" s="13" t="str">
        <f>HYPERLINK(AC2 &amp; "/hammer/sn_d1e8bdb40c3e485c83a93f42ef06608a/rendering/05.xyz", "0.0")</f>
        <v>0.0</v>
      </c>
      <c r="I1091" s="13" t="str">
        <f>HYPERLINK(AC2 &amp; "/hammer/sn_d1e8bdb40c3e485c83a93f42ef06608a/rendering/06.xyz", "0.0")</f>
        <v>0.0</v>
      </c>
      <c r="J1091" s="13" t="str">
        <f>HYPERLINK(AC2 &amp; "/hammer/sn_d1e8bdb40c3e485c83a93f42ef06608a/rendering/07.xyz", "0.0")</f>
        <v>0.0</v>
      </c>
      <c r="K1091" s="13" t="str">
        <f>HYPERLINK(AC2 &amp; "/hammer/sn_d1e8bdb40c3e485c83a93f42ef06608a/rendering/08.xyz", "0.0")</f>
        <v>0.0</v>
      </c>
      <c r="L1091" s="13" t="str">
        <f>HYPERLINK(AC2 &amp; "/hammer/sn_d1e8bdb40c3e485c83a93f42ef06608a/rendering/09.xyz", "0.0")</f>
        <v>0.0</v>
      </c>
      <c r="M1091" s="13" t="str">
        <f>HYPERLINK(AC2 &amp; "/hammer/sn_d1e8bdb40c3e485c83a93f42ef06608a/rendering/10.xyz", "0.0")</f>
        <v>0.0</v>
      </c>
      <c r="N1091" s="13" t="str">
        <f>HYPERLINK(AC2 &amp; "/hammer/sn_d1e8bdb40c3e485c83a93f42ef06608a/rendering/11.xyz", "0.0")</f>
        <v>0.0</v>
      </c>
      <c r="O1091" s="13" t="str">
        <f>HYPERLINK(AC2 &amp; "/hammer/sn_d1e8bdb40c3e485c83a93f42ef06608a/rendering/12.xyz", "0.0")</f>
        <v>0.0</v>
      </c>
      <c r="P1091" s="13" t="str">
        <f>HYPERLINK(AC2 &amp; "/hammer/sn_d1e8bdb40c3e485c83a93f42ef06608a/rendering/13.xyz", "0.0")</f>
        <v>0.0</v>
      </c>
      <c r="Q1091" s="13" t="str">
        <f>HYPERLINK(AC2 &amp; "/hammer/sn_d1e8bdb40c3e485c83a93f42ef06608a/rendering/14.xyz", "0.0")</f>
        <v>0.0</v>
      </c>
      <c r="R1091" s="13" t="str">
        <f>HYPERLINK(AC2 &amp; "/hammer/sn_d1e8bdb40c3e485c83a93f42ef06608a/rendering/15.xyz", "0.0")</f>
        <v>0.0</v>
      </c>
      <c r="S1091" s="13" t="str">
        <f>HYPERLINK(AC2 &amp; "/hammer/sn_d1e8bdb40c3e485c83a93f42ef06608a/rendering/16.xyz", "0.0")</f>
        <v>0.0</v>
      </c>
      <c r="T1091" s="13" t="str">
        <f>HYPERLINK(AC2 &amp; "/hammer/sn_d1e8bdb40c3e485c83a93f42ef06608a/rendering/17.xyz", "0.0")</f>
        <v>0.0</v>
      </c>
      <c r="U1091" s="13" t="str">
        <f>HYPERLINK(AC2 &amp; "/hammer/sn_d1e8bdb40c3e485c83a93f42ef06608a/rendering/18.xyz", "0.0")</f>
        <v>0.0</v>
      </c>
      <c r="V1091" s="13" t="str">
        <f>HYPERLINK(AC2 &amp; "/hammer/sn_d1e8bdb40c3e485c83a93f42ef06608a/rendering/19.xyz", "0.0")</f>
        <v>0.0</v>
      </c>
      <c r="W1091" s="12" t="s">
        <v>33</v>
      </c>
      <c r="X1091" s="13">
        <v>0</v>
      </c>
      <c r="Y1091" s="13">
        <v>0</v>
      </c>
      <c r="Z1091" s="13">
        <v>0</v>
      </c>
    </row>
    <row r="1092" spans="1:26" x14ac:dyDescent="0.2">
      <c r="A1092" s="1">
        <v>1090</v>
      </c>
      <c r="B1092" s="2" t="s">
        <v>251</v>
      </c>
      <c r="C1092" s="156" t="str">
        <f>HYPERLINK(AA2 &amp; "/hammer/sn_d748f55fc78a696c2ee34c7b638e5fed/rendering/00.obj", "5.72357971191")</f>
        <v>5.72357971191</v>
      </c>
      <c r="D1092" s="32" t="str">
        <f>HYPERLINK(AA2 &amp; "/hammer/sn_d748f55fc78a696c2ee34c7b638e5fed/rendering/01.obj", "11.4164758301")</f>
        <v>11.4164758301</v>
      </c>
      <c r="E1092" s="110" t="str">
        <f>HYPERLINK(AA2 &amp; "/hammer/sn_d748f55fc78a696c2ee34c7b638e5fed/rendering/02.obj", "9.31211975098")</f>
        <v>9.31211975098</v>
      </c>
      <c r="F1092" s="99" t="str">
        <f>HYPERLINK(AA2 &amp; "/hammer/sn_d748f55fc78a696c2ee34c7b638e5fed/rendering/03.obj", "7.53445800781")</f>
        <v>7.53445800781</v>
      </c>
      <c r="G1092" s="100" t="str">
        <f>HYPERLINK(AA2 &amp; "/hammer/sn_d748f55fc78a696c2ee34c7b638e5fed/rendering/04.obj", "7.22691711426")</f>
        <v>7.22691711426</v>
      </c>
      <c r="H1092" s="115" t="str">
        <f>HYPERLINK(AA2 &amp; "/hammer/sn_d748f55fc78a696c2ee34c7b638e5fed/rendering/05.obj", "16.9245776367")</f>
        <v>16.9245776367</v>
      </c>
      <c r="I1092" s="139" t="str">
        <f>HYPERLINK(AA2 &amp; "/hammer/sn_d748f55fc78a696c2ee34c7b638e5fed/rendering/06.obj", "5.34884643555")</f>
        <v>5.34884643555</v>
      </c>
      <c r="J1092" s="10" t="str">
        <f>HYPERLINK(AA2 &amp; "/hammer/sn_d748f55fc78a696c2ee34c7b638e5fed/rendering/07.obj", "10.9063842773")</f>
        <v>10.9063842773</v>
      </c>
      <c r="K1092" s="121" t="str">
        <f>HYPERLINK(AA2 &amp; "/hammer/sn_d748f55fc78a696c2ee34c7b638e5fed/rendering/08.obj", "13.9827893066")</f>
        <v>13.9827893066</v>
      </c>
      <c r="L1092" s="64" t="str">
        <f>HYPERLINK(AA2 &amp; "/hammer/sn_d748f55fc78a696c2ee34c7b638e5fed/rendering/09.obj", "12.0179785156")</f>
        <v>12.0179785156</v>
      </c>
      <c r="M1092" s="152" t="str">
        <f>HYPERLINK(AA2 &amp; "/hammer/sn_d748f55fc78a696c2ee34c7b638e5fed/rendering/10.obj", "14.5108825684")</f>
        <v>14.5108825684</v>
      </c>
      <c r="N1092" s="190" t="str">
        <f>HYPERLINK(AA2 &amp; "/hammer/sn_d748f55fc78a696c2ee34c7b638e5fed/rendering/11.obj", "17.5023217773")</f>
        <v>17.5023217773</v>
      </c>
      <c r="O1092" s="67" t="str">
        <f>HYPERLINK(AA2 &amp; "/hammer/sn_d748f55fc78a696c2ee34c7b638e5fed/rendering/12.obj", "9.38417114258")</f>
        <v>9.38417114258</v>
      </c>
      <c r="P1092" s="130" t="str">
        <f>HYPERLINK(AA2 &amp; "/hammer/sn_d748f55fc78a696c2ee34c7b638e5fed/rendering/13.obj", "5.66909118652")</f>
        <v>5.66909118652</v>
      </c>
      <c r="Q1092" s="23" t="str">
        <f>HYPERLINK(AA2 &amp; "/hammer/sn_d748f55fc78a696c2ee34c7b638e5fed/rendering/14.obj", "10.725748291")</f>
        <v>10.725748291</v>
      </c>
      <c r="R1092" s="34" t="str">
        <f>HYPERLINK(AA2 &amp; "/hammer/sn_d748f55fc78a696c2ee34c7b638e5fed/rendering/15.obj", "9.80893920898")</f>
        <v>9.80893920898</v>
      </c>
      <c r="S1092" s="74" t="str">
        <f>HYPERLINK(AA2 &amp; "/hammer/sn_d748f55fc78a696c2ee34c7b638e5fed/rendering/16.obj", "10.4663378906")</f>
        <v>10.4663378906</v>
      </c>
      <c r="T1092" s="159" t="str">
        <f>HYPERLINK(AA2 &amp; "/hammer/sn_d748f55fc78a696c2ee34c7b638e5fed/rendering/17.obj", "5.46828308105")</f>
        <v>5.46828308105</v>
      </c>
      <c r="U1092" s="19" t="str">
        <f>HYPERLINK(AA2 &amp; "/hammer/sn_d748f55fc78a696c2ee34c7b638e5fed/rendering/18.obj", "13.0356616211")</f>
        <v>13.0356616211</v>
      </c>
      <c r="V1092" s="94" t="str">
        <f>HYPERLINK(AA2 &amp; "/hammer/sn_d748f55fc78a696c2ee34c7b638e5fed/rendering/19.obj", "9.57353088379")</f>
        <v>9.57353088379</v>
      </c>
      <c r="W1092" s="12" t="s">
        <v>29</v>
      </c>
      <c r="X1092" s="13">
        <v>10.326954711914061</v>
      </c>
      <c r="Y1092" s="13">
        <v>3.5300198905032421</v>
      </c>
      <c r="Z1092" s="185">
        <v>0.34182583239478209</v>
      </c>
    </row>
    <row r="1093" spans="1:26" x14ac:dyDescent="0.2">
      <c r="A1093" s="1">
        <v>1091</v>
      </c>
      <c r="B1093" s="2" t="s">
        <v>251</v>
      </c>
      <c r="C1093" s="146" t="str">
        <f>HYPERLINK(AA2 &amp; "/hammer/sn_d748f55fc78a696c2ee34c7b638e5fed/rendering/00.obj", "6.43234920502")</f>
        <v>6.43234920502</v>
      </c>
      <c r="D1093" s="82" t="str">
        <f>HYPERLINK(AA2 &amp; "/hammer/sn_d748f55fc78a696c2ee34c7b638e5fed/rendering/01.obj", "22.8292369843")</f>
        <v>22.8292369843</v>
      </c>
      <c r="E1093" s="200" t="str">
        <f>HYPERLINK(AA2 &amp; "/hammer/sn_d748f55fc78a696c2ee34c7b638e5fed/rendering/02.obj", "14.9755678177")</f>
        <v>14.9755678177</v>
      </c>
      <c r="F1093" s="248" t="str">
        <f>HYPERLINK(AA2 &amp; "/hammer/sn_d748f55fc78a696c2ee34c7b638e5fed/rendering/03.obj", "9.77914428711")</f>
        <v>9.77914428711</v>
      </c>
      <c r="G1093" s="173" t="str">
        <f>HYPERLINK(AA2 &amp; "/hammer/sn_d748f55fc78a696c2ee34c7b638e5fed/rendering/04.obj", "8.92228889465")</f>
        <v>8.92228889465</v>
      </c>
      <c r="H1093" s="20" t="str">
        <f>HYPERLINK(AA2 &amp; "/hammer/sn_d748f55fc78a696c2ee34c7b638e5fed/rendering/05.obj", "96.8895950317")</f>
        <v>96.8895950317</v>
      </c>
      <c r="I1093" s="20" t="str">
        <f>HYPERLINK(AA2 &amp; "/hammer/sn_d748f55fc78a696c2ee34c7b638e5fed/rendering/06.obj", "5.50195264816")</f>
        <v>5.50195264816</v>
      </c>
      <c r="J1093" s="129" t="str">
        <f>HYPERLINK(AA2 &amp; "/hammer/sn_d748f55fc78a696c2ee34c7b638e5fed/rendering/07.obj", "21.5371437073")</f>
        <v>21.5371437073</v>
      </c>
      <c r="K1093" s="138" t="str">
        <f>HYPERLINK(AA2 &amp; "/hammer/sn_d748f55fc78a696c2ee34c7b638e5fed/rendering/08.obj", "38.3863639832")</f>
        <v>38.3863639832</v>
      </c>
      <c r="L1093" s="8" t="str">
        <f>HYPERLINK(AA2 &amp; "/hammer/sn_d748f55fc78a696c2ee34c7b638e5fed/rendering/09.obj", "24.5986747742")</f>
        <v>24.5986747742</v>
      </c>
      <c r="M1093" s="20" t="str">
        <f>HYPERLINK(AA2 &amp; "/hammer/sn_d748f55fc78a696c2ee34c7b638e5fed/rendering/10.obj", "51.9166030884")</f>
        <v>51.9166030884</v>
      </c>
      <c r="N1093" s="20" t="str">
        <f>HYPERLINK(AA2 &amp; "/hammer/sn_d748f55fc78a696c2ee34c7b638e5fed/rendering/11.obj", "128.788406372")</f>
        <v>128.788406372</v>
      </c>
      <c r="O1093" s="116" t="str">
        <f>HYPERLINK(AA2 &amp; "/hammer/sn_d748f55fc78a696c2ee34c7b638e5fed/rendering/12.obj", "16.1122894287")</f>
        <v>16.1122894287</v>
      </c>
      <c r="P1093" s="20" t="str">
        <f>HYPERLINK(AA2 &amp; "/hammer/sn_d748f55fc78a696c2ee34c7b638e5fed/rendering/13.obj", "4.68162965775")</f>
        <v>4.68162965775</v>
      </c>
      <c r="Q1093" s="148" t="str">
        <f>HYPERLINK(AA2 &amp; "/hammer/sn_d748f55fc78a696c2ee34c7b638e5fed/rendering/14.obj", "14.8075761795")</f>
        <v>14.8075761795</v>
      </c>
      <c r="R1093" s="111" t="str">
        <f>HYPERLINK(AA2 &amp; "/hammer/sn_d748f55fc78a696c2ee34c7b638e5fed/rendering/15.obj", "16.5802650452")</f>
        <v>16.5802650452</v>
      </c>
      <c r="S1093" s="149" t="str">
        <f>HYPERLINK(AA2 &amp; "/hammer/sn_d748f55fc78a696c2ee34c7b638e5fed/rendering/16.obj", "18.8254642487")</f>
        <v>18.8254642487</v>
      </c>
      <c r="T1093" s="199" t="str">
        <f>HYPERLINK(AA2 &amp; "/hammer/sn_d748f55fc78a696c2ee34c7b638e5fed/rendering/17.obj", "6.18456077576")</f>
        <v>6.18456077576</v>
      </c>
      <c r="U1093" s="20" t="str">
        <f>HYPERLINK(AA2 &amp; "/hammer/sn_d748f55fc78a696c2ee34c7b638e5fed/rendering/18.obj", "55.3674697876")</f>
        <v>55.3674697876</v>
      </c>
      <c r="V1093" s="217" t="str">
        <f>HYPERLINK(AA2 &amp; "/hammer/sn_d748f55fc78a696c2ee34c7b638e5fed/rendering/19.obj", "10.5740776062")</f>
        <v>10.5740776062</v>
      </c>
      <c r="W1093" s="12" t="s">
        <v>30</v>
      </c>
      <c r="X1093" s="13">
        <v>28.684532976150511</v>
      </c>
      <c r="Y1093" s="13">
        <v>31.696863821360761</v>
      </c>
      <c r="Z1093" s="20">
        <v>1.1050158581181999</v>
      </c>
    </row>
    <row r="1094" spans="1:26" x14ac:dyDescent="0.2">
      <c r="A1094" s="1">
        <v>1092</v>
      </c>
      <c r="B1094" s="2" t="s">
        <v>251</v>
      </c>
      <c r="C1094" s="31" t="str">
        <f>HYPERLINK(AB2 &amp; "/hammer/sn_d748f55fc78a696c2ee34c7b638e5fed/rendering/00.obj", "4.7694140625")</f>
        <v>4.7694140625</v>
      </c>
      <c r="D1094" s="26" t="str">
        <f>HYPERLINK(AB2 &amp; "/hammer/sn_d748f55fc78a696c2ee34c7b638e5fed/rendering/01.obj", "5.29029724121")</f>
        <v>5.29029724121</v>
      </c>
      <c r="E1094" s="51" t="str">
        <f>HYPERLINK(AB2 &amp; "/hammer/sn_d748f55fc78a696c2ee34c7b638e5fed/rendering/02.obj", "5.20296447754")</f>
        <v>5.20296447754</v>
      </c>
      <c r="F1094" s="33" t="str">
        <f>HYPERLINK(AB2 &amp; "/hammer/sn_d748f55fc78a696c2ee34c7b638e5fed/rendering/03.obj", "5.04883361816")</f>
        <v>5.04883361816</v>
      </c>
      <c r="G1094" s="50" t="str">
        <f>HYPERLINK(AB2 &amp; "/hammer/sn_d748f55fc78a696c2ee34c7b638e5fed/rendering/04.obj", "4.53268249512")</f>
        <v>4.53268249512</v>
      </c>
      <c r="H1094" s="103" t="str">
        <f>HYPERLINK(AB2 &amp; "/hammer/sn_d748f55fc78a696c2ee34c7b638e5fed/rendering/05.obj", "7.49426635742")</f>
        <v>7.49426635742</v>
      </c>
      <c r="I1094" s="64" t="str">
        <f>HYPERLINK(AB2 &amp; "/hammer/sn_d748f55fc78a696c2ee34c7b638e5fed/rendering/06.obj", "4.72134552002")</f>
        <v>4.72134552002</v>
      </c>
      <c r="J1094" s="38" t="str">
        <f>HYPERLINK(AB2 &amp; "/hammer/sn_d748f55fc78a696c2ee34c7b638e5fed/rendering/07.obj", "5.13884765625")</f>
        <v>5.13884765625</v>
      </c>
      <c r="K1094" s="66" t="str">
        <f>HYPERLINK(AB2 &amp; "/hammer/sn_d748f55fc78a696c2ee34c7b638e5fed/rendering/08.obj", "6.5581072998")</f>
        <v>6.5581072998</v>
      </c>
      <c r="L1094" s="11" t="str">
        <f>HYPERLINK(AB2 &amp; "/hammer/sn_d748f55fc78a696c2ee34c7b638e5fed/rendering/09.obj", "4.38565063477")</f>
        <v>4.38565063477</v>
      </c>
      <c r="M1094" s="72" t="str">
        <f>HYPERLINK(AB2 &amp; "/hammer/sn_d748f55fc78a696c2ee34c7b638e5fed/rendering/10.obj", "5.47246765137")</f>
        <v>5.47246765137</v>
      </c>
      <c r="N1094" s="99" t="str">
        <f>HYPERLINK(AB2 &amp; "/hammer/sn_d748f55fc78a696c2ee34c7b638e5fed/rendering/11.obj", "7.19044311523")</f>
        <v>7.19044311523</v>
      </c>
      <c r="O1094" s="46" t="str">
        <f>HYPERLINK(AB2 &amp; "/hammer/sn_d748f55fc78a696c2ee34c7b638e5fed/rendering/12.obj", "5.54653808594")</f>
        <v>5.54653808594</v>
      </c>
      <c r="P1094" s="170" t="str">
        <f>HYPERLINK(AB2 &amp; "/hammer/sn_d748f55fc78a696c2ee34c7b638e5fed/rendering/13.obj", "4.22551757813")</f>
        <v>4.22551757813</v>
      </c>
      <c r="Q1094" s="29" t="str">
        <f>HYPERLINK(AB2 &amp; "/hammer/sn_d748f55fc78a696c2ee34c7b638e5fed/rendering/14.obj", "4.90965515137")</f>
        <v>4.90965515137</v>
      </c>
      <c r="R1094" s="20" t="str">
        <f>HYPERLINK(AB2 &amp; "/hammer/sn_d748f55fc78a696c2ee34c7b638e5fed/rendering/15.obj", "10.4765698242")</f>
        <v>10.4765698242</v>
      </c>
      <c r="S1094" s="91" t="str">
        <f>HYPERLINK(AB2 &amp; "/hammer/sn_d748f55fc78a696c2ee34c7b638e5fed/rendering/16.obj", "5.8026550293")</f>
        <v>5.8026550293</v>
      </c>
      <c r="T1094" s="49" t="str">
        <f>HYPERLINK(AB2 &amp; "/hammer/sn_d748f55fc78a696c2ee34c7b638e5fed/rendering/17.obj", "4.47826660156")</f>
        <v>4.47826660156</v>
      </c>
      <c r="U1094" s="93" t="str">
        <f>HYPERLINK(AB2 &amp; "/hammer/sn_d748f55fc78a696c2ee34c7b638e5fed/rendering/18.obj", "6.43457946777")</f>
        <v>6.43457946777</v>
      </c>
      <c r="V1094" s="34" t="str">
        <f>HYPERLINK(AB2 &amp; "/hammer/sn_d748f55fc78a696c2ee34c7b638e5fed/rendering/19.obj", "5.37882446289")</f>
        <v>5.37882446289</v>
      </c>
      <c r="W1094" s="12" t="s">
        <v>31</v>
      </c>
      <c r="X1094" s="13">
        <v>5.6528963165283193</v>
      </c>
      <c r="Y1094" s="13">
        <v>1.414851765697952</v>
      </c>
      <c r="Z1094" s="129">
        <v>0.25028793851412301</v>
      </c>
    </row>
    <row r="1095" spans="1:26" x14ac:dyDescent="0.2">
      <c r="A1095" s="1">
        <v>1093</v>
      </c>
      <c r="B1095" s="2" t="s">
        <v>251</v>
      </c>
      <c r="C1095" s="28" t="str">
        <f>HYPERLINK(AB2 &amp; "/hammer/sn_d748f55fc78a696c2ee34c7b638e5fed/rendering/00.obj", "4.44711732864")</f>
        <v>4.44711732864</v>
      </c>
      <c r="D1095" s="92" t="str">
        <f>HYPERLINK(AB2 &amp; "/hammer/sn_d748f55fc78a696c2ee34c7b638e5fed/rendering/01.obj", "4.38353252411")</f>
        <v>4.38353252411</v>
      </c>
      <c r="E1095" s="87" t="str">
        <f>HYPERLINK(AB2 &amp; "/hammer/sn_d748f55fc78a696c2ee34c7b638e5fed/rendering/02.obj", "3.87373352051")</f>
        <v>3.87373352051</v>
      </c>
      <c r="F1095" s="10" t="str">
        <f>HYPERLINK(AB2 &amp; "/hammer/sn_d748f55fc78a696c2ee34c7b638e5fed/rendering/03.obj", "4.73527526855")</f>
        <v>4.73527526855</v>
      </c>
      <c r="G1095" s="44" t="str">
        <f>HYPERLINK(AB2 &amp; "/hammer/sn_d748f55fc78a696c2ee34c7b638e5fed/rendering/04.obj", "4.01937532425")</f>
        <v>4.01937532425</v>
      </c>
      <c r="H1095" s="67" t="str">
        <f>HYPERLINK(AB2 &amp; "/hammer/sn_d748f55fc78a696c2ee34c7b638e5fed/rendering/05.obj", "5.47086000443")</f>
        <v>5.47086000443</v>
      </c>
      <c r="I1095" s="42" t="str">
        <f>HYPERLINK(AB2 &amp; "/hammer/sn_d748f55fc78a696c2ee34c7b638e5fed/rendering/06.obj", "4.31698560715")</f>
        <v>4.31698560715</v>
      </c>
      <c r="J1095" s="85" t="str">
        <f>HYPERLINK(AB2 &amp; "/hammer/sn_d748f55fc78a696c2ee34c7b638e5fed/rendering/07.obj", "3.52795386314")</f>
        <v>3.52795386314</v>
      </c>
      <c r="K1095" s="31" t="str">
        <f>HYPERLINK(AB2 &amp; "/hammer/sn_d748f55fc78a696c2ee34c7b638e5fed/rendering/08.obj", "5.78509902954")</f>
        <v>5.78509902954</v>
      </c>
      <c r="L1095" s="44" t="str">
        <f>HYPERLINK(AB2 &amp; "/hammer/sn_d748f55fc78a696c2ee34c7b638e5fed/rendering/09.obj", "4.0222120285")</f>
        <v>4.0222120285</v>
      </c>
      <c r="M1095" s="27" t="str">
        <f>HYPERLINK(AB2 &amp; "/hammer/sn_d748f55fc78a696c2ee34c7b638e5fed/rendering/10.obj", "4.65586280823")</f>
        <v>4.65586280823</v>
      </c>
      <c r="N1095" s="19" t="str">
        <f>HYPERLINK(AB2 &amp; "/hammer/sn_d748f55fc78a696c2ee34c7b638e5fed/rendering/11.obj", "6.31862068176")</f>
        <v>6.31862068176</v>
      </c>
      <c r="O1095" s="7" t="str">
        <f>HYPERLINK(AB2 &amp; "/hammer/sn_d748f55fc78a696c2ee34c7b638e5fed/rendering/12.obj", "6.40136241913")</f>
        <v>6.40136241913</v>
      </c>
      <c r="P1095" s="37" t="str">
        <f>HYPERLINK(AB2 &amp; "/hammer/sn_d748f55fc78a696c2ee34c7b638e5fed/rendering/13.obj", "4.13584136963")</f>
        <v>4.13584136963</v>
      </c>
      <c r="Q1095" s="175" t="str">
        <f>HYPERLINK(AB2 &amp; "/hammer/sn_d748f55fc78a696c2ee34c7b638e5fed/rendering/14.obj", "3.84069180489")</f>
        <v>3.84069180489</v>
      </c>
      <c r="R1095" s="20" t="str">
        <f>HYPERLINK(AB2 &amp; "/hammer/sn_d748f55fc78a696c2ee34c7b638e5fed/rendering/15.obj", "10.4262304306")</f>
        <v>10.4262304306</v>
      </c>
      <c r="S1095" s="25" t="str">
        <f>HYPERLINK(AB2 &amp; "/hammer/sn_d748f55fc78a696c2ee34c7b638e5fed/rendering/16.obj", "4.94331121445")</f>
        <v>4.94331121445</v>
      </c>
      <c r="T1095" s="107" t="str">
        <f>HYPERLINK(AB2 &amp; "/hammer/sn_d748f55fc78a696c2ee34c7b638e5fed/rendering/17.obj", "5.41863441467")</f>
        <v>5.41863441467</v>
      </c>
      <c r="U1095" s="35" t="str">
        <f>HYPERLINK(AB2 &amp; "/hammer/sn_d748f55fc78a696c2ee34c7b638e5fed/rendering/18.obj", "4.71951436996")</f>
        <v>4.71951436996</v>
      </c>
      <c r="V1095" s="27" t="str">
        <f>HYPERLINK(AB2 &amp; "/hammer/sn_d748f55fc78a696c2ee34c7b638e5fed/rendering/19.obj", "4.65611982346")</f>
        <v>4.65611982346</v>
      </c>
      <c r="W1095" s="12" t="s">
        <v>32</v>
      </c>
      <c r="X1095" s="13">
        <v>5.0049166917800907</v>
      </c>
      <c r="Y1095" s="13">
        <v>1.4687433317051171</v>
      </c>
      <c r="Z1095" s="118">
        <v>0.29346009577288917</v>
      </c>
    </row>
    <row r="1096" spans="1:26" x14ac:dyDescent="0.2">
      <c r="A1096" s="1">
        <v>1094</v>
      </c>
      <c r="B1096" s="2" t="s">
        <v>251</v>
      </c>
      <c r="C1096" s="13" t="str">
        <f>HYPERLINK(AC2 &amp; "/hammer/sn_d748f55fc78a696c2ee34c7b638e5fed/rendering/00.xyz", "0.0")</f>
        <v>0.0</v>
      </c>
      <c r="D1096" s="13" t="str">
        <f>HYPERLINK(AC2 &amp; "/hammer/sn_d748f55fc78a696c2ee34c7b638e5fed/rendering/01.xyz", "0.0")</f>
        <v>0.0</v>
      </c>
      <c r="E1096" s="13" t="str">
        <f>HYPERLINK(AC2 &amp; "/hammer/sn_d748f55fc78a696c2ee34c7b638e5fed/rendering/02.xyz", "0.0")</f>
        <v>0.0</v>
      </c>
      <c r="F1096" s="13" t="str">
        <f>HYPERLINK(AC2 &amp; "/hammer/sn_d748f55fc78a696c2ee34c7b638e5fed/rendering/03.xyz", "0.0")</f>
        <v>0.0</v>
      </c>
      <c r="G1096" s="13" t="str">
        <f>HYPERLINK(AC2 &amp; "/hammer/sn_d748f55fc78a696c2ee34c7b638e5fed/rendering/04.xyz", "0.0")</f>
        <v>0.0</v>
      </c>
      <c r="H1096" s="13" t="str">
        <f>HYPERLINK(AC2 &amp; "/hammer/sn_d748f55fc78a696c2ee34c7b638e5fed/rendering/05.xyz", "0.0")</f>
        <v>0.0</v>
      </c>
      <c r="I1096" s="13" t="str">
        <f>HYPERLINK(AC2 &amp; "/hammer/sn_d748f55fc78a696c2ee34c7b638e5fed/rendering/06.xyz", "0.0")</f>
        <v>0.0</v>
      </c>
      <c r="J1096" s="13" t="str">
        <f>HYPERLINK(AC2 &amp; "/hammer/sn_d748f55fc78a696c2ee34c7b638e5fed/rendering/07.xyz", "0.0")</f>
        <v>0.0</v>
      </c>
      <c r="K1096" s="13" t="str">
        <f>HYPERLINK(AC2 &amp; "/hammer/sn_d748f55fc78a696c2ee34c7b638e5fed/rendering/08.xyz", "0.0")</f>
        <v>0.0</v>
      </c>
      <c r="L1096" s="13" t="str">
        <f>HYPERLINK(AC2 &amp; "/hammer/sn_d748f55fc78a696c2ee34c7b638e5fed/rendering/09.xyz", "0.0")</f>
        <v>0.0</v>
      </c>
      <c r="M1096" s="13" t="str">
        <f>HYPERLINK(AC2 &amp; "/hammer/sn_d748f55fc78a696c2ee34c7b638e5fed/rendering/10.xyz", "0.0")</f>
        <v>0.0</v>
      </c>
      <c r="N1096" s="13" t="str">
        <f>HYPERLINK(AC2 &amp; "/hammer/sn_d748f55fc78a696c2ee34c7b638e5fed/rendering/11.xyz", "0.0")</f>
        <v>0.0</v>
      </c>
      <c r="O1096" s="13" t="str">
        <f>HYPERLINK(AC2 &amp; "/hammer/sn_d748f55fc78a696c2ee34c7b638e5fed/rendering/12.xyz", "0.0")</f>
        <v>0.0</v>
      </c>
      <c r="P1096" s="13" t="str">
        <f>HYPERLINK(AC2 &amp; "/hammer/sn_d748f55fc78a696c2ee34c7b638e5fed/rendering/13.xyz", "0.0")</f>
        <v>0.0</v>
      </c>
      <c r="Q1096" s="13" t="str">
        <f>HYPERLINK(AC2 &amp; "/hammer/sn_d748f55fc78a696c2ee34c7b638e5fed/rendering/14.xyz", "0.0")</f>
        <v>0.0</v>
      </c>
      <c r="R1096" s="13" t="str">
        <f>HYPERLINK(AC2 &amp; "/hammer/sn_d748f55fc78a696c2ee34c7b638e5fed/rendering/15.xyz", "0.0")</f>
        <v>0.0</v>
      </c>
      <c r="S1096" s="13" t="str">
        <f>HYPERLINK(AC2 &amp; "/hammer/sn_d748f55fc78a696c2ee34c7b638e5fed/rendering/16.xyz", "0.0")</f>
        <v>0.0</v>
      </c>
      <c r="T1096" s="13" t="str">
        <f>HYPERLINK(AC2 &amp; "/hammer/sn_d748f55fc78a696c2ee34c7b638e5fed/rendering/17.xyz", "0.0")</f>
        <v>0.0</v>
      </c>
      <c r="U1096" s="13" t="str">
        <f>HYPERLINK(AC2 &amp; "/hammer/sn_d748f55fc78a696c2ee34c7b638e5fed/rendering/18.xyz", "0.0")</f>
        <v>0.0</v>
      </c>
      <c r="V1096" s="13" t="str">
        <f>HYPERLINK(AC2 &amp; "/hammer/sn_d748f55fc78a696c2ee34c7b638e5fed/rendering/19.xyz", "0.0")</f>
        <v>0.0</v>
      </c>
      <c r="W1096" s="12" t="s">
        <v>33</v>
      </c>
      <c r="X1096" s="13">
        <v>0</v>
      </c>
      <c r="Y1096" s="13">
        <v>0</v>
      </c>
      <c r="Z1096" s="13">
        <v>0</v>
      </c>
    </row>
    <row r="1097" spans="1:26" x14ac:dyDescent="0.2">
      <c r="A1097" s="1">
        <v>1095</v>
      </c>
      <c r="B1097" s="2" t="s">
        <v>252</v>
      </c>
      <c r="C1097" s="56" t="str">
        <f>HYPERLINK(AA2 &amp; "/hammer/sn_d7bc086938d0bbcb52db7be3d11b79eb/rendering/00.obj", "8.05463989258")</f>
        <v>8.05463989258</v>
      </c>
      <c r="D1097" s="25" t="str">
        <f>HYPERLINK(AA2 &amp; "/hammer/sn_d7bc086938d0bbcb52db7be3d11b79eb/rendering/01.obj", "11.7870556641")</f>
        <v>11.7870556641</v>
      </c>
      <c r="E1097" s="78" t="str">
        <f>HYPERLINK(AA2 &amp; "/hammer/sn_d7bc086938d0bbcb52db7be3d11b79eb/rendering/02.obj", "12.3686181641")</f>
        <v>12.3686181641</v>
      </c>
      <c r="F1097" s="65" t="str">
        <f>HYPERLINK(AA2 &amp; "/hammer/sn_d7bc086938d0bbcb52db7be3d11b79eb/rendering/03.obj", "10.0971917725")</f>
        <v>10.0971917725</v>
      </c>
      <c r="G1097" s="87" t="str">
        <f>HYPERLINK(AA2 &amp; "/hammer/sn_d7bc086938d0bbcb52db7be3d11b79eb/rendering/04.obj", "8.99822387695")</f>
        <v>8.99822387695</v>
      </c>
      <c r="H1097" s="49" t="str">
        <f>HYPERLINK(AA2 &amp; "/hammer/sn_d7bc086938d0bbcb52db7be3d11b79eb/rendering/05.obj", "9.21337890625")</f>
        <v>9.21337890625</v>
      </c>
      <c r="I1097" s="8" t="str">
        <f>HYPERLINK(AA2 &amp; "/hammer/sn_d7bc086938d0bbcb52db7be3d11b79eb/rendering/06.obj", "9.99563842773")</f>
        <v>9.99563842773</v>
      </c>
      <c r="J1097" s="68" t="str">
        <f>HYPERLINK(AA2 &amp; "/hammer/sn_d7bc086938d0bbcb52db7be3d11b79eb/rendering/07.obj", "11.1666149902")</f>
        <v>11.1666149902</v>
      </c>
      <c r="K1097" s="49" t="str">
        <f>HYPERLINK(AA2 &amp; "/hammer/sn_d7bc086938d0bbcb52db7be3d11b79eb/rendering/08.obj", "14.0785888672")</f>
        <v>14.0785888672</v>
      </c>
      <c r="L1097" s="120" t="str">
        <f>HYPERLINK(AA2 &amp; "/hammer/sn_d7bc086938d0bbcb52db7be3d11b79eb/rendering/09.obj", "9.17909301758")</f>
        <v>9.17909301758</v>
      </c>
      <c r="M1097" s="78" t="str">
        <f>HYPERLINK(AA2 &amp; "/hammer/sn_d7bc086938d0bbcb52db7be3d11b79eb/rendering/10.obj", "12.3887536621")</f>
        <v>12.3887536621</v>
      </c>
      <c r="N1097" s="71" t="str">
        <f>HYPERLINK(AA2 &amp; "/hammer/sn_d7bc086938d0bbcb52db7be3d11b79eb/rendering/11.obj", "13.0229907227")</f>
        <v>13.0229907227</v>
      </c>
      <c r="O1097" s="92" t="str">
        <f>HYPERLINK(AA2 &amp; "/hammer/sn_d7bc086938d0bbcb52db7be3d11b79eb/rendering/12.obj", "13.1225439453")</f>
        <v>13.1225439453</v>
      </c>
      <c r="P1097" s="61" t="str">
        <f>HYPERLINK(AA2 &amp; "/hammer/sn_d7bc086938d0bbcb52db7be3d11b79eb/rendering/13.obj", "8.13126831055")</f>
        <v>8.13126831055</v>
      </c>
      <c r="Q1097" s="5" t="str">
        <f>HYPERLINK(AA2 &amp; "/hammer/sn_d7bc086938d0bbcb52db7be3d11b79eb/rendering/14.obj", "12.5570690918")</f>
        <v>12.5570690918</v>
      </c>
      <c r="R1097" s="133" t="str">
        <f>HYPERLINK(AA2 &amp; "/hammer/sn_d7bc086938d0bbcb52db7be3d11b79eb/rendering/15.obj", "12.858380127")</f>
        <v>12.858380127</v>
      </c>
      <c r="S1097" s="110" t="str">
        <f>HYPERLINK(AA2 &amp; "/hammer/sn_d7bc086938d0bbcb52db7be3d11b79eb/rendering/16.obj", "12.8154443359")</f>
        <v>12.8154443359</v>
      </c>
      <c r="T1097" s="43" t="str">
        <f>HYPERLINK(AA2 &amp; "/hammer/sn_d7bc086938d0bbcb52db7be3d11b79eb/rendering/17.obj", "16.0328234863")</f>
        <v>16.0328234863</v>
      </c>
      <c r="U1097" s="87" t="str">
        <f>HYPERLINK(AA2 &amp; "/hammer/sn_d7bc086938d0bbcb52db7be3d11b79eb/rendering/18.obj", "14.3183398437")</f>
        <v>14.3183398437</v>
      </c>
      <c r="V1097" s="63" t="str">
        <f>HYPERLINK(AA2 &amp; "/hammer/sn_d7bc086938d0bbcb52db7be3d11b79eb/rendering/19.obj", "13.061496582")</f>
        <v>13.061496582</v>
      </c>
      <c r="W1097" s="12" t="s">
        <v>29</v>
      </c>
      <c r="X1097" s="13">
        <v>11.662407684326171</v>
      </c>
      <c r="Y1097" s="13">
        <v>2.153560081805082</v>
      </c>
      <c r="Z1097" s="76">
        <v>0.1846582746973752</v>
      </c>
    </row>
    <row r="1098" spans="1:26" x14ac:dyDescent="0.2">
      <c r="A1098" s="1">
        <v>1096</v>
      </c>
      <c r="B1098" s="2" t="s">
        <v>252</v>
      </c>
      <c r="C1098" s="255" t="str">
        <f>HYPERLINK(AA2 &amp; "/hammer/sn_d7bc086938d0bbcb52db7be3d11b79eb/rendering/00.obj", "6.89020490646")</f>
        <v>6.89020490646</v>
      </c>
      <c r="D1098" s="28" t="str">
        <f>HYPERLINK(AA2 &amp; "/hammer/sn_d7bc086938d0bbcb52db7be3d11b79eb/rendering/01.obj", "22.1501712799")</f>
        <v>22.1501712799</v>
      </c>
      <c r="E1098" s="116" t="str">
        <f>HYPERLINK(AA2 &amp; "/hammer/sn_d7bc086938d0bbcb52db7be3d11b79eb/rendering/02.obj", "35.8715858459")</f>
        <v>35.8715858459</v>
      </c>
      <c r="F1098" s="125" t="str">
        <f>HYPERLINK(AA2 &amp; "/hammer/sn_d7bc086938d0bbcb52db7be3d11b79eb/rendering/03.obj", "7.18262052536")</f>
        <v>7.18262052536</v>
      </c>
      <c r="G1098" s="190" t="str">
        <f>HYPERLINK(AA2 &amp; "/hammer/sn_d7bc086938d0bbcb52db7be3d11b79eb/rendering/04.obj", "7.56964302063")</f>
        <v>7.56964302063</v>
      </c>
      <c r="H1098" s="210" t="str">
        <f>HYPERLINK(AA2 &amp; "/hammer/sn_d7bc086938d0bbcb52db7be3d11b79eb/rendering/05.obj", "5.73994588852")</f>
        <v>5.73994588852</v>
      </c>
      <c r="I1098" s="171" t="str">
        <f>HYPERLINK(AA2 &amp; "/hammer/sn_d7bc086938d0bbcb52db7be3d11b79eb/rendering/06.obj", "17.2854995728")</f>
        <v>17.2854995728</v>
      </c>
      <c r="J1098" s="60" t="str">
        <f>HYPERLINK(AA2 &amp; "/hammer/sn_d7bc086938d0bbcb52db7be3d11b79eb/rendering/07.obj", "23.6567153931")</f>
        <v>23.6567153931</v>
      </c>
      <c r="K1098" s="20" t="str">
        <f>HYPERLINK(AA2 &amp; "/hammer/sn_d7bc086938d0bbcb52db7be3d11b79eb/rendering/08.obj", "95.223236084")</f>
        <v>95.223236084</v>
      </c>
      <c r="L1098" s="105" t="str">
        <f>HYPERLINK(AA2 &amp; "/hammer/sn_d7bc086938d0bbcb52db7be3d11b79eb/rendering/09.obj", "12.1593475342")</f>
        <v>12.1593475342</v>
      </c>
      <c r="M1098" s="90" t="str">
        <f>HYPERLINK(AA2 &amp; "/hammer/sn_d7bc086938d0bbcb52db7be3d11b79eb/rendering/10.obj", "22.576177597")</f>
        <v>22.576177597</v>
      </c>
      <c r="N1098" s="51" t="str">
        <f>HYPERLINK(AA2 &amp; "/hammer/sn_d7bc086938d0bbcb52db7be3d11b79eb/rendering/11.obj", "22.9276885986")</f>
        <v>22.9276885986</v>
      </c>
      <c r="O1098" s="57" t="str">
        <f>HYPERLINK(AA2 &amp; "/hammer/sn_d7bc086938d0bbcb52db7be3d11b79eb/rendering/12.obj", "32.8077659607")</f>
        <v>32.8077659607</v>
      </c>
      <c r="P1098" s="204" t="str">
        <f>HYPERLINK(AA2 &amp; "/hammer/sn_d7bc086938d0bbcb52db7be3d11b79eb/rendering/13.obj", "5.10840034485")</f>
        <v>5.10840034485</v>
      </c>
      <c r="Q1098" s="81" t="str">
        <f>HYPERLINK(AA2 &amp; "/hammer/sn_d7bc086938d0bbcb52db7be3d11b79eb/rendering/14.obj", "30.3644294739")</f>
        <v>30.3644294739</v>
      </c>
      <c r="R1098" s="175" t="str">
        <f>HYPERLINK(AA2 &amp; "/hammer/sn_d7bc086938d0bbcb52db7be3d11b79eb/rendering/15.obj", "19.0971775055")</f>
        <v>19.0971775055</v>
      </c>
      <c r="S1098" s="20" t="str">
        <f>HYPERLINK(AA2 &amp; "/hammer/sn_d7bc086938d0bbcb52db7be3d11b79eb/rendering/16.obj", "72.4857635498")</f>
        <v>72.4857635498</v>
      </c>
      <c r="T1098" s="226" t="str">
        <f>HYPERLINK(AA2 &amp; "/hammer/sn_d7bc086938d0bbcb52db7be3d11b79eb/rendering/17.obj", "10.9264011383")</f>
        <v>10.9264011383</v>
      </c>
      <c r="U1098" s="71" t="str">
        <f>HYPERLINK(AA2 &amp; "/hammer/sn_d7bc086938d0bbcb52db7be3d11b79eb/rendering/18.obj", "27.84349823")</f>
        <v>27.84349823</v>
      </c>
      <c r="V1098" s="64" t="str">
        <f>HYPERLINK(AA2 &amp; "/hammer/sn_d7bc086938d0bbcb52db7be3d11b79eb/rendering/19.obj", "20.8041305542")</f>
        <v>20.8041305542</v>
      </c>
      <c r="W1098" s="12" t="s">
        <v>30</v>
      </c>
      <c r="X1098" s="13">
        <v>24.933520150184631</v>
      </c>
      <c r="Y1098" s="13">
        <v>21.92373129962683</v>
      </c>
      <c r="Z1098" s="20">
        <v>0.87928744788426882</v>
      </c>
    </row>
    <row r="1099" spans="1:26" x14ac:dyDescent="0.2">
      <c r="A1099" s="1">
        <v>1097</v>
      </c>
      <c r="B1099" s="2" t="s">
        <v>252</v>
      </c>
      <c r="C1099" s="109" t="str">
        <f>HYPERLINK(AB2 &amp; "/hammer/sn_d7bc086938d0bbcb52db7be3d11b79eb/rendering/00.obj", "7.86607177734")</f>
        <v>7.86607177734</v>
      </c>
      <c r="D1099" s="40" t="str">
        <f>HYPERLINK(AB2 &amp; "/hammer/sn_d7bc086938d0bbcb52db7be3d11b79eb/rendering/01.obj", "8.04614013672")</f>
        <v>8.04614013672</v>
      </c>
      <c r="E1099" s="48" t="str">
        <f>HYPERLINK(AB2 &amp; "/hammer/sn_d7bc086938d0bbcb52db7be3d11b79eb/rendering/02.obj", "9.92156494141")</f>
        <v>9.92156494141</v>
      </c>
      <c r="F1099" s="28" t="str">
        <f>HYPERLINK(AB2 &amp; "/hammer/sn_d7bc086938d0bbcb52db7be3d11b79eb/rendering/03.obj", "8.61272399902")</f>
        <v>8.61272399902</v>
      </c>
      <c r="G1099" s="92" t="str">
        <f>HYPERLINK(AB2 &amp; "/hammer/sn_d7bc086938d0bbcb52db7be3d11b79eb/rendering/04.obj", "8.50616760254")</f>
        <v>8.50616760254</v>
      </c>
      <c r="H1099" s="35" t="str">
        <f>HYPERLINK(AB2 &amp; "/hammer/sn_d7bc086938d0bbcb52db7be3d11b79eb/rendering/05.obj", "9.13236206055")</f>
        <v>9.13236206055</v>
      </c>
      <c r="I1099" s="8" t="str">
        <f>HYPERLINK(AB2 &amp; "/hammer/sn_d7bc086938d0bbcb52db7be3d11b79eb/rendering/06.obj", "8.30065795898")</f>
        <v>8.30065795898</v>
      </c>
      <c r="J1099" s="51" t="str">
        <f>HYPERLINK(AB2 &amp; "/hammer/sn_d7bc086938d0bbcb52db7be3d11b79eb/rendering/07.obj", "8.90309265137")</f>
        <v>8.90309265137</v>
      </c>
      <c r="K1099" s="109" t="str">
        <f>HYPERLINK(AB2 &amp; "/hammer/sn_d7bc086938d0bbcb52db7be3d11b79eb/rendering/08.obj", "11.5461303711")</f>
        <v>11.5461303711</v>
      </c>
      <c r="L1099" s="41" t="str">
        <f>HYPERLINK(AB2 &amp; "/hammer/sn_d7bc086938d0bbcb52db7be3d11b79eb/rendering/09.obj", "9.04073181152")</f>
        <v>9.04073181152</v>
      </c>
      <c r="M1099" s="81" t="str">
        <f>HYPERLINK(AB2 &amp; "/hammer/sn_d7bc086938d0bbcb52db7be3d11b79eb/rendering/10.obj", "11.8133068848")</f>
        <v>11.8133068848</v>
      </c>
      <c r="N1099" s="98" t="str">
        <f>HYPERLINK(AB2 &amp; "/hammer/sn_d7bc086938d0bbcb52db7be3d11b79eb/rendering/11.obj", "7.44725036621")</f>
        <v>7.44725036621</v>
      </c>
      <c r="O1099" s="40" t="str">
        <f>HYPERLINK(AB2 &amp; "/hammer/sn_d7bc086938d0bbcb52db7be3d11b79eb/rendering/12.obj", "8.03544799805")</f>
        <v>8.03544799805</v>
      </c>
      <c r="P1099" s="37" t="str">
        <f>HYPERLINK(AB2 &amp; "/hammer/sn_d7bc086938d0bbcb52db7be3d11b79eb/rendering/13.obj", "7.99669006348")</f>
        <v>7.99669006348</v>
      </c>
      <c r="Q1099" s="26" t="str">
        <f>HYPERLINK(AB2 &amp; "/hammer/sn_d7bc086938d0bbcb52db7be3d11b79eb/rendering/14.obj", "10.31828125")</f>
        <v>10.31828125</v>
      </c>
      <c r="R1099" s="24" t="str">
        <f>HYPERLINK(AB2 &amp; "/hammer/sn_d7bc086938d0bbcb52db7be3d11b79eb/rendering/15.obj", "11.3197045898")</f>
        <v>11.3197045898</v>
      </c>
      <c r="S1099" s="53" t="str">
        <f>HYPERLINK(AB2 &amp; "/hammer/sn_d7bc086938d0bbcb52db7be3d11b79eb/rendering/16.obj", "13.6865478516")</f>
        <v>13.6865478516</v>
      </c>
      <c r="T1099" s="256" t="str">
        <f>HYPERLINK(AB2 &amp; "/hammer/sn_d7bc086938d0bbcb52db7be3d11b79eb/rendering/17.obj", "15.6925915527")</f>
        <v>15.6925915527</v>
      </c>
      <c r="U1099" s="109" t="str">
        <f>HYPERLINK(AB2 &amp; "/hammer/sn_d7bc086938d0bbcb52db7be3d11b79eb/rendering/18.obj", "7.8468762207")</f>
        <v>7.8468762207</v>
      </c>
      <c r="V1099" s="74" t="str">
        <f>HYPERLINK(AB2 &amp; "/hammer/sn_d7bc086938d0bbcb52db7be3d11b79eb/rendering/19.obj", "9.82954589844")</f>
        <v>9.82954589844</v>
      </c>
      <c r="W1099" s="12" t="s">
        <v>31</v>
      </c>
      <c r="X1099" s="13">
        <v>9.6930942993164066</v>
      </c>
      <c r="Y1099" s="13">
        <v>2.109331391139321</v>
      </c>
      <c r="Z1099" s="81">
        <v>0.21761176833780299</v>
      </c>
    </row>
    <row r="1100" spans="1:26" x14ac:dyDescent="0.2">
      <c r="A1100" s="1">
        <v>1098</v>
      </c>
      <c r="B1100" s="2" t="s">
        <v>252</v>
      </c>
      <c r="C1100" s="166" t="str">
        <f>HYPERLINK(AB2 &amp; "/hammer/sn_d7bc086938d0bbcb52db7be3d11b79eb/rendering/00.obj", "6.87165021896")</f>
        <v>6.87165021896</v>
      </c>
      <c r="D1100" s="172" t="str">
        <f>HYPERLINK(AB2 &amp; "/hammer/sn_d7bc086938d0bbcb52db7be3d11b79eb/rendering/01.obj", "5.92484140396")</f>
        <v>5.92484140396</v>
      </c>
      <c r="E1100" s="4" t="str">
        <f>HYPERLINK(AB2 &amp; "/hammer/sn_d7bc086938d0bbcb52db7be3d11b79eb/rendering/02.obj", "12.3802099228")</f>
        <v>12.3802099228</v>
      </c>
      <c r="F1100" s="84" t="str">
        <f>HYPERLINK(AB2 &amp; "/hammer/sn_d7bc086938d0bbcb52db7be3d11b79eb/rendering/03.obj", "8.23782062531")</f>
        <v>8.23782062531</v>
      </c>
      <c r="G1100" s="14" t="str">
        <f>HYPERLINK(AB2 &amp; "/hammer/sn_d7bc086938d0bbcb52db7be3d11b79eb/rendering/04.obj", "6.83883476257")</f>
        <v>6.83883476257</v>
      </c>
      <c r="H1100" s="113" t="str">
        <f>HYPERLINK(AB2 &amp; "/hammer/sn_d7bc086938d0bbcb52db7be3d11b79eb/rendering/05.obj", "6.99743318558")</f>
        <v>6.99743318558</v>
      </c>
      <c r="I1100" s="59" t="str">
        <f>HYPERLINK(AB2 &amp; "/hammer/sn_d7bc086938d0bbcb52db7be3d11b79eb/rendering/06.obj", "7.32447957993")</f>
        <v>7.32447957993</v>
      </c>
      <c r="J1100" s="161" t="str">
        <f>HYPERLINK(AB2 &amp; "/hammer/sn_d7bc086938d0bbcb52db7be3d11b79eb/rendering/07.obj", "4.00779247284")</f>
        <v>4.00779247284</v>
      </c>
      <c r="K1100" s="20" t="str">
        <f>HYPERLINK(AB2 &amp; "/hammer/sn_d7bc086938d0bbcb52db7be3d11b79eb/rendering/08.obj", "17.9460353851")</f>
        <v>17.9460353851</v>
      </c>
      <c r="L1100" s="96" t="str">
        <f>HYPERLINK(AB2 &amp; "/hammer/sn_d7bc086938d0bbcb52db7be3d11b79eb/rendering/09.obj", "6.15863656998")</f>
        <v>6.15863656998</v>
      </c>
      <c r="M1100" s="119" t="str">
        <f>HYPERLINK(AB2 &amp; "/hammer/sn_d7bc086938d0bbcb52db7be3d11b79eb/rendering/10.obj", "12.1825037003")</f>
        <v>12.1825037003</v>
      </c>
      <c r="N1100" s="82" t="str">
        <f>HYPERLINK(AB2 &amp; "/hammer/sn_d7bc086938d0bbcb52db7be3d11b79eb/rendering/11.obj", "7.65540504456")</f>
        <v>7.65540504456</v>
      </c>
      <c r="O1100" s="43" t="str">
        <f>HYPERLINK(AB2 &amp; "/hammer/sn_d7bc086938d0bbcb52db7be3d11b79eb/rendering/12.obj", "6.02904224396")</f>
        <v>6.02904224396</v>
      </c>
      <c r="P1100" s="212" t="str">
        <f>HYPERLINK(AB2 &amp; "/hammer/sn_d7bc086938d0bbcb52db7be3d11b79eb/rendering/13.obj", "5.46877002716")</f>
        <v>5.46877002716</v>
      </c>
      <c r="Q1100" s="138" t="str">
        <f>HYPERLINK(AB2 &amp; "/hammer/sn_d7bc086938d0bbcb52db7be3d11b79eb/rendering/14.obj", "12.9035491943")</f>
        <v>12.9035491943</v>
      </c>
      <c r="R1100" s="15" t="str">
        <f>HYPERLINK(AB2 &amp; "/hammer/sn_d7bc086938d0bbcb52db7be3d11b79eb/rendering/15.obj", "14.5363855362")</f>
        <v>14.5363855362</v>
      </c>
      <c r="S1100" s="228" t="str">
        <f>HYPERLINK(AB2 &amp; "/hammer/sn_d7bc086938d0bbcb52db7be3d11b79eb/rendering/16.obj", "14.7563343048")</f>
        <v>14.7563343048</v>
      </c>
      <c r="T1100" s="231" t="str">
        <f>HYPERLINK(AB2 &amp; "/hammer/sn_d7bc086938d0bbcb52db7be3d11b79eb/rendering/17.obj", "15.1782302856")</f>
        <v>15.1782302856</v>
      </c>
      <c r="U1100" s="132" t="str">
        <f>HYPERLINK(AB2 &amp; "/hammer/sn_d7bc086938d0bbcb52db7be3d11b79eb/rendering/18.obj", "13.6652879715")</f>
        <v>13.6652879715</v>
      </c>
      <c r="V1100" s="50" t="str">
        <f>HYPERLINK(AB2 &amp; "/hammer/sn_d7bc086938d0bbcb52db7be3d11b79eb/rendering/19.obj", "7.71820211411")</f>
        <v>7.71820211411</v>
      </c>
      <c r="W1100" s="12" t="s">
        <v>32</v>
      </c>
      <c r="X1100" s="13">
        <v>9.6390722274780281</v>
      </c>
      <c r="Y1100" s="13">
        <v>3.9760268221647439</v>
      </c>
      <c r="Z1100" s="53">
        <v>0.41249061406867732</v>
      </c>
    </row>
    <row r="1101" spans="1:26" x14ac:dyDescent="0.2">
      <c r="A1101" s="1">
        <v>1099</v>
      </c>
      <c r="B1101" s="2" t="s">
        <v>252</v>
      </c>
      <c r="C1101" s="13" t="str">
        <f>HYPERLINK(AC2 &amp; "/hammer/sn_d7bc086938d0bbcb52db7be3d11b79eb/rendering/00.xyz", "0.0")</f>
        <v>0.0</v>
      </c>
      <c r="D1101" s="13" t="str">
        <f>HYPERLINK(AC2 &amp; "/hammer/sn_d7bc086938d0bbcb52db7be3d11b79eb/rendering/01.xyz", "0.0")</f>
        <v>0.0</v>
      </c>
      <c r="E1101" s="13" t="str">
        <f>HYPERLINK(AC2 &amp; "/hammer/sn_d7bc086938d0bbcb52db7be3d11b79eb/rendering/02.xyz", "0.0")</f>
        <v>0.0</v>
      </c>
      <c r="F1101" s="13" t="str">
        <f>HYPERLINK(AC2 &amp; "/hammer/sn_d7bc086938d0bbcb52db7be3d11b79eb/rendering/03.xyz", "0.0")</f>
        <v>0.0</v>
      </c>
      <c r="G1101" s="13" t="str">
        <f>HYPERLINK(AC2 &amp; "/hammer/sn_d7bc086938d0bbcb52db7be3d11b79eb/rendering/04.xyz", "0.0")</f>
        <v>0.0</v>
      </c>
      <c r="H1101" s="13" t="str">
        <f>HYPERLINK(AC2 &amp; "/hammer/sn_d7bc086938d0bbcb52db7be3d11b79eb/rendering/05.xyz", "0.0")</f>
        <v>0.0</v>
      </c>
      <c r="I1101" s="13" t="str">
        <f>HYPERLINK(AC2 &amp; "/hammer/sn_d7bc086938d0bbcb52db7be3d11b79eb/rendering/06.xyz", "0.0")</f>
        <v>0.0</v>
      </c>
      <c r="J1101" s="13" t="str">
        <f>HYPERLINK(AC2 &amp; "/hammer/sn_d7bc086938d0bbcb52db7be3d11b79eb/rendering/07.xyz", "0.0")</f>
        <v>0.0</v>
      </c>
      <c r="K1101" s="13" t="str">
        <f>HYPERLINK(AC2 &amp; "/hammer/sn_d7bc086938d0bbcb52db7be3d11b79eb/rendering/08.xyz", "0.0")</f>
        <v>0.0</v>
      </c>
      <c r="L1101" s="13" t="str">
        <f>HYPERLINK(AC2 &amp; "/hammer/sn_d7bc086938d0bbcb52db7be3d11b79eb/rendering/09.xyz", "0.0")</f>
        <v>0.0</v>
      </c>
      <c r="M1101" s="13" t="str">
        <f>HYPERLINK(AC2 &amp; "/hammer/sn_d7bc086938d0bbcb52db7be3d11b79eb/rendering/10.xyz", "0.0")</f>
        <v>0.0</v>
      </c>
      <c r="N1101" s="13" t="str">
        <f>HYPERLINK(AC2 &amp; "/hammer/sn_d7bc086938d0bbcb52db7be3d11b79eb/rendering/11.xyz", "0.0")</f>
        <v>0.0</v>
      </c>
      <c r="O1101" s="13" t="str">
        <f>HYPERLINK(AC2 &amp; "/hammer/sn_d7bc086938d0bbcb52db7be3d11b79eb/rendering/12.xyz", "0.0")</f>
        <v>0.0</v>
      </c>
      <c r="P1101" s="13" t="str">
        <f>HYPERLINK(AC2 &amp; "/hammer/sn_d7bc086938d0bbcb52db7be3d11b79eb/rendering/13.xyz", "0.0")</f>
        <v>0.0</v>
      </c>
      <c r="Q1101" s="13" t="str">
        <f>HYPERLINK(AC2 &amp; "/hammer/sn_d7bc086938d0bbcb52db7be3d11b79eb/rendering/14.xyz", "0.0")</f>
        <v>0.0</v>
      </c>
      <c r="R1101" s="13" t="str">
        <f>HYPERLINK(AC2 &amp; "/hammer/sn_d7bc086938d0bbcb52db7be3d11b79eb/rendering/15.xyz", "0.0")</f>
        <v>0.0</v>
      </c>
      <c r="S1101" s="13" t="str">
        <f>HYPERLINK(AC2 &amp; "/hammer/sn_d7bc086938d0bbcb52db7be3d11b79eb/rendering/16.xyz", "0.0")</f>
        <v>0.0</v>
      </c>
      <c r="T1101" s="13" t="str">
        <f>HYPERLINK(AC2 &amp; "/hammer/sn_d7bc086938d0bbcb52db7be3d11b79eb/rendering/17.xyz", "0.0")</f>
        <v>0.0</v>
      </c>
      <c r="U1101" s="13" t="str">
        <f>HYPERLINK(AC2 &amp; "/hammer/sn_d7bc086938d0bbcb52db7be3d11b79eb/rendering/18.xyz", "0.0")</f>
        <v>0.0</v>
      </c>
      <c r="V1101" s="13" t="str">
        <f>HYPERLINK(AC2 &amp; "/hammer/sn_d7bc086938d0bbcb52db7be3d11b79eb/rendering/19.xyz", "0.0")</f>
        <v>0.0</v>
      </c>
      <c r="W1101" s="12" t="s">
        <v>33</v>
      </c>
      <c r="X1101" s="13">
        <v>0</v>
      </c>
      <c r="Y1101" s="13">
        <v>0</v>
      </c>
      <c r="Z1101" s="13">
        <v>0</v>
      </c>
    </row>
    <row r="1102" spans="1:26" x14ac:dyDescent="0.2">
      <c r="A1102" s="1">
        <v>1100</v>
      </c>
      <c r="B1102" s="2" t="s">
        <v>253</v>
      </c>
      <c r="C1102" s="41" t="str">
        <f>HYPERLINK(AA2 &amp; "/hammer/sn_d84a198b1541c964b285e5eb0ce34c6/rendering/00.obj", "5.66000610352")</f>
        <v>5.66000610352</v>
      </c>
      <c r="D1102" s="32" t="str">
        <f>HYPERLINK(AA2 &amp; "/hammer/sn_d84a198b1541c964b285e5eb0ce34c6/rendering/01.obj", "5.43400512695")</f>
        <v>5.43400512695</v>
      </c>
      <c r="E1102" s="47" t="str">
        <f>HYPERLINK(AA2 &amp; "/hammer/sn_d84a198b1541c964b285e5eb0ce34c6/rendering/02.obj", "6.01848144531")</f>
        <v>6.01848144531</v>
      </c>
      <c r="F1102" s="46" t="str">
        <f>HYPERLINK(AA2 &amp; "/hammer/sn_d84a198b1541c964b285e5eb0ce34c6/rendering/03.obj", "5.95990722656")</f>
        <v>5.95990722656</v>
      </c>
      <c r="G1102" s="24" t="str">
        <f>HYPERLINK(AA2 &amp; "/hammer/sn_d84a198b1541c964b285e5eb0ce34c6/rendering/04.obj", "5.0551171875")</f>
        <v>5.0551171875</v>
      </c>
      <c r="H1102" s="55" t="str">
        <f>HYPERLINK(AA2 &amp; "/hammer/sn_d84a198b1541c964b285e5eb0ce34c6/rendering/05.obj", "4.8998147583")</f>
        <v>4.8998147583</v>
      </c>
      <c r="I1102" s="175" t="str">
        <f>HYPERLINK(AA2 &amp; "/hammer/sn_d84a198b1541c964b285e5eb0ce34c6/rendering/06.obj", "4.65695007324")</f>
        <v>4.65695007324</v>
      </c>
      <c r="J1102" s="72" t="str">
        <f>HYPERLINK(AA2 &amp; "/hammer/sn_d84a198b1541c964b285e5eb0ce34c6/rendering/07.obj", "5.87546142578")</f>
        <v>5.87546142578</v>
      </c>
      <c r="K1102" s="67" t="str">
        <f>HYPERLINK(AA2 &amp; "/hammer/sn_d84a198b1541c964b285e5eb0ce34c6/rendering/08.obj", "5.50738525391")</f>
        <v>5.50738525391</v>
      </c>
      <c r="L1102" s="94" t="str">
        <f>HYPERLINK(AA2 &amp; "/hammer/sn_d84a198b1541c964b285e5eb0ce34c6/rendering/09.obj", "5.6317779541")</f>
        <v>5.6317779541</v>
      </c>
      <c r="M1102" s="25" t="str">
        <f>HYPERLINK(AA2 &amp; "/hammer/sn_d84a198b1541c964b285e5eb0ce34c6/rendering/10.obj", "6.01543151855")</f>
        <v>6.01543151855</v>
      </c>
      <c r="N1102" s="38" t="str">
        <f>HYPERLINK(AA2 &amp; "/hammer/sn_d84a198b1541c964b285e5eb0ce34c6/rendering/11.obj", "6.61513427734")</f>
        <v>6.61513427734</v>
      </c>
      <c r="O1102" s="66" t="str">
        <f>HYPERLINK(AA2 &amp; "/hammer/sn_d84a198b1541c964b285e5eb0ce34c6/rendering/12.obj", "5.09480987549")</f>
        <v>5.09480987549</v>
      </c>
      <c r="P1102" s="74" t="str">
        <f>HYPERLINK(AA2 &amp; "/hammer/sn_d84a198b1541c964b285e5eb0ce34c6/rendering/13.obj", "5.98908630371")</f>
        <v>5.98908630371</v>
      </c>
      <c r="Q1102" s="67" t="str">
        <f>HYPERLINK(AA2 &amp; "/hammer/sn_d84a198b1541c964b285e5eb0ce34c6/rendering/14.obj", "5.51299987793")</f>
        <v>5.51299987793</v>
      </c>
      <c r="R1102" s="30" t="str">
        <f>HYPERLINK(AA2 &amp; "/hammer/sn_d84a198b1541c964b285e5eb0ce34c6/rendering/15.obj", "6.09296447754")</f>
        <v>6.09296447754</v>
      </c>
      <c r="S1102" s="39" t="str">
        <f>HYPERLINK(AA2 &amp; "/hammer/sn_d84a198b1541c964b285e5eb0ce34c6/rendering/16.obj", "5.55645996094")</f>
        <v>5.55645996094</v>
      </c>
      <c r="T1102" s="141" t="str">
        <f>HYPERLINK(AA2 &amp; "/hammer/sn_d84a198b1541c964b285e5eb0ce34c6/rendering/17.obj", "9.41169067383")</f>
        <v>9.41169067383</v>
      </c>
      <c r="U1102" s="117" t="str">
        <f>HYPERLINK(AA2 &amp; "/hammer/sn_d84a198b1541c964b285e5eb0ce34c6/rendering/18.obj", "4.99278442383")</f>
        <v>4.99278442383</v>
      </c>
      <c r="V1102" s="20" t="str">
        <f>HYPERLINK(AA2 &amp; "/hammer/sn_d84a198b1541c964b285e5eb0ce34c6/rendering/19.obj", "11.4904016113")</f>
        <v>11.4904016113</v>
      </c>
      <c r="W1102" s="12" t="s">
        <v>29</v>
      </c>
      <c r="X1102" s="13">
        <v>6.0735334777832044</v>
      </c>
      <c r="Y1102" s="13">
        <v>1.566361940913543</v>
      </c>
      <c r="Z1102" s="89">
        <v>0.25789961422675062</v>
      </c>
    </row>
    <row r="1103" spans="1:26" x14ac:dyDescent="0.2">
      <c r="A1103" s="1">
        <v>1101</v>
      </c>
      <c r="B1103" s="2" t="s">
        <v>253</v>
      </c>
      <c r="C1103" s="54" t="str">
        <f>HYPERLINK(AA2 &amp; "/hammer/sn_d84a198b1541c964b285e5eb0ce34c6/rendering/00.obj", "2.60946130753")</f>
        <v>2.60946130753</v>
      </c>
      <c r="D1103" s="32" t="str">
        <f>HYPERLINK(AA2 &amp; "/hammer/sn_d84a198b1541c964b285e5eb0ce34c6/rendering/01.obj", "3.47646069527")</f>
        <v>3.47646069527</v>
      </c>
      <c r="E1103" s="184" t="str">
        <f>HYPERLINK(AA2 &amp; "/hammer/sn_d84a198b1541c964b285e5eb0ce34c6/rendering/02.obj", "6.74754905701")</f>
        <v>6.74754905701</v>
      </c>
      <c r="F1103" s="109" t="str">
        <f>HYPERLINK(AA2 &amp; "/hammer/sn_d84a198b1541c964b285e5eb0ce34c6/rendering/03.obj", "3.14110088348")</f>
        <v>3.14110088348</v>
      </c>
      <c r="G1103" s="53" t="str">
        <f>HYPERLINK(AA2 &amp; "/hammer/sn_d84a198b1541c964b285e5eb0ce34c6/rendering/04.obj", "2.28149366379")</f>
        <v>2.28149366379</v>
      </c>
      <c r="H1103" s="53" t="str">
        <f>HYPERLINK(AA2 &amp; "/hammer/sn_d84a198b1541c964b285e5eb0ce34c6/rendering/05.obj", "2.28204417229")</f>
        <v>2.28204417229</v>
      </c>
      <c r="I1103" s="116" t="str">
        <f>HYPERLINK(AA2 &amp; "/hammer/sn_d84a198b1541c964b285e5eb0ce34c6/rendering/06.obj", "2.17896270752")</f>
        <v>2.17896270752</v>
      </c>
      <c r="J1103" s="6" t="str">
        <f>HYPERLINK(AA2 &amp; "/hammer/sn_d84a198b1541c964b285e5eb0ce34c6/rendering/07.obj", "3.70981454849")</f>
        <v>3.70981454849</v>
      </c>
      <c r="K1103" s="176" t="str">
        <f>HYPERLINK(AA2 &amp; "/hammer/sn_d84a198b1541c964b285e5eb0ce34c6/rendering/08.obj", "2.65316271782")</f>
        <v>2.65316271782</v>
      </c>
      <c r="L1103" s="130" t="str">
        <f>HYPERLINK(AA2 &amp; "/hammer/sn_d84a198b1541c964b285e5eb0ce34c6/rendering/09.obj", "2.14074683189")</f>
        <v>2.14074683189</v>
      </c>
      <c r="M1103" s="212" t="str">
        <f>HYPERLINK(AA2 &amp; "/hammer/sn_d84a198b1541c964b285e5eb0ce34c6/rendering/10.obj", "2.20391273499")</f>
        <v>2.20391273499</v>
      </c>
      <c r="N1103" s="73" t="str">
        <f>HYPERLINK(AA2 &amp; "/hammer/sn_d84a198b1541c964b285e5eb0ce34c6/rendering/11.obj", "3.747569561")</f>
        <v>3.747569561</v>
      </c>
      <c r="O1103" s="57" t="str">
        <f>HYPERLINK(AA2 &amp; "/hammer/sn_d84a198b1541c964b285e5eb0ce34c6/rendering/12.obj", "2.65800523758")</f>
        <v>2.65800523758</v>
      </c>
      <c r="P1103" s="108" t="str">
        <f>HYPERLINK(AA2 &amp; "/hammer/sn_d84a198b1541c964b285e5eb0ce34c6/rendering/13.obj", "2.92653489113")</f>
        <v>2.92653489113</v>
      </c>
      <c r="Q1103" s="117" t="str">
        <f>HYPERLINK(AA2 &amp; "/hammer/sn_d84a198b1541c964b285e5eb0ce34c6/rendering/14.obj", "3.19849014282")</f>
        <v>3.19849014282</v>
      </c>
      <c r="R1103" s="89" t="str">
        <f>HYPERLINK(AA2 &amp; "/hammer/sn_d84a198b1541c964b285e5eb0ce34c6/rendering/15.obj", "2.87741112709")</f>
        <v>2.87741112709</v>
      </c>
      <c r="S1103" s="53" t="str">
        <f>HYPERLINK(AA2 &amp; "/hammer/sn_d84a198b1541c964b285e5eb0ce34c6/rendering/16.obj", "2.27705001831")</f>
        <v>2.27705001831</v>
      </c>
      <c r="T1103" s="255" t="str">
        <f>HYPERLINK(AA2 &amp; "/hammer/sn_d84a198b1541c964b285e5eb0ce34c6/rendering/17.obj", "6.6959104538")</f>
        <v>6.6959104538</v>
      </c>
      <c r="U1103" s="163" t="str">
        <f>HYPERLINK(AA2 &amp; "/hammer/sn_d84a198b1541c964b285e5eb0ce34c6/rendering/18.obj", "2.16605973244")</f>
        <v>2.16605973244</v>
      </c>
      <c r="V1103" s="20" t="str">
        <f>HYPERLINK(AA2 &amp; "/hammer/sn_d84a198b1541c964b285e5eb0ce34c6/rendering/19.obj", "17.7131404877")</f>
        <v>17.7131404877</v>
      </c>
      <c r="W1103" s="12" t="s">
        <v>30</v>
      </c>
      <c r="X1103" s="13">
        <v>3.8842440485954279</v>
      </c>
      <c r="Y1103" s="13">
        <v>3.4248930647497611</v>
      </c>
      <c r="Z1103" s="20">
        <v>0.88173992722939942</v>
      </c>
    </row>
    <row r="1104" spans="1:26" x14ac:dyDescent="0.2">
      <c r="A1104" s="1">
        <v>1102</v>
      </c>
      <c r="B1104" s="2" t="s">
        <v>253</v>
      </c>
      <c r="C1104" s="30" t="str">
        <f>HYPERLINK(AB2 &amp; "/hammer/sn_d84a198b1541c964b285e5eb0ce34c6/rendering/00.obj", "5.01560791016")</f>
        <v>5.01560791016</v>
      </c>
      <c r="D1104" s="42" t="str">
        <f>HYPERLINK(AB2 &amp; "/hammer/sn_d84a198b1541c964b285e5eb0ce34c6/rendering/01.obj", "5.65989379883")</f>
        <v>5.65989379883</v>
      </c>
      <c r="E1104" s="25" t="str">
        <f>HYPERLINK(AB2 &amp; "/hammer/sn_d84a198b1541c964b285e5eb0ce34c6/rendering/02.obj", "4.93340820313")</f>
        <v>4.93340820313</v>
      </c>
      <c r="F1104" s="26" t="str">
        <f>HYPERLINK(AB2 &amp; "/hammer/sn_d84a198b1541c964b285e5eb0ce34c6/rendering/03.obj", "4.66743743896")</f>
        <v>4.66743743896</v>
      </c>
      <c r="G1104" s="91" t="str">
        <f>HYPERLINK(AB2 &amp; "/hammer/sn_d84a198b1541c964b285e5eb0ce34c6/rendering/04.obj", "4.84733032227")</f>
        <v>4.84733032227</v>
      </c>
      <c r="H1104" s="23" t="str">
        <f>HYPERLINK(AB2 &amp; "/hammer/sn_d84a198b1541c964b285e5eb0ce34c6/rendering/05.obj", "4.78727416992")</f>
        <v>4.78727416992</v>
      </c>
      <c r="I1104" s="34" t="str">
        <f>HYPERLINK(AB2 &amp; "/hammer/sn_d84a198b1541c964b285e5eb0ce34c6/rendering/06.obj", "5.23461303711")</f>
        <v>5.23461303711</v>
      </c>
      <c r="J1104" s="6" t="str">
        <f>HYPERLINK(AB2 &amp; "/hammer/sn_d84a198b1541c964b285e5eb0ce34c6/rendering/07.obj", "4.75455932617")</f>
        <v>4.75455932617</v>
      </c>
      <c r="K1104" s="76" t="str">
        <f>HYPERLINK(AB2 &amp; "/hammer/sn_d84a198b1541c964b285e5eb0ce34c6/rendering/08.obj", "4.0652734375")</f>
        <v>4.0652734375</v>
      </c>
      <c r="L1104" s="27" t="str">
        <f>HYPERLINK(AB2 &amp; "/hammer/sn_d84a198b1541c964b285e5eb0ce34c6/rendering/09.obj", "4.62742156982")</f>
        <v>4.62742156982</v>
      </c>
      <c r="M1104" s="38" t="str">
        <f>HYPERLINK(AB2 &amp; "/hammer/sn_d84a198b1541c964b285e5eb0ce34c6/rendering/10.obj", "5.43562744141")</f>
        <v>5.43562744141</v>
      </c>
      <c r="N1104" s="50" t="str">
        <f>HYPERLINK(AB2 &amp; "/hammer/sn_d84a198b1541c964b285e5eb0ce34c6/rendering/11.obj", "5.98122680664")</f>
        <v>5.98122680664</v>
      </c>
      <c r="O1104" s="13" t="str">
        <f>HYPERLINK(AB2 &amp; "/hammer/sn_d84a198b1541c964b285e5eb0ce34c6/rendering/12.obj", "4.9861138916")</f>
        <v>4.9861138916</v>
      </c>
      <c r="P1104" s="109" t="str">
        <f>HYPERLINK(AB2 &amp; "/hammer/sn_d84a198b1541c964b285e5eb0ce34c6/rendering/13.obj", "5.9274810791")</f>
        <v>5.9274810791</v>
      </c>
      <c r="Q1104" s="83" t="str">
        <f>HYPERLINK(AB2 &amp; "/hammer/sn_d84a198b1541c964b285e5eb0ce34c6/rendering/14.obj", "4.2306137085")</f>
        <v>4.2306137085</v>
      </c>
      <c r="R1104" s="91" t="str">
        <f>HYPERLINK(AB2 &amp; "/hammer/sn_d84a198b1541c964b285e5eb0ce34c6/rendering/15.obj", "5.12055908203")</f>
        <v>5.12055908203</v>
      </c>
      <c r="S1104" s="68" t="str">
        <f>HYPERLINK(AB2 &amp; "/hammer/sn_d84a198b1541c964b285e5eb0ce34c6/rendering/16.obj", "5.19255981445")</f>
        <v>5.19255981445</v>
      </c>
      <c r="T1104" s="110" t="str">
        <f>HYPERLINK(AB2 &amp; "/hammer/sn_d84a198b1541c964b285e5eb0ce34c6/rendering/17.obj", "4.49614074707")</f>
        <v>4.49614074707</v>
      </c>
      <c r="U1104" s="30" t="str">
        <f>HYPERLINK(AB2 &amp; "/hammer/sn_d84a198b1541c964b285e5eb0ce34c6/rendering/18.obj", "4.96912536621")</f>
        <v>4.96912536621</v>
      </c>
      <c r="V1104" s="73" t="str">
        <f>HYPERLINK(AB2 &amp; "/hammer/sn_d84a198b1541c964b285e5eb0ce34c6/rendering/19.obj", "4.81001037598")</f>
        <v>4.81001037598</v>
      </c>
      <c r="W1104" s="12" t="s">
        <v>31</v>
      </c>
      <c r="X1104" s="13">
        <v>4.9871138763427734</v>
      </c>
      <c r="Y1104" s="13">
        <v>0.48431764547124978</v>
      </c>
      <c r="Z1104" s="90">
        <v>9.7113813215433747E-2</v>
      </c>
    </row>
    <row r="1105" spans="1:26" x14ac:dyDescent="0.2">
      <c r="A1105" s="1">
        <v>1103</v>
      </c>
      <c r="B1105" s="2" t="s">
        <v>253</v>
      </c>
      <c r="C1105" s="31" t="str">
        <f>HYPERLINK(AB2 &amp; "/hammer/sn_d84a198b1541c964b285e5eb0ce34c6/rendering/00.obj", "1.91366314888")</f>
        <v>1.91366314888</v>
      </c>
      <c r="D1105" s="83" t="str">
        <f>HYPERLINK(AB2 &amp; "/hammer/sn_d84a198b1541c964b285e5eb0ce34c6/rendering/01.obj", "2.61401963234")</f>
        <v>2.61401963234</v>
      </c>
      <c r="E1105" s="35" t="str">
        <f>HYPERLINK(AB2 &amp; "/hammer/sn_d84a198b1541c964b285e5eb0ce34c6/rendering/02.obj", "2.40090250969")</f>
        <v>2.40090250969</v>
      </c>
      <c r="F1105" s="50" t="str">
        <f>HYPERLINK(AB2 &amp; "/hammer/sn_d84a198b1541c964b285e5eb0ce34c6/rendering/03.obj", "1.82012856007")</f>
        <v>1.82012856007</v>
      </c>
      <c r="G1105" s="94" t="str">
        <f>HYPERLINK(AB2 &amp; "/hammer/sn_d84a198b1541c964b285e5eb0ce34c6/rendering/04.obj", "2.10450935364")</f>
        <v>2.10450935364</v>
      </c>
      <c r="H1105" s="60" t="str">
        <f>HYPERLINK(AB2 &amp; "/hammer/sn_d84a198b1541c964b285e5eb0ce34c6/rendering/05.obj", "2.3874976635")</f>
        <v>2.3874976635</v>
      </c>
      <c r="I1105" s="74" t="str">
        <f>HYPERLINK(AB2 &amp; "/hammer/sn_d84a198b1541c964b285e5eb0ce34c6/rendering/06.obj", "2.30349469185")</f>
        <v>2.30349469185</v>
      </c>
      <c r="J1105" s="109" t="str">
        <f>HYPERLINK(AB2 &amp; "/hammer/sn_d84a198b1541c964b285e5eb0ce34c6/rendering/07.obj", "1.83931422234")</f>
        <v>1.83931422234</v>
      </c>
      <c r="K1105" s="91" t="str">
        <f>HYPERLINK(AB2 &amp; "/hammer/sn_d84a198b1541c964b285e5eb0ce34c6/rendering/08.obj", "2.21181082726")</f>
        <v>2.21181082726</v>
      </c>
      <c r="L1105" s="94" t="str">
        <f>HYPERLINK(AB2 &amp; "/hammer/sn_d84a198b1541c964b285e5eb0ce34c6/rendering/09.obj", "2.10463523865")</f>
        <v>2.10463523865</v>
      </c>
      <c r="M1105" s="70" t="str">
        <f>HYPERLINK(AB2 &amp; "/hammer/sn_d84a198b1541c964b285e5eb0ce34c6/rendering/10.obj", "2.55996537209")</f>
        <v>2.55996537209</v>
      </c>
      <c r="N1105" s="148" t="str">
        <f>HYPERLINK(AB2 &amp; "/hammer/sn_d84a198b1541c964b285e5eb0ce34c6/rendering/11.obj", "3.36700773239")</f>
        <v>3.36700773239</v>
      </c>
      <c r="O1105" s="80" t="str">
        <f>HYPERLINK(AB2 &amp; "/hammer/sn_d84a198b1541c964b285e5eb0ce34c6/rendering/12.obj", "1.93111228943")</f>
        <v>1.93111228943</v>
      </c>
      <c r="P1105" s="49" t="str">
        <f>HYPERLINK(AB2 &amp; "/hammer/sn_d84a198b1541c964b285e5eb0ce34c6/rendering/13.obj", "2.74010205269")</f>
        <v>2.74010205269</v>
      </c>
      <c r="Q1105" s="107" t="str">
        <f>HYPERLINK(AB2 &amp; "/hammer/sn_d84a198b1541c964b285e5eb0ce34c6/rendering/14.obj", "2.46070027351")</f>
        <v>2.46070027351</v>
      </c>
      <c r="R1105" s="70" t="str">
        <f>HYPERLINK(AB2 &amp; "/hammer/sn_d84a198b1541c964b285e5eb0ce34c6/rendering/15.obj", "1.98046708107")</f>
        <v>1.98046708107</v>
      </c>
      <c r="S1105" s="5" t="str">
        <f>HYPERLINK(AB2 &amp; "/hammer/sn_d84a198b1541c964b285e5eb0ce34c6/rendering/16.obj", "2.44250750542")</f>
        <v>2.44250750542</v>
      </c>
      <c r="T1105" s="110" t="str">
        <f>HYPERLINK(AB2 &amp; "/hammer/sn_d84a198b1541c964b285e5eb0ce34c6/rendering/17.obj", "2.04653716087")</f>
        <v>2.04653716087</v>
      </c>
      <c r="U1105" s="93" t="str">
        <f>HYPERLINK(AB2 &amp; "/hammer/sn_d84a198b1541c964b285e5eb0ce34c6/rendering/18.obj", "1.95530700684")</f>
        <v>1.95530700684</v>
      </c>
      <c r="V1105" s="69" t="str">
        <f>HYPERLINK(AB2 &amp; "/hammer/sn_d84a198b1541c964b285e5eb0ce34c6/rendering/19.obj", "2.1993598938")</f>
        <v>2.1993598938</v>
      </c>
      <c r="W1105" s="12" t="s">
        <v>32</v>
      </c>
      <c r="X1105" s="13">
        <v>2.2691521108150479</v>
      </c>
      <c r="Y1105" s="13">
        <v>0.36404849435205439</v>
      </c>
      <c r="Z1105" s="66">
        <v>0.1604337111720964</v>
      </c>
    </row>
    <row r="1106" spans="1:26" x14ac:dyDescent="0.2">
      <c r="A1106" s="1">
        <v>1104</v>
      </c>
      <c r="B1106" s="2" t="s">
        <v>253</v>
      </c>
      <c r="C1106" s="13" t="str">
        <f>HYPERLINK(AC2 &amp; "/hammer/sn_d84a198b1541c964b285e5eb0ce34c6/rendering/00.xyz", "0.0")</f>
        <v>0.0</v>
      </c>
      <c r="D1106" s="13" t="str">
        <f>HYPERLINK(AC2 &amp; "/hammer/sn_d84a198b1541c964b285e5eb0ce34c6/rendering/01.xyz", "0.0")</f>
        <v>0.0</v>
      </c>
      <c r="E1106" s="13" t="str">
        <f>HYPERLINK(AC2 &amp; "/hammer/sn_d84a198b1541c964b285e5eb0ce34c6/rendering/02.xyz", "0.0")</f>
        <v>0.0</v>
      </c>
      <c r="F1106" s="13" t="str">
        <f>HYPERLINK(AC2 &amp; "/hammer/sn_d84a198b1541c964b285e5eb0ce34c6/rendering/03.xyz", "0.0")</f>
        <v>0.0</v>
      </c>
      <c r="G1106" s="13" t="str">
        <f>HYPERLINK(AC2 &amp; "/hammer/sn_d84a198b1541c964b285e5eb0ce34c6/rendering/04.xyz", "0.0")</f>
        <v>0.0</v>
      </c>
      <c r="H1106" s="13" t="str">
        <f>HYPERLINK(AC2 &amp; "/hammer/sn_d84a198b1541c964b285e5eb0ce34c6/rendering/05.xyz", "0.0")</f>
        <v>0.0</v>
      </c>
      <c r="I1106" s="13" t="str">
        <f>HYPERLINK(AC2 &amp; "/hammer/sn_d84a198b1541c964b285e5eb0ce34c6/rendering/06.xyz", "0.0")</f>
        <v>0.0</v>
      </c>
      <c r="J1106" s="13" t="str">
        <f>HYPERLINK(AC2 &amp; "/hammer/sn_d84a198b1541c964b285e5eb0ce34c6/rendering/07.xyz", "0.0")</f>
        <v>0.0</v>
      </c>
      <c r="K1106" s="13" t="str">
        <f>HYPERLINK(AC2 &amp; "/hammer/sn_d84a198b1541c964b285e5eb0ce34c6/rendering/08.xyz", "0.0")</f>
        <v>0.0</v>
      </c>
      <c r="L1106" s="13" t="str">
        <f>HYPERLINK(AC2 &amp; "/hammer/sn_d84a198b1541c964b285e5eb0ce34c6/rendering/09.xyz", "0.0")</f>
        <v>0.0</v>
      </c>
      <c r="M1106" s="13" t="str">
        <f>HYPERLINK(AC2 &amp; "/hammer/sn_d84a198b1541c964b285e5eb0ce34c6/rendering/10.xyz", "0.0")</f>
        <v>0.0</v>
      </c>
      <c r="N1106" s="13" t="str">
        <f>HYPERLINK(AC2 &amp; "/hammer/sn_d84a198b1541c964b285e5eb0ce34c6/rendering/11.xyz", "0.0")</f>
        <v>0.0</v>
      </c>
      <c r="O1106" s="13" t="str">
        <f>HYPERLINK(AC2 &amp; "/hammer/sn_d84a198b1541c964b285e5eb0ce34c6/rendering/12.xyz", "0.0")</f>
        <v>0.0</v>
      </c>
      <c r="P1106" s="13" t="str">
        <f>HYPERLINK(AC2 &amp; "/hammer/sn_d84a198b1541c964b285e5eb0ce34c6/rendering/13.xyz", "0.0")</f>
        <v>0.0</v>
      </c>
      <c r="Q1106" s="13" t="str">
        <f>HYPERLINK(AC2 &amp; "/hammer/sn_d84a198b1541c964b285e5eb0ce34c6/rendering/14.xyz", "0.0")</f>
        <v>0.0</v>
      </c>
      <c r="R1106" s="13" t="str">
        <f>HYPERLINK(AC2 &amp; "/hammer/sn_d84a198b1541c964b285e5eb0ce34c6/rendering/15.xyz", "0.0")</f>
        <v>0.0</v>
      </c>
      <c r="S1106" s="13" t="str">
        <f>HYPERLINK(AC2 &amp; "/hammer/sn_d84a198b1541c964b285e5eb0ce34c6/rendering/16.xyz", "0.0")</f>
        <v>0.0</v>
      </c>
      <c r="T1106" s="13" t="str">
        <f>HYPERLINK(AC2 &amp; "/hammer/sn_d84a198b1541c964b285e5eb0ce34c6/rendering/17.xyz", "0.0")</f>
        <v>0.0</v>
      </c>
      <c r="U1106" s="13" t="str">
        <f>HYPERLINK(AC2 &amp; "/hammer/sn_d84a198b1541c964b285e5eb0ce34c6/rendering/18.xyz", "0.0")</f>
        <v>0.0</v>
      </c>
      <c r="V1106" s="13" t="str">
        <f>HYPERLINK(AC2 &amp; "/hammer/sn_d84a198b1541c964b285e5eb0ce34c6/rendering/19.xyz", "0.0")</f>
        <v>0.0</v>
      </c>
      <c r="W1106" s="12" t="s">
        <v>33</v>
      </c>
      <c r="X1106" s="13">
        <v>0</v>
      </c>
      <c r="Y1106" s="13">
        <v>0</v>
      </c>
      <c r="Z1106" s="13">
        <v>0</v>
      </c>
    </row>
    <row r="1107" spans="1:26" x14ac:dyDescent="0.2">
      <c r="A1107" s="1">
        <v>1105</v>
      </c>
      <c r="B1107" s="2" t="s">
        <v>254</v>
      </c>
      <c r="C1107" s="24" t="str">
        <f>HYPERLINK(AA2 &amp; "/hammer/sn_dbf1a3f62094a2453537a9c0edf72d08/rendering/00.obj", "6.2733001709")</f>
        <v>6.2733001709</v>
      </c>
      <c r="D1107" s="90" t="str">
        <f>HYPERLINK(AA2 &amp; "/hammer/sn_dbf1a3f62094a2453537a9c0edf72d08/rendering/01.obj", "4.85144805908")</f>
        <v>4.85144805908</v>
      </c>
      <c r="E1107" s="92" t="str">
        <f>HYPERLINK(AA2 &amp; "/hammer/sn_dbf1a3f62094a2453537a9c0edf72d08/rendering/02.obj", "6.03307861328")</f>
        <v>6.03307861328</v>
      </c>
      <c r="F1107" s="90" t="str">
        <f>HYPERLINK(AA2 &amp; "/hammer/sn_dbf1a3f62094a2453537a9c0edf72d08/rendering/03.obj", "4.86553649902")</f>
        <v>4.86553649902</v>
      </c>
      <c r="G1107" s="92" t="str">
        <f>HYPERLINK(AA2 &amp; "/hammer/sn_dbf1a3f62094a2453537a9c0edf72d08/rendering/04.obj", "6.04177978516")</f>
        <v>6.04177978516</v>
      </c>
      <c r="H1107" s="70" t="str">
        <f>HYPERLINK(AA2 &amp; "/hammer/sn_dbf1a3f62094a2453537a9c0edf72d08/rendering/05.obj", "4.68997467041")</f>
        <v>4.68997467041</v>
      </c>
      <c r="I1107" s="17" t="str">
        <f>HYPERLINK(AA2 &amp; "/hammer/sn_dbf1a3f62094a2453537a9c0edf72d08/rendering/06.obj", "5.47766296387")</f>
        <v>5.47766296387</v>
      </c>
      <c r="J1107" s="63" t="str">
        <f>HYPERLINK(AA2 &amp; "/hammer/sn_dbf1a3f62094a2453537a9c0edf72d08/rendering/07.obj", "4.72867156982")</f>
        <v>4.72867156982</v>
      </c>
      <c r="K1107" s="40" t="str">
        <f>HYPERLINK(AA2 &amp; "/hammer/sn_dbf1a3f62094a2453537a9c0edf72d08/rendering/08.obj", "4.46056488037")</f>
        <v>4.46056488037</v>
      </c>
      <c r="L1107" s="38" t="str">
        <f>HYPERLINK(AA2 &amp; "/hammer/sn_dbf1a3f62094a2453537a9c0edf72d08/rendering/09.obj", "5.85510986328")</f>
        <v>5.85510986328</v>
      </c>
      <c r="M1107" s="35" t="str">
        <f>HYPERLINK(AA2 &amp; "/hammer/sn_dbf1a3f62094a2453537a9c0edf72d08/rendering/10.obj", "5.05557250977")</f>
        <v>5.05557250977</v>
      </c>
      <c r="N1107" s="66" t="str">
        <f>HYPERLINK(AA2 &amp; "/hammer/sn_dbf1a3f62094a2453537a9c0edf72d08/rendering/11.obj", "6.2435357666")</f>
        <v>6.2435357666</v>
      </c>
      <c r="O1107" s="99" t="str">
        <f>HYPERLINK(AA2 &amp; "/hammer/sn_dbf1a3f62094a2453537a9c0edf72d08/rendering/12.obj", "6.83629638672")</f>
        <v>6.83629638672</v>
      </c>
      <c r="P1107" s="5" t="str">
        <f>HYPERLINK(AA2 &amp; "/hammer/sn_dbf1a3f62094a2453537a9c0edf72d08/rendering/13.obj", "4.95909301758")</f>
        <v>4.95909301758</v>
      </c>
      <c r="Q1107" s="68" t="str">
        <f>HYPERLINK(AA2 &amp; "/hammer/sn_dbf1a3f62094a2453537a9c0edf72d08/rendering/14.obj", "5.59694213867")</f>
        <v>5.59694213867</v>
      </c>
      <c r="R1107" s="17" t="str">
        <f>HYPERLINK(AA2 &amp; "/hammer/sn_dbf1a3f62094a2453537a9c0edf72d08/rendering/15.obj", "5.48676574707")</f>
        <v>5.48676574707</v>
      </c>
      <c r="S1107" s="23" t="str">
        <f>HYPERLINK(AA2 &amp; "/hammer/sn_dbf1a3f62094a2453537a9c0edf72d08/rendering/16.obj", "5.16414916992")</f>
        <v>5.16414916992</v>
      </c>
      <c r="T1107" s="47" t="str">
        <f>HYPERLINK(AA2 &amp; "/hammer/sn_dbf1a3f62094a2453537a9c0edf72d08/rendering/17.obj", "5.42034362793")</f>
        <v>5.42034362793</v>
      </c>
      <c r="U1107" s="28" t="str">
        <f>HYPERLINK(AA2 &amp; "/hammer/sn_dbf1a3f62094a2453537a9c0edf72d08/rendering/18.obj", "4.78017822266")</f>
        <v>4.78017822266</v>
      </c>
      <c r="V1107" s="93" t="str">
        <f>HYPERLINK(AA2 &amp; "/hammer/sn_dbf1a3f62094a2453537a9c0edf72d08/rendering/19.obj", "4.62844573975")</f>
        <v>4.62844573975</v>
      </c>
      <c r="W1107" s="12" t="s">
        <v>29</v>
      </c>
      <c r="X1107" s="13">
        <v>5.372422470092773</v>
      </c>
      <c r="Y1107" s="13">
        <v>0.6467821861062526</v>
      </c>
      <c r="Z1107" s="63">
        <v>0.1203893010474814</v>
      </c>
    </row>
    <row r="1108" spans="1:26" x14ac:dyDescent="0.2">
      <c r="A1108" s="1">
        <v>1106</v>
      </c>
      <c r="B1108" s="2" t="s">
        <v>254</v>
      </c>
      <c r="C1108" s="84" t="str">
        <f>HYPERLINK(AA2 &amp; "/hammer/sn_dbf1a3f62094a2453537a9c0edf72d08/rendering/00.obj", "3.99002361298")</f>
        <v>3.99002361298</v>
      </c>
      <c r="D1108" s="58" t="str">
        <f>HYPERLINK(AA2 &amp; "/hammer/sn_dbf1a3f62094a2453537a9c0edf72d08/rendering/01.obj", "2.63623285294")</f>
        <v>2.63623285294</v>
      </c>
      <c r="E1108" s="180" t="str">
        <f>HYPERLINK(AA2 &amp; "/hammer/sn_dbf1a3f62094a2453537a9c0edf72d08/rendering/02.obj", "6.22716236115")</f>
        <v>6.22716236115</v>
      </c>
      <c r="F1108" s="121" t="str">
        <f>HYPERLINK(AA2 &amp; "/hammer/sn_dbf1a3f62094a2453537a9c0edf72d08/rendering/03.obj", "2.25417160988")</f>
        <v>2.25417160988</v>
      </c>
      <c r="G1108" s="132" t="str">
        <f>HYPERLINK(AA2 &amp; "/hammer/sn_dbf1a3f62094a2453537a9c0edf72d08/rendering/04.obj", "4.94595146179")</f>
        <v>4.94595146179</v>
      </c>
      <c r="H1108" s="138" t="str">
        <f>HYPERLINK(AA2 &amp; "/hammer/sn_dbf1a3f62094a2453537a9c0edf72d08/rendering/05.obj", "2.30711817741")</f>
        <v>2.30711817741</v>
      </c>
      <c r="I1108" s="46" t="str">
        <f>HYPERLINK(AA2 &amp; "/hammer/sn_dbf1a3f62094a2453537a9c0edf72d08/rendering/06.obj", "3.53978133202")</f>
        <v>3.53978133202</v>
      </c>
      <c r="J1108" s="14" t="str">
        <f>HYPERLINK(AA2 &amp; "/hammer/sn_dbf1a3f62094a2453537a9c0edf72d08/rendering/07.obj", "2.4726998806")</f>
        <v>2.4726998806</v>
      </c>
      <c r="K1108" s="53" t="str">
        <f>HYPERLINK(AA2 &amp; "/hammer/sn_dbf1a3f62094a2453537a9c0edf72d08/rendering/08.obj", "2.04501152039")</f>
        <v>2.04501152039</v>
      </c>
      <c r="L1108" s="119" t="str">
        <f>HYPERLINK(AA2 &amp; "/hammer/sn_dbf1a3f62094a2453537a9c0edf72d08/rendering/09.obj", "4.40448379517")</f>
        <v>4.40448379517</v>
      </c>
      <c r="M1108" s="10" t="str">
        <f>HYPERLINK(AA2 &amp; "/hammer/sn_dbf1a3f62094a2453537a9c0edf72d08/rendering/10.obj", "3.29656243324")</f>
        <v>3.29656243324</v>
      </c>
      <c r="N1108" s="165" t="str">
        <f>HYPERLINK(AA2 &amp; "/hammer/sn_dbf1a3f62094a2453537a9c0edf72d08/rendering/11.obj", "5.89622688293")</f>
        <v>5.89622688293</v>
      </c>
      <c r="O1108" s="20" t="str">
        <f>HYPERLINK(AA2 &amp; "/hammer/sn_dbf1a3f62094a2453537a9c0edf72d08/rendering/12.obj", "6.79306507111")</f>
        <v>6.79306507111</v>
      </c>
      <c r="P1108" s="113" t="str">
        <f>HYPERLINK(AA2 &amp; "/hammer/sn_dbf1a3f62094a2453537a9c0edf72d08/rendering/13.obj", "2.52259731293")</f>
        <v>2.52259731293</v>
      </c>
      <c r="Q1108" s="11" t="str">
        <f>HYPERLINK(AA2 &amp; "/hammer/sn_dbf1a3f62094a2453537a9c0edf72d08/rendering/14.obj", "2.7057659626")</f>
        <v>2.7057659626</v>
      </c>
      <c r="R1108" s="84" t="str">
        <f>HYPERLINK(AA2 &amp; "/hammer/sn_dbf1a3f62094a2453537a9c0edf72d08/rendering/15.obj", "2.97896051407")</f>
        <v>2.97896051407</v>
      </c>
      <c r="S1108" s="175" t="str">
        <f>HYPERLINK(AA2 &amp; "/hammer/sn_dbf1a3f62094a2453537a9c0edf72d08/rendering/16.obj", "2.66947388649")</f>
        <v>2.66947388649</v>
      </c>
      <c r="T1108" s="17" t="str">
        <f>HYPERLINK(AA2 &amp; "/hammer/sn_dbf1a3f62094a2453537a9c0edf72d08/rendering/17.obj", "3.41371059418")</f>
        <v>3.41371059418</v>
      </c>
      <c r="U1108" s="96" t="str">
        <f>HYPERLINK(AA2 &amp; "/hammer/sn_dbf1a3f62094a2453537a9c0edf72d08/rendering/18.obj", "2.22175717354")</f>
        <v>2.22175717354</v>
      </c>
      <c r="V1108" s="54" t="str">
        <f>HYPERLINK(AA2 &amp; "/hammer/sn_dbf1a3f62094a2453537a9c0edf72d08/rendering/19.obj", "2.3446867466")</f>
        <v>2.3446867466</v>
      </c>
      <c r="W1108" s="12" t="s">
        <v>30</v>
      </c>
      <c r="X1108" s="13">
        <v>3.4832721590995792</v>
      </c>
      <c r="Y1108" s="13">
        <v>1.4076029798357339</v>
      </c>
      <c r="Z1108" s="122">
        <v>0.40410364609568661</v>
      </c>
    </row>
    <row r="1109" spans="1:26" x14ac:dyDescent="0.2">
      <c r="A1109" s="1">
        <v>1107</v>
      </c>
      <c r="B1109" s="2" t="s">
        <v>254</v>
      </c>
      <c r="C1109" s="13" t="str">
        <f>HYPERLINK(AB2 &amp; "/hammer/sn_dbf1a3f62094a2453537a9c0edf72d08/rendering/00.obj", "5.36949951172")</f>
        <v>5.36949951172</v>
      </c>
      <c r="D1109" s="68" t="str">
        <f>HYPERLINK(AB2 &amp; "/hammer/sn_dbf1a3f62094a2453537a9c0edf72d08/rendering/01.obj", "5.60834716797")</f>
        <v>5.60834716797</v>
      </c>
      <c r="E1109" s="17" t="str">
        <f>HYPERLINK(AB2 &amp; "/hammer/sn_dbf1a3f62094a2453537a9c0edf72d08/rendering/02.obj", "5.27390869141")</f>
        <v>5.27390869141</v>
      </c>
      <c r="F1109" s="78" t="str">
        <f>HYPERLINK(AB2 &amp; "/hammer/sn_dbf1a3f62094a2453537a9c0edf72d08/rendering/03.obj", "5.70980529785")</f>
        <v>5.70980529785</v>
      </c>
      <c r="G1109" s="17" t="str">
        <f>HYPERLINK(AB2 &amp; "/hammer/sn_dbf1a3f62094a2453537a9c0edf72d08/rendering/04.obj", "5.4836541748")</f>
        <v>5.4836541748</v>
      </c>
      <c r="H1109" s="34" t="str">
        <f>HYPERLINK(AB2 &amp; "/hammer/sn_dbf1a3f62094a2453537a9c0edf72d08/rendering/05.obj", "5.64189758301")</f>
        <v>5.64189758301</v>
      </c>
      <c r="I1109" s="10" t="str">
        <f>HYPERLINK(AB2 &amp; "/hammer/sn_dbf1a3f62094a2453537a9c0edf72d08/rendering/06.obj", "5.67862182617")</f>
        <v>5.67862182617</v>
      </c>
      <c r="J1109" s="46" t="str">
        <f>HYPERLINK(AB2 &amp; "/hammer/sn_dbf1a3f62094a2453537a9c0edf72d08/rendering/07.obj", "5.47347106934")</f>
        <v>5.47347106934</v>
      </c>
      <c r="K1109" s="78" t="str">
        <f>HYPERLINK(AB2 &amp; "/hammer/sn_dbf1a3f62094a2453537a9c0edf72d08/rendering/08.obj", "5.71592895508")</f>
        <v>5.71592895508</v>
      </c>
      <c r="L1109" s="84" t="str">
        <f>HYPERLINK(AB2 &amp; "/hammer/sn_dbf1a3f62094a2453537a9c0edf72d08/rendering/09.obj", "4.59045227051")</f>
        <v>4.59045227051</v>
      </c>
      <c r="M1109" s="94" t="str">
        <f>HYPERLINK(AB2 &amp; "/hammer/sn_dbf1a3f62094a2453537a9c0edf72d08/rendering/10.obj", "4.97805297852")</f>
        <v>4.97805297852</v>
      </c>
      <c r="N1109" s="67" t="str">
        <f>HYPERLINK(AB2 &amp; "/hammer/sn_dbf1a3f62094a2453537a9c0edf72d08/rendering/11.obj", "4.88702941895")</f>
        <v>4.88702941895</v>
      </c>
      <c r="O1109" s="109" t="str">
        <f>HYPERLINK(AB2 &amp; "/hammer/sn_dbf1a3f62094a2453537a9c0edf72d08/rendering/12.obj", "4.35300598145")</f>
        <v>4.35300598145</v>
      </c>
      <c r="P1109" s="74" t="str">
        <f>HYPERLINK(AB2 &amp; "/hammer/sn_dbf1a3f62094a2453537a9c0edf72d08/rendering/13.obj", "5.45807495117")</f>
        <v>5.45807495117</v>
      </c>
      <c r="Q1109" s="74" t="str">
        <f>HYPERLINK(AB2 &amp; "/hammer/sn_dbf1a3f62094a2453537a9c0edf72d08/rendering/14.obj", "5.46057739258")</f>
        <v>5.46057739258</v>
      </c>
      <c r="R1109" s="46" t="str">
        <f>HYPERLINK(AB2 &amp; "/hammer/sn_dbf1a3f62094a2453537a9c0edf72d08/rendering/15.obj", "5.28811706543")</f>
        <v>5.28811706543</v>
      </c>
      <c r="S1109" s="110" t="str">
        <f>HYPERLINK(AB2 &amp; "/hammer/sn_dbf1a3f62094a2453537a9c0edf72d08/rendering/16.obj", "5.91494750977")</f>
        <v>5.91494750977</v>
      </c>
      <c r="T1109" s="72" t="str">
        <f>HYPERLINK(AB2 &amp; "/hammer/sn_dbf1a3f62094a2453537a9c0edf72d08/rendering/17.obj", "5.55547180176")</f>
        <v>5.55547180176</v>
      </c>
      <c r="U1109" s="73" t="str">
        <f>HYPERLINK(AB2 &amp; "/hammer/sn_dbf1a3f62094a2453537a9c0edf72d08/rendering/18.obj", "5.57555053711")</f>
        <v>5.57555053711</v>
      </c>
      <c r="V1109" s="23" t="str">
        <f>HYPERLINK(AB2 &amp; "/hammer/sn_dbf1a3f62094a2453537a9c0edf72d08/rendering/19.obj", "5.59661865234")</f>
        <v>5.59661865234</v>
      </c>
      <c r="W1109" s="12" t="s">
        <v>31</v>
      </c>
      <c r="X1109" s="13">
        <v>5.380651641845704</v>
      </c>
      <c r="Y1109" s="13">
        <v>0.38524039203420091</v>
      </c>
      <c r="Z1109" s="27">
        <v>7.1597348737123118E-2</v>
      </c>
    </row>
    <row r="1110" spans="1:26" x14ac:dyDescent="0.2">
      <c r="A1110" s="1">
        <v>1108</v>
      </c>
      <c r="B1110" s="2" t="s">
        <v>254</v>
      </c>
      <c r="C1110" s="84" t="str">
        <f>HYPERLINK(AB2 &amp; "/hammer/sn_dbf1a3f62094a2453537a9c0edf72d08/rendering/00.obj", "2.90971446037")</f>
        <v>2.90971446037</v>
      </c>
      <c r="D1110" s="25" t="str">
        <f>HYPERLINK(AB2 &amp; "/hammer/sn_dbf1a3f62094a2453537a9c0edf72d08/rendering/01.obj", "2.56271648407")</f>
        <v>2.56271648407</v>
      </c>
      <c r="E1110" s="48" t="str">
        <f>HYPERLINK(AB2 &amp; "/hammer/sn_dbf1a3f62094a2453537a9c0edf72d08/rendering/02.obj", "2.60202693939")</f>
        <v>2.60202693939</v>
      </c>
      <c r="F1110" s="47" t="str">
        <f>HYPERLINK(AB2 &amp; "/hammer/sn_dbf1a3f62094a2453537a9c0edf72d08/rendering/03.obj", "2.51849865913")</f>
        <v>2.51849865913</v>
      </c>
      <c r="G1110" s="47" t="str">
        <f>HYPERLINK(AB2 &amp; "/hammer/sn_dbf1a3f62094a2453537a9c0edf72d08/rendering/04.obj", "2.52055120468")</f>
        <v>2.52055120468</v>
      </c>
      <c r="H1110" s="73" t="str">
        <f>HYPERLINK(AB2 &amp; "/hammer/sn_dbf1a3f62094a2453537a9c0edf72d08/rendering/05.obj", "2.45077323914")</f>
        <v>2.45077323914</v>
      </c>
      <c r="I1110" s="90" t="str">
        <f>HYPERLINK(AB2 &amp; "/hammer/sn_dbf1a3f62094a2453537a9c0edf72d08/rendering/06.obj", "2.77792358398")</f>
        <v>2.77792358398</v>
      </c>
      <c r="J1110" s="41" t="str">
        <f>HYPERLINK(AB2 &amp; "/hammer/sn_dbf1a3f62094a2453537a9c0edf72d08/rendering/07.obj", "2.36711239815")</f>
        <v>2.36711239815</v>
      </c>
      <c r="K1110" s="30" t="str">
        <f>HYPERLINK(AB2 &amp; "/hammer/sn_dbf1a3f62094a2453537a9c0edf72d08/rendering/08.obj", "2.5247092247")</f>
        <v>2.5247092247</v>
      </c>
      <c r="L1110" s="6" t="str">
        <f>HYPERLINK(AB2 &amp; "/hammer/sn_dbf1a3f62094a2453537a9c0edf72d08/rendering/09.obj", "2.42169213295")</f>
        <v>2.42169213295</v>
      </c>
      <c r="M1110" s="68" t="str">
        <f>HYPERLINK(AB2 &amp; "/hammer/sn_dbf1a3f62094a2453537a9c0edf72d08/rendering/10.obj", "2.64199566841")</f>
        <v>2.64199566841</v>
      </c>
      <c r="N1110" s="91" t="str">
        <f>HYPERLINK(AB2 &amp; "/hammer/sn_dbf1a3f62094a2453537a9c0edf72d08/rendering/11.obj", "2.4690721035")</f>
        <v>2.4690721035</v>
      </c>
      <c r="O1110" s="91" t="str">
        <f>HYPERLINK(AB2 &amp; "/hammer/sn_dbf1a3f62094a2453537a9c0edf72d08/rendering/12.obj", "2.47314500809")</f>
        <v>2.47314500809</v>
      </c>
      <c r="P1110" s="48" t="str">
        <f>HYPERLINK(AB2 &amp; "/hammer/sn_dbf1a3f62094a2453537a9c0edf72d08/rendering/13.obj", "2.59976434708")</f>
        <v>2.59976434708</v>
      </c>
      <c r="Q1110" s="6" t="str">
        <f>HYPERLINK(AB2 &amp; "/hammer/sn_dbf1a3f62094a2453537a9c0edf72d08/rendering/14.obj", "2.41984820366")</f>
        <v>2.41984820366</v>
      </c>
      <c r="R1110" s="46" t="str">
        <f>HYPERLINK(AB2 &amp; "/hammer/sn_dbf1a3f62094a2453537a9c0edf72d08/rendering/15.obj", "2.58255767822")</f>
        <v>2.58255767822</v>
      </c>
      <c r="S1110" s="23" t="str">
        <f>HYPERLINK(AB2 &amp; "/hammer/sn_dbf1a3f62094a2453537a9c0edf72d08/rendering/16.obj", "2.4372549057")</f>
        <v>2.4372549057</v>
      </c>
      <c r="T1110" s="74" t="str">
        <f>HYPERLINK(AB2 &amp; "/hammer/sn_dbf1a3f62094a2453537a9c0edf72d08/rendering/17.obj", "2.50239396095")</f>
        <v>2.50239396095</v>
      </c>
      <c r="U1110" s="46" t="str">
        <f>HYPERLINK(AB2 &amp; "/hammer/sn_dbf1a3f62094a2453537a9c0edf72d08/rendering/18.obj", "2.49096918106")</f>
        <v>2.49096918106</v>
      </c>
      <c r="V1110" s="46" t="str">
        <f>HYPERLINK(AB2 &amp; "/hammer/sn_dbf1a3f62094a2453537a9c0edf72d08/rendering/19.obj", "2.49519515038")</f>
        <v>2.49519515038</v>
      </c>
      <c r="W1110" s="12" t="s">
        <v>32</v>
      </c>
      <c r="X1110" s="13">
        <v>2.538395726680756</v>
      </c>
      <c r="Y1110" s="13">
        <v>0.1238216670741939</v>
      </c>
      <c r="Z1110" s="34">
        <v>4.8779497133847202E-2</v>
      </c>
    </row>
    <row r="1111" spans="1:26" x14ac:dyDescent="0.2">
      <c r="A1111" s="1">
        <v>1109</v>
      </c>
      <c r="B1111" s="2" t="s">
        <v>254</v>
      </c>
      <c r="C1111" s="13" t="str">
        <f>HYPERLINK(AC2 &amp; "/hammer/sn_dbf1a3f62094a2453537a9c0edf72d08/rendering/00.xyz", "0.0")</f>
        <v>0.0</v>
      </c>
      <c r="D1111" s="13" t="str">
        <f>HYPERLINK(AC2 &amp; "/hammer/sn_dbf1a3f62094a2453537a9c0edf72d08/rendering/01.xyz", "0.0")</f>
        <v>0.0</v>
      </c>
      <c r="E1111" s="13" t="str">
        <f>HYPERLINK(AC2 &amp; "/hammer/sn_dbf1a3f62094a2453537a9c0edf72d08/rendering/02.xyz", "0.0")</f>
        <v>0.0</v>
      </c>
      <c r="F1111" s="13" t="str">
        <f>HYPERLINK(AC2 &amp; "/hammer/sn_dbf1a3f62094a2453537a9c0edf72d08/rendering/03.xyz", "0.0")</f>
        <v>0.0</v>
      </c>
      <c r="G1111" s="13" t="str">
        <f>HYPERLINK(AC2 &amp; "/hammer/sn_dbf1a3f62094a2453537a9c0edf72d08/rendering/04.xyz", "0.0")</f>
        <v>0.0</v>
      </c>
      <c r="H1111" s="13" t="str">
        <f>HYPERLINK(AC2 &amp; "/hammer/sn_dbf1a3f62094a2453537a9c0edf72d08/rendering/05.xyz", "0.0")</f>
        <v>0.0</v>
      </c>
      <c r="I1111" s="13" t="str">
        <f>HYPERLINK(AC2 &amp; "/hammer/sn_dbf1a3f62094a2453537a9c0edf72d08/rendering/06.xyz", "0.0")</f>
        <v>0.0</v>
      </c>
      <c r="J1111" s="13" t="str">
        <f>HYPERLINK(AC2 &amp; "/hammer/sn_dbf1a3f62094a2453537a9c0edf72d08/rendering/07.xyz", "0.0")</f>
        <v>0.0</v>
      </c>
      <c r="K1111" s="13" t="str">
        <f>HYPERLINK(AC2 &amp; "/hammer/sn_dbf1a3f62094a2453537a9c0edf72d08/rendering/08.xyz", "0.0")</f>
        <v>0.0</v>
      </c>
      <c r="L1111" s="13" t="str">
        <f>HYPERLINK(AC2 &amp; "/hammer/sn_dbf1a3f62094a2453537a9c0edf72d08/rendering/09.xyz", "0.0")</f>
        <v>0.0</v>
      </c>
      <c r="M1111" s="13" t="str">
        <f>HYPERLINK(AC2 &amp; "/hammer/sn_dbf1a3f62094a2453537a9c0edf72d08/rendering/10.xyz", "0.0")</f>
        <v>0.0</v>
      </c>
      <c r="N1111" s="13" t="str">
        <f>HYPERLINK(AC2 &amp; "/hammer/sn_dbf1a3f62094a2453537a9c0edf72d08/rendering/11.xyz", "0.0")</f>
        <v>0.0</v>
      </c>
      <c r="O1111" s="13" t="str">
        <f>HYPERLINK(AC2 &amp; "/hammer/sn_dbf1a3f62094a2453537a9c0edf72d08/rendering/12.xyz", "0.0")</f>
        <v>0.0</v>
      </c>
      <c r="P1111" s="13" t="str">
        <f>HYPERLINK(AC2 &amp; "/hammer/sn_dbf1a3f62094a2453537a9c0edf72d08/rendering/13.xyz", "0.0")</f>
        <v>0.0</v>
      </c>
      <c r="Q1111" s="13" t="str">
        <f>HYPERLINK(AC2 &amp; "/hammer/sn_dbf1a3f62094a2453537a9c0edf72d08/rendering/14.xyz", "0.0")</f>
        <v>0.0</v>
      </c>
      <c r="R1111" s="13" t="str">
        <f>HYPERLINK(AC2 &amp; "/hammer/sn_dbf1a3f62094a2453537a9c0edf72d08/rendering/15.xyz", "0.0")</f>
        <v>0.0</v>
      </c>
      <c r="S1111" s="13" t="str">
        <f>HYPERLINK(AC2 &amp; "/hammer/sn_dbf1a3f62094a2453537a9c0edf72d08/rendering/16.xyz", "0.0")</f>
        <v>0.0</v>
      </c>
      <c r="T1111" s="13" t="str">
        <f>HYPERLINK(AC2 &amp; "/hammer/sn_dbf1a3f62094a2453537a9c0edf72d08/rendering/17.xyz", "0.0")</f>
        <v>0.0</v>
      </c>
      <c r="U1111" s="13" t="str">
        <f>HYPERLINK(AC2 &amp; "/hammer/sn_dbf1a3f62094a2453537a9c0edf72d08/rendering/18.xyz", "0.0")</f>
        <v>0.0</v>
      </c>
      <c r="V1111" s="13" t="str">
        <f>HYPERLINK(AC2 &amp; "/hammer/sn_dbf1a3f62094a2453537a9c0edf72d08/rendering/19.xyz", "0.0")</f>
        <v>0.0</v>
      </c>
      <c r="W1111" s="12" t="s">
        <v>33</v>
      </c>
      <c r="X1111" s="13">
        <v>0</v>
      </c>
      <c r="Y1111" s="13">
        <v>0</v>
      </c>
      <c r="Z1111" s="13">
        <v>0</v>
      </c>
    </row>
    <row r="1112" spans="1:26" x14ac:dyDescent="0.2">
      <c r="A1112" s="1">
        <v>1110</v>
      </c>
      <c r="B1112" s="2" t="s">
        <v>255</v>
      </c>
      <c r="C1112" s="60" t="str">
        <f>HYPERLINK(AA2 &amp; "/hammer/sn_dfccb4502cd9383fcb03b57fca000b1f/rendering/00.obj", "10.2464941406")</f>
        <v>10.2464941406</v>
      </c>
      <c r="D1112" s="157" t="str">
        <f>HYPERLINK(AA2 &amp; "/hammer/sn_dfccb4502cd9383fcb03b57fca000b1f/rendering/01.obj", "13.7653857422")</f>
        <v>13.7653857422</v>
      </c>
      <c r="E1112" s="82" t="str">
        <f>HYPERLINK(AA2 &amp; "/hammer/sn_dfccb4502cd9383fcb03b57fca000b1f/rendering/02.obj", "11.7407568359")</f>
        <v>11.7407568359</v>
      </c>
      <c r="F1112" s="63" t="str">
        <f>HYPERLINK(AA2 &amp; "/hammer/sn_dfccb4502cd9383fcb03b57fca000b1f/rendering/03.obj", "10.901862793")</f>
        <v>10.901862793</v>
      </c>
      <c r="G1112" s="40" t="str">
        <f>HYPERLINK(AA2 &amp; "/hammer/sn_dfccb4502cd9383fcb03b57fca000b1f/rendering/04.obj", "8.05258117676")</f>
        <v>8.05258117676</v>
      </c>
      <c r="H1112" s="29" t="str">
        <f>HYPERLINK(AA2 &amp; "/hammer/sn_dfccb4502cd9383fcb03b57fca000b1f/rendering/05.obj", "8.45235839844")</f>
        <v>8.45235839844</v>
      </c>
      <c r="I1112" s="10" t="str">
        <f>HYPERLINK(AA2 &amp; "/hammer/sn_dfccb4502cd9383fcb03b57fca000b1f/rendering/06.obj", "9.19043334961")</f>
        <v>9.19043334961</v>
      </c>
      <c r="J1112" s="120" t="str">
        <f>HYPERLINK(AA2 &amp; "/hammer/sn_dfccb4502cd9383fcb03b57fca000b1f/rendering/07.obj", "7.6714440918")</f>
        <v>7.6714440918</v>
      </c>
      <c r="K1112" s="41" t="str">
        <f>HYPERLINK(AA2 &amp; "/hammer/sn_dfccb4502cd9383fcb03b57fca000b1f/rendering/08.obj", "10.3790698242")</f>
        <v>10.3790698242</v>
      </c>
      <c r="L1112" s="65" t="str">
        <f>HYPERLINK(AA2 &amp; "/hammer/sn_dfccb4502cd9383fcb03b57fca000b1f/rendering/09.obj", "8.43315185547")</f>
        <v>8.43315185547</v>
      </c>
      <c r="M1112" s="41" t="str">
        <f>HYPERLINK(AA2 &amp; "/hammer/sn_dfccb4502cd9383fcb03b57fca000b1f/rendering/10.obj", "9.07140014648")</f>
        <v>9.07140014648</v>
      </c>
      <c r="N1112" s="94" t="str">
        <f>HYPERLINK(AA2 &amp; "/hammer/sn_dfccb4502cd9383fcb03b57fca000b1f/rendering/11.obj", "9.01115478516")</f>
        <v>9.01115478516</v>
      </c>
      <c r="O1112" s="64" t="str">
        <f>HYPERLINK(AA2 &amp; "/hammer/sn_dfccb4502cd9383fcb03b57fca000b1f/rendering/12.obj", "8.13483032227")</f>
        <v>8.13483032227</v>
      </c>
      <c r="P1112" s="77" t="str">
        <f>HYPERLINK(AA2 &amp; "/hammer/sn_dfccb4502cd9383fcb03b57fca000b1f/rendering/13.obj", "7.92401611328")</f>
        <v>7.92401611328</v>
      </c>
      <c r="Q1112" s="37" t="str">
        <f>HYPERLINK(AA2 &amp; "/hammer/sn_dfccb4502cd9383fcb03b57fca000b1f/rendering/14.obj", "8.02686889648")</f>
        <v>8.02686889648</v>
      </c>
      <c r="R1112" s="117" t="str">
        <f>HYPERLINK(AA2 &amp; "/hammer/sn_dfccb4502cd9383fcb03b57fca000b1f/rendering/15.obj", "11.4540307617")</f>
        <v>11.4540307617</v>
      </c>
      <c r="S1112" s="41" t="str">
        <f>HYPERLINK(AA2 &amp; "/hammer/sn_dfccb4502cd9383fcb03b57fca000b1f/rendering/16.obj", "10.3895092773")</f>
        <v>10.3895092773</v>
      </c>
      <c r="T1112" s="35" t="str">
        <f>HYPERLINK(AA2 &amp; "/hammer/sn_dfccb4502cd9383fcb03b57fca000b1f/rendering/17.obj", "9.16663696289")</f>
        <v>9.16663696289</v>
      </c>
      <c r="U1112" s="83" t="str">
        <f>HYPERLINK(AA2 &amp; "/hammer/sn_dfccb4502cd9383fcb03b57fca000b1f/rendering/18.obj", "11.2148327637")</f>
        <v>11.2148327637</v>
      </c>
      <c r="V1112" s="24" t="str">
        <f>HYPERLINK(AA2 &amp; "/hammer/sn_dfccb4502cd9383fcb03b57fca000b1f/rendering/19.obj", "11.3764038086")</f>
        <v>11.3764038086</v>
      </c>
      <c r="W1112" s="12" t="s">
        <v>29</v>
      </c>
      <c r="X1112" s="13">
        <v>9.7301611022949235</v>
      </c>
      <c r="Y1112" s="13">
        <v>1.6022293953804201</v>
      </c>
      <c r="Z1112" s="64">
        <v>0.16466627618349741</v>
      </c>
    </row>
    <row r="1113" spans="1:26" x14ac:dyDescent="0.2">
      <c r="A1113" s="1">
        <v>1111</v>
      </c>
      <c r="B1113" s="2" t="s">
        <v>255</v>
      </c>
      <c r="C1113" s="70" t="str">
        <f>HYPERLINK(AA2 &amp; "/hammer/sn_dfccb4502cd9383fcb03b57fca000b1f/rendering/00.obj", "12.2094449997")</f>
        <v>12.2094449997</v>
      </c>
      <c r="D1113" s="20" t="str">
        <f>HYPERLINK(AA2 &amp; "/hammer/sn_dfccb4502cd9383fcb03b57fca000b1f/rendering/01.obj", "36.7923736572")</f>
        <v>36.7923736572</v>
      </c>
      <c r="E1113" s="20" t="str">
        <f>HYPERLINK(AA2 &amp; "/hammer/sn_dfccb4502cd9383fcb03b57fca000b1f/rendering/02.obj", "24.3758144379")</f>
        <v>24.3758144379</v>
      </c>
      <c r="F1113" s="142" t="str">
        <f>HYPERLINK(AA2 &amp; "/hammer/sn_dfccb4502cd9383fcb03b57fca000b1f/rendering/03.obj", "15.1241817474")</f>
        <v>15.1241817474</v>
      </c>
      <c r="G1113" s="233" t="str">
        <f>HYPERLINK(AA2 &amp; "/hammer/sn_dfccb4502cd9383fcb03b57fca000b1f/rendering/04.obj", "3.24999570847")</f>
        <v>3.24999570847</v>
      </c>
      <c r="H1113" s="125" t="str">
        <f>HYPERLINK(AA2 &amp; "/hammer/sn_dfccb4502cd9383fcb03b57fca000b1f/rendering/05.obj", "3.14211988449")</f>
        <v>3.14211988449</v>
      </c>
      <c r="I1113" s="228" t="str">
        <f>HYPERLINK(AA2 &amp; "/hammer/sn_dfccb4502cd9383fcb03b57fca000b1f/rendering/06.obj", "5.07550764084")</f>
        <v>5.07550764084</v>
      </c>
      <c r="J1113" s="20" t="str">
        <f>HYPERLINK(AA2 &amp; "/hammer/sn_dfccb4502cd9383fcb03b57fca000b1f/rendering/07.obj", "2.13559365273")</f>
        <v>2.13559365273</v>
      </c>
      <c r="K1113" s="110" t="str">
        <f>HYPERLINK(AA2 &amp; "/hammer/sn_dfccb4502cd9383fcb03b57fca000b1f/rendering/08.obj", "9.77621841431")</f>
        <v>9.77621841431</v>
      </c>
      <c r="L1113" s="224" t="str">
        <f>HYPERLINK(AA2 &amp; "/hammer/sn_dfccb4502cd9383fcb03b57fca000b1f/rendering/09.obj", "3.18247437477")</f>
        <v>3.18247437477</v>
      </c>
      <c r="M1113" s="22" t="str">
        <f>HYPERLINK(AA2 &amp; "/hammer/sn_dfccb4502cd9383fcb03b57fca000b1f/rendering/10.obj", "5.19389867783")</f>
        <v>5.19389867783</v>
      </c>
      <c r="N1113" s="186" t="str">
        <f>HYPERLINK(AA2 &amp; "/hammer/sn_dfccb4502cd9383fcb03b57fca000b1f/rendering/11.obj", "4.31426906586")</f>
        <v>4.31426906586</v>
      </c>
      <c r="O1113" s="164" t="str">
        <f>HYPERLINK(AA2 &amp; "/hammer/sn_dfccb4502cd9383fcb03b57fca000b1f/rendering/12.obj", "3.96642184258")</f>
        <v>3.96642184258</v>
      </c>
      <c r="P1113" s="208" t="str">
        <f>HYPERLINK(AA2 &amp; "/hammer/sn_dfccb4502cd9383fcb03b57fca000b1f/rendering/13.obj", "2.56028175354")</f>
        <v>2.56028175354</v>
      </c>
      <c r="Q1113" s="247" t="str">
        <f>HYPERLINK(AA2 &amp; "/hammer/sn_dfccb4502cd9383fcb03b57fca000b1f/rendering/14.obj", "2.65175652504")</f>
        <v>2.65175652504</v>
      </c>
      <c r="R1113" s="20" t="str">
        <f>HYPERLINK(AA2 &amp; "/hammer/sn_dfccb4502cd9383fcb03b57fca000b1f/rendering/15.obj", "23.094909668")</f>
        <v>23.094909668</v>
      </c>
      <c r="S1113" s="74" t="str">
        <f>HYPERLINK(AA2 &amp; "/hammer/sn_dfccb4502cd9383fcb03b57fca000b1f/rendering/16.obj", "10.6844415665")</f>
        <v>10.6844415665</v>
      </c>
      <c r="T1113" s="223" t="str">
        <f>HYPERLINK(AA2 &amp; "/hammer/sn_dfccb4502cd9383fcb03b57fca000b1f/rendering/17.obj", "4.77151250839")</f>
        <v>4.77151250839</v>
      </c>
      <c r="U1113" s="103" t="str">
        <f>HYPERLINK(AA2 &amp; "/hammer/sn_dfccb4502cd9383fcb03b57fca000b1f/rendering/18.obj", "14.367732048")</f>
        <v>14.367732048</v>
      </c>
      <c r="V1113" s="20" t="str">
        <f>HYPERLINK(AA2 &amp; "/hammer/sn_dfccb4502cd9383fcb03b57fca000b1f/rendering/19.obj", "30.2012329102")</f>
        <v>30.2012329102</v>
      </c>
      <c r="W1113" s="12" t="s">
        <v>30</v>
      </c>
      <c r="X1113" s="13">
        <v>10.84350905418396</v>
      </c>
      <c r="Y1113" s="13">
        <v>9.9856166120471119</v>
      </c>
      <c r="Z1113" s="20">
        <v>0.92088424163708971</v>
      </c>
    </row>
    <row r="1114" spans="1:26" x14ac:dyDescent="0.2">
      <c r="A1114" s="1">
        <v>1112</v>
      </c>
      <c r="B1114" s="2" t="s">
        <v>255</v>
      </c>
      <c r="C1114" s="67" t="str">
        <f>HYPERLINK(AB2 &amp; "/hammer/sn_dfccb4502cd9383fcb03b57fca000b1f/rendering/00.obj", "7.19969421387")</f>
        <v>7.19969421387</v>
      </c>
      <c r="D1114" s="138" t="str">
        <f>HYPERLINK(AB2 &amp; "/hammer/sn_dfccb4502cd9383fcb03b57fca000b1f/rendering/01.obj", "10.6223535156")</f>
        <v>10.6223535156</v>
      </c>
      <c r="E1114" s="37" t="str">
        <f>HYPERLINK(AB2 &amp; "/hammer/sn_dfccb4502cd9383fcb03b57fca000b1f/rendering/02.obj", "9.3216394043")</f>
        <v>9.3216394043</v>
      </c>
      <c r="F1114" s="70" t="str">
        <f>HYPERLINK(AB2 &amp; "/hammer/sn_dfccb4502cd9383fcb03b57fca000b1f/rendering/03.obj", "6.93219787598")</f>
        <v>6.93219787598</v>
      </c>
      <c r="G1114" s="72" t="str">
        <f>HYPERLINK(AB2 &amp; "/hammer/sn_dfccb4502cd9383fcb03b57fca000b1f/rendering/04.obj", "7.6750402832")</f>
        <v>7.6750402832</v>
      </c>
      <c r="H1114" s="67" t="str">
        <f>HYPERLINK(AB2 &amp; "/hammer/sn_dfccb4502cd9383fcb03b57fca000b1f/rendering/05.obj", "7.19671203613")</f>
        <v>7.19671203613</v>
      </c>
      <c r="I1114" s="70" t="str">
        <f>HYPERLINK(AB2 &amp; "/hammer/sn_dfccb4502cd9383fcb03b57fca000b1f/rendering/06.obj", "6.93390869141")</f>
        <v>6.93390869141</v>
      </c>
      <c r="J1114" s="36" t="str">
        <f>HYPERLINK(AB2 &amp; "/hammer/sn_dfccb4502cd9383fcb03b57fca000b1f/rendering/07.obj", "6.221796875")</f>
        <v>6.221796875</v>
      </c>
      <c r="K1114" s="41" t="str">
        <f>HYPERLINK(AB2 &amp; "/hammer/sn_dfccb4502cd9383fcb03b57fca000b1f/rendering/08.obj", "8.48505371094")</f>
        <v>8.48505371094</v>
      </c>
      <c r="L1114" s="17" t="str">
        <f>HYPERLINK(AB2 &amp; "/hammer/sn_dfccb4502cd9383fcb03b57fca000b1f/rendering/09.obj", "7.77739746094")</f>
        <v>7.77739746094</v>
      </c>
      <c r="M1114" s="5" t="str">
        <f>HYPERLINK(AB2 &amp; "/hammer/sn_dfccb4502cd9383fcb03b57fca000b1f/rendering/10.obj", "8.5508215332")</f>
        <v>8.5508215332</v>
      </c>
      <c r="N1114" s="74" t="str">
        <f>HYPERLINK(AB2 &amp; "/hammer/sn_dfccb4502cd9383fcb03b57fca000b1f/rendering/11.obj", "7.81993896484")</f>
        <v>7.81993896484</v>
      </c>
      <c r="O1114" s="65" t="str">
        <f>HYPERLINK(AB2 &amp; "/hammer/sn_dfccb4502cd9383fcb03b57fca000b1f/rendering/12.obj", "6.89076293945")</f>
        <v>6.89076293945</v>
      </c>
      <c r="P1114" s="24" t="str">
        <f>HYPERLINK(AB2 &amp; "/hammer/sn_dfccb4502cd9383fcb03b57fca000b1f/rendering/13.obj", "6.59580322266")</f>
        <v>6.59580322266</v>
      </c>
      <c r="Q1114" s="6" t="str">
        <f>HYPERLINK(AB2 &amp; "/hammer/sn_dfccb4502cd9383fcb03b57fca000b1f/rendering/14.obj", "8.31130065918")</f>
        <v>8.31130065918</v>
      </c>
      <c r="R1114" s="49" t="str">
        <f>HYPERLINK(AB2 &amp; "/hammer/sn_dfccb4502cd9383fcb03b57fca000b1f/rendering/15.obj", "9.59117553711")</f>
        <v>9.59117553711</v>
      </c>
      <c r="S1114" s="42" t="str">
        <f>HYPERLINK(AB2 &amp; "/hammer/sn_dfccb4502cd9383fcb03b57fca000b1f/rendering/16.obj", "6.84606323242")</f>
        <v>6.84606323242</v>
      </c>
      <c r="T1114" s="37" t="str">
        <f>HYPERLINK(AB2 &amp; "/hammer/sn_dfccb4502cd9383fcb03b57fca000b1f/rendering/17.obj", "9.32058288574")</f>
        <v>9.32058288574</v>
      </c>
      <c r="U1114" s="25" t="str">
        <f>HYPERLINK(AB2 &amp; "/hammer/sn_dfccb4502cd9383fcb03b57fca000b1f/rendering/18.obj", "7.84249633789")</f>
        <v>7.84249633789</v>
      </c>
      <c r="V1114" s="39" t="str">
        <f>HYPERLINK(AB2 &amp; "/hammer/sn_dfccb4502cd9383fcb03b57fca000b1f/rendering/19.obj", "8.62547729492")</f>
        <v>8.62547729492</v>
      </c>
      <c r="W1114" s="12" t="s">
        <v>31</v>
      </c>
      <c r="X1114" s="13">
        <v>7.9380108337402344</v>
      </c>
      <c r="Y1114" s="13">
        <v>1.1251633350274379</v>
      </c>
      <c r="Z1114" s="8">
        <v>0.1417437389030726</v>
      </c>
    </row>
    <row r="1115" spans="1:26" x14ac:dyDescent="0.2">
      <c r="A1115" s="1">
        <v>1113</v>
      </c>
      <c r="B1115" s="2" t="s">
        <v>255</v>
      </c>
      <c r="C1115" s="50" t="str">
        <f>HYPERLINK(AB2 &amp; "/hammer/sn_dfccb4502cd9383fcb03b57fca000b1f/rendering/00.obj", "2.1318860054")</f>
        <v>2.1318860054</v>
      </c>
      <c r="D1115" s="121" t="str">
        <f>HYPERLINK(AB2 &amp; "/hammer/sn_dfccb4502cd9383fcb03b57fca000b1f/rendering/01.obj", "3.6023645401")</f>
        <v>3.6023645401</v>
      </c>
      <c r="E1115" s="32" t="str">
        <f>HYPERLINK(AB2 &amp; "/hammer/sn_dfccb4502cd9383fcb03b57fca000b1f/rendering/02.obj", "2.38374495506")</f>
        <v>2.38374495506</v>
      </c>
      <c r="F1115" s="152" t="str">
        <f>HYPERLINK(AB2 &amp; "/hammer/sn_dfccb4502cd9383fcb03b57fca000b1f/rendering/03.obj", "3.74880170822")</f>
        <v>3.74880170822</v>
      </c>
      <c r="G1115" s="50" t="str">
        <f>HYPERLINK(AB2 &amp; "/hammer/sn_dfccb4502cd9383fcb03b57fca000b1f/rendering/04.obj", "2.1362555027")</f>
        <v>2.1362555027</v>
      </c>
      <c r="H1115" s="56" t="str">
        <f>HYPERLINK(AB2 &amp; "/hammer/sn_dfccb4502cd9383fcb03b57fca000b1f/rendering/05.obj", "1.83847522736")</f>
        <v>1.83847522736</v>
      </c>
      <c r="I1115" s="171" t="str">
        <f>HYPERLINK(AB2 &amp; "/hammer/sn_dfccb4502cd9383fcb03b57fca000b1f/rendering/06.obj", "1.85022091866")</f>
        <v>1.85022091866</v>
      </c>
      <c r="J1115" s="134" t="str">
        <f>HYPERLINK(AB2 &amp; "/hammer/sn_dfccb4502cd9383fcb03b57fca000b1f/rendering/07.obj", "2.18717360497")</f>
        <v>2.18717360497</v>
      </c>
      <c r="K1115" s="10" t="str">
        <f>HYPERLINK(AB2 &amp; "/hammer/sn_dfccb4502cd9383fcb03b57fca000b1f/rendering/08.obj", "2.8071668148")</f>
        <v>2.8071668148</v>
      </c>
      <c r="L1115" s="84" t="str">
        <f>HYPERLINK(AB2 &amp; "/hammer/sn_dfccb4502cd9383fcb03b57fca000b1f/rendering/09.obj", "2.27424120903")</f>
        <v>2.27424120903</v>
      </c>
      <c r="M1115" s="8" t="str">
        <f>HYPERLINK(AB2 &amp; "/hammer/sn_dfccb4502cd9383fcb03b57fca000b1f/rendering/10.obj", "2.27997851372")</f>
        <v>2.27997851372</v>
      </c>
      <c r="N1115" s="76" t="str">
        <f>HYPERLINK(AB2 &amp; "/hammer/sn_dfccb4502cd9383fcb03b57fca000b1f/rendering/11.obj", "2.17437005043")</f>
        <v>2.17437005043</v>
      </c>
      <c r="O1115" s="38" t="str">
        <f>HYPERLINK(AB2 &amp; "/hammer/sn_dfccb4502cd9383fcb03b57fca000b1f/rendering/12.obj", "2.89912295341")</f>
        <v>2.89912295341</v>
      </c>
      <c r="P1115" s="88" t="str">
        <f>HYPERLINK(AB2 &amp; "/hammer/sn_dfccb4502cd9383fcb03b57fca000b1f/rendering/13.obj", "2.12632107735")</f>
        <v>2.12632107735</v>
      </c>
      <c r="Q1115" s="107" t="str">
        <f>HYPERLINK(AB2 &amp; "/hammer/sn_dfccb4502cd9383fcb03b57fca000b1f/rendering/14.obj", "2.44485092163")</f>
        <v>2.44485092163</v>
      </c>
      <c r="R1115" s="173" t="str">
        <f>HYPERLINK(AB2 &amp; "/hammer/sn_dfccb4502cd9383fcb03b57fca000b1f/rendering/15.obj", "4.49476718903")</f>
        <v>4.49476718903</v>
      </c>
      <c r="S1115" s="23" t="str">
        <f>HYPERLINK(AB2 &amp; "/hammer/sn_dfccb4502cd9383fcb03b57fca000b1f/rendering/16.obj", "2.76856160164")</f>
        <v>2.76856160164</v>
      </c>
      <c r="T1115" s="135" t="str">
        <f>HYPERLINK(AB2 &amp; "/hammer/sn_dfccb4502cd9383fcb03b57fca000b1f/rendering/17.obj", "3.34187984467")</f>
        <v>3.34187984467</v>
      </c>
      <c r="U1115" s="64" t="str">
        <f>HYPERLINK(AB2 &amp; "/hammer/sn_dfccb4502cd9383fcb03b57fca000b1f/rendering/18.obj", "2.22623062134")</f>
        <v>2.22623062134</v>
      </c>
      <c r="V1115" s="138" t="str">
        <f>HYPERLINK(AB2 &amp; "/hammer/sn_dfccb4502cd9383fcb03b57fca000b1f/rendering/19.obj", "3.5633354187")</f>
        <v>3.5633354187</v>
      </c>
      <c r="W1115" s="12" t="s">
        <v>32</v>
      </c>
      <c r="X1115" s="13">
        <v>2.66398743391037</v>
      </c>
      <c r="Y1115" s="13">
        <v>0.7086343020046727</v>
      </c>
      <c r="Z1115" s="119">
        <v>0.26600512186519382</v>
      </c>
    </row>
    <row r="1116" spans="1:26" x14ac:dyDescent="0.2">
      <c r="A1116" s="1">
        <v>1114</v>
      </c>
      <c r="B1116" s="2" t="s">
        <v>255</v>
      </c>
      <c r="C1116" s="13" t="str">
        <f>HYPERLINK(AC2 &amp; "/hammer/sn_dfccb4502cd9383fcb03b57fca000b1f/rendering/00.xyz", "0.0")</f>
        <v>0.0</v>
      </c>
      <c r="D1116" s="13" t="str">
        <f>HYPERLINK(AC2 &amp; "/hammer/sn_dfccb4502cd9383fcb03b57fca000b1f/rendering/01.xyz", "0.0")</f>
        <v>0.0</v>
      </c>
      <c r="E1116" s="13" t="str">
        <f>HYPERLINK(AC2 &amp; "/hammer/sn_dfccb4502cd9383fcb03b57fca000b1f/rendering/02.xyz", "0.0")</f>
        <v>0.0</v>
      </c>
      <c r="F1116" s="13" t="str">
        <f>HYPERLINK(AC2 &amp; "/hammer/sn_dfccb4502cd9383fcb03b57fca000b1f/rendering/03.xyz", "0.0")</f>
        <v>0.0</v>
      </c>
      <c r="G1116" s="13" t="str">
        <f>HYPERLINK(AC2 &amp; "/hammer/sn_dfccb4502cd9383fcb03b57fca000b1f/rendering/04.xyz", "0.0")</f>
        <v>0.0</v>
      </c>
      <c r="H1116" s="13" t="str">
        <f>HYPERLINK(AC2 &amp; "/hammer/sn_dfccb4502cd9383fcb03b57fca000b1f/rendering/05.xyz", "0.0")</f>
        <v>0.0</v>
      </c>
      <c r="I1116" s="13" t="str">
        <f>HYPERLINK(AC2 &amp; "/hammer/sn_dfccb4502cd9383fcb03b57fca000b1f/rendering/06.xyz", "0.0")</f>
        <v>0.0</v>
      </c>
      <c r="J1116" s="13" t="str">
        <f>HYPERLINK(AC2 &amp; "/hammer/sn_dfccb4502cd9383fcb03b57fca000b1f/rendering/07.xyz", "0.0")</f>
        <v>0.0</v>
      </c>
      <c r="K1116" s="13" t="str">
        <f>HYPERLINK(AC2 &amp; "/hammer/sn_dfccb4502cd9383fcb03b57fca000b1f/rendering/08.xyz", "0.0")</f>
        <v>0.0</v>
      </c>
      <c r="L1116" s="13" t="str">
        <f>HYPERLINK(AC2 &amp; "/hammer/sn_dfccb4502cd9383fcb03b57fca000b1f/rendering/09.xyz", "0.0")</f>
        <v>0.0</v>
      </c>
      <c r="M1116" s="13" t="str">
        <f>HYPERLINK(AC2 &amp; "/hammer/sn_dfccb4502cd9383fcb03b57fca000b1f/rendering/10.xyz", "0.0")</f>
        <v>0.0</v>
      </c>
      <c r="N1116" s="13" t="str">
        <f>HYPERLINK(AC2 &amp; "/hammer/sn_dfccb4502cd9383fcb03b57fca000b1f/rendering/11.xyz", "0.0")</f>
        <v>0.0</v>
      </c>
      <c r="O1116" s="13" t="str">
        <f>HYPERLINK(AC2 &amp; "/hammer/sn_dfccb4502cd9383fcb03b57fca000b1f/rendering/12.xyz", "0.0")</f>
        <v>0.0</v>
      </c>
      <c r="P1116" s="13" t="str">
        <f>HYPERLINK(AC2 &amp; "/hammer/sn_dfccb4502cd9383fcb03b57fca000b1f/rendering/13.xyz", "0.0")</f>
        <v>0.0</v>
      </c>
      <c r="Q1116" s="13" t="str">
        <f>HYPERLINK(AC2 &amp; "/hammer/sn_dfccb4502cd9383fcb03b57fca000b1f/rendering/14.xyz", "0.0")</f>
        <v>0.0</v>
      </c>
      <c r="R1116" s="13" t="str">
        <f>HYPERLINK(AC2 &amp; "/hammer/sn_dfccb4502cd9383fcb03b57fca000b1f/rendering/15.xyz", "0.0")</f>
        <v>0.0</v>
      </c>
      <c r="S1116" s="13" t="str">
        <f>HYPERLINK(AC2 &amp; "/hammer/sn_dfccb4502cd9383fcb03b57fca000b1f/rendering/16.xyz", "0.0")</f>
        <v>0.0</v>
      </c>
      <c r="T1116" s="13" t="str">
        <f>HYPERLINK(AC2 &amp; "/hammer/sn_dfccb4502cd9383fcb03b57fca000b1f/rendering/17.xyz", "0.0")</f>
        <v>0.0</v>
      </c>
      <c r="U1116" s="13" t="str">
        <f>HYPERLINK(AC2 &amp; "/hammer/sn_dfccb4502cd9383fcb03b57fca000b1f/rendering/18.xyz", "0.0")</f>
        <v>0.0</v>
      </c>
      <c r="V1116" s="13" t="str">
        <f>HYPERLINK(AC2 &amp; "/hammer/sn_dfccb4502cd9383fcb03b57fca000b1f/rendering/19.xyz", "0.0")</f>
        <v>0.0</v>
      </c>
      <c r="W1116" s="12" t="s">
        <v>33</v>
      </c>
      <c r="X1116" s="13">
        <v>0</v>
      </c>
      <c r="Y1116" s="13">
        <v>0</v>
      </c>
      <c r="Z1116" s="13">
        <v>0</v>
      </c>
    </row>
    <row r="1117" spans="1:26" x14ac:dyDescent="0.2">
      <c r="A1117" s="1">
        <v>1115</v>
      </c>
      <c r="B1117" s="2" t="s">
        <v>256</v>
      </c>
      <c r="C1117" s="66" t="str">
        <f>HYPERLINK(AA2 &amp; "/hammer/sn_e023832c008af2e9607566378b3d8827/rendering/00.obj", "6.4422442627")</f>
        <v>6.4422442627</v>
      </c>
      <c r="D1117" s="20" t="str">
        <f>HYPERLINK(AA2 &amp; "/hammer/sn_e023832c008af2e9607566378b3d8827/rendering/01.obj", "20.4930761719")</f>
        <v>20.4930761719</v>
      </c>
      <c r="E1117" s="85" t="str">
        <f>HYPERLINK(AA2 &amp; "/hammer/sn_e023832c008af2e9607566378b3d8827/rendering/02.obj", "5.40730895996")</f>
        <v>5.40730895996</v>
      </c>
      <c r="F1117" s="59" t="str">
        <f>HYPERLINK(AA2 &amp; "/hammer/sn_e023832c008af2e9607566378b3d8827/rendering/03.obj", "5.83418334961")</f>
        <v>5.83418334961</v>
      </c>
      <c r="G1117" s="119" t="str">
        <f>HYPERLINK(AA2 &amp; "/hammer/sn_e023832c008af2e9607566378b3d8827/rendering/04.obj", "5.6430291748")</f>
        <v>5.6430291748</v>
      </c>
      <c r="H1117" s="37" t="str">
        <f>HYPERLINK(AA2 &amp; "/hammer/sn_e023832c008af2e9607566378b3d8827/rendering/05.obj", "6.35107299805")</f>
        <v>6.35107299805</v>
      </c>
      <c r="I1117" s="8" t="str">
        <f>HYPERLINK(AA2 &amp; "/hammer/sn_e023832c008af2e9607566378b3d8827/rendering/06.obj", "6.60013061523")</f>
        <v>6.60013061523</v>
      </c>
      <c r="J1117" s="82" t="str">
        <f>HYPERLINK(AA2 &amp; "/hammer/sn_e023832c008af2e9607566378b3d8827/rendering/07.obj", "6.11954406738")</f>
        <v>6.11954406738</v>
      </c>
      <c r="K1117" s="64" t="str">
        <f>HYPERLINK(AA2 &amp; "/hammer/sn_e023832c008af2e9607566378b3d8827/rendering/08.obj", "6.4112902832")</f>
        <v>6.4112902832</v>
      </c>
      <c r="L1117" s="20" t="str">
        <f>HYPERLINK(AA2 &amp; "/hammer/sn_e023832c008af2e9607566378b3d8827/rendering/09.obj", "17.9339074707")</f>
        <v>17.9339074707</v>
      </c>
      <c r="M1117" s="185" t="str">
        <f>HYPERLINK(AA2 &amp; "/hammer/sn_e023832c008af2e9607566378b3d8827/rendering/10.obj", "5.06813018799")</f>
        <v>5.06813018799</v>
      </c>
      <c r="N1117" s="85" t="str">
        <f>HYPERLINK(AA2 &amp; "/hammer/sn_e023832c008af2e9607566378b3d8827/rendering/11.obj", "5.39827392578")</f>
        <v>5.39827392578</v>
      </c>
      <c r="O1117" s="135" t="str">
        <f>HYPERLINK(AA2 &amp; "/hammer/sn_e023832c008af2e9607566378b3d8827/rendering/12.obj", "5.71974975586")</f>
        <v>5.71974975586</v>
      </c>
      <c r="P1117" s="144" t="str">
        <f>HYPERLINK(AA2 &amp; "/hammer/sn_e023832c008af2e9607566378b3d8827/rendering/13.obj", "11.566315918")</f>
        <v>11.566315918</v>
      </c>
      <c r="Q1117" s="98" t="str">
        <f>HYPERLINK(AA2 &amp; "/hammer/sn_e023832c008af2e9607566378b3d8827/rendering/14.obj", "9.47026123047")</f>
        <v>9.47026123047</v>
      </c>
      <c r="R1117" s="89" t="str">
        <f>HYPERLINK(AA2 &amp; "/hammer/sn_e023832c008af2e9607566378b3d8827/rendering/15.obj", "5.69056091309")</f>
        <v>5.69056091309</v>
      </c>
      <c r="S1117" s="119" t="str">
        <f>HYPERLINK(AA2 &amp; "/hammer/sn_e023832c008af2e9607566378b3d8827/rendering/16.obj", "5.64973022461")</f>
        <v>5.64973022461</v>
      </c>
      <c r="T1117" s="83" t="str">
        <f>HYPERLINK(AA2 &amp; "/hammer/sn_e023832c008af2e9607566378b3d8827/rendering/17.obj", "6.52701416016")</f>
        <v>6.52701416016</v>
      </c>
      <c r="U1117" s="86" t="str">
        <f>HYPERLINK(AA2 &amp; "/hammer/sn_e023832c008af2e9607566378b3d8827/rendering/18.obj", "5.63120544434")</f>
        <v>5.63120544434</v>
      </c>
      <c r="V1117" s="59" t="str">
        <f>HYPERLINK(AA2 &amp; "/hammer/sn_e023832c008af2e9607566378b3d8827/rendering/19.obj", "5.83880187988")</f>
        <v>5.83880187988</v>
      </c>
      <c r="W1117" s="12" t="s">
        <v>29</v>
      </c>
      <c r="X1117" s="13">
        <v>7.689791549682619</v>
      </c>
      <c r="Y1117" s="13">
        <v>4.1335330025185746</v>
      </c>
      <c r="Z1117" s="150">
        <v>0.53753511728015291</v>
      </c>
    </row>
    <row r="1118" spans="1:26" x14ac:dyDescent="0.2">
      <c r="A1118" s="1">
        <v>1116</v>
      </c>
      <c r="B1118" s="2" t="s">
        <v>256</v>
      </c>
      <c r="C1118" s="257" t="str">
        <f>HYPERLINK(AA2 &amp; "/hammer/sn_e023832c008af2e9607566378b3d8827/rendering/00.obj", "2.04759383202")</f>
        <v>2.04759383202</v>
      </c>
      <c r="D1118" s="20" t="str">
        <f>HYPERLINK(AA2 &amp; "/hammer/sn_e023832c008af2e9607566378b3d8827/rendering/01.obj", "52.1786956787")</f>
        <v>52.1786956787</v>
      </c>
      <c r="E1118" s="154" t="str">
        <f>HYPERLINK(AA2 &amp; "/hammer/sn_e023832c008af2e9607566378b3d8827/rendering/02.obj", "1.82496571541")</f>
        <v>1.82496571541</v>
      </c>
      <c r="F1118" s="234" t="str">
        <f>HYPERLINK(AA2 &amp; "/hammer/sn_e023832c008af2e9607566378b3d8827/rendering/03.obj", "1.84119260311")</f>
        <v>1.84119260311</v>
      </c>
      <c r="G1118" s="255" t="str">
        <f>HYPERLINK(AA2 &amp; "/hammer/sn_e023832c008af2e9607566378b3d8827/rendering/04.obj", "1.96399891376")</f>
        <v>1.96399891376</v>
      </c>
      <c r="H1118" s="178" t="str">
        <f>HYPERLINK(AA2 &amp; "/hammer/sn_e023832c008af2e9607566378b3d8827/rendering/05.obj", "2.50776004791")</f>
        <v>2.50776004791</v>
      </c>
      <c r="I1118" s="217" t="str">
        <f>HYPERLINK(AA2 &amp; "/hammer/sn_e023832c008af2e9607566378b3d8827/rendering/06.obj", "2.61936545372")</f>
        <v>2.61936545372</v>
      </c>
      <c r="J1118" s="155" t="str">
        <f>HYPERLINK(AA2 &amp; "/hammer/sn_e023832c008af2e9607566378b3d8827/rendering/07.obj", "2.30185699463")</f>
        <v>2.30185699463</v>
      </c>
      <c r="K1118" s="162" t="str">
        <f>HYPERLINK(AA2 &amp; "/hammer/sn_e023832c008af2e9607566378b3d8827/rendering/08.obj", "4.08791780472")</f>
        <v>4.08791780472</v>
      </c>
      <c r="L1118" s="20" t="str">
        <f>HYPERLINK(AA2 &amp; "/hammer/sn_e023832c008af2e9607566378b3d8827/rendering/09.obj", "28.9421463013")</f>
        <v>28.9421463013</v>
      </c>
      <c r="M1118" s="242" t="str">
        <f>HYPERLINK(AA2 &amp; "/hammer/sn_e023832c008af2e9607566378b3d8827/rendering/10.obj", "1.90536975861")</f>
        <v>1.90536975861</v>
      </c>
      <c r="N1118" s="222" t="str">
        <f>HYPERLINK(AA2 &amp; "/hammer/sn_e023832c008af2e9607566378b3d8827/rendering/11.obj", "1.78968203068")</f>
        <v>1.78968203068</v>
      </c>
      <c r="O1118" s="211" t="str">
        <f>HYPERLINK(AA2 &amp; "/hammer/sn_e023832c008af2e9607566378b3d8827/rendering/12.obj", "1.66371917725")</f>
        <v>1.66371917725</v>
      </c>
      <c r="P1118" s="20" t="str">
        <f>HYPERLINK(AA2 &amp; "/hammer/sn_e023832c008af2e9607566378b3d8827/rendering/13.obj", "12.8298578262")</f>
        <v>12.8298578262</v>
      </c>
      <c r="Q1118" s="20" t="str">
        <f>HYPERLINK(AA2 &amp; "/hammer/sn_e023832c008af2e9607566378b3d8827/rendering/14.obj", "13.1630172729")</f>
        <v>13.1630172729</v>
      </c>
      <c r="R1118" s="199" t="str">
        <f>HYPERLINK(AA2 &amp; "/hammer/sn_e023832c008af2e9607566378b3d8827/rendering/15.obj", "1.52156507969")</f>
        <v>1.52156507969</v>
      </c>
      <c r="S1118" s="238" t="str">
        <f>HYPERLINK(AA2 &amp; "/hammer/sn_e023832c008af2e9607566378b3d8827/rendering/16.obj", "2.0979745388")</f>
        <v>2.0979745388</v>
      </c>
      <c r="T1118" s="188" t="str">
        <f>HYPERLINK(AA2 &amp; "/hammer/sn_e023832c008af2e9607566378b3d8827/rendering/17.obj", "2.02196264267")</f>
        <v>2.02196264267</v>
      </c>
      <c r="U1118" s="224" t="str">
        <f>HYPERLINK(AA2 &amp; "/hammer/sn_e023832c008af2e9607566378b3d8827/rendering/18.obj", "2.07784461975")</f>
        <v>2.07784461975</v>
      </c>
      <c r="V1118" s="21" t="str">
        <f>HYPERLINK(AA2 &amp; "/hammer/sn_e023832c008af2e9607566378b3d8827/rendering/19.obj", "3.1770260334")</f>
        <v>3.1770260334</v>
      </c>
      <c r="W1118" s="12" t="s">
        <v>30</v>
      </c>
      <c r="X1118" s="13">
        <v>7.1281756162643433</v>
      </c>
      <c r="Y1118" s="13">
        <v>12.17921158058277</v>
      </c>
      <c r="Z1118" s="20">
        <v>1.7086015042605689</v>
      </c>
    </row>
    <row r="1119" spans="1:26" x14ac:dyDescent="0.2">
      <c r="A1119" s="1">
        <v>1117</v>
      </c>
      <c r="B1119" s="2" t="s">
        <v>256</v>
      </c>
      <c r="C1119" s="6" t="str">
        <f>HYPERLINK(AB2 &amp; "/hammer/sn_e023832c008af2e9607566378b3d8827/rendering/00.obj", "4.50582580566")</f>
        <v>4.50582580566</v>
      </c>
      <c r="D1119" s="71" t="str">
        <f>HYPERLINK(AB2 &amp; "/hammer/sn_e023832c008af2e9607566378b3d8827/rendering/01.obj", "5.27940673828")</f>
        <v>5.27940673828</v>
      </c>
      <c r="E1119" s="8" t="str">
        <f>HYPERLINK(AB2 &amp; "/hammer/sn_e023832c008af2e9607566378b3d8827/rendering/02.obj", "4.04933197021")</f>
        <v>4.04933197021</v>
      </c>
      <c r="F1119" s="74" t="str">
        <f>HYPERLINK(AB2 &amp; "/hammer/sn_e023832c008af2e9607566378b3d8827/rendering/03.obj", "4.64731262207")</f>
        <v>4.64731262207</v>
      </c>
      <c r="G1119" s="73" t="str">
        <f>HYPERLINK(AB2 &amp; "/hammer/sn_e023832c008af2e9607566378b3d8827/rendering/04.obj", "4.89148254395")</f>
        <v>4.89148254395</v>
      </c>
      <c r="H1119" s="6" t="str">
        <f>HYPERLINK(AB2 &amp; "/hammer/sn_e023832c008af2e9607566378b3d8827/rendering/05.obj", "4.49857910156")</f>
        <v>4.49857910156</v>
      </c>
      <c r="I1119" s="28" t="str">
        <f>HYPERLINK(AB2 &amp; "/hammer/sn_e023832c008af2e9607566378b3d8827/rendering/06.obj", "5.24552246094")</f>
        <v>5.24552246094</v>
      </c>
      <c r="J1119" s="78" t="str">
        <f>HYPERLINK(AB2 &amp; "/hammer/sn_e023832c008af2e9607566378b3d8827/rendering/07.obj", "5.00975830078")</f>
        <v>5.00975830078</v>
      </c>
      <c r="K1119" s="5" t="str">
        <f>HYPERLINK(AB2 &amp; "/hammer/sn_e023832c008af2e9607566378b3d8827/rendering/08.obj", "5.08365997314")</f>
        <v>5.08365997314</v>
      </c>
      <c r="L1119" s="91" t="str">
        <f>HYPERLINK(AB2 &amp; "/hammer/sn_e023832c008af2e9607566378b3d8827/rendering/09.obj", "4.84226989746")</f>
        <v>4.84226989746</v>
      </c>
      <c r="M1119" s="47" t="str">
        <f>HYPERLINK(AB2 &amp; "/hammer/sn_e023832c008af2e9607566378b3d8827/rendering/10.obj", "4.6769543457")</f>
        <v>4.6769543457</v>
      </c>
      <c r="N1119" s="92" t="str">
        <f>HYPERLINK(AB2 &amp; "/hammer/sn_e023832c008af2e9607566378b3d8827/rendering/11.obj", "4.13907348633")</f>
        <v>4.13907348633</v>
      </c>
      <c r="O1119" s="41" t="str">
        <f>HYPERLINK(AB2 &amp; "/hammer/sn_e023832c008af2e9607566378b3d8827/rendering/12.obj", "5.03120544434")</f>
        <v>5.03120544434</v>
      </c>
      <c r="P1119" s="107" t="str">
        <f>HYPERLINK(AB2 &amp; "/hammer/sn_e023832c008af2e9607566378b3d8827/rendering/13.obj", "4.32804534912")</f>
        <v>4.32804534912</v>
      </c>
      <c r="Q1119" s="66" t="str">
        <f>HYPERLINK(AB2 &amp; "/hammer/sn_e023832c008af2e9607566378b3d8827/rendering/14.obj", "3.96265625")</f>
        <v>3.96265625</v>
      </c>
      <c r="R1119" s="91" t="str">
        <f>HYPERLINK(AB2 &amp; "/hammer/sn_e023832c008af2e9607566378b3d8827/rendering/15.obj", "4.83732421875")</f>
        <v>4.83732421875</v>
      </c>
      <c r="S1119" s="69" t="str">
        <f>HYPERLINK(AB2 &amp; "/hammer/sn_e023832c008af2e9607566378b3d8827/rendering/16.obj", "4.86422943115")</f>
        <v>4.86422943115</v>
      </c>
      <c r="T1119" s="78" t="str">
        <f>HYPERLINK(AB2 &amp; "/hammer/sn_e023832c008af2e9607566378b3d8827/rendering/17.obj", "4.42199249268")</f>
        <v>4.42199249268</v>
      </c>
      <c r="U1119" s="78" t="str">
        <f>HYPERLINK(AB2 &amp; "/hammer/sn_e023832c008af2e9607566378b3d8827/rendering/18.obj", "5.00434753418")</f>
        <v>5.00434753418</v>
      </c>
      <c r="V1119" s="41" t="str">
        <f>HYPERLINK(AB2 &amp; "/hammer/sn_e023832c008af2e9607566378b3d8827/rendering/19.obj", "5.03662567139")</f>
        <v>5.03662567139</v>
      </c>
      <c r="W1119" s="12" t="s">
        <v>31</v>
      </c>
      <c r="X1119" s="13">
        <v>4.7177801818847653</v>
      </c>
      <c r="Y1119" s="13">
        <v>0.37864290506987291</v>
      </c>
      <c r="Z1119" s="51">
        <v>8.0258700166611838E-2</v>
      </c>
    </row>
    <row r="1120" spans="1:26" x14ac:dyDescent="0.2">
      <c r="A1120" s="1">
        <v>1118</v>
      </c>
      <c r="B1120" s="2" t="s">
        <v>256</v>
      </c>
      <c r="C1120" s="63" t="str">
        <f>HYPERLINK(AB2 &amp; "/hammer/sn_e023832c008af2e9607566378b3d8827/rendering/00.obj", "1.58161270618")</f>
        <v>1.58161270618</v>
      </c>
      <c r="D1120" s="124" t="str">
        <f>HYPERLINK(AB2 &amp; "/hammer/sn_e023832c008af2e9607566378b3d8827/rendering/01.obj", "2.48689866066")</f>
        <v>2.48689866066</v>
      </c>
      <c r="E1120" s="120" t="str">
        <f>HYPERLINK(AB2 &amp; "/hammer/sn_e023832c008af2e9607566378b3d8827/rendering/02.obj", "2.1824452877")</f>
        <v>2.1824452877</v>
      </c>
      <c r="F1120" s="34" t="str">
        <f>HYPERLINK(AB2 &amp; "/hammer/sn_e023832c008af2e9607566378b3d8827/rendering/03.obj", "1.71245205402")</f>
        <v>1.71245205402</v>
      </c>
      <c r="G1120" s="60" t="str">
        <f>HYPERLINK(AB2 &amp; "/hammer/sn_e023832c008af2e9607566378b3d8827/rendering/04.obj", "1.70931220055")</f>
        <v>1.70931220055</v>
      </c>
      <c r="H1120" s="41" t="str">
        <f>HYPERLINK(AB2 &amp; "/hammer/sn_e023832c008af2e9607566378b3d8827/rendering/05.obj", "1.67998719215")</f>
        <v>1.67998719215</v>
      </c>
      <c r="I1120" s="68" t="str">
        <f>HYPERLINK(AB2 &amp; "/hammer/sn_e023832c008af2e9607566378b3d8827/rendering/06.obj", "1.72548651695")</f>
        <v>1.72548651695</v>
      </c>
      <c r="J1120" s="48" t="str">
        <f>HYPERLINK(AB2 &amp; "/hammer/sn_e023832c008af2e9607566378b3d8827/rendering/07.obj", "1.75963401794")</f>
        <v>1.75963401794</v>
      </c>
      <c r="K1120" s="13" t="str">
        <f>HYPERLINK(AB2 &amp; "/hammer/sn_e023832c008af2e9607566378b3d8827/rendering/08.obj", "1.79488873482")</f>
        <v>1.79488873482</v>
      </c>
      <c r="L1120" s="33" t="str">
        <f>HYPERLINK(AB2 &amp; "/hammer/sn_e023832c008af2e9607566378b3d8827/rendering/09.obj", "1.9927303791")</f>
        <v>1.9927303791</v>
      </c>
      <c r="M1120" s="34" t="str">
        <f>HYPERLINK(AB2 &amp; "/hammer/sn_e023832c008af2e9607566378b3d8827/rendering/10.obj", "1.71258556843")</f>
        <v>1.71258556843</v>
      </c>
      <c r="N1120" s="73" t="str">
        <f>HYPERLINK(AB2 &amp; "/hammer/sn_e023832c008af2e9607566378b3d8827/rendering/11.obj", "1.86636042595")</f>
        <v>1.86636042595</v>
      </c>
      <c r="O1120" s="74" t="str">
        <f>HYPERLINK(AB2 &amp; "/hammer/sn_e023832c008af2e9607566378b3d8827/rendering/12.obj", "1.77694952488")</f>
        <v>1.77694952488</v>
      </c>
      <c r="P1120" s="27" t="str">
        <f>HYPERLINK(AB2 &amp; "/hammer/sn_e023832c008af2e9607566378b3d8827/rendering/13.obj", "1.92631483078")</f>
        <v>1.92631483078</v>
      </c>
      <c r="Q1120" s="70" t="str">
        <f>HYPERLINK(AB2 &amp; "/hammer/sn_e023832c008af2e9607566378b3d8827/rendering/14.obj", "1.57337725163")</f>
        <v>1.57337725163</v>
      </c>
      <c r="R1120" s="23" t="str">
        <f>HYPERLINK(AB2 &amp; "/hammer/sn_e023832c008af2e9607566378b3d8827/rendering/15.obj", "1.730073452")</f>
        <v>1.730073452</v>
      </c>
      <c r="S1120" s="48" t="str">
        <f>HYPERLINK(AB2 &amp; "/hammer/sn_e023832c008af2e9607566378b3d8827/rendering/16.obj", "1.8409627676")</f>
        <v>1.8409627676</v>
      </c>
      <c r="T1120" s="39" t="str">
        <f>HYPERLINK(AB2 &amp; "/hammer/sn_e023832c008af2e9607566378b3d8827/rendering/17.obj", "1.64377224445")</f>
        <v>1.64377224445</v>
      </c>
      <c r="U1120" s="84" t="str">
        <f>HYPERLINK(AB2 &amp; "/hammer/sn_e023832c008af2e9607566378b3d8827/rendering/18.obj", "1.53616559505")</f>
        <v>1.53616559505</v>
      </c>
      <c r="V1120" s="17" t="str">
        <f>HYPERLINK(AB2 &amp; "/hammer/sn_e023832c008af2e9607566378b3d8827/rendering/19.obj", "1.76569163799")</f>
        <v>1.76569163799</v>
      </c>
      <c r="W1120" s="12" t="s">
        <v>32</v>
      </c>
      <c r="X1120" s="13">
        <v>1.7998850524425509</v>
      </c>
      <c r="Y1120" s="13">
        <v>0.21471862546767251</v>
      </c>
      <c r="Z1120" s="63">
        <v>0.11929574345666499</v>
      </c>
    </row>
    <row r="1121" spans="1:26" x14ac:dyDescent="0.2">
      <c r="A1121" s="1">
        <v>1119</v>
      </c>
      <c r="B1121" s="2" t="s">
        <v>256</v>
      </c>
      <c r="C1121" s="13" t="str">
        <f>HYPERLINK(AC2 &amp; "/hammer/sn_e023832c008af2e9607566378b3d8827/rendering/00.xyz", "0.0")</f>
        <v>0.0</v>
      </c>
      <c r="D1121" s="13" t="str">
        <f>HYPERLINK(AC2 &amp; "/hammer/sn_e023832c008af2e9607566378b3d8827/rendering/01.xyz", "0.0")</f>
        <v>0.0</v>
      </c>
      <c r="E1121" s="13" t="str">
        <f>HYPERLINK(AC2 &amp; "/hammer/sn_e023832c008af2e9607566378b3d8827/rendering/02.xyz", "0.0")</f>
        <v>0.0</v>
      </c>
      <c r="F1121" s="13" t="str">
        <f>HYPERLINK(AC2 &amp; "/hammer/sn_e023832c008af2e9607566378b3d8827/rendering/03.xyz", "0.0")</f>
        <v>0.0</v>
      </c>
      <c r="G1121" s="13" t="str">
        <f>HYPERLINK(AC2 &amp; "/hammer/sn_e023832c008af2e9607566378b3d8827/rendering/04.xyz", "0.0")</f>
        <v>0.0</v>
      </c>
      <c r="H1121" s="13" t="str">
        <f>HYPERLINK(AC2 &amp; "/hammer/sn_e023832c008af2e9607566378b3d8827/rendering/05.xyz", "0.0")</f>
        <v>0.0</v>
      </c>
      <c r="I1121" s="13" t="str">
        <f>HYPERLINK(AC2 &amp; "/hammer/sn_e023832c008af2e9607566378b3d8827/rendering/06.xyz", "0.0")</f>
        <v>0.0</v>
      </c>
      <c r="J1121" s="13" t="str">
        <f>HYPERLINK(AC2 &amp; "/hammer/sn_e023832c008af2e9607566378b3d8827/rendering/07.xyz", "0.0")</f>
        <v>0.0</v>
      </c>
      <c r="K1121" s="13" t="str">
        <f>HYPERLINK(AC2 &amp; "/hammer/sn_e023832c008af2e9607566378b3d8827/rendering/08.xyz", "0.0")</f>
        <v>0.0</v>
      </c>
      <c r="L1121" s="13" t="str">
        <f>HYPERLINK(AC2 &amp; "/hammer/sn_e023832c008af2e9607566378b3d8827/rendering/09.xyz", "0.0")</f>
        <v>0.0</v>
      </c>
      <c r="M1121" s="13" t="str">
        <f>HYPERLINK(AC2 &amp; "/hammer/sn_e023832c008af2e9607566378b3d8827/rendering/10.xyz", "0.0")</f>
        <v>0.0</v>
      </c>
      <c r="N1121" s="13" t="str">
        <f>HYPERLINK(AC2 &amp; "/hammer/sn_e023832c008af2e9607566378b3d8827/rendering/11.xyz", "0.0")</f>
        <v>0.0</v>
      </c>
      <c r="O1121" s="13" t="str">
        <f>HYPERLINK(AC2 &amp; "/hammer/sn_e023832c008af2e9607566378b3d8827/rendering/12.xyz", "0.0")</f>
        <v>0.0</v>
      </c>
      <c r="P1121" s="13" t="str">
        <f>HYPERLINK(AC2 &amp; "/hammer/sn_e023832c008af2e9607566378b3d8827/rendering/13.xyz", "0.0")</f>
        <v>0.0</v>
      </c>
      <c r="Q1121" s="13" t="str">
        <f>HYPERLINK(AC2 &amp; "/hammer/sn_e023832c008af2e9607566378b3d8827/rendering/14.xyz", "0.0")</f>
        <v>0.0</v>
      </c>
      <c r="R1121" s="13" t="str">
        <f>HYPERLINK(AC2 &amp; "/hammer/sn_e023832c008af2e9607566378b3d8827/rendering/15.xyz", "0.0")</f>
        <v>0.0</v>
      </c>
      <c r="S1121" s="13" t="str">
        <f>HYPERLINK(AC2 &amp; "/hammer/sn_e023832c008af2e9607566378b3d8827/rendering/16.xyz", "0.0")</f>
        <v>0.0</v>
      </c>
      <c r="T1121" s="13" t="str">
        <f>HYPERLINK(AC2 &amp; "/hammer/sn_e023832c008af2e9607566378b3d8827/rendering/17.xyz", "0.0")</f>
        <v>0.0</v>
      </c>
      <c r="U1121" s="13" t="str">
        <f>HYPERLINK(AC2 &amp; "/hammer/sn_e023832c008af2e9607566378b3d8827/rendering/18.xyz", "0.0")</f>
        <v>0.0</v>
      </c>
      <c r="V1121" s="13" t="str">
        <f>HYPERLINK(AC2 &amp; "/hammer/sn_e023832c008af2e9607566378b3d8827/rendering/19.xyz", "0.0")</f>
        <v>0.0</v>
      </c>
      <c r="W1121" s="12" t="s">
        <v>33</v>
      </c>
      <c r="X1121" s="13">
        <v>0</v>
      </c>
      <c r="Y1121" s="13">
        <v>0</v>
      </c>
      <c r="Z1121" s="13">
        <v>0</v>
      </c>
    </row>
    <row r="1122" spans="1:26" x14ac:dyDescent="0.2">
      <c r="A1122" s="1">
        <v>1120</v>
      </c>
      <c r="B1122" s="2" t="s">
        <v>257</v>
      </c>
      <c r="C1122" s="20" t="str">
        <f>HYPERLINK(AA2 &amp; "/hammer/sn_e19edd3af5deef2c53ff8abe67bd0594/rendering/00.obj", "16.9910302734")</f>
        <v>16.9910302734</v>
      </c>
      <c r="D1122" s="82" t="str">
        <f>HYPERLINK(AA2 &amp; "/hammer/sn_e19edd3af5deef2c53ff8abe67bd0594/rendering/01.obj", "5.6579296875")</f>
        <v>5.6579296875</v>
      </c>
      <c r="E1122" s="20" t="str">
        <f>HYPERLINK(AA2 &amp; "/hammer/sn_e19edd3af5deef2c53ff8abe67bd0594/rendering/02.obj", "20.4038525391")</f>
        <v>20.4038525391</v>
      </c>
      <c r="F1122" s="99" t="str">
        <f>HYPERLINK(AA2 &amp; "/hammer/sn_e19edd3af5deef2c53ff8abe67bd0594/rendering/03.obj", "5.17058166504")</f>
        <v>5.17058166504</v>
      </c>
      <c r="G1122" s="76" t="str">
        <f>HYPERLINK(AA2 &amp; "/hammer/sn_e19edd3af5deef2c53ff8abe67bd0594/rendering/04.obj", "5.80377929687")</f>
        <v>5.80377929687</v>
      </c>
      <c r="H1122" s="88" t="str">
        <f>HYPERLINK(AA2 &amp; "/hammer/sn_e19edd3af5deef2c53ff8abe67bd0594/rendering/05.obj", "5.67072875977")</f>
        <v>5.67072875977</v>
      </c>
      <c r="I1122" s="39" t="str">
        <f>HYPERLINK(AA2 &amp; "/hammer/sn_e19edd3af5deef2c53ff8abe67bd0594/rendering/06.obj", "6.49427124023")</f>
        <v>6.49427124023</v>
      </c>
      <c r="J1122" s="58" t="str">
        <f>HYPERLINK(AA2 &amp; "/hammer/sn_e19edd3af5deef2c53ff8abe67bd0594/rendering/07.obj", "5.38818237305")</f>
        <v>5.38818237305</v>
      </c>
      <c r="K1122" s="53" t="str">
        <f>HYPERLINK(AA2 &amp; "/hammer/sn_e19edd3af5deef2c53ff8abe67bd0594/rendering/08.obj", "4.17287231445")</f>
        <v>4.17287231445</v>
      </c>
      <c r="L1122" s="44" t="str">
        <f>HYPERLINK(AA2 &amp; "/hammer/sn_e19edd3af5deef2c53ff8abe67bd0594/rendering/09.obj", "5.7025793457")</f>
        <v>5.7025793457</v>
      </c>
      <c r="M1122" s="11" t="str">
        <f>HYPERLINK(AA2 &amp; "/hammer/sn_e19edd3af5deef2c53ff8abe67bd0594/rendering/10.obj", "5.50599182129")</f>
        <v>5.50599182129</v>
      </c>
      <c r="N1122" s="50" t="str">
        <f>HYPERLINK(AA2 &amp; "/hammer/sn_e19edd3af5deef2c53ff8abe67bd0594/rendering/11.obj", "8.52794921875")</f>
        <v>8.52794921875</v>
      </c>
      <c r="O1122" s="130" t="str">
        <f>HYPERLINK(AA2 &amp; "/hammer/sn_e19edd3af5deef2c53ff8abe67bd0594/rendering/12.obj", "3.90063171387")</f>
        <v>3.90063171387</v>
      </c>
      <c r="P1122" s="6" t="str">
        <f>HYPERLINK(AA2 &amp; "/hammer/sn_e19edd3af5deef2c53ff8abe67bd0594/rendering/13.obj", "6.77802612305")</f>
        <v>6.77802612305</v>
      </c>
      <c r="Q1122" s="153" t="str">
        <f>HYPERLINK(AA2 &amp; "/hammer/sn_e19edd3af5deef2c53ff8abe67bd0594/rendering/14.obj", "4.56765899658")</f>
        <v>4.56765899658</v>
      </c>
      <c r="R1122" s="30" t="str">
        <f>HYPERLINK(AA2 &amp; "/hammer/sn_e19edd3af5deef2c53ff8abe67bd0594/rendering/15.obj", "7.14205383301")</f>
        <v>7.14205383301</v>
      </c>
      <c r="S1122" s="176" t="str">
        <f>HYPERLINK(AA2 &amp; "/hammer/sn_e19edd3af5deef2c53ff8abe67bd0594/rendering/16.obj", "4.85487426758")</f>
        <v>4.85487426758</v>
      </c>
      <c r="T1122" s="166" t="str">
        <f>HYPERLINK(AA2 &amp; "/hammer/sn_e19edd3af5deef2c53ff8abe67bd0594/rendering/17.obj", "9.14332458496")</f>
        <v>9.14332458496</v>
      </c>
      <c r="U1122" s="121" t="str">
        <f>HYPERLINK(AA2 &amp; "/hammer/sn_e19edd3af5deef2c53ff8abe67bd0594/rendering/18.obj", "4.5892376709")</f>
        <v>4.5892376709</v>
      </c>
      <c r="V1122" s="88" t="str">
        <f>HYPERLINK(AA2 &amp; "/hammer/sn_e19edd3af5deef2c53ff8abe67bd0594/rendering/19.obj", "5.67982910156")</f>
        <v>5.67982910156</v>
      </c>
      <c r="W1122" s="12" t="s">
        <v>29</v>
      </c>
      <c r="X1122" s="13">
        <v>7.1072692413330074</v>
      </c>
      <c r="Y1122" s="13">
        <v>4.1051056776578454</v>
      </c>
      <c r="Z1122" s="18">
        <v>0.57759253776179009</v>
      </c>
    </row>
    <row r="1123" spans="1:26" x14ac:dyDescent="0.2">
      <c r="A1123" s="1">
        <v>1121</v>
      </c>
      <c r="B1123" s="2" t="s">
        <v>257</v>
      </c>
      <c r="C1123" s="20" t="str">
        <f>HYPERLINK(AA2 &amp; "/hammer/sn_e19edd3af5deef2c53ff8abe67bd0594/rendering/00.obj", "36.9032478333")</f>
        <v>36.9032478333</v>
      </c>
      <c r="D1123" s="97" t="str">
        <f>HYPERLINK(AA2 &amp; "/hammer/sn_e19edd3af5deef2c53ff8abe67bd0594/rendering/01.obj", "6.04517173767")</f>
        <v>6.04517173767</v>
      </c>
      <c r="E1123" s="20" t="str">
        <f>HYPERLINK(AA2 &amp; "/hammer/sn_e19edd3af5deef2c53ff8abe67bd0594/rendering/02.obj", "69.1745223999")</f>
        <v>69.1745223999</v>
      </c>
      <c r="F1123" s="143" t="str">
        <f>HYPERLINK(AA2 &amp; "/hammer/sn_e19edd3af5deef2c53ff8abe67bd0594/rendering/03.obj", "5.66649532318")</f>
        <v>5.66649532318</v>
      </c>
      <c r="G1123" s="97" t="str">
        <f>HYPERLINK(AA2 &amp; "/hammer/sn_e19edd3af5deef2c53ff8abe67bd0594/rendering/04.obj", "6.05287122726")</f>
        <v>6.05287122726</v>
      </c>
      <c r="H1123" s="97" t="str">
        <f>HYPERLINK(AA2 &amp; "/hammer/sn_e19edd3af5deef2c53ff8abe67bd0594/rendering/05.obj", "6.03766345978")</f>
        <v>6.03766345978</v>
      </c>
      <c r="I1123" s="85" t="str">
        <f>HYPERLINK(AA2 &amp; "/hammer/sn_e19edd3af5deef2c53ff8abe67bd0594/rendering/06.obj", "7.53268766403")</f>
        <v>7.53268766403</v>
      </c>
      <c r="J1123" s="252" t="str">
        <f>HYPERLINK(AA2 &amp; "/hammer/sn_e19edd3af5deef2c53ff8abe67bd0594/rendering/07.obj", "3.80139374733")</f>
        <v>3.80139374733</v>
      </c>
      <c r="K1123" s="178" t="str">
        <f>HYPERLINK(AA2 &amp; "/hammer/sn_e19edd3af5deef2c53ff8abe67bd0594/rendering/08.obj", "3.76481223106")</f>
        <v>3.76481223106</v>
      </c>
      <c r="L1123" s="203" t="str">
        <f>HYPERLINK(AA2 &amp; "/hammer/sn_e19edd3af5deef2c53ff8abe67bd0594/rendering/09.obj", "5.71643066406")</f>
        <v>5.71643066406</v>
      </c>
      <c r="M1123" s="194" t="str">
        <f>HYPERLINK(AA2 &amp; "/hammer/sn_e19edd3af5deef2c53ff8abe67bd0594/rendering/10.obj", "4.05035209656")</f>
        <v>4.05035209656</v>
      </c>
      <c r="N1123" s="5" t="str">
        <f>HYPERLINK(AA2 &amp; "/hammer/sn_e19edd3af5deef2c53ff8abe67bd0594/rendering/11.obj", "9.8846282959")</f>
        <v>9.8846282959</v>
      </c>
      <c r="O1123" s="250" t="str">
        <f>HYPERLINK(AA2 &amp; "/hammer/sn_e19edd3af5deef2c53ff8abe67bd0594/rendering/12.obj", "3.35440611839")</f>
        <v>3.35440611839</v>
      </c>
      <c r="P1123" s="48" t="str">
        <f>HYPERLINK(AA2 &amp; "/hammer/sn_e19edd3af5deef2c53ff8abe67bd0594/rendering/13.obj", "10.9595861435")</f>
        <v>10.9595861435</v>
      </c>
      <c r="Q1123" s="165" t="str">
        <f>HYPERLINK(AA2 &amp; "/hammer/sn_e19edd3af5deef2c53ff8abe67bd0594/rendering/14.obj", "3.29770302773")</f>
        <v>3.29770302773</v>
      </c>
      <c r="R1123" s="62" t="str">
        <f>HYPERLINK(AA2 &amp; "/hammer/sn_e19edd3af5deef2c53ff8abe67bd0594/rendering/15.obj", "4.30926179886")</f>
        <v>4.30926179886</v>
      </c>
      <c r="S1123" s="250" t="str">
        <f>HYPERLINK(AA2 &amp; "/hammer/sn_e19edd3af5deef2c53ff8abe67bd0594/rendering/16.obj", "3.37594652176")</f>
        <v>3.37594652176</v>
      </c>
      <c r="T1123" s="111" t="str">
        <f>HYPERLINK(AA2 &amp; "/hammer/sn_e19edd3af5deef2c53ff8abe67bd0594/rendering/17.obj", "15.2251996994")</f>
        <v>15.2251996994</v>
      </c>
      <c r="U1123" s="194" t="str">
        <f>HYPERLINK(AA2 &amp; "/hammer/sn_e19edd3af5deef2c53ff8abe67bd0594/rendering/18.obj", "4.05395746231")</f>
        <v>4.05395746231</v>
      </c>
      <c r="V1123" s="16" t="str">
        <f>HYPERLINK(AA2 &amp; "/hammer/sn_e19edd3af5deef2c53ff8abe67bd0594/rendering/19.obj", "4.87564373016")</f>
        <v>4.87564373016</v>
      </c>
      <c r="W1123" s="12" t="s">
        <v>30</v>
      </c>
      <c r="X1123" s="13">
        <v>10.704099059104919</v>
      </c>
      <c r="Y1123" s="13">
        <v>15.286476637093161</v>
      </c>
      <c r="Z1123" s="20">
        <v>1.428095587745001</v>
      </c>
    </row>
    <row r="1124" spans="1:26" x14ac:dyDescent="0.2">
      <c r="A1124" s="1">
        <v>1122</v>
      </c>
      <c r="B1124" s="2" t="s">
        <v>257</v>
      </c>
      <c r="C1124" s="39" t="str">
        <f>HYPERLINK(AB2 &amp; "/hammer/sn_e19edd3af5deef2c53ff8abe67bd0594/rendering/00.obj", "4.35737121582")</f>
        <v>4.35737121582</v>
      </c>
      <c r="D1124" s="110" t="str">
        <f>HYPERLINK(AB2 &amp; "/hammer/sn_e19edd3af5deef2c53ff8abe67bd0594/rendering/01.obj", "5.23263183594")</f>
        <v>5.23263183594</v>
      </c>
      <c r="E1124" s="35" t="str">
        <f>HYPERLINK(AB2 &amp; "/hammer/sn_e19edd3af5deef2c53ff8abe67bd0594/rendering/02.obj", "4.48362640381")</f>
        <v>4.48362640381</v>
      </c>
      <c r="F1124" s="39" t="str">
        <f>HYPERLINK(AB2 &amp; "/hammer/sn_e19edd3af5deef2c53ff8abe67bd0594/rendering/03.obj", "4.34684509277")</f>
        <v>4.34684509277</v>
      </c>
      <c r="G1124" s="10" t="str">
        <f>HYPERLINK(AB2 &amp; "/hammer/sn_e19edd3af5deef2c53ff8abe67bd0594/rendering/04.obj", "5.01803527832")</f>
        <v>5.01803527832</v>
      </c>
      <c r="H1124" s="80" t="str">
        <f>HYPERLINK(AB2 &amp; "/hammer/sn_e19edd3af5deef2c53ff8abe67bd0594/rendering/05.obj", "4.04828765869")</f>
        <v>4.04828765869</v>
      </c>
      <c r="I1124" s="91" t="str">
        <f>HYPERLINK(AB2 &amp; "/hammer/sn_e19edd3af5deef2c53ff8abe67bd0594/rendering/06.obj", "4.63128601074")</f>
        <v>4.63128601074</v>
      </c>
      <c r="J1124" s="136" t="str">
        <f>HYPERLINK(AB2 &amp; "/hammer/sn_e19edd3af5deef2c53ff8abe67bd0594/rendering/07.obj", "5.89344604492")</f>
        <v>5.89344604492</v>
      </c>
      <c r="K1124" s="106" t="str">
        <f>HYPERLINK(AB2 &amp; "/hammer/sn_e19edd3af5deef2c53ff8abe67bd0594/rendering/08.obj", "5.30194519043")</f>
        <v>5.30194519043</v>
      </c>
      <c r="L1124" s="60" t="str">
        <f>HYPERLINK(AB2 &amp; "/hammer/sn_e19edd3af5deef2c53ff8abe67bd0594/rendering/09.obj", "4.5078427124")</f>
        <v>4.5078427124</v>
      </c>
      <c r="M1124" s="26" t="str">
        <f>HYPERLINK(AB2 &amp; "/hammer/sn_e19edd3af5deef2c53ff8abe67bd0594/rendering/10.obj", "5.07364074707")</f>
        <v>5.07364074707</v>
      </c>
      <c r="N1124" s="35" t="str">
        <f>HYPERLINK(AB2 &amp; "/hammer/sn_e19edd3af5deef2c53ff8abe67bd0594/rendering/11.obj", "4.48232421875")</f>
        <v>4.48232421875</v>
      </c>
      <c r="O1124" s="75" t="str">
        <f>HYPERLINK(AB2 &amp; "/hammer/sn_e19edd3af5deef2c53ff8abe67bd0594/rendering/12.obj", "3.71407775879")</f>
        <v>3.71407775879</v>
      </c>
      <c r="P1124" s="39" t="str">
        <f>HYPERLINK(AB2 &amp; "/hammer/sn_e19edd3af5deef2c53ff8abe67bd0594/rendering/13.obj", "5.16885009766")</f>
        <v>5.16885009766</v>
      </c>
      <c r="Q1124" s="34" t="str">
        <f>HYPERLINK(AB2 &amp; "/hammer/sn_e19edd3af5deef2c53ff8abe67bd0594/rendering/14.obj", "4.98560424805")</f>
        <v>4.98560424805</v>
      </c>
      <c r="R1124" s="31" t="str">
        <f>HYPERLINK(AB2 &amp; "/hammer/sn_e19edd3af5deef2c53ff8abe67bd0594/rendering/15.obj", "5.5008984375")</f>
        <v>5.5008984375</v>
      </c>
      <c r="S1124" s="84" t="str">
        <f>HYPERLINK(AB2 &amp; "/hammer/sn_e19edd3af5deef2c53ff8abe67bd0594/rendering/16.obj", "5.45611694336")</f>
        <v>5.45611694336</v>
      </c>
      <c r="T1124" s="61" t="str">
        <f>HYPERLINK(AB2 &amp; "/hammer/sn_e19edd3af5deef2c53ff8abe67bd0594/rendering/17.obj", "3.32602844238")</f>
        <v>3.32602844238</v>
      </c>
      <c r="U1124" s="106" t="str">
        <f>HYPERLINK(AB2 &amp; "/hammer/sn_e19edd3af5deef2c53ff8abe67bd0594/rendering/18.obj", "5.30470458984")</f>
        <v>5.30470458984</v>
      </c>
      <c r="V1124" s="51" t="str">
        <f>HYPERLINK(AB2 &amp; "/hammer/sn_e19edd3af5deef2c53ff8abe67bd0594/rendering/19.obj", "4.38084716797")</f>
        <v>4.38084716797</v>
      </c>
      <c r="W1124" s="12" t="s">
        <v>31</v>
      </c>
      <c r="X1124" s="13">
        <v>4.7607205047607426</v>
      </c>
      <c r="Y1124" s="13">
        <v>0.62777219512695936</v>
      </c>
      <c r="Z1124" s="65">
        <v>0.13186495499981241</v>
      </c>
    </row>
    <row r="1125" spans="1:26" x14ac:dyDescent="0.2">
      <c r="A1125" s="1">
        <v>1123</v>
      </c>
      <c r="B1125" s="2" t="s">
        <v>257</v>
      </c>
      <c r="C1125" s="6" t="str">
        <f>HYPERLINK(AB2 &amp; "/hammer/sn_e19edd3af5deef2c53ff8abe67bd0594/rendering/00.obj", "3.48551869392")</f>
        <v>3.48551869392</v>
      </c>
      <c r="D1125" s="69" t="str">
        <f>HYPERLINK(AB2 &amp; "/hammer/sn_e19edd3af5deef2c53ff8abe67bd0594/rendering/01.obj", "3.22659945488")</f>
        <v>3.22659945488</v>
      </c>
      <c r="E1125" s="149" t="str">
        <f>HYPERLINK(AB2 &amp; "/hammer/sn_e19edd3af5deef2c53ff8abe67bd0594/rendering/02.obj", "4.47107410431")</f>
        <v>4.47107410431</v>
      </c>
      <c r="F1125" s="51" t="str">
        <f>HYPERLINK(AB2 &amp; "/hammer/sn_e19edd3af5deef2c53ff8abe67bd0594/rendering/03.obj", "3.06519913673")</f>
        <v>3.06519913673</v>
      </c>
      <c r="G1125" s="73" t="str">
        <f>HYPERLINK(AB2 &amp; "/hammer/sn_e19edd3af5deef2c53ff8abe67bd0594/rendering/04.obj", "3.45325827599")</f>
        <v>3.45325827599</v>
      </c>
      <c r="H1125" s="37" t="str">
        <f>HYPERLINK(AB2 &amp; "/hammer/sn_e19edd3af5deef2c53ff8abe67bd0594/rendering/05.obj", "2.74627256393")</f>
        <v>2.74627256393</v>
      </c>
      <c r="I1125" s="33" t="str">
        <f>HYPERLINK(AB2 &amp; "/hammer/sn_e19edd3af5deef2c53ff8abe67bd0594/rendering/06.obj", "2.97251939774")</f>
        <v>2.97251939774</v>
      </c>
      <c r="J1125" s="37" t="str">
        <f>HYPERLINK(AB2 &amp; "/hammer/sn_e19edd3af5deef2c53ff8abe67bd0594/rendering/07.obj", "3.90485095978")</f>
        <v>3.90485095978</v>
      </c>
      <c r="K1125" s="41" t="str">
        <f>HYPERLINK(AB2 &amp; "/hammer/sn_e19edd3af5deef2c53ff8abe67bd0594/rendering/08.obj", "3.55722260475")</f>
        <v>3.55722260475</v>
      </c>
      <c r="L1125" s="94" t="str">
        <f>HYPERLINK(AB2 &amp; "/hammer/sn_e19edd3af5deef2c53ff8abe67bd0594/rendering/09.obj", "3.0808827877")</f>
        <v>3.0808827877</v>
      </c>
      <c r="M1125" s="5" t="str">
        <f>HYPERLINK(AB2 &amp; "/hammer/sn_e19edd3af5deef2c53ff8abe67bd0594/rendering/10.obj", "3.07506752014")</f>
        <v>3.07506752014</v>
      </c>
      <c r="N1125" s="94" t="str">
        <f>HYPERLINK(AB2 &amp; "/hammer/sn_e19edd3af5deef2c53ff8abe67bd0594/rendering/11.obj", "3.57189774513")</f>
        <v>3.57189774513</v>
      </c>
      <c r="O1125" s="74" t="str">
        <f>HYPERLINK(AB2 &amp; "/hammer/sn_e19edd3af5deef2c53ff8abe67bd0594/rendering/12.obj", "3.38202834129")</f>
        <v>3.38202834129</v>
      </c>
      <c r="P1125" s="34" t="str">
        <f>HYPERLINK(AB2 &amp; "/hammer/sn_e19edd3af5deef2c53ff8abe67bd0594/rendering/13.obj", "3.16322541237")</f>
        <v>3.16322541237</v>
      </c>
      <c r="Q1125" s="46" t="str">
        <f>HYPERLINK(AB2 &amp; "/hammer/sn_e19edd3af5deef2c53ff8abe67bd0594/rendering/14.obj", "3.27074885368")</f>
        <v>3.27074885368</v>
      </c>
      <c r="R1125" s="78" t="str">
        <f>HYPERLINK(AB2 &amp; "/hammer/sn_e19edd3af5deef2c53ff8abe67bd0594/rendering/15.obj", "3.1246240139")</f>
        <v>3.1246240139</v>
      </c>
      <c r="S1125" s="71" t="str">
        <f>HYPERLINK(AB2 &amp; "/hammer/sn_e19edd3af5deef2c53ff8abe67bd0594/rendering/16.obj", "3.72610807419")</f>
        <v>3.72610807419</v>
      </c>
      <c r="T1125" s="26" t="str">
        <f>HYPERLINK(AB2 &amp; "/hammer/sn_e19edd3af5deef2c53ff8abe67bd0594/rendering/17.obj", "3.1188762188")</f>
        <v>3.1188762188</v>
      </c>
      <c r="U1125" s="23" t="str">
        <f>HYPERLINK(AB2 &amp; "/hammer/sn_e19edd3af5deef2c53ff8abe67bd0594/rendering/18.obj", "3.19972372055")</f>
        <v>3.19972372055</v>
      </c>
      <c r="V1125" s="110" t="str">
        <f>HYPERLINK(AB2 &amp; "/hammer/sn_e19edd3af5deef2c53ff8abe67bd0594/rendering/19.obj", "3.00339317322")</f>
        <v>3.00339317322</v>
      </c>
      <c r="W1125" s="12" t="s">
        <v>32</v>
      </c>
      <c r="X1125" s="13">
        <v>3.329954552650451</v>
      </c>
      <c r="Y1125" s="13">
        <v>0.37813672861266873</v>
      </c>
      <c r="Z1125" s="106">
        <v>0.1135561229541988</v>
      </c>
    </row>
    <row r="1126" spans="1:26" x14ac:dyDescent="0.2">
      <c r="A1126" s="1">
        <v>1124</v>
      </c>
      <c r="B1126" s="2" t="s">
        <v>257</v>
      </c>
      <c r="C1126" s="13" t="str">
        <f>HYPERLINK(AC2 &amp; "/hammer/sn_e19edd3af5deef2c53ff8abe67bd0594/rendering/00.xyz", "0.0")</f>
        <v>0.0</v>
      </c>
      <c r="D1126" s="13" t="str">
        <f>HYPERLINK(AC2 &amp; "/hammer/sn_e19edd3af5deef2c53ff8abe67bd0594/rendering/01.xyz", "0.0")</f>
        <v>0.0</v>
      </c>
      <c r="E1126" s="13" t="str">
        <f>HYPERLINK(AC2 &amp; "/hammer/sn_e19edd3af5deef2c53ff8abe67bd0594/rendering/02.xyz", "0.0")</f>
        <v>0.0</v>
      </c>
      <c r="F1126" s="13" t="str">
        <f>HYPERLINK(AC2 &amp; "/hammer/sn_e19edd3af5deef2c53ff8abe67bd0594/rendering/03.xyz", "0.0")</f>
        <v>0.0</v>
      </c>
      <c r="G1126" s="13" t="str">
        <f>HYPERLINK(AC2 &amp; "/hammer/sn_e19edd3af5deef2c53ff8abe67bd0594/rendering/04.xyz", "0.0")</f>
        <v>0.0</v>
      </c>
      <c r="H1126" s="13" t="str">
        <f>HYPERLINK(AC2 &amp; "/hammer/sn_e19edd3af5deef2c53ff8abe67bd0594/rendering/05.xyz", "0.0")</f>
        <v>0.0</v>
      </c>
      <c r="I1126" s="13" t="str">
        <f>HYPERLINK(AC2 &amp; "/hammer/sn_e19edd3af5deef2c53ff8abe67bd0594/rendering/06.xyz", "0.0")</f>
        <v>0.0</v>
      </c>
      <c r="J1126" s="13" t="str">
        <f>HYPERLINK(AC2 &amp; "/hammer/sn_e19edd3af5deef2c53ff8abe67bd0594/rendering/07.xyz", "0.0")</f>
        <v>0.0</v>
      </c>
      <c r="K1126" s="13" t="str">
        <f>HYPERLINK(AC2 &amp; "/hammer/sn_e19edd3af5deef2c53ff8abe67bd0594/rendering/08.xyz", "0.0")</f>
        <v>0.0</v>
      </c>
      <c r="L1126" s="13" t="str">
        <f>HYPERLINK(AC2 &amp; "/hammer/sn_e19edd3af5deef2c53ff8abe67bd0594/rendering/09.xyz", "0.0")</f>
        <v>0.0</v>
      </c>
      <c r="M1126" s="13" t="str">
        <f>HYPERLINK(AC2 &amp; "/hammer/sn_e19edd3af5deef2c53ff8abe67bd0594/rendering/10.xyz", "0.0")</f>
        <v>0.0</v>
      </c>
      <c r="N1126" s="13" t="str">
        <f>HYPERLINK(AC2 &amp; "/hammer/sn_e19edd3af5deef2c53ff8abe67bd0594/rendering/11.xyz", "0.0")</f>
        <v>0.0</v>
      </c>
      <c r="O1126" s="13" t="str">
        <f>HYPERLINK(AC2 &amp; "/hammer/sn_e19edd3af5deef2c53ff8abe67bd0594/rendering/12.xyz", "0.0")</f>
        <v>0.0</v>
      </c>
      <c r="P1126" s="13" t="str">
        <f>HYPERLINK(AC2 &amp; "/hammer/sn_e19edd3af5deef2c53ff8abe67bd0594/rendering/13.xyz", "0.0")</f>
        <v>0.0</v>
      </c>
      <c r="Q1126" s="13" t="str">
        <f>HYPERLINK(AC2 &amp; "/hammer/sn_e19edd3af5deef2c53ff8abe67bd0594/rendering/14.xyz", "0.0")</f>
        <v>0.0</v>
      </c>
      <c r="R1126" s="13" t="str">
        <f>HYPERLINK(AC2 &amp; "/hammer/sn_e19edd3af5deef2c53ff8abe67bd0594/rendering/15.xyz", "0.0")</f>
        <v>0.0</v>
      </c>
      <c r="S1126" s="13" t="str">
        <f>HYPERLINK(AC2 &amp; "/hammer/sn_e19edd3af5deef2c53ff8abe67bd0594/rendering/16.xyz", "0.0")</f>
        <v>0.0</v>
      </c>
      <c r="T1126" s="13" t="str">
        <f>HYPERLINK(AC2 &amp; "/hammer/sn_e19edd3af5deef2c53ff8abe67bd0594/rendering/17.xyz", "0.0")</f>
        <v>0.0</v>
      </c>
      <c r="U1126" s="13" t="str">
        <f>HYPERLINK(AC2 &amp; "/hammer/sn_e19edd3af5deef2c53ff8abe67bd0594/rendering/18.xyz", "0.0")</f>
        <v>0.0</v>
      </c>
      <c r="V1126" s="13" t="str">
        <f>HYPERLINK(AC2 &amp; "/hammer/sn_e19edd3af5deef2c53ff8abe67bd0594/rendering/19.xyz", "0.0")</f>
        <v>0.0</v>
      </c>
      <c r="W1126" s="12" t="s">
        <v>33</v>
      </c>
      <c r="X1126" s="13">
        <v>0</v>
      </c>
      <c r="Y1126" s="13">
        <v>0</v>
      </c>
      <c r="Z1126" s="13">
        <v>0</v>
      </c>
    </row>
    <row r="1127" spans="1:26" x14ac:dyDescent="0.2">
      <c r="A1127" s="1">
        <v>1125</v>
      </c>
      <c r="B1127" s="2" t="s">
        <v>258</v>
      </c>
      <c r="C1127" s="212" t="str">
        <f>HYPERLINK(AA2 &amp; "/hammer/sn_e21d2f7cfc81a6a0dffb44ff9c0d740f/rendering/00.obj", "8.61447387695")</f>
        <v>8.61447387695</v>
      </c>
      <c r="D1127" s="20" t="str">
        <f>HYPERLINK(AA2 &amp; "/hammer/sn_e21d2f7cfc81a6a0dffb44ff9c0d740f/rendering/01.obj", "44.1985498047")</f>
        <v>44.1985498047</v>
      </c>
      <c r="E1127" s="137" t="str">
        <f>HYPERLINK(AA2 &amp; "/hammer/sn_e21d2f7cfc81a6a0dffb44ff9c0d740f/rendering/02.obj", "9.63074279785")</f>
        <v>9.63074279785</v>
      </c>
      <c r="F1127" s="253" t="str">
        <f>HYPERLINK(AA2 &amp; "/hammer/sn_e21d2f7cfc81a6a0dffb44ff9c0d740f/rendering/03.obj", "26.1429785156")</f>
        <v>26.1429785156</v>
      </c>
      <c r="G1127" s="142" t="str">
        <f>HYPERLINK(AA2 &amp; "/hammer/sn_e21d2f7cfc81a6a0dffb44ff9c0d740f/rendering/04.obj", "21.0980639648")</f>
        <v>21.0980639648</v>
      </c>
      <c r="H1127" s="21" t="str">
        <f>HYPERLINK(AA2 &amp; "/hammer/sn_e21d2f7cfc81a6a0dffb44ff9c0d740f/rendering/05.obj", "6.75758605957")</f>
        <v>6.75758605957</v>
      </c>
      <c r="I1127" s="20" t="str">
        <f>HYPERLINK(AA2 &amp; "/hammer/sn_e21d2f7cfc81a6a0dffb44ff9c0d740f/rendering/06.obj", "29.2966259766")</f>
        <v>29.2966259766</v>
      </c>
      <c r="J1127" s="179" t="str">
        <f>HYPERLINK(AA2 &amp; "/hammer/sn_e21d2f7cfc81a6a0dffb44ff9c0d740f/rendering/07.obj", "8.65019470215")</f>
        <v>8.65019470215</v>
      </c>
      <c r="K1127" s="52" t="str">
        <f>HYPERLINK(AA2 &amp; "/hammer/sn_e21d2f7cfc81a6a0dffb44ff9c0d740f/rendering/08.obj", "9.06944335938")</f>
        <v>9.06944335938</v>
      </c>
      <c r="L1127" s="20" t="str">
        <f>HYPERLINK(AA2 &amp; "/hammer/sn_e21d2f7cfc81a6a0dffb44ff9c0d740f/rendering/09.obj", "32.7512182617")</f>
        <v>32.7512182617</v>
      </c>
      <c r="M1127" s="51" t="str">
        <f>HYPERLINK(AA2 &amp; "/hammer/sn_e21d2f7cfc81a6a0dffb44ff9c0d740f/rendering/10.obj", "16.3754394531")</f>
        <v>16.3754394531</v>
      </c>
      <c r="N1127" s="109" t="str">
        <f>HYPERLINK(AA2 &amp; "/hammer/sn_e21d2f7cfc81a6a0dffb44ff9c0d740f/rendering/11.obj", "12.2742822266")</f>
        <v>12.2742822266</v>
      </c>
      <c r="O1127" s="212" t="str">
        <f>HYPERLINK(AA2 &amp; "/hammer/sn_e21d2f7cfc81a6a0dffb44ff9c0d740f/rendering/12.obj", "8.62514160156")</f>
        <v>8.62514160156</v>
      </c>
      <c r="P1127" s="140" t="str">
        <f>HYPERLINK(AA2 &amp; "/hammer/sn_e21d2f7cfc81a6a0dffb44ff9c0d740f/rendering/13.obj", "9.90772583008")</f>
        <v>9.90772583008</v>
      </c>
      <c r="Q1127" s="162" t="str">
        <f>HYPERLINK(AA2 &amp; "/hammer/sn_e21d2f7cfc81a6a0dffb44ff9c0d740f/rendering/14.obj", "8.73431030273")</f>
        <v>8.73431030273</v>
      </c>
      <c r="R1127" s="138" t="str">
        <f>HYPERLINK(AA2 &amp; "/hammer/sn_e21d2f7cfc81a6a0dffb44ff9c0d740f/rendering/15.obj", "10.0426513672")</f>
        <v>10.0426513672</v>
      </c>
      <c r="S1127" s="225" t="str">
        <f>HYPERLINK(AA2 &amp; "/hammer/sn_e21d2f7cfc81a6a0dffb44ff9c0d740f/rendering/16.obj", "6.54099243164")</f>
        <v>6.54099243164</v>
      </c>
      <c r="T1127" s="114" t="str">
        <f>HYPERLINK(AA2 &amp; "/hammer/sn_e21d2f7cfc81a6a0dffb44ff9c0d740f/rendering/17.obj", "8.17524353027")</f>
        <v>8.17524353027</v>
      </c>
      <c r="U1127" s="109" t="str">
        <f>HYPERLINK(AA2 &amp; "/hammer/sn_e21d2f7cfc81a6a0dffb44ff9c0d740f/rendering/18.obj", "18.028918457")</f>
        <v>18.028918457</v>
      </c>
      <c r="V1127" s="131" t="str">
        <f>HYPERLINK(AA2 &amp; "/hammer/sn_e21d2f7cfc81a6a0dffb44ff9c0d740f/rendering/19.obj", "8.15979431152")</f>
        <v>8.15979431152</v>
      </c>
      <c r="W1127" s="12" t="s">
        <v>29</v>
      </c>
      <c r="X1127" s="13">
        <v>15.15371884155274</v>
      </c>
      <c r="Y1127" s="13">
        <v>10.14836837555208</v>
      </c>
      <c r="Z1127" s="215">
        <v>0.66969490998634762</v>
      </c>
    </row>
    <row r="1128" spans="1:26" x14ac:dyDescent="0.2">
      <c r="A1128" s="1">
        <v>1126</v>
      </c>
      <c r="B1128" s="2" t="s">
        <v>258</v>
      </c>
      <c r="C1128" s="116" t="str">
        <f>HYPERLINK(AA2 &amp; "/hammer/sn_e21d2f7cfc81a6a0dffb44ff9c0d740f/rendering/00.obj", "55.2011222839")</f>
        <v>55.2011222839</v>
      </c>
      <c r="D1128" s="20" t="str">
        <f>HYPERLINK(AA2 &amp; "/hammer/sn_e21d2f7cfc81a6a0dffb44ff9c0d740f/rendering/01.obj", "584.217285156")</f>
        <v>584.217285156</v>
      </c>
      <c r="E1128" s="146" t="str">
        <f>HYPERLINK(AA2 &amp; "/hammer/sn_e21d2f7cfc81a6a0dffb44ff9c0d740f/rendering/02.obj", "21.966255188")</f>
        <v>21.966255188</v>
      </c>
      <c r="F1128" s="20" t="str">
        <f>HYPERLINK(AA2 &amp; "/hammer/sn_e21d2f7cfc81a6a0dffb44ff9c0d740f/rendering/03.obj", "209.503753662")</f>
        <v>209.503753662</v>
      </c>
      <c r="G1128" s="64" t="str">
        <f>HYPERLINK(AA2 &amp; "/hammer/sn_e21d2f7cfc81a6a0dffb44ff9c0d740f/rendering/04.obj", "114.171081543")</f>
        <v>114.171081543</v>
      </c>
      <c r="H1128" s="20" t="str">
        <f>HYPERLINK(AA2 &amp; "/hammer/sn_e21d2f7cfc81a6a0dffb44ff9c0d740f/rendering/05.obj", "14.1519451141")</f>
        <v>14.1519451141</v>
      </c>
      <c r="I1128" s="20" t="str">
        <f>HYPERLINK(AA2 &amp; "/hammer/sn_e21d2f7cfc81a6a0dffb44ff9c0d740f/rendering/06.obj", "180.267868042")</f>
        <v>180.267868042</v>
      </c>
      <c r="J1128" s="20" t="str">
        <f>HYPERLINK(AA2 &amp; "/hammer/sn_e21d2f7cfc81a6a0dffb44ff9c0d740f/rendering/07.obj", "17.7672367096")</f>
        <v>17.7672367096</v>
      </c>
      <c r="K1128" s="252" t="str">
        <f>HYPERLINK(AA2 &amp; "/hammer/sn_e21d2f7cfc81a6a0dffb44ff9c0d740f/rendering/08.obj", "34.9131546021")</f>
        <v>34.9131546021</v>
      </c>
      <c r="L1128" s="20" t="str">
        <f>HYPERLINK(AA2 &amp; "/hammer/sn_e21d2f7cfc81a6a0dffb44ff9c0d740f/rendering/09.obj", "316.520233154")</f>
        <v>316.520233154</v>
      </c>
      <c r="M1128" s="13" t="str">
        <f>HYPERLINK(AA2 &amp; "/hammer/sn_e21d2f7cfc81a6a0dffb44ff9c0d740f/rendering/10.obj", "98.2796936035")</f>
        <v>98.2796936035</v>
      </c>
      <c r="N1128" s="126" t="str">
        <f>HYPERLINK(AA2 &amp; "/hammer/sn_e21d2f7cfc81a6a0dffb44ff9c0d740f/rendering/11.obj", "49.0602455139")</f>
        <v>49.0602455139</v>
      </c>
      <c r="O1128" s="20" t="str">
        <f>HYPERLINK(AA2 &amp; "/hammer/sn_e21d2f7cfc81a6a0dffb44ff9c0d740f/rendering/12.obj", "18.6211853027")</f>
        <v>18.6211853027</v>
      </c>
      <c r="P1128" s="237" t="str">
        <f>HYPERLINK(AA2 &amp; "/hammer/sn_e21d2f7cfc81a6a0dffb44ff9c0d740f/rendering/13.obj", "31.9982128143")</f>
        <v>31.9982128143</v>
      </c>
      <c r="Q1128" s="20" t="str">
        <f>HYPERLINK(AA2 &amp; "/hammer/sn_e21d2f7cfc81a6a0dffb44ff9c0d740f/rendering/14.obj", "15.3953828812")</f>
        <v>15.3953828812</v>
      </c>
      <c r="R1128" s="184" t="str">
        <f>HYPERLINK(AA2 &amp; "/hammer/sn_e21d2f7cfc81a6a0dffb44ff9c0d740f/rendering/15.obj", "25.811706543")</f>
        <v>25.811706543</v>
      </c>
      <c r="S1128" s="20" t="str">
        <f>HYPERLINK(AA2 &amp; "/hammer/sn_e21d2f7cfc81a6a0dffb44ff9c0d740f/rendering/16.obj", "12.2283849716")</f>
        <v>12.2283849716</v>
      </c>
      <c r="T1128" s="209" t="str">
        <f>HYPERLINK(AA2 &amp; "/hammer/sn_e21d2f7cfc81a6a0dffb44ff9c0d740f/rendering/17.obj", "23.6016731262")</f>
        <v>23.6016731262</v>
      </c>
      <c r="U1128" s="63" t="str">
        <f>HYPERLINK(AA2 &amp; "/hammer/sn_e21d2f7cfc81a6a0dffb44ff9c0d740f/rendering/18.obj", "109.761245728")</f>
        <v>109.761245728</v>
      </c>
      <c r="V1128" s="253" t="str">
        <f>HYPERLINK(AA2 &amp; "/hammer/sn_e21d2f7cfc81a6a0dffb44ff9c0d740f/rendering/19.obj", "26.7166652679")</f>
        <v>26.7166652679</v>
      </c>
      <c r="W1128" s="12" t="s">
        <v>30</v>
      </c>
      <c r="X1128" s="13">
        <v>98.007716560363775</v>
      </c>
      <c r="Y1128" s="13">
        <v>136.3598462953444</v>
      </c>
      <c r="Z1128" s="20">
        <v>1.391317450104647</v>
      </c>
    </row>
    <row r="1129" spans="1:26" x14ac:dyDescent="0.2">
      <c r="A1129" s="1">
        <v>1127</v>
      </c>
      <c r="B1129" s="2" t="s">
        <v>258</v>
      </c>
      <c r="C1129" s="26" t="str">
        <f>HYPERLINK(AB2 &amp; "/hammer/sn_e21d2f7cfc81a6a0dffb44ff9c0d740f/rendering/00.obj", "6.58205627441")</f>
        <v>6.58205627441</v>
      </c>
      <c r="D1129" s="20" t="str">
        <f>HYPERLINK(AB2 &amp; "/hammer/sn_e21d2f7cfc81a6a0dffb44ff9c0d740f/rendering/01.obj", "15.3225878906")</f>
        <v>15.3225878906</v>
      </c>
      <c r="E1129" s="37" t="str">
        <f>HYPERLINK(AB2 &amp; "/hammer/sn_e21d2f7cfc81a6a0dffb44ff9c0d740f/rendering/02.obj", "5.81900512695")</f>
        <v>5.81900512695</v>
      </c>
      <c r="F1129" s="70" t="str">
        <f>HYPERLINK(AB2 &amp; "/hammer/sn_e21d2f7cfc81a6a0dffb44ff9c0d740f/rendering/03.obj", "7.93155639648")</f>
        <v>7.93155639648</v>
      </c>
      <c r="G1129" s="66" t="str">
        <f>HYPERLINK(AB2 &amp; "/hammer/sn_e21d2f7cfc81a6a0dffb44ff9c0d740f/rendering/04.obj", "5.90199707031")</f>
        <v>5.90199707031</v>
      </c>
      <c r="H1129" s="120" t="str">
        <f>HYPERLINK(AB2 &amp; "/hammer/sn_e21d2f7cfc81a6a0dffb44ff9c0d740f/rendering/05.obj", "5.55617675781")</f>
        <v>5.55617675781</v>
      </c>
      <c r="I1129" s="209" t="str">
        <f>HYPERLINK(AB2 &amp; "/hammer/sn_e21d2f7cfc81a6a0dffb44ff9c0d740f/rendering/06.obj", "12.3664941406")</f>
        <v>12.3664941406</v>
      </c>
      <c r="J1129" s="106" t="str">
        <f>HYPERLINK(AB2 &amp; "/hammer/sn_e21d2f7cfc81a6a0dffb44ff9c0d740f/rendering/07.obj", "6.23642944336")</f>
        <v>6.23642944336</v>
      </c>
      <c r="K1129" s="152" t="str">
        <f>HYPERLINK(AB2 &amp; "/hammer/sn_e21d2f7cfc81a6a0dffb44ff9c0d740f/rendering/08.obj", "9.89066162109")</f>
        <v>9.89066162109</v>
      </c>
      <c r="L1129" s="159" t="str">
        <f>HYPERLINK(AB2 &amp; "/hammer/sn_e21d2f7cfc81a6a0dffb44ff9c0d740f/rendering/09.obj", "10.3383898926")</f>
        <v>10.3383898926</v>
      </c>
      <c r="M1129" s="36" t="str">
        <f>HYPERLINK(AB2 &amp; "/hammer/sn_e21d2f7cfc81a6a0dffb44ff9c0d740f/rendering/10.obj", "5.53587036133")</f>
        <v>5.53587036133</v>
      </c>
      <c r="N1129" s="24" t="str">
        <f>HYPERLINK(AB2 &amp; "/hammer/sn_e21d2f7cfc81a6a0dffb44ff9c0d740f/rendering/11.obj", "5.85235351563")</f>
        <v>5.85235351563</v>
      </c>
      <c r="O1129" s="55" t="str">
        <f>HYPERLINK(AB2 &amp; "/hammer/sn_e21d2f7cfc81a6a0dffb44ff9c0d740f/rendering/12.obj", "5.68938049316")</f>
        <v>5.68938049316</v>
      </c>
      <c r="P1129" s="138" t="str">
        <f>HYPERLINK(AB2 &amp; "/hammer/sn_e21d2f7cfc81a6a0dffb44ff9c0d740f/rendering/13.obj", "4.66542236328")</f>
        <v>4.66542236328</v>
      </c>
      <c r="Q1129" s="14" t="str">
        <f>HYPERLINK(AB2 &amp; "/hammer/sn_e21d2f7cfc81a6a0dffb44ff9c0d740f/rendering/14.obj", "5.00413208008")</f>
        <v>5.00413208008</v>
      </c>
      <c r="R1129" s="121" t="str">
        <f>HYPERLINK(AB2 &amp; "/hammer/sn_e21d2f7cfc81a6a0dffb44ff9c0d740f/rendering/15.obj", "4.5446875")</f>
        <v>4.5446875</v>
      </c>
      <c r="S1129" s="79" t="str">
        <f>HYPERLINK(AB2 &amp; "/hammer/sn_e21d2f7cfc81a6a0dffb44ff9c0d740f/rendering/16.obj", "5.91690795898")</f>
        <v>5.91690795898</v>
      </c>
      <c r="T1129" s="64" t="str">
        <f>HYPERLINK(AB2 &amp; "/hammer/sn_e21d2f7cfc81a6a0dffb44ff9c0d740f/rendering/17.obj", "5.89098510742")</f>
        <v>5.89098510742</v>
      </c>
      <c r="U1129" s="80" t="str">
        <f>HYPERLINK(AB2 &amp; "/hammer/sn_e21d2f7cfc81a6a0dffb44ff9c0d740f/rendering/18.obj", "5.99681518555")</f>
        <v>5.99681518555</v>
      </c>
      <c r="V1129" s="76" t="str">
        <f>HYPERLINK(AB2 &amp; "/hammer/sn_e21d2f7cfc81a6a0dffb44ff9c0d740f/rendering/19.obj", "5.7547644043")</f>
        <v>5.7547644043</v>
      </c>
      <c r="W1129" s="12" t="s">
        <v>31</v>
      </c>
      <c r="X1129" s="13">
        <v>7.0398336791992184</v>
      </c>
      <c r="Y1129" s="13">
        <v>2.7335421281376129</v>
      </c>
      <c r="Z1129" s="198">
        <v>0.38829640765725498</v>
      </c>
    </row>
    <row r="1130" spans="1:26" x14ac:dyDescent="0.2">
      <c r="A1130" s="1">
        <v>1128</v>
      </c>
      <c r="B1130" s="2" t="s">
        <v>258</v>
      </c>
      <c r="C1130" s="176" t="str">
        <f>HYPERLINK(AB2 &amp; "/hammer/sn_e21d2f7cfc81a6a0dffb44ff9c0d740f/rendering/00.obj", "9.51278686523")</f>
        <v>9.51278686523</v>
      </c>
      <c r="D1130" s="20" t="str">
        <f>HYPERLINK(AB2 &amp; "/hammer/sn_e21d2f7cfc81a6a0dffb44ff9c0d740f/rendering/01.obj", "36.8589401245")</f>
        <v>36.8589401245</v>
      </c>
      <c r="E1130" s="65" t="str">
        <f>HYPERLINK(AB2 &amp; "/hammer/sn_e21d2f7cfc81a6a0dffb44ff9c0d740f/rendering/02.obj", "12.0970449448")</f>
        <v>12.0970449448</v>
      </c>
      <c r="F1130" s="206" t="str">
        <f>HYPERLINK(AB2 &amp; "/hammer/sn_e21d2f7cfc81a6a0dffb44ff9c0d740f/rendering/03.obj", "22.2464065552")</f>
        <v>22.2464065552</v>
      </c>
      <c r="G1130" s="50" t="str">
        <f>HYPERLINK(AB2 &amp; "/hammer/sn_e21d2f7cfc81a6a0dffb44ff9c0d740f/rendering/04.obj", "11.1966323853")</f>
        <v>11.1966323853</v>
      </c>
      <c r="H1130" s="86" t="str">
        <f>HYPERLINK(AB2 &amp; "/hammer/sn_e21d2f7cfc81a6a0dffb44ff9c0d740f/rendering/05.obj", "10.2045564651")</f>
        <v>10.2045564651</v>
      </c>
      <c r="I1130" s="20" t="str">
        <f>HYPERLINK(AB2 &amp; "/hammer/sn_e21d2f7cfc81a6a0dffb44ff9c0d740f/rendering/06.obj", "26.0891036987")</f>
        <v>26.0891036987</v>
      </c>
      <c r="J1130" s="74" t="str">
        <f>HYPERLINK(AB2 &amp; "/hammer/sn_e21d2f7cfc81a6a0dffb44ff9c0d740f/rendering/07.obj", "13.7731103897")</f>
        <v>13.7731103897</v>
      </c>
      <c r="K1130" s="20" t="str">
        <f>HYPERLINK(AB2 &amp; "/hammer/sn_e21d2f7cfc81a6a0dffb44ff9c0d740f/rendering/08.obj", "28.0758304596")</f>
        <v>28.0758304596</v>
      </c>
      <c r="L1130" s="146" t="str">
        <f>HYPERLINK(AB2 &amp; "/hammer/sn_e21d2f7cfc81a6a0dffb44ff9c0d740f/rendering/09.obj", "24.8368396759")</f>
        <v>24.8368396759</v>
      </c>
      <c r="M1130" s="198" t="str">
        <f>HYPERLINK(AB2 &amp; "/hammer/sn_e21d2f7cfc81a6a0dffb44ff9c0d740f/rendering/10.obj", "8.57894802094")</f>
        <v>8.57894802094</v>
      </c>
      <c r="N1130" s="130" t="str">
        <f>HYPERLINK(AB2 &amp; "/hammer/sn_e21d2f7cfc81a6a0dffb44ff9c0d740f/rendering/11.obj", "7.6665802002")</f>
        <v>7.6665802002</v>
      </c>
      <c r="O1130" s="170" t="str">
        <f>HYPERLINK(AB2 &amp; "/hammer/sn_e21d2f7cfc81a6a0dffb44ff9c0d740f/rendering/12.obj", "10.4619264603")</f>
        <v>10.4619264603</v>
      </c>
      <c r="P1130" s="138" t="str">
        <f>HYPERLINK(AB2 &amp; "/hammer/sn_e21d2f7cfc81a6a0dffb44ff9c0d740f/rendering/13.obj", "9.27727985382")</f>
        <v>9.27727985382</v>
      </c>
      <c r="Q1130" s="191" t="str">
        <f>HYPERLINK(AB2 &amp; "/hammer/sn_e21d2f7cfc81a6a0dffb44ff9c0d740f/rendering/14.obj", "7.6157207489")</f>
        <v>7.6157207489</v>
      </c>
      <c r="R1130" s="227" t="str">
        <f>HYPERLINK(AB2 &amp; "/hammer/sn_e21d2f7cfc81a6a0dffb44ff9c0d740f/rendering/15.obj", "6.8506436348")</f>
        <v>6.8506436348</v>
      </c>
      <c r="S1130" s="212" t="str">
        <f>HYPERLINK(AB2 &amp; "/hammer/sn_e21d2f7cfc81a6a0dffb44ff9c0d740f/rendering/16.obj", "7.96463060379")</f>
        <v>7.96463060379</v>
      </c>
      <c r="T1130" s="148" t="str">
        <f>HYPERLINK(AB2 &amp; "/hammer/sn_e21d2f7cfc81a6a0dffb44ff9c0d740f/rendering/17.obj", "7.18672895432")</f>
        <v>7.18672895432</v>
      </c>
      <c r="U1130" s="75" t="str">
        <f>HYPERLINK(AB2 &amp; "/hammer/sn_e21d2f7cfc81a6a0dffb44ff9c0d740f/rendering/18.obj", "10.8942251205")</f>
        <v>10.8942251205</v>
      </c>
      <c r="V1130" s="162" t="str">
        <f>HYPERLINK(AB2 &amp; "/hammer/sn_e21d2f7cfc81a6a0dffb44ff9c0d740f/rendering/19.obj", "8.01513957977")</f>
        <v>8.01513957977</v>
      </c>
      <c r="W1130" s="12" t="s">
        <v>32</v>
      </c>
      <c r="X1130" s="13">
        <v>13.970153737068181</v>
      </c>
      <c r="Y1130" s="13">
        <v>8.4344716823253041</v>
      </c>
      <c r="Z1130" s="167">
        <v>0.60374938179423288</v>
      </c>
    </row>
    <row r="1131" spans="1:26" x14ac:dyDescent="0.2">
      <c r="A1131" s="1">
        <v>1129</v>
      </c>
      <c r="B1131" s="2" t="s">
        <v>258</v>
      </c>
      <c r="C1131" s="13" t="str">
        <f>HYPERLINK(AC2 &amp; "/hammer/sn_e21d2f7cfc81a6a0dffb44ff9c0d740f/rendering/00.xyz", "0.0")</f>
        <v>0.0</v>
      </c>
      <c r="D1131" s="13" t="str">
        <f>HYPERLINK(AC2 &amp; "/hammer/sn_e21d2f7cfc81a6a0dffb44ff9c0d740f/rendering/01.xyz", "0.0")</f>
        <v>0.0</v>
      </c>
      <c r="E1131" s="13" t="str">
        <f>HYPERLINK(AC2 &amp; "/hammer/sn_e21d2f7cfc81a6a0dffb44ff9c0d740f/rendering/02.xyz", "0.0")</f>
        <v>0.0</v>
      </c>
      <c r="F1131" s="13" t="str">
        <f>HYPERLINK(AC2 &amp; "/hammer/sn_e21d2f7cfc81a6a0dffb44ff9c0d740f/rendering/03.xyz", "0.0")</f>
        <v>0.0</v>
      </c>
      <c r="G1131" s="13" t="str">
        <f>HYPERLINK(AC2 &amp; "/hammer/sn_e21d2f7cfc81a6a0dffb44ff9c0d740f/rendering/04.xyz", "0.0")</f>
        <v>0.0</v>
      </c>
      <c r="H1131" s="13" t="str">
        <f>HYPERLINK(AC2 &amp; "/hammer/sn_e21d2f7cfc81a6a0dffb44ff9c0d740f/rendering/05.xyz", "0.0")</f>
        <v>0.0</v>
      </c>
      <c r="I1131" s="13" t="str">
        <f>HYPERLINK(AC2 &amp; "/hammer/sn_e21d2f7cfc81a6a0dffb44ff9c0d740f/rendering/06.xyz", "0.0")</f>
        <v>0.0</v>
      </c>
      <c r="J1131" s="13" t="str">
        <f>HYPERLINK(AC2 &amp; "/hammer/sn_e21d2f7cfc81a6a0dffb44ff9c0d740f/rendering/07.xyz", "0.0")</f>
        <v>0.0</v>
      </c>
      <c r="K1131" s="13" t="str">
        <f>HYPERLINK(AC2 &amp; "/hammer/sn_e21d2f7cfc81a6a0dffb44ff9c0d740f/rendering/08.xyz", "0.0")</f>
        <v>0.0</v>
      </c>
      <c r="L1131" s="13" t="str">
        <f>HYPERLINK(AC2 &amp; "/hammer/sn_e21d2f7cfc81a6a0dffb44ff9c0d740f/rendering/09.xyz", "0.0")</f>
        <v>0.0</v>
      </c>
      <c r="M1131" s="13" t="str">
        <f>HYPERLINK(AC2 &amp; "/hammer/sn_e21d2f7cfc81a6a0dffb44ff9c0d740f/rendering/10.xyz", "0.0")</f>
        <v>0.0</v>
      </c>
      <c r="N1131" s="13" t="str">
        <f>HYPERLINK(AC2 &amp; "/hammer/sn_e21d2f7cfc81a6a0dffb44ff9c0d740f/rendering/11.xyz", "0.0")</f>
        <v>0.0</v>
      </c>
      <c r="O1131" s="13" t="str">
        <f>HYPERLINK(AC2 &amp; "/hammer/sn_e21d2f7cfc81a6a0dffb44ff9c0d740f/rendering/12.xyz", "0.0")</f>
        <v>0.0</v>
      </c>
      <c r="P1131" s="13" t="str">
        <f>HYPERLINK(AC2 &amp; "/hammer/sn_e21d2f7cfc81a6a0dffb44ff9c0d740f/rendering/13.xyz", "0.0")</f>
        <v>0.0</v>
      </c>
      <c r="Q1131" s="13" t="str">
        <f>HYPERLINK(AC2 &amp; "/hammer/sn_e21d2f7cfc81a6a0dffb44ff9c0d740f/rendering/14.xyz", "0.0")</f>
        <v>0.0</v>
      </c>
      <c r="R1131" s="13" t="str">
        <f>HYPERLINK(AC2 &amp; "/hammer/sn_e21d2f7cfc81a6a0dffb44ff9c0d740f/rendering/15.xyz", "0.0")</f>
        <v>0.0</v>
      </c>
      <c r="S1131" s="13" t="str">
        <f>HYPERLINK(AC2 &amp; "/hammer/sn_e21d2f7cfc81a6a0dffb44ff9c0d740f/rendering/16.xyz", "0.0")</f>
        <v>0.0</v>
      </c>
      <c r="T1131" s="13" t="str">
        <f>HYPERLINK(AC2 &amp; "/hammer/sn_e21d2f7cfc81a6a0dffb44ff9c0d740f/rendering/17.xyz", "0.0")</f>
        <v>0.0</v>
      </c>
      <c r="U1131" s="13" t="str">
        <f>HYPERLINK(AC2 &amp; "/hammer/sn_e21d2f7cfc81a6a0dffb44ff9c0d740f/rendering/18.xyz", "0.0")</f>
        <v>0.0</v>
      </c>
      <c r="V1131" s="13" t="str">
        <f>HYPERLINK(AC2 &amp; "/hammer/sn_e21d2f7cfc81a6a0dffb44ff9c0d740f/rendering/19.xyz", "0.0")</f>
        <v>0.0</v>
      </c>
      <c r="W1131" s="12" t="s">
        <v>33</v>
      </c>
      <c r="X1131" s="13">
        <v>0</v>
      </c>
      <c r="Y1131" s="13">
        <v>0</v>
      </c>
      <c r="Z1131" s="13">
        <v>0</v>
      </c>
    </row>
    <row r="1132" spans="1:26" x14ac:dyDescent="0.2">
      <c r="A1132" s="1">
        <v>1130</v>
      </c>
      <c r="B1132" s="2" t="s">
        <v>259</v>
      </c>
      <c r="C1132" s="88" t="str">
        <f>HYPERLINK(AA2 &amp; "/hammer/sn_e37b673bdbdd733dab783994884afad3/rendering/00.obj", "9.77498718262")</f>
        <v>9.77498718262</v>
      </c>
      <c r="D1132" s="84" t="str">
        <f>HYPERLINK(AA2 &amp; "/hammer/sn_e37b673bdbdd733dab783994884afad3/rendering/01.obj", "10.4629760742")</f>
        <v>10.4629760742</v>
      </c>
      <c r="E1132" s="55" t="str">
        <f>HYPERLINK(AA2 &amp; "/hammer/sn_e37b673bdbdd733dab783994884afad3/rendering/02.obj", "9.88881835937")</f>
        <v>9.88881835937</v>
      </c>
      <c r="F1132" s="6" t="str">
        <f>HYPERLINK(AA2 &amp; "/hammer/sn_e37b673bdbdd733dab783994884afad3/rendering/03.obj", "12.8242114258")</f>
        <v>12.8242114258</v>
      </c>
      <c r="G1132" s="76" t="str">
        <f>HYPERLINK(AA2 &amp; "/hammer/sn_e37b673bdbdd733dab783994884afad3/rendering/04.obj", "10.0077954102")</f>
        <v>10.0077954102</v>
      </c>
      <c r="H1132" s="86" t="str">
        <f>HYPERLINK(AA2 &amp; "/hammer/sn_e37b673bdbdd733dab783994884afad3/rendering/05.obj", "8.96430053711")</f>
        <v>8.96430053711</v>
      </c>
      <c r="I1132" s="71" t="str">
        <f>HYPERLINK(AA2 &amp; "/hammer/sn_e37b673bdbdd733dab783994884afad3/rendering/06.obj", "10.8123364258")</f>
        <v>10.8123364258</v>
      </c>
      <c r="J1132" s="175" t="str">
        <f>HYPERLINK(AA2 &amp; "/hammer/sn_e37b673bdbdd733dab783994884afad3/rendering/07.obj", "15.1470385742")</f>
        <v>15.1470385742</v>
      </c>
      <c r="K1132" s="42" t="str">
        <f>HYPERLINK(AA2 &amp; "/hammer/sn_e37b673bdbdd733dab783994884afad3/rendering/08.obj", "10.5817248535")</f>
        <v>10.5817248535</v>
      </c>
      <c r="L1132" s="106" t="str">
        <f>HYPERLINK(AA2 &amp; "/hammer/sn_e37b673bdbdd733dab783994884afad3/rendering/09.obj", "10.844831543")</f>
        <v>10.844831543</v>
      </c>
      <c r="M1132" s="47" t="str">
        <f>HYPERLINK(AA2 &amp; "/hammer/sn_e37b673bdbdd733dab783994884afad3/rendering/10.obj", "12.3518164063")</f>
        <v>12.3518164063</v>
      </c>
      <c r="N1132" s="20" t="str">
        <f>HYPERLINK(AA2 &amp; "/hammer/sn_e37b673bdbdd733dab783994884afad3/rendering/11.obj", "24.32625")</f>
        <v>24.32625</v>
      </c>
      <c r="O1132" s="147" t="str">
        <f>HYPERLINK(AA2 &amp; "/hammer/sn_e37b673bdbdd733dab783994884afad3/rendering/12.obj", "18.2409643555")</f>
        <v>18.2409643555</v>
      </c>
      <c r="P1132" s="32" t="str">
        <f>HYPERLINK(AA2 &amp; "/hammer/sn_e37b673bdbdd733dab783994884afad3/rendering/13.obj", "10.9699511719")</f>
        <v>10.9699511719</v>
      </c>
      <c r="Q1132" s="132" t="str">
        <f>HYPERLINK(AA2 &amp; "/hammer/sn_e37b673bdbdd733dab783994884afad3/rendering/14.obj", "7.14372436523")</f>
        <v>7.14372436523</v>
      </c>
      <c r="R1132" s="146" t="str">
        <f>HYPERLINK(AA2 &amp; "/hammer/sn_e37b673bdbdd733dab783994884afad3/rendering/15.obj", "21.8015966797")</f>
        <v>21.8015966797</v>
      </c>
      <c r="S1132" s="200" t="str">
        <f>HYPERLINK(AA2 &amp; "/hammer/sn_e37b673bdbdd733dab783994884afad3/rendering/16.obj", "6.388984375")</f>
        <v>6.388984375</v>
      </c>
      <c r="T1132" s="122" t="str">
        <f>HYPERLINK(AA2 &amp; "/hammer/sn_e37b673bdbdd733dab783994884afad3/rendering/17.obj", "17.2198486328")</f>
        <v>17.2198486328</v>
      </c>
      <c r="U1132" s="200" t="str">
        <f>HYPERLINK(AA2 &amp; "/hammer/sn_e37b673bdbdd733dab783994884afad3/rendering/18.obj", "6.38620178223")</f>
        <v>6.38620178223</v>
      </c>
      <c r="V1132" s="39" t="str">
        <f>HYPERLINK(AA2 &amp; "/hammer/sn_e37b673bdbdd733dab783994884afad3/rendering/19.obj", "11.2042102051")</f>
        <v>11.2042102051</v>
      </c>
      <c r="W1132" s="12" t="s">
        <v>29</v>
      </c>
      <c r="X1132" s="13">
        <v>12.267128417968751</v>
      </c>
      <c r="Y1132" s="13">
        <v>4.698249352500298</v>
      </c>
      <c r="Z1132" s="172">
        <v>0.38299504109033022</v>
      </c>
    </row>
    <row r="1133" spans="1:26" x14ac:dyDescent="0.2">
      <c r="A1133" s="1">
        <v>1131</v>
      </c>
      <c r="B1133" s="2" t="s">
        <v>259</v>
      </c>
      <c r="C1133" s="48" t="str">
        <f>HYPERLINK(AA2 &amp; "/hammer/sn_e37b673bdbdd733dab783994884afad3/rendering/00.obj", "46.9527053833")</f>
        <v>46.9527053833</v>
      </c>
      <c r="D1133" s="25" t="str">
        <f>HYPERLINK(AA2 &amp; "/hammer/sn_e37b673bdbdd733dab783994884afad3/rendering/01.obj", "46.3343811035")</f>
        <v>46.3343811035</v>
      </c>
      <c r="E1133" s="186" t="str">
        <f>HYPERLINK(AA2 &amp; "/hammer/sn_e37b673bdbdd733dab783994884afad3/rendering/02.obj", "18.3263702393")</f>
        <v>18.3263702393</v>
      </c>
      <c r="F1133" s="95" t="str">
        <f>HYPERLINK(AA2 &amp; "/hammer/sn_e37b673bdbdd733dab783994884afad3/rendering/03.obj", "58.7687797546")</f>
        <v>58.7687797546</v>
      </c>
      <c r="G1133" s="172" t="str">
        <f>HYPERLINK(AA2 &amp; "/hammer/sn_e37b673bdbdd733dab783994884afad3/rendering/04.obj", "28.2458934784")</f>
        <v>28.2458934784</v>
      </c>
      <c r="H1133" s="114" t="str">
        <f>HYPERLINK(AA2 &amp; "/hammer/sn_e37b673bdbdd733dab783994884afad3/rendering/05.obj", "24.7565479279")</f>
        <v>24.7565479279</v>
      </c>
      <c r="I1133" s="83" t="str">
        <f>HYPERLINK(AA2 &amp; "/hammer/sn_e37b673bdbdd733dab783994884afad3/rendering/06.obj", "38.902053833")</f>
        <v>38.902053833</v>
      </c>
      <c r="J1133" s="20" t="str">
        <f>HYPERLINK(AA2 &amp; "/hammer/sn_e37b673bdbdd733dab783994884afad3/rendering/07.obj", "92.0184555054")</f>
        <v>92.0184555054</v>
      </c>
      <c r="K1133" s="174" t="str">
        <f>HYPERLINK(AA2 &amp; "/hammer/sn_e37b673bdbdd733dab783994884afad3/rendering/08.obj", "21.7479114532")</f>
        <v>21.7479114532</v>
      </c>
      <c r="L1133" s="159" t="str">
        <f>HYPERLINK(AA2 &amp; "/hammer/sn_e37b673bdbdd733dab783994884afad3/rendering/09.obj", "67.2951965332")</f>
        <v>67.2951965332</v>
      </c>
      <c r="M1133" s="43" t="str">
        <f>HYPERLINK(AA2 &amp; "/hammer/sn_e37b673bdbdd733dab783994884afad3/rendering/10.obj", "28.6697731018")</f>
        <v>28.6697731018</v>
      </c>
      <c r="N1133" s="20" t="str">
        <f>HYPERLINK(AA2 &amp; "/hammer/sn_e37b673bdbdd733dab783994884afad3/rendering/11.obj", "122.369865417")</f>
        <v>122.369865417</v>
      </c>
      <c r="O1133" s="85" t="str">
        <f>HYPERLINK(AA2 &amp; "/hammer/sn_e37b673bdbdd733dab783994884afad3/rendering/12.obj", "59.4492340088")</f>
        <v>59.4492340088</v>
      </c>
      <c r="P1133" s="16" t="str">
        <f>HYPERLINK(AA2 &amp; "/hammer/sn_e37b673bdbdd733dab783994884afad3/rendering/13.obj", "20.8646450043")</f>
        <v>20.8646450043</v>
      </c>
      <c r="Q1133" s="243" t="str">
        <f>HYPERLINK(AA2 &amp; "/hammer/sn_e37b673bdbdd733dab783994884afad3/rendering/14.obj", "10.1299772263")</f>
        <v>10.1299772263</v>
      </c>
      <c r="R1133" s="20" t="str">
        <f>HYPERLINK(AA2 &amp; "/hammer/sn_e37b673bdbdd733dab783994884afad3/rendering/15.obj", "91.0491027832")</f>
        <v>91.0491027832</v>
      </c>
      <c r="S1133" s="254" t="str">
        <f>HYPERLINK(AA2 &amp; "/hammer/sn_e37b673bdbdd733dab783994884afad3/rendering/16.obj", "10.3507032394")</f>
        <v>10.3507032394</v>
      </c>
      <c r="T1133" s="83" t="str">
        <f>HYPERLINK(AA2 &amp; "/hammer/sn_e37b673bdbdd733dab783994884afad3/rendering/17.obj", "52.8727874756")</f>
        <v>52.8727874756</v>
      </c>
      <c r="U1133" s="146" t="str">
        <f>HYPERLINK(AA2 &amp; "/hammer/sn_e37b673bdbdd733dab783994884afad3/rendering/18.obj", "10.2232847214")</f>
        <v>10.2232847214</v>
      </c>
      <c r="V1133" s="143" t="str">
        <f>HYPERLINK(AA2 &amp; "/hammer/sn_e37b673bdbdd733dab783994884afad3/rendering/19.obj", "67.5053329468")</f>
        <v>67.5053329468</v>
      </c>
      <c r="W1133" s="12" t="s">
        <v>30</v>
      </c>
      <c r="X1133" s="13">
        <v>45.841650056838994</v>
      </c>
      <c r="Y1133" s="13">
        <v>30.189080690270991</v>
      </c>
      <c r="Z1133" s="9">
        <v>0.65855135347090688</v>
      </c>
    </row>
    <row r="1134" spans="1:26" x14ac:dyDescent="0.2">
      <c r="A1134" s="1">
        <v>1132</v>
      </c>
      <c r="B1134" s="2" t="s">
        <v>259</v>
      </c>
      <c r="C1134" s="24" t="str">
        <f>HYPERLINK(AB2 &amp; "/hammer/sn_e37b673bdbdd733dab783994884afad3/rendering/00.obj", "5.91950927734")</f>
        <v>5.91950927734</v>
      </c>
      <c r="D1134" s="31" t="str">
        <f>HYPERLINK(AB2 &amp; "/hammer/sn_e37b673bdbdd733dab783994884afad3/rendering/01.obj", "8.231484375")</f>
        <v>8.231484375</v>
      </c>
      <c r="E1134" s="135" t="str">
        <f>HYPERLINK(AB2 &amp; "/hammer/sn_e37b673bdbdd733dab783994884afad3/rendering/02.obj", "5.29403930664")</f>
        <v>5.29403930664</v>
      </c>
      <c r="F1134" s="83" t="str">
        <f>HYPERLINK(AB2 &amp; "/hammer/sn_e37b673bdbdd733dab783994884afad3/rendering/03.obj", "8.20545166016")</f>
        <v>8.20545166016</v>
      </c>
      <c r="G1134" s="87" t="str">
        <f>HYPERLINK(AB2 &amp; "/hammer/sn_e37b673bdbdd733dab783994884afad3/rendering/04.obj", "5.49552490234")</f>
        <v>5.49552490234</v>
      </c>
      <c r="H1134" s="19" t="str">
        <f>HYPERLINK(AB2 &amp; "/hammer/sn_e37b673bdbdd733dab783994884afad3/rendering/05.obj", "8.97301391602")</f>
        <v>8.97301391602</v>
      </c>
      <c r="I1134" s="129" t="str">
        <f>HYPERLINK(AB2 &amp; "/hammer/sn_e37b673bdbdd733dab783994884afad3/rendering/06.obj", "8.89078125")</f>
        <v>8.89078125</v>
      </c>
      <c r="J1134" s="54" t="str">
        <f>HYPERLINK(AB2 &amp; "/hammer/sn_e37b673bdbdd733dab783994884afad3/rendering/07.obj", "4.77995788574")</f>
        <v>4.77995788574</v>
      </c>
      <c r="K1134" s="7" t="str">
        <f>HYPERLINK(AB2 &amp; "/hammer/sn_e37b673bdbdd733dab783994884afad3/rendering/08.obj", "5.13938354492")</f>
        <v>5.13938354492</v>
      </c>
      <c r="L1134" s="78" t="str">
        <f>HYPERLINK(AB2 &amp; "/hammer/sn_e37b673bdbdd733dab783994884afad3/rendering/09.obj", "6.68717102051")</f>
        <v>6.68717102051</v>
      </c>
      <c r="M1134" s="24" t="str">
        <f>HYPERLINK(AB2 &amp; "/hammer/sn_e37b673bdbdd733dab783994884afad3/rendering/10.obj", "5.9148059082")</f>
        <v>5.9148059082</v>
      </c>
      <c r="N1134" s="255" t="str">
        <f>HYPERLINK(AB2 &amp; "/hammer/sn_e37b673bdbdd733dab783994884afad3/rendering/11.obj", "12.2592236328")</f>
        <v>12.2592236328</v>
      </c>
      <c r="O1134" s="63" t="str">
        <f>HYPERLINK(AB2 &amp; "/hammer/sn_e37b673bdbdd733dab783994884afad3/rendering/12.obj", "6.25280578613")</f>
        <v>6.25280578613</v>
      </c>
      <c r="P1134" s="175" t="str">
        <f>HYPERLINK(AB2 &amp; "/hammer/sn_e37b673bdbdd733dab783994884afad3/rendering/13.obj", "5.45131530762")</f>
        <v>5.45131530762</v>
      </c>
      <c r="Q1134" s="133" t="str">
        <f>HYPERLINK(AB2 &amp; "/hammer/sn_e37b673bdbdd733dab783994884afad3/rendering/14.obj", "7.84368896484")</f>
        <v>7.84368896484</v>
      </c>
      <c r="R1134" s="221" t="str">
        <f>HYPERLINK(AB2 &amp; "/hammer/sn_e37b673bdbdd733dab783994884afad3/rendering/15.obj", "11.0825805664")</f>
        <v>11.0825805664</v>
      </c>
      <c r="S1134" s="78" t="str">
        <f>HYPERLINK(AB2 &amp; "/hammer/sn_e37b673bdbdd733dab783994884afad3/rendering/16.obj", "7.55328186035")</f>
        <v>7.55328186035</v>
      </c>
      <c r="T1134" s="175" t="str">
        <f>HYPERLINK(AB2 &amp; "/hammer/sn_e37b673bdbdd733dab783994884afad3/rendering/17.obj", "5.44861083984")</f>
        <v>5.44861083984</v>
      </c>
      <c r="U1134" s="55" t="str">
        <f>HYPERLINK(AB2 &amp; "/hammer/sn_e37b673bdbdd733dab783994884afad3/rendering/18.obj", "5.7478503418")</f>
        <v>5.7478503418</v>
      </c>
      <c r="V1134" s="30" t="str">
        <f>HYPERLINK(AB2 &amp; "/hammer/sn_e37b673bdbdd733dab783994884afad3/rendering/19.obj", "7.15222106934")</f>
        <v>7.15222106934</v>
      </c>
      <c r="W1134" s="12" t="s">
        <v>31</v>
      </c>
      <c r="X1134" s="13">
        <v>7.116135070800782</v>
      </c>
      <c r="Y1134" s="13">
        <v>1.98083776730044</v>
      </c>
      <c r="Z1134" s="7">
        <v>0.27835865221674821</v>
      </c>
    </row>
    <row r="1135" spans="1:26" x14ac:dyDescent="0.2">
      <c r="A1135" s="1">
        <v>1133</v>
      </c>
      <c r="B1135" s="2" t="s">
        <v>259</v>
      </c>
      <c r="C1135" s="39" t="str">
        <f>HYPERLINK(AB2 &amp; "/hammer/sn_e37b673bdbdd733dab783994884afad3/rendering/00.obj", "13.6700754166")</f>
        <v>13.6700754166</v>
      </c>
      <c r="D1135" s="154" t="str">
        <f>HYPERLINK(AB2 &amp; "/hammer/sn_e37b673bdbdd733dab783994884afad3/rendering/01.obj", "26.1294555664")</f>
        <v>26.1294555664</v>
      </c>
      <c r="E1135" s="104" t="str">
        <f>HYPERLINK(AB2 &amp; "/hammer/sn_e37b673bdbdd733dab783994884afad3/rendering/02.obj", "7.83427524567")</f>
        <v>7.83427524567</v>
      </c>
      <c r="F1135" s="20" t="str">
        <f>HYPERLINK(AB2 &amp; "/hammer/sn_e37b673bdbdd733dab783994884afad3/rendering/03.obj", "33.3556976318")</f>
        <v>33.3556976318</v>
      </c>
      <c r="G1135" s="212" t="str">
        <f>HYPERLINK(AB2 &amp; "/hammer/sn_e37b673bdbdd733dab783994884afad3/rendering/04.obj", "8.49892139435")</f>
        <v>8.49892139435</v>
      </c>
      <c r="H1135" s="33" t="str">
        <f>HYPERLINK(AB2 &amp; "/hammer/sn_e37b673bdbdd733dab783994884afad3/rendering/05.obj", "16.5825538635")</f>
        <v>16.5825538635</v>
      </c>
      <c r="I1135" s="20" t="str">
        <f>HYPERLINK(AB2 &amp; "/hammer/sn_e37b673bdbdd733dab783994884afad3/rendering/06.obj", "36.9035339355")</f>
        <v>36.9035339355</v>
      </c>
      <c r="J1135" s="228" t="str">
        <f>HYPERLINK(AB2 &amp; "/hammer/sn_e37b673bdbdd733dab783994884afad3/rendering/07.obj", "7.03230619431")</f>
        <v>7.03230619431</v>
      </c>
      <c r="K1135" s="227" t="str">
        <f>HYPERLINK(AB2 &amp; "/hammer/sn_e37b673bdbdd733dab783994884afad3/rendering/08.obj", "7.32335758209")</f>
        <v>7.32335758209</v>
      </c>
      <c r="L1135" s="93" t="str">
        <f>HYPERLINK(AB2 &amp; "/hammer/sn_e37b673bdbdd733dab783994884afad3/rendering/09.obj", "17.050983429")</f>
        <v>17.050983429</v>
      </c>
      <c r="M1135" s="230" t="str">
        <f>HYPERLINK(AB2 &amp; "/hammer/sn_e37b673bdbdd733dab783994884afad3/rendering/10.obj", "8.12408065796")</f>
        <v>8.12408065796</v>
      </c>
      <c r="N1135" s="158" t="str">
        <f>HYPERLINK(AB2 &amp; "/hammer/sn_e37b673bdbdd733dab783994884afad3/rendering/11.obj", "21.0933303833")</f>
        <v>21.0933303833</v>
      </c>
      <c r="O1135" s="142" t="str">
        <f>HYPERLINK(AB2 &amp; "/hammer/sn_e37b673bdbdd733dab783994884afad3/rendering/12.obj", "9.08494186401")</f>
        <v>9.08494186401</v>
      </c>
      <c r="P1135" s="105" t="str">
        <f>HYPERLINK(AB2 &amp; "/hammer/sn_e37b673bdbdd733dab783994884afad3/rendering/13.obj", "7.27609395981")</f>
        <v>7.27609395981</v>
      </c>
      <c r="Q1135" s="107" t="str">
        <f>HYPERLINK(AB2 &amp; "/hammer/sn_e37b673bdbdd733dab783994884afad3/rendering/14.obj", "13.7307386398")</f>
        <v>13.7307386398</v>
      </c>
      <c r="R1135" s="100" t="str">
        <f>HYPERLINK(AB2 &amp; "/hammer/sn_e37b673bdbdd733dab783994884afad3/rendering/15.obj", "19.4694156647")</f>
        <v>19.4694156647</v>
      </c>
      <c r="S1135" s="77" t="str">
        <f>HYPERLINK(AB2 &amp; "/hammer/sn_e37b673bdbdd733dab783994884afad3/rendering/16.obj", "12.1671495438")</f>
        <v>12.1671495438</v>
      </c>
      <c r="T1135" s="22" t="str">
        <f>HYPERLINK(AB2 &amp; "/hammer/sn_e37b673bdbdd733dab783994884afad3/rendering/17.obj", "7.15660619736")</f>
        <v>7.15660619736</v>
      </c>
      <c r="U1135" s="200" t="str">
        <f>HYPERLINK(AB2 &amp; "/hammer/sn_e37b673bdbdd733dab783994884afad3/rendering/18.obj", "7.8169503212")</f>
        <v>7.8169503212</v>
      </c>
      <c r="V1135" s="113" t="str">
        <f>HYPERLINK(AB2 &amp; "/hammer/sn_e37b673bdbdd733dab783994884afad3/rendering/19.obj", "19.0950622559")</f>
        <v>19.0950622559</v>
      </c>
      <c r="W1135" s="12" t="s">
        <v>32</v>
      </c>
      <c r="X1135" s="13">
        <v>14.96977648735046</v>
      </c>
      <c r="Y1135" s="13">
        <v>8.6706376895751198</v>
      </c>
      <c r="Z1135" s="18">
        <v>0.57920956247421951</v>
      </c>
    </row>
    <row r="1136" spans="1:26" x14ac:dyDescent="0.2">
      <c r="A1136" s="1">
        <v>1134</v>
      </c>
      <c r="B1136" s="2" t="s">
        <v>259</v>
      </c>
      <c r="C1136" s="13" t="str">
        <f>HYPERLINK(AC2 &amp; "/hammer/sn_e37b673bdbdd733dab783994884afad3/rendering/00.xyz", "0.0")</f>
        <v>0.0</v>
      </c>
      <c r="D1136" s="13" t="str">
        <f>HYPERLINK(AC2 &amp; "/hammer/sn_e37b673bdbdd733dab783994884afad3/rendering/01.xyz", "0.0")</f>
        <v>0.0</v>
      </c>
      <c r="E1136" s="13" t="str">
        <f>HYPERLINK(AC2 &amp; "/hammer/sn_e37b673bdbdd733dab783994884afad3/rendering/02.xyz", "0.0")</f>
        <v>0.0</v>
      </c>
      <c r="F1136" s="13" t="str">
        <f>HYPERLINK(AC2 &amp; "/hammer/sn_e37b673bdbdd733dab783994884afad3/rendering/03.xyz", "0.0")</f>
        <v>0.0</v>
      </c>
      <c r="G1136" s="13" t="str">
        <f>HYPERLINK(AC2 &amp; "/hammer/sn_e37b673bdbdd733dab783994884afad3/rendering/04.xyz", "0.0")</f>
        <v>0.0</v>
      </c>
      <c r="H1136" s="13" t="str">
        <f>HYPERLINK(AC2 &amp; "/hammer/sn_e37b673bdbdd733dab783994884afad3/rendering/05.xyz", "0.0")</f>
        <v>0.0</v>
      </c>
      <c r="I1136" s="13" t="str">
        <f>HYPERLINK(AC2 &amp; "/hammer/sn_e37b673bdbdd733dab783994884afad3/rendering/06.xyz", "0.0")</f>
        <v>0.0</v>
      </c>
      <c r="J1136" s="13" t="str">
        <f>HYPERLINK(AC2 &amp; "/hammer/sn_e37b673bdbdd733dab783994884afad3/rendering/07.xyz", "0.0")</f>
        <v>0.0</v>
      </c>
      <c r="K1136" s="13" t="str">
        <f>HYPERLINK(AC2 &amp; "/hammer/sn_e37b673bdbdd733dab783994884afad3/rendering/08.xyz", "0.0")</f>
        <v>0.0</v>
      </c>
      <c r="L1136" s="13" t="str">
        <f>HYPERLINK(AC2 &amp; "/hammer/sn_e37b673bdbdd733dab783994884afad3/rendering/09.xyz", "0.0")</f>
        <v>0.0</v>
      </c>
      <c r="M1136" s="13" t="str">
        <f>HYPERLINK(AC2 &amp; "/hammer/sn_e37b673bdbdd733dab783994884afad3/rendering/10.xyz", "0.0")</f>
        <v>0.0</v>
      </c>
      <c r="N1136" s="13" t="str">
        <f>HYPERLINK(AC2 &amp; "/hammer/sn_e37b673bdbdd733dab783994884afad3/rendering/11.xyz", "0.0")</f>
        <v>0.0</v>
      </c>
      <c r="O1136" s="13" t="str">
        <f>HYPERLINK(AC2 &amp; "/hammer/sn_e37b673bdbdd733dab783994884afad3/rendering/12.xyz", "0.0")</f>
        <v>0.0</v>
      </c>
      <c r="P1136" s="13" t="str">
        <f>HYPERLINK(AC2 &amp; "/hammer/sn_e37b673bdbdd733dab783994884afad3/rendering/13.xyz", "0.0")</f>
        <v>0.0</v>
      </c>
      <c r="Q1136" s="13" t="str">
        <f>HYPERLINK(AC2 &amp; "/hammer/sn_e37b673bdbdd733dab783994884afad3/rendering/14.xyz", "0.0")</f>
        <v>0.0</v>
      </c>
      <c r="R1136" s="13" t="str">
        <f>HYPERLINK(AC2 &amp; "/hammer/sn_e37b673bdbdd733dab783994884afad3/rendering/15.xyz", "0.0")</f>
        <v>0.0</v>
      </c>
      <c r="S1136" s="13" t="str">
        <f>HYPERLINK(AC2 &amp; "/hammer/sn_e37b673bdbdd733dab783994884afad3/rendering/16.xyz", "0.0")</f>
        <v>0.0</v>
      </c>
      <c r="T1136" s="13" t="str">
        <f>HYPERLINK(AC2 &amp; "/hammer/sn_e37b673bdbdd733dab783994884afad3/rendering/17.xyz", "0.0")</f>
        <v>0.0</v>
      </c>
      <c r="U1136" s="13" t="str">
        <f>HYPERLINK(AC2 &amp; "/hammer/sn_e37b673bdbdd733dab783994884afad3/rendering/18.xyz", "0.0")</f>
        <v>0.0</v>
      </c>
      <c r="V1136" s="13" t="str">
        <f>HYPERLINK(AC2 &amp; "/hammer/sn_e37b673bdbdd733dab783994884afad3/rendering/19.xyz", "0.0")</f>
        <v>0.0</v>
      </c>
      <c r="W1136" s="12" t="s">
        <v>33</v>
      </c>
      <c r="X1136" s="13">
        <v>0</v>
      </c>
      <c r="Y1136" s="13">
        <v>0</v>
      </c>
      <c r="Z1136" s="13">
        <v>0</v>
      </c>
    </row>
    <row r="1137" spans="1:26" x14ac:dyDescent="0.2">
      <c r="A1137" s="1">
        <v>1135</v>
      </c>
      <c r="B1137" s="261" t="s">
        <v>260</v>
      </c>
      <c r="C1137" s="151" t="str">
        <f>HYPERLINK(AA2 &amp; "/hammer/sn_e3c162f6eb6fadf98ff473ba9bbcae59/rendering/00.obj", "7.3946270752")</f>
        <v>7.3946270752</v>
      </c>
      <c r="D1137" s="44" t="str">
        <f>HYPERLINK(AA2 &amp; "/hammer/sn_e3c162f6eb6fadf98ff473ba9bbcae59/rendering/01.obj", "13.8276879883")</f>
        <v>13.8276879883</v>
      </c>
      <c r="E1137" s="20" t="str">
        <f>HYPERLINK(AA2 &amp; "/hammer/sn_e3c162f6eb6fadf98ff473ba9bbcae59/rendering/02.obj", "21.6501074219")</f>
        <v>21.6501074219</v>
      </c>
      <c r="F1137" s="114" t="str">
        <f>HYPERLINK(AA2 &amp; "/hammer/sn_e3c162f6eb6fadf98ff473ba9bbcae59/rendering/03.obj", "16.8717993164")</f>
        <v>16.8717993164</v>
      </c>
      <c r="G1137" s="89" t="str">
        <f>HYPERLINK(AA2 &amp; "/hammer/sn_e3c162f6eb6fadf98ff473ba9bbcae59/rendering/04.obj", "8.54723937988")</f>
        <v>8.54723937988</v>
      </c>
      <c r="H1137" s="67" t="str">
        <f>HYPERLINK(AA2 &amp; "/hammer/sn_e3c162f6eb6fadf98ff473ba9bbcae59/rendering/05.obj", "10.4825366211")</f>
        <v>10.4825366211</v>
      </c>
      <c r="I1137" s="85" t="str">
        <f>HYPERLINK(AA2 &amp; "/hammer/sn_e3c162f6eb6fadf98ff473ba9bbcae59/rendering/06.obj", "8.12872314453")</f>
        <v>8.12872314453</v>
      </c>
      <c r="J1137" s="127" t="str">
        <f>HYPERLINK(AA2 &amp; "/hammer/sn_e3c162f6eb6fadf98ff473ba9bbcae59/rendering/07.obj", "5.56280273438")</f>
        <v>5.56280273438</v>
      </c>
      <c r="K1137" s="105" t="str">
        <f>HYPERLINK(AA2 &amp; "/hammer/sn_e3c162f6eb6fadf98ff473ba9bbcae59/rendering/08.obj", "5.60739746094")</f>
        <v>5.60739746094</v>
      </c>
      <c r="L1137" s="76" t="str">
        <f>HYPERLINK(AA2 &amp; "/hammer/sn_e3c162f6eb6fadf98ff473ba9bbcae59/rendering/09.obj", "9.41488525391")</f>
        <v>9.41488525391</v>
      </c>
      <c r="M1137" s="85" t="str">
        <f>HYPERLINK(AA2 &amp; "/hammer/sn_e3c162f6eb6fadf98ff473ba9bbcae59/rendering/10.obj", "8.14036010742")</f>
        <v>8.14036010742</v>
      </c>
      <c r="N1137" s="7" t="str">
        <f>HYPERLINK(AA2 &amp; "/hammer/sn_e3c162f6eb6fadf98ff473ba9bbcae59/rendering/11.obj", "8.34691650391")</f>
        <v>8.34691650391</v>
      </c>
      <c r="O1137" s="111" t="str">
        <f>HYPERLINK(AA2 &amp; "/hammer/sn_e3c162f6eb6fadf98ff473ba9bbcae59/rendering/12.obj", "6.66857666016")</f>
        <v>6.66857666016</v>
      </c>
      <c r="P1137" s="20" t="str">
        <f>HYPERLINK(AA2 &amp; "/hammer/sn_e3c162f6eb6fadf98ff473ba9bbcae59/rendering/13.obj", "26.6339794922")</f>
        <v>26.6339794922</v>
      </c>
      <c r="Q1137" s="116" t="str">
        <f>HYPERLINK(AA2 &amp; "/hammer/sn_e3c162f6eb6fadf98ff473ba9bbcae59/rendering/14.obj", "6.49316894531")</f>
        <v>6.49316894531</v>
      </c>
      <c r="R1137" s="36" t="str">
        <f>HYPERLINK(AA2 &amp; "/hammer/sn_e3c162f6eb6fadf98ff473ba9bbcae59/rendering/15.obj", "9.07534851074")</f>
        <v>9.07534851074</v>
      </c>
      <c r="S1137" s="20" t="str">
        <f>HYPERLINK(AA2 &amp; "/hammer/sn_e3c162f6eb6fadf98ff473ba9bbcae59/rendering/16.obj", "24.2236645508")</f>
        <v>24.2236645508</v>
      </c>
      <c r="T1137" s="103" t="str">
        <f>HYPERLINK(AA2 &amp; "/hammer/sn_e3c162f6eb6fadf98ff473ba9bbcae59/rendering/17.obj", "7.80591918945")</f>
        <v>7.80591918945</v>
      </c>
      <c r="U1137" s="52" t="str">
        <f>HYPERLINK(AA2 &amp; "/hammer/sn_e3c162f6eb6fadf98ff473ba9bbcae59/rendering/18.obj", "6.91106750488")</f>
        <v>6.91106750488</v>
      </c>
      <c r="V1137" s="248" t="str">
        <f>HYPERLINK(AA2 &amp; "/hammer/sn_e3c162f6eb6fadf98ff473ba9bbcae59/rendering/19.obj", "19.1591345215")</f>
        <v>19.1591345215</v>
      </c>
      <c r="W1137" s="12" t="s">
        <v>29</v>
      </c>
      <c r="X1137" s="13">
        <v>11.54729711914063</v>
      </c>
      <c r="Y1137" s="13">
        <v>6.3614605669583772</v>
      </c>
      <c r="Z1137" s="141">
        <v>0.55090472699569804</v>
      </c>
    </row>
    <row r="1138" spans="1:26" x14ac:dyDescent="0.2">
      <c r="A1138" s="1">
        <v>1136</v>
      </c>
      <c r="B1138" s="261" t="s">
        <v>260</v>
      </c>
      <c r="C1138" s="242" t="str">
        <f>HYPERLINK(AA2 &amp; "/hammer/sn_e3c162f6eb6fadf98ff473ba9bbcae59/rendering/00.obj", "7.1193561554")</f>
        <v>7.1193561554</v>
      </c>
      <c r="D1138" s="153" t="str">
        <f>HYPERLINK(AA2 &amp; "/hammer/sn_e3c162f6eb6fadf98ff473ba9bbcae59/rendering/01.obj", "36.0471878052")</f>
        <v>36.0471878052</v>
      </c>
      <c r="E1138" s="20" t="str">
        <f>HYPERLINK(AA2 &amp; "/hammer/sn_e3c162f6eb6fadf98ff473ba9bbcae59/rendering/02.obj", "66.6880493164")</f>
        <v>66.6880493164</v>
      </c>
      <c r="F1138" s="142" t="str">
        <f>HYPERLINK(AA2 &amp; "/hammer/sn_e3c162f6eb6fadf98ff473ba9bbcae59/rendering/03.obj", "37.0167655945")</f>
        <v>37.0167655945</v>
      </c>
      <c r="G1138" s="177" t="str">
        <f>HYPERLINK(AA2 &amp; "/hammer/sn_e3c162f6eb6fadf98ff473ba9bbcae59/rendering/04.obj", "12.3947210312")</f>
        <v>12.3947210312</v>
      </c>
      <c r="H1138" s="43" t="str">
        <f>HYPERLINK(AA2 &amp; "/hammer/sn_e3c162f6eb6fadf98ff473ba9bbcae59/rendering/05.obj", "16.6319236755")</f>
        <v>16.6319236755</v>
      </c>
      <c r="I1138" s="202" t="str">
        <f>HYPERLINK(AA2 &amp; "/hammer/sn_e3c162f6eb6fadf98ff473ba9bbcae59/rendering/06.obj", "9.85060310364")</f>
        <v>9.85060310364</v>
      </c>
      <c r="J1138" s="20" t="str">
        <f>HYPERLINK(AA2 &amp; "/hammer/sn_e3c162f6eb6fadf98ff473ba9bbcae59/rendering/07.obj", "4.41372680664")</f>
        <v>4.41372680664</v>
      </c>
      <c r="K1138" s="146" t="str">
        <f>HYPERLINK(AA2 &amp; "/hammer/sn_e3c162f6eb6fadf98ff473ba9bbcae59/rendering/08.obj", "5.90666627884")</f>
        <v>5.90666627884</v>
      </c>
      <c r="L1138" s="223" t="str">
        <f>HYPERLINK(AA2 &amp; "/hammer/sn_e3c162f6eb6fadf98ff473ba9bbcae59/rendering/09.obj", "11.683467865")</f>
        <v>11.683467865</v>
      </c>
      <c r="M1138" s="226" t="str">
        <f>HYPERLINK(AA2 &amp; "/hammer/sn_e3c162f6eb6fadf98ff473ba9bbcae59/rendering/10.obj", "11.6021976471")</f>
        <v>11.6021976471</v>
      </c>
      <c r="N1138" s="189" t="str">
        <f>HYPERLINK(AA2 &amp; "/hammer/sn_e3c162f6eb6fadf98ff473ba9bbcae59/rendering/11.obj", "9.9366979599")</f>
        <v>9.9366979599</v>
      </c>
      <c r="O1138" s="188" t="str">
        <f>HYPERLINK(AA2 &amp; "/hammer/sn_e3c162f6eb6fadf98ff473ba9bbcae59/rendering/12.obj", "7.48371696472")</f>
        <v>7.48371696472</v>
      </c>
      <c r="P1138" s="20" t="str">
        <f>HYPERLINK(AA2 &amp; "/hammer/sn_e3c162f6eb6fadf98ff473ba9bbcae59/rendering/13.obj", "104.774780273")</f>
        <v>104.774780273</v>
      </c>
      <c r="Q1138" s="216" t="str">
        <f>HYPERLINK(AA2 &amp; "/hammer/sn_e3c162f6eb6fadf98ff473ba9bbcae59/rendering/14.obj", "9.29752826691")</f>
        <v>9.29752826691</v>
      </c>
      <c r="R1138" s="218" t="str">
        <f>HYPERLINK(AA2 &amp; "/hammer/sn_e3c162f6eb6fadf98ff473ba9bbcae59/rendering/15.obj", "12.8675956726")</f>
        <v>12.8675956726</v>
      </c>
      <c r="S1138" s="20" t="str">
        <f>HYPERLINK(AA2 &amp; "/hammer/sn_e3c162f6eb6fadf98ff473ba9bbcae59/rendering/16.obj", "99.019821167")</f>
        <v>99.019821167</v>
      </c>
      <c r="T1138" s="21" t="str">
        <f>HYPERLINK(AA2 &amp; "/hammer/sn_e3c162f6eb6fadf98ff473ba9bbcae59/rendering/17.obj", "11.8969230652")</f>
        <v>11.8969230652</v>
      </c>
      <c r="U1138" s="155" t="str">
        <f>HYPERLINK(AA2 &amp; "/hammer/sn_e3c162f6eb6fadf98ff473ba9bbcae59/rendering/18.obj", "8.5693655014")</f>
        <v>8.5693655014</v>
      </c>
      <c r="V1138" s="20" t="str">
        <f>HYPERLINK(AA2 &amp; "/hammer/sn_e3c162f6eb6fadf98ff473ba9bbcae59/rendering/19.obj", "48.1039352417")</f>
        <v>48.1039352417</v>
      </c>
      <c r="W1138" s="12" t="s">
        <v>30</v>
      </c>
      <c r="X1138" s="13">
        <v>26.565251469612122</v>
      </c>
      <c r="Y1138" s="13">
        <v>29.685468325316261</v>
      </c>
      <c r="Z1138" s="20">
        <v>1.1174548209819639</v>
      </c>
    </row>
    <row r="1139" spans="1:26" x14ac:dyDescent="0.2">
      <c r="A1139" s="1">
        <v>1137</v>
      </c>
      <c r="B1139" s="261" t="s">
        <v>260</v>
      </c>
      <c r="C1139" s="10" t="str">
        <f>HYPERLINK(AB2 &amp; "/hammer/sn_e3c162f6eb6fadf98ff473ba9bbcae59/rendering/00.obj", "6.39475097656")</f>
        <v>6.39475097656</v>
      </c>
      <c r="D1139" s="27" t="str">
        <f>HYPERLINK(AB2 &amp; "/hammer/sn_e3c162f6eb6fadf98ff473ba9bbcae59/rendering/01.obj", "6.4880871582")</f>
        <v>6.4880871582</v>
      </c>
      <c r="E1139" s="6" t="str">
        <f>HYPERLINK(AB2 &amp; "/hammer/sn_e3c162f6eb6fadf98ff473ba9bbcae59/rendering/02.obj", "5.78491394043")</f>
        <v>5.78491394043</v>
      </c>
      <c r="F1139" s="133" t="str">
        <f>HYPERLINK(AB2 &amp; "/hammer/sn_e3c162f6eb6fadf98ff473ba9bbcae59/rendering/03.obj", "5.4326171875")</f>
        <v>5.4326171875</v>
      </c>
      <c r="G1139" s="79" t="str">
        <f>HYPERLINK(AB2 &amp; "/hammer/sn_e3c162f6eb6fadf98ff473ba9bbcae59/rendering/04.obj", "5.08680877686")</f>
        <v>5.08680877686</v>
      </c>
      <c r="H1139" s="94" t="str">
        <f>HYPERLINK(AB2 &amp; "/hammer/sn_e3c162f6eb6fadf98ff473ba9bbcae59/rendering/05.obj", "6.50923339844")</f>
        <v>6.50923339844</v>
      </c>
      <c r="I1139" s="66" t="str">
        <f>HYPERLINK(AB2 &amp; "/hammer/sn_e3c162f6eb6fadf98ff473ba9bbcae59/rendering/06.obj", "7.03530212402")</f>
        <v>7.03530212402</v>
      </c>
      <c r="J1139" s="51" t="str">
        <f>HYPERLINK(AB2 &amp; "/hammer/sn_e3c162f6eb6fadf98ff473ba9bbcae59/rendering/07.obj", "6.54028503418")</f>
        <v>6.54028503418</v>
      </c>
      <c r="K1139" s="70" t="str">
        <f>HYPERLINK(AB2 &amp; "/hammer/sn_e3c162f6eb6fadf98ff473ba9bbcae59/rendering/08.obj", "5.2888293457")</f>
        <v>5.2888293457</v>
      </c>
      <c r="L1139" s="28" t="str">
        <f>HYPERLINK(AB2 &amp; "/hammer/sn_e3c162f6eb6fadf98ff473ba9bbcae59/rendering/09.obj", "6.72789306641")</f>
        <v>6.72789306641</v>
      </c>
      <c r="M1139" s="33" t="str">
        <f>HYPERLINK(AB2 &amp; "/hammer/sn_e3c162f6eb6fadf98ff473ba9bbcae59/rendering/10.obj", "5.39250915527")</f>
        <v>5.39250915527</v>
      </c>
      <c r="N1139" s="71" t="str">
        <f>HYPERLINK(AB2 &amp; "/hammer/sn_e3c162f6eb6fadf98ff473ba9bbcae59/rendering/11.obj", "6.7628503418")</f>
        <v>6.7628503418</v>
      </c>
      <c r="O1139" s="33" t="str">
        <f>HYPERLINK(AB2 &amp; "/hammer/sn_e3c162f6eb6fadf98ff473ba9bbcae59/rendering/12.obj", "6.70326660156")</f>
        <v>6.70326660156</v>
      </c>
      <c r="P1139" s="30" t="str">
        <f>HYPERLINK(AB2 &amp; "/hammer/sn_e3c162f6eb6fadf98ff473ba9bbcae59/rendering/13.obj", "6.0236340332")</f>
        <v>6.0236340332</v>
      </c>
      <c r="Q1139" s="27" t="str">
        <f>HYPERLINK(AB2 &amp; "/hammer/sn_e3c162f6eb6fadf98ff473ba9bbcae59/rendering/14.obj", "5.62512451172")</f>
        <v>5.62512451172</v>
      </c>
      <c r="R1139" s="31" t="str">
        <f>HYPERLINK(AB2 &amp; "/hammer/sn_e3c162f6eb6fadf98ff473ba9bbcae59/rendering/15.obj", "5.12400268555")</f>
        <v>5.12400268555</v>
      </c>
      <c r="S1139" s="91" t="str">
        <f>HYPERLINK(AB2 &amp; "/hammer/sn_e3c162f6eb6fadf98ff473ba9bbcae59/rendering/16.obj", "6.21883056641")</f>
        <v>6.21883056641</v>
      </c>
      <c r="T1139" s="106" t="str">
        <f>HYPERLINK(AB2 &amp; "/hammer/sn_e3c162f6eb6fadf98ff473ba9bbcae59/rendering/17.obj", "6.75205200195")</f>
        <v>6.75205200195</v>
      </c>
      <c r="U1139" s="70" t="str">
        <f>HYPERLINK(AB2 &amp; "/hammer/sn_e3c162f6eb6fadf98ff473ba9bbcae59/rendering/18.obj", "5.28780761719")</f>
        <v>5.28780761719</v>
      </c>
      <c r="V1139" s="17" t="str">
        <f>HYPERLINK(AB2 &amp; "/hammer/sn_e3c162f6eb6fadf98ff473ba9bbcae59/rendering/19.obj", "5.93432495117")</f>
        <v>5.93432495117</v>
      </c>
      <c r="W1139" s="12" t="s">
        <v>31</v>
      </c>
      <c r="X1139" s="13">
        <v>6.0556561737060548</v>
      </c>
      <c r="Y1139" s="13">
        <v>0.61935083672348923</v>
      </c>
      <c r="Z1139" s="133">
        <v>0.1022764204171201</v>
      </c>
    </row>
    <row r="1140" spans="1:26" x14ac:dyDescent="0.2">
      <c r="A1140" s="1">
        <v>1138</v>
      </c>
      <c r="B1140" s="261" t="s">
        <v>260</v>
      </c>
      <c r="C1140" s="92" t="str">
        <f>HYPERLINK(AB2 &amp; "/hammer/sn_e3c162f6eb6fadf98ff473ba9bbcae59/rendering/00.obj", "3.78821611404")</f>
        <v>3.78821611404</v>
      </c>
      <c r="D1140" s="71" t="str">
        <f>HYPERLINK(AB2 &amp; "/hammer/sn_e3c162f6eb6fadf98ff473ba9bbcae59/rendering/01.obj", "4.83332395554")</f>
        <v>4.83332395554</v>
      </c>
      <c r="E1140" s="175" t="str">
        <f>HYPERLINK(AB2 &amp; "/hammer/sn_e3c162f6eb6fadf98ff473ba9bbcae59/rendering/02.obj", "5.33696699142")</f>
        <v>5.33696699142</v>
      </c>
      <c r="F1140" s="106" t="str">
        <f>HYPERLINK(AB2 &amp; "/hammer/sn_e3c162f6eb6fadf98ff473ba9bbcae59/rendering/03.obj", "3.8304681778")</f>
        <v>3.8304681778</v>
      </c>
      <c r="G1140" s="93" t="str">
        <f>HYPERLINK(AB2 &amp; "/hammer/sn_e3c162f6eb6fadf98ff473ba9bbcae59/rendering/04.obj", "3.7159910202")</f>
        <v>3.7159910202</v>
      </c>
      <c r="H1140" s="38" t="str">
        <f>HYPERLINK(AB2 &amp; "/hammer/sn_e3c162f6eb6fadf98ff473ba9bbcae59/rendering/05.obj", "4.70765733719")</f>
        <v>4.70765733719</v>
      </c>
      <c r="I1140" s="35" t="str">
        <f>HYPERLINK(AB2 &amp; "/hammer/sn_e3c162f6eb6fadf98ff473ba9bbcae59/rendering/06.obj", "4.57327842712")</f>
        <v>4.57327842712</v>
      </c>
      <c r="J1140" s="70" t="str">
        <f>HYPERLINK(AB2 &amp; "/hammer/sn_e3c162f6eb6fadf98ff473ba9bbcae59/rendering/07.obj", "3.77955174446")</f>
        <v>3.77955174446</v>
      </c>
      <c r="K1140" s="8" t="str">
        <f>HYPERLINK(AB2 &amp; "/hammer/sn_e3c162f6eb6fadf98ff473ba9bbcae59/rendering/08.obj", "3.70305395126")</f>
        <v>3.70305395126</v>
      </c>
      <c r="L1140" s="69" t="str">
        <f>HYPERLINK(AB2 &amp; "/hammer/sn_e3c162f6eb6fadf98ff473ba9bbcae59/rendering/09.obj", "4.19232988358")</f>
        <v>4.19232988358</v>
      </c>
      <c r="M1140" s="94" t="str">
        <f>HYPERLINK(AB2 &amp; "/hammer/sn_e3c162f6eb6fadf98ff473ba9bbcae59/rendering/10.obj", "4.00577640533")</f>
        <v>4.00577640533</v>
      </c>
      <c r="N1140" s="47" t="str">
        <f>HYPERLINK(AB2 &amp; "/hammer/sn_e3c162f6eb6fadf98ff473ba9bbcae59/rendering/11.obj", "4.35532331467")</f>
        <v>4.35532331467</v>
      </c>
      <c r="O1140" s="107" t="str">
        <f>HYPERLINK(AB2 &amp; "/hammer/sn_e3c162f6eb6fadf98ff473ba9bbcae59/rendering/12.obj", "4.68608474731")</f>
        <v>4.68608474731</v>
      </c>
      <c r="P1140" s="108" t="str">
        <f>HYPERLINK(AB2 &amp; "/hammer/sn_e3c162f6eb6fadf98ff473ba9bbcae59/rendering/13.obj", "5.38964509964")</f>
        <v>5.38964509964</v>
      </c>
      <c r="Q1140" s="34" t="str">
        <f>HYPERLINK(AB2 &amp; "/hammer/sn_e3c162f6eb6fadf98ff473ba9bbcae59/rendering/14.obj", "4.1147236824")</f>
        <v>4.1147236824</v>
      </c>
      <c r="R1140" s="61" t="str">
        <f>HYPERLINK(AB2 &amp; "/hammer/sn_e3c162f6eb6fadf98ff473ba9bbcae59/rendering/15.obj", "3.01192998886")</f>
        <v>3.01192998886</v>
      </c>
      <c r="S1140" s="156" t="str">
        <f>HYPERLINK(AB2 &amp; "/hammer/sn_e3c162f6eb6fadf98ff473ba9bbcae59/rendering/16.obj", "6.24833726883")</f>
        <v>6.24833726883</v>
      </c>
      <c r="T1140" s="67" t="str">
        <f>HYPERLINK(AB2 &amp; "/hammer/sn_e3c162f6eb6fadf98ff473ba9bbcae59/rendering/17.obj", "4.71805906296")</f>
        <v>4.71805906296</v>
      </c>
      <c r="U1140" s="108" t="str">
        <f>HYPERLINK(AB2 &amp; "/hammer/sn_e3c162f6eb6fadf98ff473ba9bbcae59/rendering/18.obj", "3.25661897659")</f>
        <v>3.25661897659</v>
      </c>
      <c r="V1140" s="91" t="str">
        <f>HYPERLINK(AB2 &amp; "/hammer/sn_e3c162f6eb6fadf98ff473ba9bbcae59/rendering/19.obj", "4.20436000824")</f>
        <v>4.20436000824</v>
      </c>
      <c r="W1140" s="12" t="s">
        <v>32</v>
      </c>
      <c r="X1140" s="13">
        <v>4.3225848078727722</v>
      </c>
      <c r="Y1140" s="13">
        <v>0.74969001941640956</v>
      </c>
      <c r="Z1140" s="37">
        <v>0.1734355837393845</v>
      </c>
    </row>
    <row r="1141" spans="1:26" x14ac:dyDescent="0.2">
      <c r="A1141" s="1">
        <v>1139</v>
      </c>
      <c r="B1141" s="261" t="s">
        <v>260</v>
      </c>
      <c r="C1141" s="13" t="str">
        <f>HYPERLINK(AC2 &amp; "/hammer/sn_e3c162f6eb6fadf98ff473ba9bbcae59/rendering/00.xyz", "0.0")</f>
        <v>0.0</v>
      </c>
      <c r="D1141" s="13" t="str">
        <f>HYPERLINK(AC2 &amp; "/hammer/sn_e3c162f6eb6fadf98ff473ba9bbcae59/rendering/01.xyz", "0.0")</f>
        <v>0.0</v>
      </c>
      <c r="E1141" s="13" t="str">
        <f>HYPERLINK(AC2 &amp; "/hammer/sn_e3c162f6eb6fadf98ff473ba9bbcae59/rendering/02.xyz", "0.0")</f>
        <v>0.0</v>
      </c>
      <c r="F1141" s="13" t="str">
        <f>HYPERLINK(AC2 &amp; "/hammer/sn_e3c162f6eb6fadf98ff473ba9bbcae59/rendering/03.xyz", "0.0")</f>
        <v>0.0</v>
      </c>
      <c r="G1141" s="13" t="str">
        <f>HYPERLINK(AC2 &amp; "/hammer/sn_e3c162f6eb6fadf98ff473ba9bbcae59/rendering/04.xyz", "0.0")</f>
        <v>0.0</v>
      </c>
      <c r="H1141" s="13" t="str">
        <f>HYPERLINK(AC2 &amp; "/hammer/sn_e3c162f6eb6fadf98ff473ba9bbcae59/rendering/05.xyz", "0.0")</f>
        <v>0.0</v>
      </c>
      <c r="I1141" s="13" t="str">
        <f>HYPERLINK(AC2 &amp; "/hammer/sn_e3c162f6eb6fadf98ff473ba9bbcae59/rendering/06.xyz", "0.0")</f>
        <v>0.0</v>
      </c>
      <c r="J1141" s="13" t="str">
        <f>HYPERLINK(AC2 &amp; "/hammer/sn_e3c162f6eb6fadf98ff473ba9bbcae59/rendering/07.xyz", "0.0")</f>
        <v>0.0</v>
      </c>
      <c r="K1141" s="13" t="str">
        <f>HYPERLINK(AC2 &amp; "/hammer/sn_e3c162f6eb6fadf98ff473ba9bbcae59/rendering/08.xyz", "0.0")</f>
        <v>0.0</v>
      </c>
      <c r="L1141" s="13" t="str">
        <f>HYPERLINK(AC2 &amp; "/hammer/sn_e3c162f6eb6fadf98ff473ba9bbcae59/rendering/09.xyz", "0.0")</f>
        <v>0.0</v>
      </c>
      <c r="M1141" s="13" t="str">
        <f>HYPERLINK(AC2 &amp; "/hammer/sn_e3c162f6eb6fadf98ff473ba9bbcae59/rendering/10.xyz", "0.0")</f>
        <v>0.0</v>
      </c>
      <c r="N1141" s="13" t="str">
        <f>HYPERLINK(AC2 &amp; "/hammer/sn_e3c162f6eb6fadf98ff473ba9bbcae59/rendering/11.xyz", "0.0")</f>
        <v>0.0</v>
      </c>
      <c r="O1141" s="13" t="str">
        <f>HYPERLINK(AC2 &amp; "/hammer/sn_e3c162f6eb6fadf98ff473ba9bbcae59/rendering/12.xyz", "0.0")</f>
        <v>0.0</v>
      </c>
      <c r="P1141" s="13" t="str">
        <f>HYPERLINK(AC2 &amp; "/hammer/sn_e3c162f6eb6fadf98ff473ba9bbcae59/rendering/13.xyz", "0.0")</f>
        <v>0.0</v>
      </c>
      <c r="Q1141" s="13" t="str">
        <f>HYPERLINK(AC2 &amp; "/hammer/sn_e3c162f6eb6fadf98ff473ba9bbcae59/rendering/14.xyz", "0.0")</f>
        <v>0.0</v>
      </c>
      <c r="R1141" s="13" t="str">
        <f>HYPERLINK(AC2 &amp; "/hammer/sn_e3c162f6eb6fadf98ff473ba9bbcae59/rendering/15.xyz", "0.0")</f>
        <v>0.0</v>
      </c>
      <c r="S1141" s="13" t="str">
        <f>HYPERLINK(AC2 &amp; "/hammer/sn_e3c162f6eb6fadf98ff473ba9bbcae59/rendering/16.xyz", "0.0")</f>
        <v>0.0</v>
      </c>
      <c r="T1141" s="13" t="str">
        <f>HYPERLINK(AC2 &amp; "/hammer/sn_e3c162f6eb6fadf98ff473ba9bbcae59/rendering/17.xyz", "0.0")</f>
        <v>0.0</v>
      </c>
      <c r="U1141" s="13" t="str">
        <f>HYPERLINK(AC2 &amp; "/hammer/sn_e3c162f6eb6fadf98ff473ba9bbcae59/rendering/18.xyz", "0.0")</f>
        <v>0.0</v>
      </c>
      <c r="V1141" s="13" t="str">
        <f>HYPERLINK(AC2 &amp; "/hammer/sn_e3c162f6eb6fadf98ff473ba9bbcae59/rendering/19.xyz", "0.0")</f>
        <v>0.0</v>
      </c>
      <c r="W1141" s="12" t="s">
        <v>33</v>
      </c>
      <c r="X1141" s="13">
        <v>0</v>
      </c>
      <c r="Y1141" s="13">
        <v>0</v>
      </c>
      <c r="Z1141" s="13">
        <v>0</v>
      </c>
    </row>
    <row r="1142" spans="1:26" x14ac:dyDescent="0.2">
      <c r="A1142" s="1">
        <v>1140</v>
      </c>
      <c r="B1142" s="2" t="s">
        <v>261</v>
      </c>
      <c r="C1142" s="64" t="str">
        <f>HYPERLINK(AA2 &amp; "/hammer/sn_e55e4e67e45f44c8a309fc846e6b0c18/rendering/00.obj", "4.4103527832")</f>
        <v>4.4103527832</v>
      </c>
      <c r="D1142" s="78" t="str">
        <f>HYPERLINK(AA2 &amp; "/hammer/sn_e55e4e67e45f44c8a309fc846e6b0c18/rendering/01.obj", "4.97191345215")</f>
        <v>4.97191345215</v>
      </c>
      <c r="E1142" s="68" t="str">
        <f>HYPERLINK(AA2 &amp; "/hammer/sn_e55e4e67e45f44c8a309fc846e6b0c18/rendering/02.obj", "5.06494995117")</f>
        <v>5.06494995117</v>
      </c>
      <c r="F1142" s="46" t="str">
        <f>HYPERLINK(AA2 &amp; "/hammer/sn_e55e4e67e45f44c8a309fc846e6b0c18/rendering/03.obj", "5.18932373047")</f>
        <v>5.18932373047</v>
      </c>
      <c r="G1142" s="93" t="str">
        <f>HYPERLINK(AA2 &amp; "/hammer/sn_e55e4e67e45f44c8a309fc846e6b0c18/rendering/04.obj", "4.5475579834")</f>
        <v>4.5475579834</v>
      </c>
      <c r="H1142" s="73" t="str">
        <f>HYPERLINK(AA2 &amp; "/hammer/sn_e55e4e67e45f44c8a309fc846e6b0c18/rendering/05.obj", "5.10247009277")</f>
        <v>5.10247009277</v>
      </c>
      <c r="I1142" s="34" t="str">
        <f>HYPERLINK(AA2 &amp; "/hammer/sn_e55e4e67e45f44c8a309fc846e6b0c18/rendering/06.obj", "5.03580383301")</f>
        <v>5.03580383301</v>
      </c>
      <c r="J1142" s="80" t="str">
        <f>HYPERLINK(AA2 &amp; "/hammer/sn_e55e4e67e45f44c8a309fc846e6b0c18/rendering/07.obj", "4.50056762695")</f>
        <v>4.50056762695</v>
      </c>
      <c r="K1142" s="6" t="str">
        <f>HYPERLINK(AA2 &amp; "/hammer/sn_e55e4e67e45f44c8a309fc846e6b0c18/rendering/08.obj", "5.04743988037")</f>
        <v>5.04743988037</v>
      </c>
      <c r="L1142" s="6" t="str">
        <f>HYPERLINK(AA2 &amp; "/hammer/sn_e55e4e67e45f44c8a309fc846e6b0c18/rendering/09.obj", "5.04791259766")</f>
        <v>5.04791259766</v>
      </c>
      <c r="M1142" s="29" t="str">
        <f>HYPERLINK(AA2 &amp; "/hammer/sn_e55e4e67e45f44c8a309fc846e6b0c18/rendering/10.obj", "5.97041381836")</f>
        <v>5.97041381836</v>
      </c>
      <c r="N1142" s="70" t="str">
        <f>HYPERLINK(AA2 &amp; "/hammer/sn_e55e4e67e45f44c8a309fc846e6b0c18/rendering/11.obj", "4.62087371826")</f>
        <v>4.62087371826</v>
      </c>
      <c r="O1142" s="74" t="str">
        <f>HYPERLINK(AA2 &amp; "/hammer/sn_e55e4e67e45f44c8a309fc846e6b0c18/rendering/12.obj", "5.2140411377")</f>
        <v>5.2140411377</v>
      </c>
      <c r="P1142" s="78" t="str">
        <f>HYPERLINK(AA2 &amp; "/hammer/sn_e55e4e67e45f44c8a309fc846e6b0c18/rendering/13.obj", "5.6063848877")</f>
        <v>5.6063848877</v>
      </c>
      <c r="Q1142" s="25" t="str">
        <f>HYPERLINK(AA2 &amp; "/hammer/sn_e55e4e67e45f44c8a309fc846e6b0c18/rendering/14.obj", "5.33826904297")</f>
        <v>5.33826904297</v>
      </c>
      <c r="R1142" s="23" t="str">
        <f>HYPERLINK(AA2 &amp; "/hammer/sn_e55e4e67e45f44c8a309fc846e6b0c18/rendering/15.obj", "5.49597412109")</f>
        <v>5.49597412109</v>
      </c>
      <c r="S1142" s="60" t="str">
        <f>HYPERLINK(AA2 &amp; "/hammer/sn_e55e4e67e45f44c8a309fc846e6b0c18/rendering/16.obj", "5.01411865234")</f>
        <v>5.01411865234</v>
      </c>
      <c r="T1142" s="73" t="str">
        <f>HYPERLINK(AA2 &amp; "/hammer/sn_e55e4e67e45f44c8a309fc846e6b0c18/rendering/17.obj", "5.10325408936")</f>
        <v>5.10325408936</v>
      </c>
      <c r="U1142" s="184" t="str">
        <f>HYPERLINK(AA2 &amp; "/hammer/sn_e55e4e67e45f44c8a309fc846e6b0c18/rendering/18.obj", "9.17918334961")</f>
        <v>9.17918334961</v>
      </c>
      <c r="V1142" s="30" t="str">
        <f>HYPERLINK(AA2 &amp; "/hammer/sn_e55e4e67e45f44c8a309fc846e6b0c18/rendering/19.obj", "5.30503601074")</f>
        <v>5.30503601074</v>
      </c>
      <c r="W1142" s="12" t="s">
        <v>29</v>
      </c>
      <c r="X1142" s="13">
        <v>5.2882920379638687</v>
      </c>
      <c r="Y1142" s="13">
        <v>0.96502867215908339</v>
      </c>
      <c r="Z1142" s="76">
        <v>0.18248399771254781</v>
      </c>
    </row>
    <row r="1143" spans="1:26" x14ac:dyDescent="0.2">
      <c r="A1143" s="1">
        <v>1141</v>
      </c>
      <c r="B1143" s="2" t="s">
        <v>261</v>
      </c>
      <c r="C1143" s="144" t="str">
        <f>HYPERLINK(AA2 &amp; "/hammer/sn_e55e4e67e45f44c8a309fc846e6b0c18/rendering/00.obj", "1.96448290348")</f>
        <v>1.96448290348</v>
      </c>
      <c r="D1143" s="192" t="str">
        <f>HYPERLINK(AA2 &amp; "/hammer/sn_e55e4e67e45f44c8a309fc846e6b0c18/rendering/01.obj", "2.49404025078")</f>
        <v>2.49404025078</v>
      </c>
      <c r="E1143" s="157" t="str">
        <f>HYPERLINK(AA2 &amp; "/hammer/sn_e55e4e67e45f44c8a309fc846e6b0c18/rendering/02.obj", "2.31065654755")</f>
        <v>2.31065654755</v>
      </c>
      <c r="F1143" s="129" t="str">
        <f>HYPERLINK(AA2 &amp; "/hammer/sn_e55e4e67e45f44c8a309fc846e6b0c18/rendering/03.obj", "2.97603464127")</f>
        <v>2.97603464127</v>
      </c>
      <c r="G1143" s="227" t="str">
        <f>HYPERLINK(AA2 &amp; "/hammer/sn_e55e4e67e45f44c8a309fc846e6b0c18/rendering/04.obj", "1.94405126572")</f>
        <v>1.94405126572</v>
      </c>
      <c r="H1143" s="158" t="str">
        <f>HYPERLINK(AA2 &amp; "/hammer/sn_e55e4e67e45f44c8a309fc846e6b0c18/rendering/05.obj", "2.33572554588")</f>
        <v>2.33572554588</v>
      </c>
      <c r="I1143" s="43" t="str">
        <f>HYPERLINK(AA2 &amp; "/hammer/sn_e55e4e67e45f44c8a309fc846e6b0c18/rendering/06.obj", "2.47571492195")</f>
        <v>2.47571492195</v>
      </c>
      <c r="J1143" s="218" t="str">
        <f>HYPERLINK(AA2 &amp; "/hammer/sn_e55e4e67e45f44c8a309fc846e6b0c18/rendering/07.obj", "1.92323863506")</f>
        <v>1.92323863506</v>
      </c>
      <c r="K1143" s="119" t="str">
        <f>HYPERLINK(AA2 &amp; "/hammer/sn_e55e4e67e45f44c8a309fc846e6b0c18/rendering/08.obj", "2.90925836563")</f>
        <v>2.90925836563</v>
      </c>
      <c r="L1143" s="103" t="str">
        <f>HYPERLINK(AA2 &amp; "/hammer/sn_e55e4e67e45f44c8a309fc846e6b0c18/rendering/09.obj", "2.66901898384")</f>
        <v>2.66901898384</v>
      </c>
      <c r="M1143" s="13" t="str">
        <f>HYPERLINK(AA2 &amp; "/hammer/sn_e55e4e67e45f44c8a309fc846e6b0c18/rendering/10.obj", "3.9677836895")</f>
        <v>3.9677836895</v>
      </c>
      <c r="N1143" s="144" t="str">
        <f>HYPERLINK(AA2 &amp; "/hammer/sn_e55e4e67e45f44c8a309fc846e6b0c18/rendering/11.obj", "1.97258853912")</f>
        <v>1.97258853912</v>
      </c>
      <c r="O1143" s="85" t="str">
        <f>HYPERLINK(AA2 &amp; "/hammer/sn_e55e4e67e45f44c8a309fc846e6b0c18/rendering/12.obj", "2.79023075104")</f>
        <v>2.79023075104</v>
      </c>
      <c r="P1143" s="42" t="str">
        <f>HYPERLINK(AA2 &amp; "/hammer/sn_e55e4e67e45f44c8a309fc846e6b0c18/rendering/13.obj", "4.50539636612")</f>
        <v>4.50539636612</v>
      </c>
      <c r="Q1143" s="30" t="str">
        <f>HYPERLINK(AA2 &amp; "/hammer/sn_e55e4e67e45f44c8a309fc846e6b0c18/rendering/14.obj", "3.94699287415")</f>
        <v>3.94699287415</v>
      </c>
      <c r="R1143" s="42" t="str">
        <f>HYPERLINK(AA2 &amp; "/hammer/sn_e55e4e67e45f44c8a309fc846e6b0c18/rendering/15.obj", "4.506275177")</f>
        <v>4.506275177</v>
      </c>
      <c r="S1143" s="54" t="str">
        <f>HYPERLINK(AA2 &amp; "/hammer/sn_e55e4e67e45f44c8a309fc846e6b0c18/rendering/16.obj", "2.66805076599")</f>
        <v>2.66805076599</v>
      </c>
      <c r="T1143" s="149" t="str">
        <f>HYPERLINK(AA2 &amp; "/hammer/sn_e55e4e67e45f44c8a309fc846e6b0c18/rendering/17.obj", "2.60345005989")</f>
        <v>2.60345005989</v>
      </c>
      <c r="U1143" s="20" t="str">
        <f>HYPERLINK(AA2 &amp; "/hammer/sn_e55e4e67e45f44c8a309fc846e6b0c18/rendering/18.obj", "24.9335098267")</f>
        <v>24.9335098267</v>
      </c>
      <c r="V1143" s="79" t="str">
        <f>HYPERLINK(AA2 &amp; "/hammer/sn_e55e4e67e45f44c8a309fc846e6b0c18/rendering/19.obj", "3.33462500572")</f>
        <v>3.33462500572</v>
      </c>
      <c r="W1143" s="12" t="s">
        <v>30</v>
      </c>
      <c r="X1143" s="13">
        <v>3.9615562558174129</v>
      </c>
      <c r="Y1143" s="13">
        <v>4.8751766241988861</v>
      </c>
      <c r="Z1143" s="20">
        <v>1.2306215813646091</v>
      </c>
    </row>
    <row r="1144" spans="1:26" x14ac:dyDescent="0.2">
      <c r="A1144" s="1">
        <v>1142</v>
      </c>
      <c r="B1144" s="2" t="s">
        <v>261</v>
      </c>
      <c r="C1144" s="91" t="str">
        <f>HYPERLINK(AB2 &amp; "/hammer/sn_e55e4e67e45f44c8a309fc846e6b0c18/rendering/00.obj", "5.25028076172")</f>
        <v>5.25028076172</v>
      </c>
      <c r="D1144" s="23" t="str">
        <f>HYPERLINK(AB2 &amp; "/hammer/sn_e55e4e67e45f44c8a309fc846e6b0c18/rendering/01.obj", "4.91284210205")</f>
        <v>4.91284210205</v>
      </c>
      <c r="E1144" s="74" t="str">
        <f>HYPERLINK(AB2 &amp; "/hammer/sn_e55e4e67e45f44c8a309fc846e6b0c18/rendering/02.obj", "5.03080322266")</f>
        <v>5.03080322266</v>
      </c>
      <c r="F1144" s="69" t="str">
        <f>HYPERLINK(AB2 &amp; "/hammer/sn_e55e4e67e45f44c8a309fc846e6b0c18/rendering/03.obj", "5.25625427246")</f>
        <v>5.25625427246</v>
      </c>
      <c r="G1144" s="34" t="str">
        <f>HYPERLINK(AB2 &amp; "/hammer/sn_e55e4e67e45f44c8a309fc846e6b0c18/rendering/04.obj", "4.85780944824")</f>
        <v>4.85780944824</v>
      </c>
      <c r="H1144" s="33" t="str">
        <f>HYPERLINK(AB2 &amp; "/hammer/sn_e55e4e67e45f44c8a309fc846e6b0c18/rendering/05.obj", "4.55503479004")</f>
        <v>4.55503479004</v>
      </c>
      <c r="I1144" s="74" t="str">
        <f>HYPERLINK(AB2 &amp; "/hammer/sn_e55e4e67e45f44c8a309fc846e6b0c18/rendering/06.obj", "5.04103210449")</f>
        <v>5.04103210449</v>
      </c>
      <c r="J1144" s="39" t="str">
        <f>HYPERLINK(AB2 &amp; "/hammer/sn_e55e4e67e45f44c8a309fc846e6b0c18/rendering/07.obj", "5.54943115234")</f>
        <v>5.54943115234</v>
      </c>
      <c r="K1144" s="23" t="str">
        <f>HYPERLINK(AB2 &amp; "/hammer/sn_e55e4e67e45f44c8a309fc846e6b0c18/rendering/08.obj", "4.90189849854")</f>
        <v>4.90189849854</v>
      </c>
      <c r="L1144" s="5" t="str">
        <f>HYPERLINK(AB2 &amp; "/hammer/sn_e55e4e67e45f44c8a309fc846e6b0c18/rendering/09.obj", "5.5031628418")</f>
        <v>5.5031628418</v>
      </c>
      <c r="M1144" s="5" t="str">
        <f>HYPERLINK(AB2 &amp; "/hammer/sn_e55e4e67e45f44c8a309fc846e6b0c18/rendering/10.obj", "5.49895202637")</f>
        <v>5.49895202637</v>
      </c>
      <c r="N1144" s="34" t="str">
        <f>HYPERLINK(AB2 &amp; "/hammer/sn_e55e4e67e45f44c8a309fc846e6b0c18/rendering/11.obj", "5.34998168945")</f>
        <v>5.34998168945</v>
      </c>
      <c r="O1144" s="39" t="str">
        <f>HYPERLINK(AB2 &amp; "/hammer/sn_e55e4e67e45f44c8a309fc846e6b0c18/rendering/12.obj", "4.66200866699")</f>
        <v>4.66200866699</v>
      </c>
      <c r="P1144" s="69" t="str">
        <f>HYPERLINK(AB2 &amp; "/hammer/sn_e55e4e67e45f44c8a309fc846e6b0c18/rendering/13.obj", "4.95600646973")</f>
        <v>4.95600646973</v>
      </c>
      <c r="Q1144" s="17" t="str">
        <f>HYPERLINK(AB2 &amp; "/hammer/sn_e55e4e67e45f44c8a309fc846e6b0c18/rendering/14.obj", "5.00584106445")</f>
        <v>5.00584106445</v>
      </c>
      <c r="R1144" s="10" t="str">
        <f>HYPERLINK(AB2 &amp; "/hammer/sn_e55e4e67e45f44c8a309fc846e6b0c18/rendering/15.obj", "4.82184143066")</f>
        <v>4.82184143066</v>
      </c>
      <c r="S1144" s="10" t="str">
        <f>HYPERLINK(AB2 &amp; "/hammer/sn_e55e4e67e45f44c8a309fc846e6b0c18/rendering/16.obj", "5.38704406738")</f>
        <v>5.38704406738</v>
      </c>
      <c r="T1144" s="94" t="str">
        <f>HYPERLINK(AB2 &amp; "/hammer/sn_e55e4e67e45f44c8a309fc846e6b0c18/rendering/17.obj", "5.48426940918")</f>
        <v>5.48426940918</v>
      </c>
      <c r="U1144" s="17" t="str">
        <f>HYPERLINK(AB2 &amp; "/hammer/sn_e55e4e67e45f44c8a309fc846e6b0c18/rendering/18.obj", "5.00938659668")</f>
        <v>5.00938659668</v>
      </c>
      <c r="V1144" s="13" t="str">
        <f>HYPERLINK(AB2 &amp; "/hammer/sn_e55e4e67e45f44c8a309fc846e6b0c18/rendering/19.obj", "5.09798614502")</f>
        <v>5.09798614502</v>
      </c>
      <c r="W1144" s="12" t="s">
        <v>31</v>
      </c>
      <c r="X1144" s="13">
        <v>5.1065933380126953</v>
      </c>
      <c r="Y1144" s="13">
        <v>0.283511398190047</v>
      </c>
      <c r="Z1144" s="10">
        <v>5.5518695032876757E-2</v>
      </c>
    </row>
    <row r="1145" spans="1:26" x14ac:dyDescent="0.2">
      <c r="A1145" s="1">
        <v>1143</v>
      </c>
      <c r="B1145" s="2" t="s">
        <v>261</v>
      </c>
      <c r="C1145" s="71" t="str">
        <f>HYPERLINK(AB2 &amp; "/hammer/sn_e55e4e67e45f44c8a309fc846e6b0c18/rendering/00.obj", "2.50319218636")</f>
        <v>2.50319218636</v>
      </c>
      <c r="D1145" s="39" t="str">
        <f>HYPERLINK(AB2 &amp; "/hammer/sn_e55e4e67e45f44c8a309fc846e6b0c18/rendering/01.obj", "2.05137848854")</f>
        <v>2.05137848854</v>
      </c>
      <c r="E1145" s="80" t="str">
        <f>HYPERLINK(AB2 &amp; "/hammer/sn_e55e4e67e45f44c8a309fc846e6b0c18/rendering/02.obj", "1.90652310848")</f>
        <v>1.90652310848</v>
      </c>
      <c r="F1145" s="42" t="str">
        <f>HYPERLINK(AB2 &amp; "/hammer/sn_e55e4e67e45f44c8a309fc846e6b0c18/rendering/03.obj", "2.54973745346")</f>
        <v>2.54973745346</v>
      </c>
      <c r="G1145" s="78" t="str">
        <f>HYPERLINK(AB2 &amp; "/hammer/sn_e55e4e67e45f44c8a309fc846e6b0c18/rendering/04.obj", "2.10101032257")</f>
        <v>2.10101032257</v>
      </c>
      <c r="H1145" s="29" t="str">
        <f>HYPERLINK(AB2 &amp; "/hammer/sn_e55e4e67e45f44c8a309fc846e6b0c18/rendering/05.obj", "1.95193564892")</f>
        <v>1.95193564892</v>
      </c>
      <c r="I1145" s="23" t="str">
        <f>HYPERLINK(AB2 &amp; "/hammer/sn_e55e4e67e45f44c8a309fc846e6b0c18/rendering/06.obj", "2.15632891655")</f>
        <v>2.15632891655</v>
      </c>
      <c r="J1145" s="69" t="str">
        <f>HYPERLINK(AB2 &amp; "/hammer/sn_e55e4e67e45f44c8a309fc846e6b0c18/rendering/07.obj", "2.17538094521")</f>
        <v>2.17538094521</v>
      </c>
      <c r="K1145" s="27" t="str">
        <f>HYPERLINK(AB2 &amp; "/hammer/sn_e55e4e67e45f44c8a309fc846e6b0c18/rendering/08.obj", "2.08177042007")</f>
        <v>2.08177042007</v>
      </c>
      <c r="L1145" s="38" t="str">
        <f>HYPERLINK(AB2 &amp; "/hammer/sn_e55e4e67e45f44c8a309fc846e6b0c18/rendering/09.obj", "2.44365644455")</f>
        <v>2.44365644455</v>
      </c>
      <c r="M1145" s="90" t="str">
        <f>HYPERLINK(AB2 &amp; "/hammer/sn_e55e4e67e45f44c8a309fc846e6b0c18/rendering/10.obj", "2.45620465279")</f>
        <v>2.45620465279</v>
      </c>
      <c r="N1145" s="34" t="str">
        <f>HYPERLINK(AB2 &amp; "/hammer/sn_e55e4e67e45f44c8a309fc846e6b0c18/rendering/11.obj", "2.13496685028")</f>
        <v>2.13496685028</v>
      </c>
      <c r="O1145" s="78" t="str">
        <f>HYPERLINK(AB2 &amp; "/hammer/sn_e55e4e67e45f44c8a309fc846e6b0c18/rendering/12.obj", "2.10263085365")</f>
        <v>2.10263085365</v>
      </c>
      <c r="P1145" s="48" t="str">
        <f>HYPERLINK(AB2 &amp; "/hammer/sn_e55e4e67e45f44c8a309fc846e6b0c18/rendering/13.obj", "2.18762636185")</f>
        <v>2.18762636185</v>
      </c>
      <c r="Q1145" s="25" t="str">
        <f>HYPERLINK(AB2 &amp; "/hammer/sn_e55e4e67e45f44c8a309fc846e6b0c18/rendering/14.obj", "2.21655917168")</f>
        <v>2.21655917168</v>
      </c>
      <c r="R1145" s="47" t="str">
        <f>HYPERLINK(AB2 &amp; "/hammer/sn_e55e4e67e45f44c8a309fc846e6b0c18/rendering/15.obj", "2.22602272034")</f>
        <v>2.22602272034</v>
      </c>
      <c r="S1145" s="51" t="str">
        <f>HYPERLINK(AB2 &amp; "/hammer/sn_e55e4e67e45f44c8a309fc846e6b0c18/rendering/16.obj", "2.42252612114")</f>
        <v>2.42252612114</v>
      </c>
      <c r="T1145" s="73" t="str">
        <f>HYPERLINK(AB2 &amp; "/hammer/sn_e55e4e67e45f44c8a309fc846e6b0c18/rendering/17.obj", "2.15841579437")</f>
        <v>2.15841579437</v>
      </c>
      <c r="U1145" s="89" t="str">
        <f>HYPERLINK(AB2 &amp; "/hammer/sn_e55e4e67e45f44c8a309fc846e6b0c18/rendering/18.obj", "2.81864023209")</f>
        <v>2.81864023209</v>
      </c>
      <c r="V1145" s="91" t="str">
        <f>HYPERLINK(AB2 &amp; "/hammer/sn_e55e4e67e45f44c8a309fc846e6b0c18/rendering/19.obj", "2.18214011192")</f>
        <v>2.18214011192</v>
      </c>
      <c r="W1145" s="12" t="s">
        <v>32</v>
      </c>
      <c r="X1145" s="13">
        <v>2.2413323402404779</v>
      </c>
      <c r="Y1145" s="13">
        <v>0.2179705978670827</v>
      </c>
      <c r="Z1145" s="90">
        <v>9.7250458557027769E-2</v>
      </c>
    </row>
    <row r="1146" spans="1:26" x14ac:dyDescent="0.2">
      <c r="A1146" s="1">
        <v>1144</v>
      </c>
      <c r="B1146" s="2" t="s">
        <v>261</v>
      </c>
      <c r="C1146" s="13" t="str">
        <f>HYPERLINK(AC2 &amp; "/hammer/sn_e55e4e67e45f44c8a309fc846e6b0c18/rendering/00.xyz", "0.0")</f>
        <v>0.0</v>
      </c>
      <c r="D1146" s="13" t="str">
        <f>HYPERLINK(AC2 &amp; "/hammer/sn_e55e4e67e45f44c8a309fc846e6b0c18/rendering/01.xyz", "0.0")</f>
        <v>0.0</v>
      </c>
      <c r="E1146" s="13" t="str">
        <f>HYPERLINK(AC2 &amp; "/hammer/sn_e55e4e67e45f44c8a309fc846e6b0c18/rendering/02.xyz", "0.0")</f>
        <v>0.0</v>
      </c>
      <c r="F1146" s="13" t="str">
        <f>HYPERLINK(AC2 &amp; "/hammer/sn_e55e4e67e45f44c8a309fc846e6b0c18/rendering/03.xyz", "0.0")</f>
        <v>0.0</v>
      </c>
      <c r="G1146" s="13" t="str">
        <f>HYPERLINK(AC2 &amp; "/hammer/sn_e55e4e67e45f44c8a309fc846e6b0c18/rendering/04.xyz", "0.0")</f>
        <v>0.0</v>
      </c>
      <c r="H1146" s="13" t="str">
        <f>HYPERLINK(AC2 &amp; "/hammer/sn_e55e4e67e45f44c8a309fc846e6b0c18/rendering/05.xyz", "0.0")</f>
        <v>0.0</v>
      </c>
      <c r="I1146" s="13" t="str">
        <f>HYPERLINK(AC2 &amp; "/hammer/sn_e55e4e67e45f44c8a309fc846e6b0c18/rendering/06.xyz", "0.0")</f>
        <v>0.0</v>
      </c>
      <c r="J1146" s="13" t="str">
        <f>HYPERLINK(AC2 &amp; "/hammer/sn_e55e4e67e45f44c8a309fc846e6b0c18/rendering/07.xyz", "0.0")</f>
        <v>0.0</v>
      </c>
      <c r="K1146" s="13" t="str">
        <f>HYPERLINK(AC2 &amp; "/hammer/sn_e55e4e67e45f44c8a309fc846e6b0c18/rendering/08.xyz", "0.0")</f>
        <v>0.0</v>
      </c>
      <c r="L1146" s="13" t="str">
        <f>HYPERLINK(AC2 &amp; "/hammer/sn_e55e4e67e45f44c8a309fc846e6b0c18/rendering/09.xyz", "0.0")</f>
        <v>0.0</v>
      </c>
      <c r="M1146" s="13" t="str">
        <f>HYPERLINK(AC2 &amp; "/hammer/sn_e55e4e67e45f44c8a309fc846e6b0c18/rendering/10.xyz", "0.0")</f>
        <v>0.0</v>
      </c>
      <c r="N1146" s="13" t="str">
        <f>HYPERLINK(AC2 &amp; "/hammer/sn_e55e4e67e45f44c8a309fc846e6b0c18/rendering/11.xyz", "0.0")</f>
        <v>0.0</v>
      </c>
      <c r="O1146" s="13" t="str">
        <f>HYPERLINK(AC2 &amp; "/hammer/sn_e55e4e67e45f44c8a309fc846e6b0c18/rendering/12.xyz", "0.0")</f>
        <v>0.0</v>
      </c>
      <c r="P1146" s="13" t="str">
        <f>HYPERLINK(AC2 &amp; "/hammer/sn_e55e4e67e45f44c8a309fc846e6b0c18/rendering/13.xyz", "0.0")</f>
        <v>0.0</v>
      </c>
      <c r="Q1146" s="13" t="str">
        <f>HYPERLINK(AC2 &amp; "/hammer/sn_e55e4e67e45f44c8a309fc846e6b0c18/rendering/14.xyz", "0.0")</f>
        <v>0.0</v>
      </c>
      <c r="R1146" s="13" t="str">
        <f>HYPERLINK(AC2 &amp; "/hammer/sn_e55e4e67e45f44c8a309fc846e6b0c18/rendering/15.xyz", "0.0")</f>
        <v>0.0</v>
      </c>
      <c r="S1146" s="13" t="str">
        <f>HYPERLINK(AC2 &amp; "/hammer/sn_e55e4e67e45f44c8a309fc846e6b0c18/rendering/16.xyz", "0.0")</f>
        <v>0.0</v>
      </c>
      <c r="T1146" s="13" t="str">
        <f>HYPERLINK(AC2 &amp; "/hammer/sn_e55e4e67e45f44c8a309fc846e6b0c18/rendering/17.xyz", "0.0")</f>
        <v>0.0</v>
      </c>
      <c r="U1146" s="13" t="str">
        <f>HYPERLINK(AC2 &amp; "/hammer/sn_e55e4e67e45f44c8a309fc846e6b0c18/rendering/18.xyz", "0.0")</f>
        <v>0.0</v>
      </c>
      <c r="V1146" s="13" t="str">
        <f>HYPERLINK(AC2 &amp; "/hammer/sn_e55e4e67e45f44c8a309fc846e6b0c18/rendering/19.xyz", "0.0")</f>
        <v>0.0</v>
      </c>
      <c r="W1146" s="12" t="s">
        <v>33</v>
      </c>
      <c r="X1146" s="13">
        <v>0</v>
      </c>
      <c r="Y1146" s="13">
        <v>0</v>
      </c>
      <c r="Z1146" s="13">
        <v>0</v>
      </c>
    </row>
    <row r="1147" spans="1:26" x14ac:dyDescent="0.2">
      <c r="A1147" s="1">
        <v>1145</v>
      </c>
      <c r="B1147" s="2" t="s">
        <v>262</v>
      </c>
      <c r="C1147" s="108" t="str">
        <f>HYPERLINK(AA2 &amp; "/hammer/sn_ee1fd8bf3d7a475c2b4e135335df975/rendering/00.obj", "9.17542907715")</f>
        <v>9.17542907715</v>
      </c>
      <c r="D1147" s="72" t="str">
        <f>HYPERLINK(AA2 &amp; "/hammer/sn_ee1fd8bf3d7a475c2b4e135335df975/rendering/01.obj", "7.11411315918")</f>
        <v>7.11411315918</v>
      </c>
      <c r="E1147" s="118" t="str">
        <f>HYPERLINK(AA2 &amp; "/hammer/sn_ee1fd8bf3d7a475c2b4e135335df975/rendering/02.obj", "9.5163293457")</f>
        <v>9.5163293457</v>
      </c>
      <c r="F1147" s="27" t="str">
        <f>HYPERLINK(AA2 &amp; "/hammer/sn_ee1fd8bf3d7a475c2b4e135335df975/rendering/03.obj", "6.84873535156")</f>
        <v>6.84873535156</v>
      </c>
      <c r="G1147" s="60" t="str">
        <f>HYPERLINK(AA2 &amp; "/hammer/sn_ee1fd8bf3d7a475c2b4e135335df975/rendering/04.obj", "6.99284973145")</f>
        <v>6.99284973145</v>
      </c>
      <c r="H1147" s="118" t="str">
        <f>HYPERLINK(AA2 &amp; "/hammer/sn_ee1fd8bf3d7a475c2b4e135335df975/rendering/05.obj", "9.51697937012")</f>
        <v>9.51697937012</v>
      </c>
      <c r="I1147" s="4" t="str">
        <f>HYPERLINK(AA2 &amp; "/hammer/sn_ee1fd8bf3d7a475c2b4e135335df975/rendering/06.obj", "9.4433605957")</f>
        <v>9.4433605957</v>
      </c>
      <c r="J1147" s="32" t="str">
        <f>HYPERLINK(AA2 &amp; "/hammer/sn_ee1fd8bf3d7a475c2b4e135335df975/rendering/07.obj", "6.60081604004")</f>
        <v>6.60081604004</v>
      </c>
      <c r="K1147" s="91" t="str">
        <f>HYPERLINK(AA2 &amp; "/hammer/sn_ee1fd8bf3d7a475c2b4e135335df975/rendering/08.obj", "7.55140563965")</f>
        <v>7.55140563965</v>
      </c>
      <c r="L1147" s="81" t="str">
        <f>HYPERLINK(AA2 &amp; "/hammer/sn_ee1fd8bf3d7a475c2b4e135335df975/rendering/09.obj", "5.76835083008")</f>
        <v>5.76835083008</v>
      </c>
      <c r="M1147" s="47" t="str">
        <f>HYPERLINK(AA2 &amp; "/hammer/sn_ee1fd8bf3d7a475c2b4e135335df975/rendering/10.obj", "7.29973754883")</f>
        <v>7.29973754883</v>
      </c>
      <c r="N1147" s="80" t="str">
        <f>HYPERLINK(AA2 &amp; "/hammer/sn_ee1fd8bf3d7a475c2b4e135335df975/rendering/11.obj", "8.45586608887")</f>
        <v>8.45586608887</v>
      </c>
      <c r="O1147" s="8" t="str">
        <f>HYPERLINK(AA2 &amp; "/hammer/sn_ee1fd8bf3d7a475c2b4e135335df975/rendering/12.obj", "8.41910644531")</f>
        <v>8.41910644531</v>
      </c>
      <c r="P1147" s="31" t="str">
        <f>HYPERLINK(AA2 &amp; "/hammer/sn_ee1fd8bf3d7a475c2b4e135335df975/rendering/13.obj", "6.2273815918")</f>
        <v>6.2273815918</v>
      </c>
      <c r="Q1147" s="26" t="str">
        <f>HYPERLINK(AA2 &amp; "/hammer/sn_ee1fd8bf3d7a475c2b4e135335df975/rendering/14.obj", "6.89188964844")</f>
        <v>6.89188964844</v>
      </c>
      <c r="R1147" s="64" t="str">
        <f>HYPERLINK(AA2 &amp; "/hammer/sn_ee1fd8bf3d7a475c2b4e135335df975/rendering/15.obj", "6.15166442871")</f>
        <v>6.15166442871</v>
      </c>
      <c r="S1147" s="8" t="str">
        <f>HYPERLINK(AA2 &amp; "/hammer/sn_ee1fd8bf3d7a475c2b4e135335df975/rendering/16.obj", "6.30821777344")</f>
        <v>6.30821777344</v>
      </c>
      <c r="T1147" s="65" t="str">
        <f>HYPERLINK(AA2 &amp; "/hammer/sn_ee1fd8bf3d7a475c2b4e135335df975/rendering/17.obj", "6.37768859863")</f>
        <v>6.37768859863</v>
      </c>
      <c r="U1147" s="42" t="str">
        <f>HYPERLINK(AA2 &amp; "/hammer/sn_ee1fd8bf3d7a475c2b4e135335df975/rendering/18.obj", "6.36414306641")</f>
        <v>6.36414306641</v>
      </c>
      <c r="V1147" s="80" t="str">
        <f>HYPERLINK(AA2 &amp; "/hammer/sn_ee1fd8bf3d7a475c2b4e135335df975/rendering/19.obj", "6.25574584961")</f>
        <v>6.25574584961</v>
      </c>
      <c r="W1147" s="12" t="s">
        <v>29</v>
      </c>
      <c r="X1147" s="13">
        <v>7.3639905090332034</v>
      </c>
      <c r="Y1147" s="13">
        <v>1.227023705578461</v>
      </c>
      <c r="Z1147" s="24">
        <v>0.166624835280994</v>
      </c>
    </row>
    <row r="1148" spans="1:26" x14ac:dyDescent="0.2">
      <c r="A1148" s="1">
        <v>1146</v>
      </c>
      <c r="B1148" s="2" t="s">
        <v>262</v>
      </c>
      <c r="C1148" s="20" t="str">
        <f>HYPERLINK(AA2 &amp; "/hammer/sn_ee1fd8bf3d7a475c2b4e135335df975/rendering/00.obj", "25.3272972107")</f>
        <v>25.3272972107</v>
      </c>
      <c r="D1148" s="153" t="str">
        <f>HYPERLINK(AA2 &amp; "/hammer/sn_ee1fd8bf3d7a475c2b4e135335df975/rendering/01.obj", "5.95568370819")</f>
        <v>5.95568370819</v>
      </c>
      <c r="E1148" s="20" t="str">
        <f>HYPERLINK(AA2 &amp; "/hammer/sn_ee1fd8bf3d7a475c2b4e135335df975/rendering/02.obj", "17.562412262")</f>
        <v>17.562412262</v>
      </c>
      <c r="F1148" s="195" t="str">
        <f>HYPERLINK(AA2 &amp; "/hammer/sn_ee1fd8bf3d7a475c2b4e135335df975/rendering/03.obj", "4.18418502808")</f>
        <v>4.18418502808</v>
      </c>
      <c r="G1148" s="93" t="str">
        <f>HYPERLINK(AA2 &amp; "/hammer/sn_ee1fd8bf3d7a475c2b4e135335df975/rendering/04.obj", "7.95547199249")</f>
        <v>7.95547199249</v>
      </c>
      <c r="H1148" s="20" t="str">
        <f>HYPERLINK(AA2 &amp; "/hammer/sn_ee1fd8bf3d7a475c2b4e135335df975/rendering/05.obj", "18.8968029022")</f>
        <v>18.8968029022</v>
      </c>
      <c r="I1148" s="70" t="str">
        <f>HYPERLINK(AA2 &amp; "/hammer/sn_ee1fd8bf3d7a475c2b4e135335df975/rendering/06.obj", "10.449669838")</f>
        <v>10.449669838</v>
      </c>
      <c r="J1148" s="189" t="str">
        <f>HYPERLINK(AA2 &amp; "/hammer/sn_ee1fd8bf3d7a475c2b4e135335df975/rendering/07.obj", "3.4592063427")</f>
        <v>3.4592063427</v>
      </c>
      <c r="K1148" s="68" t="str">
        <f>HYPERLINK(AA2 &amp; "/hammer/sn_ee1fd8bf3d7a475c2b4e135335df975/rendering/08.obj", "8.87173843384")</f>
        <v>8.87173843384</v>
      </c>
      <c r="L1148" s="256" t="str">
        <f>HYPERLINK(AA2 &amp; "/hammer/sn_ee1fd8bf3d7a475c2b4e135335df975/rendering/09.obj", "3.53235816956")</f>
        <v>3.53235816956</v>
      </c>
      <c r="M1148" s="158" t="str">
        <f>HYPERLINK(AA2 &amp; "/hammer/sn_ee1fd8bf3d7a475c2b4e135335df975/rendering/10.obj", "5.47129678726")</f>
        <v>5.47129678726</v>
      </c>
      <c r="N1148" s="182" t="str">
        <f>HYPERLINK(AA2 &amp; "/hammer/sn_ee1fd8bf3d7a475c2b4e135335df975/rendering/11.obj", "12.3595218658")</f>
        <v>12.3595218658</v>
      </c>
      <c r="O1148" s="20" t="str">
        <f>HYPERLINK(AA2 &amp; "/hammer/sn_ee1fd8bf3d7a475c2b4e135335df975/rendering/12.obj", "17.450504303")</f>
        <v>17.450504303</v>
      </c>
      <c r="P1148" s="7" t="str">
        <f>HYPERLINK(AA2 &amp; "/hammer/sn_ee1fd8bf3d7a475c2b4e135335df975/rendering/13.obj", "6.68175888062")</f>
        <v>6.68175888062</v>
      </c>
      <c r="Q1148" s="127" t="str">
        <f>HYPERLINK(AA2 &amp; "/hammer/sn_ee1fd8bf3d7a475c2b4e135335df975/rendering/14.obj", "4.45025110245")</f>
        <v>4.45025110245</v>
      </c>
      <c r="R1148" s="86" t="str">
        <f>HYPERLINK(AA2 &amp; "/hammer/sn_ee1fd8bf3d7a475c2b4e135335df975/rendering/15.obj", "6.77813386917")</f>
        <v>6.77813386917</v>
      </c>
      <c r="S1148" s="80" t="str">
        <f>HYPERLINK(AA2 &amp; "/hammer/sn_ee1fd8bf3d7a475c2b4e135335df975/rendering/16.obj", "7.87581014633")</f>
        <v>7.87581014633</v>
      </c>
      <c r="T1148" s="53" t="str">
        <f>HYPERLINK(AA2 &amp; "/hammer/sn_ee1fd8bf3d7a475c2b4e135335df975/rendering/17.obj", "5.43593215942")</f>
        <v>5.43593215942</v>
      </c>
      <c r="U1148" s="156" t="str">
        <f>HYPERLINK(AA2 &amp; "/hammer/sn_ee1fd8bf3d7a475c2b4e135335df975/rendering/18.obj", "5.12105083466")</f>
        <v>5.12105083466</v>
      </c>
      <c r="V1148" s="82" t="str">
        <f>HYPERLINK(AA2 &amp; "/hammer/sn_ee1fd8bf3d7a475c2b4e135335df975/rendering/19.obj", "7.35716819763")</f>
        <v>7.35716819763</v>
      </c>
      <c r="W1148" s="12" t="s">
        <v>30</v>
      </c>
      <c r="X1148" s="13">
        <v>9.2588127017021176</v>
      </c>
      <c r="Y1148" s="13">
        <v>5.8763886134383894</v>
      </c>
      <c r="Z1148" s="164">
        <v>0.63468057976354664</v>
      </c>
    </row>
    <row r="1149" spans="1:26" x14ac:dyDescent="0.2">
      <c r="A1149" s="1">
        <v>1147</v>
      </c>
      <c r="B1149" s="2" t="s">
        <v>262</v>
      </c>
      <c r="C1149" s="91" t="str">
        <f>HYPERLINK(AB2 &amp; "/hammer/sn_ee1fd8bf3d7a475c2b4e135335df975/rendering/00.obj", "5.56602294922")</f>
        <v>5.56602294922</v>
      </c>
      <c r="D1149" s="35" t="str">
        <f>HYPERLINK(AB2 &amp; "/hammer/sn_ee1fd8bf3d7a475c2b4e135335df975/rendering/01.obj", "5.39070617676")</f>
        <v>5.39070617676</v>
      </c>
      <c r="E1149" s="51" t="str">
        <f>HYPERLINK(AB2 &amp; "/hammer/sn_ee1fd8bf3d7a475c2b4e135335df975/rendering/02.obj", "6.17701965332")</f>
        <v>6.17701965332</v>
      </c>
      <c r="F1149" s="33" t="str">
        <f>HYPERLINK(AB2 &amp; "/hammer/sn_ee1fd8bf3d7a475c2b4e135335df975/rendering/03.obj", "5.09102416992")</f>
        <v>5.09102416992</v>
      </c>
      <c r="G1149" s="60" t="str">
        <f>HYPERLINK(AB2 &amp; "/hammer/sn_ee1fd8bf3d7a475c2b4e135335df975/rendering/04.obj", "6.0115020752")</f>
        <v>6.0115020752</v>
      </c>
      <c r="H1149" s="5" t="str">
        <f>HYPERLINK(AB2 &amp; "/hammer/sn_ee1fd8bf3d7a475c2b4e135335df975/rendering/05.obj", "5.26762023926")</f>
        <v>5.26762023926</v>
      </c>
      <c r="I1149" s="27" t="str">
        <f>HYPERLINK(AB2 &amp; "/hammer/sn_ee1fd8bf3d7a475c2b4e135335df975/rendering/06.obj", "5.30680053711")</f>
        <v>5.30680053711</v>
      </c>
      <c r="J1149" s="23" t="str">
        <f>HYPERLINK(AB2 &amp; "/hammer/sn_ee1fd8bf3d7a475c2b4e135335df975/rendering/07.obj", "5.4894921875")</f>
        <v>5.4894921875</v>
      </c>
      <c r="K1149" s="94" t="str">
        <f>HYPERLINK(AB2 &amp; "/hammer/sn_ee1fd8bf3d7a475c2b4e135335df975/rendering/08.obj", "6.13725708008")</f>
        <v>6.13725708008</v>
      </c>
      <c r="L1149" s="48" t="str">
        <f>HYPERLINK(AB2 &amp; "/hammer/sn_ee1fd8bf3d7a475c2b4e135335df975/rendering/09.obj", "5.5878326416")</f>
        <v>5.5878326416</v>
      </c>
      <c r="M1149" s="23" t="str">
        <f>HYPERLINK(AB2 &amp; "/hammer/sn_ee1fd8bf3d7a475c2b4e135335df975/rendering/10.obj", "5.93345031738")</f>
        <v>5.93345031738</v>
      </c>
      <c r="N1149" s="41" t="str">
        <f>HYPERLINK(AB2 &amp; "/hammer/sn_ee1fd8bf3d7a475c2b4e135335df975/rendering/11.obj", "5.3340222168")</f>
        <v>5.3340222168</v>
      </c>
      <c r="O1149" s="106" t="str">
        <f>HYPERLINK(AB2 &amp; "/hammer/sn_ee1fd8bf3d7a475c2b4e135335df975/rendering/12.obj", "6.36317749023")</f>
        <v>6.36317749023</v>
      </c>
      <c r="P1149" s="133" t="str">
        <f>HYPERLINK(AB2 &amp; "/hammer/sn_ee1fd8bf3d7a475c2b4e135335df975/rendering/13.obj", "6.2995098877")</f>
        <v>6.2995098877</v>
      </c>
      <c r="Q1149" s="28" t="str">
        <f>HYPERLINK(AB2 &amp; "/hammer/sn_ee1fd8bf3d7a475c2b4e135335df975/rendering/14.obj", "6.35079284668")</f>
        <v>6.35079284668</v>
      </c>
      <c r="R1149" s="68" t="str">
        <f>HYPERLINK(AB2 &amp; "/hammer/sn_ee1fd8bf3d7a475c2b4e135335df975/rendering/15.obj", "5.463515625")</f>
        <v>5.463515625</v>
      </c>
      <c r="S1149" s="10" t="str">
        <f>HYPERLINK(AB2 &amp; "/hammer/sn_ee1fd8bf3d7a475c2b4e135335df975/rendering/16.obj", "6.03434326172")</f>
        <v>6.03434326172</v>
      </c>
      <c r="T1149" s="5" t="str">
        <f>HYPERLINK(AB2 &amp; "/hammer/sn_ee1fd8bf3d7a475c2b4e135335df975/rendering/17.obj", "5.27127197266")</f>
        <v>5.27127197266</v>
      </c>
      <c r="U1149" s="74" t="str">
        <f>HYPERLINK(AB2 &amp; "/hammer/sn_ee1fd8bf3d7a475c2b4e135335df975/rendering/18.obj", "5.79825683594")</f>
        <v>5.79825683594</v>
      </c>
      <c r="V1149" s="10" t="str">
        <f>HYPERLINK(AB2 &amp; "/hammer/sn_ee1fd8bf3d7a475c2b4e135335df975/rendering/19.obj", "5.39410461426")</f>
        <v>5.39410461426</v>
      </c>
      <c r="W1149" s="12" t="s">
        <v>31</v>
      </c>
      <c r="X1149" s="13">
        <v>5.7133861389160154</v>
      </c>
      <c r="Y1149" s="13">
        <v>0.4037969465565599</v>
      </c>
      <c r="Z1149" s="27">
        <v>7.0675591801182047E-2</v>
      </c>
    </row>
    <row r="1150" spans="1:26" x14ac:dyDescent="0.2">
      <c r="A1150" s="1">
        <v>1148</v>
      </c>
      <c r="B1150" s="2" t="s">
        <v>262</v>
      </c>
      <c r="C1150" s="27" t="str">
        <f>HYPERLINK(AB2 &amp; "/hammer/sn_ee1fd8bf3d7a475c2b4e135335df975/rendering/00.obj", "3.12244510651")</f>
        <v>3.12244510651</v>
      </c>
      <c r="D1150" s="47" t="str">
        <f>HYPERLINK(AB2 &amp; "/hammer/sn_ee1fd8bf3d7a475c2b4e135335df975/rendering/01.obj", "3.33451962471")</f>
        <v>3.33451962471</v>
      </c>
      <c r="E1150" s="63" t="str">
        <f>HYPERLINK(AB2 &amp; "/hammer/sn_ee1fd8bf3d7a475c2b4e135335df975/rendering/02.obj", "3.76768755913")</f>
        <v>3.76768755913</v>
      </c>
      <c r="F1150" s="70" t="str">
        <f>HYPERLINK(AB2 &amp; "/hammer/sn_ee1fd8bf3d7a475c2b4e135335df975/rendering/03.obj", "2.93504977226")</f>
        <v>2.93504977226</v>
      </c>
      <c r="G1150" s="23" t="str">
        <f>HYPERLINK(AB2 &amp; "/hammer/sn_ee1fd8bf3d7a475c2b4e135335df975/rendering/04.obj", "3.23260998726")</f>
        <v>3.23260998726</v>
      </c>
      <c r="H1150" s="25" t="str">
        <f>HYPERLINK(AB2 &amp; "/hammer/sn_ee1fd8bf3d7a475c2b4e135335df975/rendering/05.obj", "3.32338833809")</f>
        <v>3.32338833809</v>
      </c>
      <c r="I1150" s="41" t="str">
        <f>HYPERLINK(AB2 &amp; "/hammer/sn_ee1fd8bf3d7a475c2b4e135335df975/rendering/06.obj", "3.13864469528")</f>
        <v>3.13864469528</v>
      </c>
      <c r="J1150" s="25" t="str">
        <f>HYPERLINK(AB2 &amp; "/hammer/sn_ee1fd8bf3d7a475c2b4e135335df975/rendering/07.obj", "3.32155513763")</f>
        <v>3.32155513763</v>
      </c>
      <c r="K1150" s="35" t="str">
        <f>HYPERLINK(AB2 &amp; "/hammer/sn_ee1fd8bf3d7a475c2b4e135335df975/rendering/08.obj", "3.55332422256")</f>
        <v>3.55332422256</v>
      </c>
      <c r="L1150" s="94" t="str">
        <f>HYPERLINK(AB2 &amp; "/hammer/sn_ee1fd8bf3d7a475c2b4e135335df975/rendering/09.obj", "3.11176586151")</f>
        <v>3.11176586151</v>
      </c>
      <c r="M1150" s="10" t="str">
        <f>HYPERLINK(AB2 &amp; "/hammer/sn_ee1fd8bf3d7a475c2b4e135335df975/rendering/10.obj", "3.17586755753")</f>
        <v>3.17586755753</v>
      </c>
      <c r="N1150" s="5" t="str">
        <f>HYPERLINK(AB2 &amp; "/hammer/sn_ee1fd8bf3d7a475c2b4e135335df975/rendering/11.obj", "3.10875558853")</f>
        <v>3.10875558853</v>
      </c>
      <c r="O1150" s="8" t="str">
        <f>HYPERLINK(AB2 &amp; "/hammer/sn_ee1fd8bf3d7a475c2b4e135335df975/rendering/12.obj", "3.83872318268")</f>
        <v>3.83872318268</v>
      </c>
      <c r="P1150" s="110" t="str">
        <f>HYPERLINK(AB2 &amp; "/hammer/sn_ee1fd8bf3d7a475c2b4e135335df975/rendering/13.obj", "3.69503474236")</f>
        <v>3.69503474236</v>
      </c>
      <c r="Q1150" s="34" t="str">
        <f>HYPERLINK(AB2 &amp; "/hammer/sn_ee1fd8bf3d7a475c2b4e135335df975/rendering/14.obj", "3.19512009621")</f>
        <v>3.19512009621</v>
      </c>
      <c r="R1150" s="13" t="str">
        <f>HYPERLINK(AB2 &amp; "/hammer/sn_ee1fd8bf3d7a475c2b4e135335df975/rendering/15.obj", "3.36458563805")</f>
        <v>3.36458563805</v>
      </c>
      <c r="S1150" s="6" t="str">
        <f>HYPERLINK(AB2 &amp; "/hammer/sn_ee1fd8bf3d7a475c2b4e135335df975/rendering/16.obj", "3.2077050209")</f>
        <v>3.2077050209</v>
      </c>
      <c r="T1150" s="73" t="str">
        <f>HYPERLINK(AB2 &amp; "/hammer/sn_ee1fd8bf3d7a475c2b4e135335df975/rendering/17.obj", "3.48594927788")</f>
        <v>3.48594927788</v>
      </c>
      <c r="U1150" s="26" t="str">
        <f>HYPERLINK(AB2 &amp; "/hammer/sn_ee1fd8bf3d7a475c2b4e135335df975/rendering/18.obj", "3.57463788986")</f>
        <v>3.57463788986</v>
      </c>
      <c r="V1150" s="63" t="str">
        <f>HYPERLINK(AB2 &amp; "/hammer/sn_ee1fd8bf3d7a475c2b4e135335df975/rendering/19.obj", "3.76414585114")</f>
        <v>3.76414585114</v>
      </c>
      <c r="W1150" s="12" t="s">
        <v>32</v>
      </c>
      <c r="X1150" s="13">
        <v>3.3625757575035089</v>
      </c>
      <c r="Y1150" s="13">
        <v>0.25346590875552061</v>
      </c>
      <c r="Z1150" s="5">
        <v>7.5378497626385765E-2</v>
      </c>
    </row>
    <row r="1151" spans="1:26" x14ac:dyDescent="0.2">
      <c r="A1151" s="1">
        <v>1149</v>
      </c>
      <c r="B1151" s="2" t="s">
        <v>262</v>
      </c>
      <c r="C1151" s="13" t="str">
        <f>HYPERLINK(AC2 &amp; "/hammer/sn_ee1fd8bf3d7a475c2b4e135335df975/rendering/00.xyz", "0.0")</f>
        <v>0.0</v>
      </c>
      <c r="D1151" s="13" t="str">
        <f>HYPERLINK(AC2 &amp; "/hammer/sn_ee1fd8bf3d7a475c2b4e135335df975/rendering/01.xyz", "0.0")</f>
        <v>0.0</v>
      </c>
      <c r="E1151" s="13" t="str">
        <f>HYPERLINK(AC2 &amp; "/hammer/sn_ee1fd8bf3d7a475c2b4e135335df975/rendering/02.xyz", "0.0")</f>
        <v>0.0</v>
      </c>
      <c r="F1151" s="13" t="str">
        <f>HYPERLINK(AC2 &amp; "/hammer/sn_ee1fd8bf3d7a475c2b4e135335df975/rendering/03.xyz", "0.0")</f>
        <v>0.0</v>
      </c>
      <c r="G1151" s="13" t="str">
        <f>HYPERLINK(AC2 &amp; "/hammer/sn_ee1fd8bf3d7a475c2b4e135335df975/rendering/04.xyz", "0.0")</f>
        <v>0.0</v>
      </c>
      <c r="H1151" s="13" t="str">
        <f>HYPERLINK(AC2 &amp; "/hammer/sn_ee1fd8bf3d7a475c2b4e135335df975/rendering/05.xyz", "0.0")</f>
        <v>0.0</v>
      </c>
      <c r="I1151" s="13" t="str">
        <f>HYPERLINK(AC2 &amp; "/hammer/sn_ee1fd8bf3d7a475c2b4e135335df975/rendering/06.xyz", "0.0")</f>
        <v>0.0</v>
      </c>
      <c r="J1151" s="13" t="str">
        <f>HYPERLINK(AC2 &amp; "/hammer/sn_ee1fd8bf3d7a475c2b4e135335df975/rendering/07.xyz", "0.0")</f>
        <v>0.0</v>
      </c>
      <c r="K1151" s="13" t="str">
        <f>HYPERLINK(AC2 &amp; "/hammer/sn_ee1fd8bf3d7a475c2b4e135335df975/rendering/08.xyz", "0.0")</f>
        <v>0.0</v>
      </c>
      <c r="L1151" s="13" t="str">
        <f>HYPERLINK(AC2 &amp; "/hammer/sn_ee1fd8bf3d7a475c2b4e135335df975/rendering/09.xyz", "0.0")</f>
        <v>0.0</v>
      </c>
      <c r="M1151" s="13" t="str">
        <f>HYPERLINK(AC2 &amp; "/hammer/sn_ee1fd8bf3d7a475c2b4e135335df975/rendering/10.xyz", "0.0")</f>
        <v>0.0</v>
      </c>
      <c r="N1151" s="13" t="str">
        <f>HYPERLINK(AC2 &amp; "/hammer/sn_ee1fd8bf3d7a475c2b4e135335df975/rendering/11.xyz", "0.0")</f>
        <v>0.0</v>
      </c>
      <c r="O1151" s="13" t="str">
        <f>HYPERLINK(AC2 &amp; "/hammer/sn_ee1fd8bf3d7a475c2b4e135335df975/rendering/12.xyz", "0.0")</f>
        <v>0.0</v>
      </c>
      <c r="P1151" s="13" t="str">
        <f>HYPERLINK(AC2 &amp; "/hammer/sn_ee1fd8bf3d7a475c2b4e135335df975/rendering/13.xyz", "0.0")</f>
        <v>0.0</v>
      </c>
      <c r="Q1151" s="13" t="str">
        <f>HYPERLINK(AC2 &amp; "/hammer/sn_ee1fd8bf3d7a475c2b4e135335df975/rendering/14.xyz", "0.0")</f>
        <v>0.0</v>
      </c>
      <c r="R1151" s="13" t="str">
        <f>HYPERLINK(AC2 &amp; "/hammer/sn_ee1fd8bf3d7a475c2b4e135335df975/rendering/15.xyz", "0.0")</f>
        <v>0.0</v>
      </c>
      <c r="S1151" s="13" t="str">
        <f>HYPERLINK(AC2 &amp; "/hammer/sn_ee1fd8bf3d7a475c2b4e135335df975/rendering/16.xyz", "0.0")</f>
        <v>0.0</v>
      </c>
      <c r="T1151" s="13" t="str">
        <f>HYPERLINK(AC2 &amp; "/hammer/sn_ee1fd8bf3d7a475c2b4e135335df975/rendering/17.xyz", "0.0")</f>
        <v>0.0</v>
      </c>
      <c r="U1151" s="13" t="str">
        <f>HYPERLINK(AC2 &amp; "/hammer/sn_ee1fd8bf3d7a475c2b4e135335df975/rendering/18.xyz", "0.0")</f>
        <v>0.0</v>
      </c>
      <c r="V1151" s="13" t="str">
        <f>HYPERLINK(AC2 &amp; "/hammer/sn_ee1fd8bf3d7a475c2b4e135335df975/rendering/19.xyz", "0.0")</f>
        <v>0.0</v>
      </c>
      <c r="W1151" s="12" t="s">
        <v>33</v>
      </c>
      <c r="X1151" s="13">
        <v>0</v>
      </c>
      <c r="Y1151" s="13">
        <v>0</v>
      </c>
      <c r="Z1151" s="13">
        <v>0</v>
      </c>
    </row>
    <row r="1152" spans="1:26" x14ac:dyDescent="0.2">
      <c r="A1152" s="1">
        <v>1150</v>
      </c>
      <c r="B1152" s="2" t="s">
        <v>263</v>
      </c>
      <c r="C1152" s="68" t="str">
        <f>HYPERLINK(AA2 &amp; "/hammer/sn_f08e4916ee1ce46cb78afa291147009/rendering/00.obj", "5.90290039062")</f>
        <v>5.90290039062</v>
      </c>
      <c r="D1152" s="31" t="str">
        <f>HYPERLINK(AA2 &amp; "/hammer/sn_f08e4916ee1ce46cb78afa291147009/rendering/01.obj", "6.5492175293")</f>
        <v>6.5492175293</v>
      </c>
      <c r="E1152" s="29" t="str">
        <f>HYPERLINK(AA2 &amp; "/hammer/sn_f08e4916ee1ce46cb78afa291147009/rendering/02.obj", "4.93213653564")</f>
        <v>4.93213653564</v>
      </c>
      <c r="F1152" s="28" t="str">
        <f>HYPERLINK(AA2 &amp; "/hammer/sn_f08e4916ee1ce46cb78afa291147009/rendering/03.obj", "5.0357131958")</f>
        <v>5.0357131958</v>
      </c>
      <c r="G1152" s="110" t="str">
        <f>HYPERLINK(AA2 &amp; "/hammer/sn_f08e4916ee1ce46cb78afa291147009/rendering/04.obj", "5.09869140625")</f>
        <v>5.09869140625</v>
      </c>
      <c r="H1152" s="25" t="str">
        <f>HYPERLINK(AA2 &amp; "/hammer/sn_f08e4916ee1ce46cb78afa291147009/rendering/05.obj", "5.7215411377")</f>
        <v>5.7215411377</v>
      </c>
      <c r="I1152" s="67" t="str">
        <f>HYPERLINK(AA2 &amp; "/hammer/sn_f08e4916ee1ce46cb78afa291147009/rendering/06.obj", "5.14977172852")</f>
        <v>5.14977172852</v>
      </c>
      <c r="J1152" s="68" t="str">
        <f>HYPERLINK(AA2 &amp; "/hammer/sn_f08e4916ee1ce46cb78afa291147009/rendering/07.obj", "5.91204345703")</f>
        <v>5.91204345703</v>
      </c>
      <c r="K1152" s="90" t="str">
        <f>HYPERLINK(AA2 &amp; "/hammer/sn_f08e4916ee1ce46cb78afa291147009/rendering/08.obj", "6.20850463867")</f>
        <v>6.20850463867</v>
      </c>
      <c r="L1152" s="78" t="str">
        <f>HYPERLINK(AA2 &amp; "/hammer/sn_f08e4916ee1ce46cb78afa291147009/rendering/09.obj", "5.32122924805")</f>
        <v>5.32122924805</v>
      </c>
      <c r="M1152" s="94" t="str">
        <f>HYPERLINK(AA2 &amp; "/hammer/sn_f08e4916ee1ce46cb78afa291147009/rendering/10.obj", "6.08017089844")</f>
        <v>6.08017089844</v>
      </c>
      <c r="N1152" s="27" t="str">
        <f>HYPERLINK(AA2 &amp; "/hammer/sn_f08e4916ee1ce46cb78afa291147009/rendering/11.obj", "5.27105712891")</f>
        <v>5.27105712891</v>
      </c>
      <c r="O1152" s="24" t="str">
        <f>HYPERLINK(AA2 &amp; "/hammer/sn_f08e4916ee1ce46cb78afa291147009/rendering/12.obj", "4.71805480957")</f>
        <v>4.71805480957</v>
      </c>
      <c r="P1152" s="67" t="str">
        <f>HYPERLINK(AA2 &amp; "/hammer/sn_f08e4916ee1ce46cb78afa291147009/rendering/13.obj", "6.19487548828")</f>
        <v>6.19487548828</v>
      </c>
      <c r="Q1152" s="67" t="str">
        <f>HYPERLINK(AA2 &amp; "/hammer/sn_f08e4916ee1ce46cb78afa291147009/rendering/14.obj", "5.14782470703")</f>
        <v>5.14782470703</v>
      </c>
      <c r="R1152" s="106" t="str">
        <f>HYPERLINK(AA2 &amp; "/hammer/sn_f08e4916ee1ce46cb78afa291147009/rendering/15.obj", "6.31878845215")</f>
        <v>6.31878845215</v>
      </c>
      <c r="S1152" s="5" t="str">
        <f>HYPERLINK(AA2 &amp; "/hammer/sn_f08e4916ee1ce46cb78afa291147009/rendering/16.obj", "6.10459716797")</f>
        <v>6.10459716797</v>
      </c>
      <c r="T1152" s="6" t="str">
        <f>HYPERLINK(AA2 &amp; "/hammer/sn_f08e4916ee1ce46cb78afa291147009/rendering/17.obj", "5.92064331055")</f>
        <v>5.92064331055</v>
      </c>
      <c r="U1152" s="35" t="str">
        <f>HYPERLINK(AA2 &amp; "/hammer/sn_f08e4916ee1ce46cb78afa291147009/rendering/18.obj", "5.33867431641")</f>
        <v>5.33867431641</v>
      </c>
      <c r="V1152" s="70" t="str">
        <f>HYPERLINK(AA2 &amp; "/hammer/sn_f08e4916ee1ce46cb78afa291147009/rendering/19.obj", "6.38960327148")</f>
        <v>6.38960327148</v>
      </c>
      <c r="W1152" s="12" t="s">
        <v>29</v>
      </c>
      <c r="X1152" s="13">
        <v>5.6658019409179694</v>
      </c>
      <c r="Y1152" s="13">
        <v>0.5443143363712496</v>
      </c>
      <c r="Z1152" s="90">
        <v>9.6070131297787686E-2</v>
      </c>
    </row>
    <row r="1153" spans="1:26" x14ac:dyDescent="0.2">
      <c r="A1153" s="1">
        <v>1151</v>
      </c>
      <c r="B1153" s="2" t="s">
        <v>263</v>
      </c>
      <c r="C1153" s="27" t="str">
        <f>HYPERLINK(AA2 &amp; "/hammer/sn_f08e4916ee1ce46cb78afa291147009/rendering/00.obj", "3.30877304077")</f>
        <v>3.30877304077</v>
      </c>
      <c r="D1153" s="119" t="str">
        <f>HYPERLINK(AA2 &amp; "/hammer/sn_f08e4916ee1ce46cb78afa291147009/rendering/01.obj", "4.50232696533")</f>
        <v>4.50232696533</v>
      </c>
      <c r="E1153" s="56" t="str">
        <f>HYPERLINK(AA2 &amp; "/hammer/sn_f08e4916ee1ce46cb78afa291147009/rendering/02.obj", "2.46072864532")</f>
        <v>2.46072864532</v>
      </c>
      <c r="F1153" s="44" t="str">
        <f>HYPERLINK(AA2 &amp; "/hammer/sn_f08e4916ee1ce46cb78afa291147009/rendering/03.obj", "2.86310386658")</f>
        <v>2.86310386658</v>
      </c>
      <c r="G1153" s="74" t="str">
        <f>HYPERLINK(AA2 &amp; "/hammer/sn_f08e4916ee1ce46cb78afa291147009/rendering/04.obj", "3.61100292206")</f>
        <v>3.61100292206</v>
      </c>
      <c r="H1153" s="42" t="str">
        <f>HYPERLINK(AA2 &amp; "/hammer/sn_f08e4916ee1ce46cb78afa291147009/rendering/05.obj", "3.0779645443")</f>
        <v>3.0779645443</v>
      </c>
      <c r="I1153" s="85" t="str">
        <f>HYPERLINK(AA2 &amp; "/hammer/sn_f08e4916ee1ce46cb78afa291147009/rendering/06.obj", "2.50948476791")</f>
        <v>2.50948476791</v>
      </c>
      <c r="J1153" s="76" t="str">
        <f>HYPERLINK(AA2 &amp; "/hammer/sn_f08e4916ee1ce46cb78afa291147009/rendering/07.obj", "2.91450762749")</f>
        <v>2.91450762749</v>
      </c>
      <c r="K1153" s="78" t="str">
        <f>HYPERLINK(AA2 &amp; "/hammer/sn_f08e4916ee1ce46cb78afa291147009/rendering/08.obj", "3.34591054916")</f>
        <v>3.34591054916</v>
      </c>
      <c r="L1153" s="10" t="str">
        <f>HYPERLINK(AA2 &amp; "/hammer/sn_f08e4916ee1ce46cb78afa291147009/rendering/09.obj", "3.76399898529")</f>
        <v>3.76399898529</v>
      </c>
      <c r="M1153" s="44" t="str">
        <f>HYPERLINK(AA2 &amp; "/hammer/sn_f08e4916ee1ce46cb78afa291147009/rendering/10.obj", "4.25747871399")</f>
        <v>4.25747871399</v>
      </c>
      <c r="N1153" s="63" t="str">
        <f>HYPERLINK(AA2 &amp; "/hammer/sn_f08e4916ee1ce46cb78afa291147009/rendering/11.obj", "3.13253164291")</f>
        <v>3.13253164291</v>
      </c>
      <c r="O1153" s="135" t="str">
        <f>HYPERLINK(AA2 &amp; "/hammer/sn_f08e4916ee1ce46cb78afa291147009/rendering/12.obj", "2.6541287899")</f>
        <v>2.6541287899</v>
      </c>
      <c r="P1153" s="52" t="str">
        <f>HYPERLINK(AA2 &amp; "/hammer/sn_f08e4916ee1ce46cb78afa291147009/rendering/13.obj", "4.98700714111")</f>
        <v>4.98700714111</v>
      </c>
      <c r="Q1153" s="51" t="str">
        <f>HYPERLINK(AA2 &amp; "/hammer/sn_f08e4916ee1ce46cb78afa291147009/rendering/14.obj", "3.84814381599")</f>
        <v>3.84814381599</v>
      </c>
      <c r="R1153" s="10" t="str">
        <f>HYPERLINK(AA2 &amp; "/hammer/sn_f08e4916ee1ce46cb78afa291147009/rendering/15.obj", "3.76103830338")</f>
        <v>3.76103830338</v>
      </c>
      <c r="S1153" s="187" t="str">
        <f>HYPERLINK(AA2 &amp; "/hammer/sn_f08e4916ee1ce46cb78afa291147009/rendering/16.obj", "4.80456924438")</f>
        <v>4.80456924438</v>
      </c>
      <c r="T1153" s="67" t="str">
        <f>HYPERLINK(AA2 &amp; "/hammer/sn_f08e4916ee1ce46cb78afa291147009/rendering/17.obj", "3.23257231712")</f>
        <v>3.23257231712</v>
      </c>
      <c r="U1153" s="107" t="str">
        <f>HYPERLINK(AA2 &amp; "/hammer/sn_f08e4916ee1ce46cb78afa291147009/rendering/18.obj", "3.26886248589")</f>
        <v>3.26886248589</v>
      </c>
      <c r="V1153" s="128" t="str">
        <f>HYPERLINK(AA2 &amp; "/hammer/sn_f08e4916ee1ce46cb78afa291147009/rendering/19.obj", "4.9604883194")</f>
        <v>4.9604883194</v>
      </c>
      <c r="W1153" s="12" t="s">
        <v>30</v>
      </c>
      <c r="X1153" s="13">
        <v>3.5632311344146732</v>
      </c>
      <c r="Y1153" s="13">
        <v>0.76939882872499821</v>
      </c>
      <c r="Z1153" s="36">
        <v>0.2159272861347476</v>
      </c>
    </row>
    <row r="1154" spans="1:26" x14ac:dyDescent="0.2">
      <c r="A1154" s="1">
        <v>1152</v>
      </c>
      <c r="B1154" s="2" t="s">
        <v>263</v>
      </c>
      <c r="C1154" s="72" t="str">
        <f>HYPERLINK(AB2 &amp; "/hammer/sn_f08e4916ee1ce46cb78afa291147009/rendering/00.obj", "6.01077880859")</f>
        <v>6.01077880859</v>
      </c>
      <c r="D1154" s="46" t="str">
        <f>HYPERLINK(AB2 &amp; "/hammer/sn_f08e4916ee1ce46cb78afa291147009/rendering/01.obj", "5.72822753906")</f>
        <v>5.72822753906</v>
      </c>
      <c r="E1154" s="48" t="str">
        <f>HYPERLINK(AB2 &amp; "/hammer/sn_f08e4916ee1ce46cb78afa291147009/rendering/02.obj", "5.68347717285")</f>
        <v>5.68347717285</v>
      </c>
      <c r="F1154" s="10" t="str">
        <f>HYPERLINK(AB2 &amp; "/hammer/sn_f08e4916ee1ce46cb78afa291147009/rendering/03.obj", "6.15084106445")</f>
        <v>6.15084106445</v>
      </c>
      <c r="G1154" s="69" t="str">
        <f>HYPERLINK(AB2 &amp; "/hammer/sn_f08e4916ee1ce46cb78afa291147009/rendering/04.obj", "5.99412414551")</f>
        <v>5.99412414551</v>
      </c>
      <c r="H1154" s="69" t="str">
        <f>HYPERLINK(AB2 &amp; "/hammer/sn_f08e4916ee1ce46cb78afa291147009/rendering/05.obj", "5.99036193848")</f>
        <v>5.99036193848</v>
      </c>
      <c r="I1154" s="72" t="str">
        <f>HYPERLINK(AB2 &amp; "/hammer/sn_f08e4916ee1ce46cb78afa291147009/rendering/06.obj", "5.63065185547")</f>
        <v>5.63065185547</v>
      </c>
      <c r="J1154" s="30" t="str">
        <f>HYPERLINK(AB2 &amp; "/hammer/sn_f08e4916ee1ce46cb78afa291147009/rendering/07.obj", "5.80697875977")</f>
        <v>5.80697875977</v>
      </c>
      <c r="K1154" s="13" t="str">
        <f>HYPERLINK(AB2 &amp; "/hammer/sn_f08e4916ee1ce46cb78afa291147009/rendering/08.obj", "5.82079101562")</f>
        <v>5.82079101562</v>
      </c>
      <c r="L1154" s="25" t="str">
        <f>HYPERLINK(AB2 &amp; "/hammer/sn_f08e4916ee1ce46cb78afa291147009/rendering/09.obj", "5.75763183594")</f>
        <v>5.75763183594</v>
      </c>
      <c r="M1154" s="38" t="str">
        <f>HYPERLINK(AB2 &amp; "/hammer/sn_f08e4916ee1ce46cb78afa291147009/rendering/10.obj", "5.30491943359")</f>
        <v>5.30491943359</v>
      </c>
      <c r="N1154" s="133" t="str">
        <f>HYPERLINK(AB2 &amp; "/hammer/sn_f08e4916ee1ce46cb78afa291147009/rendering/11.obj", "6.41116882324")</f>
        <v>6.41116882324</v>
      </c>
      <c r="O1154" s="65" t="str">
        <f>HYPERLINK(AB2 &amp; "/hammer/sn_f08e4916ee1ce46cb78afa291147009/rendering/12.obj", "6.61040649414")</f>
        <v>6.61040649414</v>
      </c>
      <c r="P1154" s="60" t="str">
        <f>HYPERLINK(AB2 &amp; "/hammer/sn_f08e4916ee1ce46cb78afa291147009/rendering/13.obj", "6.12771240234")</f>
        <v>6.12771240234</v>
      </c>
      <c r="Q1154" s="47" t="str">
        <f>HYPERLINK(AB2 &amp; "/hammer/sn_f08e4916ee1ce46cb78afa291147009/rendering/14.obj", "5.86324584961")</f>
        <v>5.86324584961</v>
      </c>
      <c r="R1154" s="106" t="str">
        <f>HYPERLINK(AB2 &amp; "/hammer/sn_f08e4916ee1ce46cb78afa291147009/rendering/15.obj", "5.16147827148")</f>
        <v>5.16147827148</v>
      </c>
      <c r="S1154" s="107" t="str">
        <f>HYPERLINK(AB2 &amp; "/hammer/sn_f08e4916ee1ce46cb78afa291147009/rendering/16.obj", "5.34900512695")</f>
        <v>5.34900512695</v>
      </c>
      <c r="T1154" s="17" t="str">
        <f>HYPERLINK(AB2 &amp; "/hammer/sn_f08e4916ee1ce46cb78afa291147009/rendering/17.obj", "5.93752929687")</f>
        <v>5.93752929687</v>
      </c>
      <c r="U1154" s="47" t="str">
        <f>HYPERLINK(AB2 &amp; "/hammer/sn_f08e4916ee1ce46cb78afa291147009/rendering/18.obj", "5.78552001953")</f>
        <v>5.78552001953</v>
      </c>
      <c r="V1154" s="5" t="str">
        <f>HYPERLINK(AB2 &amp; "/hammer/sn_f08e4916ee1ce46cb78afa291147009/rendering/19.obj", "5.38567871094")</f>
        <v>5.38567871094</v>
      </c>
      <c r="W1154" s="12" t="s">
        <v>31</v>
      </c>
      <c r="X1154" s="13">
        <v>5.8255264282226564</v>
      </c>
      <c r="Y1154" s="13">
        <v>0.35119577449181449</v>
      </c>
      <c r="Z1154" s="78">
        <v>6.0285671830513497E-2</v>
      </c>
    </row>
    <row r="1155" spans="1:26" x14ac:dyDescent="0.2">
      <c r="A1155" s="1">
        <v>1153</v>
      </c>
      <c r="B1155" s="2" t="s">
        <v>263</v>
      </c>
      <c r="C1155" s="81" t="str">
        <f>HYPERLINK(AB2 &amp; "/hammer/sn_f08e4916ee1ce46cb78afa291147009/rendering/00.obj", "3.67056202888")</f>
        <v>3.67056202888</v>
      </c>
      <c r="D1155" s="68" t="str">
        <f>HYPERLINK(AB2 &amp; "/hammer/sn_f08e4916ee1ce46cb78afa291147009/rendering/01.obj", "3.14080238342")</f>
        <v>3.14080238342</v>
      </c>
      <c r="E1155" s="39" t="str">
        <f>HYPERLINK(AB2 &amp; "/hammer/sn_f08e4916ee1ce46cb78afa291147009/rendering/02.obj", "2.74797177315")</f>
        <v>2.74797177315</v>
      </c>
      <c r="F1155" s="32" t="str">
        <f>HYPERLINK(AB2 &amp; "/hammer/sn_f08e4916ee1ce46cb78afa291147009/rendering/03.obj", "3.33016347885")</f>
        <v>3.33016347885</v>
      </c>
      <c r="G1155" s="46" t="str">
        <f>HYPERLINK(AB2 &amp; "/hammer/sn_f08e4916ee1ce46cb78afa291147009/rendering/04.obj", "2.96356511116")</f>
        <v>2.96356511116</v>
      </c>
      <c r="H1155" s="24" t="str">
        <f>HYPERLINK(AB2 &amp; "/hammer/sn_f08e4916ee1ce46cb78afa291147009/rendering/05.obj", "3.51991963387")</f>
        <v>3.51991963387</v>
      </c>
      <c r="I1155" s="26" t="str">
        <f>HYPERLINK(AB2 &amp; "/hammer/sn_f08e4916ee1ce46cb78afa291147009/rendering/06.obj", "2.81897258759")</f>
        <v>2.81897258759</v>
      </c>
      <c r="J1155" s="63" t="str">
        <f>HYPERLINK(AB2 &amp; "/hammer/sn_f08e4916ee1ce46cb78afa291147009/rendering/07.obj", "2.65030574799")</f>
        <v>2.65030574799</v>
      </c>
      <c r="K1155" s="30" t="str">
        <f>HYPERLINK(AB2 &amp; "/hammer/sn_f08e4916ee1ce46cb78afa291147009/rendering/08.obj", "2.99708461761")</f>
        <v>2.99708461761</v>
      </c>
      <c r="L1155" s="29" t="str">
        <f>HYPERLINK(AB2 &amp; "/hammer/sn_f08e4916ee1ce46cb78afa291147009/rendering/09.obj", "2.61801052094")</f>
        <v>2.61801052094</v>
      </c>
      <c r="M1155" s="84" t="str">
        <f>HYPERLINK(AB2 &amp; "/hammer/sn_f08e4916ee1ce46cb78afa291147009/rendering/10.obj", "2.57677435875")</f>
        <v>2.57677435875</v>
      </c>
      <c r="N1155" s="10" t="str">
        <f>HYPERLINK(AB2 &amp; "/hammer/sn_f08e4916ee1ce46cb78afa291147009/rendering/11.obj", "3.17668485641")</f>
        <v>3.17668485641</v>
      </c>
      <c r="O1155" s="82" t="str">
        <f>HYPERLINK(AB2 &amp; "/hammer/sn_f08e4916ee1ce46cb78afa291147009/rendering/12.obj", "3.62843108177")</f>
        <v>3.62843108177</v>
      </c>
      <c r="P1155" s="35" t="str">
        <f>HYPERLINK(AB2 &amp; "/hammer/sn_f08e4916ee1ce46cb78afa291147009/rendering/13.obj", "2.83363366127")</f>
        <v>2.83363366127</v>
      </c>
      <c r="Q1155" s="68" t="str">
        <f>HYPERLINK(AB2 &amp; "/hammer/sn_f08e4916ee1ce46cb78afa291147009/rendering/14.obj", "2.88276219368")</f>
        <v>2.88276219368</v>
      </c>
      <c r="R1155" s="48" t="str">
        <f>HYPERLINK(AB2 &amp; "/hammer/sn_f08e4916ee1ce46cb78afa291147009/rendering/15.obj", "2.94349622726")</f>
        <v>2.94349622726</v>
      </c>
      <c r="S1155" s="106" t="str">
        <f>HYPERLINK(AB2 &amp; "/hammer/sn_f08e4916ee1ce46cb78afa291147009/rendering/16.obj", "2.66393756866")</f>
        <v>2.66393756866</v>
      </c>
      <c r="T1155" s="117" t="str">
        <f>HYPERLINK(AB2 &amp; "/hammer/sn_f08e4916ee1ce46cb78afa291147009/rendering/17.obj", "3.54072737694")</f>
        <v>3.54072737694</v>
      </c>
      <c r="U1155" s="47" t="str">
        <f>HYPERLINK(AB2 &amp; "/hammer/sn_f08e4916ee1ce46cb78afa291147009/rendering/18.obj", "3.03720331192")</f>
        <v>3.03720331192</v>
      </c>
      <c r="V1155" s="37" t="str">
        <f>HYPERLINK(AB2 &amp; "/hammer/sn_f08e4916ee1ce46cb78afa291147009/rendering/19.obj", "2.49082303047")</f>
        <v>2.49082303047</v>
      </c>
      <c r="W1155" s="12" t="s">
        <v>32</v>
      </c>
      <c r="X1155" s="13">
        <v>3.0115915775299071</v>
      </c>
      <c r="Y1155" s="13">
        <v>0.35551304869715178</v>
      </c>
      <c r="Z1155" s="71">
        <v>0.1180482278373025</v>
      </c>
    </row>
    <row r="1156" spans="1:26" x14ac:dyDescent="0.2">
      <c r="A1156" s="1">
        <v>1154</v>
      </c>
      <c r="B1156" s="2" t="s">
        <v>263</v>
      </c>
      <c r="C1156" s="13" t="str">
        <f>HYPERLINK(AC2 &amp; "/hammer/sn_f08e4916ee1ce46cb78afa291147009/rendering/00.xyz", "0.0")</f>
        <v>0.0</v>
      </c>
      <c r="D1156" s="13" t="str">
        <f>HYPERLINK(AC2 &amp; "/hammer/sn_f08e4916ee1ce46cb78afa291147009/rendering/01.xyz", "0.0")</f>
        <v>0.0</v>
      </c>
      <c r="E1156" s="13" t="str">
        <f>HYPERLINK(AC2 &amp; "/hammer/sn_f08e4916ee1ce46cb78afa291147009/rendering/02.xyz", "0.0")</f>
        <v>0.0</v>
      </c>
      <c r="F1156" s="13" t="str">
        <f>HYPERLINK(AC2 &amp; "/hammer/sn_f08e4916ee1ce46cb78afa291147009/rendering/03.xyz", "0.0")</f>
        <v>0.0</v>
      </c>
      <c r="G1156" s="13" t="str">
        <f>HYPERLINK(AC2 &amp; "/hammer/sn_f08e4916ee1ce46cb78afa291147009/rendering/04.xyz", "0.0")</f>
        <v>0.0</v>
      </c>
      <c r="H1156" s="13" t="str">
        <f>HYPERLINK(AC2 &amp; "/hammer/sn_f08e4916ee1ce46cb78afa291147009/rendering/05.xyz", "0.0")</f>
        <v>0.0</v>
      </c>
      <c r="I1156" s="13" t="str">
        <f>HYPERLINK(AC2 &amp; "/hammer/sn_f08e4916ee1ce46cb78afa291147009/rendering/06.xyz", "0.0")</f>
        <v>0.0</v>
      </c>
      <c r="J1156" s="13" t="str">
        <f>HYPERLINK(AC2 &amp; "/hammer/sn_f08e4916ee1ce46cb78afa291147009/rendering/07.xyz", "0.0")</f>
        <v>0.0</v>
      </c>
      <c r="K1156" s="13" t="str">
        <f>HYPERLINK(AC2 &amp; "/hammer/sn_f08e4916ee1ce46cb78afa291147009/rendering/08.xyz", "0.0")</f>
        <v>0.0</v>
      </c>
      <c r="L1156" s="13" t="str">
        <f>HYPERLINK(AC2 &amp; "/hammer/sn_f08e4916ee1ce46cb78afa291147009/rendering/09.xyz", "0.0")</f>
        <v>0.0</v>
      </c>
      <c r="M1156" s="13" t="str">
        <f>HYPERLINK(AC2 &amp; "/hammer/sn_f08e4916ee1ce46cb78afa291147009/rendering/10.xyz", "0.0")</f>
        <v>0.0</v>
      </c>
      <c r="N1156" s="13" t="str">
        <f>HYPERLINK(AC2 &amp; "/hammer/sn_f08e4916ee1ce46cb78afa291147009/rendering/11.xyz", "0.0")</f>
        <v>0.0</v>
      </c>
      <c r="O1156" s="13" t="str">
        <f>HYPERLINK(AC2 &amp; "/hammer/sn_f08e4916ee1ce46cb78afa291147009/rendering/12.xyz", "0.0")</f>
        <v>0.0</v>
      </c>
      <c r="P1156" s="13" t="str">
        <f>HYPERLINK(AC2 &amp; "/hammer/sn_f08e4916ee1ce46cb78afa291147009/rendering/13.xyz", "0.0")</f>
        <v>0.0</v>
      </c>
      <c r="Q1156" s="13" t="str">
        <f>HYPERLINK(AC2 &amp; "/hammer/sn_f08e4916ee1ce46cb78afa291147009/rendering/14.xyz", "0.0")</f>
        <v>0.0</v>
      </c>
      <c r="R1156" s="13" t="str">
        <f>HYPERLINK(AC2 &amp; "/hammer/sn_f08e4916ee1ce46cb78afa291147009/rendering/15.xyz", "0.0")</f>
        <v>0.0</v>
      </c>
      <c r="S1156" s="13" t="str">
        <f>HYPERLINK(AC2 &amp; "/hammer/sn_f08e4916ee1ce46cb78afa291147009/rendering/16.xyz", "0.0")</f>
        <v>0.0</v>
      </c>
      <c r="T1156" s="13" t="str">
        <f>HYPERLINK(AC2 &amp; "/hammer/sn_f08e4916ee1ce46cb78afa291147009/rendering/17.xyz", "0.0")</f>
        <v>0.0</v>
      </c>
      <c r="U1156" s="13" t="str">
        <f>HYPERLINK(AC2 &amp; "/hammer/sn_f08e4916ee1ce46cb78afa291147009/rendering/18.xyz", "0.0")</f>
        <v>0.0</v>
      </c>
      <c r="V1156" s="13" t="str">
        <f>HYPERLINK(AC2 &amp; "/hammer/sn_f08e4916ee1ce46cb78afa291147009/rendering/19.xyz", "0.0")</f>
        <v>0.0</v>
      </c>
      <c r="W1156" s="12" t="s">
        <v>33</v>
      </c>
      <c r="X1156" s="13">
        <v>0</v>
      </c>
      <c r="Y1156" s="13">
        <v>0</v>
      </c>
      <c r="Z1156" s="13">
        <v>0</v>
      </c>
    </row>
    <row r="1157" spans="1:26" x14ac:dyDescent="0.2">
      <c r="A1157" s="1">
        <v>1155</v>
      </c>
      <c r="B1157" s="2" t="s">
        <v>264</v>
      </c>
      <c r="C1157" s="70" t="str">
        <f>HYPERLINK(AA2 &amp; "/hammer/sn_f0ddd3cffd0f082c3209d73a5e86baa7/rendering/00.obj", "5.44362304688")</f>
        <v>5.44362304688</v>
      </c>
      <c r="D1157" s="134" t="str">
        <f>HYPERLINK(AA2 &amp; "/hammer/sn_f0ddd3cffd0f082c3209d73a5e86baa7/rendering/01.obj", "7.36974731445")</f>
        <v>7.36974731445</v>
      </c>
      <c r="E1157" s="158" t="str">
        <f>HYPERLINK(AA2 &amp; "/hammer/sn_f0ddd3cffd0f082c3209d73a5e86baa7/rendering/02.obj", "8.79523925781")</f>
        <v>8.79523925781</v>
      </c>
      <c r="F1157" s="91" t="str">
        <f>HYPERLINK(AA2 &amp; "/hammer/sn_f0ddd3cffd0f082c3209d73a5e86baa7/rendering/03.obj", "6.06766357422")</f>
        <v>6.06766357422</v>
      </c>
      <c r="G1157" s="27" t="str">
        <f>HYPERLINK(AA2 &amp; "/hammer/sn_f0ddd3cffd0f082c3209d73a5e86baa7/rendering/04.obj", "5.78986755371")</f>
        <v>5.78986755371</v>
      </c>
      <c r="H1157" s="57" t="str">
        <f>HYPERLINK(AA2 &amp; "/hammer/sn_f0ddd3cffd0f082c3209d73a5e86baa7/rendering/05.obj", "8.21439758301")</f>
        <v>8.21439758301</v>
      </c>
      <c r="I1157" s="55" t="str">
        <f>HYPERLINK(AA2 &amp; "/hammer/sn_f0ddd3cffd0f082c3209d73a5e86baa7/rendering/06.obj", "5.02941650391")</f>
        <v>5.02941650391</v>
      </c>
      <c r="J1157" s="38" t="str">
        <f>HYPERLINK(AA2 &amp; "/hammer/sn_f0ddd3cffd0f082c3209d73a5e86baa7/rendering/07.obj", "5.68066223145")</f>
        <v>5.68066223145</v>
      </c>
      <c r="K1157" s="93" t="str">
        <f>HYPERLINK(AA2 &amp; "/hammer/sn_f0ddd3cffd0f082c3209d73a5e86baa7/rendering/08.obj", "5.36043762207")</f>
        <v>5.36043762207</v>
      </c>
      <c r="L1157" s="70" t="str">
        <f>HYPERLINK(AA2 &amp; "/hammer/sn_f0ddd3cffd0f082c3209d73a5e86baa7/rendering/09.obj", "5.45143859863")</f>
        <v>5.45143859863</v>
      </c>
      <c r="M1157" s="110" t="str">
        <f>HYPERLINK(AA2 &amp; "/hammer/sn_f0ddd3cffd0f082c3209d73a5e86baa7/rendering/10.obj", "6.84801696777")</f>
        <v>6.84801696777</v>
      </c>
      <c r="N1157" s="77" t="str">
        <f>HYPERLINK(AA2 &amp; "/hammer/sn_f0ddd3cffd0f082c3209d73a5e86baa7/rendering/11.obj", "5.0658682251")</f>
        <v>5.0658682251</v>
      </c>
      <c r="O1157" s="13" t="str">
        <f>HYPERLINK(AA2 &amp; "/hammer/sn_f0ddd3cffd0f082c3209d73a5e86baa7/rendering/12.obj", "6.25807983398")</f>
        <v>6.25807983398</v>
      </c>
      <c r="P1157" s="75" t="str">
        <f>HYPERLINK(AA2 &amp; "/hammer/sn_f0ddd3cffd0f082c3209d73a5e86baa7/rendering/13.obj", "4.85616699219")</f>
        <v>4.85616699219</v>
      </c>
      <c r="Q1157" s="5" t="str">
        <f>HYPERLINK(AA2 &amp; "/hammer/sn_f0ddd3cffd0f082c3209d73a5e86baa7/rendering/14.obj", "5.76008422852")</f>
        <v>5.76008422852</v>
      </c>
      <c r="R1157" s="28" t="str">
        <f>HYPERLINK(AA2 &amp; "/hammer/sn_f0ddd3cffd0f082c3209d73a5e86baa7/rendering/15.obj", "5.54242797852")</f>
        <v>5.54242797852</v>
      </c>
      <c r="S1157" s="35" t="str">
        <f>HYPERLINK(AA2 &amp; "/hammer/sn_f0ddd3cffd0f082c3209d73a5e86baa7/rendering/16.obj", "5.88071228027")</f>
        <v>5.88071228027</v>
      </c>
      <c r="T1157" s="6" t="str">
        <f>HYPERLINK(AA2 &amp; "/hammer/sn_f0ddd3cffd0f082c3209d73a5e86baa7/rendering/17.obj", "5.9535168457")</f>
        <v>5.9535168457</v>
      </c>
      <c r="U1157" s="34" t="str">
        <f>HYPERLINK(AA2 &amp; "/hammer/sn_f0ddd3cffd0f082c3209d73a5e86baa7/rendering/18.obj", "5.94293701172")</f>
        <v>5.94293701172</v>
      </c>
      <c r="V1157" s="127" t="str">
        <f>HYPERLINK(AA2 &amp; "/hammer/sn_f0ddd3cffd0f082c3209d73a5e86baa7/rendering/19.obj", "9.48471313477")</f>
        <v>9.48471313477</v>
      </c>
      <c r="W1157" s="12" t="s">
        <v>29</v>
      </c>
      <c r="X1157" s="13">
        <v>6.2397508392333991</v>
      </c>
      <c r="Y1157" s="13">
        <v>1.244031216696347</v>
      </c>
      <c r="Z1157" s="50">
        <v>0.19937193787840191</v>
      </c>
    </row>
    <row r="1158" spans="1:26" x14ac:dyDescent="0.2">
      <c r="A1158" s="1">
        <v>1156</v>
      </c>
      <c r="B1158" s="2" t="s">
        <v>264</v>
      </c>
      <c r="C1158" s="104" t="str">
        <f>HYPERLINK(AA2 &amp; "/hammer/sn_f0ddd3cffd0f082c3209d73a5e86baa7/rendering/00.obj", "3.21136212349")</f>
        <v>3.21136212349</v>
      </c>
      <c r="D1158" s="52" t="str">
        <f>HYPERLINK(AA2 &amp; "/hammer/sn_f0ddd3cffd0f082c3209d73a5e86baa7/rendering/01.obj", "8.59719848633")</f>
        <v>8.59719848633</v>
      </c>
      <c r="E1158" s="20" t="str">
        <f>HYPERLINK(AA2 &amp; "/hammer/sn_f0ddd3cffd0f082c3209d73a5e86baa7/rendering/02.obj", "14.4475002289")</f>
        <v>14.4475002289</v>
      </c>
      <c r="F1158" s="50" t="str">
        <f>HYPERLINK(AA2 &amp; "/hammer/sn_f0ddd3cffd0f082c3209d73a5e86baa7/rendering/03.obj", "7.36610984802")</f>
        <v>7.36610984802</v>
      </c>
      <c r="G1158" s="42" t="str">
        <f>HYPERLINK(AA2 &amp; "/hammer/sn_f0ddd3cffd0f082c3209d73a5e86baa7/rendering/04.obj", "6.98424577713")</f>
        <v>6.98424577713</v>
      </c>
      <c r="H1158" s="137" t="str">
        <f>HYPERLINK(AA2 &amp; "/hammer/sn_f0ddd3cffd0f082c3209d73a5e86baa7/rendering/05.obj", "8.38801193237")</f>
        <v>8.38801193237</v>
      </c>
      <c r="I1158" s="213" t="str">
        <f>HYPERLINK(AA2 &amp; "/hammer/sn_f0ddd3cffd0f082c3209d73a5e86baa7/rendering/06.obj", "3.0960547924")</f>
        <v>3.0960547924</v>
      </c>
      <c r="J1158" s="133" t="str">
        <f>HYPERLINK(AA2 &amp; "/hammer/sn_f0ddd3cffd0f082c3209d73a5e86baa7/rendering/07.obj", "5.50333833694")</f>
        <v>5.50333833694</v>
      </c>
      <c r="K1158" s="114" t="str">
        <f>HYPERLINK(AA2 &amp; "/hammer/sn_f0ddd3cffd0f082c3209d73a5e86baa7/rendering/08.obj", "3.30887269974")</f>
        <v>3.30887269974</v>
      </c>
      <c r="L1158" s="160" t="str">
        <f>HYPERLINK(AA2 &amp; "/hammer/sn_f0ddd3cffd0f082c3209d73a5e86baa7/rendering/09.obj", "2.88653612137")</f>
        <v>2.88653612137</v>
      </c>
      <c r="M1158" s="110" t="str">
        <f>HYPERLINK(AA2 &amp; "/hammer/sn_f0ddd3cffd0f082c3209d73a5e86baa7/rendering/10.obj", "6.73616743088")</f>
        <v>6.73616743088</v>
      </c>
      <c r="N1158" s="156" t="str">
        <f>HYPERLINK(AA2 &amp; "/hammer/sn_f0ddd3cffd0f082c3209d73a5e86baa7/rendering/11.obj", "3.40076589584")</f>
        <v>3.40076589584</v>
      </c>
      <c r="O1158" s="46" t="str">
        <f>HYPERLINK(AA2 &amp; "/hammer/sn_f0ddd3cffd0f082c3209d73a5e86baa7/rendering/12.obj", "6.24177312851")</f>
        <v>6.24177312851</v>
      </c>
      <c r="P1158" s="108" t="str">
        <f>HYPERLINK(AA2 &amp; "/hammer/sn_f0ddd3cffd0f082c3209d73a5e86baa7/rendering/13.obj", "4.63504743576")</f>
        <v>4.63504743576</v>
      </c>
      <c r="Q1158" s="54" t="str">
        <f>HYPERLINK(AA2 &amp; "/hammer/sn_f0ddd3cffd0f082c3209d73a5e86baa7/rendering/14.obj", "4.11745977402")</f>
        <v>4.11745977402</v>
      </c>
      <c r="R1158" s="88" t="str">
        <f>HYPERLINK(AA2 &amp; "/hammer/sn_f0ddd3cffd0f082c3209d73a5e86baa7/rendering/15.obj", "4.89007902145")</f>
        <v>4.89007902145</v>
      </c>
      <c r="S1158" s="86" t="str">
        <f>HYPERLINK(AA2 &amp; "/hammer/sn_f0ddd3cffd0f082c3209d73a5e86baa7/rendering/16.obj", "4.49773406982")</f>
        <v>4.49773406982</v>
      </c>
      <c r="T1158" s="70" t="str">
        <f>HYPERLINK(AA2 &amp; "/hammer/sn_f0ddd3cffd0f082c3209d73a5e86baa7/rendering/17.obj", "5.36252641678")</f>
        <v>5.36252641678</v>
      </c>
      <c r="U1158" s="71" t="str">
        <f>HYPERLINK(AA2 &amp; "/hammer/sn_f0ddd3cffd0f082c3209d73a5e86baa7/rendering/18.obj", "5.42491054535")</f>
        <v>5.42491054535</v>
      </c>
      <c r="V1158" s="20" t="str">
        <f>HYPERLINK(AA2 &amp; "/hammer/sn_f0ddd3cffd0f082c3209d73a5e86baa7/rendering/19.obj", "13.67441082")</f>
        <v>13.67441082</v>
      </c>
      <c r="W1158" s="12" t="s">
        <v>30</v>
      </c>
      <c r="X1158" s="13">
        <v>6.1385052442550663</v>
      </c>
      <c r="Y1158" s="13">
        <v>3.126798645595799</v>
      </c>
      <c r="Z1158" s="227">
        <v>0.50937459873022395</v>
      </c>
    </row>
    <row r="1159" spans="1:26" x14ac:dyDescent="0.2">
      <c r="A1159" s="1">
        <v>1157</v>
      </c>
      <c r="B1159" s="2" t="s">
        <v>264</v>
      </c>
      <c r="C1159" s="69" t="str">
        <f>HYPERLINK(AB2 &amp; "/hammer/sn_f0ddd3cffd0f082c3209d73a5e86baa7/rendering/00.obj", "5.44122558594")</f>
        <v>5.44122558594</v>
      </c>
      <c r="D1159" s="29" t="str">
        <f>HYPERLINK(AB2 &amp; "/hammer/sn_f0ddd3cffd0f082c3209d73a5e86baa7/rendering/01.obj", "4.87270751953")</f>
        <v>4.87270751953</v>
      </c>
      <c r="E1159" s="38" t="str">
        <f>HYPERLINK(AB2 &amp; "/hammer/sn_f0ddd3cffd0f082c3209d73a5e86baa7/rendering/02.obj", "6.09857910156")</f>
        <v>6.09857910156</v>
      </c>
      <c r="F1159" s="72" t="str">
        <f>HYPERLINK(AB2 &amp; "/hammer/sn_f0ddd3cffd0f082c3209d73a5e86baa7/rendering/03.obj", "5.42635742188")</f>
        <v>5.42635742188</v>
      </c>
      <c r="G1159" s="23" t="str">
        <f>HYPERLINK(AB2 &amp; "/hammer/sn_f0ddd3cffd0f082c3209d73a5e86baa7/rendering/04.obj", "5.38338867188")</f>
        <v>5.38338867188</v>
      </c>
      <c r="H1159" s="25" t="str">
        <f>HYPERLINK(AB2 &amp; "/hammer/sn_f0ddd3cffd0f082c3209d73a5e86baa7/rendering/05.obj", "5.66277587891")</f>
        <v>5.66277587891</v>
      </c>
      <c r="I1159" s="17" t="str">
        <f>HYPERLINK(AB2 &amp; "/hammer/sn_f0ddd3cffd0f082c3209d73a5e86baa7/rendering/06.obj", "5.71573364258")</f>
        <v>5.71573364258</v>
      </c>
      <c r="J1159" s="60" t="str">
        <f>HYPERLINK(AB2 &amp; "/hammer/sn_f0ddd3cffd0f082c3209d73a5e86baa7/rendering/07.obj", "5.89340087891")</f>
        <v>5.89340087891</v>
      </c>
      <c r="K1159" s="17" t="str">
        <f>HYPERLINK(AB2 &amp; "/hammer/sn_f0ddd3cffd0f082c3209d73a5e86baa7/rendering/08.obj", "5.4875390625")</f>
        <v>5.4875390625</v>
      </c>
      <c r="L1159" s="60" t="str">
        <f>HYPERLINK(AB2 &amp; "/hammer/sn_f0ddd3cffd0f082c3209d73a5e86baa7/rendering/09.obj", "5.32253662109")</f>
        <v>5.32253662109</v>
      </c>
      <c r="M1159" s="61" t="str">
        <f>HYPERLINK(AB2 &amp; "/hammer/sn_f0ddd3cffd0f082c3209d73a5e86baa7/rendering/10.obj", "7.30395263672")</f>
        <v>7.30395263672</v>
      </c>
      <c r="N1159" s="92" t="str">
        <f>HYPERLINK(AB2 &amp; "/hammer/sn_f0ddd3cffd0f082c3209d73a5e86baa7/rendering/11.obj", "4.91181213379")</f>
        <v>4.91181213379</v>
      </c>
      <c r="O1159" s="94" t="str">
        <f>HYPERLINK(AB2 &amp; "/hammer/sn_f0ddd3cffd0f082c3209d73a5e86baa7/rendering/12.obj", "6.02035522461")</f>
        <v>6.02035522461</v>
      </c>
      <c r="P1159" s="82" t="str">
        <f>HYPERLINK(AB2 &amp; "/hammer/sn_f0ddd3cffd0f082c3209d73a5e86baa7/rendering/13.obj", "4.46073730469")</f>
        <v>4.46073730469</v>
      </c>
      <c r="Q1159" s="91" t="str">
        <f>HYPERLINK(AB2 &amp; "/hammer/sn_f0ddd3cffd0f082c3209d73a5e86baa7/rendering/14.obj", "5.44811889648")</f>
        <v>5.44811889648</v>
      </c>
      <c r="R1159" s="6" t="str">
        <f>HYPERLINK(AB2 &amp; "/hammer/sn_f0ddd3cffd0f082c3209d73a5e86baa7/rendering/15.obj", "5.35405639648")</f>
        <v>5.35405639648</v>
      </c>
      <c r="S1159" s="13" t="str">
        <f>HYPERLINK(AB2 &amp; "/hammer/sn_f0ddd3cffd0f082c3209d73a5e86baa7/rendering/16.obj", "5.59197631836")</f>
        <v>5.59197631836</v>
      </c>
      <c r="T1159" s="71" t="str">
        <f>HYPERLINK(AB2 &amp; "/hammer/sn_f0ddd3cffd0f082c3209d73a5e86baa7/rendering/17.obj", "6.25476074219")</f>
        <v>6.25476074219</v>
      </c>
      <c r="U1159" s="46" t="str">
        <f>HYPERLINK(AB2 &amp; "/hammer/sn_f0ddd3cffd0f082c3209d73a5e86baa7/rendering/18.obj", "5.7026348877")</f>
        <v>5.7026348877</v>
      </c>
      <c r="V1159" s="48" t="str">
        <f>HYPERLINK(AB2 &amp; "/hammer/sn_f0ddd3cffd0f082c3209d73a5e86baa7/rendering/19.obj", "5.7282232666")</f>
        <v>5.7282232666</v>
      </c>
      <c r="W1159" s="12" t="s">
        <v>31</v>
      </c>
      <c r="X1159" s="13">
        <v>5.6040436096191408</v>
      </c>
      <c r="Y1159" s="13">
        <v>0.56848592454100244</v>
      </c>
      <c r="Z1159" s="133">
        <v>0.10144209505529481</v>
      </c>
    </row>
    <row r="1160" spans="1:26" x14ac:dyDescent="0.2">
      <c r="A1160" s="1">
        <v>1158</v>
      </c>
      <c r="B1160" s="2" t="s">
        <v>264</v>
      </c>
      <c r="C1160" s="24" t="str">
        <f>HYPERLINK(AB2 &amp; "/hammer/sn_f0ddd3cffd0f082c3209d73a5e86baa7/rendering/00.obj", "2.74121117592")</f>
        <v>2.74121117592</v>
      </c>
      <c r="D1160" s="67" t="str">
        <f>HYPERLINK(AB2 &amp; "/hammer/sn_f0ddd3cffd0f082c3209d73a5e86baa7/rendering/01.obj", "2.9957113266")</f>
        <v>2.9957113266</v>
      </c>
      <c r="E1160" s="147" t="str">
        <f>HYPERLINK(AB2 &amp; "/hammer/sn_f0ddd3cffd0f082c3209d73a5e86baa7/rendering/02.obj", "4.90936231613")</f>
        <v>4.90936231613</v>
      </c>
      <c r="F1160" s="72" t="str">
        <f>HYPERLINK(AB2 &amp; "/hammer/sn_f0ddd3cffd0f082c3209d73a5e86baa7/rendering/03.obj", "3.19124698639")</f>
        <v>3.19124698639</v>
      </c>
      <c r="G1160" s="60" t="str">
        <f>HYPERLINK(AB2 &amp; "/hammer/sn_f0ddd3cffd0f082c3209d73a5e86baa7/rendering/04.obj", "3.12473702431")</f>
        <v>3.12473702431</v>
      </c>
      <c r="H1160" s="98" t="str">
        <f>HYPERLINK(AB2 &amp; "/hammer/sn_f0ddd3cffd0f082c3209d73a5e86baa7/rendering/05.obj", "2.54130744934")</f>
        <v>2.54130744934</v>
      </c>
      <c r="I1160" s="17" t="str">
        <f>HYPERLINK(AB2 &amp; "/hammer/sn_f0ddd3cffd0f082c3209d73a5e86baa7/rendering/06.obj", "3.22516703606")</f>
        <v>3.22516703606</v>
      </c>
      <c r="J1160" s="78" t="str">
        <f>HYPERLINK(AB2 &amp; "/hammer/sn_f0ddd3cffd0f082c3209d73a5e86baa7/rendering/07.obj", "3.49783158302")</f>
        <v>3.49783158302</v>
      </c>
      <c r="K1160" s="120" t="str">
        <f>HYPERLINK(AB2 &amp; "/hammer/sn_f0ddd3cffd0f082c3209d73a5e86baa7/rendering/08.obj", "2.5951666832")</f>
        <v>2.5951666832</v>
      </c>
      <c r="L1160" s="36" t="str">
        <f>HYPERLINK(AB2 &amp; "/hammer/sn_f0ddd3cffd0f082c3209d73a5e86baa7/rendering/09.obj", "2.59039163589")</f>
        <v>2.59039163589</v>
      </c>
      <c r="M1160" s="20" t="str">
        <f>HYPERLINK(AB2 &amp; "/hammer/sn_f0ddd3cffd0f082c3209d73a5e86baa7/rendering/10.obj", "6.46145009995")</f>
        <v>6.46145009995</v>
      </c>
      <c r="N1160" s="82" t="str">
        <f>HYPERLINK(AB2 &amp; "/hammer/sn_f0ddd3cffd0f082c3209d73a5e86baa7/rendering/11.obj", "2.62006115913")</f>
        <v>2.62006115913</v>
      </c>
      <c r="O1160" s="33" t="str">
        <f>HYPERLINK(AB2 &amp; "/hammer/sn_f0ddd3cffd0f082c3209d73a5e86baa7/rendering/12.obj", "3.65347361565")</f>
        <v>3.65347361565</v>
      </c>
      <c r="P1160" s="24" t="str">
        <f>HYPERLINK(AB2 &amp; "/hammer/sn_f0ddd3cffd0f082c3209d73a5e86baa7/rendering/13.obj", "2.74530649185")</f>
        <v>2.74530649185</v>
      </c>
      <c r="Q1160" s="25" t="str">
        <f>HYPERLINK(AB2 &amp; "/hammer/sn_f0ddd3cffd0f082c3209d73a5e86baa7/rendering/14.obj", "3.26077628136")</f>
        <v>3.26077628136</v>
      </c>
      <c r="R1160" s="34" t="str">
        <f>HYPERLINK(AB2 &amp; "/hammer/sn_f0ddd3cffd0f082c3209d73a5e86baa7/rendering/15.obj", "3.14224004745")</f>
        <v>3.14224004745</v>
      </c>
      <c r="S1160" s="107" t="str">
        <f>HYPERLINK(AB2 &amp; "/hammer/sn_f0ddd3cffd0f082c3209d73a5e86baa7/rendering/16.obj", "3.02830052376")</f>
        <v>3.02830052376</v>
      </c>
      <c r="T1160" s="84" t="str">
        <f>HYPERLINK(AB2 &amp; "/hammer/sn_f0ddd3cffd0f082c3209d73a5e86baa7/rendering/17.obj", "3.77511358261")</f>
        <v>3.77511358261</v>
      </c>
      <c r="U1160" s="32" t="str">
        <f>HYPERLINK(AB2 &amp; "/hammer/sn_f0ddd3cffd0f082c3209d73a5e86baa7/rendering/18.obj", "2.95552992821")</f>
        <v>2.95552992821</v>
      </c>
      <c r="V1160" s="63" t="str">
        <f>HYPERLINK(AB2 &amp; "/hammer/sn_f0ddd3cffd0f082c3209d73a5e86baa7/rendering/19.obj", "2.89625477791")</f>
        <v>2.89625477791</v>
      </c>
      <c r="W1160" s="12" t="s">
        <v>32</v>
      </c>
      <c r="X1160" s="13">
        <v>3.2975319862365722</v>
      </c>
      <c r="Y1160" s="13">
        <v>0.89875897639500701</v>
      </c>
      <c r="Z1160" s="99">
        <v>0.27255504424105631</v>
      </c>
    </row>
    <row r="1161" spans="1:26" x14ac:dyDescent="0.2">
      <c r="A1161" s="1">
        <v>1159</v>
      </c>
      <c r="B1161" s="2" t="s">
        <v>264</v>
      </c>
      <c r="C1161" s="13" t="str">
        <f>HYPERLINK(AC2 &amp; "/hammer/sn_f0ddd3cffd0f082c3209d73a5e86baa7/rendering/00.xyz", "0.0")</f>
        <v>0.0</v>
      </c>
      <c r="D1161" s="13" t="str">
        <f>HYPERLINK(AC2 &amp; "/hammer/sn_f0ddd3cffd0f082c3209d73a5e86baa7/rendering/01.xyz", "0.0")</f>
        <v>0.0</v>
      </c>
      <c r="E1161" s="13" t="str">
        <f>HYPERLINK(AC2 &amp; "/hammer/sn_f0ddd3cffd0f082c3209d73a5e86baa7/rendering/02.xyz", "0.0")</f>
        <v>0.0</v>
      </c>
      <c r="F1161" s="13" t="str">
        <f>HYPERLINK(AC2 &amp; "/hammer/sn_f0ddd3cffd0f082c3209d73a5e86baa7/rendering/03.xyz", "0.0")</f>
        <v>0.0</v>
      </c>
      <c r="G1161" s="13" t="str">
        <f>HYPERLINK(AC2 &amp; "/hammer/sn_f0ddd3cffd0f082c3209d73a5e86baa7/rendering/04.xyz", "0.0")</f>
        <v>0.0</v>
      </c>
      <c r="H1161" s="13" t="str">
        <f>HYPERLINK(AC2 &amp; "/hammer/sn_f0ddd3cffd0f082c3209d73a5e86baa7/rendering/05.xyz", "0.0")</f>
        <v>0.0</v>
      </c>
      <c r="I1161" s="13" t="str">
        <f>HYPERLINK(AC2 &amp; "/hammer/sn_f0ddd3cffd0f082c3209d73a5e86baa7/rendering/06.xyz", "0.0")</f>
        <v>0.0</v>
      </c>
      <c r="J1161" s="13" t="str">
        <f>HYPERLINK(AC2 &amp; "/hammer/sn_f0ddd3cffd0f082c3209d73a5e86baa7/rendering/07.xyz", "0.0")</f>
        <v>0.0</v>
      </c>
      <c r="K1161" s="13" t="str">
        <f>HYPERLINK(AC2 &amp; "/hammer/sn_f0ddd3cffd0f082c3209d73a5e86baa7/rendering/08.xyz", "0.0")</f>
        <v>0.0</v>
      </c>
      <c r="L1161" s="13" t="str">
        <f>HYPERLINK(AC2 &amp; "/hammer/sn_f0ddd3cffd0f082c3209d73a5e86baa7/rendering/09.xyz", "0.0")</f>
        <v>0.0</v>
      </c>
      <c r="M1161" s="13" t="str">
        <f>HYPERLINK(AC2 &amp; "/hammer/sn_f0ddd3cffd0f082c3209d73a5e86baa7/rendering/10.xyz", "0.0")</f>
        <v>0.0</v>
      </c>
      <c r="N1161" s="13" t="str">
        <f>HYPERLINK(AC2 &amp; "/hammer/sn_f0ddd3cffd0f082c3209d73a5e86baa7/rendering/11.xyz", "0.0")</f>
        <v>0.0</v>
      </c>
      <c r="O1161" s="13" t="str">
        <f>HYPERLINK(AC2 &amp; "/hammer/sn_f0ddd3cffd0f082c3209d73a5e86baa7/rendering/12.xyz", "0.0")</f>
        <v>0.0</v>
      </c>
      <c r="P1161" s="13" t="str">
        <f>HYPERLINK(AC2 &amp; "/hammer/sn_f0ddd3cffd0f082c3209d73a5e86baa7/rendering/13.xyz", "0.0")</f>
        <v>0.0</v>
      </c>
      <c r="Q1161" s="13" t="str">
        <f>HYPERLINK(AC2 &amp; "/hammer/sn_f0ddd3cffd0f082c3209d73a5e86baa7/rendering/14.xyz", "0.0")</f>
        <v>0.0</v>
      </c>
      <c r="R1161" s="13" t="str">
        <f>HYPERLINK(AC2 &amp; "/hammer/sn_f0ddd3cffd0f082c3209d73a5e86baa7/rendering/15.xyz", "0.0")</f>
        <v>0.0</v>
      </c>
      <c r="S1161" s="13" t="str">
        <f>HYPERLINK(AC2 &amp; "/hammer/sn_f0ddd3cffd0f082c3209d73a5e86baa7/rendering/16.xyz", "0.0")</f>
        <v>0.0</v>
      </c>
      <c r="T1161" s="13" t="str">
        <f>HYPERLINK(AC2 &amp; "/hammer/sn_f0ddd3cffd0f082c3209d73a5e86baa7/rendering/17.xyz", "0.0")</f>
        <v>0.0</v>
      </c>
      <c r="U1161" s="13" t="str">
        <f>HYPERLINK(AC2 &amp; "/hammer/sn_f0ddd3cffd0f082c3209d73a5e86baa7/rendering/18.xyz", "0.0")</f>
        <v>0.0</v>
      </c>
      <c r="V1161" s="13" t="str">
        <f>HYPERLINK(AC2 &amp; "/hammer/sn_f0ddd3cffd0f082c3209d73a5e86baa7/rendering/19.xyz", "0.0")</f>
        <v>0.0</v>
      </c>
      <c r="W1161" s="12" t="s">
        <v>33</v>
      </c>
      <c r="X1161" s="13">
        <v>0</v>
      </c>
      <c r="Y1161" s="13">
        <v>0</v>
      </c>
      <c r="Z1161" s="13">
        <v>0</v>
      </c>
    </row>
    <row r="1162" spans="1:26" x14ac:dyDescent="0.2">
      <c r="A1162" s="1">
        <v>1160</v>
      </c>
      <c r="B1162" s="2" t="s">
        <v>265</v>
      </c>
      <c r="C1162" s="93" t="str">
        <f>HYPERLINK(AA2 &amp; "/hammer/sn_f2e62fc5ab468450a61d7de2588238e2/rendering/00.obj", "8.67657348633")</f>
        <v>8.67657348633</v>
      </c>
      <c r="D1162" s="7" t="str">
        <f>HYPERLINK(AA2 &amp; "/hammer/sn_f2e62fc5ab468450a61d7de2588238e2/rendering/01.obj", "12.9057043457")</f>
        <v>12.9057043457</v>
      </c>
      <c r="E1162" s="7" t="str">
        <f>HYPERLINK(AA2 &amp; "/hammer/sn_f2e62fc5ab468450a61d7de2588238e2/rendering/02.obj", "7.30113647461")</f>
        <v>7.30113647461</v>
      </c>
      <c r="F1162" s="20" t="str">
        <f>HYPERLINK(AA2 &amp; "/hammer/sn_f2e62fc5ab468450a61d7de2588238e2/rendering/03.obj", "21.0959741211")</f>
        <v>21.0959741211</v>
      </c>
      <c r="G1162" s="218" t="str">
        <f>HYPERLINK(AA2 &amp; "/hammer/sn_f2e62fc5ab468450a61d7de2588238e2/rendering/04.obj", "4.88435546875")</f>
        <v>4.88435546875</v>
      </c>
      <c r="H1162" s="187" t="str">
        <f>HYPERLINK(AA2 &amp; "/hammer/sn_f2e62fc5ab468450a61d7de2588238e2/rendering/05.obj", "6.55289916992")</f>
        <v>6.55289916992</v>
      </c>
      <c r="I1162" s="26" t="str">
        <f>HYPERLINK(AA2 &amp; "/hammer/sn_f2e62fc5ab468450a61d7de2588238e2/rendering/06.obj", "9.43913818359")</f>
        <v>9.43913818359</v>
      </c>
      <c r="J1162" s="80" t="str">
        <f>HYPERLINK(AA2 &amp; "/hammer/sn_f2e62fc5ab468450a61d7de2588238e2/rendering/07.obj", "8.60586547852")</f>
        <v>8.60586547852</v>
      </c>
      <c r="K1162" s="144" t="str">
        <f>HYPERLINK(AA2 &amp; "/hammer/sn_f2e62fc5ab468450a61d7de2588238e2/rendering/08.obj", "5.02616546631")</f>
        <v>5.02616546631</v>
      </c>
      <c r="L1162" s="187" t="str">
        <f>HYPERLINK(AA2 &amp; "/hammer/sn_f2e62fc5ab468450a61d7de2588238e2/rendering/09.obj", "6.56096557617")</f>
        <v>6.56096557617</v>
      </c>
      <c r="M1162" s="63" t="str">
        <f>HYPERLINK(AA2 &amp; "/hammer/sn_f2e62fc5ab468450a61d7de2588238e2/rendering/10.obj", "8.88827209473")</f>
        <v>8.88827209473</v>
      </c>
      <c r="N1162" s="98" t="str">
        <f>HYPERLINK(AA2 &amp; "/hammer/sn_f2e62fc5ab468450a61d7de2588238e2/rendering/11.obj", "12.4162695313")</f>
        <v>12.4162695313</v>
      </c>
      <c r="O1162" s="20" t="str">
        <f>HYPERLINK(AA2 &amp; "/hammer/sn_f2e62fc5ab468450a61d7de2588238e2/rendering/12.obj", "20.6387646484")</f>
        <v>20.6387646484</v>
      </c>
      <c r="P1162" s="67" t="str">
        <f>HYPERLINK(AA2 &amp; "/hammer/sn_f2e62fc5ab468450a61d7de2588238e2/rendering/13.obj", "9.17684997559")</f>
        <v>9.17684997559</v>
      </c>
      <c r="Q1162" s="20" t="str">
        <f>HYPERLINK(AA2 &amp; "/hammer/sn_f2e62fc5ab468450a61d7de2588238e2/rendering/14.obj", "18.8942321777")</f>
        <v>18.8942321777</v>
      </c>
      <c r="R1162" s="200" t="str">
        <f>HYPERLINK(AA2 &amp; "/hammer/sn_f2e62fc5ab468450a61d7de2588238e2/rendering/15.obj", "5.27580688477")</f>
        <v>5.27580688477</v>
      </c>
      <c r="S1162" s="71" t="str">
        <f>HYPERLINK(AA2 &amp; "/hammer/sn_f2e62fc5ab468450a61d7de2588238e2/rendering/16.obj", "8.92532043457")</f>
        <v>8.92532043457</v>
      </c>
      <c r="T1162" s="100" t="str">
        <f>HYPERLINK(AA2 &amp; "/hammer/sn_f2e62fc5ab468450a61d7de2588238e2/rendering/17.obj", "7.08083129883")</f>
        <v>7.08083129883</v>
      </c>
      <c r="U1162" s="59" t="str">
        <f>HYPERLINK(AA2 &amp; "/hammer/sn_f2e62fc5ab468450a61d7de2588238e2/rendering/18.obj", "12.5394140625")</f>
        <v>12.5394140625</v>
      </c>
      <c r="V1162" s="85" t="str">
        <f>HYPERLINK(AA2 &amp; "/hammer/sn_f2e62fc5ab468450a61d7de2588238e2/rendering/19.obj", "7.11208251953")</f>
        <v>7.11208251953</v>
      </c>
      <c r="W1162" s="12" t="s">
        <v>29</v>
      </c>
      <c r="X1162" s="13">
        <v>10.099831069946291</v>
      </c>
      <c r="Y1162" s="13">
        <v>4.8171670667400646</v>
      </c>
      <c r="Z1162" s="200">
        <v>0.47695521176332739</v>
      </c>
    </row>
    <row r="1163" spans="1:26" x14ac:dyDescent="0.2">
      <c r="A1163" s="1">
        <v>1161</v>
      </c>
      <c r="B1163" s="2" t="s">
        <v>265</v>
      </c>
      <c r="C1163" s="85" t="str">
        <f>HYPERLINK(AA2 &amp; "/hammer/sn_f2e62fc5ab468450a61d7de2588238e2/rendering/00.obj", "14.0771255493")</f>
        <v>14.0771255493</v>
      </c>
      <c r="D1163" s="20" t="str">
        <f>HYPERLINK(AA2 &amp; "/hammer/sn_f2e62fc5ab468450a61d7de2588238e2/rendering/01.obj", "38.4024391174")</f>
        <v>38.4024391174</v>
      </c>
      <c r="E1163" s="258" t="str">
        <f>HYPERLINK(AA2 &amp; "/hammer/sn_f2e62fc5ab468450a61d7de2588238e2/rendering/02.obj", "4.7981467247")</f>
        <v>4.7981467247</v>
      </c>
      <c r="F1163" s="20" t="str">
        <f>HYPERLINK(AA2 &amp; "/hammer/sn_f2e62fc5ab468450a61d7de2588238e2/rendering/03.obj", "73.0901489258")</f>
        <v>73.0901489258</v>
      </c>
      <c r="G1163" s="259" t="str">
        <f>HYPERLINK(AA2 &amp; "/hammer/sn_f2e62fc5ab468450a61d7de2588238e2/rendering/04.obj", "4.19250965118")</f>
        <v>4.19250965118</v>
      </c>
      <c r="H1163" s="258" t="str">
        <f>HYPERLINK(AA2 &amp; "/hammer/sn_f2e62fc5ab468450a61d7de2588238e2/rendering/05.obj", "4.77109336853")</f>
        <v>4.77109336853</v>
      </c>
      <c r="I1163" s="57" t="str">
        <f>HYPERLINK(AA2 &amp; "/hammer/sn_f2e62fc5ab468450a61d7de2588238e2/rendering/06.obj", "13.7491121292")</f>
        <v>13.7491121292</v>
      </c>
      <c r="J1163" s="192" t="str">
        <f>HYPERLINK(AA2 &amp; "/hammer/sn_f2e62fc5ab468450a61d7de2588238e2/rendering/07.obj", "12.6288089752")</f>
        <v>12.6288089752</v>
      </c>
      <c r="K1163" s="125" t="str">
        <f>HYPERLINK(AA2 &amp; "/hammer/sn_f2e62fc5ab468450a61d7de2588238e2/rendering/08.obj", "5.82115316391")</f>
        <v>5.82115316391</v>
      </c>
      <c r="L1163" s="259" t="str">
        <f>HYPERLINK(AA2 &amp; "/hammer/sn_f2e62fc5ab468450a61d7de2588238e2/rendering/09.obj", "4.18027162552")</f>
        <v>4.18027162552</v>
      </c>
      <c r="M1163" s="228" t="str">
        <f>HYPERLINK(AA2 &amp; "/hammer/sn_f2e62fc5ab468450a61d7de2588238e2/rendering/10.obj", "9.41930007935")</f>
        <v>9.41930007935</v>
      </c>
      <c r="N1163" s="116" t="str">
        <f>HYPERLINK(AA2 &amp; "/hammer/sn_f2e62fc5ab468450a61d7de2588238e2/rendering/11.obj", "28.8392467499")</f>
        <v>28.8392467499</v>
      </c>
      <c r="O1163" s="20" t="str">
        <f>HYPERLINK(AA2 &amp; "/hammer/sn_f2e62fc5ab468450a61d7de2588238e2/rendering/12.obj", "69.8507232666")</f>
        <v>69.8507232666</v>
      </c>
      <c r="P1163" s="187" t="str">
        <f>HYPERLINK(AA2 &amp; "/hammer/sn_f2e62fc5ab468450a61d7de2588238e2/rendering/13.obj", "13.0379552841")</f>
        <v>13.0379552841</v>
      </c>
      <c r="Q1163" s="20" t="str">
        <f>HYPERLINK(AA2 &amp; "/hammer/sn_f2e62fc5ab468450a61d7de2588238e2/rendering/14.obj", "51.2803153992")</f>
        <v>51.2803153992</v>
      </c>
      <c r="R1163" s="62" t="str">
        <f>HYPERLINK(AA2 &amp; "/hammer/sn_f2e62fc5ab468450a61d7de2588238e2/rendering/15.obj", "8.09659194946")</f>
        <v>8.09659194946</v>
      </c>
      <c r="S1163" s="172" t="str">
        <f>HYPERLINK(AA2 &amp; "/hammer/sn_f2e62fc5ab468450a61d7de2588238e2/rendering/16.obj", "12.3397264481")</f>
        <v>12.3397264481</v>
      </c>
      <c r="T1163" s="211" t="str">
        <f>HYPERLINK(AA2 &amp; "/hammer/sn_f2e62fc5ab468450a61d7de2588238e2/rendering/17.obj", "4.66405820847")</f>
        <v>4.66405820847</v>
      </c>
      <c r="U1163" s="46" t="str">
        <f>HYPERLINK(AA2 &amp; "/hammer/sn_f2e62fc5ab468450a61d7de2588238e2/rendering/18.obj", "20.4284000397")</f>
        <v>20.4284000397</v>
      </c>
      <c r="V1163" s="217" t="str">
        <f>HYPERLINK(AA2 &amp; "/hammer/sn_f2e62fc5ab468450a61d7de2588238e2/rendering/19.obj", "7.39707803726")</f>
        <v>7.39707803726</v>
      </c>
      <c r="W1163" s="12" t="s">
        <v>30</v>
      </c>
      <c r="X1163" s="13">
        <v>20.05321023464203</v>
      </c>
      <c r="Y1163" s="13">
        <v>20.912349509587781</v>
      </c>
      <c r="Z1163" s="20">
        <v>1.0428429794976961</v>
      </c>
    </row>
    <row r="1164" spans="1:26" x14ac:dyDescent="0.2">
      <c r="A1164" s="1">
        <v>1162</v>
      </c>
      <c r="B1164" s="2" t="s">
        <v>265</v>
      </c>
      <c r="C1164" s="34" t="str">
        <f>HYPERLINK(AB2 &amp; "/hammer/sn_f2e62fc5ab468450a61d7de2588238e2/rendering/00.obj", "5.61063476562")</f>
        <v>5.61063476562</v>
      </c>
      <c r="D1164" s="38" t="str">
        <f>HYPERLINK(AB2 &amp; "/hammer/sn_f2e62fc5ab468450a61d7de2588238e2/rendering/01.obj", "5.36886352539")</f>
        <v>5.36886352539</v>
      </c>
      <c r="E1164" s="80" t="str">
        <f>HYPERLINK(AB2 &amp; "/hammer/sn_f2e62fc5ab468450a61d7de2588238e2/rendering/02.obj", "5.01711425781")</f>
        <v>5.01711425781</v>
      </c>
      <c r="F1164" s="179" t="str">
        <f>HYPERLINK(AB2 &amp; "/hammer/sn_f2e62fc5ab468450a61d7de2588238e2/rendering/03.obj", "8.42676513672")</f>
        <v>8.42676513672</v>
      </c>
      <c r="G1164" s="34" t="str">
        <f>HYPERLINK(AB2 &amp; "/hammer/sn_f2e62fc5ab468450a61d7de2588238e2/rendering/04.obj", "6.18939331055")</f>
        <v>6.18939331055</v>
      </c>
      <c r="H1164" s="117" t="str">
        <f>HYPERLINK(AB2 &amp; "/hammer/sn_f2e62fc5ab468450a61d7de2588238e2/rendering/05.obj", "4.85024902344")</f>
        <v>4.85024902344</v>
      </c>
      <c r="I1164" s="29" t="str">
        <f>HYPERLINK(AB2 &amp; "/hammer/sn_f2e62fc5ab468450a61d7de2588238e2/rendering/06.obj", "5.13401489258")</f>
        <v>5.13401489258</v>
      </c>
      <c r="J1164" s="27" t="str">
        <f>HYPERLINK(AB2 &amp; "/hammer/sn_f2e62fc5ab468450a61d7de2588238e2/rendering/07.obj", "5.48178894043")</f>
        <v>5.48178894043</v>
      </c>
      <c r="K1164" s="48" t="str">
        <f>HYPERLINK(AB2 &amp; "/hammer/sn_f2e62fc5ab468450a61d7de2588238e2/rendering/08.obj", "6.03719726563")</f>
        <v>6.03719726563</v>
      </c>
      <c r="L1164" s="23" t="str">
        <f>HYPERLINK(AB2 &amp; "/hammer/sn_f2e62fc5ab468450a61d7de2588238e2/rendering/09.obj", "5.66038085938")</f>
        <v>5.66038085938</v>
      </c>
      <c r="M1164" s="66" t="str">
        <f>HYPERLINK(AB2 &amp; "/hammer/sn_f2e62fc5ab468450a61d7de2588238e2/rendering/10.obj", "4.94559143066")</f>
        <v>4.94559143066</v>
      </c>
      <c r="N1164" s="28" t="str">
        <f>HYPERLINK(AB2 &amp; "/hammer/sn_f2e62fc5ab468450a61d7de2588238e2/rendering/11.obj", "6.56599121094")</f>
        <v>6.56599121094</v>
      </c>
      <c r="O1164" s="27" t="str">
        <f>HYPERLINK(AB2 &amp; "/hammer/sn_f2e62fc5ab468450a61d7de2588238e2/rendering/12.obj", "6.31783203125")</f>
        <v>6.31783203125</v>
      </c>
      <c r="P1164" s="7" t="str">
        <f>HYPERLINK(AB2 &amp; "/hammer/sn_f2e62fc5ab468450a61d7de2588238e2/rendering/13.obj", "7.53448974609")</f>
        <v>7.53448974609</v>
      </c>
      <c r="Q1164" s="73" t="str">
        <f>HYPERLINK(AB2 &amp; "/hammer/sn_f2e62fc5ab468450a61d7de2588238e2/rendering/14.obj", "6.10581420898")</f>
        <v>6.10581420898</v>
      </c>
      <c r="R1164" s="81" t="str">
        <f>HYPERLINK(AB2 &amp; "/hammer/sn_f2e62fc5ab468450a61d7de2588238e2/rendering/15.obj", "7.19498291016")</f>
        <v>7.19498291016</v>
      </c>
      <c r="S1164" s="39" t="str">
        <f>HYPERLINK(AB2 &amp; "/hammer/sn_f2e62fc5ab468450a61d7de2588238e2/rendering/16.obj", "5.3862487793")</f>
        <v>5.3862487793</v>
      </c>
      <c r="T1164" s="68" t="str">
        <f>HYPERLINK(AB2 &amp; "/hammer/sn_f2e62fc5ab468450a61d7de2588238e2/rendering/17.obj", "5.64138305664")</f>
        <v>5.64138305664</v>
      </c>
      <c r="U1164" s="10" t="str">
        <f>HYPERLINK(AB2 &amp; "/hammer/sn_f2e62fc5ab468450a61d7de2588238e2/rendering/18.obj", "5.58014282227")</f>
        <v>5.58014282227</v>
      </c>
      <c r="V1164" s="66" t="str">
        <f>HYPERLINK(AB2 &amp; "/hammer/sn_f2e62fc5ab468450a61d7de2588238e2/rendering/19.obj", "4.948230896")</f>
        <v>4.948230896</v>
      </c>
      <c r="W1164" s="12" t="s">
        <v>31</v>
      </c>
      <c r="X1164" s="13">
        <v>5.8998554534912113</v>
      </c>
      <c r="Y1164" s="13">
        <v>0.91685286219975237</v>
      </c>
      <c r="Z1164" s="31">
        <v>0.15540259747502949</v>
      </c>
    </row>
    <row r="1165" spans="1:26" x14ac:dyDescent="0.2">
      <c r="A1165" s="1">
        <v>1163</v>
      </c>
      <c r="B1165" s="2" t="s">
        <v>265</v>
      </c>
      <c r="C1165" s="67" t="str">
        <f>HYPERLINK(AB2 &amp; "/hammer/sn_f2e62fc5ab468450a61d7de2588238e2/rendering/00.obj", "4.22508192062")</f>
        <v>4.22508192062</v>
      </c>
      <c r="D1165" s="142" t="str">
        <f>HYPERLINK(AB2 &amp; "/hammer/sn_f2e62fc5ab468450a61d7de2588238e2/rendering/01.obj", "2.81724214554")</f>
        <v>2.81724214554</v>
      </c>
      <c r="E1165" s="70" t="str">
        <f>HYPERLINK(AB2 &amp; "/hammer/sn_f2e62fc5ab468450a61d7de2588238e2/rendering/02.obj", "5.24216127396")</f>
        <v>5.24216127396</v>
      </c>
      <c r="F1165" s="236" t="str">
        <f>HYPERLINK(AB2 &amp; "/hammer/sn_f2e62fc5ab468450a61d7de2588238e2/rendering/03.obj", "8.08547115326")</f>
        <v>8.08547115326</v>
      </c>
      <c r="G1165" s="80" t="str">
        <f>HYPERLINK(AB2 &amp; "/hammer/sn_f2e62fc5ab468450a61d7de2588238e2/rendering/04.obj", "3.96463418007")</f>
        <v>3.96463418007</v>
      </c>
      <c r="H1165" s="83" t="str">
        <f>HYPERLINK(AB2 &amp; "/hammer/sn_f2e62fc5ab468450a61d7de2588238e2/rendering/05.obj", "3.94924688339")</f>
        <v>3.94924688339</v>
      </c>
      <c r="I1165" s="44" t="str">
        <f>HYPERLINK(AB2 &amp; "/hammer/sn_f2e62fc5ab468450a61d7de2588238e2/rendering/06.obj", "3.74570012093")</f>
        <v>3.74570012093</v>
      </c>
      <c r="J1165" s="42" t="str">
        <f>HYPERLINK(AB2 &amp; "/hammer/sn_f2e62fc5ab468450a61d7de2588238e2/rendering/07.obj", "4.023188591")</f>
        <v>4.023188591</v>
      </c>
      <c r="K1165" s="107" t="str">
        <f>HYPERLINK(AB2 &amp; "/hammer/sn_f2e62fc5ab468450a61d7de2588238e2/rendering/08.obj", "5.03836488724")</f>
        <v>5.03836488724</v>
      </c>
      <c r="L1165" s="63" t="str">
        <f>HYPERLINK(AB2 &amp; "/hammer/sn_f2e62fc5ab468450a61d7de2588238e2/rendering/09.obj", "4.09641027451")</f>
        <v>4.09641027451</v>
      </c>
      <c r="M1165" s="63" t="str">
        <f>HYPERLINK(AB2 &amp; "/hammer/sn_f2e62fc5ab468450a61d7de2588238e2/rendering/10.obj", "5.21821880341")</f>
        <v>5.21821880341</v>
      </c>
      <c r="N1165" s="8" t="str">
        <f>HYPERLINK(AB2 &amp; "/hammer/sn_f2e62fc5ab468450a61d7de2588238e2/rendering/11.obj", "5.31428623199")</f>
        <v>5.31428623199</v>
      </c>
      <c r="O1165" s="106" t="str">
        <f>HYPERLINK(AB2 &amp; "/hammer/sn_f2e62fc5ab468450a61d7de2588238e2/rendering/12.obj", "4.12159347534")</f>
        <v>4.12159347534</v>
      </c>
      <c r="P1165" s="138" t="str">
        <f>HYPERLINK(AB2 &amp; "/hammer/sn_f2e62fc5ab468450a61d7de2588238e2/rendering/13.obj", "6.2261095047")</f>
        <v>6.2261095047</v>
      </c>
      <c r="Q1165" s="113" t="str">
        <f>HYPERLINK(AB2 &amp; "/hammer/sn_f2e62fc5ab468450a61d7de2588238e2/rendering/14.obj", "3.37225294113")</f>
        <v>3.37225294113</v>
      </c>
      <c r="R1165" s="26" t="str">
        <f>HYPERLINK(AB2 &amp; "/hammer/sn_f2e62fc5ab468450a61d7de2588238e2/rendering/15.obj", "4.95665884018")</f>
        <v>4.95665884018</v>
      </c>
      <c r="S1165" s="17" t="str">
        <f>HYPERLINK(AB2 &amp; "/hammer/sn_f2e62fc5ab468450a61d7de2588238e2/rendering/16.obj", "4.55072212219")</f>
        <v>4.55072212219</v>
      </c>
      <c r="T1165" s="82" t="str">
        <f>HYPERLINK(AB2 &amp; "/hammer/sn_f2e62fc5ab468450a61d7de2588238e2/rendering/17.obj", "5.60982751846")</f>
        <v>5.60982751846</v>
      </c>
      <c r="U1165" s="72" t="str">
        <f>HYPERLINK(AB2 &amp; "/hammer/sn_f2e62fc5ab468450a61d7de2588238e2/rendering/18.obj", "4.80614280701")</f>
        <v>4.80614280701</v>
      </c>
      <c r="V1165" s="36" t="str">
        <f>HYPERLINK(AB2 &amp; "/hammer/sn_f2e62fc5ab468450a61d7de2588238e2/rendering/19.obj", "3.65853071213")</f>
        <v>3.65853071213</v>
      </c>
      <c r="W1165" s="12" t="s">
        <v>32</v>
      </c>
      <c r="X1165" s="13">
        <v>4.651092219352722</v>
      </c>
      <c r="Y1165" s="13">
        <v>1.129469971255282</v>
      </c>
      <c r="Z1165" s="58">
        <v>0.24283972838802731</v>
      </c>
    </row>
    <row r="1166" spans="1:26" x14ac:dyDescent="0.2">
      <c r="A1166" s="1">
        <v>1164</v>
      </c>
      <c r="B1166" s="2" t="s">
        <v>265</v>
      </c>
      <c r="C1166" s="13" t="str">
        <f>HYPERLINK(AC2 &amp; "/hammer/sn_f2e62fc5ab468450a61d7de2588238e2/rendering/00.xyz", "0.0")</f>
        <v>0.0</v>
      </c>
      <c r="D1166" s="13" t="str">
        <f>HYPERLINK(AC2 &amp; "/hammer/sn_f2e62fc5ab468450a61d7de2588238e2/rendering/01.xyz", "0.0")</f>
        <v>0.0</v>
      </c>
      <c r="E1166" s="13" t="str">
        <f>HYPERLINK(AC2 &amp; "/hammer/sn_f2e62fc5ab468450a61d7de2588238e2/rendering/02.xyz", "0.0")</f>
        <v>0.0</v>
      </c>
      <c r="F1166" s="13" t="str">
        <f>HYPERLINK(AC2 &amp; "/hammer/sn_f2e62fc5ab468450a61d7de2588238e2/rendering/03.xyz", "0.0")</f>
        <v>0.0</v>
      </c>
      <c r="G1166" s="13" t="str">
        <f>HYPERLINK(AC2 &amp; "/hammer/sn_f2e62fc5ab468450a61d7de2588238e2/rendering/04.xyz", "0.0")</f>
        <v>0.0</v>
      </c>
      <c r="H1166" s="13" t="str">
        <f>HYPERLINK(AC2 &amp; "/hammer/sn_f2e62fc5ab468450a61d7de2588238e2/rendering/05.xyz", "0.0")</f>
        <v>0.0</v>
      </c>
      <c r="I1166" s="13" t="str">
        <f>HYPERLINK(AC2 &amp; "/hammer/sn_f2e62fc5ab468450a61d7de2588238e2/rendering/06.xyz", "0.0")</f>
        <v>0.0</v>
      </c>
      <c r="J1166" s="13" t="str">
        <f>HYPERLINK(AC2 &amp; "/hammer/sn_f2e62fc5ab468450a61d7de2588238e2/rendering/07.xyz", "0.0")</f>
        <v>0.0</v>
      </c>
      <c r="K1166" s="13" t="str">
        <f>HYPERLINK(AC2 &amp; "/hammer/sn_f2e62fc5ab468450a61d7de2588238e2/rendering/08.xyz", "0.0")</f>
        <v>0.0</v>
      </c>
      <c r="L1166" s="13" t="str">
        <f>HYPERLINK(AC2 &amp; "/hammer/sn_f2e62fc5ab468450a61d7de2588238e2/rendering/09.xyz", "0.0")</f>
        <v>0.0</v>
      </c>
      <c r="M1166" s="13" t="str">
        <f>HYPERLINK(AC2 &amp; "/hammer/sn_f2e62fc5ab468450a61d7de2588238e2/rendering/10.xyz", "0.0")</f>
        <v>0.0</v>
      </c>
      <c r="N1166" s="13" t="str">
        <f>HYPERLINK(AC2 &amp; "/hammer/sn_f2e62fc5ab468450a61d7de2588238e2/rendering/11.xyz", "0.0")</f>
        <v>0.0</v>
      </c>
      <c r="O1166" s="13" t="str">
        <f>HYPERLINK(AC2 &amp; "/hammer/sn_f2e62fc5ab468450a61d7de2588238e2/rendering/12.xyz", "0.0")</f>
        <v>0.0</v>
      </c>
      <c r="P1166" s="13" t="str">
        <f>HYPERLINK(AC2 &amp; "/hammer/sn_f2e62fc5ab468450a61d7de2588238e2/rendering/13.xyz", "0.0")</f>
        <v>0.0</v>
      </c>
      <c r="Q1166" s="13" t="str">
        <f>HYPERLINK(AC2 &amp; "/hammer/sn_f2e62fc5ab468450a61d7de2588238e2/rendering/14.xyz", "0.0")</f>
        <v>0.0</v>
      </c>
      <c r="R1166" s="13" t="str">
        <f>HYPERLINK(AC2 &amp; "/hammer/sn_f2e62fc5ab468450a61d7de2588238e2/rendering/15.xyz", "0.0")</f>
        <v>0.0</v>
      </c>
      <c r="S1166" s="13" t="str">
        <f>HYPERLINK(AC2 &amp; "/hammer/sn_f2e62fc5ab468450a61d7de2588238e2/rendering/16.xyz", "0.0")</f>
        <v>0.0</v>
      </c>
      <c r="T1166" s="13" t="str">
        <f>HYPERLINK(AC2 &amp; "/hammer/sn_f2e62fc5ab468450a61d7de2588238e2/rendering/17.xyz", "0.0")</f>
        <v>0.0</v>
      </c>
      <c r="U1166" s="13" t="str">
        <f>HYPERLINK(AC2 &amp; "/hammer/sn_f2e62fc5ab468450a61d7de2588238e2/rendering/18.xyz", "0.0")</f>
        <v>0.0</v>
      </c>
      <c r="V1166" s="13" t="str">
        <f>HYPERLINK(AC2 &amp; "/hammer/sn_f2e62fc5ab468450a61d7de2588238e2/rendering/19.xyz", "0.0")</f>
        <v>0.0</v>
      </c>
      <c r="W1166" s="12" t="s">
        <v>33</v>
      </c>
      <c r="X1166" s="13">
        <v>0</v>
      </c>
      <c r="Y1166" s="13">
        <v>0</v>
      </c>
      <c r="Z1166" s="13">
        <v>0</v>
      </c>
    </row>
    <row r="1167" spans="1:26" x14ac:dyDescent="0.2">
      <c r="A1167" s="1">
        <v>1165</v>
      </c>
      <c r="B1167" s="2" t="s">
        <v>266</v>
      </c>
      <c r="C1167" s="121" t="str">
        <f>HYPERLINK(AA2 &amp; "/hammer/sn_f35d02f0b248615af89e7b86262150f/rendering/00.obj", "4.3041293335")</f>
        <v>4.3041293335</v>
      </c>
      <c r="D1167" s="8" t="str">
        <f>HYPERLINK(AA2 &amp; "/hammer/sn_f35d02f0b248615af89e7b86262150f/rendering/01.obj", "5.68619995117")</f>
        <v>5.68619995117</v>
      </c>
      <c r="E1167" s="39" t="str">
        <f>HYPERLINK(AA2 &amp; "/hammer/sn_f35d02f0b248615af89e7b86262150f/rendering/02.obj", "6.06131469727")</f>
        <v>6.06131469727</v>
      </c>
      <c r="F1167" s="20" t="str">
        <f>HYPERLINK(AA2 &amp; "/hammer/sn_f35d02f0b248615af89e7b86262150f/rendering/03.obj", "12.7313183594")</f>
        <v>12.7313183594</v>
      </c>
      <c r="G1167" s="40" t="str">
        <f>HYPERLINK(AA2 &amp; "/hammer/sn_f35d02f0b248615af89e7b86262150f/rendering/04.obj", "5.51628723145")</f>
        <v>5.51628723145</v>
      </c>
      <c r="H1167" s="168" t="str">
        <f>HYPERLINK(AA2 &amp; "/hammer/sn_f35d02f0b248615af89e7b86262150f/rendering/05.obj", "4.50464782715")</f>
        <v>4.50464782715</v>
      </c>
      <c r="I1167" s="20" t="str">
        <f>HYPERLINK(AA2 &amp; "/hammer/sn_f35d02f0b248615af89e7b86262150f/rendering/06.obj", "14.7801904297")</f>
        <v>14.7801904297</v>
      </c>
      <c r="J1167" s="80" t="str">
        <f>HYPERLINK(AA2 &amp; "/hammer/sn_f35d02f0b248615af89e7b86262150f/rendering/07.obj", "7.63226318359")</f>
        <v>7.63226318359</v>
      </c>
      <c r="K1167" s="135" t="str">
        <f>HYPERLINK(AA2 &amp; "/hammer/sn_f35d02f0b248615af89e7b86262150f/rendering/08.obj", "4.95078765869")</f>
        <v>4.95078765869</v>
      </c>
      <c r="L1167" s="113" t="str">
        <f>HYPERLINK(AA2 &amp; "/hammer/sn_f35d02f0b248615af89e7b86262150f/rendering/09.obj", "4.82195831299")</f>
        <v>4.82195831299</v>
      </c>
      <c r="M1167" s="118" t="str">
        <f>HYPERLINK(AA2 &amp; "/hammer/sn_f35d02f0b248615af89e7b86262150f/rendering/10.obj", "4.69624908447")</f>
        <v>4.69624908447</v>
      </c>
      <c r="N1167" s="193" t="str">
        <f>HYPERLINK(AA2 &amp; "/hammer/sn_f35d02f0b248615af89e7b86262150f/rendering/11.obj", "4.4347442627")</f>
        <v>4.4347442627</v>
      </c>
      <c r="O1167" s="162" t="str">
        <f>HYPERLINK(AA2 &amp; "/hammer/sn_f35d02f0b248615af89e7b86262150f/rendering/12.obj", "3.82292999268")</f>
        <v>3.82292999268</v>
      </c>
      <c r="P1167" s="124" t="str">
        <f>HYPERLINK(AA2 &amp; "/hammer/sn_f35d02f0b248615af89e7b86262150f/rendering/13.obj", "9.1694921875")</f>
        <v>9.1694921875</v>
      </c>
      <c r="Q1167" s="42" t="str">
        <f>HYPERLINK(AA2 &amp; "/hammer/sn_f35d02f0b248615af89e7b86262150f/rendering/14.obj", "5.74535400391")</f>
        <v>5.74535400391</v>
      </c>
      <c r="R1167" s="96" t="str">
        <f>HYPERLINK(AA2 &amp; "/hammer/sn_f35d02f0b248615af89e7b86262150f/rendering/15.obj", "4.24298583984")</f>
        <v>4.24298583984</v>
      </c>
      <c r="S1167" s="158" t="str">
        <f>HYPERLINK(AA2 &amp; "/hammer/sn_f35d02f0b248615af89e7b86262150f/rendering/16.obj", "3.91395263672")</f>
        <v>3.91395263672</v>
      </c>
      <c r="T1167" s="187" t="str">
        <f>HYPERLINK(AA2 &amp; "/hammer/sn_f35d02f0b248615af89e7b86262150f/rendering/17.obj", "8.96473449707")</f>
        <v>8.96473449707</v>
      </c>
      <c r="U1167" s="71" t="str">
        <f>HYPERLINK(AA2 &amp; "/hammer/sn_f35d02f0b248615af89e7b86262150f/rendering/18.obj", "7.42434570312")</f>
        <v>7.42434570312</v>
      </c>
      <c r="V1167" s="111" t="str">
        <f>HYPERLINK(AA2 &amp; "/hammer/sn_f35d02f0b248615af89e7b86262150f/rendering/19.obj", "9.44594360352")</f>
        <v>9.44594360352</v>
      </c>
      <c r="W1167" s="12" t="s">
        <v>29</v>
      </c>
      <c r="X1167" s="13">
        <v>6.6424914398193353</v>
      </c>
      <c r="Y1167" s="13">
        <v>2.9485525536168971</v>
      </c>
      <c r="Z1167" s="181">
        <v>0.44389256355550422</v>
      </c>
    </row>
    <row r="1168" spans="1:26" x14ac:dyDescent="0.2">
      <c r="A1168" s="1">
        <v>1166</v>
      </c>
      <c r="B1168" s="2" t="s">
        <v>266</v>
      </c>
      <c r="C1168" s="144" t="str">
        <f>HYPERLINK(AA2 &amp; "/hammer/sn_f35d02f0b248615af89e7b86262150f/rendering/00.obj", "4.29876375198")</f>
        <v>4.29876375198</v>
      </c>
      <c r="D1168" s="51" t="str">
        <f>HYPERLINK(AA2 &amp; "/hammer/sn_f35d02f0b248615af89e7b86262150f/rendering/01.obj", "7.97165441513")</f>
        <v>7.97165441513</v>
      </c>
      <c r="E1168" s="123" t="str">
        <f>HYPERLINK(AA2 &amp; "/hammer/sn_f35d02f0b248615af89e7b86262150f/rendering/02.obj", "5.46939706802")</f>
        <v>5.46939706802</v>
      </c>
      <c r="F1168" s="20" t="str">
        <f>HYPERLINK(AA2 &amp; "/hammer/sn_f35d02f0b248615af89e7b86262150f/rendering/03.obj", "30.8288288116")</f>
        <v>30.8288288116</v>
      </c>
      <c r="G1168" s="122" t="str">
        <f>HYPERLINK(AA2 &amp; "/hammer/sn_f35d02f0b248615af89e7b86262150f/rendering/04.obj", "5.1674451828")</f>
        <v>5.1674451828</v>
      </c>
      <c r="H1168" s="152" t="str">
        <f>HYPERLINK(AA2 &amp; "/hammer/sn_f35d02f0b248615af89e7b86262150f/rendering/05.obj", "5.14288711548")</f>
        <v>5.14288711548</v>
      </c>
      <c r="I1168" s="20" t="str">
        <f>HYPERLINK(AA2 &amp; "/hammer/sn_f35d02f0b248615af89e7b86262150f/rendering/06.obj", "30.3529033661")</f>
        <v>30.3529033661</v>
      </c>
      <c r="J1168" s="41" t="str">
        <f>HYPERLINK(AA2 &amp; "/hammer/sn_f35d02f0b248615af89e7b86262150f/rendering/07.obj", "8.06301116943")</f>
        <v>8.06301116943</v>
      </c>
      <c r="K1168" s="239" t="str">
        <f>HYPERLINK(AA2 &amp; "/hammer/sn_f35d02f0b248615af89e7b86262150f/rendering/08.obj", "3.40902686119")</f>
        <v>3.40902686119</v>
      </c>
      <c r="L1168" s="252" t="str">
        <f>HYPERLINK(AA2 &amp; "/hammer/sn_f35d02f0b248615af89e7b86262150f/rendering/09.obj", "3.08867263794")</f>
        <v>3.08867263794</v>
      </c>
      <c r="M1168" s="252" t="str">
        <f>HYPERLINK(AA2 &amp; "/hammer/sn_f35d02f0b248615af89e7b86262150f/rendering/10.obj", "3.08524394035")</f>
        <v>3.08524394035</v>
      </c>
      <c r="N1168" s="130" t="str">
        <f>HYPERLINK(AA2 &amp; "/hammer/sn_f35d02f0b248615af89e7b86262150f/rendering/11.obj", "4.76276922226")</f>
        <v>4.76276922226</v>
      </c>
      <c r="O1168" s="219" t="str">
        <f>HYPERLINK(AA2 &amp; "/hammer/sn_f35d02f0b248615af89e7b86262150f/rendering/12.obj", "2.62475728989")</f>
        <v>2.62475728989</v>
      </c>
      <c r="P1168" s="115" t="str">
        <f>HYPERLINK(AA2 &amp; "/hammer/sn_f35d02f0b248615af89e7b86262150f/rendering/13.obj", "14.1924324036")</f>
        <v>14.1924324036</v>
      </c>
      <c r="Q1168" s="34" t="str">
        <f>HYPERLINK(AA2 &amp; "/hammer/sn_f35d02f0b248615af89e7b86262150f/rendering/14.obj", "9.06620407104")</f>
        <v>9.06620407104</v>
      </c>
      <c r="R1168" s="127" t="str">
        <f>HYPERLINK(AA2 &amp; "/hammer/sn_f35d02f0b248615af89e7b86262150f/rendering/15.obj", "4.170773983")</f>
        <v>4.170773983</v>
      </c>
      <c r="S1168" s="251" t="str">
        <f>HYPERLINK(AA2 &amp; "/hammer/sn_f35d02f0b248615af89e7b86262150f/rendering/16.obj", "3.57580900192")</f>
        <v>3.57580900192</v>
      </c>
      <c r="T1168" s="85" t="str">
        <f>HYPERLINK(AA2 &amp; "/hammer/sn_f35d02f0b248615af89e7b86262150f/rendering/17.obj", "11.2188282013")</f>
        <v>11.2188282013</v>
      </c>
      <c r="U1168" s="28" t="str">
        <f>HYPERLINK(AA2 &amp; "/hammer/sn_f35d02f0b248615af89e7b86262150f/rendering/18.obj", "7.70400094986")</f>
        <v>7.70400094986</v>
      </c>
      <c r="V1168" s="73" t="str">
        <f>HYPERLINK(AA2 &amp; "/hammer/sn_f35d02f0b248615af89e7b86262150f/rendering/19.obj", "8.95677757263")</f>
        <v>8.95677757263</v>
      </c>
      <c r="W1168" s="12" t="s">
        <v>30</v>
      </c>
      <c r="X1168" s="13">
        <v>8.6575093507766727</v>
      </c>
      <c r="Y1168" s="13">
        <v>7.8811957075512282</v>
      </c>
      <c r="Z1168" s="20">
        <v>0.9103306029746534</v>
      </c>
    </row>
    <row r="1169" spans="1:26" x14ac:dyDescent="0.2">
      <c r="A1169" s="1">
        <v>1167</v>
      </c>
      <c r="B1169" s="2" t="s">
        <v>266</v>
      </c>
      <c r="C1169" s="75" t="str">
        <f>HYPERLINK(AB2 &amp; "/hammer/sn_f35d02f0b248615af89e7b86262150f/rendering/00.obj", "4.12716369629")</f>
        <v>4.12716369629</v>
      </c>
      <c r="D1169" s="37" t="str">
        <f>HYPERLINK(AB2 &amp; "/hammer/sn_f35d02f0b248615af89e7b86262150f/rendering/01.obj", "4.3701361084")</f>
        <v>4.3701361084</v>
      </c>
      <c r="E1169" s="41" t="str">
        <f>HYPERLINK(AB2 &amp; "/hammer/sn_f35d02f0b248615af89e7b86262150f/rendering/02.obj", "5.65273071289")</f>
        <v>5.65273071289</v>
      </c>
      <c r="F1169" s="23" t="str">
        <f>HYPERLINK(AB2 &amp; "/hammer/sn_f35d02f0b248615af89e7b86262150f/rendering/03.obj", "5.50118896484")</f>
        <v>5.50118896484</v>
      </c>
      <c r="G1169" s="71" t="str">
        <f>HYPERLINK(AB2 &amp; "/hammer/sn_f35d02f0b248615af89e7b86262150f/rendering/04.obj", "5.91893798828")</f>
        <v>5.91893798828</v>
      </c>
      <c r="H1169" s="14" t="str">
        <f>HYPERLINK(AB2 &amp; "/hammer/sn_f35d02f0b248615af89e7b86262150f/rendering/05.obj", "3.7617755127")</f>
        <v>3.7617755127</v>
      </c>
      <c r="I1169" s="40" t="str">
        <f>HYPERLINK(AB2 &amp; "/hammer/sn_f35d02f0b248615af89e7b86262150f/rendering/06.obj", "4.38053161621")</f>
        <v>4.38053161621</v>
      </c>
      <c r="J1169" s="88" t="str">
        <f>HYPERLINK(AB2 &amp; "/hammer/sn_f35d02f0b248615af89e7b86262150f/rendering/07.obj", "6.36784729004")</f>
        <v>6.36784729004</v>
      </c>
      <c r="K1169" s="68" t="str">
        <f>HYPERLINK(AB2 &amp; "/hammer/sn_f35d02f0b248615af89e7b86262150f/rendering/08.obj", "5.5211920166")</f>
        <v>5.5211920166</v>
      </c>
      <c r="L1169" s="31" t="str">
        <f>HYPERLINK(AB2 &amp; "/hammer/sn_f35d02f0b248615af89e7b86262150f/rendering/09.obj", "6.10708251953")</f>
        <v>6.10708251953</v>
      </c>
      <c r="M1169" s="77" t="str">
        <f>HYPERLINK(AB2 &amp; "/hammer/sn_f35d02f0b248615af89e7b86262150f/rendering/10.obj", "6.27372192383")</f>
        <v>6.27372192383</v>
      </c>
      <c r="N1169" s="25" t="str">
        <f>HYPERLINK(AB2 &amp; "/hammer/sn_f35d02f0b248615af89e7b86262150f/rendering/11.obj", "5.3579095459")</f>
        <v>5.3579095459</v>
      </c>
      <c r="O1169" s="35" t="str">
        <f>HYPERLINK(AB2 &amp; "/hammer/sn_f35d02f0b248615af89e7b86262150f/rendering/12.obj", "5.60266357422")</f>
        <v>5.60266357422</v>
      </c>
      <c r="P1169" s="134" t="str">
        <f>HYPERLINK(AB2 &amp; "/hammer/sn_f35d02f0b248615af89e7b86262150f/rendering/13.obj", "4.33530639648")</f>
        <v>4.33530639648</v>
      </c>
      <c r="Q1169" s="47" t="str">
        <f>HYPERLINK(AB2 &amp; "/hammer/sn_f35d02f0b248615af89e7b86262150f/rendering/14.obj", "5.34009094238")</f>
        <v>5.34009094238</v>
      </c>
      <c r="R1169" s="25" t="str">
        <f>HYPERLINK(AB2 &amp; "/hammer/sn_f35d02f0b248615af89e7b86262150f/rendering/15.obj", "5.23141296387")</f>
        <v>5.23141296387</v>
      </c>
      <c r="S1169" s="39" t="str">
        <f>HYPERLINK(AB2 &amp; "/hammer/sn_f35d02f0b248615af89e7b86262150f/rendering/16.obj", "4.84250488281")</f>
        <v>4.84250488281</v>
      </c>
      <c r="T1169" s="98" t="str">
        <f>HYPERLINK(AB2 &amp; "/hammer/sn_f35d02f0b248615af89e7b86262150f/rendering/17.obj", "6.51817749023")</f>
        <v>6.51817749023</v>
      </c>
      <c r="U1169" s="58" t="str">
        <f>HYPERLINK(AB2 &amp; "/hammer/sn_f35d02f0b248615af89e7b86262150f/rendering/18.obj", "6.58330566406")</f>
        <v>6.58330566406</v>
      </c>
      <c r="V1169" s="98" t="str">
        <f>HYPERLINK(AB2 &amp; "/hammer/sn_f35d02f0b248615af89e7b86262150f/rendering/19.obj", "4.06957824707")</f>
        <v>4.06957824707</v>
      </c>
      <c r="W1169" s="12" t="s">
        <v>31</v>
      </c>
      <c r="X1169" s="13">
        <v>5.2931629028320319</v>
      </c>
      <c r="Y1169" s="13">
        <v>0.85654852146329286</v>
      </c>
      <c r="Z1169" s="66">
        <v>0.1618216815139033</v>
      </c>
    </row>
    <row r="1170" spans="1:26" x14ac:dyDescent="0.2">
      <c r="A1170" s="1">
        <v>1168</v>
      </c>
      <c r="B1170" s="2" t="s">
        <v>266</v>
      </c>
      <c r="C1170" s="13" t="str">
        <f>HYPERLINK(AB2 &amp; "/hammer/sn_f35d02f0b248615af89e7b86262150f/rendering/00.obj", "3.514087677")</f>
        <v>3.514087677</v>
      </c>
      <c r="D1170" s="118" t="str">
        <f>HYPERLINK(AB2 &amp; "/hammer/sn_f35d02f0b248615af89e7b86262150f/rendering/01.obj", "2.48717093468")</f>
        <v>2.48717093468</v>
      </c>
      <c r="E1170" s="57" t="str">
        <f>HYPERLINK(AB2 &amp; "/hammer/sn_f35d02f0b248615af89e7b86262150f/rendering/02.obj", "4.61875343323")</f>
        <v>4.61875343323</v>
      </c>
      <c r="F1170" s="6" t="str">
        <f>HYPERLINK(AB2 &amp; "/hammer/sn_f35d02f0b248615af89e7b86262150f/rendering/03.obj", "3.3540430069")</f>
        <v>3.3540430069</v>
      </c>
      <c r="G1170" s="23" t="str">
        <f>HYPERLINK(AB2 &amp; "/hammer/sn_f35d02f0b248615af89e7b86262150f/rendering/04.obj", "3.37340712547")</f>
        <v>3.37340712547</v>
      </c>
      <c r="H1170" s="74" t="str">
        <f>HYPERLINK(AB2 &amp; "/hammer/sn_f35d02f0b248615af89e7b86262150f/rendering/05.obj", "3.46105098724")</f>
        <v>3.46105098724</v>
      </c>
      <c r="I1170" s="30" t="str">
        <f>HYPERLINK(AB2 &amp; "/hammer/sn_f35d02f0b248615af89e7b86262150f/rendering/06.obj", "3.4941546917")</f>
        <v>3.4941546917</v>
      </c>
      <c r="J1170" s="6" t="str">
        <f>HYPERLINK(AB2 &amp; "/hammer/sn_f35d02f0b248615af89e7b86262150f/rendering/07.obj", "3.35056877136")</f>
        <v>3.35056877136</v>
      </c>
      <c r="K1170" s="68" t="str">
        <f>HYPERLINK(AB2 &amp; "/hammer/sn_f35d02f0b248615af89e7b86262150f/rendering/08.obj", "3.36333298683")</f>
        <v>3.36333298683</v>
      </c>
      <c r="L1170" s="34" t="str">
        <f>HYPERLINK(AB2 &amp; "/hammer/sn_f35d02f0b248615af89e7b86262150f/rendering/09.obj", "3.68792772293")</f>
        <v>3.68792772293</v>
      </c>
      <c r="M1170" s="57" t="str">
        <f>HYPERLINK(AB2 &amp; "/hammer/sn_f35d02f0b248615af89e7b86262150f/rendering/10.obj", "4.61673593521")</f>
        <v>4.61673593521</v>
      </c>
      <c r="N1170" s="35" t="str">
        <f>HYPERLINK(AB2 &amp; "/hammer/sn_f35d02f0b248615af89e7b86262150f/rendering/11.obj", "3.31353855133")</f>
        <v>3.31353855133</v>
      </c>
      <c r="O1170" s="75" t="str">
        <f>HYPERLINK(AB2 &amp; "/hammer/sn_f35d02f0b248615af89e7b86262150f/rendering/12.obj", "4.29273509979")</f>
        <v>4.29273509979</v>
      </c>
      <c r="P1170" s="5" t="str">
        <f>HYPERLINK(AB2 &amp; "/hammer/sn_f35d02f0b248615af89e7b86262150f/rendering/13.obj", "3.78653216362")</f>
        <v>3.78653216362</v>
      </c>
      <c r="Q1170" s="95" t="str">
        <f>HYPERLINK(AB2 &amp; "/hammer/sn_f35d02f0b248615af89e7b86262150f/rendering/14.obj", "2.531863451")</f>
        <v>2.531863451</v>
      </c>
      <c r="R1170" s="80" t="str">
        <f>HYPERLINK(AB2 &amp; "/hammer/sn_f35d02f0b248615af89e7b86262150f/rendering/15.obj", "2.99186491966")</f>
        <v>2.99186491966</v>
      </c>
      <c r="S1170" s="40" t="str">
        <f>HYPERLINK(AB2 &amp; "/hammer/sn_f35d02f0b248615af89e7b86262150f/rendering/16.obj", "2.91610193253")</f>
        <v>2.91610193253</v>
      </c>
      <c r="T1170" s="28" t="str">
        <f>HYPERLINK(AB2 &amp; "/hammer/sn_f35d02f0b248615af89e7b86262150f/rendering/17.obj", "3.90045714378")</f>
        <v>3.90045714378</v>
      </c>
      <c r="U1170" s="46" t="str">
        <f>HYPERLINK(AB2 &amp; "/hammer/sn_f35d02f0b248615af89e7b86262150f/rendering/18.obj", "3.56886148453")</f>
        <v>3.56886148453</v>
      </c>
      <c r="V1170" s="23" t="str">
        <f>HYPERLINK(AB2 &amp; "/hammer/sn_f35d02f0b248615af89e7b86262150f/rendering/19.obj", "3.64843010902")</f>
        <v>3.64843010902</v>
      </c>
      <c r="W1170" s="12" t="s">
        <v>32</v>
      </c>
      <c r="X1170" s="13">
        <v>3.5135809063911441</v>
      </c>
      <c r="Y1170" s="13">
        <v>0.55249927351637373</v>
      </c>
      <c r="Z1170" s="79">
        <v>0.15724677707332341</v>
      </c>
    </row>
    <row r="1171" spans="1:26" x14ac:dyDescent="0.2">
      <c r="A1171" s="1">
        <v>1169</v>
      </c>
      <c r="B1171" s="2" t="s">
        <v>266</v>
      </c>
      <c r="C1171" s="13" t="str">
        <f>HYPERLINK(AC2 &amp; "/hammer/sn_f35d02f0b248615af89e7b86262150f/rendering/00.xyz", "0.0")</f>
        <v>0.0</v>
      </c>
      <c r="D1171" s="13" t="str">
        <f>HYPERLINK(AC2 &amp; "/hammer/sn_f35d02f0b248615af89e7b86262150f/rendering/01.xyz", "0.0")</f>
        <v>0.0</v>
      </c>
      <c r="E1171" s="13" t="str">
        <f>HYPERLINK(AC2 &amp; "/hammer/sn_f35d02f0b248615af89e7b86262150f/rendering/02.xyz", "0.0")</f>
        <v>0.0</v>
      </c>
      <c r="F1171" s="13" t="str">
        <f>HYPERLINK(AC2 &amp; "/hammer/sn_f35d02f0b248615af89e7b86262150f/rendering/03.xyz", "0.0")</f>
        <v>0.0</v>
      </c>
      <c r="G1171" s="13" t="str">
        <f>HYPERLINK(AC2 &amp; "/hammer/sn_f35d02f0b248615af89e7b86262150f/rendering/04.xyz", "0.0")</f>
        <v>0.0</v>
      </c>
      <c r="H1171" s="13" t="str">
        <f>HYPERLINK(AC2 &amp; "/hammer/sn_f35d02f0b248615af89e7b86262150f/rendering/05.xyz", "0.0")</f>
        <v>0.0</v>
      </c>
      <c r="I1171" s="13" t="str">
        <f>HYPERLINK(AC2 &amp; "/hammer/sn_f35d02f0b248615af89e7b86262150f/rendering/06.xyz", "0.0")</f>
        <v>0.0</v>
      </c>
      <c r="J1171" s="13" t="str">
        <f>HYPERLINK(AC2 &amp; "/hammer/sn_f35d02f0b248615af89e7b86262150f/rendering/07.xyz", "0.0")</f>
        <v>0.0</v>
      </c>
      <c r="K1171" s="13" t="str">
        <f>HYPERLINK(AC2 &amp; "/hammer/sn_f35d02f0b248615af89e7b86262150f/rendering/08.xyz", "0.0")</f>
        <v>0.0</v>
      </c>
      <c r="L1171" s="13" t="str">
        <f>HYPERLINK(AC2 &amp; "/hammer/sn_f35d02f0b248615af89e7b86262150f/rendering/09.xyz", "0.0")</f>
        <v>0.0</v>
      </c>
      <c r="M1171" s="13" t="str">
        <f>HYPERLINK(AC2 &amp; "/hammer/sn_f35d02f0b248615af89e7b86262150f/rendering/10.xyz", "0.0")</f>
        <v>0.0</v>
      </c>
      <c r="N1171" s="13" t="str">
        <f>HYPERLINK(AC2 &amp; "/hammer/sn_f35d02f0b248615af89e7b86262150f/rendering/11.xyz", "0.0")</f>
        <v>0.0</v>
      </c>
      <c r="O1171" s="13" t="str">
        <f>HYPERLINK(AC2 &amp; "/hammer/sn_f35d02f0b248615af89e7b86262150f/rendering/12.xyz", "0.0")</f>
        <v>0.0</v>
      </c>
      <c r="P1171" s="13" t="str">
        <f>HYPERLINK(AC2 &amp; "/hammer/sn_f35d02f0b248615af89e7b86262150f/rendering/13.xyz", "0.0")</f>
        <v>0.0</v>
      </c>
      <c r="Q1171" s="13" t="str">
        <f>HYPERLINK(AC2 &amp; "/hammer/sn_f35d02f0b248615af89e7b86262150f/rendering/14.xyz", "0.0")</f>
        <v>0.0</v>
      </c>
      <c r="R1171" s="13" t="str">
        <f>HYPERLINK(AC2 &amp; "/hammer/sn_f35d02f0b248615af89e7b86262150f/rendering/15.xyz", "0.0")</f>
        <v>0.0</v>
      </c>
      <c r="S1171" s="13" t="str">
        <f>HYPERLINK(AC2 &amp; "/hammer/sn_f35d02f0b248615af89e7b86262150f/rendering/16.xyz", "0.0")</f>
        <v>0.0</v>
      </c>
      <c r="T1171" s="13" t="str">
        <f>HYPERLINK(AC2 &amp; "/hammer/sn_f35d02f0b248615af89e7b86262150f/rendering/17.xyz", "0.0")</f>
        <v>0.0</v>
      </c>
      <c r="U1171" s="13" t="str">
        <f>HYPERLINK(AC2 &amp; "/hammer/sn_f35d02f0b248615af89e7b86262150f/rendering/18.xyz", "0.0")</f>
        <v>0.0</v>
      </c>
      <c r="V1171" s="13" t="str">
        <f>HYPERLINK(AC2 &amp; "/hammer/sn_f35d02f0b248615af89e7b86262150f/rendering/19.xyz", "0.0")</f>
        <v>0.0</v>
      </c>
      <c r="W1171" s="12" t="s">
        <v>33</v>
      </c>
      <c r="X1171" s="13">
        <v>0</v>
      </c>
      <c r="Y1171" s="13">
        <v>0</v>
      </c>
      <c r="Z1171" s="13">
        <v>0</v>
      </c>
    </row>
    <row r="1172" spans="1:26" x14ac:dyDescent="0.2">
      <c r="A1172" s="1">
        <v>1170</v>
      </c>
      <c r="B1172" s="2" t="s">
        <v>267</v>
      </c>
      <c r="C1172" s="28" t="str">
        <f>HYPERLINK(AA2 &amp; "/hammer/sn_f39a52112040a4c3b90880542dbc824b/rendering/00.obj", "5.73218261719")</f>
        <v>5.73218261719</v>
      </c>
      <c r="D1172" s="68" t="str">
        <f>HYPERLINK(AA2 &amp; "/hammer/sn_f39a52112040a4c3b90880542dbc824b/rendering/01.obj", "6.72399658203")</f>
        <v>6.72399658203</v>
      </c>
      <c r="E1172" s="34" t="str">
        <f>HYPERLINK(AA2 &amp; "/hammer/sn_f39a52112040a4c3b90880542dbc824b/rendering/02.obj", "6.76038818359")</f>
        <v>6.76038818359</v>
      </c>
      <c r="F1172" s="46" t="str">
        <f>HYPERLINK(AA2 &amp; "/hammer/sn_f39a52112040a4c3b90880542dbc824b/rendering/03.obj", "6.3473449707")</f>
        <v>6.3473449707</v>
      </c>
      <c r="G1172" s="72" t="str">
        <f>HYPERLINK(AA2 &amp; "/hammer/sn_f39a52112040a4c3b90880542dbc824b/rendering/04.obj", "6.66412841797")</f>
        <v>6.66412841797</v>
      </c>
      <c r="H1172" s="68" t="str">
        <f>HYPERLINK(AA2 &amp; "/hammer/sn_f39a52112040a4c3b90880542dbc824b/rendering/05.obj", "6.7166619873")</f>
        <v>6.7166619873</v>
      </c>
      <c r="I1172" s="13" t="str">
        <f>HYPERLINK(AA2 &amp; "/hammer/sn_f39a52112040a4c3b90880542dbc824b/rendering/06.obj", "6.45415161133")</f>
        <v>6.45415161133</v>
      </c>
      <c r="J1172" s="130" t="str">
        <f>HYPERLINK(AA2 &amp; "/hammer/sn_f39a52112040a4c3b90880542dbc824b/rendering/07.obj", "9.36285888672")</f>
        <v>9.36285888672</v>
      </c>
      <c r="K1172" s="17" t="str">
        <f>HYPERLINK(AA2 &amp; "/hammer/sn_f39a52112040a4c3b90880542dbc824b/rendering/08.obj", "6.31699951172")</f>
        <v>6.31699951172</v>
      </c>
      <c r="L1172" s="68" t="str">
        <f>HYPERLINK(AA2 &amp; "/hammer/sn_f39a52112040a4c3b90880542dbc824b/rendering/09.obj", "6.18139038086")</f>
        <v>6.18139038086</v>
      </c>
      <c r="M1172" s="87" t="str">
        <f>HYPERLINK(AA2 &amp; "/hammer/sn_f39a52112040a4c3b90880542dbc824b/rendering/10.obj", "7.91273193359")</f>
        <v>7.91273193359</v>
      </c>
      <c r="N1172" s="39" t="str">
        <f>HYPERLINK(AA2 &amp; "/hammer/sn_f39a52112040a4c3b90880542dbc824b/rendering/11.obj", "5.89585449219")</f>
        <v>5.89585449219</v>
      </c>
      <c r="O1172" s="72" t="str">
        <f>HYPERLINK(AA2 &amp; "/hammer/sn_f39a52112040a4c3b90880542dbc824b/rendering/12.obj", "6.66153808594")</f>
        <v>6.66153808594</v>
      </c>
      <c r="P1172" s="51" t="str">
        <f>HYPERLINK(AA2 &amp; "/hammer/sn_f39a52112040a4c3b90880542dbc824b/rendering/13.obj", "5.94317504883")</f>
        <v>5.94317504883</v>
      </c>
      <c r="Q1172" s="91" t="str">
        <f>HYPERLINK(AA2 &amp; "/hammer/sn_f39a52112040a4c3b90880542dbc824b/rendering/14.obj", "6.62580566406")</f>
        <v>6.62580566406</v>
      </c>
      <c r="R1172" s="110" t="str">
        <f>HYPERLINK(AA2 &amp; "/hammer/sn_f39a52112040a4c3b90880542dbc824b/rendering/15.obj", "5.81113952637")</f>
        <v>5.81113952637</v>
      </c>
      <c r="S1172" s="51" t="str">
        <f>HYPERLINK(AA2 &amp; "/hammer/sn_f39a52112040a4c3b90880542dbc824b/rendering/16.obj", "5.9420135498")</f>
        <v>5.9420135498</v>
      </c>
      <c r="T1172" s="64" t="str">
        <f>HYPERLINK(AA2 &amp; "/hammer/sn_f39a52112040a4c3b90880542dbc824b/rendering/17.obj", "5.39185424805")</f>
        <v>5.39185424805</v>
      </c>
      <c r="U1172" s="33" t="str">
        <f>HYPERLINK(AA2 &amp; "/hammer/sn_f39a52112040a4c3b90880542dbc824b/rendering/18.obj", "5.75038879395")</f>
        <v>5.75038879395</v>
      </c>
      <c r="V1172" s="67" t="str">
        <f>HYPERLINK(AA2 &amp; "/hammer/sn_f39a52112040a4c3b90880542dbc824b/rendering/19.obj", "5.86556945801")</f>
        <v>5.86556945801</v>
      </c>
      <c r="W1172" s="12" t="s">
        <v>29</v>
      </c>
      <c r="X1172" s="13">
        <v>6.453008697509766</v>
      </c>
      <c r="Y1172" s="13">
        <v>0.85978681907293442</v>
      </c>
      <c r="Z1172" s="65">
        <v>0.13323813113791841</v>
      </c>
    </row>
    <row r="1173" spans="1:26" x14ac:dyDescent="0.2">
      <c r="A1173" s="1">
        <v>1171</v>
      </c>
      <c r="B1173" s="2" t="s">
        <v>267</v>
      </c>
      <c r="C1173" s="175" t="str">
        <f>HYPERLINK(AA2 &amp; "/hammer/sn_f39a52112040a4c3b90880542dbc824b/rendering/00.obj", "2.51859903336")</f>
        <v>2.51859903336</v>
      </c>
      <c r="D1173" s="68" t="str">
        <f>HYPERLINK(AA2 &amp; "/hammer/sn_f39a52112040a4c3b90880542dbc824b/rendering/01.obj", "3.4273557663")</f>
        <v>3.4273557663</v>
      </c>
      <c r="E1173" s="32" t="str">
        <f>HYPERLINK(AA2 &amp; "/hammer/sn_f39a52112040a4c3b90880542dbc824b/rendering/02.obj", "3.63453483582")</f>
        <v>3.63453483582</v>
      </c>
      <c r="F1173" s="31" t="str">
        <f>HYPERLINK(AA2 &amp; "/hammer/sn_f39a52112040a4c3b90880542dbc824b/rendering/03.obj", "2.78019618988")</f>
        <v>2.78019618988</v>
      </c>
      <c r="G1173" s="8" t="str">
        <f>HYPERLINK(AA2 &amp; "/hammer/sn_f39a52112040a4c3b90880542dbc824b/rendering/04.obj", "3.75384163857")</f>
        <v>3.75384163857</v>
      </c>
      <c r="H1173" s="67" t="str">
        <f>HYPERLINK(AA2 &amp; "/hammer/sn_f39a52112040a4c3b90880542dbc824b/rendering/05.obj", "3.59328484535")</f>
        <v>3.59328484535</v>
      </c>
      <c r="I1173" s="90" t="str">
        <f>HYPERLINK(AA2 &amp; "/hammer/sn_f39a52112040a4c3b90880542dbc824b/rendering/06.obj", "2.96790337563")</f>
        <v>2.96790337563</v>
      </c>
      <c r="J1173" s="20" t="str">
        <f>HYPERLINK(AA2 &amp; "/hammer/sn_f39a52112040a4c3b90880542dbc824b/rendering/07.obj", "7.84751749039")</f>
        <v>7.84751749039</v>
      </c>
      <c r="K1173" s="30" t="str">
        <f>HYPERLINK(AA2 &amp; "/hammer/sn_f39a52112040a4c3b90880542dbc824b/rendering/08.obj", "3.30747914314")</f>
        <v>3.30747914314</v>
      </c>
      <c r="L1173" s="129" t="str">
        <f>HYPERLINK(AA2 &amp; "/hammer/sn_f39a52112040a4c3b90880542dbc824b/rendering/09.obj", "2.46810984612")</f>
        <v>2.46810984612</v>
      </c>
      <c r="M1173" s="174" t="str">
        <f>HYPERLINK(AA2 &amp; "/hammer/sn_f39a52112040a4c3b90880542dbc824b/rendering/10.obj", "5.01133012772")</f>
        <v>5.01133012772</v>
      </c>
      <c r="N1173" s="74" t="str">
        <f>HYPERLINK(AA2 &amp; "/hammer/sn_f39a52112040a4c3b90880542dbc824b/rendering/11.obj", "3.33523249626")</f>
        <v>3.33523249626</v>
      </c>
      <c r="O1173" s="55" t="str">
        <f>HYPERLINK(AA2 &amp; "/hammer/sn_f39a52112040a4c3b90880542dbc824b/rendering/12.obj", "2.65516233444")</f>
        <v>2.65516233444</v>
      </c>
      <c r="P1173" s="76" t="str">
        <f>HYPERLINK(AA2 &amp; "/hammer/sn_f39a52112040a4c3b90880542dbc824b/rendering/13.obj", "2.68235015869")</f>
        <v>2.68235015869</v>
      </c>
      <c r="Q1173" s="84" t="str">
        <f>HYPERLINK(AA2 &amp; "/hammer/sn_f39a52112040a4c3b90880542dbc824b/rendering/14.obj", "2.81032395363")</f>
        <v>2.81032395363</v>
      </c>
      <c r="R1173" s="75" t="str">
        <f>HYPERLINK(AA2 &amp; "/hammer/sn_f39a52112040a4c3b90880542dbc824b/rendering/15.obj", "2.5584154129")</f>
        <v>2.5584154129</v>
      </c>
      <c r="S1173" s="33" t="str">
        <f>HYPERLINK(AA2 &amp; "/hammer/sn_f39a52112040a4c3b90880542dbc824b/rendering/16.obj", "2.93165946007")</f>
        <v>2.93165946007</v>
      </c>
      <c r="T1173" s="36" t="str">
        <f>HYPERLINK(AA2 &amp; "/hammer/sn_f39a52112040a4c3b90880542dbc824b/rendering/17.obj", "2.58556962013")</f>
        <v>2.58556962013</v>
      </c>
      <c r="U1173" s="169" t="str">
        <f>HYPERLINK(AA2 &amp; "/hammer/sn_f39a52112040a4c3b90880542dbc824b/rendering/18.obj", "2.25863242149")</f>
        <v>2.25863242149</v>
      </c>
      <c r="V1173" s="88" t="str">
        <f>HYPERLINK(AA2 &amp; "/hammer/sn_f39a52112040a4c3b90880542dbc824b/rendering/19.obj", "2.62159228325")</f>
        <v>2.62159228325</v>
      </c>
      <c r="W1173" s="12" t="s">
        <v>30</v>
      </c>
      <c r="X1173" s="13">
        <v>3.287454521656036</v>
      </c>
      <c r="Y1173" s="13">
        <v>1.21424371569961</v>
      </c>
      <c r="Z1173" s="123">
        <v>0.36935681017054561</v>
      </c>
    </row>
    <row r="1174" spans="1:26" x14ac:dyDescent="0.2">
      <c r="A1174" s="1">
        <v>1172</v>
      </c>
      <c r="B1174" s="2" t="s">
        <v>267</v>
      </c>
      <c r="C1174" s="13" t="str">
        <f>HYPERLINK(AB2 &amp; "/hammer/sn_f39a52112040a4c3b90880542dbc824b/rendering/00.obj", "5.29380126953")</f>
        <v>5.29380126953</v>
      </c>
      <c r="D1174" s="73" t="str">
        <f>HYPERLINK(AB2 &amp; "/hammer/sn_f39a52112040a4c3b90880542dbc824b/rendering/01.obj", "5.1219744873")</f>
        <v>5.1219744873</v>
      </c>
      <c r="E1174" s="13" t="str">
        <f>HYPERLINK(AB2 &amp; "/hammer/sn_f39a52112040a4c3b90880542dbc824b/rendering/02.obj", "5.29648071289")</f>
        <v>5.29648071289</v>
      </c>
      <c r="F1174" s="13" t="str">
        <f>HYPERLINK(AB2 &amp; "/hammer/sn_f39a52112040a4c3b90880542dbc824b/rendering/03.obj", "5.32296142578")</f>
        <v>5.32296142578</v>
      </c>
      <c r="G1174" s="60" t="str">
        <f>HYPERLINK(AB2 &amp; "/hammer/sn_f39a52112040a4c3b90880542dbc824b/rendering/04.obj", "5.03825622559")</f>
        <v>5.03825622559</v>
      </c>
      <c r="H1174" s="27" t="str">
        <f>HYPERLINK(AB2 &amp; "/hammer/sn_f39a52112040a4c3b90880542dbc824b/rendering/05.obj", "4.93479553223")</f>
        <v>4.93479553223</v>
      </c>
      <c r="I1174" s="73" t="str">
        <f>HYPERLINK(AB2 &amp; "/hammer/sn_f39a52112040a4c3b90880542dbc824b/rendering/06.obj", "5.11445037842")</f>
        <v>5.11445037842</v>
      </c>
      <c r="J1174" s="6" t="str">
        <f>HYPERLINK(AB2 &amp; "/hammer/sn_f39a52112040a4c3b90880542dbc824b/rendering/07.obj", "5.07382598877")</f>
        <v>5.07382598877</v>
      </c>
      <c r="K1174" s="47" t="str">
        <f>HYPERLINK(AB2 &amp; "/hammer/sn_f39a52112040a4c3b90880542dbc824b/rendering/08.obj", "5.26681274414")</f>
        <v>5.26681274414</v>
      </c>
      <c r="L1174" s="91" t="str">
        <f>HYPERLINK(AB2 &amp; "/hammer/sn_f39a52112040a4c3b90880542dbc824b/rendering/09.obj", "5.16413330078")</f>
        <v>5.16413330078</v>
      </c>
      <c r="M1174" s="60" t="str">
        <f>HYPERLINK(AB2 &amp; "/hammer/sn_f39a52112040a4c3b90880542dbc824b/rendering/10.obj", "5.03232452393")</f>
        <v>5.03232452393</v>
      </c>
      <c r="N1174" s="74" t="str">
        <f>HYPERLINK(AB2 &amp; "/hammer/sn_f39a52112040a4c3b90880542dbc824b/rendering/11.obj", "5.23483398438")</f>
        <v>5.23483398438</v>
      </c>
      <c r="O1174" s="70" t="str">
        <f>HYPERLINK(AB2 &amp; "/hammer/sn_f39a52112040a4c3b90880542dbc824b/rendering/12.obj", "5.98200500488")</f>
        <v>5.98200500488</v>
      </c>
      <c r="P1174" s="46" t="str">
        <f>HYPERLINK(AB2 &amp; "/hammer/sn_f39a52112040a4c3b90880542dbc824b/rendering/13.obj", "5.22133911133")</f>
        <v>5.22133911133</v>
      </c>
      <c r="Q1174" s="30" t="str">
        <f>HYPERLINK(AB2 &amp; "/hammer/sn_f39a52112040a4c3b90880542dbc824b/rendering/14.obj", "5.32596435547")</f>
        <v>5.32596435547</v>
      </c>
      <c r="R1174" s="74" t="str">
        <f>HYPERLINK(AB2 &amp; "/hammer/sn_f39a52112040a4c3b90880542dbc824b/rendering/15.obj", "5.38062805176")</f>
        <v>5.38062805176</v>
      </c>
      <c r="S1174" s="28" t="str">
        <f>HYPERLINK(AB2 &amp; "/hammer/sn_f39a52112040a4c3b90880542dbc824b/rendering/16.obj", "5.89035339355")</f>
        <v>5.89035339355</v>
      </c>
      <c r="T1174" s="60" t="str">
        <f>HYPERLINK(AB2 &amp; "/hammer/sn_f39a52112040a4c3b90880542dbc824b/rendering/17.obj", "5.58983398437")</f>
        <v>5.58983398437</v>
      </c>
      <c r="U1174" s="46" t="str">
        <f>HYPERLINK(AB2 &amp; "/hammer/sn_f39a52112040a4c3b90880542dbc824b/rendering/18.obj", "5.4017590332")</f>
        <v>5.4017590332</v>
      </c>
      <c r="V1174" s="69" t="str">
        <f>HYPERLINK(AB2 &amp; "/hammer/sn_f39a52112040a4c3b90880542dbc824b/rendering/19.obj", "5.45713562012")</f>
        <v>5.45713562012</v>
      </c>
      <c r="W1174" s="12" t="s">
        <v>31</v>
      </c>
      <c r="X1174" s="13">
        <v>5.3071834564209004</v>
      </c>
      <c r="Y1174" s="13">
        <v>0.26078968723967783</v>
      </c>
      <c r="Z1174" s="34">
        <v>4.9138999882161832E-2</v>
      </c>
    </row>
    <row r="1175" spans="1:26" x14ac:dyDescent="0.2">
      <c r="A1175" s="1">
        <v>1173</v>
      </c>
      <c r="B1175" s="2" t="s">
        <v>267</v>
      </c>
      <c r="C1175" s="91" t="str">
        <f>HYPERLINK(AB2 &amp; "/hammer/sn_f39a52112040a4c3b90880542dbc824b/rendering/00.obj", "2.04688501358")</f>
        <v>2.04688501358</v>
      </c>
      <c r="D1175" s="69" t="str">
        <f>HYPERLINK(AB2 &amp; "/hammer/sn_f39a52112040a4c3b90880542dbc824b/rendering/01.obj", "2.03864765167")</f>
        <v>2.03864765167</v>
      </c>
      <c r="E1175" s="90" t="str">
        <f>HYPERLINK(AB2 &amp; "/hammer/sn_f39a52112040a4c3b90880542dbc824b/rendering/02.obj", "2.30113601685")</f>
        <v>2.30113601685</v>
      </c>
      <c r="F1175" s="72" t="str">
        <f>HYPERLINK(AB2 &amp; "/hammer/sn_f39a52112040a4c3b90880542dbc824b/rendering/03.obj", "2.03071331978")</f>
        <v>2.03071331978</v>
      </c>
      <c r="G1175" s="72" t="str">
        <f>HYPERLINK(AB2 &amp; "/hammer/sn_f39a52112040a4c3b90880542dbc824b/rendering/04.obj", "2.17141890526")</f>
        <v>2.17141890526</v>
      </c>
      <c r="H1175" s="47" t="str">
        <f>HYPERLINK(AB2 &amp; "/hammer/sn_f39a52112040a4c3b90880542dbc824b/rendering/05.obj", "2.08257937431")</f>
        <v>2.08257937431</v>
      </c>
      <c r="I1175" s="91" t="str">
        <f>HYPERLINK(AB2 &amp; "/hammer/sn_f39a52112040a4c3b90880542dbc824b/rendering/06.obj", "2.04241991043")</f>
        <v>2.04241991043</v>
      </c>
      <c r="J1175" s="73" t="str">
        <f>HYPERLINK(AB2 &amp; "/hammer/sn_f39a52112040a4c3b90880542dbc824b/rendering/07.obj", "2.02596139908")</f>
        <v>2.02596139908</v>
      </c>
      <c r="K1175" s="17" t="str">
        <f>HYPERLINK(AB2 &amp; "/hammer/sn_f39a52112040a4c3b90880542dbc824b/rendering/08.obj", "2.06024718285")</f>
        <v>2.06024718285</v>
      </c>
      <c r="L1175" s="46" t="str">
        <f>HYPERLINK(AB2 &amp; "/hammer/sn_f39a52112040a4c3b90880542dbc824b/rendering/09.obj", "2.0607316494")</f>
        <v>2.0607316494</v>
      </c>
      <c r="M1175" s="17" t="str">
        <f>HYPERLINK(AB2 &amp; "/hammer/sn_f39a52112040a4c3b90880542dbc824b/rendering/10.obj", "2.05776762962")</f>
        <v>2.05776762962</v>
      </c>
      <c r="N1175" s="72" t="str">
        <f>HYPERLINK(AB2 &amp; "/hammer/sn_f39a52112040a4c3b90880542dbc824b/rendering/11.obj", "2.02969884872")</f>
        <v>2.02969884872</v>
      </c>
      <c r="O1175" s="70" t="str">
        <f>HYPERLINK(AB2 &amp; "/hammer/sn_f39a52112040a4c3b90880542dbc824b/rendering/12.obj", "2.36797571182")</f>
        <v>2.36797571182</v>
      </c>
      <c r="P1175" s="34" t="str">
        <f>HYPERLINK(AB2 &amp; "/hammer/sn_f39a52112040a4c3b90880542dbc824b/rendering/13.obj", "1.9954688549")</f>
        <v>1.9954688549</v>
      </c>
      <c r="Q1175" s="13" t="str">
        <f>HYPERLINK(AB2 &amp; "/hammer/sn_f39a52112040a4c3b90880542dbc824b/rendering/14.obj", "2.09887647629")</f>
        <v>2.09887647629</v>
      </c>
      <c r="R1175" s="74" t="str">
        <f>HYPERLINK(AB2 &amp; "/hammer/sn_f39a52112040a4c3b90880542dbc824b/rendering/15.obj", "2.07264208794")</f>
        <v>2.07264208794</v>
      </c>
      <c r="S1175" s="5" t="str">
        <f>HYPERLINK(AB2 &amp; "/hammer/sn_f39a52112040a4c3b90880542dbc824b/rendering/16.obj", "2.26010513306")</f>
        <v>2.26010513306</v>
      </c>
      <c r="T1175" s="69" t="str">
        <f>HYPERLINK(AB2 &amp; "/hammer/sn_f39a52112040a4c3b90880542dbc824b/rendering/17.obj", "2.03464961052")</f>
        <v>2.03464961052</v>
      </c>
      <c r="U1175" s="91" t="str">
        <f>HYPERLINK(AB2 &amp; "/hammer/sn_f39a52112040a4c3b90880542dbc824b/rendering/18.obj", "2.0418150425")</f>
        <v>2.0418150425</v>
      </c>
      <c r="V1175" s="73" t="str">
        <f>HYPERLINK(AB2 &amp; "/hammer/sn_f39a52112040a4c3b90880542dbc824b/rendering/19.obj", "2.17659926414")</f>
        <v>2.17659926414</v>
      </c>
      <c r="W1175" s="12" t="s">
        <v>32</v>
      </c>
      <c r="X1175" s="13">
        <v>2.0998169541358949</v>
      </c>
      <c r="Y1175" s="13">
        <v>9.9633112337670013E-2</v>
      </c>
      <c r="Z1175" s="34">
        <v>4.7448475040373451E-2</v>
      </c>
    </row>
    <row r="1176" spans="1:26" x14ac:dyDescent="0.2">
      <c r="A1176" s="1">
        <v>1174</v>
      </c>
      <c r="B1176" s="2" t="s">
        <v>267</v>
      </c>
      <c r="C1176" s="13" t="str">
        <f>HYPERLINK(AC2 &amp; "/hammer/sn_f39a52112040a4c3b90880542dbc824b/rendering/00.xyz", "0.0")</f>
        <v>0.0</v>
      </c>
      <c r="D1176" s="13" t="str">
        <f>HYPERLINK(AC2 &amp; "/hammer/sn_f39a52112040a4c3b90880542dbc824b/rendering/01.xyz", "0.0")</f>
        <v>0.0</v>
      </c>
      <c r="E1176" s="13" t="str">
        <f>HYPERLINK(AC2 &amp; "/hammer/sn_f39a52112040a4c3b90880542dbc824b/rendering/02.xyz", "0.0")</f>
        <v>0.0</v>
      </c>
      <c r="F1176" s="13" t="str">
        <f>HYPERLINK(AC2 &amp; "/hammer/sn_f39a52112040a4c3b90880542dbc824b/rendering/03.xyz", "0.0")</f>
        <v>0.0</v>
      </c>
      <c r="G1176" s="13" t="str">
        <f>HYPERLINK(AC2 &amp; "/hammer/sn_f39a52112040a4c3b90880542dbc824b/rendering/04.xyz", "0.0")</f>
        <v>0.0</v>
      </c>
      <c r="H1176" s="13" t="str">
        <f>HYPERLINK(AC2 &amp; "/hammer/sn_f39a52112040a4c3b90880542dbc824b/rendering/05.xyz", "0.0")</f>
        <v>0.0</v>
      </c>
      <c r="I1176" s="13" t="str">
        <f>HYPERLINK(AC2 &amp; "/hammer/sn_f39a52112040a4c3b90880542dbc824b/rendering/06.xyz", "0.0")</f>
        <v>0.0</v>
      </c>
      <c r="J1176" s="13" t="str">
        <f>HYPERLINK(AC2 &amp; "/hammer/sn_f39a52112040a4c3b90880542dbc824b/rendering/07.xyz", "0.0")</f>
        <v>0.0</v>
      </c>
      <c r="K1176" s="13" t="str">
        <f>HYPERLINK(AC2 &amp; "/hammer/sn_f39a52112040a4c3b90880542dbc824b/rendering/08.xyz", "0.0")</f>
        <v>0.0</v>
      </c>
      <c r="L1176" s="13" t="str">
        <f>HYPERLINK(AC2 &amp; "/hammer/sn_f39a52112040a4c3b90880542dbc824b/rendering/09.xyz", "0.0")</f>
        <v>0.0</v>
      </c>
      <c r="M1176" s="13" t="str">
        <f>HYPERLINK(AC2 &amp; "/hammer/sn_f39a52112040a4c3b90880542dbc824b/rendering/10.xyz", "0.0")</f>
        <v>0.0</v>
      </c>
      <c r="N1176" s="13" t="str">
        <f>HYPERLINK(AC2 &amp; "/hammer/sn_f39a52112040a4c3b90880542dbc824b/rendering/11.xyz", "0.0")</f>
        <v>0.0</v>
      </c>
      <c r="O1176" s="13" t="str">
        <f>HYPERLINK(AC2 &amp; "/hammer/sn_f39a52112040a4c3b90880542dbc824b/rendering/12.xyz", "0.0")</f>
        <v>0.0</v>
      </c>
      <c r="P1176" s="13" t="str">
        <f>HYPERLINK(AC2 &amp; "/hammer/sn_f39a52112040a4c3b90880542dbc824b/rendering/13.xyz", "0.0")</f>
        <v>0.0</v>
      </c>
      <c r="Q1176" s="13" t="str">
        <f>HYPERLINK(AC2 &amp; "/hammer/sn_f39a52112040a4c3b90880542dbc824b/rendering/14.xyz", "0.0")</f>
        <v>0.0</v>
      </c>
      <c r="R1176" s="13" t="str">
        <f>HYPERLINK(AC2 &amp; "/hammer/sn_f39a52112040a4c3b90880542dbc824b/rendering/15.xyz", "0.0")</f>
        <v>0.0</v>
      </c>
      <c r="S1176" s="13" t="str">
        <f>HYPERLINK(AC2 &amp; "/hammer/sn_f39a52112040a4c3b90880542dbc824b/rendering/16.xyz", "0.0")</f>
        <v>0.0</v>
      </c>
      <c r="T1176" s="13" t="str">
        <f>HYPERLINK(AC2 &amp; "/hammer/sn_f39a52112040a4c3b90880542dbc824b/rendering/17.xyz", "0.0")</f>
        <v>0.0</v>
      </c>
      <c r="U1176" s="13" t="str">
        <f>HYPERLINK(AC2 &amp; "/hammer/sn_f39a52112040a4c3b90880542dbc824b/rendering/18.xyz", "0.0")</f>
        <v>0.0</v>
      </c>
      <c r="V1176" s="13" t="str">
        <f>HYPERLINK(AC2 &amp; "/hammer/sn_f39a52112040a4c3b90880542dbc824b/rendering/19.xyz", "0.0")</f>
        <v>0.0</v>
      </c>
      <c r="W1176" s="12" t="s">
        <v>33</v>
      </c>
      <c r="X1176" s="13">
        <v>0</v>
      </c>
      <c r="Y1176" s="13">
        <v>0</v>
      </c>
      <c r="Z1176" s="13">
        <v>0</v>
      </c>
    </row>
    <row r="1177" spans="1:26" x14ac:dyDescent="0.2">
      <c r="A1177" s="1">
        <v>1175</v>
      </c>
      <c r="B1177" s="2" t="s">
        <v>268</v>
      </c>
      <c r="C1177" s="92" t="str">
        <f>HYPERLINK(AA2 &amp; "/hammer/sn_f3e157e6a851762aeb198591fb4499f4/rendering/00.obj", "4.69783721924")</f>
        <v>4.69783721924</v>
      </c>
      <c r="D1177" s="23" t="str">
        <f>HYPERLINK(AA2 &amp; "/hammer/sn_f3e157e6a851762aeb198591fb4499f4/rendering/01.obj", "5.57026977539")</f>
        <v>5.57026977539</v>
      </c>
      <c r="E1177" s="10" t="str">
        <f>HYPERLINK(AA2 &amp; "/hammer/sn_f3e157e6a851762aeb198591fb4499f4/rendering/02.obj", "5.65599487305")</f>
        <v>5.65599487305</v>
      </c>
      <c r="F1177" s="10" t="str">
        <f>HYPERLINK(AA2 &amp; "/hammer/sn_f3e157e6a851762aeb198591fb4499f4/rendering/03.obj", "5.06354858398")</f>
        <v>5.06354858398</v>
      </c>
      <c r="G1177" s="79" t="str">
        <f>HYPERLINK(AA2 &amp; "/hammer/sn_f3e157e6a851762aeb198591fb4499f4/rendering/04.obj", "6.21195922852")</f>
        <v>6.21195922852</v>
      </c>
      <c r="H1177" s="72" t="str">
        <f>HYPERLINK(AA2 &amp; "/hammer/sn_f3e157e6a851762aeb198591fb4499f4/rendering/05.obj", "5.18624023438")</f>
        <v>5.18624023438</v>
      </c>
      <c r="I1177" s="23" t="str">
        <f>HYPERLINK(AA2 &amp; "/hammer/sn_f3e157e6a851762aeb198591fb4499f4/rendering/06.obj", "5.15447143555")</f>
        <v>5.15447143555</v>
      </c>
      <c r="J1177" s="74" t="str">
        <f>HYPERLINK(AA2 &amp; "/hammer/sn_f3e157e6a851762aeb198591fb4499f4/rendering/07.obj", "5.28118164063")</f>
        <v>5.28118164063</v>
      </c>
      <c r="K1177" s="70" t="str">
        <f>HYPERLINK(AA2 &amp; "/hammer/sn_f3e157e6a851762aeb198591fb4499f4/rendering/08.obj", "4.67761505127")</f>
        <v>4.67761505127</v>
      </c>
      <c r="L1177" s="46" t="str">
        <f>HYPERLINK(AA2 &amp; "/hammer/sn_f3e157e6a851762aeb198591fb4499f4/rendering/09.obj", "5.45359008789")</f>
        <v>5.45359008789</v>
      </c>
      <c r="M1177" s="6" t="str">
        <f>HYPERLINK(AA2 &amp; "/hammer/sn_f3e157e6a851762aeb198591fb4499f4/rendering/10.obj", "5.6072253418")</f>
        <v>5.6072253418</v>
      </c>
      <c r="N1177" s="6" t="str">
        <f>HYPERLINK(AA2 &amp; "/hammer/sn_f3e157e6a851762aeb198591fb4499f4/rendering/11.obj", "5.12064575195")</f>
        <v>5.12064575195</v>
      </c>
      <c r="O1177" s="72" t="str">
        <f>HYPERLINK(AA2 &amp; "/hammer/sn_f3e157e6a851762aeb198591fb4499f4/rendering/12.obj", "5.54160766602")</f>
        <v>5.54160766602</v>
      </c>
      <c r="P1177" s="72" t="str">
        <f>HYPERLINK(AA2 &amp; "/hammer/sn_f3e157e6a851762aeb198591fb4499f4/rendering/13.obj", "5.17762817383")</f>
        <v>5.17762817383</v>
      </c>
      <c r="Q1177" s="34" t="str">
        <f>HYPERLINK(AA2 &amp; "/hammer/sn_f3e157e6a851762aeb198591fb4499f4/rendering/14.obj", "5.09709747314")</f>
        <v>5.09709747314</v>
      </c>
      <c r="R1177" s="42" t="str">
        <f>HYPERLINK(AA2 &amp; "/hammer/sn_f3e157e6a851762aeb198591fb4499f4/rendering/15.obj", "6.09814941406")</f>
        <v>6.09814941406</v>
      </c>
      <c r="S1177" s="10" t="str">
        <f>HYPERLINK(AA2 &amp; "/hammer/sn_f3e157e6a851762aeb198591fb4499f4/rendering/16.obj", "5.65067382812")</f>
        <v>5.65067382812</v>
      </c>
      <c r="T1177" s="73" t="str">
        <f>HYPERLINK(AA2 &amp; "/hammer/sn_f3e157e6a851762aeb198591fb4499f4/rendering/17.obj", "5.55065124512")</f>
        <v>5.55065124512</v>
      </c>
      <c r="U1177" s="35" t="str">
        <f>HYPERLINK(AA2 &amp; "/hammer/sn_f3e157e6a851762aeb198591fb4499f4/rendering/18.obj", "5.04558746338")</f>
        <v>5.04558746338</v>
      </c>
      <c r="V1177" s="30" t="str">
        <f>HYPERLINK(AA2 &amp; "/hammer/sn_f3e157e6a851762aeb198591fb4499f4/rendering/19.obj", "5.38518066406")</f>
        <v>5.38518066406</v>
      </c>
      <c r="W1177" s="12" t="s">
        <v>29</v>
      </c>
      <c r="X1177" s="13">
        <v>5.3613577575683591</v>
      </c>
      <c r="Y1177" s="13">
        <v>0.38444664934496481</v>
      </c>
      <c r="Z1177" s="27">
        <v>7.1706956843583289E-2</v>
      </c>
    </row>
    <row r="1178" spans="1:26" x14ac:dyDescent="0.2">
      <c r="A1178" s="1">
        <v>1176</v>
      </c>
      <c r="B1178" s="2" t="s">
        <v>268</v>
      </c>
      <c r="C1178" s="75" t="str">
        <f>HYPERLINK(AA2 &amp; "/hammer/sn_f3e157e6a851762aeb198591fb4499f4/rendering/00.obj", "1.81929206848")</f>
        <v>1.81929206848</v>
      </c>
      <c r="D1178" s="117" t="str">
        <f>HYPERLINK(AA2 &amp; "/hammer/sn_f3e157e6a851762aeb198591fb4499f4/rendering/01.obj", "2.74321866035")</f>
        <v>2.74321866035</v>
      </c>
      <c r="E1178" s="134" t="str">
        <f>HYPERLINK(AA2 &amp; "/hammer/sn_f3e157e6a851762aeb198591fb4499f4/rendering/02.obj", "1.9102243185")</f>
        <v>1.9102243185</v>
      </c>
      <c r="F1178" s="6" t="str">
        <f>HYPERLINK(AA2 &amp; "/hammer/sn_f3e157e6a851762aeb198591fb4499f4/rendering/03.obj", "2.22791934013")</f>
        <v>2.22791934013</v>
      </c>
      <c r="G1178" s="170" t="str">
        <f>HYPERLINK(AA2 &amp; "/hammer/sn_f3e157e6a851762aeb198591fb4499f4/rendering/04.obj", "2.92182087898")</f>
        <v>2.92182087898</v>
      </c>
      <c r="H1178" s="23" t="str">
        <f>HYPERLINK(AA2 &amp; "/hammer/sn_f3e157e6a851762aeb198591fb4499f4/rendering/05.obj", "2.23884868622")</f>
        <v>2.23884868622</v>
      </c>
      <c r="I1178" s="77" t="str">
        <f>HYPERLINK(AA2 &amp; "/hammer/sn_f3e157e6a851762aeb198591fb4499f4/rendering/06.obj", "2.76576042175")</f>
        <v>2.76576042175</v>
      </c>
      <c r="J1178" s="71" t="str">
        <f>HYPERLINK(AA2 &amp; "/hammer/sn_f3e157e6a851762aeb198591fb4499f4/rendering/07.obj", "2.0585038662")</f>
        <v>2.0585038662</v>
      </c>
      <c r="K1178" s="175" t="str">
        <f>HYPERLINK(AA2 &amp; "/hammer/sn_f3e157e6a851762aeb198591fb4499f4/rendering/08.obj", "1.78662800789")</f>
        <v>1.78662800789</v>
      </c>
      <c r="L1178" s="33" t="str">
        <f>HYPERLINK(AA2 &amp; "/hammer/sn_f3e157e6a851762aeb198591fb4499f4/rendering/09.obj", "2.07769227028")</f>
        <v>2.07769227028</v>
      </c>
      <c r="M1178" s="83" t="str">
        <f>HYPERLINK(AA2 &amp; "/hammer/sn_f3e157e6a851762aeb198591fb4499f4/rendering/10.obj", "1.97590982914")</f>
        <v>1.97590982914</v>
      </c>
      <c r="N1178" s="32" t="str">
        <f>HYPERLINK(AA2 &amp; "/hammer/sn_f3e157e6a851762aeb198591fb4499f4/rendering/11.obj", "2.09065175056")</f>
        <v>2.09065175056</v>
      </c>
      <c r="O1178" s="75" t="str">
        <f>HYPERLINK(AA2 &amp; "/hammer/sn_f3e157e6a851762aeb198591fb4499f4/rendering/12.obj", "2.84533905983")</f>
        <v>2.84533905983</v>
      </c>
      <c r="P1178" s="6" t="str">
        <f>HYPERLINK(AA2 &amp; "/hammer/sn_f3e157e6a851762aeb198591fb4499f4/rendering/13.obj", "2.22651410103")</f>
        <v>2.22651410103</v>
      </c>
      <c r="Q1178" s="83" t="str">
        <f>HYPERLINK(AA2 &amp; "/hammer/sn_f3e157e6a851762aeb198591fb4499f4/rendering/14.obj", "1.97533929348")</f>
        <v>1.97533929348</v>
      </c>
      <c r="R1178" s="197" t="str">
        <f>HYPERLINK(AA2 &amp; "/hammer/sn_f3e157e6a851762aeb198591fb4499f4/rendering/15.obj", "3.65117096901")</f>
        <v>3.65117096901</v>
      </c>
      <c r="S1178" s="129" t="str">
        <f>HYPERLINK(AA2 &amp; "/hammer/sn_f3e157e6a851762aeb198591fb4499f4/rendering/16.obj", "2.91207313538")</f>
        <v>2.91207313538</v>
      </c>
      <c r="T1178" s="90" t="str">
        <f>HYPERLINK(AA2 &amp; "/hammer/sn_f3e157e6a851762aeb198591fb4499f4/rendering/17.obj", "2.10926103592")</f>
        <v>2.10926103592</v>
      </c>
      <c r="U1178" s="175" t="str">
        <f>HYPERLINK(AA2 &amp; "/hammer/sn_f3e157e6a851762aeb198591fb4499f4/rendering/18.obj", "1.78904211521")</f>
        <v>1.78904211521</v>
      </c>
      <c r="V1178" s="51" t="str">
        <f>HYPERLINK(AA2 &amp; "/hammer/sn_f3e157e6a851762aeb198591fb4499f4/rendering/19.obj", "2.52189946175")</f>
        <v>2.52189946175</v>
      </c>
      <c r="W1178" s="12" t="s">
        <v>30</v>
      </c>
      <c r="X1178" s="13">
        <v>2.3323554635047912</v>
      </c>
      <c r="Y1178" s="13">
        <v>0.48199518745226888</v>
      </c>
      <c r="Z1178" s="82">
        <v>0.2066559728970227</v>
      </c>
    </row>
    <row r="1179" spans="1:26" x14ac:dyDescent="0.2">
      <c r="A1179" s="1">
        <v>1177</v>
      </c>
      <c r="B1179" s="2" t="s">
        <v>268</v>
      </c>
      <c r="C1179" s="68" t="str">
        <f>HYPERLINK(AB2 &amp; "/hammer/sn_f3e157e6a851762aeb198591fb4499f4/rendering/00.obj", "6.02319824219")</f>
        <v>6.02319824219</v>
      </c>
      <c r="D1179" s="78" t="str">
        <f>HYPERLINK(AB2 &amp; "/hammer/sn_f3e157e6a851762aeb198591fb4499f4/rendering/01.obj", "5.42592102051")</f>
        <v>5.42592102051</v>
      </c>
      <c r="E1179" s="60" t="str">
        <f>HYPERLINK(AB2 &amp; "/hammer/sn_f3e157e6a851762aeb198591fb4499f4/rendering/02.obj", "6.07570861816")</f>
        <v>6.07570861816</v>
      </c>
      <c r="F1179" s="30" t="str">
        <f>HYPERLINK(AB2 &amp; "/hammer/sn_f3e157e6a851762aeb198591fb4499f4/rendering/03.obj", "5.76083007813")</f>
        <v>5.76083007813</v>
      </c>
      <c r="G1179" s="30" t="str">
        <f>HYPERLINK(AB2 &amp; "/hammer/sn_f3e157e6a851762aeb198591fb4499f4/rendering/04.obj", "5.80920532227")</f>
        <v>5.80920532227</v>
      </c>
      <c r="H1179" s="91" t="str">
        <f>HYPERLINK(AB2 &amp; "/hammer/sn_f3e157e6a851762aeb198591fb4499f4/rendering/05.obj", "5.62041259766")</f>
        <v>5.62041259766</v>
      </c>
      <c r="I1179" s="46" t="str">
        <f>HYPERLINK(AB2 &amp; "/hammer/sn_f3e157e6a851762aeb198591fb4499f4/rendering/06.obj", "5.67341796875")</f>
        <v>5.67341796875</v>
      </c>
      <c r="J1179" s="13" t="str">
        <f>HYPERLINK(AB2 &amp; "/hammer/sn_f3e157e6a851762aeb198591fb4499f4/rendering/07.obj", "5.76764526367")</f>
        <v>5.76764526367</v>
      </c>
      <c r="K1179" s="69" t="str">
        <f>HYPERLINK(AB2 &amp; "/hammer/sn_f3e157e6a851762aeb198591fb4499f4/rendering/08.obj", "5.61606445313")</f>
        <v>5.61606445313</v>
      </c>
      <c r="L1179" s="48" t="str">
        <f>HYPERLINK(AB2 &amp; "/hammer/sn_f3e157e6a851762aeb198591fb4499f4/rendering/09.obj", "5.91028076172")</f>
        <v>5.91028076172</v>
      </c>
      <c r="M1179" s="94" t="str">
        <f>HYPERLINK(AB2 &amp; "/hammer/sn_f3e157e6a851762aeb198591fb4499f4/rendering/10.obj", "6.21306518555")</f>
        <v>6.21306518555</v>
      </c>
      <c r="N1179" s="6" t="str">
        <f>HYPERLINK(AB2 &amp; "/hammer/sn_f3e157e6a851762aeb198591fb4499f4/rendering/11.obj", "5.5250793457")</f>
        <v>5.5250793457</v>
      </c>
      <c r="O1179" s="30" t="str">
        <f>HYPERLINK(AB2 &amp; "/hammer/sn_f3e157e6a851762aeb198591fb4499f4/rendering/12.obj", "5.75592407227")</f>
        <v>5.75592407227</v>
      </c>
      <c r="P1179" s="30" t="str">
        <f>HYPERLINK(AB2 &amp; "/hammer/sn_f3e157e6a851762aeb198591fb4499f4/rendering/13.obj", "5.76122802734")</f>
        <v>5.76122802734</v>
      </c>
      <c r="Q1179" s="23" t="str">
        <f>HYPERLINK(AB2 &amp; "/hammer/sn_f3e157e6a851762aeb198591fb4499f4/rendering/14.obj", "5.55889892578")</f>
        <v>5.55889892578</v>
      </c>
      <c r="R1179" s="13" t="str">
        <f>HYPERLINK(AB2 &amp; "/hammer/sn_f3e157e6a851762aeb198591fb4499f4/rendering/15.obj", "5.7650592041")</f>
        <v>5.7650592041</v>
      </c>
      <c r="S1179" s="30" t="str">
        <f>HYPERLINK(AB2 &amp; "/hammer/sn_f3e157e6a851762aeb198591fb4499f4/rendering/16.obj", "5.81479309082")</f>
        <v>5.81479309082</v>
      </c>
      <c r="T1179" s="107" t="str">
        <f>HYPERLINK(AB2 &amp; "/hammer/sn_f3e157e6a851762aeb198591fb4499f4/rendering/17.obj", "6.25327697754")</f>
        <v>6.25327697754</v>
      </c>
      <c r="U1179" s="48" t="str">
        <f>HYPERLINK(AB2 &amp; "/hammer/sn_f3e157e6a851762aeb198591fb4499f4/rendering/18.obj", "5.65130615234")</f>
        <v>5.65130615234</v>
      </c>
      <c r="V1179" s="69" t="str">
        <f>HYPERLINK(AB2 &amp; "/hammer/sn_f3e157e6a851762aeb198591fb4499f4/rendering/19.obj", "5.60907836914")</f>
        <v>5.60907836914</v>
      </c>
      <c r="W1179" s="12" t="s">
        <v>31</v>
      </c>
      <c r="X1179" s="13">
        <v>5.7795196838378908</v>
      </c>
      <c r="Y1179" s="13">
        <v>0.21535483255291471</v>
      </c>
      <c r="Z1179" s="73">
        <v>3.7261717985863543E-2</v>
      </c>
    </row>
    <row r="1180" spans="1:26" x14ac:dyDescent="0.2">
      <c r="A1180" s="1">
        <v>1178</v>
      </c>
      <c r="B1180" s="2" t="s">
        <v>268</v>
      </c>
      <c r="C1180" s="6" t="str">
        <f>HYPERLINK(AB2 &amp; "/hammer/sn_f3e157e6a851762aeb198591fb4499f4/rendering/00.obj", "1.87556314468")</f>
        <v>1.87556314468</v>
      </c>
      <c r="D1180" s="70" t="str">
        <f>HYPERLINK(AB2 &amp; "/hammer/sn_f3e157e6a851762aeb198591fb4499f4/rendering/01.obj", "1.71197402477")</f>
        <v>1.71197402477</v>
      </c>
      <c r="E1180" s="74" t="str">
        <f>HYPERLINK(AB2 &amp; "/hammer/sn_f3e157e6a851762aeb198591fb4499f4/rendering/02.obj", "1.93586862087")</f>
        <v>1.93586862087</v>
      </c>
      <c r="F1180" s="23" t="str">
        <f>HYPERLINK(AB2 &amp; "/hammer/sn_f3e157e6a851762aeb198591fb4499f4/rendering/03.obj", "2.04171991348")</f>
        <v>2.04171991348</v>
      </c>
      <c r="G1180" s="82" t="str">
        <f>HYPERLINK(AB2 &amp; "/hammer/sn_f3e157e6a851762aeb198591fb4499f4/rendering/04.obj", "2.36721634865")</f>
        <v>2.36721634865</v>
      </c>
      <c r="H1180" s="17" t="str">
        <f>HYPERLINK(AB2 &amp; "/hammer/sn_f3e157e6a851762aeb198591fb4499f4/rendering/05.obj", "1.9219301939")</f>
        <v>1.9219301939</v>
      </c>
      <c r="I1180" s="47" t="str">
        <f>HYPERLINK(AB2 &amp; "/hammer/sn_f3e157e6a851762aeb198591fb4499f4/rendering/06.obj", "1.97980856895")</f>
        <v>1.97980856895</v>
      </c>
      <c r="J1180" s="91" t="str">
        <f>HYPERLINK(AB2 &amp; "/hammer/sn_f3e157e6a851762aeb198591fb4499f4/rendering/07.obj", "1.91275620461")</f>
        <v>1.91275620461</v>
      </c>
      <c r="K1180" s="133" t="str">
        <f>HYPERLINK(AB2 &amp; "/hammer/sn_f3e157e6a851762aeb198591fb4499f4/rendering/08.obj", "1.76464128494")</f>
        <v>1.76464128494</v>
      </c>
      <c r="L1180" s="92" t="str">
        <f>HYPERLINK(AB2 &amp; "/hammer/sn_f3e157e6a851762aeb198591fb4499f4/rendering/09.obj", "2.20851778984")</f>
        <v>2.20851778984</v>
      </c>
      <c r="M1180" s="5" t="str">
        <f>HYPERLINK(AB2 &amp; "/hammer/sn_f3e157e6a851762aeb198591fb4499f4/rendering/10.obj", "2.11480021477")</f>
        <v>2.11480021477</v>
      </c>
      <c r="N1180" s="133" t="str">
        <f>HYPERLINK(AB2 &amp; "/hammer/sn_f3e157e6a851762aeb198591fb4499f4/rendering/11.obj", "1.76412820816")</f>
        <v>1.76412820816</v>
      </c>
      <c r="O1180" s="47" t="str">
        <f>HYPERLINK(AB2 &amp; "/hammer/sn_f3e157e6a851762aeb198591fb4499f4/rendering/12.obj", "1.94792366028")</f>
        <v>1.94792366028</v>
      </c>
      <c r="P1180" s="10" t="str">
        <f>HYPERLINK(AB2 &amp; "/hammer/sn_f3e157e6a851762aeb198591fb4499f4/rendering/13.obj", "2.07166790962")</f>
        <v>2.07166790962</v>
      </c>
      <c r="Q1180" s="133" t="str">
        <f>HYPERLINK(AB2 &amp; "/hammer/sn_f3e157e6a851762aeb198591fb4499f4/rendering/14.obj", "1.76247930527")</f>
        <v>1.76247930527</v>
      </c>
      <c r="R1180" s="80" t="str">
        <f>HYPERLINK(AB2 &amp; "/hammer/sn_f3e157e6a851762aeb198591fb4499f4/rendering/15.obj", "2.25729417801")</f>
        <v>2.25729417801</v>
      </c>
      <c r="S1180" s="17" t="str">
        <f>HYPERLINK(AB2 &amp; "/hammer/sn_f3e157e6a851762aeb198591fb4499f4/rendering/16.obj", "1.92293381691")</f>
        <v>1.92293381691</v>
      </c>
      <c r="T1180" s="91" t="str">
        <f>HYPERLINK(AB2 &amp; "/hammer/sn_f3e157e6a851762aeb198591fb4499f4/rendering/17.obj", "2.01393890381")</f>
        <v>2.01393890381</v>
      </c>
      <c r="U1180" s="32" t="str">
        <f>HYPERLINK(AB2 &amp; "/hammer/sn_f3e157e6a851762aeb198591fb4499f4/rendering/18.obj", "1.75723326206")</f>
        <v>1.75723326206</v>
      </c>
      <c r="V1180" s="47" t="str">
        <f>HYPERLINK(AB2 &amp; "/hammer/sn_f3e157e6a851762aeb198591fb4499f4/rendering/19.obj", "1.94751083851")</f>
        <v>1.94751083851</v>
      </c>
      <c r="W1180" s="12" t="s">
        <v>32</v>
      </c>
      <c r="X1180" s="13">
        <v>1.9639953196048741</v>
      </c>
      <c r="Y1180" s="13">
        <v>0.1722366014746966</v>
      </c>
      <c r="Z1180" s="39">
        <v>8.7697052918307358E-2</v>
      </c>
    </row>
    <row r="1181" spans="1:26" x14ac:dyDescent="0.2">
      <c r="A1181" s="1">
        <v>1179</v>
      </c>
      <c r="B1181" s="2" t="s">
        <v>268</v>
      </c>
      <c r="C1181" s="13" t="str">
        <f>HYPERLINK(AC2 &amp; "/hammer/sn_f3e157e6a851762aeb198591fb4499f4/rendering/00.xyz", "0.0")</f>
        <v>0.0</v>
      </c>
      <c r="D1181" s="13" t="str">
        <f>HYPERLINK(AC2 &amp; "/hammer/sn_f3e157e6a851762aeb198591fb4499f4/rendering/01.xyz", "0.0")</f>
        <v>0.0</v>
      </c>
      <c r="E1181" s="13" t="str">
        <f>HYPERLINK(AC2 &amp; "/hammer/sn_f3e157e6a851762aeb198591fb4499f4/rendering/02.xyz", "0.0")</f>
        <v>0.0</v>
      </c>
      <c r="F1181" s="13" t="str">
        <f>HYPERLINK(AC2 &amp; "/hammer/sn_f3e157e6a851762aeb198591fb4499f4/rendering/03.xyz", "0.0")</f>
        <v>0.0</v>
      </c>
      <c r="G1181" s="13" t="str">
        <f>HYPERLINK(AC2 &amp; "/hammer/sn_f3e157e6a851762aeb198591fb4499f4/rendering/04.xyz", "0.0")</f>
        <v>0.0</v>
      </c>
      <c r="H1181" s="13" t="str">
        <f>HYPERLINK(AC2 &amp; "/hammer/sn_f3e157e6a851762aeb198591fb4499f4/rendering/05.xyz", "0.0")</f>
        <v>0.0</v>
      </c>
      <c r="I1181" s="13" t="str">
        <f>HYPERLINK(AC2 &amp; "/hammer/sn_f3e157e6a851762aeb198591fb4499f4/rendering/06.xyz", "0.0")</f>
        <v>0.0</v>
      </c>
      <c r="J1181" s="13" t="str">
        <f>HYPERLINK(AC2 &amp; "/hammer/sn_f3e157e6a851762aeb198591fb4499f4/rendering/07.xyz", "0.0")</f>
        <v>0.0</v>
      </c>
      <c r="K1181" s="13" t="str">
        <f>HYPERLINK(AC2 &amp; "/hammer/sn_f3e157e6a851762aeb198591fb4499f4/rendering/08.xyz", "0.0")</f>
        <v>0.0</v>
      </c>
      <c r="L1181" s="13" t="str">
        <f>HYPERLINK(AC2 &amp; "/hammer/sn_f3e157e6a851762aeb198591fb4499f4/rendering/09.xyz", "0.0")</f>
        <v>0.0</v>
      </c>
      <c r="M1181" s="13" t="str">
        <f>HYPERLINK(AC2 &amp; "/hammer/sn_f3e157e6a851762aeb198591fb4499f4/rendering/10.xyz", "0.0")</f>
        <v>0.0</v>
      </c>
      <c r="N1181" s="13" t="str">
        <f>HYPERLINK(AC2 &amp; "/hammer/sn_f3e157e6a851762aeb198591fb4499f4/rendering/11.xyz", "0.0")</f>
        <v>0.0</v>
      </c>
      <c r="O1181" s="13" t="str">
        <f>HYPERLINK(AC2 &amp; "/hammer/sn_f3e157e6a851762aeb198591fb4499f4/rendering/12.xyz", "0.0")</f>
        <v>0.0</v>
      </c>
      <c r="P1181" s="13" t="str">
        <f>HYPERLINK(AC2 &amp; "/hammer/sn_f3e157e6a851762aeb198591fb4499f4/rendering/13.xyz", "0.0")</f>
        <v>0.0</v>
      </c>
      <c r="Q1181" s="13" t="str">
        <f>HYPERLINK(AC2 &amp; "/hammer/sn_f3e157e6a851762aeb198591fb4499f4/rendering/14.xyz", "0.0")</f>
        <v>0.0</v>
      </c>
      <c r="R1181" s="13" t="str">
        <f>HYPERLINK(AC2 &amp; "/hammer/sn_f3e157e6a851762aeb198591fb4499f4/rendering/15.xyz", "0.0")</f>
        <v>0.0</v>
      </c>
      <c r="S1181" s="13" t="str">
        <f>HYPERLINK(AC2 &amp; "/hammer/sn_f3e157e6a851762aeb198591fb4499f4/rendering/16.xyz", "0.0")</f>
        <v>0.0</v>
      </c>
      <c r="T1181" s="13" t="str">
        <f>HYPERLINK(AC2 &amp; "/hammer/sn_f3e157e6a851762aeb198591fb4499f4/rendering/17.xyz", "0.0")</f>
        <v>0.0</v>
      </c>
      <c r="U1181" s="13" t="str">
        <f>HYPERLINK(AC2 &amp; "/hammer/sn_f3e157e6a851762aeb198591fb4499f4/rendering/18.xyz", "0.0")</f>
        <v>0.0</v>
      </c>
      <c r="V1181" s="13" t="str">
        <f>HYPERLINK(AC2 &amp; "/hammer/sn_f3e157e6a851762aeb198591fb4499f4/rendering/19.xyz", "0.0")</f>
        <v>0.0</v>
      </c>
      <c r="W1181" s="12" t="s">
        <v>33</v>
      </c>
      <c r="X1181" s="13">
        <v>0</v>
      </c>
      <c r="Y1181" s="13">
        <v>0</v>
      </c>
      <c r="Z1181" s="13">
        <v>0</v>
      </c>
    </row>
    <row r="1182" spans="1:26" x14ac:dyDescent="0.2">
      <c r="A1182" s="1">
        <v>1180</v>
      </c>
      <c r="B1182" s="2" t="s">
        <v>269</v>
      </c>
      <c r="C1182" s="133" t="str">
        <f>HYPERLINK(AA2 &amp; "/hammer/sn_f4c96754d0166a90e17a92db76503e44/rendering/00.obj", "11.9550134277")</f>
        <v>11.9550134277</v>
      </c>
      <c r="D1182" s="94" t="str">
        <f>HYPERLINK(AA2 &amp; "/hammer/sn_f4c96754d0166a90e17a92db76503e44/rendering/01.obj", "12.2981213379")</f>
        <v>12.2981213379</v>
      </c>
      <c r="E1182" s="50" t="str">
        <f>HYPERLINK(AA2 &amp; "/hammer/sn_f4c96754d0166a90e17a92db76503e44/rendering/02.obj", "10.6457495117")</f>
        <v>10.6457495117</v>
      </c>
      <c r="F1182" s="33" t="str">
        <f>HYPERLINK(AA2 &amp; "/hammer/sn_f4c96754d0166a90e17a92db76503e44/rendering/03.obj", "11.8702050781")</f>
        <v>11.8702050781</v>
      </c>
      <c r="G1182" s="68" t="str">
        <f>HYPERLINK(AA2 &amp; "/hammer/sn_f4c96754d0166a90e17a92db76503e44/rendering/04.obj", "12.7511962891")</f>
        <v>12.7511962891</v>
      </c>
      <c r="H1182" s="101" t="str">
        <f>HYPERLINK(AA2 &amp; "/hammer/sn_f4c96754d0166a90e17a92db76503e44/rendering/05.obj", "18.3398583984")</f>
        <v>18.3398583984</v>
      </c>
      <c r="I1182" s="193" t="str">
        <f>HYPERLINK(AA2 &amp; "/hammer/sn_f4c96754d0166a90e17a92db76503e44/rendering/06.obj", "8.89603393555")</f>
        <v>8.89603393555</v>
      </c>
      <c r="J1182" s="68" t="str">
        <f>HYPERLINK(AA2 &amp; "/hammer/sn_f4c96754d0166a90e17a92db76503e44/rendering/07.obj", "13.874810791")</f>
        <v>13.874810791</v>
      </c>
      <c r="K1182" s="52" t="str">
        <f>HYPERLINK(AA2 &amp; "/hammer/sn_f4c96754d0166a90e17a92db76503e44/rendering/08.obj", "18.5996936035")</f>
        <v>18.5996936035</v>
      </c>
      <c r="L1182" s="77" t="str">
        <f>HYPERLINK(AA2 &amp; "/hammer/sn_f4c96754d0166a90e17a92db76503e44/rendering/09.obj", "15.7792834473")</f>
        <v>15.7792834473</v>
      </c>
      <c r="M1182" s="91" t="str">
        <f>HYPERLINK(AA2 &amp; "/hammer/sn_f4c96754d0166a90e17a92db76503e44/rendering/10.obj", "13.6424731445")</f>
        <v>13.6424731445</v>
      </c>
      <c r="N1182" s="99" t="str">
        <f>HYPERLINK(AA2 &amp; "/hammer/sn_f4c96754d0166a90e17a92db76503e44/rendering/11.obj", "16.9205432129")</f>
        <v>16.9205432129</v>
      </c>
      <c r="O1182" s="120" t="str">
        <f>HYPERLINK(AA2 &amp; "/hammer/sn_f4c96754d0166a90e17a92db76503e44/rendering/12.obj", "16.0976525879")</f>
        <v>16.0976525879</v>
      </c>
      <c r="P1182" s="78" t="str">
        <f>HYPERLINK(AA2 &amp; "/hammer/sn_f4c96754d0166a90e17a92db76503e44/rendering/13.obj", "14.0995922852")</f>
        <v>14.0995922852</v>
      </c>
      <c r="Q1182" s="71" t="str">
        <f>HYPERLINK(AA2 &amp; "/hammer/sn_f4c96754d0166a90e17a92db76503e44/rendering/14.obj", "11.7481713867")</f>
        <v>11.7481713867</v>
      </c>
      <c r="R1182" s="143" t="str">
        <f>HYPERLINK(AA2 &amp; "/hammer/sn_f4c96754d0166a90e17a92db76503e44/rendering/15.obj", "7.01967773438")</f>
        <v>7.01967773438</v>
      </c>
      <c r="S1182" s="63" t="str">
        <f>HYPERLINK(AA2 &amp; "/hammer/sn_f4c96754d0166a90e17a92db76503e44/rendering/16.obj", "11.6991430664")</f>
        <v>11.6991430664</v>
      </c>
      <c r="T1182" s="117" t="str">
        <f>HYPERLINK(AA2 &amp; "/hammer/sn_f4c96754d0166a90e17a92db76503e44/rendering/17.obj", "15.673515625")</f>
        <v>15.673515625</v>
      </c>
      <c r="U1182" s="135" t="str">
        <f>HYPERLINK(AA2 &amp; "/hammer/sn_f4c96754d0166a90e17a92db76503e44/rendering/18.obj", "16.7159741211")</f>
        <v>16.7159741211</v>
      </c>
      <c r="V1182" s="156" t="str">
        <f>HYPERLINK(AA2 &amp; "/hammer/sn_f4c96754d0166a90e17a92db76503e44/rendering/19.obj", "7.35061340332")</f>
        <v>7.35061340332</v>
      </c>
      <c r="W1182" s="12" t="s">
        <v>29</v>
      </c>
      <c r="X1182" s="13">
        <v>13.298866119384771</v>
      </c>
      <c r="Y1182" s="13">
        <v>3.243186802246758</v>
      </c>
      <c r="Z1182" s="58">
        <v>0.24386942263591979</v>
      </c>
    </row>
    <row r="1183" spans="1:26" x14ac:dyDescent="0.2">
      <c r="A1183" s="1">
        <v>1181</v>
      </c>
      <c r="B1183" s="2" t="s">
        <v>269</v>
      </c>
      <c r="C1183" s="86" t="str">
        <f>HYPERLINK(AA2 &amp; "/hammer/sn_f4c96754d0166a90e17a92db76503e44/rendering/00.obj", "32.1963691711")</f>
        <v>32.1963691711</v>
      </c>
      <c r="D1183" s="107" t="str">
        <f>HYPERLINK(AA2 &amp; "/hammer/sn_f4c96754d0166a90e17a92db76503e44/rendering/01.obj", "47.6480331421")</f>
        <v>47.6480331421</v>
      </c>
      <c r="E1183" s="159" t="str">
        <f>HYPERLINK(AA2 &amp; "/hammer/sn_f4c96754d0166a90e17a92db76503e44/rendering/02.obj", "23.4464588165")</f>
        <v>23.4464588165</v>
      </c>
      <c r="F1183" s="81" t="str">
        <f>HYPERLINK(AA2 &amp; "/hammer/sn_f4c96754d0166a90e17a92db76503e44/rendering/03.obj", "34.4876060486")</f>
        <v>34.4876060486</v>
      </c>
      <c r="G1183" s="51" t="str">
        <f>HYPERLINK(AA2 &amp; "/hammer/sn_f4c96754d0166a90e17a92db76503e44/rendering/04.obj", "40.4825134277")</f>
        <v>40.4825134277</v>
      </c>
      <c r="H1183" s="66" t="str">
        <f>HYPERLINK(AA2 &amp; "/hammer/sn_f4c96754d0166a90e17a92db76503e44/rendering/05.obj", "51.1442832947")</f>
        <v>51.1442832947</v>
      </c>
      <c r="I1183" s="223" t="str">
        <f>HYPERLINK(AA2 &amp; "/hammer/sn_f4c96754d0166a90e17a92db76503e44/rendering/06.obj", "19.3122310638")</f>
        <v>19.3122310638</v>
      </c>
      <c r="J1183" s="129" t="str">
        <f>HYPERLINK(AA2 &amp; "/hammer/sn_f4c96754d0166a90e17a92db76503e44/rendering/07.obj", "54.9899482727")</f>
        <v>54.9899482727</v>
      </c>
      <c r="K1183" s="20" t="str">
        <f>HYPERLINK(AA2 &amp; "/hammer/sn_f4c96754d0166a90e17a92db76503e44/rendering/08.obj", "90.666267395")</f>
        <v>90.666267395</v>
      </c>
      <c r="L1183" s="66" t="str">
        <f>HYPERLINK(AA2 &amp; "/hammer/sn_f4c96754d0166a90e17a92db76503e44/rendering/09.obj", "51.1561584473")</f>
        <v>51.1561584473</v>
      </c>
      <c r="M1183" s="117" t="str">
        <f>HYPERLINK(AA2 &amp; "/hammer/sn_f4c96754d0166a90e17a92db76503e44/rendering/10.obj", "36.2074966431")</f>
        <v>36.2074966431</v>
      </c>
      <c r="N1183" s="67" t="str">
        <f>HYPERLINK(AA2 &amp; "/hammer/sn_f4c96754d0166a90e17a92db76503e44/rendering/11.obj", "48.0580215454")</f>
        <v>48.0580215454</v>
      </c>
      <c r="O1183" s="40" t="str">
        <f>HYPERLINK(AA2 &amp; "/hammer/sn_f4c96754d0166a90e17a92db76503e44/rendering/12.obj", "51.5356292725")</f>
        <v>51.5356292725</v>
      </c>
      <c r="P1183" s="20" t="str">
        <f>HYPERLINK(AA2 &amp; "/hammer/sn_f4c96754d0166a90e17a92db76503e44/rendering/13.obj", "79.461555481")</f>
        <v>79.461555481</v>
      </c>
      <c r="Q1183" s="8" t="str">
        <f>HYPERLINK(AA2 &amp; "/hammer/sn_f4c96754d0166a90e17a92db76503e44/rendering/14.obj", "50.2992362976")</f>
        <v>50.2992362976</v>
      </c>
      <c r="R1183" s="255" t="str">
        <f>HYPERLINK(AA2 &amp; "/hammer/sn_f4c96754d0166a90e17a92db76503e44/rendering/15.obj", "12.1665725708")</f>
        <v>12.1665725708</v>
      </c>
      <c r="S1183" s="67" t="str">
        <f>HYPERLINK(AA2 &amp; "/hammer/sn_f4c96754d0166a90e17a92db76503e44/rendering/16.obj", "40.0065231323")</f>
        <v>40.0065231323</v>
      </c>
      <c r="T1183" s="63" t="str">
        <f>HYPERLINK(AA2 &amp; "/hammer/sn_f4c96754d0166a90e17a92db76503e44/rendering/17.obj", "38.767868042")</f>
        <v>38.767868042</v>
      </c>
      <c r="U1183" s="147" t="str">
        <f>HYPERLINK(AA2 &amp; "/hammer/sn_f4c96754d0166a90e17a92db76503e44/rendering/18.obj", "65.5178756714")</f>
        <v>65.5178756714</v>
      </c>
      <c r="V1183" s="233" t="str">
        <f>HYPERLINK(AA2 &amp; "/hammer/sn_f4c96754d0166a90e17a92db76503e44/rendering/19.obj", "13.1912746429")</f>
        <v>13.1912746429</v>
      </c>
      <c r="W1183" s="12" t="s">
        <v>30</v>
      </c>
      <c r="X1183" s="13">
        <v>44.037096118927003</v>
      </c>
      <c r="Y1183" s="13">
        <v>19.478494390884379</v>
      </c>
      <c r="Z1183" s="163">
        <v>0.44232013705628032</v>
      </c>
    </row>
    <row r="1184" spans="1:26" x14ac:dyDescent="0.2">
      <c r="A1184" s="1">
        <v>1182</v>
      </c>
      <c r="B1184" s="2" t="s">
        <v>269</v>
      </c>
      <c r="C1184" s="175" t="str">
        <f>HYPERLINK(AB2 &amp; "/hammer/sn_f4c96754d0166a90e17a92db76503e44/rendering/00.obj", "5.51126525879")</f>
        <v>5.51126525879</v>
      </c>
      <c r="D1184" s="93" t="str">
        <f>HYPERLINK(AB2 &amp; "/hammer/sn_f4c96754d0166a90e17a92db76503e44/rendering/01.obj", "6.19266357422")</f>
        <v>6.19266357422</v>
      </c>
      <c r="E1184" s="41" t="str">
        <f>HYPERLINK(AB2 &amp; "/hammer/sn_f4c96754d0166a90e17a92db76503e44/rendering/02.obj", "6.71307006836")</f>
        <v>6.71307006836</v>
      </c>
      <c r="F1184" s="113" t="str">
        <f>HYPERLINK(AB2 &amp; "/hammer/sn_f4c96754d0166a90e17a92db76503e44/rendering/03.obj", "5.22955932617")</f>
        <v>5.22955932617</v>
      </c>
      <c r="G1184" s="34" t="str">
        <f>HYPERLINK(AB2 &amp; "/hammer/sn_f4c96754d0166a90e17a92db76503e44/rendering/04.obj", "6.85116271973")</f>
        <v>6.85116271973</v>
      </c>
      <c r="H1184" s="67" t="str">
        <f>HYPERLINK(AB2 &amp; "/hammer/sn_f4c96754d0166a90e17a92db76503e44/rendering/05.obj", "6.53534729004")</f>
        <v>6.53534729004</v>
      </c>
      <c r="I1184" s="13" t="str">
        <f>HYPERLINK(AB2 &amp; "/hammer/sn_f4c96754d0166a90e17a92db76503e44/rendering/06.obj", "7.19685791016")</f>
        <v>7.19685791016</v>
      </c>
      <c r="J1184" s="25" t="str">
        <f>HYPERLINK(AB2 &amp; "/hammer/sn_f4c96754d0166a90e17a92db76503e44/rendering/07.obj", "7.11404785156")</f>
        <v>7.11404785156</v>
      </c>
      <c r="K1184" s="107" t="str">
        <f>HYPERLINK(AB2 &amp; "/hammer/sn_f4c96754d0166a90e17a92db76503e44/rendering/08.obj", "7.80338256836")</f>
        <v>7.80338256836</v>
      </c>
      <c r="L1184" s="37" t="str">
        <f>HYPERLINK(AB2 &amp; "/hammer/sn_f4c96754d0166a90e17a92db76503e44/rendering/09.obj", "8.44759521484")</f>
        <v>8.44759521484</v>
      </c>
      <c r="M1184" s="80" t="str">
        <f>HYPERLINK(AB2 &amp; "/hammer/sn_f4c96754d0166a90e17a92db76503e44/rendering/10.obj", "8.26907348633")</f>
        <v>8.26907348633</v>
      </c>
      <c r="N1184" s="33" t="str">
        <f>HYPERLINK(AB2 &amp; "/hammer/sn_f4c96754d0166a90e17a92db76503e44/rendering/11.obj", "7.9753112793")</f>
        <v>7.9753112793</v>
      </c>
      <c r="O1184" s="10" t="str">
        <f>HYPERLINK(AB2 &amp; "/hammer/sn_f4c96754d0166a90e17a92db76503e44/rendering/12.obj", "6.79638916016")</f>
        <v>6.79638916016</v>
      </c>
      <c r="P1184" s="84" t="str">
        <f>HYPERLINK(AB2 &amp; "/hammer/sn_f4c96754d0166a90e17a92db76503e44/rendering/13.obj", "6.15038574219")</f>
        <v>6.15038574219</v>
      </c>
      <c r="Q1184" s="168" t="str">
        <f>HYPERLINK(AB2 &amp; "/hammer/sn_f4c96754d0166a90e17a92db76503e44/rendering/14.obj", "9.52866943359")</f>
        <v>9.52866943359</v>
      </c>
      <c r="R1184" s="51" t="str">
        <f>HYPERLINK(AB2 &amp; "/hammer/sn_f4c96754d0166a90e17a92db76503e44/rendering/15.obj", "7.78123779297")</f>
        <v>7.78123779297</v>
      </c>
      <c r="S1184" s="8" t="str">
        <f>HYPERLINK(AB2 &amp; "/hammer/sn_f4c96754d0166a90e17a92db76503e44/rendering/16.obj", "6.17078796387")</f>
        <v>6.17078796387</v>
      </c>
      <c r="T1184" s="6" t="str">
        <f>HYPERLINK(AB2 &amp; "/hammer/sn_f4c96754d0166a90e17a92db76503e44/rendering/17.obj", "7.53782836914")</f>
        <v>7.53782836914</v>
      </c>
      <c r="U1184" s="79" t="str">
        <f>HYPERLINK(AB2 &amp; "/hammer/sn_f4c96754d0166a90e17a92db76503e44/rendering/18.obj", "8.34615234375")</f>
        <v>8.34615234375</v>
      </c>
      <c r="V1184" s="110" t="str">
        <f>HYPERLINK(AB2 &amp; "/hammer/sn_f4c96754d0166a90e17a92db76503e44/rendering/19.obj", "7.90695068359")</f>
        <v>7.90695068359</v>
      </c>
      <c r="W1184" s="12" t="s">
        <v>31</v>
      </c>
      <c r="X1184" s="13">
        <v>7.2028869018554689</v>
      </c>
      <c r="Y1184" s="13">
        <v>1.0543609669898151</v>
      </c>
      <c r="Z1184" s="84">
        <v>0.1463803307418601</v>
      </c>
    </row>
    <row r="1185" spans="1:26" x14ac:dyDescent="0.2">
      <c r="A1185" s="1">
        <v>1183</v>
      </c>
      <c r="B1185" s="2" t="s">
        <v>269</v>
      </c>
      <c r="C1185" s="153" t="str">
        <f>HYPERLINK(AB2 &amp; "/hammer/sn_f4c96754d0166a90e17a92db76503e44/rendering/00.obj", "7.32128000259")</f>
        <v>7.32128000259</v>
      </c>
      <c r="D1185" s="133" t="str">
        <f>HYPERLINK(AB2 &amp; "/hammer/sn_f4c96754d0166a90e17a92db76503e44/rendering/01.obj", "10.2219591141")</f>
        <v>10.2219591141</v>
      </c>
      <c r="E1185" s="59" t="str">
        <f>HYPERLINK(AB2 &amp; "/hammer/sn_f4c96754d0166a90e17a92db76503e44/rendering/02.obj", "8.65430641174")</f>
        <v>8.65430641174</v>
      </c>
      <c r="F1185" s="230" t="str">
        <f>HYPERLINK(AB2 &amp; "/hammer/sn_f4c96754d0166a90e17a92db76503e44/rendering/03.obj", "6.17994070053")</f>
        <v>6.17994070053</v>
      </c>
      <c r="G1185" s="89" t="str">
        <f>HYPERLINK(AB2 &amp; "/hammer/sn_f4c96754d0166a90e17a92db76503e44/rendering/04.obj", "8.42740535736")</f>
        <v>8.42740535736</v>
      </c>
      <c r="H1185" s="25" t="str">
        <f>HYPERLINK(AB2 &amp; "/hammer/sn_f4c96754d0166a90e17a92db76503e44/rendering/05.obj", "11.2683925629")</f>
        <v>11.2683925629</v>
      </c>
      <c r="I1185" s="68" t="str">
        <f>HYPERLINK(AB2 &amp; "/hammer/sn_f4c96754d0166a90e17a92db76503e44/rendering/06.obj", "11.8843278885")</f>
        <v>11.8843278885</v>
      </c>
      <c r="J1185" s="73" t="str">
        <f>HYPERLINK(AB2 &amp; "/hammer/sn_f4c96754d0166a90e17a92db76503e44/rendering/07.obj", "10.9675111771")</f>
        <v>10.9675111771</v>
      </c>
      <c r="K1185" s="46" t="str">
        <f>HYPERLINK(AB2 &amp; "/hammer/sn_f4c96754d0166a90e17a92db76503e44/rendering/08.obj", "11.5749521255")</f>
        <v>11.5749521255</v>
      </c>
      <c r="L1185" s="222" t="str">
        <f>HYPERLINK(AB2 &amp; "/hammer/sn_f4c96754d0166a90e17a92db76503e44/rendering/09.obj", "19.9250221252")</f>
        <v>19.9250221252</v>
      </c>
      <c r="M1185" s="221" t="str">
        <f>HYPERLINK(AB2 &amp; "/hammer/sn_f4c96754d0166a90e17a92db76503e44/rendering/10.obj", "17.7260074615")</f>
        <v>17.7260074615</v>
      </c>
      <c r="N1185" s="105" t="str">
        <f>HYPERLINK(AB2 &amp; "/hammer/sn_f4c96754d0166a90e17a92db76503e44/rendering/11.obj", "17.2159366608")</f>
        <v>17.2159366608</v>
      </c>
      <c r="O1185" s="11" t="str">
        <f>HYPERLINK(AB2 &amp; "/hammer/sn_f4c96754d0166a90e17a92db76503e44/rendering/12.obj", "8.83085346222")</f>
        <v>8.83085346222</v>
      </c>
      <c r="P1185" s="82" t="str">
        <f>HYPERLINK(AB2 &amp; "/hammer/sn_f4c96754d0166a90e17a92db76503e44/rendering/13.obj", "9.06492710114")</f>
        <v>9.06492710114</v>
      </c>
      <c r="Q1185" s="21" t="str">
        <f>HYPERLINK(AB2 &amp; "/hammer/sn_f4c96754d0166a90e17a92db76503e44/rendering/14.obj", "17.7144069672")</f>
        <v>17.7144069672</v>
      </c>
      <c r="R1185" s="11" t="str">
        <f>HYPERLINK(AB2 &amp; "/hammer/sn_f4c96754d0166a90e17a92db76503e44/rendering/15.obj", "8.83022499084")</f>
        <v>8.83022499084</v>
      </c>
      <c r="S1185" s="38" t="str">
        <f>HYPERLINK(AB2 &amp; "/hammer/sn_f4c96754d0166a90e17a92db76503e44/rendering/16.obj", "10.357843399")</f>
        <v>10.357843399</v>
      </c>
      <c r="T1185" s="10" t="str">
        <f>HYPERLINK(AB2 &amp; "/hammer/sn_f4c96754d0166a90e17a92db76503e44/rendering/17.obj", "12.0028781891")</f>
        <v>12.0028781891</v>
      </c>
      <c r="U1185" s="78" t="str">
        <f>HYPERLINK(AB2 &amp; "/hammer/sn_f4c96754d0166a90e17a92db76503e44/rendering/18.obj", "10.6851921082")</f>
        <v>10.6851921082</v>
      </c>
      <c r="V1185" s="36" t="str">
        <f>HYPERLINK(AB2 &amp; "/hammer/sn_f4c96754d0166a90e17a92db76503e44/rendering/19.obj", "8.94480133057")</f>
        <v>8.94480133057</v>
      </c>
      <c r="W1185" s="12" t="s">
        <v>32</v>
      </c>
      <c r="X1185" s="13">
        <v>11.38990845680237</v>
      </c>
      <c r="Y1185" s="13">
        <v>3.709123710613659</v>
      </c>
      <c r="Z1185" s="103">
        <v>0.32565000190132942</v>
      </c>
    </row>
    <row r="1186" spans="1:26" x14ac:dyDescent="0.2">
      <c r="A1186" s="1">
        <v>1184</v>
      </c>
      <c r="B1186" s="2" t="s">
        <v>269</v>
      </c>
      <c r="C1186" s="13" t="str">
        <f>HYPERLINK(AC2 &amp; "/hammer/sn_f4c96754d0166a90e17a92db76503e44/rendering/00.xyz", "0.0")</f>
        <v>0.0</v>
      </c>
      <c r="D1186" s="13" t="str">
        <f>HYPERLINK(AC2 &amp; "/hammer/sn_f4c96754d0166a90e17a92db76503e44/rendering/01.xyz", "0.0")</f>
        <v>0.0</v>
      </c>
      <c r="E1186" s="13" t="str">
        <f>HYPERLINK(AC2 &amp; "/hammer/sn_f4c96754d0166a90e17a92db76503e44/rendering/02.xyz", "0.0")</f>
        <v>0.0</v>
      </c>
      <c r="F1186" s="13" t="str">
        <f>HYPERLINK(AC2 &amp; "/hammer/sn_f4c96754d0166a90e17a92db76503e44/rendering/03.xyz", "0.0")</f>
        <v>0.0</v>
      </c>
      <c r="G1186" s="13" t="str">
        <f>HYPERLINK(AC2 &amp; "/hammer/sn_f4c96754d0166a90e17a92db76503e44/rendering/04.xyz", "0.0")</f>
        <v>0.0</v>
      </c>
      <c r="H1186" s="13" t="str">
        <f>HYPERLINK(AC2 &amp; "/hammer/sn_f4c96754d0166a90e17a92db76503e44/rendering/05.xyz", "0.0")</f>
        <v>0.0</v>
      </c>
      <c r="I1186" s="13" t="str">
        <f>HYPERLINK(AC2 &amp; "/hammer/sn_f4c96754d0166a90e17a92db76503e44/rendering/06.xyz", "0.0")</f>
        <v>0.0</v>
      </c>
      <c r="J1186" s="13" t="str">
        <f>HYPERLINK(AC2 &amp; "/hammer/sn_f4c96754d0166a90e17a92db76503e44/rendering/07.xyz", "0.0")</f>
        <v>0.0</v>
      </c>
      <c r="K1186" s="13" t="str">
        <f>HYPERLINK(AC2 &amp; "/hammer/sn_f4c96754d0166a90e17a92db76503e44/rendering/08.xyz", "0.0")</f>
        <v>0.0</v>
      </c>
      <c r="L1186" s="13" t="str">
        <f>HYPERLINK(AC2 &amp; "/hammer/sn_f4c96754d0166a90e17a92db76503e44/rendering/09.xyz", "0.0")</f>
        <v>0.0</v>
      </c>
      <c r="M1186" s="13" t="str">
        <f>HYPERLINK(AC2 &amp; "/hammer/sn_f4c96754d0166a90e17a92db76503e44/rendering/10.xyz", "0.0")</f>
        <v>0.0</v>
      </c>
      <c r="N1186" s="13" t="str">
        <f>HYPERLINK(AC2 &amp; "/hammer/sn_f4c96754d0166a90e17a92db76503e44/rendering/11.xyz", "0.0")</f>
        <v>0.0</v>
      </c>
      <c r="O1186" s="13" t="str">
        <f>HYPERLINK(AC2 &amp; "/hammer/sn_f4c96754d0166a90e17a92db76503e44/rendering/12.xyz", "0.0")</f>
        <v>0.0</v>
      </c>
      <c r="P1186" s="13" t="str">
        <f>HYPERLINK(AC2 &amp; "/hammer/sn_f4c96754d0166a90e17a92db76503e44/rendering/13.xyz", "0.0")</f>
        <v>0.0</v>
      </c>
      <c r="Q1186" s="13" t="str">
        <f>HYPERLINK(AC2 &amp; "/hammer/sn_f4c96754d0166a90e17a92db76503e44/rendering/14.xyz", "0.0")</f>
        <v>0.0</v>
      </c>
      <c r="R1186" s="13" t="str">
        <f>HYPERLINK(AC2 &amp; "/hammer/sn_f4c96754d0166a90e17a92db76503e44/rendering/15.xyz", "0.0")</f>
        <v>0.0</v>
      </c>
      <c r="S1186" s="13" t="str">
        <f>HYPERLINK(AC2 &amp; "/hammer/sn_f4c96754d0166a90e17a92db76503e44/rendering/16.xyz", "0.0")</f>
        <v>0.0</v>
      </c>
      <c r="T1186" s="13" t="str">
        <f>HYPERLINK(AC2 &amp; "/hammer/sn_f4c96754d0166a90e17a92db76503e44/rendering/17.xyz", "0.0")</f>
        <v>0.0</v>
      </c>
      <c r="U1186" s="13" t="str">
        <f>HYPERLINK(AC2 &amp; "/hammer/sn_f4c96754d0166a90e17a92db76503e44/rendering/18.xyz", "0.0")</f>
        <v>0.0</v>
      </c>
      <c r="V1186" s="13" t="str">
        <f>HYPERLINK(AC2 &amp; "/hammer/sn_f4c96754d0166a90e17a92db76503e44/rendering/19.xyz", "0.0")</f>
        <v>0.0</v>
      </c>
      <c r="W1186" s="12" t="s">
        <v>33</v>
      </c>
      <c r="X1186" s="13">
        <v>0</v>
      </c>
      <c r="Y1186" s="13">
        <v>0</v>
      </c>
      <c r="Z1186" s="13">
        <v>0</v>
      </c>
    </row>
    <row r="1187" spans="1:26" x14ac:dyDescent="0.2">
      <c r="A1187" s="1">
        <v>1185</v>
      </c>
      <c r="B1187" s="2" t="s">
        <v>270</v>
      </c>
      <c r="C1187" s="82" t="str">
        <f>HYPERLINK(AA2 &amp; "/hammer/sn_f54171f55ced7f553f7c6295b60afd1b/rendering/00.obj", "7.03705810547")</f>
        <v>7.03705810547</v>
      </c>
      <c r="D1187" s="103" t="str">
        <f>HYPERLINK(AA2 &amp; "/hammer/sn_f54171f55ced7f553f7c6295b60afd1b/rendering/01.obj", "7.7321496582")</f>
        <v>7.7321496582</v>
      </c>
      <c r="E1187" s="41" t="str">
        <f>HYPERLINK(AA2 &amp; "/hammer/sn_f54171f55ced7f553f7c6295b60afd1b/rendering/02.obj", "5.44940856934")</f>
        <v>5.44940856934</v>
      </c>
      <c r="F1187" s="67" t="str">
        <f>HYPERLINK(AA2 &amp; "/hammer/sn_f54171f55ced7f553f7c6295b60afd1b/rendering/03.obj", "6.38752258301")</f>
        <v>6.38752258301</v>
      </c>
      <c r="G1187" s="10" t="str">
        <f>HYPERLINK(AA2 &amp; "/hammer/sn_f54171f55ced7f553f7c6295b60afd1b/rendering/04.obj", "6.15115600586")</f>
        <v>6.15115600586</v>
      </c>
      <c r="H1187" s="42" t="str">
        <f>HYPERLINK(AA2 &amp; "/hammer/sn_f54171f55ced7f553f7c6295b60afd1b/rendering/05.obj", "6.63223876953")</f>
        <v>6.63223876953</v>
      </c>
      <c r="I1187" s="38" t="str">
        <f>HYPERLINK(AA2 &amp; "/hammer/sn_f54171f55ced7f553f7c6295b60afd1b/rendering/06.obj", "5.32547363281")</f>
        <v>5.32547363281</v>
      </c>
      <c r="J1187" s="69" t="str">
        <f>HYPERLINK(AA2 &amp; "/hammer/sn_f54171f55ced7f553f7c6295b60afd1b/rendering/07.obj", "6.00744384766")</f>
        <v>6.00744384766</v>
      </c>
      <c r="K1187" s="71" t="str">
        <f>HYPERLINK(AA2 &amp; "/hammer/sn_f54171f55ced7f553f7c6295b60afd1b/rendering/08.obj", "5.15594238281")</f>
        <v>5.15594238281</v>
      </c>
      <c r="L1187" s="33" t="str">
        <f>HYPERLINK(AA2 &amp; "/hammer/sn_f54171f55ced7f553f7c6295b60afd1b/rendering/09.obj", "5.21045166016")</f>
        <v>5.21045166016</v>
      </c>
      <c r="M1187" s="23" t="str">
        <f>HYPERLINK(AA2 &amp; "/hammer/sn_f54171f55ced7f553f7c6295b60afd1b/rendering/10.obj", "6.06945495605")</f>
        <v>6.06945495605</v>
      </c>
      <c r="N1187" s="122" t="str">
        <f>HYPERLINK(AA2 &amp; "/hammer/sn_f54171f55ced7f553f7c6295b60afd1b/rendering/11.obj", "8.19590820313")</f>
        <v>8.19590820313</v>
      </c>
      <c r="O1187" s="69" t="str">
        <f>HYPERLINK(AA2 &amp; "/hammer/sn_f54171f55ced7f553f7c6295b60afd1b/rendering/12.obj", "5.66709655762")</f>
        <v>5.66709655762</v>
      </c>
      <c r="P1187" s="28" t="str">
        <f>HYPERLINK(AA2 &amp; "/hammer/sn_f54171f55ced7f553f7c6295b60afd1b/rendering/13.obj", "5.18659606934")</f>
        <v>5.18659606934</v>
      </c>
      <c r="Q1187" s="11" t="str">
        <f>HYPERLINK(AA2 &amp; "/hammer/sn_f54171f55ced7f553f7c6295b60afd1b/rendering/14.obj", "4.53003112793")</f>
        <v>4.53003112793</v>
      </c>
      <c r="R1187" s="41" t="str">
        <f>HYPERLINK(AA2 &amp; "/hammer/sn_f54171f55ced7f553f7c6295b60afd1b/rendering/15.obj", "5.44126953125")</f>
        <v>5.44126953125</v>
      </c>
      <c r="S1187" s="70" t="str">
        <f>HYPERLINK(AA2 &amp; "/hammer/sn_f54171f55ced7f553f7c6295b60afd1b/rendering/16.obj", "5.10325195313")</f>
        <v>5.10325195313</v>
      </c>
      <c r="T1187" s="90" t="str">
        <f>HYPERLINK(AA2 &amp; "/hammer/sn_f54171f55ced7f553f7c6295b60afd1b/rendering/17.obj", "5.27785888672")</f>
        <v>5.27785888672</v>
      </c>
      <c r="U1187" s="94" t="str">
        <f>HYPERLINK(AA2 &amp; "/hammer/sn_f54171f55ced7f553f7c6295b60afd1b/rendering/18.obj", "5.41582275391")</f>
        <v>5.41582275391</v>
      </c>
      <c r="V1187" s="117" t="str">
        <f>HYPERLINK(AA2 &amp; "/hammer/sn_f54171f55ced7f553f7c6295b60afd1b/rendering/19.obj", "4.79499328613")</f>
        <v>4.79499328613</v>
      </c>
      <c r="W1187" s="12" t="s">
        <v>29</v>
      </c>
      <c r="X1187" s="13">
        <v>5.8385564270019534</v>
      </c>
      <c r="Y1187" s="13">
        <v>0.93307384337265686</v>
      </c>
      <c r="Z1187" s="79">
        <v>0.15981242196399939</v>
      </c>
    </row>
    <row r="1188" spans="1:26" x14ac:dyDescent="0.2">
      <c r="A1188" s="1">
        <v>1186</v>
      </c>
      <c r="B1188" s="2" t="s">
        <v>270</v>
      </c>
      <c r="C1188" s="103" t="str">
        <f>HYPERLINK(AA2 &amp; "/hammer/sn_f54171f55ced7f553f7c6295b60afd1b/rendering/00.obj", "3.78771328926")</f>
        <v>3.78771328926</v>
      </c>
      <c r="D1188" s="215" t="str">
        <f>HYPERLINK(AA2 &amp; "/hammer/sn_f54171f55ced7f553f7c6295b60afd1b/rendering/01.obj", "4.77554941177")</f>
        <v>4.77554941177</v>
      </c>
      <c r="E1188" s="52" t="str">
        <f>HYPERLINK(AA2 &amp; "/hammer/sn_f54171f55ced7f553f7c6295b60afd1b/rendering/02.obj", "1.7211805582")</f>
        <v>1.7211805582</v>
      </c>
      <c r="F1188" s="65" t="str">
        <f>HYPERLINK(AA2 &amp; "/hammer/sn_f54171f55ced7f553f7c6295b60afd1b/rendering/03.obj", "2.48040533066")</f>
        <v>2.48040533066</v>
      </c>
      <c r="G1188" s="193" t="str">
        <f>HYPERLINK(AA2 &amp; "/hammer/sn_f54171f55ced7f553f7c6295b60afd1b/rendering/04.obj", "3.80612707138")</f>
        <v>3.80612707138</v>
      </c>
      <c r="H1188" s="72" t="str">
        <f>HYPERLINK(AA2 &amp; "/hammer/sn_f54171f55ced7f553f7c6295b60afd1b/rendering/05.obj", "2.95321273804")</f>
        <v>2.95321273804</v>
      </c>
      <c r="I1188" s="60" t="str">
        <f>HYPERLINK(AA2 &amp; "/hammer/sn_f54171f55ced7f553f7c6295b60afd1b/rendering/06.obj", "2.71574306488")</f>
        <v>2.71574306488</v>
      </c>
      <c r="J1188" s="28" t="str">
        <f>HYPERLINK(AA2 &amp; "/hammer/sn_f54171f55ced7f553f7c6295b60afd1b/rendering/07.obj", "2.54139518738")</f>
        <v>2.54139518738</v>
      </c>
      <c r="K1188" s="131" t="str">
        <f>HYPERLINK(AA2 &amp; "/hammer/sn_f54171f55ced7f553f7c6295b60afd1b/rendering/08.obj", "1.53403890133")</f>
        <v>1.53403890133</v>
      </c>
      <c r="L1188" s="103" t="str">
        <f>HYPERLINK(AA2 &amp; "/hammer/sn_f54171f55ced7f553f7c6295b60afd1b/rendering/09.obj", "1.93029558659")</f>
        <v>1.93029558659</v>
      </c>
      <c r="M1188" s="85" t="str">
        <f>HYPERLINK(AA2 &amp; "/hammer/sn_f54171f55ced7f553f7c6295b60afd1b/rendering/10.obj", "2.01097917557")</f>
        <v>2.01097917557</v>
      </c>
      <c r="N1188" s="20" t="str">
        <f>HYPERLINK(AA2 &amp; "/hammer/sn_f54171f55ced7f553f7c6295b60afd1b/rendering/11.obj", "12.0941791534")</f>
        <v>12.0941791534</v>
      </c>
      <c r="O1188" s="193" t="str">
        <f>HYPERLINK(AA2 &amp; "/hammer/sn_f54171f55ced7f553f7c6295b60afd1b/rendering/12.obj", "1.91761434078")</f>
        <v>1.91761434078</v>
      </c>
      <c r="P1188" s="116" t="str">
        <f>HYPERLINK(AA2 &amp; "/hammer/sn_f54171f55ced7f553f7c6295b60afd1b/rendering/13.obj", "1.60705208778")</f>
        <v>1.60705208778</v>
      </c>
      <c r="Q1188" s="123" t="str">
        <f>HYPERLINK(AA2 &amp; "/hammer/sn_f54171f55ced7f553f7c6295b60afd1b/rendering/14.obj", "1.81067895889")</f>
        <v>1.81067895889</v>
      </c>
      <c r="R1188" s="87" t="str">
        <f>HYPERLINK(AA2 &amp; "/hammer/sn_f54171f55ced7f553f7c6295b60afd1b/rendering/15.obj", "2.21146845818")</f>
        <v>2.21146845818</v>
      </c>
      <c r="S1188" s="192" t="str">
        <f>HYPERLINK(AA2 &amp; "/hammer/sn_f54171f55ced7f553f7c6295b60afd1b/rendering/16.obj", "1.79480755329")</f>
        <v>1.79480755329</v>
      </c>
      <c r="T1188" s="153" t="str">
        <f>HYPERLINK(AA2 &amp; "/hammer/sn_f54171f55ced7f553f7c6295b60afd1b/rendering/17.obj", "1.84407556057")</f>
        <v>1.84407556057</v>
      </c>
      <c r="U1188" s="182" t="str">
        <f>HYPERLINK(AA2 &amp; "/hammer/sn_f54171f55ced7f553f7c6295b60afd1b/rendering/18.obj", "1.90341830254")</f>
        <v>1.90341830254</v>
      </c>
      <c r="V1188" s="192" t="str">
        <f>HYPERLINK(AA2 &amp; "/hammer/sn_f54171f55ced7f553f7c6295b60afd1b/rendering/19.obj", "1.80092298985")</f>
        <v>1.80092298985</v>
      </c>
      <c r="W1188" s="12" t="s">
        <v>30</v>
      </c>
      <c r="X1188" s="13">
        <v>2.8620428860187528</v>
      </c>
      <c r="Y1188" s="13">
        <v>2.2780864252014168</v>
      </c>
      <c r="Z1188" s="204">
        <v>0.79596516052572175</v>
      </c>
    </row>
    <row r="1189" spans="1:26" x14ac:dyDescent="0.2">
      <c r="A1189" s="1">
        <v>1187</v>
      </c>
      <c r="B1189" s="2" t="s">
        <v>270</v>
      </c>
      <c r="C1189" s="34" t="str">
        <f>HYPERLINK(AB2 &amp; "/hammer/sn_f54171f55ced7f553f7c6295b60afd1b/rendering/00.obj", "4.9198626709")</f>
        <v>4.9198626709</v>
      </c>
      <c r="D1189" s="40" t="str">
        <f>HYPERLINK(AB2 &amp; "/hammer/sn_f54171f55ced7f553f7c6295b60afd1b/rendering/01.obj", "5.49782653809")</f>
        <v>5.49782653809</v>
      </c>
      <c r="E1189" s="6" t="str">
        <f>HYPERLINK(AB2 &amp; "/hammer/sn_f54171f55ced7f553f7c6295b60afd1b/rendering/02.obj", "4.47833374023")</f>
        <v>4.47833374023</v>
      </c>
      <c r="F1189" s="24" t="str">
        <f>HYPERLINK(AB2 &amp; "/hammer/sn_f54171f55ced7f553f7c6295b60afd1b/rendering/03.obj", "3.90741638184")</f>
        <v>3.90741638184</v>
      </c>
      <c r="G1189" s="13" t="str">
        <f>HYPERLINK(AB2 &amp; "/hammer/sn_f54171f55ced7f553f7c6295b60afd1b/rendering/04.obj", "4.70639434814")</f>
        <v>4.70639434814</v>
      </c>
      <c r="H1189" s="51" t="str">
        <f>HYPERLINK(AB2 &amp; "/hammer/sn_f54171f55ced7f553f7c6295b60afd1b/rendering/05.obj", "5.06713256836")</f>
        <v>5.06713256836</v>
      </c>
      <c r="I1189" s="8" t="str">
        <f>HYPERLINK(AB2 &amp; "/hammer/sn_f54171f55ced7f553f7c6295b60afd1b/rendering/06.obj", "5.36889404297")</f>
        <v>5.36889404297</v>
      </c>
      <c r="J1189" s="48" t="str">
        <f>HYPERLINK(AB2 &amp; "/hammer/sn_f54171f55ced7f553f7c6295b60afd1b/rendering/07.obj", "4.80735351563")</f>
        <v>4.80735351563</v>
      </c>
      <c r="K1189" s="5" t="str">
        <f>HYPERLINK(AB2 &amp; "/hammer/sn_f54171f55ced7f553f7c6295b60afd1b/rendering/08.obj", "5.05504638672")</f>
        <v>5.05504638672</v>
      </c>
      <c r="L1189" s="60" t="str">
        <f>HYPERLINK(AB2 &amp; "/hammer/sn_f54171f55ced7f553f7c6295b60afd1b/rendering/09.obj", "4.4508026123")</f>
        <v>4.4508026123</v>
      </c>
      <c r="M1189" s="67" t="str">
        <f>HYPERLINK(AB2 &amp; "/hammer/sn_f54171f55ced7f553f7c6295b60afd1b/rendering/10.obj", "4.25862792969")</f>
        <v>4.25862792969</v>
      </c>
      <c r="N1189" s="33" t="str">
        <f>HYPERLINK(AB2 &amp; "/hammer/sn_f54171f55ced7f553f7c6295b60afd1b/rendering/11.obj", "5.21053344727")</f>
        <v>5.21053344727</v>
      </c>
      <c r="O1189" s="28" t="str">
        <f>HYPERLINK(AB2 &amp; "/hammer/sn_f54171f55ced7f553f7c6295b60afd1b/rendering/12.obj", "4.16722686768")</f>
        <v>4.16722686768</v>
      </c>
      <c r="P1189" s="34" t="str">
        <f>HYPERLINK(AB2 &amp; "/hammer/sn_f54171f55ced7f553f7c6295b60afd1b/rendering/13.obj", "4.9213482666")</f>
        <v>4.9213482666</v>
      </c>
      <c r="Q1189" s="17" t="str">
        <f>HYPERLINK(AB2 &amp; "/hammer/sn_f54171f55ced7f553f7c6295b60afd1b/rendering/14.obj", "4.59517333984")</f>
        <v>4.59517333984</v>
      </c>
      <c r="R1189" s="10" t="str">
        <f>HYPERLINK(AB2 &amp; "/hammer/sn_f54171f55ced7f553f7c6295b60afd1b/rendering/15.obj", "4.44380126953")</f>
        <v>4.44380126953</v>
      </c>
      <c r="S1189" s="60" t="str">
        <f>HYPERLINK(AB2 &amp; "/hammer/sn_f54171f55ced7f553f7c6295b60afd1b/rendering/16.obj", "4.93300933838")</f>
        <v>4.93300933838</v>
      </c>
      <c r="T1189" s="32" t="str">
        <f>HYPERLINK(AB2 &amp; "/hammer/sn_f54171f55ced7f553f7c6295b60afd1b/rendering/17.obj", "4.19777313232")</f>
        <v>4.19777313232</v>
      </c>
      <c r="U1189" s="110" t="str">
        <f>HYPERLINK(AB2 &amp; "/hammer/sn_f54171f55ced7f553f7c6295b60afd1b/rendering/18.obj", "4.23848114014")</f>
        <v>4.23848114014</v>
      </c>
      <c r="V1189" s="13" t="str">
        <f>HYPERLINK(AB2 &amp; "/hammer/sn_f54171f55ced7f553f7c6295b60afd1b/rendering/19.obj", "4.70405456543")</f>
        <v>4.70405456543</v>
      </c>
      <c r="W1189" s="12" t="s">
        <v>31</v>
      </c>
      <c r="X1189" s="13">
        <v>4.6964546051025389</v>
      </c>
      <c r="Y1189" s="13">
        <v>0.42001977769589549</v>
      </c>
      <c r="Z1189" s="38">
        <v>8.9433373259811391E-2</v>
      </c>
    </row>
    <row r="1190" spans="1:26" x14ac:dyDescent="0.2">
      <c r="A1190" s="1">
        <v>1188</v>
      </c>
      <c r="B1190" s="2" t="s">
        <v>270</v>
      </c>
      <c r="C1190" s="70" t="str">
        <f>HYPERLINK(AB2 &amp; "/hammer/sn_f54171f55ced7f553f7c6295b60afd1b/rendering/00.obj", "1.56538581848")</f>
        <v>1.56538581848</v>
      </c>
      <c r="D1190" s="84" t="str">
        <f>HYPERLINK(AB2 &amp; "/hammer/sn_f54171f55ced7f553f7c6295b60afd1b/rendering/01.obj", "2.05716657639")</f>
        <v>2.05716657639</v>
      </c>
      <c r="E1190" s="46" t="str">
        <f>HYPERLINK(AB2 &amp; "/hammer/sn_f54171f55ced7f553f7c6295b60afd1b/rendering/02.obj", "1.76238632202")</f>
        <v>1.76238632202</v>
      </c>
      <c r="F1190" s="69" t="str">
        <f>HYPERLINK(AB2 &amp; "/hammer/sn_f54171f55ced7f553f7c6295b60afd1b/rendering/03.obj", "1.84885919094")</f>
        <v>1.84885919094</v>
      </c>
      <c r="G1190" s="34" t="str">
        <f>HYPERLINK(AB2 &amp; "/hammer/sn_f54171f55ced7f553f7c6295b60afd1b/rendering/04.obj", "1.70634663105")</f>
        <v>1.70634663105</v>
      </c>
      <c r="H1190" s="72" t="str">
        <f>HYPERLINK(AB2 &amp; "/hammer/sn_f54171f55ced7f553f7c6295b60afd1b/rendering/05.obj", "1.85676050186")</f>
        <v>1.85676050186</v>
      </c>
      <c r="I1190" s="40" t="str">
        <f>HYPERLINK(AB2 &amp; "/hammer/sn_f54171f55ced7f553f7c6295b60afd1b/rendering/06.obj", "2.10352516174")</f>
        <v>2.10352516174</v>
      </c>
      <c r="J1190" s="17" t="str">
        <f>HYPERLINK(AB2 &amp; "/hammer/sn_f54171f55ced7f553f7c6295b60afd1b/rendering/07.obj", "1.83326721191")</f>
        <v>1.83326721191</v>
      </c>
      <c r="K1190" s="66" t="str">
        <f>HYPERLINK(AB2 &amp; "/hammer/sn_f54171f55ced7f553f7c6295b60afd1b/rendering/08.obj", "1.50701165199")</f>
        <v>1.50701165199</v>
      </c>
      <c r="L1190" s="88" t="str">
        <f>HYPERLINK(AB2 &amp; "/hammer/sn_f54171f55ced7f553f7c6295b60afd1b/rendering/09.obj", "1.43475782871")</f>
        <v>1.43475782871</v>
      </c>
      <c r="M1190" s="87" t="str">
        <f>HYPERLINK(AB2 &amp; "/hammer/sn_f54171f55ced7f553f7c6295b60afd1b/rendering/10.obj", "1.3863068819")</f>
        <v>1.3863068819</v>
      </c>
      <c r="N1190" s="70" t="str">
        <f>HYPERLINK(AB2 &amp; "/hammer/sn_f54171f55ced7f553f7c6295b60afd1b/rendering/11.obj", "2.02351617813")</f>
        <v>2.02351617813</v>
      </c>
      <c r="O1190" s="38" t="str">
        <f>HYPERLINK(AB2 &amp; "/hammer/sn_f54171f55ced7f553f7c6295b60afd1b/rendering/12.obj", "1.63534140587")</f>
        <v>1.63534140587</v>
      </c>
      <c r="P1190" s="14" t="str">
        <f>HYPERLINK(AB2 &amp; "/hammer/sn_f54171f55ced7f553f7c6295b60afd1b/rendering/13.obj", "2.31900286674")</f>
        <v>2.31900286674</v>
      </c>
      <c r="Q1190" s="203" t="str">
        <f>HYPERLINK(AB2 &amp; "/hammer/sn_f54171f55ced7f553f7c6295b60afd1b/rendering/14.obj", "2.63475036621")</f>
        <v>2.63475036621</v>
      </c>
      <c r="R1190" s="136" t="str">
        <f>HYPERLINK(AB2 &amp; "/hammer/sn_f54171f55ced7f553f7c6295b60afd1b/rendering/15.obj", "1.36885917187")</f>
        <v>1.36885917187</v>
      </c>
      <c r="S1190" s="88" t="str">
        <f>HYPERLINK(AB2 &amp; "/hammer/sn_f54171f55ced7f553f7c6295b60afd1b/rendering/16.obj", "1.43139386177")</f>
        <v>1.43139386177</v>
      </c>
      <c r="T1190" s="32" t="str">
        <f>HYPERLINK(AB2 &amp; "/hammer/sn_f54171f55ced7f553f7c6295b60afd1b/rendering/17.obj", "1.60842013359")</f>
        <v>1.60842013359</v>
      </c>
      <c r="U1190" s="175" t="str">
        <f>HYPERLINK(AB2 &amp; "/hammer/sn_f54171f55ced7f553f7c6295b60afd1b/rendering/18.obj", "2.21768546104")</f>
        <v>2.21768546104</v>
      </c>
      <c r="V1190" s="133" t="str">
        <f>HYPERLINK(AB2 &amp; "/hammer/sn_f54171f55ced7f553f7c6295b60afd1b/rendering/19.obj", "1.61359250546")</f>
        <v>1.61359250546</v>
      </c>
      <c r="W1190" s="12" t="s">
        <v>32</v>
      </c>
      <c r="X1190" s="13">
        <v>1.795716786384582</v>
      </c>
      <c r="Y1190" s="13">
        <v>0.33400114001506298</v>
      </c>
      <c r="Z1190" s="77">
        <v>0.1859987847457428</v>
      </c>
    </row>
    <row r="1191" spans="1:26" x14ac:dyDescent="0.2">
      <c r="A1191" s="1">
        <v>1189</v>
      </c>
      <c r="B1191" s="2" t="s">
        <v>270</v>
      </c>
      <c r="C1191" s="13" t="str">
        <f>HYPERLINK(AC2 &amp; "/hammer/sn_f54171f55ced7f553f7c6295b60afd1b/rendering/00.xyz", "0.0")</f>
        <v>0.0</v>
      </c>
      <c r="D1191" s="13" t="str">
        <f>HYPERLINK(AC2 &amp; "/hammer/sn_f54171f55ced7f553f7c6295b60afd1b/rendering/01.xyz", "0.0")</f>
        <v>0.0</v>
      </c>
      <c r="E1191" s="13" t="str">
        <f>HYPERLINK(AC2 &amp; "/hammer/sn_f54171f55ced7f553f7c6295b60afd1b/rendering/02.xyz", "0.0")</f>
        <v>0.0</v>
      </c>
      <c r="F1191" s="13" t="str">
        <f>HYPERLINK(AC2 &amp; "/hammer/sn_f54171f55ced7f553f7c6295b60afd1b/rendering/03.xyz", "0.0")</f>
        <v>0.0</v>
      </c>
      <c r="G1191" s="13" t="str">
        <f>HYPERLINK(AC2 &amp; "/hammer/sn_f54171f55ced7f553f7c6295b60afd1b/rendering/04.xyz", "0.0")</f>
        <v>0.0</v>
      </c>
      <c r="H1191" s="13" t="str">
        <f>HYPERLINK(AC2 &amp; "/hammer/sn_f54171f55ced7f553f7c6295b60afd1b/rendering/05.xyz", "0.0")</f>
        <v>0.0</v>
      </c>
      <c r="I1191" s="13" t="str">
        <f>HYPERLINK(AC2 &amp; "/hammer/sn_f54171f55ced7f553f7c6295b60afd1b/rendering/06.xyz", "0.0")</f>
        <v>0.0</v>
      </c>
      <c r="J1191" s="13" t="str">
        <f>HYPERLINK(AC2 &amp; "/hammer/sn_f54171f55ced7f553f7c6295b60afd1b/rendering/07.xyz", "0.0")</f>
        <v>0.0</v>
      </c>
      <c r="K1191" s="13" t="str">
        <f>HYPERLINK(AC2 &amp; "/hammer/sn_f54171f55ced7f553f7c6295b60afd1b/rendering/08.xyz", "0.0")</f>
        <v>0.0</v>
      </c>
      <c r="L1191" s="13" t="str">
        <f>HYPERLINK(AC2 &amp; "/hammer/sn_f54171f55ced7f553f7c6295b60afd1b/rendering/09.xyz", "0.0")</f>
        <v>0.0</v>
      </c>
      <c r="M1191" s="13" t="str">
        <f>HYPERLINK(AC2 &amp; "/hammer/sn_f54171f55ced7f553f7c6295b60afd1b/rendering/10.xyz", "0.0")</f>
        <v>0.0</v>
      </c>
      <c r="N1191" s="13" t="str">
        <f>HYPERLINK(AC2 &amp; "/hammer/sn_f54171f55ced7f553f7c6295b60afd1b/rendering/11.xyz", "0.0")</f>
        <v>0.0</v>
      </c>
      <c r="O1191" s="13" t="str">
        <f>HYPERLINK(AC2 &amp; "/hammer/sn_f54171f55ced7f553f7c6295b60afd1b/rendering/12.xyz", "0.0")</f>
        <v>0.0</v>
      </c>
      <c r="P1191" s="13" t="str">
        <f>HYPERLINK(AC2 &amp; "/hammer/sn_f54171f55ced7f553f7c6295b60afd1b/rendering/13.xyz", "0.0")</f>
        <v>0.0</v>
      </c>
      <c r="Q1191" s="13" t="str">
        <f>HYPERLINK(AC2 &amp; "/hammer/sn_f54171f55ced7f553f7c6295b60afd1b/rendering/14.xyz", "0.0")</f>
        <v>0.0</v>
      </c>
      <c r="R1191" s="13" t="str">
        <f>HYPERLINK(AC2 &amp; "/hammer/sn_f54171f55ced7f553f7c6295b60afd1b/rendering/15.xyz", "0.0")</f>
        <v>0.0</v>
      </c>
      <c r="S1191" s="13" t="str">
        <f>HYPERLINK(AC2 &amp; "/hammer/sn_f54171f55ced7f553f7c6295b60afd1b/rendering/16.xyz", "0.0")</f>
        <v>0.0</v>
      </c>
      <c r="T1191" s="13" t="str">
        <f>HYPERLINK(AC2 &amp; "/hammer/sn_f54171f55ced7f553f7c6295b60afd1b/rendering/17.xyz", "0.0")</f>
        <v>0.0</v>
      </c>
      <c r="U1191" s="13" t="str">
        <f>HYPERLINK(AC2 &amp; "/hammer/sn_f54171f55ced7f553f7c6295b60afd1b/rendering/18.xyz", "0.0")</f>
        <v>0.0</v>
      </c>
      <c r="V1191" s="13" t="str">
        <f>HYPERLINK(AC2 &amp; "/hammer/sn_f54171f55ced7f553f7c6295b60afd1b/rendering/19.xyz", "0.0")</f>
        <v>0.0</v>
      </c>
      <c r="W1191" s="12" t="s">
        <v>33</v>
      </c>
      <c r="X1191" s="13">
        <v>0</v>
      </c>
      <c r="Y1191" s="13">
        <v>0</v>
      </c>
      <c r="Z1191" s="13">
        <v>0</v>
      </c>
    </row>
    <row r="1192" spans="1:26" x14ac:dyDescent="0.2">
      <c r="A1192" s="1">
        <v>1190</v>
      </c>
      <c r="B1192" s="2" t="s">
        <v>271</v>
      </c>
      <c r="C1192" s="176" t="str">
        <f>HYPERLINK(AA2 &amp; "/hammer/sn_f600aa7ee166a5df7e48b7e8238d95ce/rendering/00.obj", "11.448951416")</f>
        <v>11.448951416</v>
      </c>
      <c r="D1192" s="20" t="str">
        <f>HYPERLINK(AA2 &amp; "/hammer/sn_f600aa7ee166a5df7e48b7e8238d95ce/rendering/01.obj", "17.3228845215")</f>
        <v>17.3228845215</v>
      </c>
      <c r="E1192" s="38" t="str">
        <f>HYPERLINK(AA2 &amp; "/hammer/sn_f600aa7ee166a5df7e48b7e8238d95ce/rendering/02.obj", "7.90711486816")</f>
        <v>7.90711486816</v>
      </c>
      <c r="F1192" s="24" t="str">
        <f>HYPERLINK(AA2 &amp; "/hammer/sn_f600aa7ee166a5df7e48b7e8238d95ce/rendering/03.obj", "10.1555371094")</f>
        <v>10.1555371094</v>
      </c>
      <c r="G1192" s="33" t="str">
        <f>HYPERLINK(AA2 &amp; "/hammer/sn_f600aa7ee166a5df7e48b7e8238d95ce/rendering/04.obj", "9.61375793457")</f>
        <v>9.61375793457</v>
      </c>
      <c r="H1192" s="32" t="str">
        <f>HYPERLINK(AA2 &amp; "/hammer/sn_f600aa7ee166a5df7e48b7e8238d95ce/rendering/05.obj", "7.78063842773")</f>
        <v>7.78063842773</v>
      </c>
      <c r="I1192" s="120" t="str">
        <f>HYPERLINK(AA2 &amp; "/hammer/sn_f600aa7ee166a5df7e48b7e8238d95ce/rendering/06.obj", "6.8344342041")</f>
        <v>6.8344342041</v>
      </c>
      <c r="J1192" s="157" t="str">
        <f>HYPERLINK(AA2 &amp; "/hammer/sn_f600aa7ee166a5df7e48b7e8238d95ce/rendering/07.obj", "12.2971704102")</f>
        <v>12.2971704102</v>
      </c>
      <c r="K1192" s="57" t="str">
        <f>HYPERLINK(AA2 &amp; "/hammer/sn_f600aa7ee166a5df7e48b7e8238d95ce/rendering/08.obj", "5.93652648926")</f>
        <v>5.93652648926</v>
      </c>
      <c r="L1192" s="57" t="str">
        <f>HYPERLINK(AA2 &amp; "/hammer/sn_f600aa7ee166a5df7e48b7e8238d95ce/rendering/09.obj", "5.95521728516")</f>
        <v>5.95521728516</v>
      </c>
      <c r="M1192" s="49" t="str">
        <f>HYPERLINK(AA2 &amp; "/hammer/sn_f600aa7ee166a5df7e48b7e8238d95ce/rendering/10.obj", "6.86252685547")</f>
        <v>6.86252685547</v>
      </c>
      <c r="N1192" s="255" t="str">
        <f>HYPERLINK(AA2 &amp; "/hammer/sn_f600aa7ee166a5df7e48b7e8238d95ce/rendering/11.obj", "14.9603613281")</f>
        <v>14.9603613281</v>
      </c>
      <c r="O1192" s="134" t="str">
        <f>HYPERLINK(AA2 &amp; "/hammer/sn_f600aa7ee166a5df7e48b7e8238d95ce/rendering/12.obj", "7.13203918457")</f>
        <v>7.13203918457</v>
      </c>
      <c r="P1192" s="136" t="str">
        <f>HYPERLINK(AA2 &amp; "/hammer/sn_f600aa7ee166a5df7e48b7e8238d95ce/rendering/13.obj", "6.63142700195")</f>
        <v>6.63142700195</v>
      </c>
      <c r="Q1192" s="138" t="str">
        <f>HYPERLINK(AA2 &amp; "/hammer/sn_f600aa7ee166a5df7e48b7e8238d95ce/rendering/14.obj", "11.6280151367")</f>
        <v>11.6280151367</v>
      </c>
      <c r="R1192" s="138" t="str">
        <f>HYPERLINK(AA2 &amp; "/hammer/sn_f600aa7ee166a5df7e48b7e8238d95ce/rendering/15.obj", "5.75592956543")</f>
        <v>5.75592956543</v>
      </c>
      <c r="S1192" s="168" t="str">
        <f>HYPERLINK(AA2 &amp; "/hammer/sn_f600aa7ee166a5df7e48b7e8238d95ce/rendering/16.obj", "5.89409240723")</f>
        <v>5.89409240723</v>
      </c>
      <c r="T1192" s="75" t="str">
        <f>HYPERLINK(AA2 &amp; "/hammer/sn_f600aa7ee166a5df7e48b7e8238d95ce/rendering/17.obj", "6.76869140625")</f>
        <v>6.76869140625</v>
      </c>
      <c r="U1192" s="140" t="str">
        <f>HYPERLINK(AA2 &amp; "/hammer/sn_f600aa7ee166a5df7e48b7e8238d95ce/rendering/18.obj", "5.67977539063")</f>
        <v>5.67977539063</v>
      </c>
      <c r="V1192" s="117" t="str">
        <f>HYPERLINK(AA2 &amp; "/hammer/sn_f600aa7ee166a5df7e48b7e8238d95ce/rendering/19.obj", "7.1531451416")</f>
        <v>7.1531451416</v>
      </c>
      <c r="W1192" s="12" t="s">
        <v>29</v>
      </c>
      <c r="X1192" s="13">
        <v>8.6859118041992183</v>
      </c>
      <c r="Y1192" s="13">
        <v>3.2217174152558541</v>
      </c>
      <c r="Z1192" s="192">
        <v>0.37091297815139102</v>
      </c>
    </row>
    <row r="1193" spans="1:26" x14ac:dyDescent="0.2">
      <c r="A1193" s="1">
        <v>1191</v>
      </c>
      <c r="B1193" s="2" t="s">
        <v>271</v>
      </c>
      <c r="C1193" s="34" t="str">
        <f>HYPERLINK(AA2 &amp; "/hammer/sn_f600aa7ee166a5df7e48b7e8238d95ce/rendering/00.obj", "14.3801412582")</f>
        <v>14.3801412582</v>
      </c>
      <c r="D1193" s="20" t="str">
        <f>HYPERLINK(AA2 &amp; "/hammer/sn_f600aa7ee166a5df7e48b7e8238d95ce/rendering/01.obj", "61.1324462891")</f>
        <v>61.1324462891</v>
      </c>
      <c r="E1193" s="133" t="str">
        <f>HYPERLINK(AA2 &amp; "/hammer/sn_f600aa7ee166a5df7e48b7e8238d95ce/rendering/02.obj", "12.3412342072")</f>
        <v>12.3412342072</v>
      </c>
      <c r="F1193" s="76" t="str">
        <f>HYPERLINK(AA2 &amp; "/hammer/sn_f600aa7ee166a5df7e48b7e8238d95ce/rendering/03.obj", "16.2532348633")</f>
        <v>16.2532348633</v>
      </c>
      <c r="G1193" s="20" t="str">
        <f>HYPERLINK(AA2 &amp; "/hammer/sn_f600aa7ee166a5df7e48b7e8238d95ce/rendering/04.obj", "25.9904689789")</f>
        <v>25.9904689789</v>
      </c>
      <c r="H1193" s="179" t="str">
        <f>HYPERLINK(AA2 &amp; "/hammer/sn_f600aa7ee166a5df7e48b7e8238d95ce/rendering/05.obj", "7.85497426987")</f>
        <v>7.85497426987</v>
      </c>
      <c r="I1193" s="241" t="str">
        <f>HYPERLINK(AA2 &amp; "/hammer/sn_f600aa7ee166a5df7e48b7e8238d95ce/rendering/06.obj", "4.92472219467")</f>
        <v>4.92472219467</v>
      </c>
      <c r="J1193" s="20" t="str">
        <f>HYPERLINK(AA2 &amp; "/hammer/sn_f600aa7ee166a5df7e48b7e8238d95ce/rendering/07.obj", "30.448223114")</f>
        <v>30.448223114</v>
      </c>
      <c r="K1193" s="173" t="str">
        <f>HYPERLINK(AA2 &amp; "/hammer/sn_f600aa7ee166a5df7e48b7e8238d95ce/rendering/08.obj", "4.29179620743")</f>
        <v>4.29179620743</v>
      </c>
      <c r="L1193" s="155" t="str">
        <f>HYPERLINK(AA2 &amp; "/hammer/sn_f600aa7ee166a5df7e48b7e8238d95ce/rendering/09.obj", "4.43940544128")</f>
        <v>4.43940544128</v>
      </c>
      <c r="M1193" s="178" t="str">
        <f>HYPERLINK(AA2 &amp; "/hammer/sn_f600aa7ee166a5df7e48b7e8238d95ce/rendering/10.obj", "4.84104681015")</f>
        <v>4.84104681015</v>
      </c>
      <c r="N1193" s="20" t="str">
        <f>HYPERLINK(AA2 &amp; "/hammer/sn_f600aa7ee166a5df7e48b7e8238d95ce/rendering/11.obj", "37.8712387085")</f>
        <v>37.8712387085</v>
      </c>
      <c r="O1193" s="240" t="str">
        <f>HYPERLINK(AA2 &amp; "/hammer/sn_f600aa7ee166a5df7e48b7e8238d95ce/rendering/12.obj", "4.74012565613")</f>
        <v>4.74012565613</v>
      </c>
      <c r="P1193" s="236" t="str">
        <f>HYPERLINK(AA2 &amp; "/hammer/sn_f600aa7ee166a5df7e48b7e8238d95ce/rendering/13.obj", "3.57556772232")</f>
        <v>3.57556772232</v>
      </c>
      <c r="Q1193" s="115" t="str">
        <f>HYPERLINK(AA2 &amp; "/hammer/sn_f600aa7ee166a5df7e48b7e8238d95ce/rendering/14.obj", "22.4776706696")</f>
        <v>22.4776706696</v>
      </c>
      <c r="R1193" s="209" t="str">
        <f>HYPERLINK(AA2 &amp; "/hammer/sn_f600aa7ee166a5df7e48b7e8238d95ce/rendering/15.obj", "3.32105541229")</f>
        <v>3.32105541229</v>
      </c>
      <c r="S1193" s="20" t="str">
        <f>HYPERLINK(AA2 &amp; "/hammer/sn_f600aa7ee166a5df7e48b7e8238d95ce/rendering/16.obj", "2.53880500793")</f>
        <v>2.53880500793</v>
      </c>
      <c r="T1193" s="231" t="str">
        <f>HYPERLINK(AA2 &amp; "/hammer/sn_f600aa7ee166a5df7e48b7e8238d95ce/rendering/17.obj", "5.82983016968")</f>
        <v>5.82983016968</v>
      </c>
      <c r="U1193" s="20" t="str">
        <f>HYPERLINK(AA2 &amp; "/hammer/sn_f600aa7ee166a5df7e48b7e8238d95ce/rendering/18.obj", "2.54037475586")</f>
        <v>2.54037475586</v>
      </c>
      <c r="V1193" s="216" t="str">
        <f>HYPERLINK(AA2 &amp; "/hammer/sn_f600aa7ee166a5df7e48b7e8238d95ce/rendering/19.obj", "4.80686330795")</f>
        <v>4.80686330795</v>
      </c>
      <c r="W1193" s="12" t="s">
        <v>30</v>
      </c>
      <c r="X1193" s="13">
        <v>13.729961252212521</v>
      </c>
      <c r="Y1193" s="13">
        <v>14.82576888280037</v>
      </c>
      <c r="Z1193" s="20">
        <v>1.079811414647019</v>
      </c>
    </row>
    <row r="1194" spans="1:26" x14ac:dyDescent="0.2">
      <c r="A1194" s="1">
        <v>1192</v>
      </c>
      <c r="B1194" s="2" t="s">
        <v>271</v>
      </c>
      <c r="C1194" s="55" t="str">
        <f>HYPERLINK(AB2 &amp; "/hammer/sn_f600aa7ee166a5df7e48b7e8238d95ce/rendering/00.obj", "4.48936065674")</f>
        <v>4.48936065674</v>
      </c>
      <c r="D1194" s="47" t="str">
        <f>HYPERLINK(AB2 &amp; "/hammer/sn_f600aa7ee166a5df7e48b7e8238d95ce/rendering/01.obj", "5.60491943359")</f>
        <v>5.60491943359</v>
      </c>
      <c r="E1194" s="27" t="str">
        <f>HYPERLINK(AB2 &amp; "/hammer/sn_f600aa7ee166a5df7e48b7e8238d95ce/rendering/02.obj", "5.1555078125")</f>
        <v>5.1555078125</v>
      </c>
      <c r="F1194" s="60" t="str">
        <f>HYPERLINK(AB2 &amp; "/hammer/sn_f600aa7ee166a5df7e48b7e8238d95ce/rendering/03.obj", "5.27512939453")</f>
        <v>5.27512939453</v>
      </c>
      <c r="G1194" s="192" t="str">
        <f>HYPERLINK(AB2 &amp; "/hammer/sn_f600aa7ee166a5df7e48b7e8238d95ce/rendering/04.obj", "7.61736083984")</f>
        <v>7.61736083984</v>
      </c>
      <c r="H1194" s="47" t="str">
        <f>HYPERLINK(AB2 &amp; "/hammer/sn_f600aa7ee166a5df7e48b7e8238d95ce/rendering/05.obj", "5.51850952148")</f>
        <v>5.51850952148</v>
      </c>
      <c r="I1194" s="98" t="str">
        <f>HYPERLINK(AB2 &amp; "/hammer/sn_f600aa7ee166a5df7e48b7e8238d95ce/rendering/06.obj", "6.82890014648")</f>
        <v>6.82890014648</v>
      </c>
      <c r="J1194" s="78" t="str">
        <f>HYPERLINK(AB2 &amp; "/hammer/sn_f600aa7ee166a5df7e48b7e8238d95ce/rendering/07.obj", "5.22351806641")</f>
        <v>5.22351806641</v>
      </c>
      <c r="K1194" s="23" t="str">
        <f>HYPERLINK(AB2 &amp; "/hammer/sn_f600aa7ee166a5df7e48b7e8238d95ce/rendering/08.obj", "5.7664465332")</f>
        <v>5.7664465332</v>
      </c>
      <c r="L1194" s="78" t="str">
        <f>HYPERLINK(AB2 &amp; "/hammer/sn_f600aa7ee166a5df7e48b7e8238d95ce/rendering/09.obj", "5.2223425293")</f>
        <v>5.2223425293</v>
      </c>
      <c r="M1194" s="6" t="str">
        <f>HYPERLINK(AB2 &amp; "/hammer/sn_f600aa7ee166a5df7e48b7e8238d95ce/rendering/10.obj", "5.81191894531")</f>
        <v>5.81191894531</v>
      </c>
      <c r="N1194" s="10" t="str">
        <f>HYPERLINK(AB2 &amp; "/hammer/sn_f600aa7ee166a5df7e48b7e8238d95ce/rendering/11.obj", "5.85327514648")</f>
        <v>5.85327514648</v>
      </c>
      <c r="O1194" s="34" t="str">
        <f>HYPERLINK(AB2 &amp; "/hammer/sn_f600aa7ee166a5df7e48b7e8238d95ce/rendering/12.obj", "5.28202880859")</f>
        <v>5.28202880859</v>
      </c>
      <c r="P1194" s="10" t="str">
        <f>HYPERLINK(AB2 &amp; "/hammer/sn_f600aa7ee166a5df7e48b7e8238d95ce/rendering/13.obj", "5.24904663086")</f>
        <v>5.24904663086</v>
      </c>
      <c r="Q1194" s="73" t="str">
        <f>HYPERLINK(AB2 &amp; "/hammer/sn_f600aa7ee166a5df7e48b7e8238d95ce/rendering/14.obj", "5.74795776367")</f>
        <v>5.74795776367</v>
      </c>
      <c r="R1194" s="92" t="str">
        <f>HYPERLINK(AB2 &amp; "/hammer/sn_f600aa7ee166a5df7e48b7e8238d95ce/rendering/15.obj", "6.23676574707")</f>
        <v>6.23676574707</v>
      </c>
      <c r="S1194" s="66" t="str">
        <f>HYPERLINK(AB2 &amp; "/hammer/sn_f600aa7ee166a5df7e48b7e8238d95ce/rendering/16.obj", "4.65523010254")</f>
        <v>4.65523010254</v>
      </c>
      <c r="T1194" s="27" t="str">
        <f>HYPERLINK(AB2 &amp; "/hammer/sn_f600aa7ee166a5df7e48b7e8238d95ce/rendering/17.obj", "5.16180969238")</f>
        <v>5.16180969238</v>
      </c>
      <c r="U1194" s="78" t="str">
        <f>HYPERLINK(AB2 &amp; "/hammer/sn_f600aa7ee166a5df7e48b7e8238d95ce/rendering/18.obj", "5.22161865234")</f>
        <v>5.22161865234</v>
      </c>
      <c r="V1194" s="41" t="str">
        <f>HYPERLINK(AB2 &amp; "/hammer/sn_f600aa7ee166a5df7e48b7e8238d95ce/rendering/19.obj", "5.18099975586")</f>
        <v>5.18099975586</v>
      </c>
      <c r="W1194" s="12" t="s">
        <v>31</v>
      </c>
      <c r="X1194" s="13">
        <v>5.5551323089599611</v>
      </c>
      <c r="Y1194" s="13">
        <v>0.69134194918639069</v>
      </c>
      <c r="Z1194" s="92">
        <v>0.12445103207916661</v>
      </c>
    </row>
    <row r="1195" spans="1:26" x14ac:dyDescent="0.2">
      <c r="A1195" s="1">
        <v>1193</v>
      </c>
      <c r="B1195" s="2" t="s">
        <v>271</v>
      </c>
      <c r="C1195" s="47" t="str">
        <f>HYPERLINK(AB2 &amp; "/hammer/sn_f600aa7ee166a5df7e48b7e8238d95ce/rendering/00.obj", "3.40739917755")</f>
        <v>3.40739917755</v>
      </c>
      <c r="D1195" s="67" t="str">
        <f>HYPERLINK(AB2 &amp; "/hammer/sn_f600aa7ee166a5df7e48b7e8238d95ce/rendering/01.obj", "3.69621443748")</f>
        <v>3.69621443748</v>
      </c>
      <c r="E1195" s="84" t="str">
        <f>HYPERLINK(AB2 &amp; "/hammer/sn_f600aa7ee166a5df7e48b7e8238d95ce/rendering/02.obj", "2.89067459106")</f>
        <v>2.89067459106</v>
      </c>
      <c r="F1195" s="72" t="str">
        <f>HYPERLINK(AB2 &amp; "/hammer/sn_f600aa7ee166a5df7e48b7e8238d95ce/rendering/03.obj", "3.27307915688")</f>
        <v>3.27307915688</v>
      </c>
      <c r="G1195" s="222" t="str">
        <f>HYPERLINK(AB2 &amp; "/hammer/sn_f600aa7ee166a5df7e48b7e8238d95ce/rendering/04.obj", "5.91295003891")</f>
        <v>5.91295003891</v>
      </c>
      <c r="H1195" s="90" t="str">
        <f>HYPERLINK(AB2 &amp; "/hammer/sn_f600aa7ee166a5df7e48b7e8238d95ce/rendering/05.obj", "3.70706939697")</f>
        <v>3.70706939697</v>
      </c>
      <c r="I1195" s="89" t="str">
        <f>HYPERLINK(AB2 &amp; "/hammer/sn_f600aa7ee166a5df7e48b7e8238d95ce/rendering/06.obj", "4.26151990891")</f>
        <v>4.26151990891</v>
      </c>
      <c r="J1195" s="46" t="str">
        <f>HYPERLINK(AB2 &amp; "/hammer/sn_f600aa7ee166a5df7e48b7e8238d95ce/rendering/07.obj", "3.44460272789")</f>
        <v>3.44460272789</v>
      </c>
      <c r="K1195" s="31" t="str">
        <f>HYPERLINK(AB2 &amp; "/hammer/sn_f600aa7ee166a5df7e48b7e8238d95ce/rendering/08.obj", "2.85857129097")</f>
        <v>2.85857129097</v>
      </c>
      <c r="L1195" s="175" t="str">
        <f>HYPERLINK(AB2 &amp; "/hammer/sn_f600aa7ee166a5df7e48b7e8238d95ce/rendering/09.obj", "2.59345293045")</f>
        <v>2.59345293045</v>
      </c>
      <c r="M1195" s="17" t="str">
        <f>HYPERLINK(AB2 &amp; "/hammer/sn_f600aa7ee166a5df7e48b7e8238d95ce/rendering/10.obj", "3.4492559433")</f>
        <v>3.4492559433</v>
      </c>
      <c r="N1195" s="79" t="str">
        <f>HYPERLINK(AB2 &amp; "/hammer/sn_f600aa7ee166a5df7e48b7e8238d95ce/rendering/11.obj", "2.84596133232")</f>
        <v>2.84596133232</v>
      </c>
      <c r="O1195" s="73" t="str">
        <f>HYPERLINK(AB2 &amp; "/hammer/sn_f600aa7ee166a5df7e48b7e8238d95ce/rendering/12.obj", "3.26173615456")</f>
        <v>3.26173615456</v>
      </c>
      <c r="P1195" s="156" t="str">
        <f>HYPERLINK(AB2 &amp; "/hammer/sn_f600aa7ee166a5df7e48b7e8238d95ce/rendering/13.obj", "4.89043617249")</f>
        <v>4.89043617249</v>
      </c>
      <c r="Q1195" s="117" t="str">
        <f>HYPERLINK(AB2 &amp; "/hammer/sn_f600aa7ee166a5df7e48b7e8238d95ce/rendering/14.obj", "2.78335261345")</f>
        <v>2.78335261345</v>
      </c>
      <c r="R1195" s="84" t="str">
        <f>HYPERLINK(AB2 &amp; "/hammer/sn_f600aa7ee166a5df7e48b7e8238d95ce/rendering/15.obj", "2.88723564148")</f>
        <v>2.88723564148</v>
      </c>
      <c r="S1195" s="58" t="str">
        <f>HYPERLINK(AB2 &amp; "/hammer/sn_f600aa7ee166a5df7e48b7e8238d95ce/rendering/16.obj", "2.55725693703")</f>
        <v>2.55725693703</v>
      </c>
      <c r="T1195" s="107" t="str">
        <f>HYPERLINK(AB2 &amp; "/hammer/sn_f600aa7ee166a5df7e48b7e8238d95ce/rendering/17.obj", "3.1036901474")</f>
        <v>3.1036901474</v>
      </c>
      <c r="U1195" s="98" t="str">
        <f>HYPERLINK(AB2 &amp; "/hammer/sn_f600aa7ee166a5df7e48b7e8238d95ce/rendering/18.obj", "2.60475921631")</f>
        <v>2.60475921631</v>
      </c>
      <c r="V1195" s="10" t="str">
        <f>HYPERLINK(AB2 &amp; "/hammer/sn_f600aa7ee166a5df7e48b7e8238d95ce/rendering/19.obj", "3.19559049606")</f>
        <v>3.19559049606</v>
      </c>
      <c r="W1195" s="12" t="s">
        <v>32</v>
      </c>
      <c r="X1195" s="13">
        <v>3.3812404155731199</v>
      </c>
      <c r="Y1195" s="13">
        <v>0.80989656649592501</v>
      </c>
      <c r="Z1195" s="59">
        <v>0.23952646572120409</v>
      </c>
    </row>
    <row r="1196" spans="1:26" x14ac:dyDescent="0.2">
      <c r="A1196" s="1">
        <v>1194</v>
      </c>
      <c r="B1196" s="2" t="s">
        <v>271</v>
      </c>
      <c r="C1196" s="13" t="str">
        <f>HYPERLINK(AC2 &amp; "/hammer/sn_f600aa7ee166a5df7e48b7e8238d95ce/rendering/00.xyz", "0.0")</f>
        <v>0.0</v>
      </c>
      <c r="D1196" s="13" t="str">
        <f>HYPERLINK(AC2 &amp; "/hammer/sn_f600aa7ee166a5df7e48b7e8238d95ce/rendering/01.xyz", "0.0")</f>
        <v>0.0</v>
      </c>
      <c r="E1196" s="13" t="str">
        <f>HYPERLINK(AC2 &amp; "/hammer/sn_f600aa7ee166a5df7e48b7e8238d95ce/rendering/02.xyz", "0.0")</f>
        <v>0.0</v>
      </c>
      <c r="F1196" s="13" t="str">
        <f>HYPERLINK(AC2 &amp; "/hammer/sn_f600aa7ee166a5df7e48b7e8238d95ce/rendering/03.xyz", "0.0")</f>
        <v>0.0</v>
      </c>
      <c r="G1196" s="13" t="str">
        <f>HYPERLINK(AC2 &amp; "/hammer/sn_f600aa7ee166a5df7e48b7e8238d95ce/rendering/04.xyz", "0.0")</f>
        <v>0.0</v>
      </c>
      <c r="H1196" s="13" t="str">
        <f>HYPERLINK(AC2 &amp; "/hammer/sn_f600aa7ee166a5df7e48b7e8238d95ce/rendering/05.xyz", "0.0")</f>
        <v>0.0</v>
      </c>
      <c r="I1196" s="13" t="str">
        <f>HYPERLINK(AC2 &amp; "/hammer/sn_f600aa7ee166a5df7e48b7e8238d95ce/rendering/06.xyz", "0.0")</f>
        <v>0.0</v>
      </c>
      <c r="J1196" s="13" t="str">
        <f>HYPERLINK(AC2 &amp; "/hammer/sn_f600aa7ee166a5df7e48b7e8238d95ce/rendering/07.xyz", "0.0")</f>
        <v>0.0</v>
      </c>
      <c r="K1196" s="13" t="str">
        <f>HYPERLINK(AC2 &amp; "/hammer/sn_f600aa7ee166a5df7e48b7e8238d95ce/rendering/08.xyz", "0.0")</f>
        <v>0.0</v>
      </c>
      <c r="L1196" s="13" t="str">
        <f>HYPERLINK(AC2 &amp; "/hammer/sn_f600aa7ee166a5df7e48b7e8238d95ce/rendering/09.xyz", "0.0")</f>
        <v>0.0</v>
      </c>
      <c r="M1196" s="13" t="str">
        <f>HYPERLINK(AC2 &amp; "/hammer/sn_f600aa7ee166a5df7e48b7e8238d95ce/rendering/10.xyz", "0.0")</f>
        <v>0.0</v>
      </c>
      <c r="N1196" s="13" t="str">
        <f>HYPERLINK(AC2 &amp; "/hammer/sn_f600aa7ee166a5df7e48b7e8238d95ce/rendering/11.xyz", "0.0")</f>
        <v>0.0</v>
      </c>
      <c r="O1196" s="13" t="str">
        <f>HYPERLINK(AC2 &amp; "/hammer/sn_f600aa7ee166a5df7e48b7e8238d95ce/rendering/12.xyz", "0.0")</f>
        <v>0.0</v>
      </c>
      <c r="P1196" s="13" t="str">
        <f>HYPERLINK(AC2 &amp; "/hammer/sn_f600aa7ee166a5df7e48b7e8238d95ce/rendering/13.xyz", "0.0")</f>
        <v>0.0</v>
      </c>
      <c r="Q1196" s="13" t="str">
        <f>HYPERLINK(AC2 &amp; "/hammer/sn_f600aa7ee166a5df7e48b7e8238d95ce/rendering/14.xyz", "0.0")</f>
        <v>0.0</v>
      </c>
      <c r="R1196" s="13" t="str">
        <f>HYPERLINK(AC2 &amp; "/hammer/sn_f600aa7ee166a5df7e48b7e8238d95ce/rendering/15.xyz", "0.0")</f>
        <v>0.0</v>
      </c>
      <c r="S1196" s="13" t="str">
        <f>HYPERLINK(AC2 &amp; "/hammer/sn_f600aa7ee166a5df7e48b7e8238d95ce/rendering/16.xyz", "0.0")</f>
        <v>0.0</v>
      </c>
      <c r="T1196" s="13" t="str">
        <f>HYPERLINK(AC2 &amp; "/hammer/sn_f600aa7ee166a5df7e48b7e8238d95ce/rendering/17.xyz", "0.0")</f>
        <v>0.0</v>
      </c>
      <c r="U1196" s="13" t="str">
        <f>HYPERLINK(AC2 &amp; "/hammer/sn_f600aa7ee166a5df7e48b7e8238d95ce/rendering/18.xyz", "0.0")</f>
        <v>0.0</v>
      </c>
      <c r="V1196" s="13" t="str">
        <f>HYPERLINK(AC2 &amp; "/hammer/sn_f600aa7ee166a5df7e48b7e8238d95ce/rendering/19.xyz", "0.0")</f>
        <v>0.0</v>
      </c>
      <c r="W1196" s="12" t="s">
        <v>33</v>
      </c>
      <c r="X1196" s="13">
        <v>0</v>
      </c>
      <c r="Y1196" s="13">
        <v>0</v>
      </c>
      <c r="Z1196" s="13">
        <v>0</v>
      </c>
    </row>
    <row r="1197" spans="1:26" x14ac:dyDescent="0.2">
      <c r="A1197" s="1">
        <v>1195</v>
      </c>
      <c r="B1197" s="2" t="s">
        <v>272</v>
      </c>
      <c r="C1197" s="33" t="str">
        <f>HYPERLINK(AA2 &amp; "/hammer/sn_f7f445b68a467652d30ee0b5a9888c0b/rendering/00.obj", "5.84433349609")</f>
        <v>5.84433349609</v>
      </c>
      <c r="D1197" s="47" t="str">
        <f>HYPERLINK(AA2 &amp; "/hammer/sn_f7f445b68a467652d30ee0b5a9888c0b/rendering/01.obj", "6.4936138916")</f>
        <v>6.4936138916</v>
      </c>
      <c r="E1197" s="72" t="str">
        <f>HYPERLINK(AA2 &amp; "/hammer/sn_f7f445b68a467652d30ee0b5a9888c0b/rendering/02.obj", "6.32102050781")</f>
        <v>6.32102050781</v>
      </c>
      <c r="F1197" s="74" t="str">
        <f>HYPERLINK(AA2 &amp; "/hammer/sn_f7f445b68a467652d30ee0b5a9888c0b/rendering/03.obj", "6.4460534668")</f>
        <v>6.4460534668</v>
      </c>
      <c r="G1197" s="48" t="str">
        <f>HYPERLINK(AA2 &amp; "/hammer/sn_f7f445b68a467652d30ee0b5a9888c0b/rendering/04.obj", "6.70275878906")</f>
        <v>6.70275878906</v>
      </c>
      <c r="H1197" s="32" t="str">
        <f>HYPERLINK(AA2 &amp; "/hammer/sn_f7f445b68a467652d30ee0b5a9888c0b/rendering/05.obj", "5.85578430176")</f>
        <v>5.85578430176</v>
      </c>
      <c r="I1197" s="41" t="str">
        <f>HYPERLINK(AA2 &amp; "/hammer/sn_f7f445b68a467652d30ee0b5a9888c0b/rendering/06.obj", "6.98543334961")</f>
        <v>6.98543334961</v>
      </c>
      <c r="J1197" s="25" t="str">
        <f>HYPERLINK(AA2 &amp; "/hammer/sn_f7f445b68a467652d30ee0b5a9888c0b/rendering/07.obj", "6.61088928223")</f>
        <v>6.61088928223</v>
      </c>
      <c r="K1197" s="51" t="str">
        <f>HYPERLINK(AA2 &amp; "/hammer/sn_f7f445b68a467652d30ee0b5a9888c0b/rendering/08.obj", "7.06218261719")</f>
        <v>7.06218261719</v>
      </c>
      <c r="L1197" s="17" t="str">
        <f>HYPERLINK(AA2 &amp; "/hammer/sn_f7f445b68a467652d30ee0b5a9888c0b/rendering/09.obj", "6.68783081055")</f>
        <v>6.68783081055</v>
      </c>
      <c r="M1197" s="30" t="str">
        <f>HYPERLINK(AA2 &amp; "/hammer/sn_f7f445b68a467652d30ee0b5a9888c0b/rendering/10.obj", "6.50660095215")</f>
        <v>6.50660095215</v>
      </c>
      <c r="N1197" s="41" t="str">
        <f>HYPERLINK(AA2 &amp; "/hammer/sn_f7f445b68a467652d30ee0b5a9888c0b/rendering/11.obj", "6.11187011719")</f>
        <v>6.11187011719</v>
      </c>
      <c r="O1197" s="39" t="str">
        <f>HYPERLINK(AA2 &amp; "/hammer/sn_f7f445b68a467652d30ee0b5a9888c0b/rendering/12.obj", "7.12049804688")</f>
        <v>7.12049804688</v>
      </c>
      <c r="P1197" s="29" t="str">
        <f>HYPERLINK(AA2 &amp; "/hammer/sn_f7f445b68a467652d30ee0b5a9888c0b/rendering/13.obj", "7.40740234375")</f>
        <v>7.40740234375</v>
      </c>
      <c r="Q1197" s="26" t="str">
        <f>HYPERLINK(AA2 &amp; "/hammer/sn_f7f445b68a467652d30ee0b5a9888c0b/rendering/14.obj", "6.1295715332")</f>
        <v>6.1295715332</v>
      </c>
      <c r="R1197" s="13" t="str">
        <f>HYPERLINK(AA2 &amp; "/hammer/sn_f7f445b68a467652d30ee0b5a9888c0b/rendering/15.obj", "6.5400994873")</f>
        <v>6.5400994873</v>
      </c>
      <c r="S1197" s="79" t="str">
        <f>HYPERLINK(AA2 &amp; "/hammer/sn_f7f445b68a467652d30ee0b5a9888c0b/rendering/16.obj", "7.58679992676")</f>
        <v>7.58679992676</v>
      </c>
      <c r="T1197" s="34" t="str">
        <f>HYPERLINK(AA2 &amp; "/hammer/sn_f7f445b68a467652d30ee0b5a9888c0b/rendering/17.obj", "6.22224731445")</f>
        <v>6.22224731445</v>
      </c>
      <c r="U1197" s="13" t="str">
        <f>HYPERLINK(AA2 &amp; "/hammer/sn_f7f445b68a467652d30ee0b5a9888c0b/rendering/18.obj", "6.56426635742")</f>
        <v>6.56426635742</v>
      </c>
      <c r="V1197" s="70" t="str">
        <f>HYPERLINK(AA2 &amp; "/hammer/sn_f7f445b68a467652d30ee0b5a9888c0b/rendering/19.obj", "5.7169342041")</f>
        <v>5.7169342041</v>
      </c>
      <c r="W1197" s="12" t="s">
        <v>29</v>
      </c>
      <c r="X1197" s="13">
        <v>6.5458095397949219</v>
      </c>
      <c r="Y1197" s="13">
        <v>0.49253542523884208</v>
      </c>
      <c r="Z1197" s="94">
        <v>7.524438684695875E-2</v>
      </c>
    </row>
    <row r="1198" spans="1:26" x14ac:dyDescent="0.2">
      <c r="A1198" s="1">
        <v>1196</v>
      </c>
      <c r="B1198" s="2" t="s">
        <v>272</v>
      </c>
      <c r="C1198" s="100" t="str">
        <f>HYPERLINK(AA2 &amp; "/hammer/sn_f7f445b68a467652d30ee0b5a9888c0b/rendering/00.obj", "2.80569005013")</f>
        <v>2.80569005013</v>
      </c>
      <c r="D1198" s="53" t="str">
        <f>HYPERLINK(AA2 &amp; "/hammer/sn_f7f445b68a467652d30ee0b5a9888c0b/rendering/01.obj", "5.66677284241")</f>
        <v>5.66677284241</v>
      </c>
      <c r="E1198" s="156" t="str">
        <f>HYPERLINK(AA2 &amp; "/hammer/sn_f7f445b68a467652d30ee0b5a9888c0b/rendering/02.obj", "2.21569633484")</f>
        <v>2.21569633484</v>
      </c>
      <c r="F1198" s="76" t="str">
        <f>HYPERLINK(AA2 &amp; "/hammer/sn_f7f445b68a467652d30ee0b5a9888c0b/rendering/03.obj", "4.73947477341")</f>
        <v>4.73947477341</v>
      </c>
      <c r="G1198" s="149" t="str">
        <f>HYPERLINK(AA2 &amp; "/hammer/sn_f7f445b68a467652d30ee0b5a9888c0b/rendering/04.obj", "2.63487315178")</f>
        <v>2.63487315178</v>
      </c>
      <c r="H1198" s="230" t="str">
        <f>HYPERLINK(AA2 &amp; "/hammer/sn_f7f445b68a467652d30ee0b5a9888c0b/rendering/05.obj", "2.18147611618")</f>
        <v>2.18147611618</v>
      </c>
      <c r="I1198" s="5" t="str">
        <f>HYPERLINK(AA2 &amp; "/hammer/sn_f7f445b68a467652d30ee0b5a9888c0b/rendering/06.obj", "3.69860887527")</f>
        <v>3.69860887527</v>
      </c>
      <c r="J1198" s="122" t="str">
        <f>HYPERLINK(AA2 &amp; "/hammer/sn_f7f445b68a467652d30ee0b5a9888c0b/rendering/07.obj", "2.38948321342")</f>
        <v>2.38948321342</v>
      </c>
      <c r="K1198" s="103" t="str">
        <f>HYPERLINK(AA2 &amp; "/hammer/sn_f7f445b68a467652d30ee0b5a9888c0b/rendering/08.obj", "5.31536531448")</f>
        <v>5.31536531448</v>
      </c>
      <c r="L1198" s="116" t="str">
        <f>HYPERLINK(AA2 &amp; "/hammer/sn_f7f445b68a467652d30ee0b5a9888c0b/rendering/09.obj", "5.77020454407")</f>
        <v>5.77020454407</v>
      </c>
      <c r="M1198" s="212" t="str">
        <f>HYPERLINK(AA2 &amp; "/hammer/sn_f7f445b68a467652d30ee0b5a9888c0b/rendering/10.obj", "2.27608680725")</f>
        <v>2.27608680725</v>
      </c>
      <c r="N1198" s="35" t="str">
        <f>HYPERLINK(AA2 &amp; "/hammer/sn_f7f445b68a467652d30ee0b5a9888c0b/rendering/11.obj", "4.24757385254")</f>
        <v>4.24757385254</v>
      </c>
      <c r="O1198" s="84" t="str">
        <f>HYPERLINK(AA2 &amp; "/hammer/sn_f7f445b68a467652d30ee0b5a9888c0b/rendering/12.obj", "4.58825922012")</f>
        <v>4.58825922012</v>
      </c>
      <c r="P1198" s="85" t="str">
        <f>HYPERLINK(AA2 &amp; "/hammer/sn_f7f445b68a467652d30ee0b5a9888c0b/rendering/13.obj", "5.20163249969")</f>
        <v>5.20163249969</v>
      </c>
      <c r="Q1198" s="171" t="str">
        <f>HYPERLINK(AA2 &amp; "/hammer/sn_f7f445b68a467652d30ee0b5a9888c0b/rendering/14.obj", "2.78862094879")</f>
        <v>2.78862094879</v>
      </c>
      <c r="R1198" s="123" t="str">
        <f>HYPERLINK(AA2 &amp; "/hammer/sn_f7f445b68a467652d30ee0b5a9888c0b/rendering/15.obj", "2.5293700695")</f>
        <v>2.5293700695</v>
      </c>
      <c r="S1198" s="20" t="str">
        <f>HYPERLINK(AA2 &amp; "/hammer/sn_f7f445b68a467652d30ee0b5a9888c0b/rendering/16.obj", "11.2409524918")</f>
        <v>11.2409524918</v>
      </c>
      <c r="T1198" s="79" t="str">
        <f>HYPERLINK(AA2 &amp; "/hammer/sn_f7f445b68a467652d30ee0b5a9888c0b/rendering/17.obj", "4.64068460464")</f>
        <v>4.64068460464</v>
      </c>
      <c r="U1198" s="14" t="str">
        <f>HYPERLINK(AA2 &amp; "/hammer/sn_f7f445b68a467652d30ee0b5a9888c0b/rendering/18.obj", "2.84340977669")</f>
        <v>2.84340977669</v>
      </c>
      <c r="V1198" s="196" t="str">
        <f>HYPERLINK(AA2 &amp; "/hammer/sn_f7f445b68a467652d30ee0b5a9888c0b/rendering/19.obj", "2.41407942772")</f>
        <v>2.41407942772</v>
      </c>
      <c r="W1198" s="12" t="s">
        <v>30</v>
      </c>
      <c r="X1198" s="13">
        <v>4.0094157457351676</v>
      </c>
      <c r="Y1198" s="13">
        <v>2.071235792748098</v>
      </c>
      <c r="Z1198" s="218">
        <v>0.51659292128816503</v>
      </c>
    </row>
    <row r="1199" spans="1:26" x14ac:dyDescent="0.2">
      <c r="A1199" s="1">
        <v>1197</v>
      </c>
      <c r="B1199" s="2" t="s">
        <v>272</v>
      </c>
      <c r="C1199" s="25" t="str">
        <f>HYPERLINK(AB2 &amp; "/hammer/sn_f7f445b68a467652d30ee0b5a9888c0b/rendering/00.obj", "5.50927856445")</f>
        <v>5.50927856445</v>
      </c>
      <c r="D1199" s="90" t="str">
        <f>HYPERLINK(AB2 &amp; "/hammer/sn_f7f445b68a467652d30ee0b5a9888c0b/rendering/01.obj", "5.03941925049")</f>
        <v>5.03941925049</v>
      </c>
      <c r="E1199" s="47" t="str">
        <f>HYPERLINK(AB2 &amp; "/hammer/sn_f7f445b68a467652d30ee0b5a9888c0b/rendering/02.obj", "5.61268188477")</f>
        <v>5.61268188477</v>
      </c>
      <c r="F1199" s="136" t="str">
        <f>HYPERLINK(AB2 &amp; "/hammer/sn_f7f445b68a467652d30ee0b5a9888c0b/rendering/03.obj", "6.88906616211")</f>
        <v>6.88906616211</v>
      </c>
      <c r="G1199" s="17" t="str">
        <f>HYPERLINK(AB2 &amp; "/hammer/sn_f7f445b68a467652d30ee0b5a9888c0b/rendering/04.obj", "5.46161010742")</f>
        <v>5.46161010742</v>
      </c>
      <c r="H1199" s="47" t="str">
        <f>HYPERLINK(AB2 &amp; "/hammer/sn_f7f445b68a467652d30ee0b5a9888c0b/rendering/05.obj", "5.52671508789")</f>
        <v>5.52671508789</v>
      </c>
      <c r="I1199" s="51" t="str">
        <f>HYPERLINK(AB2 &amp; "/hammer/sn_f7f445b68a467652d30ee0b5a9888c0b/rendering/06.obj", "5.12550842285")</f>
        <v>5.12550842285</v>
      </c>
      <c r="J1199" s="30" t="str">
        <f>HYPERLINK(AB2 &amp; "/hammer/sn_f7f445b68a467652d30ee0b5a9888c0b/rendering/07.obj", "5.54343261719")</f>
        <v>5.54343261719</v>
      </c>
      <c r="K1199" s="26" t="str">
        <f>HYPERLINK(AB2 &amp; "/hammer/sn_f7f445b68a467652d30ee0b5a9888c0b/rendering/08.obj", "5.93556884766")</f>
        <v>5.93556884766</v>
      </c>
      <c r="L1199" s="23" t="str">
        <f>HYPERLINK(AB2 &amp; "/hammer/sn_f7f445b68a467652d30ee0b5a9888c0b/rendering/09.obj", "5.79123718262")</f>
        <v>5.79123718262</v>
      </c>
      <c r="M1199" s="75" t="str">
        <f>HYPERLINK(AB2 &amp; "/hammer/sn_f7f445b68a467652d30ee0b5a9888c0b/rendering/10.obj", "6.8159564209")</f>
        <v>6.8159564209</v>
      </c>
      <c r="N1199" s="84" t="str">
        <f>HYPERLINK(AB2 &amp; "/hammer/sn_f7f445b68a467652d30ee0b5a9888c0b/rendering/11.obj", "4.75437072754")</f>
        <v>4.75437072754</v>
      </c>
      <c r="O1199" s="30" t="str">
        <f>HYPERLINK(AB2 &amp; "/hammer/sn_f7f445b68a467652d30ee0b5a9888c0b/rendering/12.obj", "5.54521850586")</f>
        <v>5.54521850586</v>
      </c>
      <c r="P1199" s="8" t="str">
        <f>HYPERLINK(AB2 &amp; "/hammer/sn_f7f445b68a467652d30ee0b5a9888c0b/rendering/13.obj", "4.77277832031")</f>
        <v>4.77277832031</v>
      </c>
      <c r="Q1199" s="13" t="str">
        <f>HYPERLINK(AB2 &amp; "/hammer/sn_f7f445b68a467652d30ee0b5a9888c0b/rendering/14.obj", "5.57463256836")</f>
        <v>5.57463256836</v>
      </c>
      <c r="R1199" s="5" t="str">
        <f>HYPERLINK(AB2 &amp; "/hammer/sn_f7f445b68a467652d30ee0b5a9888c0b/rendering/15.obj", "6.00143859863")</f>
        <v>6.00143859863</v>
      </c>
      <c r="S1199" s="71" t="str">
        <f>HYPERLINK(AB2 &amp; "/hammer/sn_f7f445b68a467652d30ee0b5a9888c0b/rendering/16.obj", "4.91923828125")</f>
        <v>4.91923828125</v>
      </c>
      <c r="T1199" s="69" t="str">
        <f>HYPERLINK(AB2 &amp; "/hammer/sn_f7f445b68a467652d30ee0b5a9888c0b/rendering/17.obj", "5.74392578125")</f>
        <v>5.74392578125</v>
      </c>
      <c r="U1199" s="46" t="str">
        <f>HYPERLINK(AB2 &amp; "/hammer/sn_f7f445b68a467652d30ee0b5a9888c0b/rendering/18.obj", "5.66662353516")</f>
        <v>5.66662353516</v>
      </c>
      <c r="V1199" s="10" t="str">
        <f>HYPERLINK(AB2 &amp; "/hammer/sn_f7f445b68a467652d30ee0b5a9888c0b/rendering/19.obj", "5.27026672363")</f>
        <v>5.27026672363</v>
      </c>
      <c r="W1199" s="12" t="s">
        <v>31</v>
      </c>
      <c r="X1199" s="13">
        <v>5.5749483795166013</v>
      </c>
      <c r="Y1199" s="13">
        <v>0.54835529065624744</v>
      </c>
      <c r="Z1199" s="110">
        <v>9.8360604139583946E-2</v>
      </c>
    </row>
    <row r="1200" spans="1:26" x14ac:dyDescent="0.2">
      <c r="A1200" s="1">
        <v>1198</v>
      </c>
      <c r="B1200" s="2" t="s">
        <v>272</v>
      </c>
      <c r="C1200" s="117" t="str">
        <f>HYPERLINK(AB2 &amp; "/hammer/sn_f7f445b68a467652d30ee0b5a9888c0b/rendering/00.obj", "2.0942056179")</f>
        <v>2.0942056179</v>
      </c>
      <c r="D1200" s="38" t="str">
        <f>HYPERLINK(AB2 &amp; "/hammer/sn_f7f445b68a467652d30ee0b5a9888c0b/rendering/01.obj", "2.32130503654")</f>
        <v>2.32130503654</v>
      </c>
      <c r="E1200" s="5" t="str">
        <f>HYPERLINK(AB2 &amp; "/hammer/sn_f7f445b68a467652d30ee0b5a9888c0b/rendering/02.obj", "2.34952402115")</f>
        <v>2.34952402115</v>
      </c>
      <c r="F1200" s="20" t="str">
        <f>HYPERLINK(AB2 &amp; "/hammer/sn_f7f445b68a467652d30ee0b5a9888c0b/rendering/03.obj", "4.91333532333")</f>
        <v>4.91333532333</v>
      </c>
      <c r="G1200" s="39" t="str">
        <f>HYPERLINK(AB2 &amp; "/hammer/sn_f7f445b68a467652d30ee0b5a9888c0b/rendering/04.obj", "2.3243560791")</f>
        <v>2.3243560791</v>
      </c>
      <c r="H1200" s="109" t="str">
        <f>HYPERLINK(AB2 &amp; "/hammer/sn_f7f445b68a467652d30ee0b5a9888c0b/rendering/05.obj", "2.06666183472")</f>
        <v>2.06666183472</v>
      </c>
      <c r="I1200" s="31" t="str">
        <f>HYPERLINK(AB2 &amp; "/hammer/sn_f7f445b68a467652d30ee0b5a9888c0b/rendering/06.obj", "2.15451812744")</f>
        <v>2.15451812744</v>
      </c>
      <c r="J1200" s="71" t="str">
        <f>HYPERLINK(AB2 &amp; "/hammer/sn_f7f445b68a467652d30ee0b5a9888c0b/rendering/07.obj", "2.24400448799")</f>
        <v>2.24400448799</v>
      </c>
      <c r="K1200" s="92" t="str">
        <f>HYPERLINK(AB2 &amp; "/hammer/sn_f7f445b68a467652d30ee0b5a9888c0b/rendering/08.obj", "2.22728824615")</f>
        <v>2.22728824615</v>
      </c>
      <c r="L1200" s="30" t="str">
        <f>HYPERLINK(AB2 &amp; "/hammer/sn_f7f445b68a467652d30ee0b5a9888c0b/rendering/09.obj", "2.53705096245")</f>
        <v>2.53705096245</v>
      </c>
      <c r="M1200" s="111" t="str">
        <f>HYPERLINK(AB2 &amp; "/hammer/sn_f7f445b68a467652d30ee0b5a9888c0b/rendering/10.obj", "3.61811161041")</f>
        <v>3.61811161041</v>
      </c>
      <c r="N1200" s="63" t="str">
        <f>HYPERLINK(AB2 &amp; "/hammer/sn_f7f445b68a467652d30ee0b5a9888c0b/rendering/11.obj", "2.23864006996")</f>
        <v>2.23864006996</v>
      </c>
      <c r="O1200" s="47" t="str">
        <f>HYPERLINK(AB2 &amp; "/hammer/sn_f7f445b68a467652d30ee0b5a9888c0b/rendering/12.obj", "2.56468486786")</f>
        <v>2.56468486786</v>
      </c>
      <c r="P1200" s="65" t="str">
        <f>HYPERLINK(AB2 &amp; "/hammer/sn_f7f445b68a467652d30ee0b5a9888c0b/rendering/13.obj", "2.20575642586")</f>
        <v>2.20575642586</v>
      </c>
      <c r="Q1200" s="106" t="str">
        <f>HYPERLINK(AB2 &amp; "/hammer/sn_f7f445b68a467652d30ee0b5a9888c0b/rendering/14.obj", "2.25411081314")</f>
        <v>2.25411081314</v>
      </c>
      <c r="R1200" s="98" t="str">
        <f>HYPERLINK(AB2 &amp; "/hammer/sn_f7f445b68a467652d30ee0b5a9888c0b/rendering/15.obj", "3.13326382637")</f>
        <v>3.13326382637</v>
      </c>
      <c r="S1200" s="67" t="str">
        <f>HYPERLINK(AB2 &amp; "/hammer/sn_f7f445b68a467652d30ee0b5a9888c0b/rendering/16.obj", "2.31196522713")</f>
        <v>2.31196522713</v>
      </c>
      <c r="T1200" s="65" t="str">
        <f>HYPERLINK(AB2 &amp; "/hammer/sn_f7f445b68a467652d30ee0b5a9888c0b/rendering/17.obj", "2.88623189926")</f>
        <v>2.88623189926</v>
      </c>
      <c r="U1200" s="5" t="str">
        <f>HYPERLINK(AB2 &amp; "/hammer/sn_f7f445b68a467652d30ee0b5a9888c0b/rendering/18.obj", "2.3507361412")</f>
        <v>2.3507361412</v>
      </c>
      <c r="V1200" s="64" t="str">
        <f>HYPERLINK(AB2 &amp; "/hammer/sn_f7f445b68a467652d30ee0b5a9888c0b/rendering/19.obj", "2.1259534359")</f>
        <v>2.1259534359</v>
      </c>
      <c r="W1200" s="12" t="s">
        <v>32</v>
      </c>
      <c r="X1200" s="13">
        <v>2.5460852026939391</v>
      </c>
      <c r="Y1200" s="13">
        <v>0.65945721474936136</v>
      </c>
      <c r="Z1200" s="89">
        <v>0.25900830579102718</v>
      </c>
    </row>
    <row r="1201" spans="1:26" x14ac:dyDescent="0.2">
      <c r="A1201" s="1">
        <v>1199</v>
      </c>
      <c r="B1201" s="2" t="s">
        <v>272</v>
      </c>
      <c r="C1201" s="13" t="str">
        <f>HYPERLINK(AC2 &amp; "/hammer/sn_f7f445b68a467652d30ee0b5a9888c0b/rendering/00.xyz", "0.0")</f>
        <v>0.0</v>
      </c>
      <c r="D1201" s="13" t="str">
        <f>HYPERLINK(AC2 &amp; "/hammer/sn_f7f445b68a467652d30ee0b5a9888c0b/rendering/01.xyz", "0.0")</f>
        <v>0.0</v>
      </c>
      <c r="E1201" s="13" t="str">
        <f>HYPERLINK(AC2 &amp; "/hammer/sn_f7f445b68a467652d30ee0b5a9888c0b/rendering/02.xyz", "0.0")</f>
        <v>0.0</v>
      </c>
      <c r="F1201" s="13" t="str">
        <f>HYPERLINK(AC2 &amp; "/hammer/sn_f7f445b68a467652d30ee0b5a9888c0b/rendering/03.xyz", "0.0")</f>
        <v>0.0</v>
      </c>
      <c r="G1201" s="13" t="str">
        <f>HYPERLINK(AC2 &amp; "/hammer/sn_f7f445b68a467652d30ee0b5a9888c0b/rendering/04.xyz", "0.0")</f>
        <v>0.0</v>
      </c>
      <c r="H1201" s="13" t="str">
        <f>HYPERLINK(AC2 &amp; "/hammer/sn_f7f445b68a467652d30ee0b5a9888c0b/rendering/05.xyz", "0.0")</f>
        <v>0.0</v>
      </c>
      <c r="I1201" s="13" t="str">
        <f>HYPERLINK(AC2 &amp; "/hammer/sn_f7f445b68a467652d30ee0b5a9888c0b/rendering/06.xyz", "0.0")</f>
        <v>0.0</v>
      </c>
      <c r="J1201" s="13" t="str">
        <f>HYPERLINK(AC2 &amp; "/hammer/sn_f7f445b68a467652d30ee0b5a9888c0b/rendering/07.xyz", "0.0")</f>
        <v>0.0</v>
      </c>
      <c r="K1201" s="13" t="str">
        <f>HYPERLINK(AC2 &amp; "/hammer/sn_f7f445b68a467652d30ee0b5a9888c0b/rendering/08.xyz", "0.0")</f>
        <v>0.0</v>
      </c>
      <c r="L1201" s="13" t="str">
        <f>HYPERLINK(AC2 &amp; "/hammer/sn_f7f445b68a467652d30ee0b5a9888c0b/rendering/09.xyz", "0.0")</f>
        <v>0.0</v>
      </c>
      <c r="M1201" s="13" t="str">
        <f>HYPERLINK(AC2 &amp; "/hammer/sn_f7f445b68a467652d30ee0b5a9888c0b/rendering/10.xyz", "0.0")</f>
        <v>0.0</v>
      </c>
      <c r="N1201" s="13" t="str">
        <f>HYPERLINK(AC2 &amp; "/hammer/sn_f7f445b68a467652d30ee0b5a9888c0b/rendering/11.xyz", "0.0")</f>
        <v>0.0</v>
      </c>
      <c r="O1201" s="13" t="str">
        <f>HYPERLINK(AC2 &amp; "/hammer/sn_f7f445b68a467652d30ee0b5a9888c0b/rendering/12.xyz", "0.0")</f>
        <v>0.0</v>
      </c>
      <c r="P1201" s="13" t="str">
        <f>HYPERLINK(AC2 &amp; "/hammer/sn_f7f445b68a467652d30ee0b5a9888c0b/rendering/13.xyz", "0.0")</f>
        <v>0.0</v>
      </c>
      <c r="Q1201" s="13" t="str">
        <f>HYPERLINK(AC2 &amp; "/hammer/sn_f7f445b68a467652d30ee0b5a9888c0b/rendering/14.xyz", "0.0")</f>
        <v>0.0</v>
      </c>
      <c r="R1201" s="13" t="str">
        <f>HYPERLINK(AC2 &amp; "/hammer/sn_f7f445b68a467652d30ee0b5a9888c0b/rendering/15.xyz", "0.0")</f>
        <v>0.0</v>
      </c>
      <c r="S1201" s="13" t="str">
        <f>HYPERLINK(AC2 &amp; "/hammer/sn_f7f445b68a467652d30ee0b5a9888c0b/rendering/16.xyz", "0.0")</f>
        <v>0.0</v>
      </c>
      <c r="T1201" s="13" t="str">
        <f>HYPERLINK(AC2 &amp; "/hammer/sn_f7f445b68a467652d30ee0b5a9888c0b/rendering/17.xyz", "0.0")</f>
        <v>0.0</v>
      </c>
      <c r="U1201" s="13" t="str">
        <f>HYPERLINK(AC2 &amp; "/hammer/sn_f7f445b68a467652d30ee0b5a9888c0b/rendering/18.xyz", "0.0")</f>
        <v>0.0</v>
      </c>
      <c r="V1201" s="13" t="str">
        <f>HYPERLINK(AC2 &amp; "/hammer/sn_f7f445b68a467652d30ee0b5a9888c0b/rendering/19.xyz", "0.0")</f>
        <v>0.0</v>
      </c>
      <c r="W1201" s="12" t="s">
        <v>33</v>
      </c>
      <c r="X1201" s="13">
        <v>0</v>
      </c>
      <c r="Y1201" s="13">
        <v>0</v>
      </c>
      <c r="Z1201" s="13">
        <v>0</v>
      </c>
    </row>
    <row r="1202" spans="1:26" x14ac:dyDescent="0.2">
      <c r="A1202" s="1">
        <v>1200</v>
      </c>
      <c r="B1202" s="2" t="s">
        <v>273</v>
      </c>
      <c r="C1202" s="20" t="str">
        <f>HYPERLINK(AA2 &amp; "/hammer/sn_fb58b1ee0dfd7eb1d6f05f55d4d695b0/rendering/00.obj", "27.6953588867")</f>
        <v>27.6953588867</v>
      </c>
      <c r="D1202" s="93" t="str">
        <f>HYPERLINK(AA2 &amp; "/hammer/sn_fb58b1ee0dfd7eb1d6f05f55d4d695b0/rendering/01.obj", "9.26030395508")</f>
        <v>9.26030395508</v>
      </c>
      <c r="E1202" s="106" t="str">
        <f>HYPERLINK(AA2 &amp; "/hammer/sn_fb58b1ee0dfd7eb1d6f05f55d4d695b0/rendering/02.obj", "9.50098876953")</f>
        <v>9.50098876953</v>
      </c>
      <c r="F1202" s="120" t="str">
        <f>HYPERLINK(AA2 &amp; "/hammer/sn_fb58b1ee0dfd7eb1d6f05f55d4d695b0/rendering/03.obj", "8.48029296875")</f>
        <v>8.48029296875</v>
      </c>
      <c r="G1202" s="93" t="str">
        <f>HYPERLINK(AA2 &amp; "/hammer/sn_fb58b1ee0dfd7eb1d6f05f55d4d695b0/rendering/04.obj", "9.25533996582")</f>
        <v>9.25533996582</v>
      </c>
      <c r="H1202" s="23" t="str">
        <f>HYPERLINK(AA2 &amp; "/hammer/sn_fb58b1ee0dfd7eb1d6f05f55d4d695b0/rendering/05.obj", "11.159173584")</f>
        <v>11.159173584</v>
      </c>
      <c r="I1202" s="181" t="str">
        <f>HYPERLINK(AA2 &amp; "/hammer/sn_fb58b1ee0dfd7eb1d6f05f55d4d695b0/rendering/06.obj", "5.99138427734")</f>
        <v>5.99138427734</v>
      </c>
      <c r="J1202" s="96" t="str">
        <f>HYPERLINK(AA2 &amp; "/hammer/sn_fb58b1ee0dfd7eb1d6f05f55d4d695b0/rendering/07.obj", "6.86110595703")</f>
        <v>6.86110595703</v>
      </c>
      <c r="K1202" s="171" t="str">
        <f>HYPERLINK(AA2 &amp; "/hammer/sn_fb58b1ee0dfd7eb1d6f05f55d4d695b0/rendering/08.obj", "7.4452166748")</f>
        <v>7.4452166748</v>
      </c>
      <c r="L1202" s="60" t="str">
        <f>HYPERLINK(AA2 &amp; "/hammer/sn_fb58b1ee0dfd7eb1d6f05f55d4d695b0/rendering/09.obj", "11.308581543")</f>
        <v>11.308581543</v>
      </c>
      <c r="M1202" s="56" t="str">
        <f>HYPERLINK(AA2 &amp; "/hammer/sn_fb58b1ee0dfd7eb1d6f05f55d4d695b0/rendering/10.obj", "7.43176391602")</f>
        <v>7.43176391602</v>
      </c>
      <c r="N1202" s="172" t="str">
        <f>HYPERLINK(AA2 &amp; "/hammer/sn_fb58b1ee0dfd7eb1d6f05f55d4d695b0/rendering/11.obj", "14.892434082")</f>
        <v>14.892434082</v>
      </c>
      <c r="O1202" s="46" t="str">
        <f>HYPERLINK(AA2 &amp; "/hammer/sn_fb58b1ee0dfd7eb1d6f05f55d4d695b0/rendering/12.obj", "10.5726806641")</f>
        <v>10.5726806641</v>
      </c>
      <c r="P1202" s="26" t="str">
        <f>HYPERLINK(AA2 &amp; "/hammer/sn_fb58b1ee0dfd7eb1d6f05f55d4d695b0/rendering/13.obj", "10.0554901123")</f>
        <v>10.0554901123</v>
      </c>
      <c r="Q1202" s="136" t="str">
        <f>HYPERLINK(AA2 &amp; "/hammer/sn_fb58b1ee0dfd7eb1d6f05f55d4d695b0/rendering/14.obj", "8.21696716309")</f>
        <v>8.21696716309</v>
      </c>
      <c r="R1202" s="92" t="str">
        <f>HYPERLINK(AA2 &amp; "/hammer/sn_fb58b1ee0dfd7eb1d6f05f55d4d695b0/rendering/15.obj", "9.40484375")</f>
        <v>9.40484375</v>
      </c>
      <c r="S1202" s="183" t="str">
        <f>HYPERLINK(AA2 &amp; "/hammer/sn_fb58b1ee0dfd7eb1d6f05f55d4d695b0/rendering/16.obj", "18.8248681641")</f>
        <v>18.8248681641</v>
      </c>
      <c r="T1202" s="73" t="str">
        <f>HYPERLINK(AA2 &amp; "/hammer/sn_fb58b1ee0dfd7eb1d6f05f55d4d695b0/rendering/17.obj", "10.3738671875")</f>
        <v>10.3738671875</v>
      </c>
      <c r="U1202" s="80" t="str">
        <f>HYPERLINK(AA2 &amp; "/hammer/sn_fb58b1ee0dfd7eb1d6f05f55d4d695b0/rendering/18.obj", "9.13800720215")</f>
        <v>9.13800720215</v>
      </c>
      <c r="V1202" s="31" t="str">
        <f>HYPERLINK(AA2 &amp; "/hammer/sn_fb58b1ee0dfd7eb1d6f05f55d4d695b0/rendering/19.obj", "9.09341064453")</f>
        <v>9.09341064453</v>
      </c>
      <c r="W1202" s="12" t="s">
        <v>29</v>
      </c>
      <c r="X1202" s="13">
        <v>10.74810397338867</v>
      </c>
      <c r="Y1202" s="13">
        <v>4.7700974100912568</v>
      </c>
      <c r="Z1202" s="181">
        <v>0.44380826812818192</v>
      </c>
    </row>
    <row r="1203" spans="1:26" x14ac:dyDescent="0.2">
      <c r="A1203" s="1">
        <v>1201</v>
      </c>
      <c r="B1203" s="2" t="s">
        <v>273</v>
      </c>
      <c r="C1203" s="20" t="str">
        <f>HYPERLINK(AA2 &amp; "/hammer/sn_fb58b1ee0dfd7eb1d6f05f55d4d695b0/rendering/00.obj", "183.452529907")</f>
        <v>183.452529907</v>
      </c>
      <c r="D1203" s="19" t="str">
        <f>HYPERLINK(AA2 &amp; "/hammer/sn_fb58b1ee0dfd7eb1d6f05f55d4d695b0/rendering/01.obj", "18.3604068756")</f>
        <v>18.3604068756</v>
      </c>
      <c r="E1203" s="142" t="str">
        <f>HYPERLINK(AA2 &amp; "/hammer/sn_fb58b1ee0dfd7eb1d6f05f55d4d695b0/rendering/02.obj", "15.1333866119")</f>
        <v>15.1333866119</v>
      </c>
      <c r="F1203" s="143" t="str">
        <f>HYPERLINK(AA2 &amp; "/hammer/sn_fb58b1ee0dfd7eb1d6f05f55d4d695b0/rendering/03.obj", "13.128695488")</f>
        <v>13.128695488</v>
      </c>
      <c r="G1203" s="201" t="str">
        <f>HYPERLINK(AA2 &amp; "/hammer/sn_fb58b1ee0dfd7eb1d6f05f55d4d695b0/rendering/04.obj", "10.4503355026")</f>
        <v>10.4503355026</v>
      </c>
      <c r="H1203" s="97" t="str">
        <f>HYPERLINK(AA2 &amp; "/hammer/sn_fb58b1ee0dfd7eb1d6f05f55d4d695b0/rendering/05.obj", "14.1249265671")</f>
        <v>14.1249265671</v>
      </c>
      <c r="I1203" s="222" t="str">
        <f>HYPERLINK(AA2 &amp; "/hammer/sn_fb58b1ee0dfd7eb1d6f05f55d4d695b0/rendering/06.obj", "6.2991642952")</f>
        <v>6.2991642952</v>
      </c>
      <c r="J1203" s="154" t="str">
        <f>HYPERLINK(AA2 &amp; "/hammer/sn_fb58b1ee0dfd7eb1d6f05f55d4d695b0/rendering/07.obj", "6.3646774292")</f>
        <v>6.3646774292</v>
      </c>
      <c r="K1203" s="259" t="str">
        <f>HYPERLINK(AA2 &amp; "/hammer/sn_fb58b1ee0dfd7eb1d6f05f55d4d695b0/rendering/08.obj", "5.18845319748")</f>
        <v>5.18845319748</v>
      </c>
      <c r="L1203" s="68" t="str">
        <f>HYPERLINK(AA2 &amp; "/hammer/sn_fb58b1ee0dfd7eb1d6f05f55d4d695b0/rendering/09.obj", "25.9289131165")</f>
        <v>25.9289131165</v>
      </c>
      <c r="M1203" s="257" t="str">
        <f>HYPERLINK(AA2 &amp; "/hammer/sn_fb58b1ee0dfd7eb1d6f05f55d4d695b0/rendering/10.obj", "7.16438961029")</f>
        <v>7.16438961029</v>
      </c>
      <c r="N1203" s="33" t="str">
        <f>HYPERLINK(AA2 &amp; "/hammer/sn_fb58b1ee0dfd7eb1d6f05f55d4d695b0/rendering/11.obj", "27.6397724152")</f>
        <v>27.6397724152</v>
      </c>
      <c r="O1203" s="17" t="str">
        <f>HYPERLINK(AA2 &amp; "/hammer/sn_fb58b1ee0dfd7eb1d6f05f55d4d695b0/rendering/12.obj", "24.4314823151")</f>
        <v>24.4314823151</v>
      </c>
      <c r="P1203" s="202" t="str">
        <f>HYPERLINK(AA2 &amp; "/hammer/sn_fb58b1ee0dfd7eb1d6f05f55d4d695b0/rendering/13.obj", "9.2698431015")</f>
        <v>9.2698431015</v>
      </c>
      <c r="Q1203" s="141" t="str">
        <f>HYPERLINK(AA2 &amp; "/hammer/sn_fb58b1ee0dfd7eb1d6f05f55d4d695b0/rendering/14.obj", "11.1667385101")</f>
        <v>11.1667385101</v>
      </c>
      <c r="R1203" s="57" t="str">
        <f>HYPERLINK(AA2 &amp; "/hammer/sn_fb58b1ee0dfd7eb1d6f05f55d4d695b0/rendering/15.obj", "17.0791015625")</f>
        <v>17.0791015625</v>
      </c>
      <c r="S1203" s="20" t="str">
        <f>HYPERLINK(AA2 &amp; "/hammer/sn_fb58b1ee0dfd7eb1d6f05f55d4d695b0/rendering/16.obj", "58.8871154785")</f>
        <v>58.8871154785</v>
      </c>
      <c r="T1203" s="101" t="str">
        <f>HYPERLINK(AA2 &amp; "/hammer/sn_fb58b1ee0dfd7eb1d6f05f55d4d695b0/rendering/17.obj", "15.5205774307")</f>
        <v>15.5205774307</v>
      </c>
      <c r="U1203" s="167" t="str">
        <f>HYPERLINK(AA2 &amp; "/hammer/sn_fb58b1ee0dfd7eb1d6f05f55d4d695b0/rendering/18.obj", "9.85305786133")</f>
        <v>9.85305786133</v>
      </c>
      <c r="V1203" s="108" t="str">
        <f>HYPERLINK(AA2 &amp; "/hammer/sn_fb58b1ee0dfd7eb1d6f05f55d4d695b0/rendering/19.obj", "18.7544441223")</f>
        <v>18.7544441223</v>
      </c>
      <c r="W1203" s="12" t="s">
        <v>30</v>
      </c>
      <c r="X1203" s="13">
        <v>24.90990056991577</v>
      </c>
      <c r="Y1203" s="13">
        <v>38.17282528479145</v>
      </c>
      <c r="Z1203" s="20">
        <v>1.5324358753520519</v>
      </c>
    </row>
    <row r="1204" spans="1:26" x14ac:dyDescent="0.2">
      <c r="A1204" s="1">
        <v>1202</v>
      </c>
      <c r="B1204" s="2" t="s">
        <v>273</v>
      </c>
      <c r="C1204" s="74" t="str">
        <f>HYPERLINK(AB2 &amp; "/hammer/sn_fb58b1ee0dfd7eb1d6f05f55d4d695b0/rendering/00.obj", "6.46375854492")</f>
        <v>6.46375854492</v>
      </c>
      <c r="D1204" s="58" t="str">
        <f>HYPERLINK(AB2 &amp; "/hammer/sn_fb58b1ee0dfd7eb1d6f05f55d4d695b0/rendering/01.obj", "4.82459503174")</f>
        <v>4.82459503174</v>
      </c>
      <c r="E1204" s="74" t="str">
        <f>HYPERLINK(AB2 &amp; "/hammer/sn_fb58b1ee0dfd7eb1d6f05f55d4d695b0/rendering/02.obj", "6.29642822266")</f>
        <v>6.29642822266</v>
      </c>
      <c r="F1204" s="17" t="str">
        <f>HYPERLINK(AB2 &amp; "/hammer/sn_fb58b1ee0dfd7eb1d6f05f55d4d695b0/rendering/03.obj", "6.24420959473")</f>
        <v>6.24420959473</v>
      </c>
      <c r="G1204" s="23" t="str">
        <f>HYPERLINK(AB2 &amp; "/hammer/sn_fb58b1ee0dfd7eb1d6f05f55d4d695b0/rendering/04.obj", "6.63893371582")</f>
        <v>6.63893371582</v>
      </c>
      <c r="H1204" s="37" t="str">
        <f>HYPERLINK(AB2 &amp; "/hammer/sn_fb58b1ee0dfd7eb1d6f05f55d4d695b0/rendering/05.obj", "5.26683227539")</f>
        <v>5.26683227539</v>
      </c>
      <c r="I1204" s="29" t="str">
        <f>HYPERLINK(AB2 &amp; "/hammer/sn_fb58b1ee0dfd7eb1d6f05f55d4d695b0/rendering/06.obj", "5.55001342773")</f>
        <v>5.55001342773</v>
      </c>
      <c r="J1204" s="10" t="str">
        <f>HYPERLINK(AB2 &amp; "/hammer/sn_fb58b1ee0dfd7eb1d6f05f55d4d695b0/rendering/07.obj", "6.03262268066")</f>
        <v>6.03262268066</v>
      </c>
      <c r="K1204" s="72" t="str">
        <f>HYPERLINK(AB2 &amp; "/hammer/sn_fb58b1ee0dfd7eb1d6f05f55d4d695b0/rendering/08.obj", "6.59790161133")</f>
        <v>6.59790161133</v>
      </c>
      <c r="L1204" s="134" t="str">
        <f>HYPERLINK(AB2 &amp; "/hammer/sn_fb58b1ee0dfd7eb1d6f05f55d4d695b0/rendering/09.obj", "7.54223999023")</f>
        <v>7.54223999023</v>
      </c>
      <c r="M1204" s="48" t="str">
        <f>HYPERLINK(AB2 &amp; "/hammer/sn_fb58b1ee0dfd7eb1d6f05f55d4d695b0/rendering/10.obj", "6.24150146484")</f>
        <v>6.24150146484</v>
      </c>
      <c r="N1204" s="78" t="str">
        <f>HYPERLINK(AB2 &amp; "/hammer/sn_fb58b1ee0dfd7eb1d6f05f55d4d695b0/rendering/11.obj", "6.77542602539")</f>
        <v>6.77542602539</v>
      </c>
      <c r="O1204" s="109" t="str">
        <f>HYPERLINK(AB2 &amp; "/hammer/sn_fb58b1ee0dfd7eb1d6f05f55d4d695b0/rendering/12.obj", "7.58630981445")</f>
        <v>7.58630981445</v>
      </c>
      <c r="P1204" s="19" t="str">
        <f>HYPERLINK(AB2 &amp; "/hammer/sn_fb58b1ee0dfd7eb1d6f05f55d4d695b0/rendering/13.obj", "8.05524536133")</f>
        <v>8.05524536133</v>
      </c>
      <c r="Q1204" s="110" t="str">
        <f>HYPERLINK(AB2 &amp; "/hammer/sn_fb58b1ee0dfd7eb1d6f05f55d4d695b0/rendering/14.obj", "5.75736572266")</f>
        <v>5.75736572266</v>
      </c>
      <c r="R1204" s="55" t="str">
        <f>HYPERLINK(AB2 &amp; "/hammer/sn_fb58b1ee0dfd7eb1d6f05f55d4d695b0/rendering/15.obj", "7.62153198242")</f>
        <v>7.62153198242</v>
      </c>
      <c r="S1204" s="106" t="str">
        <f>HYPERLINK(AB2 &amp; "/hammer/sn_fb58b1ee0dfd7eb1d6f05f55d4d695b0/rendering/16.obj", "5.65422973633")</f>
        <v>5.65422973633</v>
      </c>
      <c r="T1204" s="66" t="str">
        <f>HYPERLINK(AB2 &amp; "/hammer/sn_fb58b1ee0dfd7eb1d6f05f55d4d695b0/rendering/17.obj", "5.34962097168")</f>
        <v>5.34962097168</v>
      </c>
      <c r="U1204" s="35" t="str">
        <f>HYPERLINK(AB2 &amp; "/hammer/sn_fb58b1ee0dfd7eb1d6f05f55d4d695b0/rendering/18.obj", "6.76254638672")</f>
        <v>6.76254638672</v>
      </c>
      <c r="V1204" s="13" t="str">
        <f>HYPERLINK(AB2 &amp; "/hammer/sn_fb58b1ee0dfd7eb1d6f05f55d4d695b0/rendering/19.obj", "6.39596618652")</f>
        <v>6.39596618652</v>
      </c>
      <c r="W1204" s="12" t="s">
        <v>31</v>
      </c>
      <c r="X1204" s="13">
        <v>6.3828639373779286</v>
      </c>
      <c r="Y1204" s="13">
        <v>0.83865514874731306</v>
      </c>
      <c r="Z1204" s="29">
        <v>0.13139166947240791</v>
      </c>
    </row>
    <row r="1205" spans="1:26" x14ac:dyDescent="0.2">
      <c r="A1205" s="1">
        <v>1203</v>
      </c>
      <c r="B1205" s="2" t="s">
        <v>273</v>
      </c>
      <c r="C1205" s="27" t="str">
        <f>HYPERLINK(AB2 &amp; "/hammer/sn_fb58b1ee0dfd7eb1d6f05f55d4d695b0/rendering/00.obj", "4.93579673767")</f>
        <v>4.93579673767</v>
      </c>
      <c r="D1205" s="109" t="str">
        <f>HYPERLINK(AB2 &amp; "/hammer/sn_fb58b1ee0dfd7eb1d6f05f55d4d695b0/rendering/01.obj", "3.72745323181")</f>
        <v>3.72745323181</v>
      </c>
      <c r="E1205" s="98" t="str">
        <f>HYPERLINK(AB2 &amp; "/hammer/sn_fb58b1ee0dfd7eb1d6f05f55d4d695b0/rendering/02.obj", "5.66502380371")</f>
        <v>5.66502380371</v>
      </c>
      <c r="F1205" s="24" t="str">
        <f>HYPERLINK(AB2 &amp; "/hammer/sn_fb58b1ee0dfd7eb1d6f05f55d4d695b0/rendering/03.obj", "5.37922048569")</f>
        <v>5.37922048569</v>
      </c>
      <c r="G1205" s="83" t="str">
        <f>HYPERLINK(AB2 &amp; "/hammer/sn_fb58b1ee0dfd7eb1d6f05f55d4d695b0/rendering/04.obj", "3.90443348885")</f>
        <v>3.90443348885</v>
      </c>
      <c r="H1205" s="33" t="str">
        <f>HYPERLINK(AB2 &amp; "/hammer/sn_fb58b1ee0dfd7eb1d6f05f55d4d695b0/rendering/05.obj", "4.11087560654")</f>
        <v>4.11087560654</v>
      </c>
      <c r="I1205" s="69" t="str">
        <f>HYPERLINK(AB2 &amp; "/hammer/sn_fb58b1ee0dfd7eb1d6f05f55d4d695b0/rendering/06.obj", "4.7399930954")</f>
        <v>4.7399930954</v>
      </c>
      <c r="J1205" s="166" t="str">
        <f>HYPERLINK(AB2 &amp; "/hammer/sn_fb58b1ee0dfd7eb1d6f05f55d4d695b0/rendering/07.obj", "3.28388619423")</f>
        <v>3.28388619423</v>
      </c>
      <c r="K1205" s="136" t="str">
        <f>HYPERLINK(AB2 &amp; "/hammer/sn_fb58b1ee0dfd7eb1d6f05f55d4d695b0/rendering/08.obj", "3.50656890869")</f>
        <v>3.50656890869</v>
      </c>
      <c r="L1205" s="176" t="str">
        <f>HYPERLINK(AB2 &amp; "/hammer/sn_fb58b1ee0dfd7eb1d6f05f55d4d695b0/rendering/09.obj", "6.06979942322")</f>
        <v>6.06979942322</v>
      </c>
      <c r="M1205" s="71" t="str">
        <f>HYPERLINK(AB2 &amp; "/hammer/sn_fb58b1ee0dfd7eb1d6f05f55d4d695b0/rendering/10.obj", "4.0637178421")</f>
        <v>4.0637178421</v>
      </c>
      <c r="N1205" s="64" t="str">
        <f>HYPERLINK(AB2 &amp; "/hammer/sn_fb58b1ee0dfd7eb1d6f05f55d4d695b0/rendering/11.obj", "3.85042071342")</f>
        <v>3.85042071342</v>
      </c>
      <c r="O1205" s="7" t="str">
        <f>HYPERLINK(AB2 &amp; "/hammer/sn_fb58b1ee0dfd7eb1d6f05f55d4d695b0/rendering/12.obj", "5.87543296814")</f>
        <v>5.87543296814</v>
      </c>
      <c r="P1205" s="8" t="str">
        <f>HYPERLINK(AB2 &amp; "/hammer/sn_fb58b1ee0dfd7eb1d6f05f55d4d695b0/rendering/13.obj", "3.94339752197")</f>
        <v>3.94339752197</v>
      </c>
      <c r="Q1205" s="72" t="str">
        <f>HYPERLINK(AB2 &amp; "/hammer/sn_fb58b1ee0dfd7eb1d6f05f55d4d695b0/rendering/14.obj", "4.45008897781")</f>
        <v>4.45008897781</v>
      </c>
      <c r="R1205" s="79" t="str">
        <f>HYPERLINK(AB2 &amp; "/hammer/sn_fb58b1ee0dfd7eb1d6f05f55d4d695b0/rendering/15.obj", "5.33963394165")</f>
        <v>5.33963394165</v>
      </c>
      <c r="S1205" s="191" t="str">
        <f>HYPERLINK(AB2 &amp; "/hammer/sn_fb58b1ee0dfd7eb1d6f05f55d4d695b0/rendering/16.obj", "6.6917886734")</f>
        <v>6.6917886734</v>
      </c>
      <c r="T1205" s="74" t="str">
        <f>HYPERLINK(AB2 &amp; "/hammer/sn_fb58b1ee0dfd7eb1d6f05f55d4d695b0/rendering/17.obj", "4.53817892075")</f>
        <v>4.53817892075</v>
      </c>
      <c r="U1205" s="176" t="str">
        <f>HYPERLINK(AB2 &amp; "/hammer/sn_fb58b1ee0dfd7eb1d6f05f55d4d695b0/rendering/18.obj", "3.14324021339")</f>
        <v>3.14324021339</v>
      </c>
      <c r="V1205" s="10" t="str">
        <f>HYPERLINK(AB2 &amp; "/hammer/sn_fb58b1ee0dfd7eb1d6f05f55d4d695b0/rendering/19.obj", "4.86356067657")</f>
        <v>4.86356067657</v>
      </c>
      <c r="W1205" s="12" t="s">
        <v>32</v>
      </c>
      <c r="X1205" s="13">
        <v>4.6041255712509157</v>
      </c>
      <c r="Y1205" s="13">
        <v>0.96160799048580836</v>
      </c>
      <c r="Z1205" s="49">
        <v>0.20885789833584939</v>
      </c>
    </row>
    <row r="1206" spans="1:26" x14ac:dyDescent="0.2">
      <c r="A1206" s="1">
        <v>1204</v>
      </c>
      <c r="B1206" s="2" t="s">
        <v>273</v>
      </c>
      <c r="C1206" s="13" t="str">
        <f>HYPERLINK(AC2 &amp; "/hammer/sn_fb58b1ee0dfd7eb1d6f05f55d4d695b0/rendering/00.xyz", "0.0")</f>
        <v>0.0</v>
      </c>
      <c r="D1206" s="13" t="str">
        <f>HYPERLINK(AC2 &amp; "/hammer/sn_fb58b1ee0dfd7eb1d6f05f55d4d695b0/rendering/01.xyz", "0.0")</f>
        <v>0.0</v>
      </c>
      <c r="E1206" s="13" t="str">
        <f>HYPERLINK(AC2 &amp; "/hammer/sn_fb58b1ee0dfd7eb1d6f05f55d4d695b0/rendering/02.xyz", "0.0")</f>
        <v>0.0</v>
      </c>
      <c r="F1206" s="13" t="str">
        <f>HYPERLINK(AC2 &amp; "/hammer/sn_fb58b1ee0dfd7eb1d6f05f55d4d695b0/rendering/03.xyz", "0.0")</f>
        <v>0.0</v>
      </c>
      <c r="G1206" s="13" t="str">
        <f>HYPERLINK(AC2 &amp; "/hammer/sn_fb58b1ee0dfd7eb1d6f05f55d4d695b0/rendering/04.xyz", "0.0")</f>
        <v>0.0</v>
      </c>
      <c r="H1206" s="13" t="str">
        <f>HYPERLINK(AC2 &amp; "/hammer/sn_fb58b1ee0dfd7eb1d6f05f55d4d695b0/rendering/05.xyz", "0.0")</f>
        <v>0.0</v>
      </c>
      <c r="I1206" s="13" t="str">
        <f>HYPERLINK(AC2 &amp; "/hammer/sn_fb58b1ee0dfd7eb1d6f05f55d4d695b0/rendering/06.xyz", "0.0")</f>
        <v>0.0</v>
      </c>
      <c r="J1206" s="13" t="str">
        <f>HYPERLINK(AC2 &amp; "/hammer/sn_fb58b1ee0dfd7eb1d6f05f55d4d695b0/rendering/07.xyz", "0.0")</f>
        <v>0.0</v>
      </c>
      <c r="K1206" s="13" t="str">
        <f>HYPERLINK(AC2 &amp; "/hammer/sn_fb58b1ee0dfd7eb1d6f05f55d4d695b0/rendering/08.xyz", "0.0")</f>
        <v>0.0</v>
      </c>
      <c r="L1206" s="13" t="str">
        <f>HYPERLINK(AC2 &amp; "/hammer/sn_fb58b1ee0dfd7eb1d6f05f55d4d695b0/rendering/09.xyz", "0.0")</f>
        <v>0.0</v>
      </c>
      <c r="M1206" s="13" t="str">
        <f>HYPERLINK(AC2 &amp; "/hammer/sn_fb58b1ee0dfd7eb1d6f05f55d4d695b0/rendering/10.xyz", "0.0")</f>
        <v>0.0</v>
      </c>
      <c r="N1206" s="13" t="str">
        <f>HYPERLINK(AC2 &amp; "/hammer/sn_fb58b1ee0dfd7eb1d6f05f55d4d695b0/rendering/11.xyz", "0.0")</f>
        <v>0.0</v>
      </c>
      <c r="O1206" s="13" t="str">
        <f>HYPERLINK(AC2 &amp; "/hammer/sn_fb58b1ee0dfd7eb1d6f05f55d4d695b0/rendering/12.xyz", "0.0")</f>
        <v>0.0</v>
      </c>
      <c r="P1206" s="13" t="str">
        <f>HYPERLINK(AC2 &amp; "/hammer/sn_fb58b1ee0dfd7eb1d6f05f55d4d695b0/rendering/13.xyz", "0.0")</f>
        <v>0.0</v>
      </c>
      <c r="Q1206" s="13" t="str">
        <f>HYPERLINK(AC2 &amp; "/hammer/sn_fb58b1ee0dfd7eb1d6f05f55d4d695b0/rendering/14.xyz", "0.0")</f>
        <v>0.0</v>
      </c>
      <c r="R1206" s="13" t="str">
        <f>HYPERLINK(AC2 &amp; "/hammer/sn_fb58b1ee0dfd7eb1d6f05f55d4d695b0/rendering/15.xyz", "0.0")</f>
        <v>0.0</v>
      </c>
      <c r="S1206" s="13" t="str">
        <f>HYPERLINK(AC2 &amp; "/hammer/sn_fb58b1ee0dfd7eb1d6f05f55d4d695b0/rendering/16.xyz", "0.0")</f>
        <v>0.0</v>
      </c>
      <c r="T1206" s="13" t="str">
        <f>HYPERLINK(AC2 &amp; "/hammer/sn_fb58b1ee0dfd7eb1d6f05f55d4d695b0/rendering/17.xyz", "0.0")</f>
        <v>0.0</v>
      </c>
      <c r="U1206" s="13" t="str">
        <f>HYPERLINK(AC2 &amp; "/hammer/sn_fb58b1ee0dfd7eb1d6f05f55d4d695b0/rendering/18.xyz", "0.0")</f>
        <v>0.0</v>
      </c>
      <c r="V1206" s="13" t="str">
        <f>HYPERLINK(AC2 &amp; "/hammer/sn_fb58b1ee0dfd7eb1d6f05f55d4d695b0/rendering/19.xyz", "0.0")</f>
        <v>0.0</v>
      </c>
      <c r="W1206" s="12" t="s">
        <v>33</v>
      </c>
      <c r="X1206" s="13">
        <v>0</v>
      </c>
      <c r="Y1206" s="13">
        <v>0</v>
      </c>
      <c r="Z1206" s="13">
        <v>0</v>
      </c>
    </row>
    <row r="1207" spans="1:26" x14ac:dyDescent="0.2">
      <c r="A1207" s="1">
        <v>1205</v>
      </c>
      <c r="B1207" s="2" t="s">
        <v>274</v>
      </c>
      <c r="C1207" s="60" t="str">
        <f>HYPERLINK(AA2 &amp; "/hammer/sn_fc7fe48ac772832266bb300a1cf69236/rendering/00.obj", "5.89098754883")</f>
        <v>5.89098754883</v>
      </c>
      <c r="D1207" s="8" t="str">
        <f>HYPERLINK(AA2 &amp; "/hammer/sn_fc7fe48ac772832266bb300a1cf69236/rendering/01.obj", "5.31870727539")</f>
        <v>5.31870727539</v>
      </c>
      <c r="E1207" s="76" t="str">
        <f>HYPERLINK(AA2 &amp; "/hammer/sn_fc7fe48ac772832266bb300a1cf69236/rendering/02.obj", "5.06330474854")</f>
        <v>5.06330474854</v>
      </c>
      <c r="F1207" s="41" t="str">
        <f>HYPERLINK(AA2 &amp; "/hammer/sn_fc7fe48ac772832266bb300a1cf69236/rendering/03.obj", "6.62411254883")</f>
        <v>6.62411254883</v>
      </c>
      <c r="G1207" s="128" t="str">
        <f>HYPERLINK(AA2 &amp; "/hammer/sn_fc7fe48ac772832266bb300a1cf69236/rendering/04.obj", "8.62237792969")</f>
        <v>8.62237792969</v>
      </c>
      <c r="H1207" s="23" t="str">
        <f>HYPERLINK(AA2 &amp; "/hammer/sn_fc7fe48ac772832266bb300a1cf69236/rendering/05.obj", "5.95616027832")</f>
        <v>5.95616027832</v>
      </c>
      <c r="I1207" s="108" t="str">
        <f>HYPERLINK(AA2 &amp; "/hammer/sn_fc7fe48ac772832266bb300a1cf69236/rendering/06.obj", "4.66804199219")</f>
        <v>4.66804199219</v>
      </c>
      <c r="J1207" s="93" t="str">
        <f>HYPERLINK(AA2 &amp; "/hammer/sn_fc7fe48ac772832266bb300a1cf69236/rendering/07.obj", "7.06956237793")</f>
        <v>7.06956237793</v>
      </c>
      <c r="K1207" s="37" t="str">
        <f>HYPERLINK(AA2 &amp; "/hammer/sn_fc7fe48ac772832266bb300a1cf69236/rendering/08.obj", "7.27973083496")</f>
        <v>7.27973083496</v>
      </c>
      <c r="L1207" s="186" t="str">
        <f>HYPERLINK(AA2 &amp; "/hammer/sn_fc7fe48ac772832266bb300a1cf69236/rendering/09.obj", "9.93872680664")</f>
        <v>9.93872680664</v>
      </c>
      <c r="M1207" s="92" t="str">
        <f>HYPERLINK(AA2 &amp; "/hammer/sn_fc7fe48ac772832266bb300a1cf69236/rendering/10.obj", "5.43366027832")</f>
        <v>5.43366027832</v>
      </c>
      <c r="N1207" s="29" t="str">
        <f>HYPERLINK(AA2 &amp; "/hammer/sn_fc7fe48ac772832266bb300a1cf69236/rendering/11.obj", "5.39260559082")</f>
        <v>5.39260559082</v>
      </c>
      <c r="O1207" s="82" t="str">
        <f>HYPERLINK(AA2 &amp; "/hammer/sn_fc7fe48ac772832266bb300a1cf69236/rendering/12.obj", "4.93083251953")</f>
        <v>4.93083251953</v>
      </c>
      <c r="P1207" s="4" t="str">
        <f>HYPERLINK(AA2 &amp; "/hammer/sn_fc7fe48ac772832266bb300a1cf69236/rendering/13.obj", "7.96114318848")</f>
        <v>7.96114318848</v>
      </c>
      <c r="Q1207" s="79" t="str">
        <f>HYPERLINK(AA2 &amp; "/hammer/sn_fc7fe48ac772832266bb300a1cf69236/rendering/14.obj", "5.21890258789")</f>
        <v>5.21890258789</v>
      </c>
      <c r="R1207" s="76" t="str">
        <f>HYPERLINK(AA2 &amp; "/hammer/sn_fc7fe48ac772832266bb300a1cf69236/rendering/15.obj", "5.06743377686")</f>
        <v>5.06743377686</v>
      </c>
      <c r="S1207" s="27" t="str">
        <f>HYPERLINK(AA2 &amp; "/hammer/sn_fc7fe48ac772832266bb300a1cf69236/rendering/16.obj", "5.77594177246")</f>
        <v>5.77594177246</v>
      </c>
      <c r="T1207" s="92" t="str">
        <f>HYPERLINK(AA2 &amp; "/hammer/sn_fc7fe48ac772832266bb300a1cf69236/rendering/17.obj", "5.43797851562")</f>
        <v>5.43797851562</v>
      </c>
      <c r="U1207" s="30" t="str">
        <f>HYPERLINK(AA2 &amp; "/hammer/sn_fc7fe48ac772832266bb300a1cf69236/rendering/18.obj", "6.16660888672")</f>
        <v>6.16660888672</v>
      </c>
      <c r="V1207" s="25" t="str">
        <f>HYPERLINK(AA2 &amp; "/hammer/sn_fc7fe48ac772832266bb300a1cf69236/rendering/19.obj", "6.26679748535")</f>
        <v>6.26679748535</v>
      </c>
      <c r="W1207" s="12" t="s">
        <v>29</v>
      </c>
      <c r="X1207" s="13">
        <v>6.2041808471679687</v>
      </c>
      <c r="Y1207" s="13">
        <v>1.33193427282016</v>
      </c>
      <c r="Z1207" s="36">
        <v>0.2146833410615602</v>
      </c>
    </row>
    <row r="1208" spans="1:26" x14ac:dyDescent="0.2">
      <c r="A1208" s="1">
        <v>1206</v>
      </c>
      <c r="B1208" s="2" t="s">
        <v>274</v>
      </c>
      <c r="C1208" s="172" t="str">
        <f>HYPERLINK(AA2 &amp; "/hammer/sn_fc7fe48ac772832266bb300a1cf69236/rendering/00.obj", "2.87151169777")</f>
        <v>2.87151169777</v>
      </c>
      <c r="D1208" s="162" t="str">
        <f>HYPERLINK(AA2 &amp; "/hammer/sn_fc7fe48ac772832266bb300a1cf69236/rendering/01.obj", "2.68167948723")</f>
        <v>2.68167948723</v>
      </c>
      <c r="E1208" s="196" t="str">
        <f>HYPERLINK(AA2 &amp; "/hammer/sn_fc7fe48ac772832266bb300a1cf69236/rendering/02.obj", "2.81878399849")</f>
        <v>2.81878399849</v>
      </c>
      <c r="F1208" s="93" t="str">
        <f>HYPERLINK(AA2 &amp; "/hammer/sn_fc7fe48ac772832266bb300a1cf69236/rendering/03.obj", "5.31836938858")</f>
        <v>5.31836938858</v>
      </c>
      <c r="G1208" s="20" t="str">
        <f>HYPERLINK(AA2 &amp; "/hammer/sn_fc7fe48ac772832266bb300a1cf69236/rendering/04.obj", "10.4870023727")</f>
        <v>10.4870023727</v>
      </c>
      <c r="H1208" s="213" t="str">
        <f>HYPERLINK(AA2 &amp; "/hammer/sn_fc7fe48ac772832266bb300a1cf69236/rendering/05.obj", "2.36465668678")</f>
        <v>2.36465668678</v>
      </c>
      <c r="I1208" s="162" t="str">
        <f>HYPERLINK(AA2 &amp; "/hammer/sn_fc7fe48ac772832266bb300a1cf69236/rendering/06.obj", "2.67771410942")</f>
        <v>2.67771410942</v>
      </c>
      <c r="J1208" s="196" t="str">
        <f>HYPERLINK(AA2 &amp; "/hammer/sn_fc7fe48ac772832266bb300a1cf69236/rendering/07.obj", "6.51575279236")</f>
        <v>6.51575279236</v>
      </c>
      <c r="K1208" s="171" t="str">
        <f>HYPERLINK(AA2 &amp; "/hammer/sn_fc7fe48ac772832266bb300a1cf69236/rendering/08.obj", "6.09481239319")</f>
        <v>6.09481239319</v>
      </c>
      <c r="L1208" s="20" t="str">
        <f>HYPERLINK(AA2 &amp; "/hammer/sn_fc7fe48ac772832266bb300a1cf69236/rendering/09.obj", "12.5304431915")</f>
        <v>12.5304431915</v>
      </c>
      <c r="M1208" s="158" t="str">
        <f>HYPERLINK(AA2 &amp; "/hammer/sn_fc7fe48ac772832266bb300a1cf69236/rendering/10.obj", "2.75398659706")</f>
        <v>2.75398659706</v>
      </c>
      <c r="N1208" s="142" t="str">
        <f>HYPERLINK(AA2 &amp; "/hammer/sn_fc7fe48ac772832266bb300a1cf69236/rendering/11.obj", "2.82440304756")</f>
        <v>2.82440304756</v>
      </c>
      <c r="O1208" s="143" t="str">
        <f>HYPERLINK(AA2 &amp; "/hammer/sn_fc7fe48ac772832266bb300a1cf69236/rendering/12.obj", "2.46363329887")</f>
        <v>2.46363329887</v>
      </c>
      <c r="P1208" s="236" t="str">
        <f>HYPERLINK(AA2 &amp; "/hammer/sn_fc7fe48ac772832266bb300a1cf69236/rendering/13.obj", "8.12087535858")</f>
        <v>8.12087535858</v>
      </c>
      <c r="Q1208" s="14" t="str">
        <f>HYPERLINK(AA2 &amp; "/hammer/sn_fc7fe48ac772832266bb300a1cf69236/rendering/14.obj", "3.31561136246")</f>
        <v>3.31561136246</v>
      </c>
      <c r="R1208" s="44" t="str">
        <f>HYPERLINK(AA2 &amp; "/hammer/sn_fc7fe48ac772832266bb300a1cf69236/rendering/15.obj", "3.74962735176")</f>
        <v>3.74962735176</v>
      </c>
      <c r="S1208" s="169" t="str">
        <f>HYPERLINK(AA2 &amp; "/hammer/sn_fc7fe48ac772832266bb300a1cf69236/rendering/16.obj", "3.21107316017")</f>
        <v>3.21107316017</v>
      </c>
      <c r="T1208" s="31" t="str">
        <f>HYPERLINK(AA2 &amp; "/hammer/sn_fc7fe48ac772832266bb300a1cf69236/rendering/17.obj", "3.93978333473")</f>
        <v>3.93978333473</v>
      </c>
      <c r="U1208" s="90" t="str">
        <f>HYPERLINK(AA2 &amp; "/hammer/sn_fc7fe48ac772832266bb300a1cf69236/rendering/18.obj", "4.22319889069")</f>
        <v>4.22319889069</v>
      </c>
      <c r="V1208" s="10" t="str">
        <f>HYPERLINK(AA2 &amp; "/hammer/sn_fc7fe48ac772832266bb300a1cf69236/rendering/19.obj", "4.41012811661")</f>
        <v>4.41012811661</v>
      </c>
      <c r="W1208" s="12" t="s">
        <v>30</v>
      </c>
      <c r="X1208" s="13">
        <v>4.6686523318290707</v>
      </c>
      <c r="Y1208" s="13">
        <v>2.7463097728795671</v>
      </c>
      <c r="Z1208" s="251">
        <v>0.58824465342092114</v>
      </c>
    </row>
    <row r="1209" spans="1:26" x14ac:dyDescent="0.2">
      <c r="A1209" s="1">
        <v>1207</v>
      </c>
      <c r="B1209" s="2" t="s">
        <v>274</v>
      </c>
      <c r="C1209" s="55" t="str">
        <f>HYPERLINK(AB2 &amp; "/hammer/sn_fc7fe48ac772832266bb300a1cf69236/rendering/00.obj", "5.13528930664")</f>
        <v>5.13528930664</v>
      </c>
      <c r="D1209" s="90" t="str">
        <f>HYPERLINK(AB2 &amp; "/hammer/sn_fc7fe48ac772832266bb300a1cf69236/rendering/01.obj", "3.88969909668")</f>
        <v>3.88969909668</v>
      </c>
      <c r="E1209" s="37" t="str">
        <f>HYPERLINK(AB2 &amp; "/hammer/sn_fc7fe48ac772832266bb300a1cf69236/rendering/02.obj", "3.54979431152")</f>
        <v>3.54979431152</v>
      </c>
      <c r="F1209" s="94" t="str">
        <f>HYPERLINK(AB2 &amp; "/hammer/sn_fc7fe48ac772832266bb300a1cf69236/rendering/03.obj", "3.99107910156")</f>
        <v>3.99107910156</v>
      </c>
      <c r="G1209" s="92" t="str">
        <f>HYPERLINK(AB2 &amp; "/hammer/sn_fc7fe48ac772832266bb300a1cf69236/rendering/04.obj", "4.83858398438")</f>
        <v>4.83858398438</v>
      </c>
      <c r="H1209" s="80" t="str">
        <f>HYPERLINK(AB2 &amp; "/hammer/sn_fc7fe48ac772832266bb300a1cf69236/rendering/05.obj", "3.65833190918")</f>
        <v>3.65833190918</v>
      </c>
      <c r="I1209" s="84" t="str">
        <f>HYPERLINK(AB2 &amp; "/hammer/sn_fc7fe48ac772832266bb300a1cf69236/rendering/06.obj", "3.66955444336")</f>
        <v>3.66955444336</v>
      </c>
      <c r="J1209" s="94" t="str">
        <f>HYPERLINK(AB2 &amp; "/hammer/sn_fc7fe48ac772832266bb300a1cf69236/rendering/07.obj", "3.99184265137")</f>
        <v>3.99184265137</v>
      </c>
      <c r="K1209" s="27" t="str">
        <f>HYPERLINK(AB2 &amp; "/hammer/sn_fc7fe48ac772832266bb300a1cf69236/rendering/08.obj", "3.99931335449")</f>
        <v>3.99931335449</v>
      </c>
      <c r="L1209" s="85" t="str">
        <f>HYPERLINK(AB2 &amp; "/hammer/sn_fc7fe48ac772832266bb300a1cf69236/rendering/09.obj", "5.58405273437")</f>
        <v>5.58405273437</v>
      </c>
      <c r="M1209" s="38" t="str">
        <f>HYPERLINK(AB2 &amp; "/hammer/sn_fc7fe48ac772832266bb300a1cf69236/rendering/10.obj", "4.68664123535")</f>
        <v>4.68664123535</v>
      </c>
      <c r="N1209" s="41" t="str">
        <f>HYPERLINK(AB2 &amp; "/hammer/sn_fc7fe48ac772832266bb300a1cf69236/rendering/11.obj", "4.02046539307")</f>
        <v>4.02046539307</v>
      </c>
      <c r="O1209" s="33" t="str">
        <f>HYPERLINK(AB2 &amp; "/hammer/sn_fc7fe48ac772832266bb300a1cf69236/rendering/12.obj", "4.76547180176")</f>
        <v>4.76547180176</v>
      </c>
      <c r="P1209" s="100" t="str">
        <f>HYPERLINK(AB2 &amp; "/hammer/sn_fc7fe48ac772832266bb300a1cf69236/rendering/13.obj", "5.59450683594")</f>
        <v>5.59450683594</v>
      </c>
      <c r="Q1209" s="33" t="str">
        <f>HYPERLINK(AB2 &amp; "/hammer/sn_fc7fe48ac772832266bb300a1cf69236/rendering/14.obj", "3.83239746094")</f>
        <v>3.83239746094</v>
      </c>
      <c r="R1209" s="46" t="str">
        <f>HYPERLINK(AB2 &amp; "/hammer/sn_fc7fe48ac772832266bb300a1cf69236/rendering/15.obj", "4.23145202637")</f>
        <v>4.23145202637</v>
      </c>
      <c r="S1209" s="74" t="str">
        <f>HYPERLINK(AB2 &amp; "/hammer/sn_fc7fe48ac772832266bb300a1cf69236/rendering/16.obj", "4.37115509033")</f>
        <v>4.37115509033</v>
      </c>
      <c r="T1209" s="78" t="str">
        <f>HYPERLINK(AB2 &amp; "/hammer/sn_fc7fe48ac772832266bb300a1cf69236/rendering/17.obj", "4.56746398926")</f>
        <v>4.56746398926</v>
      </c>
      <c r="U1209" s="67" t="str">
        <f>HYPERLINK(AB2 &amp; "/hammer/sn_fc7fe48ac772832266bb300a1cf69236/rendering/18.obj", "3.90655639648")</f>
        <v>3.90655639648</v>
      </c>
      <c r="V1209" s="71" t="str">
        <f>HYPERLINK(AB2 &amp; "/hammer/sn_fc7fe48ac772832266bb300a1cf69236/rendering/19.obj", "3.79888244629")</f>
        <v>3.79888244629</v>
      </c>
      <c r="W1209" s="12" t="s">
        <v>31</v>
      </c>
      <c r="X1209" s="13">
        <v>4.3041266784667984</v>
      </c>
      <c r="Y1209" s="13">
        <v>0.60346097211100169</v>
      </c>
      <c r="Z1209" s="93">
        <v>0.14020520704701109</v>
      </c>
    </row>
    <row r="1210" spans="1:26" x14ac:dyDescent="0.2">
      <c r="A1210" s="1">
        <v>1208</v>
      </c>
      <c r="B1210" s="2" t="s">
        <v>274</v>
      </c>
      <c r="C1210" s="18" t="str">
        <f>HYPERLINK(AB2 &amp; "/hammer/sn_fc7fe48ac772832266bb300a1cf69236/rendering/00.obj", "4.28623771667")</f>
        <v>4.28623771667</v>
      </c>
      <c r="D1210" s="136" t="str">
        <f>HYPERLINK(AB2 &amp; "/hammer/sn_fc7fe48ac772832266bb300a1cf69236/rendering/01.obj", "2.07386207581")</f>
        <v>2.07386207581</v>
      </c>
      <c r="E1210" s="37" t="str">
        <f>HYPERLINK(AB2 &amp; "/hammer/sn_fc7fe48ac772832266bb300a1cf69236/rendering/02.obj", "2.24106025696")</f>
        <v>2.24106025696</v>
      </c>
      <c r="F1210" s="44" t="str">
        <f>HYPERLINK(AB2 &amp; "/hammer/sn_fc7fe48ac772832266bb300a1cf69236/rendering/03.obj", "2.18098711967")</f>
        <v>2.18098711967</v>
      </c>
      <c r="G1210" s="28" t="str">
        <f>HYPERLINK(AB2 &amp; "/hammer/sn_fc7fe48ac772832266bb300a1cf69236/rendering/04.obj", "2.41154766083")</f>
        <v>2.41154766083</v>
      </c>
      <c r="H1210" s="33" t="str">
        <f>HYPERLINK(AB2 &amp; "/hammer/sn_fc7fe48ac772832266bb300a1cf69236/rendering/05.obj", "2.42045354843")</f>
        <v>2.42045354843</v>
      </c>
      <c r="I1210" s="37" t="str">
        <f>HYPERLINK(AB2 &amp; "/hammer/sn_fc7fe48ac772832266bb300a1cf69236/rendering/06.obj", "2.2437684536")</f>
        <v>2.2437684536</v>
      </c>
      <c r="J1210" s="175" t="str">
        <f>HYPERLINK(AB2 &amp; "/hammer/sn_fc7fe48ac772832266bb300a1cf69236/rendering/07.obj", "2.07544898987")</f>
        <v>2.07544898987</v>
      </c>
      <c r="K1210" s="93" t="str">
        <f>HYPERLINK(AB2 &amp; "/hammer/sn_fc7fe48ac772832266bb300a1cf69236/rendering/08.obj", "2.33486676216")</f>
        <v>2.33486676216</v>
      </c>
      <c r="L1210" s="133" t="str">
        <f>HYPERLINK(AB2 &amp; "/hammer/sn_fc7fe48ac772832266bb300a1cf69236/rendering/09.obj", "2.43609905243")</f>
        <v>2.43609905243</v>
      </c>
      <c r="M1210" s="59" t="str">
        <f>HYPERLINK(AB2 &amp; "/hammer/sn_fc7fe48ac772832266bb300a1cf69236/rendering/10.obj", "3.36054110527")</f>
        <v>3.36054110527</v>
      </c>
      <c r="N1210" s="26" t="str">
        <f>HYPERLINK(AB2 &amp; "/hammer/sn_fc7fe48ac772832266bb300a1cf69236/rendering/11.obj", "2.53648900986")</f>
        <v>2.53648900986</v>
      </c>
      <c r="O1210" s="32" t="str">
        <f>HYPERLINK(AB2 &amp; "/hammer/sn_fc7fe48ac772832266bb300a1cf69236/rendering/12.obj", "2.99457669258")</f>
        <v>2.99457669258</v>
      </c>
      <c r="P1210" s="20" t="str">
        <f>HYPERLINK(AB2 &amp; "/hammer/sn_fc7fe48ac772832266bb300a1cf69236/rendering/13.obj", "5.01182746887")</f>
        <v>5.01182746887</v>
      </c>
      <c r="Q1210" s="29" t="str">
        <f>HYPERLINK(AB2 &amp; "/hammer/sn_fc7fe48ac772832266bb300a1cf69236/rendering/14.obj", "2.35739088058")</f>
        <v>2.35739088058</v>
      </c>
      <c r="R1210" s="59" t="str">
        <f>HYPERLINK(AB2 &amp; "/hammer/sn_fc7fe48ac772832266bb300a1cf69236/rendering/15.obj", "2.05758571625")</f>
        <v>2.05758571625</v>
      </c>
      <c r="S1210" s="28" t="str">
        <f>HYPERLINK(AB2 &amp; "/hammer/sn_fc7fe48ac772832266bb300a1cf69236/rendering/16.obj", "3.01343655586")</f>
        <v>3.01343655586</v>
      </c>
      <c r="T1210" s="42" t="str">
        <f>HYPERLINK(AB2 &amp; "/hammer/sn_fc7fe48ac772832266bb300a1cf69236/rendering/17.obj", "3.07892394066")</f>
        <v>3.07892394066</v>
      </c>
      <c r="U1210" s="90" t="str">
        <f>HYPERLINK(AB2 &amp; "/hammer/sn_fc7fe48ac772832266bb300a1cf69236/rendering/18.obj", "2.44942545891")</f>
        <v>2.44942545891</v>
      </c>
      <c r="V1210" s="47" t="str">
        <f>HYPERLINK(AB2 &amp; "/hammer/sn_fc7fe48ac772832266bb300a1cf69236/rendering/19.obj", "2.68727183342")</f>
        <v>2.68727183342</v>
      </c>
      <c r="W1210" s="12" t="s">
        <v>32</v>
      </c>
      <c r="X1210" s="13">
        <v>2.7125900149345399</v>
      </c>
      <c r="Y1210" s="13">
        <v>0.74420365010273326</v>
      </c>
      <c r="Z1210" s="113">
        <v>0.27435168824091261</v>
      </c>
    </row>
    <row r="1211" spans="1:26" x14ac:dyDescent="0.2">
      <c r="A1211" s="1">
        <v>1209</v>
      </c>
      <c r="B1211" s="2" t="s">
        <v>274</v>
      </c>
      <c r="C1211" s="13" t="str">
        <f>HYPERLINK(AC2 &amp; "/hammer/sn_fc7fe48ac772832266bb300a1cf69236/rendering/00.xyz", "0.0")</f>
        <v>0.0</v>
      </c>
      <c r="D1211" s="13" t="str">
        <f>HYPERLINK(AC2 &amp; "/hammer/sn_fc7fe48ac772832266bb300a1cf69236/rendering/01.xyz", "0.0")</f>
        <v>0.0</v>
      </c>
      <c r="E1211" s="13" t="str">
        <f>HYPERLINK(AC2 &amp; "/hammer/sn_fc7fe48ac772832266bb300a1cf69236/rendering/02.xyz", "0.0")</f>
        <v>0.0</v>
      </c>
      <c r="F1211" s="13" t="str">
        <f>HYPERLINK(AC2 &amp; "/hammer/sn_fc7fe48ac772832266bb300a1cf69236/rendering/03.xyz", "0.0")</f>
        <v>0.0</v>
      </c>
      <c r="G1211" s="13" t="str">
        <f>HYPERLINK(AC2 &amp; "/hammer/sn_fc7fe48ac772832266bb300a1cf69236/rendering/04.xyz", "0.0")</f>
        <v>0.0</v>
      </c>
      <c r="H1211" s="13" t="str">
        <f>HYPERLINK(AC2 &amp; "/hammer/sn_fc7fe48ac772832266bb300a1cf69236/rendering/05.xyz", "0.0")</f>
        <v>0.0</v>
      </c>
      <c r="I1211" s="13" t="str">
        <f>HYPERLINK(AC2 &amp; "/hammer/sn_fc7fe48ac772832266bb300a1cf69236/rendering/06.xyz", "0.0")</f>
        <v>0.0</v>
      </c>
      <c r="J1211" s="13" t="str">
        <f>HYPERLINK(AC2 &amp; "/hammer/sn_fc7fe48ac772832266bb300a1cf69236/rendering/07.xyz", "0.0")</f>
        <v>0.0</v>
      </c>
      <c r="K1211" s="13" t="str">
        <f>HYPERLINK(AC2 &amp; "/hammer/sn_fc7fe48ac772832266bb300a1cf69236/rendering/08.xyz", "0.0")</f>
        <v>0.0</v>
      </c>
      <c r="L1211" s="13" t="str">
        <f>HYPERLINK(AC2 &amp; "/hammer/sn_fc7fe48ac772832266bb300a1cf69236/rendering/09.xyz", "0.0")</f>
        <v>0.0</v>
      </c>
      <c r="M1211" s="13" t="str">
        <f>HYPERLINK(AC2 &amp; "/hammer/sn_fc7fe48ac772832266bb300a1cf69236/rendering/10.xyz", "0.0")</f>
        <v>0.0</v>
      </c>
      <c r="N1211" s="13" t="str">
        <f>HYPERLINK(AC2 &amp; "/hammer/sn_fc7fe48ac772832266bb300a1cf69236/rendering/11.xyz", "0.0")</f>
        <v>0.0</v>
      </c>
      <c r="O1211" s="13" t="str">
        <f>HYPERLINK(AC2 &amp; "/hammer/sn_fc7fe48ac772832266bb300a1cf69236/rendering/12.xyz", "0.0")</f>
        <v>0.0</v>
      </c>
      <c r="P1211" s="13" t="str">
        <f>HYPERLINK(AC2 &amp; "/hammer/sn_fc7fe48ac772832266bb300a1cf69236/rendering/13.xyz", "0.0")</f>
        <v>0.0</v>
      </c>
      <c r="Q1211" s="13" t="str">
        <f>HYPERLINK(AC2 &amp; "/hammer/sn_fc7fe48ac772832266bb300a1cf69236/rendering/14.xyz", "0.0")</f>
        <v>0.0</v>
      </c>
      <c r="R1211" s="13" t="str">
        <f>HYPERLINK(AC2 &amp; "/hammer/sn_fc7fe48ac772832266bb300a1cf69236/rendering/15.xyz", "0.0")</f>
        <v>0.0</v>
      </c>
      <c r="S1211" s="13" t="str">
        <f>HYPERLINK(AC2 &amp; "/hammer/sn_fc7fe48ac772832266bb300a1cf69236/rendering/16.xyz", "0.0")</f>
        <v>0.0</v>
      </c>
      <c r="T1211" s="13" t="str">
        <f>HYPERLINK(AC2 &amp; "/hammer/sn_fc7fe48ac772832266bb300a1cf69236/rendering/17.xyz", "0.0")</f>
        <v>0.0</v>
      </c>
      <c r="U1211" s="13" t="str">
        <f>HYPERLINK(AC2 &amp; "/hammer/sn_fc7fe48ac772832266bb300a1cf69236/rendering/18.xyz", "0.0")</f>
        <v>0.0</v>
      </c>
      <c r="V1211" s="13" t="str">
        <f>HYPERLINK(AC2 &amp; "/hammer/sn_fc7fe48ac772832266bb300a1cf69236/rendering/19.xyz", "0.0")</f>
        <v>0.0</v>
      </c>
      <c r="W1211" s="12" t="s">
        <v>33</v>
      </c>
      <c r="X1211" s="13">
        <v>0</v>
      </c>
      <c r="Y1211" s="13">
        <v>0</v>
      </c>
      <c r="Z1211" s="13">
        <v>0</v>
      </c>
    </row>
    <row r="1212" spans="1:26" x14ac:dyDescent="0.2">
      <c r="A1212" s="1">
        <v>1210</v>
      </c>
      <c r="B1212" s="2" t="s">
        <v>275</v>
      </c>
      <c r="C1212" s="64" t="str">
        <f>HYPERLINK(AA2 &amp; "/hammer/sn_fccb24dd6b867c66372fb415af765adc/rendering/00.obj", "6.36240478516")</f>
        <v>6.36240478516</v>
      </c>
      <c r="D1212" s="85" t="str">
        <f>HYPERLINK(AA2 &amp; "/hammer/sn_fccb24dd6b867c66372fb415af765adc/rendering/01.obj", "5.37705322266")</f>
        <v>5.37705322266</v>
      </c>
      <c r="E1212" s="48" t="str">
        <f>HYPERLINK(AA2 &amp; "/hammer/sn_fccb24dd6b867c66372fb415af765adc/rendering/02.obj", "7.4579699707")</f>
        <v>7.4579699707</v>
      </c>
      <c r="F1212" s="20" t="str">
        <f>HYPERLINK(AA2 &amp; "/hammer/sn_fccb24dd6b867c66372fb415af765adc/rendering/03.obj", "15.2033520508")</f>
        <v>15.2033520508</v>
      </c>
      <c r="G1212" s="171" t="str">
        <f>HYPERLINK(AA2 &amp; "/hammer/sn_fccb24dd6b867c66372fb415af765adc/rendering/04.obj", "5.29962097168")</f>
        <v>5.29962097168</v>
      </c>
      <c r="H1212" s="170" t="str">
        <f>HYPERLINK(AA2 &amp; "/hammer/sn_fccb24dd6b867c66372fb415af765adc/rendering/05.obj", "5.70727539062")</f>
        <v>5.70727539062</v>
      </c>
      <c r="I1212" s="24" t="str">
        <f>HYPERLINK(AA2 &amp; "/hammer/sn_fccb24dd6b867c66372fb415af765adc/rendering/06.obj", "6.34193115234")</f>
        <v>6.34193115234</v>
      </c>
      <c r="J1212" s="59" t="str">
        <f>HYPERLINK(AA2 &amp; "/hammer/sn_fccb24dd6b867c66372fb415af765adc/rendering/07.obj", "5.80686157227")</f>
        <v>5.80686157227</v>
      </c>
      <c r="K1212" s="19" t="str">
        <f>HYPERLINK(AA2 &amp; "/hammer/sn_fccb24dd6b867c66372fb415af765adc/rendering/08.obj", "5.62401123047")</f>
        <v>5.62401123047</v>
      </c>
      <c r="L1212" s="99" t="str">
        <f>HYPERLINK(AA2 &amp; "/hammer/sn_fccb24dd6b867c66372fb415af765adc/rendering/09.obj", "5.54940002441")</f>
        <v>5.54940002441</v>
      </c>
      <c r="M1212" s="17" t="str">
        <f>HYPERLINK(AA2 &amp; "/hammer/sn_fccb24dd6b867c66372fb415af765adc/rendering/10.obj", "7.78056640625")</f>
        <v>7.78056640625</v>
      </c>
      <c r="N1212" s="194" t="str">
        <f>HYPERLINK(AA2 &amp; "/hammer/sn_fccb24dd6b867c66372fb415af765adc/rendering/11.obj", "12.3738916016")</f>
        <v>12.3738916016</v>
      </c>
      <c r="O1212" s="20" t="str">
        <f>HYPERLINK(AA2 &amp; "/hammer/sn_fccb24dd6b867c66372fb415af765adc/rendering/12.obj", "15.8816772461")</f>
        <v>15.8816772461</v>
      </c>
      <c r="P1212" s="83" t="str">
        <f>HYPERLINK(AA2 &amp; "/hammer/sn_fccb24dd6b867c66372fb415af765adc/rendering/13.obj", "8.8011730957")</f>
        <v>8.8011730957</v>
      </c>
      <c r="Q1212" s="72" t="str">
        <f>HYPERLINK(AA2 &amp; "/hammer/sn_fccb24dd6b867c66372fb415af765adc/rendering/14.obj", "7.87196166992")</f>
        <v>7.87196166992</v>
      </c>
      <c r="R1212" s="170" t="str">
        <f>HYPERLINK(AA2 &amp; "/hammer/sn_fccb24dd6b867c66372fb415af765adc/rendering/15.obj", "5.70875")</f>
        <v>5.70875</v>
      </c>
      <c r="S1212" s="78" t="str">
        <f>HYPERLINK(AA2 &amp; "/hammer/sn_fccb24dd6b867c66372fb415af765adc/rendering/16.obj", "7.17205566406")</f>
        <v>7.17205566406</v>
      </c>
      <c r="T1212" s="136" t="str">
        <f>HYPERLINK(AA2 &amp; "/hammer/sn_fccb24dd6b867c66372fb415af765adc/rendering/17.obj", "5.82598083496")</f>
        <v>5.82598083496</v>
      </c>
      <c r="U1212" s="11" t="str">
        <f>HYPERLINK(AA2 &amp; "/hammer/sn_fccb24dd6b867c66372fb415af765adc/rendering/18.obj", "5.91629394531")</f>
        <v>5.91629394531</v>
      </c>
      <c r="V1212" s="84" t="str">
        <f>HYPERLINK(AA2 &amp; "/hammer/sn_fccb24dd6b867c66372fb415af765adc/rendering/19.obj", "6.51890014648")</f>
        <v>6.51890014648</v>
      </c>
      <c r="W1212" s="12" t="s">
        <v>29</v>
      </c>
      <c r="X1212" s="13">
        <v>7.629056549072267</v>
      </c>
      <c r="Y1212" s="13">
        <v>3.081440096070224</v>
      </c>
      <c r="Z1212" s="122">
        <v>0.40390840941465339</v>
      </c>
    </row>
    <row r="1213" spans="1:26" x14ac:dyDescent="0.2">
      <c r="A1213" s="1">
        <v>1211</v>
      </c>
      <c r="B1213" s="2" t="s">
        <v>275</v>
      </c>
      <c r="C1213" s="168" t="str">
        <f>HYPERLINK(AA2 &amp; "/hammer/sn_fccb24dd6b867c66372fb415af765adc/rendering/00.obj", "5.32028579712")</f>
        <v>5.32028579712</v>
      </c>
      <c r="D1213" s="206" t="str">
        <f>HYPERLINK(AA2 &amp; "/hammer/sn_fccb24dd6b867c66372fb415af765adc/rendering/01.obj", "3.19550776482")</f>
        <v>3.19550776482</v>
      </c>
      <c r="E1213" s="157" t="str">
        <f>HYPERLINK(AA2 &amp; "/hammer/sn_fccb24dd6b867c66372fb415af765adc/rendering/02.obj", "4.5664358139")</f>
        <v>4.5664358139</v>
      </c>
      <c r="F1213" s="20" t="str">
        <f>HYPERLINK(AA2 &amp; "/hammer/sn_fccb24dd6b867c66372fb415af765adc/rendering/03.obj", "29.9969100952")</f>
        <v>29.9969100952</v>
      </c>
      <c r="G1213" s="167" t="str">
        <f>HYPERLINK(AA2 &amp; "/hammer/sn_fccb24dd6b867c66372fb415af765adc/rendering/04.obj", "3.10770845413")</f>
        <v>3.10770845413</v>
      </c>
      <c r="H1213" s="112" t="str">
        <f>HYPERLINK(AA2 &amp; "/hammer/sn_fccb24dd6b867c66372fb415af765adc/rendering/05.obj", "3.18750309944")</f>
        <v>3.18750309944</v>
      </c>
      <c r="I1213" s="128" t="str">
        <f>HYPERLINK(AA2 &amp; "/hammer/sn_fccb24dd6b867c66372fb415af765adc/rendering/06.obj", "4.77738666534")</f>
        <v>4.77738666534</v>
      </c>
      <c r="J1213" s="147" t="str">
        <f>HYPERLINK(AA2 &amp; "/hammer/sn_fccb24dd6b867c66372fb415af765adc/rendering/07.obj", "4.01512670517")</f>
        <v>4.01512670517</v>
      </c>
      <c r="K1213" s="252" t="str">
        <f>HYPERLINK(AA2 &amp; "/hammer/sn_fccb24dd6b867c66372fb415af765adc/rendering/08.obj", "2.78865718842")</f>
        <v>2.78865718842</v>
      </c>
      <c r="L1213" s="237" t="str">
        <f>HYPERLINK(AA2 &amp; "/hammer/sn_fccb24dd6b867c66372fb415af765adc/rendering/09.obj", "2.56469559669")</f>
        <v>2.56469559669</v>
      </c>
      <c r="M1213" s="71" t="str">
        <f>HYPERLINK(AA2 &amp; "/hammer/sn_fccb24dd6b867c66372fb415af765adc/rendering/10.obj", "6.90296077728")</f>
        <v>6.90296077728</v>
      </c>
      <c r="N1213" s="20" t="str">
        <f>HYPERLINK(AA2 &amp; "/hammer/sn_fccb24dd6b867c66372fb415af765adc/rendering/11.obj", "24.2504138947")</f>
        <v>24.2504138947</v>
      </c>
      <c r="O1213" s="20" t="str">
        <f>HYPERLINK(AA2 &amp; "/hammer/sn_fccb24dd6b867c66372fb415af765adc/rendering/12.obj", "25.5276870728")</f>
        <v>25.5276870728</v>
      </c>
      <c r="P1213" s="60" t="str">
        <f>HYPERLINK(AA2 &amp; "/hammer/sn_fccb24dd6b867c66372fb415af765adc/rendering/13.obj", "8.24176692963")</f>
        <v>8.24176692963</v>
      </c>
      <c r="Q1213" s="73" t="str">
        <f>HYPERLINK(AA2 &amp; "/hammer/sn_fccb24dd6b867c66372fb415af765adc/rendering/14.obj", "7.56057167053")</f>
        <v>7.56057167053</v>
      </c>
      <c r="R1213" s="124" t="str">
        <f>HYPERLINK(AA2 &amp; "/hammer/sn_fccb24dd6b867c66372fb415af765adc/rendering/15.obj", "4.84659290314")</f>
        <v>4.84659290314</v>
      </c>
      <c r="S1213" s="196" t="str">
        <f>HYPERLINK(AA2 &amp; "/hammer/sn_fccb24dd6b867c66372fb415af765adc/rendering/16.obj", "4.72803258896")</f>
        <v>4.72803258896</v>
      </c>
      <c r="T1213" s="115" t="str">
        <f>HYPERLINK(AA2 &amp; "/hammer/sn_fccb24dd6b867c66372fb415af765adc/rendering/17.obj", "2.8302936554")</f>
        <v>2.8302936554</v>
      </c>
      <c r="U1213" s="167" t="str">
        <f>HYPERLINK(AA2 &amp; "/hammer/sn_fccb24dd6b867c66372fb415af765adc/rendering/18.obj", "3.11296153069")</f>
        <v>3.11296153069</v>
      </c>
      <c r="V1213" s="185" t="str">
        <f>HYPERLINK(AA2 &amp; "/hammer/sn_fccb24dd6b867c66372fb415af765adc/rendering/19.obj", "5.16283750534")</f>
        <v>5.16283750534</v>
      </c>
      <c r="W1213" s="12" t="s">
        <v>30</v>
      </c>
      <c r="X1213" s="13">
        <v>7.8342167854309084</v>
      </c>
      <c r="Y1213" s="13">
        <v>8.0854391595068424</v>
      </c>
      <c r="Z1213" s="20">
        <v>1.0320673247826291</v>
      </c>
    </row>
    <row r="1214" spans="1:26" x14ac:dyDescent="0.2">
      <c r="A1214" s="1">
        <v>1212</v>
      </c>
      <c r="B1214" s="2" t="s">
        <v>275</v>
      </c>
      <c r="C1214" s="78" t="str">
        <f>HYPERLINK(AB2 &amp; "/hammer/sn_fccb24dd6b867c66372fb415af765adc/rendering/00.obj", "5.47057861328")</f>
        <v>5.47057861328</v>
      </c>
      <c r="D1214" s="68" t="str">
        <f>HYPERLINK(AB2 &amp; "/hammer/sn_fccb24dd6b867c66372fb415af765adc/rendering/01.obj", "5.5758581543")</f>
        <v>5.5758581543</v>
      </c>
      <c r="E1214" s="30" t="str">
        <f>HYPERLINK(AB2 &amp; "/hammer/sn_fccb24dd6b867c66372fb415af765adc/rendering/02.obj", "5.79951416016")</f>
        <v>5.79951416016</v>
      </c>
      <c r="F1214" s="4" t="str">
        <f>HYPERLINK(AB2 &amp; "/hammer/sn_fccb24dd6b867c66372fb415af765adc/rendering/03.obj", "7.48030395508")</f>
        <v>7.48030395508</v>
      </c>
      <c r="G1214" s="27" t="str">
        <f>HYPERLINK(AB2 &amp; "/hammer/sn_fccb24dd6b867c66372fb415af765adc/rendering/04.obj", "5.41498718262")</f>
        <v>5.41498718262</v>
      </c>
      <c r="H1214" s="39" t="str">
        <f>HYPERLINK(AB2 &amp; "/hammer/sn_fccb24dd6b867c66372fb415af765adc/rendering/05.obj", "6.32479248047")</f>
        <v>6.32479248047</v>
      </c>
      <c r="I1214" s="39" t="str">
        <f>HYPERLINK(AB2 &amp; "/hammer/sn_fccb24dd6b867c66372fb415af765adc/rendering/06.obj", "5.31337158203")</f>
        <v>5.31337158203</v>
      </c>
      <c r="J1214" s="69" t="str">
        <f>HYPERLINK(AB2 &amp; "/hammer/sn_fccb24dd6b867c66372fb415af765adc/rendering/07.obj", "5.65194091797")</f>
        <v>5.65194091797</v>
      </c>
      <c r="K1214" s="26" t="str">
        <f>HYPERLINK(AB2 &amp; "/hammer/sn_fccb24dd6b867c66372fb415af765adc/rendering/08.obj", "5.4407824707")</f>
        <v>5.4407824707</v>
      </c>
      <c r="L1214" s="26" t="str">
        <f>HYPERLINK(AB2 &amp; "/hammer/sn_fccb24dd6b867c66372fb415af765adc/rendering/09.obj", "5.45589904785")</f>
        <v>5.45589904785</v>
      </c>
      <c r="M1214" s="73" t="str">
        <f>HYPERLINK(AB2 &amp; "/hammer/sn_fccb24dd6b867c66372fb415af765adc/rendering/10.obj", "5.60423095703")</f>
        <v>5.60423095703</v>
      </c>
      <c r="N1214" s="75" t="str">
        <f>HYPERLINK(AB2 &amp; "/hammer/sn_fccb24dd6b867c66372fb415af765adc/rendering/11.obj", "7.1044152832")</f>
        <v>7.1044152832</v>
      </c>
      <c r="O1214" s="73" t="str">
        <f>HYPERLINK(AB2 &amp; "/hammer/sn_fccb24dd6b867c66372fb415af765adc/rendering/12.obj", "6.03158813477")</f>
        <v>6.03158813477</v>
      </c>
      <c r="P1214" s="69" t="str">
        <f>HYPERLINK(AB2 &amp; "/hammer/sn_fccb24dd6b867c66372fb415af765adc/rendering/13.obj", "5.64328491211")</f>
        <v>5.64328491211</v>
      </c>
      <c r="Q1214" s="38" t="str">
        <f>HYPERLINK(AB2 &amp; "/hammer/sn_fccb24dd6b867c66372fb415af765adc/rendering/14.obj", "6.34421630859")</f>
        <v>6.34421630859</v>
      </c>
      <c r="R1214" s="63" t="str">
        <f>HYPERLINK(AB2 &amp; "/hammer/sn_fccb24dd6b867c66372fb415af765adc/rendering/15.obj", "5.11415222168")</f>
        <v>5.11415222168</v>
      </c>
      <c r="S1214" s="91" t="str">
        <f>HYPERLINK(AB2 &amp; "/hammer/sn_fccb24dd6b867c66372fb415af765adc/rendering/16.obj", "5.66263244629")</f>
        <v>5.66263244629</v>
      </c>
      <c r="T1214" s="73" t="str">
        <f>HYPERLINK(AB2 &amp; "/hammer/sn_fccb24dd6b867c66372fb415af765adc/rendering/17.obj", "5.61912841797")</f>
        <v>5.61912841797</v>
      </c>
      <c r="U1214" s="27" t="str">
        <f>HYPERLINK(AB2 &amp; "/hammer/sn_fccb24dd6b867c66372fb415af765adc/rendering/18.obj", "5.42015869141")</f>
        <v>5.42015869141</v>
      </c>
      <c r="V1214" s="91" t="str">
        <f>HYPERLINK(AB2 &amp; "/hammer/sn_fccb24dd6b867c66372fb415af765adc/rendering/19.obj", "5.97069763184")</f>
        <v>5.97069763184</v>
      </c>
      <c r="W1214" s="12" t="s">
        <v>31</v>
      </c>
      <c r="X1214" s="13">
        <v>5.8221266784667964</v>
      </c>
      <c r="Y1214" s="13">
        <v>0.57930038555832242</v>
      </c>
      <c r="Z1214" s="110">
        <v>9.9499790635073554E-2</v>
      </c>
    </row>
    <row r="1215" spans="1:26" x14ac:dyDescent="0.2">
      <c r="A1215" s="1">
        <v>1213</v>
      </c>
      <c r="B1215" s="2" t="s">
        <v>275</v>
      </c>
      <c r="C1215" s="28" t="str">
        <f>HYPERLINK(AB2 &amp; "/hammer/sn_fccb24dd6b867c66372fb415af765adc/rendering/00.obj", "3.07090878487")</f>
        <v>3.07090878487</v>
      </c>
      <c r="D1215" s="19" t="str">
        <f>HYPERLINK(AB2 &amp; "/hammer/sn_fccb24dd6b867c66372fb415af765adc/rendering/01.obj", "2.54925608635")</f>
        <v>2.54925608635</v>
      </c>
      <c r="E1215" s="69" t="str">
        <f>HYPERLINK(AB2 &amp; "/hammer/sn_fccb24dd6b867c66372fb415af765adc/rendering/02.obj", "3.55992460251")</f>
        <v>3.55992460251</v>
      </c>
      <c r="F1215" s="231" t="str">
        <f>HYPERLINK(AB2 &amp; "/hammer/sn_fccb24dd6b867c66372fb415af765adc/rendering/03.obj", "5.44288110733")</f>
        <v>5.44288110733</v>
      </c>
      <c r="G1215" s="46" t="str">
        <f>HYPERLINK(AB2 &amp; "/hammer/sn_fccb24dd6b867c66372fb415af765adc/rendering/04.obj", "3.39863872528")</f>
        <v>3.39863872528</v>
      </c>
      <c r="H1215" s="85" t="str">
        <f>HYPERLINK(AB2 &amp; "/hammer/sn_fccb24dd6b867c66372fb415af765adc/rendering/05.obj", "4.48012208939")</f>
        <v>4.48012208939</v>
      </c>
      <c r="I1215" s="65" t="str">
        <f>HYPERLINK(AB2 &amp; "/hammer/sn_fccb24dd6b867c66372fb415af765adc/rendering/06.obj", "2.99457883835")</f>
        <v>2.99457883835</v>
      </c>
      <c r="J1215" s="76" t="str">
        <f>HYPERLINK(AB2 &amp; "/hammer/sn_fccb24dd6b867c66372fb415af765adc/rendering/07.obj", "2.82132291794")</f>
        <v>2.82132291794</v>
      </c>
      <c r="K1215" s="57" t="str">
        <f>HYPERLINK(AB2 &amp; "/hammer/sn_fccb24dd6b867c66372fb415af765adc/rendering/08.obj", "2.36005735397")</f>
        <v>2.36005735397</v>
      </c>
      <c r="L1215" s="185" t="str">
        <f>HYPERLINK(AB2 &amp; "/hammer/sn_fccb24dd6b867c66372fb415af765adc/rendering/09.obj", "2.2826859951")</f>
        <v>2.2826859951</v>
      </c>
      <c r="M1215" s="47" t="str">
        <f>HYPERLINK(AB2 &amp; "/hammer/sn_fccb24dd6b867c66372fb415af765adc/rendering/10.obj", "3.42718243599")</f>
        <v>3.42718243599</v>
      </c>
      <c r="N1215" s="102" t="str">
        <f>HYPERLINK(AB2 &amp; "/hammer/sn_fccb24dd6b867c66372fb415af765adc/rendering/11.obj", "5.17561244965")</f>
        <v>5.17561244965</v>
      </c>
      <c r="O1215" s="192" t="str">
        <f>HYPERLINK(AB2 &amp; "/hammer/sn_fccb24dd6b867c66372fb415af765adc/rendering/12.obj", "4.74015522003")</f>
        <v>4.74015522003</v>
      </c>
      <c r="P1215" s="77" t="str">
        <f>HYPERLINK(AB2 &amp; "/hammer/sn_fccb24dd6b867c66372fb415af765adc/rendering/13.obj", "2.81416630745")</f>
        <v>2.81416630745</v>
      </c>
      <c r="Q1215" s="92" t="str">
        <f>HYPERLINK(AB2 &amp; "/hammer/sn_fccb24dd6b867c66372fb415af765adc/rendering/14.obj", "3.88249325752")</f>
        <v>3.88249325752</v>
      </c>
      <c r="R1215" s="91" t="str">
        <f>HYPERLINK(AB2 &amp; "/hammer/sn_fccb24dd6b867c66372fb415af765adc/rendering/15.obj", "3.54547476768")</f>
        <v>3.54547476768</v>
      </c>
      <c r="S1215" s="27" t="str">
        <f>HYPERLINK(AB2 &amp; "/hammer/sn_fccb24dd6b867c66372fb415af765adc/rendering/16.obj", "3.20491743088")</f>
        <v>3.20491743088</v>
      </c>
      <c r="T1215" s="175" t="str">
        <f>HYPERLINK(AB2 &amp; "/hammer/sn_fccb24dd6b867c66372fb415af765adc/rendering/17.obj", "2.64846253395")</f>
        <v>2.64846253395</v>
      </c>
      <c r="U1215" s="168" t="str">
        <f>HYPERLINK(AB2 &amp; "/hammer/sn_fccb24dd6b867c66372fb415af765adc/rendering/18.obj", "2.33873486519")</f>
        <v>2.33873486519</v>
      </c>
      <c r="V1215" s="89" t="str">
        <f>HYPERLINK(AB2 &amp; "/hammer/sn_fccb24dd6b867c66372fb415af765adc/rendering/19.obj", "4.34362459183")</f>
        <v>4.34362459183</v>
      </c>
      <c r="W1215" s="12" t="s">
        <v>32</v>
      </c>
      <c r="X1215" s="13">
        <v>3.454060018062592</v>
      </c>
      <c r="Y1215" s="13">
        <v>0.92559767293941464</v>
      </c>
      <c r="Z1215" s="86">
        <v>0.26797382445560092</v>
      </c>
    </row>
    <row r="1216" spans="1:26" x14ac:dyDescent="0.2">
      <c r="A1216" s="1">
        <v>1214</v>
      </c>
      <c r="B1216" s="2" t="s">
        <v>275</v>
      </c>
      <c r="C1216" s="13" t="str">
        <f>HYPERLINK(AC2 &amp; "/hammer/sn_fccb24dd6b867c66372fb415af765adc/rendering/00.xyz", "0.0")</f>
        <v>0.0</v>
      </c>
      <c r="D1216" s="13" t="str">
        <f>HYPERLINK(AC2 &amp; "/hammer/sn_fccb24dd6b867c66372fb415af765adc/rendering/01.xyz", "0.0")</f>
        <v>0.0</v>
      </c>
      <c r="E1216" s="13" t="str">
        <f>HYPERLINK(AC2 &amp; "/hammer/sn_fccb24dd6b867c66372fb415af765adc/rendering/02.xyz", "0.0")</f>
        <v>0.0</v>
      </c>
      <c r="F1216" s="13" t="str">
        <f>HYPERLINK(AC2 &amp; "/hammer/sn_fccb24dd6b867c66372fb415af765adc/rendering/03.xyz", "0.0")</f>
        <v>0.0</v>
      </c>
      <c r="G1216" s="13" t="str">
        <f>HYPERLINK(AC2 &amp; "/hammer/sn_fccb24dd6b867c66372fb415af765adc/rendering/04.xyz", "0.0")</f>
        <v>0.0</v>
      </c>
      <c r="H1216" s="13" t="str">
        <f>HYPERLINK(AC2 &amp; "/hammer/sn_fccb24dd6b867c66372fb415af765adc/rendering/05.xyz", "0.0")</f>
        <v>0.0</v>
      </c>
      <c r="I1216" s="13" t="str">
        <f>HYPERLINK(AC2 &amp; "/hammer/sn_fccb24dd6b867c66372fb415af765adc/rendering/06.xyz", "0.0")</f>
        <v>0.0</v>
      </c>
      <c r="J1216" s="13" t="str">
        <f>HYPERLINK(AC2 &amp; "/hammer/sn_fccb24dd6b867c66372fb415af765adc/rendering/07.xyz", "0.0")</f>
        <v>0.0</v>
      </c>
      <c r="K1216" s="13" t="str">
        <f>HYPERLINK(AC2 &amp; "/hammer/sn_fccb24dd6b867c66372fb415af765adc/rendering/08.xyz", "0.0")</f>
        <v>0.0</v>
      </c>
      <c r="L1216" s="13" t="str">
        <f>HYPERLINK(AC2 &amp; "/hammer/sn_fccb24dd6b867c66372fb415af765adc/rendering/09.xyz", "0.0")</f>
        <v>0.0</v>
      </c>
      <c r="M1216" s="13" t="str">
        <f>HYPERLINK(AC2 &amp; "/hammer/sn_fccb24dd6b867c66372fb415af765adc/rendering/10.xyz", "0.0")</f>
        <v>0.0</v>
      </c>
      <c r="N1216" s="13" t="str">
        <f>HYPERLINK(AC2 &amp; "/hammer/sn_fccb24dd6b867c66372fb415af765adc/rendering/11.xyz", "0.0")</f>
        <v>0.0</v>
      </c>
      <c r="O1216" s="13" t="str">
        <f>HYPERLINK(AC2 &amp; "/hammer/sn_fccb24dd6b867c66372fb415af765adc/rendering/12.xyz", "0.0")</f>
        <v>0.0</v>
      </c>
      <c r="P1216" s="13" t="str">
        <f>HYPERLINK(AC2 &amp; "/hammer/sn_fccb24dd6b867c66372fb415af765adc/rendering/13.xyz", "0.0")</f>
        <v>0.0</v>
      </c>
      <c r="Q1216" s="13" t="str">
        <f>HYPERLINK(AC2 &amp; "/hammer/sn_fccb24dd6b867c66372fb415af765adc/rendering/14.xyz", "0.0")</f>
        <v>0.0</v>
      </c>
      <c r="R1216" s="13" t="str">
        <f>HYPERLINK(AC2 &amp; "/hammer/sn_fccb24dd6b867c66372fb415af765adc/rendering/15.xyz", "0.0")</f>
        <v>0.0</v>
      </c>
      <c r="S1216" s="13" t="str">
        <f>HYPERLINK(AC2 &amp; "/hammer/sn_fccb24dd6b867c66372fb415af765adc/rendering/16.xyz", "0.0")</f>
        <v>0.0</v>
      </c>
      <c r="T1216" s="13" t="str">
        <f>HYPERLINK(AC2 &amp; "/hammer/sn_fccb24dd6b867c66372fb415af765adc/rendering/17.xyz", "0.0")</f>
        <v>0.0</v>
      </c>
      <c r="U1216" s="13" t="str">
        <f>HYPERLINK(AC2 &amp; "/hammer/sn_fccb24dd6b867c66372fb415af765adc/rendering/18.xyz", "0.0")</f>
        <v>0.0</v>
      </c>
      <c r="V1216" s="13" t="str">
        <f>HYPERLINK(AC2 &amp; "/hammer/sn_fccb24dd6b867c66372fb415af765adc/rendering/19.xyz", "0.0")</f>
        <v>0.0</v>
      </c>
      <c r="W1216" s="12" t="s">
        <v>33</v>
      </c>
      <c r="X1216" s="13">
        <v>0</v>
      </c>
      <c r="Y1216" s="13">
        <v>0</v>
      </c>
      <c r="Z1216" s="13">
        <v>0</v>
      </c>
    </row>
    <row r="1217" spans="1:26" x14ac:dyDescent="0.2">
      <c r="A1217" s="1">
        <v>1215</v>
      </c>
      <c r="B1217" s="2" t="s">
        <v>276</v>
      </c>
      <c r="C1217" s="29" t="str">
        <f>HYPERLINK(AA2 &amp; "/hammer/sn_fed2ecf0c54b2939de96a788d048e07d/rendering/00.obj", "7.22194458008")</f>
        <v>7.22194458008</v>
      </c>
      <c r="D1217" s="5" t="str">
        <f>HYPERLINK(AA2 &amp; "/hammer/sn_fed2ecf0c54b2939de96a788d048e07d/rendering/01.obj", "7.68593261719")</f>
        <v>7.68593261719</v>
      </c>
      <c r="E1217" s="79" t="str">
        <f>HYPERLINK(AA2 &amp; "/hammer/sn_fed2ecf0c54b2939de96a788d048e07d/rendering/02.obj", "9.6311541748")</f>
        <v>9.6311541748</v>
      </c>
      <c r="F1217" s="63" t="str">
        <f>HYPERLINK(AA2 &amp; "/hammer/sn_fed2ecf0c54b2939de96a788d048e07d/rendering/03.obj", "7.31733276367")</f>
        <v>7.31733276367</v>
      </c>
      <c r="G1217" s="66" t="str">
        <f>HYPERLINK(AA2 &amp; "/hammer/sn_fed2ecf0c54b2939de96a788d048e07d/rendering/04.obj", "6.95784179687")</f>
        <v>6.95784179687</v>
      </c>
      <c r="H1217" s="36" t="str">
        <f>HYPERLINK(AA2 &amp; "/hammer/sn_fed2ecf0c54b2939de96a788d048e07d/rendering/05.obj", "6.51739990234")</f>
        <v>6.51739990234</v>
      </c>
      <c r="I1217" s="31" t="str">
        <f>HYPERLINK(AA2 &amp; "/hammer/sn_fed2ecf0c54b2939de96a788d048e07d/rendering/06.obj", "7.02773071289")</f>
        <v>7.02773071289</v>
      </c>
      <c r="J1217" s="205" t="str">
        <f>HYPERLINK(AA2 &amp; "/hammer/sn_fed2ecf0c54b2939de96a788d048e07d/rendering/07.obj", "13.8569506836")</f>
        <v>13.8569506836</v>
      </c>
      <c r="K1217" s="63" t="str">
        <f>HYPERLINK(AA2 &amp; "/hammer/sn_fed2ecf0c54b2939de96a788d048e07d/rendering/08.obj", "7.31556091309")</f>
        <v>7.31556091309</v>
      </c>
      <c r="L1217" s="51" t="str">
        <f>HYPERLINK(AA2 &amp; "/hammer/sn_fed2ecf0c54b2939de96a788d048e07d/rendering/09.obj", "7.64559204102")</f>
        <v>7.64559204102</v>
      </c>
      <c r="M1217" s="11" t="str">
        <f>HYPERLINK(AA2 &amp; "/hammer/sn_fed2ecf0c54b2939de96a788d048e07d/rendering/10.obj", "6.43851806641")</f>
        <v>6.43851806641</v>
      </c>
      <c r="N1217" s="65" t="str">
        <f>HYPERLINK(AA2 &amp; "/hammer/sn_fed2ecf0c54b2939de96a788d048e07d/rendering/11.obj", "7.20079406738")</f>
        <v>7.20079406738</v>
      </c>
      <c r="O1217" s="31" t="str">
        <f>HYPERLINK(AA2 &amp; "/hammer/sn_fed2ecf0c54b2939de96a788d048e07d/rendering/12.obj", "7.01110168457")</f>
        <v>7.01110168457</v>
      </c>
      <c r="P1217" s="67" t="str">
        <f>HYPERLINK(AA2 &amp; "/hammer/sn_fed2ecf0c54b2939de96a788d048e07d/rendering/13.obj", "7.55249755859")</f>
        <v>7.55249755859</v>
      </c>
      <c r="Q1217" s="219" t="str">
        <f>HYPERLINK(AA2 &amp; "/hammer/sn_fed2ecf0c54b2939de96a788d048e07d/rendering/14.obj", "14.1247033691")</f>
        <v>14.1247033691</v>
      </c>
      <c r="R1217" s="196" t="str">
        <f>HYPERLINK(AA2 &amp; "/hammer/sn_fed2ecf0c54b2939de96a788d048e07d/rendering/15.obj", "11.6133251953")</f>
        <v>11.6133251953</v>
      </c>
      <c r="S1217" s="94" t="str">
        <f>HYPERLINK(AA2 &amp; "/hammer/sn_fed2ecf0c54b2939de96a788d048e07d/rendering/16.obj", "7.70692138672")</f>
        <v>7.70692138672</v>
      </c>
      <c r="T1217" s="13" t="str">
        <f>HYPERLINK(AA2 &amp; "/hammer/sn_fed2ecf0c54b2939de96a788d048e07d/rendering/17.obj", "8.31248901367")</f>
        <v>8.31248901367</v>
      </c>
      <c r="U1217" s="27" t="str">
        <f>HYPERLINK(AA2 &amp; "/hammer/sn_fed2ecf0c54b2939de96a788d048e07d/rendering/18.obj", "7.72525390625")</f>
        <v>7.72525390625</v>
      </c>
      <c r="V1217" s="33" t="str">
        <f>HYPERLINK(AA2 &amp; "/hammer/sn_fed2ecf0c54b2939de96a788d048e07d/rendering/19.obj", "7.40814086914")</f>
        <v>7.40814086914</v>
      </c>
      <c r="W1217" s="12" t="s">
        <v>29</v>
      </c>
      <c r="X1217" s="13">
        <v>8.3135592651367194</v>
      </c>
      <c r="Y1217" s="13">
        <v>2.1957268501304452</v>
      </c>
      <c r="Z1217" s="119">
        <v>0.26411393485078333</v>
      </c>
    </row>
    <row r="1218" spans="1:26" x14ac:dyDescent="0.2">
      <c r="A1218" s="1">
        <v>1216</v>
      </c>
      <c r="B1218" s="2" t="s">
        <v>276</v>
      </c>
      <c r="C1218" s="251" t="str">
        <f>HYPERLINK(AA2 &amp; "/hammer/sn_fed2ecf0c54b2939de96a788d048e07d/rendering/00.obj", "3.33917665482")</f>
        <v>3.33917665482</v>
      </c>
      <c r="D1218" s="235" t="str">
        <f>HYPERLINK(AA2 &amp; "/hammer/sn_fed2ecf0c54b2939de96a788d048e07d/rendering/01.obj", "3.72583937645")</f>
        <v>3.72583937645</v>
      </c>
      <c r="E1218" s="20" t="str">
        <f>HYPERLINK(AA2 &amp; "/hammer/sn_fed2ecf0c54b2939de96a788d048e07d/rendering/02.obj", "18.3862991333")</f>
        <v>18.3862991333</v>
      </c>
      <c r="F1218" s="22" t="str">
        <f>HYPERLINK(AA2 &amp; "/hammer/sn_fed2ecf0c54b2939de96a788d048e07d/rendering/03.obj", "3.87251925468")</f>
        <v>3.87251925468</v>
      </c>
      <c r="G1218" s="161" t="str">
        <f>HYPERLINK(AA2 &amp; "/hammer/sn_fed2ecf0c54b2939de96a788d048e07d/rendering/04.obj", "3.35083723068")</f>
        <v>3.35083723068</v>
      </c>
      <c r="H1218" s="257" t="str">
        <f>HYPERLINK(AA2 &amp; "/hammer/sn_fed2ecf0c54b2939de96a788d048e07d/rendering/05.obj", "2.3213300705")</f>
        <v>2.3213300705</v>
      </c>
      <c r="I1218" s="239" t="str">
        <f>HYPERLINK(AA2 &amp; "/hammer/sn_fed2ecf0c54b2939de96a788d048e07d/rendering/06.obj", "3.18038964272")</f>
        <v>3.18038964272</v>
      </c>
      <c r="J1218" s="20" t="str">
        <f>HYPERLINK(AA2 &amp; "/hammer/sn_fed2ecf0c54b2939de96a788d048e07d/rendering/07.obj", "23.1895275116")</f>
        <v>23.1895275116</v>
      </c>
      <c r="K1218" s="221" t="str">
        <f>HYPERLINK(AA2 &amp; "/hammer/sn_fed2ecf0c54b2939de96a788d048e07d/rendering/08.obj", "3.57946181297")</f>
        <v>3.57946181297</v>
      </c>
      <c r="L1218" s="45" t="str">
        <f>HYPERLINK(AA2 &amp; "/hammer/sn_fed2ecf0c54b2939de96a788d048e07d/rendering/09.obj", "2.73733329773")</f>
        <v>2.73733329773</v>
      </c>
      <c r="M1218" s="62" t="str">
        <f>HYPERLINK(AA2 &amp; "/hammer/sn_fed2ecf0c54b2939de96a788d048e07d/rendering/10.obj", "3.25160908699")</f>
        <v>3.25160908699</v>
      </c>
      <c r="N1218" s="16" t="str">
        <f>HYPERLINK(AA2 &amp; "/hammer/sn_fed2ecf0c54b2939de96a788d048e07d/rendering/11.obj", "3.70177364349")</f>
        <v>3.70177364349</v>
      </c>
      <c r="O1218" s="55" t="str">
        <f>HYPERLINK(AA2 &amp; "/hammer/sn_fed2ecf0c54b2939de96a788d048e07d/rendering/12.obj", "6.5296049118")</f>
        <v>6.5296049118</v>
      </c>
      <c r="P1218" s="177" t="str">
        <f>HYPERLINK(AA2 &amp; "/hammer/sn_fed2ecf0c54b2939de96a788d048e07d/rendering/13.obj", "3.76719665527")</f>
        <v>3.76719665527</v>
      </c>
      <c r="Q1218" s="20" t="str">
        <f>HYPERLINK(AA2 &amp; "/hammer/sn_fed2ecf0c54b2939de96a788d048e07d/rendering/14.obj", "32.3286437988")</f>
        <v>32.3286437988</v>
      </c>
      <c r="R1218" s="20" t="str">
        <f>HYPERLINK(AA2 &amp; "/hammer/sn_fed2ecf0c54b2939de96a788d048e07d/rendering/15.obj", "25.9572925568")</f>
        <v>25.9572925568</v>
      </c>
      <c r="S1218" s="160" t="str">
        <f>HYPERLINK(AA2 &amp; "/hammer/sn_fed2ecf0c54b2939de96a788d048e07d/rendering/16.obj", "3.81098389626")</f>
        <v>3.81098389626</v>
      </c>
      <c r="T1218" s="74" t="str">
        <f>HYPERLINK(AA2 &amp; "/hammer/sn_fed2ecf0c54b2939de96a788d048e07d/rendering/17.obj", "7.98424196243")</f>
        <v>7.98424196243</v>
      </c>
      <c r="U1218" s="167" t="str">
        <f>HYPERLINK(AA2 &amp; "/hammer/sn_fed2ecf0c54b2939de96a788d048e07d/rendering/18.obj", "3.20886468887")</f>
        <v>3.20886468887</v>
      </c>
      <c r="V1218" s="127" t="str">
        <f>HYPERLINK(AA2 &amp; "/hammer/sn_fed2ecf0c54b2939de96a788d048e07d/rendering/19.obj", "3.88681101799")</f>
        <v>3.88681101799</v>
      </c>
      <c r="W1218" s="12" t="s">
        <v>30</v>
      </c>
      <c r="X1218" s="13">
        <v>8.1054868102073669</v>
      </c>
      <c r="Y1218" s="13">
        <v>8.8107860565168377</v>
      </c>
      <c r="Z1218" s="20">
        <v>1.0870150384331361</v>
      </c>
    </row>
    <row r="1219" spans="1:26" x14ac:dyDescent="0.2">
      <c r="A1219" s="1">
        <v>1217</v>
      </c>
      <c r="B1219" s="2" t="s">
        <v>276</v>
      </c>
      <c r="C1219" s="39" t="str">
        <f>HYPERLINK(AB2 &amp; "/hammer/sn_fed2ecf0c54b2939de96a788d048e07d/rendering/00.obj", "5.56377807617")</f>
        <v>5.56377807617</v>
      </c>
      <c r="D1219" s="5" t="str">
        <f>HYPERLINK(AB2 &amp; "/hammer/sn_fed2ecf0c54b2939de96a788d048e07d/rendering/01.obj", "6.55395324707")</f>
        <v>6.55395324707</v>
      </c>
      <c r="E1219" s="6" t="str">
        <f>HYPERLINK(AB2 &amp; "/hammer/sn_fed2ecf0c54b2939de96a788d048e07d/rendering/02.obj", "6.36491394043")</f>
        <v>6.36491394043</v>
      </c>
      <c r="F1219" s="67" t="str">
        <f>HYPERLINK(AB2 &amp; "/hammer/sn_fed2ecf0c54b2939de96a788d048e07d/rendering/03.obj", "5.51937316895")</f>
        <v>5.51937316895</v>
      </c>
      <c r="G1219" s="10" t="str">
        <f>HYPERLINK(AB2 &amp; "/hammer/sn_fed2ecf0c54b2939de96a788d048e07d/rendering/04.obj", "5.75297607422")</f>
        <v>5.75297607422</v>
      </c>
      <c r="H1219" s="69" t="str">
        <f>HYPERLINK(AB2 &amp; "/hammer/sn_fed2ecf0c54b2939de96a788d048e07d/rendering/05.obj", "5.90008789063")</f>
        <v>5.90008789063</v>
      </c>
      <c r="I1219" s="27" t="str">
        <f>HYPERLINK(AB2 &amp; "/hammer/sn_fed2ecf0c54b2939de96a788d048e07d/rendering/06.obj", "5.66180297852")</f>
        <v>5.66180297852</v>
      </c>
      <c r="J1219" s="46" t="str">
        <f>HYPERLINK(AB2 &amp; "/hammer/sn_fed2ecf0c54b2939de96a788d048e07d/rendering/07.obj", "5.97261474609")</f>
        <v>5.97261474609</v>
      </c>
      <c r="K1219" s="48" t="str">
        <f>HYPERLINK(AB2 &amp; "/hammer/sn_fed2ecf0c54b2939de96a788d048e07d/rendering/08.obj", "6.23480957031")</f>
        <v>6.23480957031</v>
      </c>
      <c r="L1219" s="27" t="str">
        <f>HYPERLINK(AB2 &amp; "/hammer/sn_fed2ecf0c54b2939de96a788d048e07d/rendering/09.obj", "6.50558227539")</f>
        <v>6.50558227539</v>
      </c>
      <c r="M1219" s="25" t="str">
        <f>HYPERLINK(AB2 &amp; "/hammer/sn_fed2ecf0c54b2939de96a788d048e07d/rendering/10.obj", "6.01133361816")</f>
        <v>6.01133361816</v>
      </c>
      <c r="N1219" s="72" t="str">
        <f>HYPERLINK(AB2 &amp; "/hammer/sn_fed2ecf0c54b2939de96a788d048e07d/rendering/11.obj", "5.88114379883")</f>
        <v>5.88114379883</v>
      </c>
      <c r="O1219" s="17" t="str">
        <f>HYPERLINK(AB2 &amp; "/hammer/sn_fed2ecf0c54b2939de96a788d048e07d/rendering/12.obj", "6.20844665527")</f>
        <v>6.20844665527</v>
      </c>
      <c r="P1219" s="68" t="str">
        <f>HYPERLINK(AB2 &amp; "/hammer/sn_fed2ecf0c54b2939de96a788d048e07d/rendering/13.obj", "5.81695739746")</f>
        <v>5.81695739746</v>
      </c>
      <c r="Q1219" s="60" t="str">
        <f>HYPERLINK(AB2 &amp; "/hammer/sn_fed2ecf0c54b2939de96a788d048e07d/rendering/14.obj", "6.39209838867")</f>
        <v>6.39209838867</v>
      </c>
      <c r="R1219" s="73" t="str">
        <f>HYPERLINK(AB2 &amp; "/hammer/sn_fed2ecf0c54b2939de96a788d048e07d/rendering/15.obj", "6.3113293457")</f>
        <v>6.3113293457</v>
      </c>
      <c r="S1219" s="13" t="str">
        <f>HYPERLINK(AB2 &amp; "/hammer/sn_fed2ecf0c54b2939de96a788d048e07d/rendering/16.obj", "6.06814025879")</f>
        <v>6.06814025879</v>
      </c>
      <c r="T1219" s="17" t="str">
        <f>HYPERLINK(AB2 &amp; "/hammer/sn_fed2ecf0c54b2939de96a788d048e07d/rendering/17.obj", "6.21635009766")</f>
        <v>6.21635009766</v>
      </c>
      <c r="U1219" s="69" t="str">
        <f>HYPERLINK(AB2 &amp; "/hammer/sn_fed2ecf0c54b2939de96a788d048e07d/rendering/18.obj", "6.26166870117")</f>
        <v>6.26166870117</v>
      </c>
      <c r="V1219" s="26" t="str">
        <f>HYPERLINK(AB2 &amp; "/hammer/sn_fed2ecf0c54b2939de96a788d048e07d/rendering/19.obj", "6.48018554688")</f>
        <v>6.48018554688</v>
      </c>
      <c r="W1219" s="12" t="s">
        <v>31</v>
      </c>
      <c r="X1219" s="13">
        <v>6.0838772888183588</v>
      </c>
      <c r="Y1219" s="13">
        <v>0.30901986945205762</v>
      </c>
      <c r="Z1219" s="60">
        <v>5.0793244962387622E-2</v>
      </c>
    </row>
    <row r="1220" spans="1:26" x14ac:dyDescent="0.2">
      <c r="A1220" s="1">
        <v>1218</v>
      </c>
      <c r="B1220" s="2" t="s">
        <v>276</v>
      </c>
      <c r="C1220" s="83" t="str">
        <f>HYPERLINK(AB2 &amp; "/hammer/sn_fed2ecf0c54b2939de96a788d048e07d/rendering/00.obj", "2.05155587196")</f>
        <v>2.05155587196</v>
      </c>
      <c r="D1220" s="110" t="str">
        <f>HYPERLINK(AB2 &amp; "/hammer/sn_fed2ecf0c54b2939de96a788d048e07d/rendering/01.obj", "2.18036317825")</f>
        <v>2.18036317825</v>
      </c>
      <c r="E1220" s="134" t="str">
        <f>HYPERLINK(AB2 &amp; "/hammer/sn_fed2ecf0c54b2939de96a788d048e07d/rendering/02.obj", "2.85736370087")</f>
        <v>2.85736370087</v>
      </c>
      <c r="F1220" s="117" t="str">
        <f>HYPERLINK(AB2 &amp; "/hammer/sn_fed2ecf0c54b2939de96a788d048e07d/rendering/03.obj", "1.98651540279")</f>
        <v>1.98651540279</v>
      </c>
      <c r="G1220" s="8" t="str">
        <f>HYPERLINK(AB2 &amp; "/hammer/sn_fed2ecf0c54b2939de96a788d048e07d/rendering/04.obj", "2.07578015327")</f>
        <v>2.07578015327</v>
      </c>
      <c r="H1220" s="24" t="str">
        <f>HYPERLINK(AB2 &amp; "/hammer/sn_fed2ecf0c54b2939de96a788d048e07d/rendering/05.obj", "2.01491928101")</f>
        <v>2.01491928101</v>
      </c>
      <c r="I1220" s="75" t="str">
        <f>HYPERLINK(AB2 &amp; "/hammer/sn_fed2ecf0c54b2939de96a788d048e07d/rendering/06.obj", "1.88077628613")</f>
        <v>1.88077628613</v>
      </c>
      <c r="J1220" s="142" t="str">
        <f>HYPERLINK(AB2 &amp; "/hammer/sn_fed2ecf0c54b2939de96a788d048e07d/rendering/07.obj", "3.36741423607")</f>
        <v>3.36741423607</v>
      </c>
      <c r="K1220" s="39" t="str">
        <f>HYPERLINK(AB2 &amp; "/hammer/sn_fed2ecf0c54b2939de96a788d048e07d/rendering/08.obj", "2.20842385292")</f>
        <v>2.20842385292</v>
      </c>
      <c r="L1220" s="201" t="str">
        <f>HYPERLINK(AB2 &amp; "/hammer/sn_fed2ecf0c54b2939de96a788d048e07d/rendering/09.obj", "3.82637453079")</f>
        <v>3.82637453079</v>
      </c>
      <c r="M1220" s="106" t="str">
        <f>HYPERLINK(AB2 &amp; "/hammer/sn_fed2ecf0c54b2939de96a788d048e07d/rendering/10.obj", "2.14170241356")</f>
        <v>2.14170241356</v>
      </c>
      <c r="N1220" s="28" t="str">
        <f>HYPERLINK(AB2 &amp; "/hammer/sn_fed2ecf0c54b2939de96a788d048e07d/rendering/11.obj", "2.15235614777")</f>
        <v>2.15235614777</v>
      </c>
      <c r="O1220" s="69" t="str">
        <f>HYPERLINK(AB2 &amp; "/hammer/sn_fed2ecf0c54b2939de96a788d048e07d/rendering/12.obj", "2.49359273911")</f>
        <v>2.49359273911</v>
      </c>
      <c r="P1220" s="98" t="str">
        <f>HYPERLINK(AB2 &amp; "/hammer/sn_fed2ecf0c54b2939de96a788d048e07d/rendering/13.obj", "1.8573154211")</f>
        <v>1.8573154211</v>
      </c>
      <c r="Q1220" s="31" t="str">
        <f>HYPERLINK(AB2 &amp; "/hammer/sn_fed2ecf0c54b2939de96a788d048e07d/rendering/14.obj", "2.79664945602")</f>
        <v>2.79664945602</v>
      </c>
      <c r="R1220" s="176" t="str">
        <f>HYPERLINK(AB2 &amp; "/hammer/sn_fed2ecf0c54b2939de96a788d048e07d/rendering/15.obj", "3.18477773666")</f>
        <v>3.18477773666</v>
      </c>
      <c r="S1220" s="40" t="str">
        <f>HYPERLINK(AB2 &amp; "/hammer/sn_fed2ecf0c54b2939de96a788d048e07d/rendering/16.obj", "2.00582766533")</f>
        <v>2.00582766533</v>
      </c>
      <c r="T1220" s="34" t="str">
        <f>HYPERLINK(AB2 &amp; "/hammer/sn_fed2ecf0c54b2939de96a788d048e07d/rendering/17.obj", "2.30325365067")</f>
        <v>2.30325365067</v>
      </c>
      <c r="U1220" s="51" t="str">
        <f>HYPERLINK(AB2 &amp; "/hammer/sn_fed2ecf0c54b2939de96a788d048e07d/rendering/18.obj", "2.61242318153")</f>
        <v>2.61242318153</v>
      </c>
      <c r="V1220" s="17" t="str">
        <f>HYPERLINK(AB2 &amp; "/hammer/sn_fed2ecf0c54b2939de96a788d048e07d/rendering/19.obj", "2.36983752251")</f>
        <v>2.36983752251</v>
      </c>
      <c r="W1220" s="12" t="s">
        <v>32</v>
      </c>
      <c r="X1220" s="13">
        <v>2.4183611214160918</v>
      </c>
      <c r="Y1220" s="13">
        <v>0.52385495535788573</v>
      </c>
      <c r="Z1220" s="81">
        <v>0.2166156868462796</v>
      </c>
    </row>
    <row r="1221" spans="1:26" x14ac:dyDescent="0.2">
      <c r="A1221" s="1">
        <v>1219</v>
      </c>
      <c r="B1221" s="2" t="s">
        <v>276</v>
      </c>
      <c r="C1221" s="13" t="str">
        <f>HYPERLINK(AC2 &amp; "/hammer/sn_fed2ecf0c54b2939de96a788d048e07d/rendering/00.xyz", "0.0")</f>
        <v>0.0</v>
      </c>
      <c r="D1221" s="13" t="str">
        <f>HYPERLINK(AC2 &amp; "/hammer/sn_fed2ecf0c54b2939de96a788d048e07d/rendering/01.xyz", "0.0")</f>
        <v>0.0</v>
      </c>
      <c r="E1221" s="13" t="str">
        <f>HYPERLINK(AC2 &amp; "/hammer/sn_fed2ecf0c54b2939de96a788d048e07d/rendering/02.xyz", "0.0")</f>
        <v>0.0</v>
      </c>
      <c r="F1221" s="13" t="str">
        <f>HYPERLINK(AC2 &amp; "/hammer/sn_fed2ecf0c54b2939de96a788d048e07d/rendering/03.xyz", "0.0")</f>
        <v>0.0</v>
      </c>
      <c r="G1221" s="13" t="str">
        <f>HYPERLINK(AC2 &amp; "/hammer/sn_fed2ecf0c54b2939de96a788d048e07d/rendering/04.xyz", "0.0")</f>
        <v>0.0</v>
      </c>
      <c r="H1221" s="13" t="str">
        <f>HYPERLINK(AC2 &amp; "/hammer/sn_fed2ecf0c54b2939de96a788d048e07d/rendering/05.xyz", "0.0")</f>
        <v>0.0</v>
      </c>
      <c r="I1221" s="13" t="str">
        <f>HYPERLINK(AC2 &amp; "/hammer/sn_fed2ecf0c54b2939de96a788d048e07d/rendering/06.xyz", "0.0")</f>
        <v>0.0</v>
      </c>
      <c r="J1221" s="13" t="str">
        <f>HYPERLINK(AC2 &amp; "/hammer/sn_fed2ecf0c54b2939de96a788d048e07d/rendering/07.xyz", "0.0")</f>
        <v>0.0</v>
      </c>
      <c r="K1221" s="13" t="str">
        <f>HYPERLINK(AC2 &amp; "/hammer/sn_fed2ecf0c54b2939de96a788d048e07d/rendering/08.xyz", "0.0")</f>
        <v>0.0</v>
      </c>
      <c r="L1221" s="13" t="str">
        <f>HYPERLINK(AC2 &amp; "/hammer/sn_fed2ecf0c54b2939de96a788d048e07d/rendering/09.xyz", "0.0")</f>
        <v>0.0</v>
      </c>
      <c r="M1221" s="13" t="str">
        <f>HYPERLINK(AC2 &amp; "/hammer/sn_fed2ecf0c54b2939de96a788d048e07d/rendering/10.xyz", "0.0")</f>
        <v>0.0</v>
      </c>
      <c r="N1221" s="13" t="str">
        <f>HYPERLINK(AC2 &amp; "/hammer/sn_fed2ecf0c54b2939de96a788d048e07d/rendering/11.xyz", "0.0")</f>
        <v>0.0</v>
      </c>
      <c r="O1221" s="13" t="str">
        <f>HYPERLINK(AC2 &amp; "/hammer/sn_fed2ecf0c54b2939de96a788d048e07d/rendering/12.xyz", "0.0")</f>
        <v>0.0</v>
      </c>
      <c r="P1221" s="13" t="str">
        <f>HYPERLINK(AC2 &amp; "/hammer/sn_fed2ecf0c54b2939de96a788d048e07d/rendering/13.xyz", "0.0")</f>
        <v>0.0</v>
      </c>
      <c r="Q1221" s="13" t="str">
        <f>HYPERLINK(AC2 &amp; "/hammer/sn_fed2ecf0c54b2939de96a788d048e07d/rendering/14.xyz", "0.0")</f>
        <v>0.0</v>
      </c>
      <c r="R1221" s="13" t="str">
        <f>HYPERLINK(AC2 &amp; "/hammer/sn_fed2ecf0c54b2939de96a788d048e07d/rendering/15.xyz", "0.0")</f>
        <v>0.0</v>
      </c>
      <c r="S1221" s="13" t="str">
        <f>HYPERLINK(AC2 &amp; "/hammer/sn_fed2ecf0c54b2939de96a788d048e07d/rendering/16.xyz", "0.0")</f>
        <v>0.0</v>
      </c>
      <c r="T1221" s="13" t="str">
        <f>HYPERLINK(AC2 &amp; "/hammer/sn_fed2ecf0c54b2939de96a788d048e07d/rendering/17.xyz", "0.0")</f>
        <v>0.0</v>
      </c>
      <c r="U1221" s="13" t="str">
        <f>HYPERLINK(AC2 &amp; "/hammer/sn_fed2ecf0c54b2939de96a788d048e07d/rendering/18.xyz", "0.0")</f>
        <v>0.0</v>
      </c>
      <c r="V1221" s="13" t="str">
        <f>HYPERLINK(AC2 &amp; "/hammer/sn_fed2ecf0c54b2939de96a788d048e07d/rendering/19.xyz", "0.0")</f>
        <v>0.0</v>
      </c>
      <c r="W1221" s="12" t="s">
        <v>33</v>
      </c>
      <c r="X1221" s="13">
        <v>0</v>
      </c>
      <c r="Y1221" s="13">
        <v>0</v>
      </c>
      <c r="Z1221" s="13">
        <v>0</v>
      </c>
    </row>
    <row r="1222" spans="1:26" x14ac:dyDescent="0.2">
      <c r="A1222" s="1">
        <v>1220</v>
      </c>
      <c r="B1222" s="2" t="s">
        <v>277</v>
      </c>
      <c r="C1222" s="59" t="str">
        <f>HYPERLINK(AA2 &amp; "/key/3dw_d9d420ee-4914-47d4-b817-f98ab84680a5/rendering/00.obj", "2.95895507813")</f>
        <v>2.95895507813</v>
      </c>
      <c r="D1222" s="110" t="str">
        <f>HYPERLINK(AA2 &amp; "/key/3dw_d9d420ee-4914-47d4-b817-f98ab84680a5/rendering/01.obj", "4.27680145264")</f>
        <v>4.27680145264</v>
      </c>
      <c r="E1222" s="66" t="str">
        <f>HYPERLINK(AA2 &amp; "/key/3dw_d9d420ee-4914-47d4-b817-f98ab84680a5/rendering/02.obj", "3.26998352051")</f>
        <v>3.26998352051</v>
      </c>
      <c r="F1222" s="24" t="str">
        <f>HYPERLINK(AA2 &amp; "/key/3dw_d9d420ee-4914-47d4-b817-f98ab84680a5/rendering/03.obj", "4.54082458496")</f>
        <v>4.54082458496</v>
      </c>
      <c r="G1222" s="50" t="str">
        <f>HYPERLINK(AA2 &amp; "/key/3dw_d9d420ee-4914-47d4-b817-f98ab84680a5/rendering/04.obj", "3.11186584473")</f>
        <v>3.11186584473</v>
      </c>
      <c r="H1222" s="59" t="str">
        <f>HYPERLINK(AA2 &amp; "/key/3dw_d9d420ee-4914-47d4-b817-f98ab84680a5/rendering/05.obj", "2.9601348877")</f>
        <v>2.9601348877</v>
      </c>
      <c r="I1222" s="42" t="str">
        <f>HYPERLINK(AA2 &amp; "/key/3dw_d9d420ee-4914-47d4-b817-f98ab84680a5/rendering/06.obj", "4.41930236816")</f>
        <v>4.41930236816</v>
      </c>
      <c r="J1222" s="60" t="str">
        <f>HYPERLINK(AA2 &amp; "/key/3dw_d9d420ee-4914-47d4-b817-f98ab84680a5/rendering/07.obj", "4.09427307129")</f>
        <v>4.09427307129</v>
      </c>
      <c r="K1222" s="106" t="str">
        <f>HYPERLINK(AA2 &amp; "/key/3dw_d9d420ee-4914-47d4-b817-f98ab84680a5/rendering/08.obj", "3.45040313721")</f>
        <v>3.45040313721</v>
      </c>
      <c r="L1222" s="17" t="str">
        <f>HYPERLINK(AA2 &amp; "/key/3dw_d9d420ee-4914-47d4-b817-f98ab84680a5/rendering/09.obj", "3.81888183594")</f>
        <v>3.81888183594</v>
      </c>
      <c r="M1222" s="152" t="str">
        <f>HYPERLINK(AA2 &amp; "/key/3dw_d9d420ee-4914-47d4-b817-f98ab84680a5/rendering/10.obj", "5.47052124023")</f>
        <v>5.47052124023</v>
      </c>
      <c r="N1222" s="98" t="str">
        <f>HYPERLINK(AA2 &amp; "/key/3dw_d9d420ee-4914-47d4-b817-f98ab84680a5/rendering/11.obj", "2.99157196045")</f>
        <v>2.99157196045</v>
      </c>
      <c r="O1222" s="66" t="str">
        <f>HYPERLINK(AA2 &amp; "/key/3dw_d9d420ee-4914-47d4-b817-f98ab84680a5/rendering/12.obj", "3.26160522461")</f>
        <v>3.26160522461</v>
      </c>
      <c r="P1222" s="71" t="str">
        <f>HYPERLINK(AA2 &amp; "/key/3dw_d9d420ee-4914-47d4-b817-f98ab84680a5/rendering/13.obj", "3.43294128418")</f>
        <v>3.43294128418</v>
      </c>
      <c r="Q1222" s="17" t="str">
        <f>HYPERLINK(AA2 &amp; "/key/3dw_d9d420ee-4914-47d4-b817-f98ab84680a5/rendering/14.obj", "3.97011962891")</f>
        <v>3.97011962891</v>
      </c>
      <c r="R1222" s="130" t="str">
        <f>HYPERLINK(AA2 &amp; "/key/3dw_d9d420ee-4914-47d4-b817-f98ab84680a5/rendering/15.obj", "5.64972412109")</f>
        <v>5.64972412109</v>
      </c>
      <c r="S1222" s="48" t="str">
        <f>HYPERLINK(AA2 &amp; "/key/3dw_d9d420ee-4914-47d4-b817-f98ab84680a5/rendering/16.obj", "3.79608032227")</f>
        <v>3.79608032227</v>
      </c>
      <c r="T1222" s="42" t="str">
        <f>HYPERLINK(AA2 &amp; "/key/3dw_d9d420ee-4914-47d4-b817-f98ab84680a5/rendering/17.obj", "3.36022491455")</f>
        <v>3.36022491455</v>
      </c>
      <c r="U1222" s="42" t="str">
        <f>HYPERLINK(AA2 &amp; "/key/3dw_d9d420ee-4914-47d4-b817-f98ab84680a5/rendering/18.obj", "4.42379150391")</f>
        <v>4.42379150391</v>
      </c>
      <c r="V1222" s="76" t="str">
        <f>HYPERLINK(AA2 &amp; "/key/3dw_d9d420ee-4914-47d4-b817-f98ab84680a5/rendering/19.obj", "4.60670166016")</f>
        <v>4.60670166016</v>
      </c>
      <c r="W1222" s="12" t="s">
        <v>29</v>
      </c>
      <c r="X1222" s="13">
        <v>3.893235382080078</v>
      </c>
      <c r="Y1222" s="13">
        <v>0.77183889582229293</v>
      </c>
      <c r="Z1222" s="50">
        <v>0.19825127948208329</v>
      </c>
    </row>
    <row r="1223" spans="1:26" x14ac:dyDescent="0.2">
      <c r="A1223" s="1">
        <v>1221</v>
      </c>
      <c r="B1223" s="2" t="s">
        <v>277</v>
      </c>
      <c r="C1223" s="209" t="str">
        <f>HYPERLINK(AA2 &amp; "/key/3dw_d9d420ee-4914-47d4-b817-f98ab84680a5/rendering/00.obj", "1.91851615906")</f>
        <v>1.91851615906</v>
      </c>
      <c r="D1223" s="98" t="str">
        <f>HYPERLINK(AA2 &amp; "/key/3dw_d9d420ee-4914-47d4-b817-f98ab84680a5/rendering/01.obj", "9.72008800507")</f>
        <v>9.72008800507</v>
      </c>
      <c r="E1223" s="245" t="str">
        <f>HYPERLINK(AA2 &amp; "/key/3dw_d9d420ee-4914-47d4-b817-f98ab84680a5/rendering/02.obj", "2.22580647469")</f>
        <v>2.22580647469</v>
      </c>
      <c r="F1223" s="20" t="str">
        <f>HYPERLINK(AA2 &amp; "/key/3dw_d9d420ee-4914-47d4-b817-f98ab84680a5/rendering/03.obj", "14.2513599396")</f>
        <v>14.2513599396</v>
      </c>
      <c r="G1223" s="225" t="str">
        <f>HYPERLINK(AA2 &amp; "/key/3dw_d9d420ee-4914-47d4-b817-f98ab84680a5/rendering/04.obj", "3.41181850433")</f>
        <v>3.41181850433</v>
      </c>
      <c r="H1223" s="253" t="str">
        <f>HYPERLINK(AA2 &amp; "/key/3dw_d9d420ee-4914-47d4-b817-f98ab84680a5/rendering/05.obj", "2.15743303299")</f>
        <v>2.15743303299</v>
      </c>
      <c r="I1223" s="205" t="str">
        <f>HYPERLINK(AA2 &amp; "/key/3dw_d9d420ee-4914-47d4-b817-f98ab84680a5/rendering/06.obj", "13.1652364731")</f>
        <v>13.1652364731</v>
      </c>
      <c r="J1223" s="38" t="str">
        <f>HYPERLINK(AA2 &amp; "/key/3dw_d9d420ee-4914-47d4-b817-f98ab84680a5/rendering/07.obj", "7.21003484726")</f>
        <v>7.21003484726</v>
      </c>
      <c r="K1223" s="171" t="str">
        <f>HYPERLINK(AA2 &amp; "/key/3dw_d9d420ee-4914-47d4-b817-f98ab84680a5/rendering/08.obj", "5.4936375618")</f>
        <v>5.4936375618</v>
      </c>
      <c r="L1223" s="166" t="str">
        <f>HYPERLINK(AA2 &amp; "/key/3dw_d9d420ee-4914-47d4-b817-f98ab84680a5/rendering/09.obj", "5.62853956223")</f>
        <v>5.62853956223</v>
      </c>
      <c r="M1223" s="20" t="str">
        <f>HYPERLINK(AA2 &amp; "/key/3dw_d9d420ee-4914-47d4-b817-f98ab84680a5/rendering/10.obj", "22.6267967224")</f>
        <v>22.6267967224</v>
      </c>
      <c r="N1223" s="224" t="str">
        <f>HYPERLINK(AA2 &amp; "/key/3dw_d9d420ee-4914-47d4-b817-f98ab84680a5/rendering/11.obj", "2.31720089912")</f>
        <v>2.31720089912</v>
      </c>
      <c r="O1223" s="251" t="str">
        <f>HYPERLINK(AA2 &amp; "/key/3dw_d9d420ee-4914-47d4-b817-f98ab84680a5/rendering/12.obj", "3.25730776787")</f>
        <v>3.25730776787</v>
      </c>
      <c r="P1223" s="194" t="str">
        <f>HYPERLINK(AA2 &amp; "/key/3dw_d9d420ee-4914-47d4-b817-f98ab84680a5/rendering/13.obj", "2.97900176048")</f>
        <v>2.97900176048</v>
      </c>
      <c r="Q1223" s="6" t="str">
        <f>HYPERLINK(AA2 &amp; "/key/3dw_d9d420ee-4914-47d4-b817-f98ab84680a5/rendering/14.obj", "7.5557756424")</f>
        <v>7.5557756424</v>
      </c>
      <c r="R1223" s="20" t="str">
        <f>HYPERLINK(AA2 &amp; "/key/3dw_d9d420ee-4914-47d4-b817-f98ab84680a5/rendering/15.obj", "21.8240394592")</f>
        <v>21.8240394592</v>
      </c>
      <c r="S1223" s="13" t="str">
        <f>HYPERLINK(AA2 &amp; "/key/3dw_d9d420ee-4914-47d4-b817-f98ab84680a5/rendering/16.obj", "7.90194654465")</f>
        <v>7.90194654465</v>
      </c>
      <c r="T1223" s="102" t="str">
        <f>HYPERLINK(AA2 &amp; "/key/3dw_d9d420ee-4914-47d4-b817-f98ab84680a5/rendering/17.obj", "3.98662781715")</f>
        <v>3.98662781715</v>
      </c>
      <c r="U1223" s="73" t="str">
        <f>HYPERLINK(AA2 &amp; "/key/3dw_d9d420ee-4914-47d4-b817-f98ab84680a5/rendering/18.obj", "8.20356273651")</f>
        <v>8.20356273651</v>
      </c>
      <c r="V1223" s="21" t="str">
        <f>HYPERLINK(AA2 &amp; "/key/3dw_d9d420ee-4914-47d4-b817-f98ab84680a5/rendering/19.obj", "12.2886571884")</f>
        <v>12.2886571884</v>
      </c>
      <c r="W1223" s="12" t="s">
        <v>30</v>
      </c>
      <c r="X1223" s="13">
        <v>7.9061693549156189</v>
      </c>
      <c r="Y1223" s="13">
        <v>6.0265139054314352</v>
      </c>
      <c r="Z1223" s="258">
        <v>0.76225459320378486</v>
      </c>
    </row>
    <row r="1224" spans="1:26" x14ac:dyDescent="0.2">
      <c r="A1224" s="1">
        <v>1222</v>
      </c>
      <c r="B1224" s="2" t="s">
        <v>277</v>
      </c>
      <c r="C1224" s="91" t="str">
        <f>HYPERLINK(AB2 &amp; "/key/3dw_d9d420ee-4914-47d4-b817-f98ab84680a5/rendering/00.obj", "2.84786529541")</f>
        <v>2.84786529541</v>
      </c>
      <c r="D1224" s="23" t="str">
        <f>HYPERLINK(AB2 &amp; "/key/3dw_d9d420ee-4914-47d4-b817-f98ab84680a5/rendering/01.obj", "2.66497009277")</f>
        <v>2.66497009277</v>
      </c>
      <c r="E1224" s="88" t="str">
        <f>HYPERLINK(AB2 &amp; "/key/3dw_d9d420ee-4914-47d4-b817-f98ab84680a5/rendering/02.obj", "3.33700958252")</f>
        <v>3.33700958252</v>
      </c>
      <c r="F1224" s="17" t="str">
        <f>HYPERLINK(AB2 &amp; "/key/3dw_d9d420ee-4914-47d4-b817-f98ab84680a5/rendering/03.obj", "2.83506286621")</f>
        <v>2.83506286621</v>
      </c>
      <c r="G1224" s="60" t="str">
        <f>HYPERLINK(AB2 &amp; "/key/3dw_d9d420ee-4914-47d4-b817-f98ab84680a5/rendering/04.obj", "2.63129089355")</f>
        <v>2.63129089355</v>
      </c>
      <c r="H1224" s="60" t="str">
        <f>HYPERLINK(AB2 &amp; "/key/3dw_d9d420ee-4914-47d4-b817-f98ab84680a5/rendering/05.obj", "2.91420288086")</f>
        <v>2.91420288086</v>
      </c>
      <c r="I1224" s="25" t="str">
        <f>HYPERLINK(AB2 &amp; "/key/3dw_d9d420ee-4914-47d4-b817-f98ab84680a5/rendering/06.obj", "2.74681274414")</f>
        <v>2.74681274414</v>
      </c>
      <c r="J1224" s="68" t="str">
        <f>HYPERLINK(AB2 &amp; "/key/3dw_d9d420ee-4914-47d4-b817-f98ab84680a5/rendering/07.obj", "2.6578692627")</f>
        <v>2.6578692627</v>
      </c>
      <c r="K1224" s="25" t="str">
        <f>HYPERLINK(AB2 &amp; "/key/3dw_d9d420ee-4914-47d4-b817-f98ab84680a5/rendering/08.obj", "2.80844696045")</f>
        <v>2.80844696045</v>
      </c>
      <c r="L1224" s="94" t="str">
        <f>HYPERLINK(AB2 &amp; "/key/3dw_d9d420ee-4914-47d4-b817-f98ab84680a5/rendering/09.obj", "2.56887237549")</f>
        <v>2.56887237549</v>
      </c>
      <c r="M1224" s="6" t="str">
        <f>HYPERLINK(AB2 &amp; "/key/3dw_d9d420ee-4914-47d4-b817-f98ab84680a5/rendering/10.obj", "2.65125854492")</f>
        <v>2.65125854492</v>
      </c>
      <c r="N1224" s="10" t="str">
        <f>HYPERLINK(AB2 &amp; "/key/3dw_d9d420ee-4914-47d4-b817-f98ab84680a5/rendering/11.obj", "2.92851318359")</f>
        <v>2.92851318359</v>
      </c>
      <c r="O1224" s="72" t="str">
        <f>HYPERLINK(AB2 &amp; "/key/3dw_d9d420ee-4914-47d4-b817-f98ab84680a5/rendering/12.obj", "2.86785583496")</f>
        <v>2.86785583496</v>
      </c>
      <c r="P1224" s="27" t="str">
        <f>HYPERLINK(AB2 &amp; "/key/3dw_d9d420ee-4914-47d4-b817-f98ab84680a5/rendering/13.obj", "2.58300933838")</f>
        <v>2.58300933838</v>
      </c>
      <c r="Q1224" s="30" t="str">
        <f>HYPERLINK(AB2 &amp; "/key/3dw_d9d420ee-4914-47d4-b817-f98ab84680a5/rendering/14.obj", "2.76214538574")</f>
        <v>2.76214538574</v>
      </c>
      <c r="R1224" s="46" t="str">
        <f>HYPERLINK(AB2 &amp; "/key/3dw_d9d420ee-4914-47d4-b817-f98ab84680a5/rendering/15.obj", "2.72725036621")</f>
        <v>2.72725036621</v>
      </c>
      <c r="S1224" s="35" t="str">
        <f>HYPERLINK(AB2 &amp; "/key/3dw_d9d420ee-4914-47d4-b817-f98ab84680a5/rendering/16.obj", "2.93479187012")</f>
        <v>2.93479187012</v>
      </c>
      <c r="T1224" s="38" t="str">
        <f>HYPERLINK(AB2 &amp; "/key/3dw_d9d420ee-4914-47d4-b817-f98ab84680a5/rendering/17.obj", "2.52210296631")</f>
        <v>2.52210296631</v>
      </c>
      <c r="U1224" s="48" t="str">
        <f>HYPERLINK(AB2 &amp; "/key/3dw_d9d420ee-4914-47d4-b817-f98ab84680a5/rendering/18.obj", "2.84375457764")</f>
        <v>2.84375457764</v>
      </c>
      <c r="V1224" s="68" t="str">
        <f>HYPERLINK(AB2 &amp; "/key/3dw_d9d420ee-4914-47d4-b817-f98ab84680a5/rendering/19.obj", "2.65705108643")</f>
        <v>2.65705108643</v>
      </c>
      <c r="W1224" s="12" t="s">
        <v>31</v>
      </c>
      <c r="X1224" s="13">
        <v>2.774506805419922</v>
      </c>
      <c r="Y1224" s="13">
        <v>0.17747678530440739</v>
      </c>
      <c r="Z1224" s="26">
        <v>6.3966967014718212E-2</v>
      </c>
    </row>
    <row r="1225" spans="1:26" x14ac:dyDescent="0.2">
      <c r="A1225" s="1">
        <v>1223</v>
      </c>
      <c r="B1225" s="2" t="s">
        <v>277</v>
      </c>
      <c r="C1225" s="48" t="str">
        <f>HYPERLINK(AB2 &amp; "/key/3dw_d9d420ee-4914-47d4-b817-f98ab84680a5/rendering/00.obj", "1.69338047504")</f>
        <v>1.69338047504</v>
      </c>
      <c r="D1225" s="28" t="str">
        <f>HYPERLINK(AB2 &amp; "/key/3dw_d9d420ee-4914-47d4-b817-f98ab84680a5/rendering/01.obj", "1.54250764847")</f>
        <v>1.54250764847</v>
      </c>
      <c r="E1225" s="136" t="str">
        <f>HYPERLINK(AB2 &amp; "/key/3dw_d9d420ee-4914-47d4-b817-f98ab84680a5/rendering/02.obj", "2.1447057724")</f>
        <v>2.1447057724</v>
      </c>
      <c r="F1225" s="65" t="str">
        <f>HYPERLINK(AB2 &amp; "/key/3dw_d9d420ee-4914-47d4-b817-f98ab84680a5/rendering/03.obj", "1.9628136158")</f>
        <v>1.9628136158</v>
      </c>
      <c r="G1225" s="60" t="str">
        <f>HYPERLINK(AB2 &amp; "/key/3dw_d9d420ee-4914-47d4-b817-f98ab84680a5/rendering/04.obj", "1.82575798035")</f>
        <v>1.82575798035</v>
      </c>
      <c r="H1225" s="91" t="str">
        <f>HYPERLINK(AB2 &amp; "/key/3dw_d9d420ee-4914-47d4-b817-f98ab84680a5/rendering/05.obj", "1.77849209309")</f>
        <v>1.77849209309</v>
      </c>
      <c r="I1225" s="27" t="str">
        <f>HYPERLINK(AB2 &amp; "/key/3dw_d9d420ee-4914-47d4-b817-f98ab84680a5/rendering/06.obj", "1.60985577106")</f>
        <v>1.60985577106</v>
      </c>
      <c r="J1225" s="33" t="str">
        <f>HYPERLINK(AB2 &amp; "/key/3dw_d9d420ee-4914-47d4-b817-f98ab84680a5/rendering/07.obj", "1.54489552975")</f>
        <v>1.54489552975</v>
      </c>
      <c r="K1225" s="29" t="str">
        <f>HYPERLINK(AB2 &amp; "/key/3dw_d9d420ee-4914-47d4-b817-f98ab84680a5/rendering/08.obj", "1.95907688141")</f>
        <v>1.95907688141</v>
      </c>
      <c r="L1225" s="35" t="str">
        <f>HYPERLINK(AB2 &amp; "/key/3dw_d9d420ee-4914-47d4-b817-f98ab84680a5/rendering/09.obj", "1.63506674767")</f>
        <v>1.63506674767</v>
      </c>
      <c r="M1225" s="91" t="str">
        <f>HYPERLINK(AB2 &amp; "/key/3dw_d9d420ee-4914-47d4-b817-f98ab84680a5/rendering/10.obj", "1.68957865238")</f>
        <v>1.68957865238</v>
      </c>
      <c r="N1225" s="67" t="str">
        <f>HYPERLINK(AB2 &amp; "/key/3dw_d9d420ee-4914-47d4-b817-f98ab84680a5/rendering/11.obj", "1.57111489773")</f>
        <v>1.57111489773</v>
      </c>
      <c r="O1225" s="5" t="str">
        <f>HYPERLINK(AB2 &amp; "/key/3dw_d9d420ee-4914-47d4-b817-f98ab84680a5/rendering/12.obj", "1.86528563499")</f>
        <v>1.86528563499</v>
      </c>
      <c r="P1225" s="13" t="str">
        <f>HYPERLINK(AB2 &amp; "/key/3dw_d9d420ee-4914-47d4-b817-f98ab84680a5/rendering/13.obj", "1.73123836517")</f>
        <v>1.73123836517</v>
      </c>
      <c r="Q1225" s="91" t="str">
        <f>HYPERLINK(AB2 &amp; "/key/3dw_d9d420ee-4914-47d4-b817-f98ab84680a5/rendering/14.obj", "1.68511366844")</f>
        <v>1.68511366844</v>
      </c>
      <c r="R1225" s="92" t="str">
        <f>HYPERLINK(AB2 &amp; "/key/3dw_d9d420ee-4914-47d4-b817-f98ab84680a5/rendering/15.obj", "1.9511064291")</f>
        <v>1.9511064291</v>
      </c>
      <c r="S1225" s="73" t="str">
        <f>HYPERLINK(AB2 &amp; "/key/3dw_d9d420ee-4914-47d4-b817-f98ab84680a5/rendering/16.obj", "1.79797458649")</f>
        <v>1.79797458649</v>
      </c>
      <c r="T1225" s="28" t="str">
        <f>HYPERLINK(AB2 &amp; "/key/3dw_d9d420ee-4914-47d4-b817-f98ab84680a5/rendering/17.obj", "1.53962135315")</f>
        <v>1.53962135315</v>
      </c>
      <c r="U1225" s="35" t="str">
        <f>HYPERLINK(AB2 &amp; "/key/3dw_d9d420ee-4914-47d4-b817-f98ab84680a5/rendering/18.obj", "1.63088417053")</f>
        <v>1.63088417053</v>
      </c>
      <c r="V1225" s="92" t="str">
        <f>HYPERLINK(AB2 &amp; "/key/3dw_d9d420ee-4914-47d4-b817-f98ab84680a5/rendering/19.obj", "1.51913547516")</f>
        <v>1.51913547516</v>
      </c>
      <c r="W1225" s="12" t="s">
        <v>32</v>
      </c>
      <c r="X1225" s="13">
        <v>1.733880287408829</v>
      </c>
      <c r="Y1225" s="13">
        <v>0.16960564749756371</v>
      </c>
      <c r="Z1225" s="110">
        <v>9.7818545333962087E-2</v>
      </c>
    </row>
    <row r="1226" spans="1:26" x14ac:dyDescent="0.2">
      <c r="A1226" s="1">
        <v>1224</v>
      </c>
      <c r="B1226" s="2" t="s">
        <v>277</v>
      </c>
      <c r="C1226" s="13" t="str">
        <f>HYPERLINK(AC2 &amp; "/key/3dw_d9d420ee-4914-47d4-b817-f98ab84680a5/rendering/00.xyz", "0.0")</f>
        <v>0.0</v>
      </c>
      <c r="D1226" s="13" t="str">
        <f>HYPERLINK(AC2 &amp; "/key/3dw_d9d420ee-4914-47d4-b817-f98ab84680a5/rendering/01.xyz", "0.0")</f>
        <v>0.0</v>
      </c>
      <c r="E1226" s="13" t="str">
        <f>HYPERLINK(AC2 &amp; "/key/3dw_d9d420ee-4914-47d4-b817-f98ab84680a5/rendering/02.xyz", "0.0")</f>
        <v>0.0</v>
      </c>
      <c r="F1226" s="13" t="str">
        <f>HYPERLINK(AC2 &amp; "/key/3dw_d9d420ee-4914-47d4-b817-f98ab84680a5/rendering/03.xyz", "0.0")</f>
        <v>0.0</v>
      </c>
      <c r="G1226" s="13" t="str">
        <f>HYPERLINK(AC2 &amp; "/key/3dw_d9d420ee-4914-47d4-b817-f98ab84680a5/rendering/04.xyz", "0.0")</f>
        <v>0.0</v>
      </c>
      <c r="H1226" s="13" t="str">
        <f>HYPERLINK(AC2 &amp; "/key/3dw_d9d420ee-4914-47d4-b817-f98ab84680a5/rendering/05.xyz", "0.0")</f>
        <v>0.0</v>
      </c>
      <c r="I1226" s="13" t="str">
        <f>HYPERLINK(AC2 &amp; "/key/3dw_d9d420ee-4914-47d4-b817-f98ab84680a5/rendering/06.xyz", "0.0")</f>
        <v>0.0</v>
      </c>
      <c r="J1226" s="13" t="str">
        <f>HYPERLINK(AC2 &amp; "/key/3dw_d9d420ee-4914-47d4-b817-f98ab84680a5/rendering/07.xyz", "0.0")</f>
        <v>0.0</v>
      </c>
      <c r="K1226" s="13" t="str">
        <f>HYPERLINK(AC2 &amp; "/key/3dw_d9d420ee-4914-47d4-b817-f98ab84680a5/rendering/08.xyz", "0.0")</f>
        <v>0.0</v>
      </c>
      <c r="L1226" s="13" t="str">
        <f>HYPERLINK(AC2 &amp; "/key/3dw_d9d420ee-4914-47d4-b817-f98ab84680a5/rendering/09.xyz", "0.0")</f>
        <v>0.0</v>
      </c>
      <c r="M1226" s="13" t="str">
        <f>HYPERLINK(AC2 &amp; "/key/3dw_d9d420ee-4914-47d4-b817-f98ab84680a5/rendering/10.xyz", "0.0")</f>
        <v>0.0</v>
      </c>
      <c r="N1226" s="13" t="str">
        <f>HYPERLINK(AC2 &amp; "/key/3dw_d9d420ee-4914-47d4-b817-f98ab84680a5/rendering/11.xyz", "0.0")</f>
        <v>0.0</v>
      </c>
      <c r="O1226" s="13" t="str">
        <f>HYPERLINK(AC2 &amp; "/key/3dw_d9d420ee-4914-47d4-b817-f98ab84680a5/rendering/12.xyz", "0.0")</f>
        <v>0.0</v>
      </c>
      <c r="P1226" s="13" t="str">
        <f>HYPERLINK(AC2 &amp; "/key/3dw_d9d420ee-4914-47d4-b817-f98ab84680a5/rendering/13.xyz", "0.0")</f>
        <v>0.0</v>
      </c>
      <c r="Q1226" s="13" t="str">
        <f>HYPERLINK(AC2 &amp; "/key/3dw_d9d420ee-4914-47d4-b817-f98ab84680a5/rendering/14.xyz", "0.0")</f>
        <v>0.0</v>
      </c>
      <c r="R1226" s="13" t="str">
        <f>HYPERLINK(AC2 &amp; "/key/3dw_d9d420ee-4914-47d4-b817-f98ab84680a5/rendering/15.xyz", "0.0")</f>
        <v>0.0</v>
      </c>
      <c r="S1226" s="13" t="str">
        <f>HYPERLINK(AC2 &amp; "/key/3dw_d9d420ee-4914-47d4-b817-f98ab84680a5/rendering/16.xyz", "0.0")</f>
        <v>0.0</v>
      </c>
      <c r="T1226" s="13" t="str">
        <f>HYPERLINK(AC2 &amp; "/key/3dw_d9d420ee-4914-47d4-b817-f98ab84680a5/rendering/17.xyz", "0.0")</f>
        <v>0.0</v>
      </c>
      <c r="U1226" s="13" t="str">
        <f>HYPERLINK(AC2 &amp; "/key/3dw_d9d420ee-4914-47d4-b817-f98ab84680a5/rendering/18.xyz", "0.0")</f>
        <v>0.0</v>
      </c>
      <c r="V1226" s="13" t="str">
        <f>HYPERLINK(AC2 &amp; "/key/3dw_d9d420ee-4914-47d4-b817-f98ab84680a5/rendering/19.xyz", "0.0")</f>
        <v>0.0</v>
      </c>
      <c r="W1226" s="12" t="s">
        <v>33</v>
      </c>
      <c r="X1226" s="13">
        <v>0</v>
      </c>
      <c r="Y1226" s="13">
        <v>0</v>
      </c>
      <c r="Z1226" s="13">
        <v>0</v>
      </c>
    </row>
    <row r="1227" spans="1:26" x14ac:dyDescent="0.2">
      <c r="A1227" s="1">
        <v>1225</v>
      </c>
      <c r="B1227" s="2" t="s">
        <v>278</v>
      </c>
      <c r="C1227" s="31" t="str">
        <f>HYPERLINK(AA2 &amp; "/key/3dw_db6b4124-dc3a-4347-ba30-4905af443dfb/rendering/00.obj", "2.59589782715")</f>
        <v>2.59589782715</v>
      </c>
      <c r="D1227" s="179" t="str">
        <f>HYPERLINK(AA2 &amp; "/key/3dw_db6b4124-dc3a-4347-ba30-4905af443dfb/rendering/01.obj", "4.3872845459")</f>
        <v>4.3872845459</v>
      </c>
      <c r="E1227" s="27" t="str">
        <f>HYPERLINK(AA2 &amp; "/key/3dw_db6b4124-dc3a-4347-ba30-4905af443dfb/rendering/02.obj", "3.28594848633")</f>
        <v>3.28594848633</v>
      </c>
      <c r="F1227" s="86" t="str">
        <f>HYPERLINK(AA2 &amp; "/key/3dw_db6b4124-dc3a-4347-ba30-4905af443dfb/rendering/03.obj", "2.24160568237")</f>
        <v>2.24160568237</v>
      </c>
      <c r="G1227" s="94" t="str">
        <f>HYPERLINK(AA2 &amp; "/key/3dw_db6b4124-dc3a-4347-ba30-4905af443dfb/rendering/04.obj", "2.84178314209")</f>
        <v>2.84178314209</v>
      </c>
      <c r="H1227" s="67" t="str">
        <f>HYPERLINK(AA2 &amp; "/key/3dw_db6b4124-dc3a-4347-ba30-4905af443dfb/rendering/05.obj", "2.78844482422")</f>
        <v>2.78844482422</v>
      </c>
      <c r="I1227" s="34" t="str">
        <f>HYPERLINK(AA2 &amp; "/key/3dw_db6b4124-dc3a-4347-ba30-4905af443dfb/rendering/06.obj", "3.22312988281")</f>
        <v>3.22312988281</v>
      </c>
      <c r="J1227" s="35" t="str">
        <f>HYPERLINK(AA2 &amp; "/key/3dw_db6b4124-dc3a-4347-ba30-4905af443dfb/rendering/07.obj", "3.24484100342")</f>
        <v>3.24484100342</v>
      </c>
      <c r="K1227" s="10" t="str">
        <f>HYPERLINK(AA2 &amp; "/key/3dw_db6b4124-dc3a-4347-ba30-4905af443dfb/rendering/08.obj", "2.89603485107")</f>
        <v>2.89603485107</v>
      </c>
      <c r="L1227" s="25" t="str">
        <f>HYPERLINK(AA2 &amp; "/key/3dw_db6b4124-dc3a-4347-ba30-4905af443dfb/rendering/09.obj", "3.1057144165")</f>
        <v>3.1057144165</v>
      </c>
      <c r="M1227" s="91" t="str">
        <f>HYPERLINK(AA2 &amp; "/key/3dw_db6b4124-dc3a-4347-ba30-4905af443dfb/rendering/10.obj", "2.98245330811")</f>
        <v>2.98245330811</v>
      </c>
      <c r="N1227" s="83" t="str">
        <f>HYPERLINK(AA2 &amp; "/key/3dw_db6b4124-dc3a-4347-ba30-4905af443dfb/rendering/11.obj", "3.53385070801")</f>
        <v>3.53385070801</v>
      </c>
      <c r="O1227" s="51" t="str">
        <f>HYPERLINK(AA2 &amp; "/key/3dw_db6b4124-dc3a-4347-ba30-4905af443dfb/rendering/12.obj", "3.31447998047")</f>
        <v>3.31447998047</v>
      </c>
      <c r="P1227" s="133" t="str">
        <f>HYPERLINK(AA2 &amp; "/key/3dw_db6b4124-dc3a-4347-ba30-4905af443dfb/rendering/13.obj", "2.75230255127")</f>
        <v>2.75230255127</v>
      </c>
      <c r="Q1227" s="41" t="str">
        <f>HYPERLINK(AA2 &amp; "/key/3dw_db6b4124-dc3a-4347-ba30-4905af443dfb/rendering/14.obj", "3.27284606934")</f>
        <v>3.27284606934</v>
      </c>
      <c r="R1227" s="135" t="str">
        <f>HYPERLINK(AA2 &amp; "/key/3dw_db6b4124-dc3a-4347-ba30-4905af443dfb/rendering/15.obj", "2.279868927")</f>
        <v>2.279868927</v>
      </c>
      <c r="S1227" s="74" t="str">
        <f>HYPERLINK(AA2 &amp; "/key/3dw_db6b4124-dc3a-4347-ba30-4905af443dfb/rendering/16.obj", "3.10966522217")</f>
        <v>3.10966522217</v>
      </c>
      <c r="T1227" s="68" t="str">
        <f>HYPERLINK(AA2 &amp; "/key/3dw_db6b4124-dc3a-4347-ba30-4905af443dfb/rendering/17.obj", "2.93590179443")</f>
        <v>2.93590179443</v>
      </c>
      <c r="U1227" s="133" t="str">
        <f>HYPERLINK(AA2 &amp; "/key/3dw_db6b4124-dc3a-4347-ba30-4905af443dfb/rendering/18.obj", "3.38466186523")</f>
        <v>3.38466186523</v>
      </c>
      <c r="V1227" s="6" t="str">
        <f>HYPERLINK(AA2 &amp; "/key/3dw_db6b4124-dc3a-4347-ba30-4905af443dfb/rendering/19.obj", "3.20522491455")</f>
        <v>3.20522491455</v>
      </c>
      <c r="W1227" s="12" t="s">
        <v>29</v>
      </c>
      <c r="X1227" s="13">
        <v>3.069097000122071</v>
      </c>
      <c r="Y1227" s="13">
        <v>0.45252685062809178</v>
      </c>
      <c r="Z1227" s="84">
        <v>0.1474462523048613</v>
      </c>
    </row>
    <row r="1228" spans="1:26" x14ac:dyDescent="0.2">
      <c r="A1228" s="1">
        <v>1226</v>
      </c>
      <c r="B1228" s="2" t="s">
        <v>278</v>
      </c>
      <c r="C1228" s="150" t="str">
        <f>HYPERLINK(AA2 &amp; "/key/3dw_db6b4124-dc3a-4347-ba30-4905af443dfb/rendering/00.obj", "2.27555346489")</f>
        <v>2.27555346489</v>
      </c>
      <c r="D1228" s="20" t="str">
        <f>HYPERLINK(AA2 &amp; "/key/3dw_db6b4124-dc3a-4347-ba30-4905af443dfb/rendering/01.obj", "8.88093757629")</f>
        <v>8.88093757629</v>
      </c>
      <c r="E1228" s="98" t="str">
        <f>HYPERLINK(AA2 &amp; "/key/3dw_db6b4124-dc3a-4347-ba30-4905af443dfb/rendering/02.obj", "6.0678730011")</f>
        <v>6.0678730011</v>
      </c>
      <c r="F1228" s="201" t="str">
        <f>HYPERLINK(AA2 &amp; "/key/3dw_db6b4124-dc3a-4347-ba30-4905af443dfb/rendering/03.obj", "2.05955052376")</f>
        <v>2.05955052376</v>
      </c>
      <c r="G1228" s="57" t="str">
        <f>HYPERLINK(AA2 &amp; "/key/3dw_db6b4124-dc3a-4347-ba30-4905af443dfb/rendering/04.obj", "3.37901806831")</f>
        <v>3.37901806831</v>
      </c>
      <c r="H1228" s="75" t="str">
        <f>HYPERLINK(AA2 &amp; "/key/3dw_db6b4124-dc3a-4347-ba30-4905af443dfb/rendering/05.obj", "3.84133410454")</f>
        <v>3.84133410454</v>
      </c>
      <c r="I1228" s="166" t="str">
        <f>HYPERLINK(AA2 &amp; "/key/3dw_db6b4124-dc3a-4347-ba30-4905af443dfb/rendering/06.obj", "6.34505414963")</f>
        <v>6.34505414963</v>
      </c>
      <c r="J1228" s="109" t="str">
        <f>HYPERLINK(AA2 &amp; "/key/3dw_db6b4124-dc3a-4347-ba30-4905af443dfb/rendering/07.obj", "3.99991106987")</f>
        <v>3.99991106987</v>
      </c>
      <c r="K1228" s="83" t="str">
        <f>HYPERLINK(AA2 &amp; "/key/3dw_db6b4124-dc3a-4347-ba30-4905af443dfb/rendering/08.obj", "4.18933391571")</f>
        <v>4.18933391571</v>
      </c>
      <c r="L1228" s="143" t="str">
        <f>HYPERLINK(AA2 &amp; "/key/3dw_db6b4124-dc3a-4347-ba30-4905af443dfb/rendering/09.obj", "7.25918912888")</f>
        <v>7.25918912888</v>
      </c>
      <c r="M1228" s="63" t="str">
        <f>HYPERLINK(AA2 &amp; "/key/3dw_db6b4124-dc3a-4347-ba30-4905af443dfb/rendering/10.obj", "4.33480978012")</f>
        <v>4.33480978012</v>
      </c>
      <c r="N1228" s="47" t="str">
        <f>HYPERLINK(AA2 &amp; "/key/3dw_db6b4124-dc3a-4347-ba30-4905af443dfb/rendering/11.obj", "4.8996796608")</f>
        <v>4.8996796608</v>
      </c>
      <c r="O1228" s="6" t="str">
        <f>HYPERLINK(AA2 &amp; "/key/3dw_db6b4124-dc3a-4347-ba30-4905af443dfb/rendering/12.obj", "5.15926265717")</f>
        <v>5.15926265717</v>
      </c>
      <c r="P1228" s="181" t="str">
        <f>HYPERLINK(AA2 &amp; "/key/3dw_db6b4124-dc3a-4347-ba30-4905af443dfb/rendering/13.obj", "2.74585723877")</f>
        <v>2.74585723877</v>
      </c>
      <c r="Q1228" s="123" t="str">
        <f>HYPERLINK(AA2 &amp; "/key/3dw_db6b4124-dc3a-4347-ba30-4905af443dfb/rendering/14.obj", "6.74847173691")</f>
        <v>6.74847173691</v>
      </c>
      <c r="R1228" s="52" t="str">
        <f>HYPERLINK(AA2 &amp; "/key/3dw_db6b4124-dc3a-4347-ba30-4905af443dfb/rendering/15.obj", "2.95439934731")</f>
        <v>2.95439934731</v>
      </c>
      <c r="S1228" s="27" t="str">
        <f>HYPERLINK(AA2 &amp; "/key/3dw_db6b4124-dc3a-4347-ba30-4905af443dfb/rendering/16.obj", "4.57976341248")</f>
        <v>4.57976341248</v>
      </c>
      <c r="T1228" s="56" t="str">
        <f>HYPERLINK(AA2 &amp; "/key/3dw_db6b4124-dc3a-4347-ba30-4905af443dfb/rendering/17.obj", "6.45013380051")</f>
        <v>6.45013380051</v>
      </c>
      <c r="U1228" s="71" t="str">
        <f>HYPERLINK(AA2 &amp; "/key/3dw_db6b4124-dc3a-4347-ba30-4905af443dfb/rendering/18.obj", "5.52116727829")</f>
        <v>5.52116727829</v>
      </c>
      <c r="V1228" s="53" t="str">
        <f>HYPERLINK(AA2 &amp; "/key/3dw_db6b4124-dc3a-4347-ba30-4905af443dfb/rendering/19.obj", "6.97436904907")</f>
        <v>6.97436904907</v>
      </c>
      <c r="W1228" s="12" t="s">
        <v>30</v>
      </c>
      <c r="X1228" s="13">
        <v>4.9332834482192993</v>
      </c>
      <c r="Y1228" s="13">
        <v>1.7884679066150151</v>
      </c>
      <c r="Z1228" s="96">
        <v>0.36253094422550852</v>
      </c>
    </row>
    <row r="1229" spans="1:26" x14ac:dyDescent="0.2">
      <c r="A1229" s="1">
        <v>1227</v>
      </c>
      <c r="B1229" s="2" t="s">
        <v>278</v>
      </c>
      <c r="C1229" s="93" t="str">
        <f>HYPERLINK(AB2 &amp; "/key/3dw_db6b4124-dc3a-4347-ba30-4905af443dfb/rendering/00.obj", "2.7399395752")</f>
        <v>2.7399395752</v>
      </c>
      <c r="D1229" s="93" t="str">
        <f>HYPERLINK(AB2 &amp; "/key/3dw_db6b4124-dc3a-4347-ba30-4905af443dfb/rendering/01.obj", "2.7376739502")</f>
        <v>2.7376739502</v>
      </c>
      <c r="E1229" s="72" t="str">
        <f>HYPERLINK(AB2 &amp; "/key/3dw_db6b4124-dc3a-4347-ba30-4905af443dfb/rendering/02.obj", "2.47977661133")</f>
        <v>2.47977661133</v>
      </c>
      <c r="F1229" s="93" t="str">
        <f>HYPERLINK(AB2 &amp; "/key/3dw_db6b4124-dc3a-4347-ba30-4905af443dfb/rendering/03.obj", "2.06793197632")</f>
        <v>2.06793197632</v>
      </c>
      <c r="G1229" s="117" t="str">
        <f>HYPERLINK(AB2 &amp; "/key/3dw_db6b4124-dc3a-4347-ba30-4905af443dfb/rendering/04.obj", "1.9764364624")</f>
        <v>1.9764364624</v>
      </c>
      <c r="H1229" s="23" t="str">
        <f>HYPERLINK(AB2 &amp; "/key/3dw_db6b4124-dc3a-4347-ba30-4905af443dfb/rendering/05.obj", "2.49533325195")</f>
        <v>2.49533325195</v>
      </c>
      <c r="I1229" s="27" t="str">
        <f>HYPERLINK(AB2 &amp; "/key/3dw_db6b4124-dc3a-4347-ba30-4905af443dfb/rendering/06.obj", "2.57304595947")</f>
        <v>2.57304595947</v>
      </c>
      <c r="J1229" s="90" t="str">
        <f>HYPERLINK(AB2 &amp; "/key/3dw_db6b4124-dc3a-4347-ba30-4905af443dfb/rendering/07.obj", "2.17062026978")</f>
        <v>2.17062026978</v>
      </c>
      <c r="K1229" s="88" t="str">
        <f>HYPERLINK(AB2 &amp; "/key/3dw_db6b4124-dc3a-4347-ba30-4905af443dfb/rendering/08.obj", "1.91510879517")</f>
        <v>1.91510879517</v>
      </c>
      <c r="L1229" s="48" t="str">
        <f>HYPERLINK(AB2 &amp; "/key/3dw_db6b4124-dc3a-4347-ba30-4905af443dfb/rendering/09.obj", "2.45973449707")</f>
        <v>2.45973449707</v>
      </c>
      <c r="M1229" s="72" t="str">
        <f>HYPERLINK(AB2 &amp; "/key/3dw_db6b4124-dc3a-4347-ba30-4905af443dfb/rendering/10.obj", "2.3256854248")</f>
        <v>2.3256854248</v>
      </c>
      <c r="N1229" s="109" t="str">
        <f>HYPERLINK(AB2 &amp; "/key/3dw_db6b4124-dc3a-4347-ba30-4905af443dfb/rendering/11.obj", "1.94300735474")</f>
        <v>1.94300735474</v>
      </c>
      <c r="O1229" s="28" t="str">
        <f>HYPERLINK(AB2 &amp; "/key/3dw_db6b4124-dc3a-4347-ba30-4905af443dfb/rendering/12.obj", "2.66506530762")</f>
        <v>2.66506530762</v>
      </c>
      <c r="P1229" s="78" t="str">
        <f>HYPERLINK(AB2 &amp; "/key/3dw_db6b4124-dc3a-4347-ba30-4905af443dfb/rendering/13.obj", "2.54753845215")</f>
        <v>2.54753845215</v>
      </c>
      <c r="Q1229" s="41" t="str">
        <f>HYPERLINK(AB2 &amp; "/key/3dw_db6b4124-dc3a-4347-ba30-4905af443dfb/rendering/14.obj", "2.56683258057")</f>
        <v>2.56683258057</v>
      </c>
      <c r="R1229" s="106" t="str">
        <f>HYPERLINK(AB2 &amp; "/key/3dw_db6b4124-dc3a-4347-ba30-4905af443dfb/rendering/15.obj", "2.67650268555")</f>
        <v>2.67650268555</v>
      </c>
      <c r="S1229" s="46" t="str">
        <f>HYPERLINK(AB2 &amp; "/key/3dw_db6b4124-dc3a-4347-ba30-4905af443dfb/rendering/16.obj", "2.35864105225")</f>
        <v>2.35864105225</v>
      </c>
      <c r="T1229" s="72" t="str">
        <f>HYPERLINK(AB2 &amp; "/key/3dw_db6b4124-dc3a-4347-ba30-4905af443dfb/rendering/17.obj", "2.48207839966")</f>
        <v>2.48207839966</v>
      </c>
      <c r="U1229" s="38" t="str">
        <f>HYPERLINK(AB2 &amp; "/key/3dw_db6b4124-dc3a-4347-ba30-4905af443dfb/rendering/18.obj", "2.18733459473")</f>
        <v>2.18733459473</v>
      </c>
      <c r="V1229" s="32" t="str">
        <f>HYPERLINK(AB2 &amp; "/key/3dw_db6b4124-dc3a-4347-ba30-4905af443dfb/rendering/19.obj", "2.6546081543")</f>
        <v>2.6546081543</v>
      </c>
      <c r="W1229" s="12" t="s">
        <v>31</v>
      </c>
      <c r="X1229" s="13">
        <v>2.401144767761231</v>
      </c>
      <c r="Y1229" s="13">
        <v>0.26316442963894288</v>
      </c>
      <c r="Z1229" s="33">
        <v>0.1095995681611114</v>
      </c>
    </row>
    <row r="1230" spans="1:26" x14ac:dyDescent="0.2">
      <c r="A1230" s="1">
        <v>1228</v>
      </c>
      <c r="B1230" s="2" t="s">
        <v>278</v>
      </c>
      <c r="C1230" s="87" t="str">
        <f>HYPERLINK(AB2 &amp; "/key/3dw_db6b4124-dc3a-4347-ba30-4905af443dfb/rendering/00.obj", "3.04135346413")</f>
        <v>3.04135346413</v>
      </c>
      <c r="D1230" s="19" t="str">
        <f>HYPERLINK(AB2 &amp; "/key/3dw_db6b4124-dc3a-4347-ba30-4905af443dfb/rendering/01.obj", "3.13095068932")</f>
        <v>3.13095068932</v>
      </c>
      <c r="E1230" s="47" t="str">
        <f>HYPERLINK(AB2 &amp; "/key/3dw_db6b4124-dc3a-4347-ba30-4905af443dfb/rendering/02.obj", "2.46241927147")</f>
        <v>2.46241927147</v>
      </c>
      <c r="F1230" s="75" t="str">
        <f>HYPERLINK(AB2 &amp; "/key/3dw_db6b4124-dc3a-4347-ba30-4905af443dfb/rendering/03.obj", "1.92966234684")</f>
        <v>1.92966234684</v>
      </c>
      <c r="G1230" s="82" t="str">
        <f>HYPERLINK(AB2 &amp; "/key/3dw_db6b4124-dc3a-4347-ba30-4905af443dfb/rendering/04.obj", "1.97004961967")</f>
        <v>1.97004961967</v>
      </c>
      <c r="H1230" s="72" t="str">
        <f>HYPERLINK(AB2 &amp; "/key/3dw_db6b4124-dc3a-4347-ba30-4905af443dfb/rendering/05.obj", "2.39950251579")</f>
        <v>2.39950251579</v>
      </c>
      <c r="I1230" s="69" t="str">
        <f>HYPERLINK(AB2 &amp; "/key/3dw_db6b4124-dc3a-4347-ba30-4905af443dfb/rendering/06.obj", "2.55072236061")</f>
        <v>2.55072236061</v>
      </c>
      <c r="J1230" s="170" t="str">
        <f>HYPERLINK(AB2 &amp; "/key/3dw_db6b4124-dc3a-4347-ba30-4905af443dfb/rendering/07.obj", "1.85279369354")</f>
        <v>1.85279369354</v>
      </c>
      <c r="K1230" s="109" t="str">
        <f>HYPERLINK(AB2 &amp; "/key/3dw_db6b4124-dc3a-4347-ba30-4905af443dfb/rendering/08.obj", "2.00798082352")</f>
        <v>2.00798082352</v>
      </c>
      <c r="L1230" s="5" t="str">
        <f>HYPERLINK(AB2 &amp; "/key/3dw_db6b4124-dc3a-4347-ba30-4905af443dfb/rendering/09.obj", "2.28653883934")</f>
        <v>2.28653883934</v>
      </c>
      <c r="M1230" s="23" t="str">
        <f>HYPERLINK(AB2 &amp; "/key/3dw_db6b4124-dc3a-4347-ba30-4905af443dfb/rendering/10.obj", "2.38575935364")</f>
        <v>2.38575935364</v>
      </c>
      <c r="N1230" s="170" t="str">
        <f>HYPERLINK(AB2 &amp; "/key/3dw_db6b4124-dc3a-4347-ba30-4905af443dfb/rendering/11.obj", "1.84990787506")</f>
        <v>1.84990787506</v>
      </c>
      <c r="O1230" s="68" t="str">
        <f>HYPERLINK(AB2 &amp; "/key/3dw_db6b4124-dc3a-4347-ba30-4905af443dfb/rendering/12.obj", "2.5829641819")</f>
        <v>2.5829641819</v>
      </c>
      <c r="P1230" s="78" t="str">
        <f>HYPERLINK(AB2 &amp; "/key/3dw_db6b4124-dc3a-4347-ba30-4905af443dfb/rendering/13.obj", "2.32860183716")</f>
        <v>2.32860183716</v>
      </c>
      <c r="Q1230" s="60" t="str">
        <f>HYPERLINK(AB2 &amp; "/key/3dw_db6b4124-dc3a-4347-ba30-4905af443dfb/rendering/14.obj", "2.60491061211")</f>
        <v>2.60491061211</v>
      </c>
      <c r="R1230" s="71" t="str">
        <f>HYPERLINK(AB2 &amp; "/key/3dw_db6b4124-dc3a-4347-ba30-4905af443dfb/rendering/15.obj", "2.77087283134")</f>
        <v>2.77087283134</v>
      </c>
      <c r="S1230" s="74" t="str">
        <f>HYPERLINK(AB2 &amp; "/key/3dw_db6b4124-dc3a-4347-ba30-4905af443dfb/rendering/16.obj", "2.51678466797")</f>
        <v>2.51678466797</v>
      </c>
      <c r="T1230" s="149" t="str">
        <f>HYPERLINK(AB2 &amp; "/key/3dw_db6b4124-dc3a-4347-ba30-4905af443dfb/rendering/17.obj", "3.33249950409")</f>
        <v>3.33249950409</v>
      </c>
      <c r="U1230" s="79" t="str">
        <f>HYPERLINK(AB2 &amp; "/key/3dw_db6b4124-dc3a-4347-ba30-4905af443dfb/rendering/18.obj", "2.08408665657")</f>
        <v>2.08408665657</v>
      </c>
      <c r="V1230" s="53" t="str">
        <f>HYPERLINK(AB2 &amp; "/key/3dw_db6b4124-dc3a-4347-ba30-4905af443dfb/rendering/19.obj", "3.49844264984")</f>
        <v>3.49844264984</v>
      </c>
      <c r="W1230" s="12" t="s">
        <v>32</v>
      </c>
      <c r="X1230" s="13">
        <v>2.4793401896953582</v>
      </c>
      <c r="Y1230" s="13">
        <v>0.4705786746603533</v>
      </c>
      <c r="Z1230" s="109">
        <v>0.18979996235134411</v>
      </c>
    </row>
    <row r="1231" spans="1:26" x14ac:dyDescent="0.2">
      <c r="A1231" s="1">
        <v>1229</v>
      </c>
      <c r="B1231" s="2" t="s">
        <v>278</v>
      </c>
      <c r="C1231" s="13" t="str">
        <f>HYPERLINK(AC2 &amp; "/key/3dw_db6b4124-dc3a-4347-ba30-4905af443dfb/rendering/00.xyz", "0.0")</f>
        <v>0.0</v>
      </c>
      <c r="D1231" s="13" t="str">
        <f>HYPERLINK(AC2 &amp; "/key/3dw_db6b4124-dc3a-4347-ba30-4905af443dfb/rendering/01.xyz", "0.0")</f>
        <v>0.0</v>
      </c>
      <c r="E1231" s="13" t="str">
        <f>HYPERLINK(AC2 &amp; "/key/3dw_db6b4124-dc3a-4347-ba30-4905af443dfb/rendering/02.xyz", "0.0")</f>
        <v>0.0</v>
      </c>
      <c r="F1231" s="13" t="str">
        <f>HYPERLINK(AC2 &amp; "/key/3dw_db6b4124-dc3a-4347-ba30-4905af443dfb/rendering/03.xyz", "0.0")</f>
        <v>0.0</v>
      </c>
      <c r="G1231" s="13" t="str">
        <f>HYPERLINK(AC2 &amp; "/key/3dw_db6b4124-dc3a-4347-ba30-4905af443dfb/rendering/04.xyz", "0.0")</f>
        <v>0.0</v>
      </c>
      <c r="H1231" s="13" t="str">
        <f>HYPERLINK(AC2 &amp; "/key/3dw_db6b4124-dc3a-4347-ba30-4905af443dfb/rendering/05.xyz", "0.0")</f>
        <v>0.0</v>
      </c>
      <c r="I1231" s="13" t="str">
        <f>HYPERLINK(AC2 &amp; "/key/3dw_db6b4124-dc3a-4347-ba30-4905af443dfb/rendering/06.xyz", "0.0")</f>
        <v>0.0</v>
      </c>
      <c r="J1231" s="13" t="str">
        <f>HYPERLINK(AC2 &amp; "/key/3dw_db6b4124-dc3a-4347-ba30-4905af443dfb/rendering/07.xyz", "0.0")</f>
        <v>0.0</v>
      </c>
      <c r="K1231" s="13" t="str">
        <f>HYPERLINK(AC2 &amp; "/key/3dw_db6b4124-dc3a-4347-ba30-4905af443dfb/rendering/08.xyz", "0.0")</f>
        <v>0.0</v>
      </c>
      <c r="L1231" s="13" t="str">
        <f>HYPERLINK(AC2 &amp; "/key/3dw_db6b4124-dc3a-4347-ba30-4905af443dfb/rendering/09.xyz", "0.0")</f>
        <v>0.0</v>
      </c>
      <c r="M1231" s="13" t="str">
        <f>HYPERLINK(AC2 &amp; "/key/3dw_db6b4124-dc3a-4347-ba30-4905af443dfb/rendering/10.xyz", "0.0")</f>
        <v>0.0</v>
      </c>
      <c r="N1231" s="13" t="str">
        <f>HYPERLINK(AC2 &amp; "/key/3dw_db6b4124-dc3a-4347-ba30-4905af443dfb/rendering/11.xyz", "0.0")</f>
        <v>0.0</v>
      </c>
      <c r="O1231" s="13" t="str">
        <f>HYPERLINK(AC2 &amp; "/key/3dw_db6b4124-dc3a-4347-ba30-4905af443dfb/rendering/12.xyz", "0.0")</f>
        <v>0.0</v>
      </c>
      <c r="P1231" s="13" t="str">
        <f>HYPERLINK(AC2 &amp; "/key/3dw_db6b4124-dc3a-4347-ba30-4905af443dfb/rendering/13.xyz", "0.0")</f>
        <v>0.0</v>
      </c>
      <c r="Q1231" s="13" t="str">
        <f>HYPERLINK(AC2 &amp; "/key/3dw_db6b4124-dc3a-4347-ba30-4905af443dfb/rendering/14.xyz", "0.0")</f>
        <v>0.0</v>
      </c>
      <c r="R1231" s="13" t="str">
        <f>HYPERLINK(AC2 &amp; "/key/3dw_db6b4124-dc3a-4347-ba30-4905af443dfb/rendering/15.xyz", "0.0")</f>
        <v>0.0</v>
      </c>
      <c r="S1231" s="13" t="str">
        <f>HYPERLINK(AC2 &amp; "/key/3dw_db6b4124-dc3a-4347-ba30-4905af443dfb/rendering/16.xyz", "0.0")</f>
        <v>0.0</v>
      </c>
      <c r="T1231" s="13" t="str">
        <f>HYPERLINK(AC2 &amp; "/key/3dw_db6b4124-dc3a-4347-ba30-4905af443dfb/rendering/17.xyz", "0.0")</f>
        <v>0.0</v>
      </c>
      <c r="U1231" s="13" t="str">
        <f>HYPERLINK(AC2 &amp; "/key/3dw_db6b4124-dc3a-4347-ba30-4905af443dfb/rendering/18.xyz", "0.0")</f>
        <v>0.0</v>
      </c>
      <c r="V1231" s="13" t="str">
        <f>HYPERLINK(AC2 &amp; "/key/3dw_db6b4124-dc3a-4347-ba30-4905af443dfb/rendering/19.xyz", "0.0")</f>
        <v>0.0</v>
      </c>
      <c r="W1231" s="12" t="s">
        <v>33</v>
      </c>
      <c r="X1231" s="13">
        <v>0</v>
      </c>
      <c r="Y1231" s="13">
        <v>0</v>
      </c>
      <c r="Z1231" s="13">
        <v>0</v>
      </c>
    </row>
    <row r="1232" spans="1:26" x14ac:dyDescent="0.2">
      <c r="A1232" s="1">
        <v>1230</v>
      </c>
      <c r="B1232" s="2" t="s">
        <v>279</v>
      </c>
      <c r="C1232" s="35" t="str">
        <f>HYPERLINK(AA2 &amp; "/key/3dw_dda03bda-8760-4f9a-ab30-04319e4fb88b/rendering/00.obj", "2.70461456299")</f>
        <v>2.70461456299</v>
      </c>
      <c r="D1232" s="66" t="str">
        <f>HYPERLINK(AA2 &amp; "/key/3dw_dda03bda-8760-4f9a-ab30-04319e4fb88b/rendering/01.obj", "2.40756942749")</f>
        <v>2.40756942749</v>
      </c>
      <c r="E1232" s="41" t="str">
        <f>HYPERLINK(AA2 &amp; "/key/3dw_dda03bda-8760-4f9a-ab30-04319e4fb88b/rendering/02.obj", "2.68440246582")</f>
        <v>2.68440246582</v>
      </c>
      <c r="F1232" s="75" t="str">
        <f>HYPERLINK(AA2 &amp; "/key/3dw_dda03bda-8760-4f9a-ab30-04319e4fb88b/rendering/03.obj", "2.23510818481")</f>
        <v>2.23510818481</v>
      </c>
      <c r="G1232" s="129" t="str">
        <f>HYPERLINK(AA2 &amp; "/key/3dw_dda03bda-8760-4f9a-ab30-04319e4fb88b/rendering/04.obj", "2.15726455688")</f>
        <v>2.15726455688</v>
      </c>
      <c r="H1232" s="17" t="str">
        <f>HYPERLINK(AA2 &amp; "/key/3dw_dda03bda-8760-4f9a-ab30-04319e4fb88b/rendering/05.obj", "2.93209503174")</f>
        <v>2.93209503174</v>
      </c>
      <c r="I1232" s="57" t="str">
        <f>HYPERLINK(AA2 &amp; "/key/3dw_dda03bda-8760-4f9a-ab30-04319e4fb88b/rendering/06.obj", "1.96450302124")</f>
        <v>1.96450302124</v>
      </c>
      <c r="J1232" s="116" t="str">
        <f>HYPERLINK(AA2 &amp; "/key/3dw_dda03bda-8760-4f9a-ab30-04319e4fb88b/rendering/07.obj", "4.13554138184")</f>
        <v>4.13554138184</v>
      </c>
      <c r="K1232" s="87" t="str">
        <f>HYPERLINK(AA2 &amp; "/key/3dw_dda03bda-8760-4f9a-ab30-04319e4fb88b/rendering/08.obj", "2.2187210083")</f>
        <v>2.2187210083</v>
      </c>
      <c r="L1232" s="54" t="str">
        <f>HYPERLINK(AA2 &amp; "/key/3dw_dda03bda-8760-4f9a-ab30-04319e4fb88b/rendering/09.obj", "1.93392578125")</f>
        <v>1.93392578125</v>
      </c>
      <c r="M1232" s="45" t="str">
        <f>HYPERLINK(AA2 &amp; "/key/3dw_dda03bda-8760-4f9a-ab30-04319e4fb88b/rendering/10.obj", "4.78444213867")</f>
        <v>4.78444213867</v>
      </c>
      <c r="N1232" s="65" t="str">
        <f>HYPERLINK(AA2 &amp; "/key/3dw_dda03bda-8760-4f9a-ab30-04319e4fb88b/rendering/11.obj", "2.49615753174")</f>
        <v>2.49615753174</v>
      </c>
      <c r="O1232" s="223" t="str">
        <f>HYPERLINK(AA2 &amp; "/key/3dw_dda03bda-8760-4f9a-ab30-04319e4fb88b/rendering/12.obj", "4.48325805664")</f>
        <v>4.48325805664</v>
      </c>
      <c r="P1232" s="120" t="str">
        <f>HYPERLINK(AA2 &amp; "/key/3dw_dda03bda-8760-4f9a-ab30-04319e4fb88b/rendering/13.obj", "2.26412017822")</f>
        <v>2.26412017822</v>
      </c>
      <c r="Q1232" s="91" t="str">
        <f>HYPERLINK(AA2 &amp; "/key/3dw_dda03bda-8760-4f9a-ab30-04319e4fb88b/rendering/14.obj", "2.95602966309")</f>
        <v>2.95602966309</v>
      </c>
      <c r="R1232" s="35" t="str">
        <f>HYPERLINK(AA2 &amp; "/key/3dw_dda03bda-8760-4f9a-ab30-04319e4fb88b/rendering/15.obj", "2.70488464355")</f>
        <v>2.70488464355</v>
      </c>
      <c r="S1232" s="20" t="str">
        <f>HYPERLINK(AA2 &amp; "/key/3dw_dda03bda-8760-4f9a-ab30-04319e4fb88b/rendering/16.obj", "5.79662719727")</f>
        <v>5.79662719727</v>
      </c>
      <c r="T1232" s="39" t="str">
        <f>HYPERLINK(AA2 &amp; "/key/3dw_dda03bda-8760-4f9a-ab30-04319e4fb88b/rendering/17.obj", "2.62676208496")</f>
        <v>2.62676208496</v>
      </c>
      <c r="U1232" s="169" t="str">
        <f>HYPERLINK(AA2 &amp; "/key/3dw_dda03bda-8760-4f9a-ab30-04319e4fb88b/rendering/18.obj", "1.97933410645")</f>
        <v>1.97933410645</v>
      </c>
      <c r="V1232" s="166" t="str">
        <f>HYPERLINK(AA2 &amp; "/key/3dw_dda03bda-8760-4f9a-ab30-04319e4fb88b/rendering/19.obj", "2.04653289795")</f>
        <v>2.04653289795</v>
      </c>
      <c r="W1232" s="12" t="s">
        <v>29</v>
      </c>
      <c r="X1232" s="13">
        <v>2.8755946960449221</v>
      </c>
      <c r="Y1232" s="13">
        <v>1.044432077665596</v>
      </c>
      <c r="Z1232" s="96">
        <v>0.36320559329939722</v>
      </c>
    </row>
    <row r="1233" spans="1:26" x14ac:dyDescent="0.2">
      <c r="A1233" s="1">
        <v>1231</v>
      </c>
      <c r="B1233" s="2" t="s">
        <v>279</v>
      </c>
      <c r="C1233" s="71" t="str">
        <f>HYPERLINK(AA2 &amp; "/key/3dw_dda03bda-8760-4f9a-ab30-04319e4fb88b/rendering/00.obj", "6.08012104034")</f>
        <v>6.08012104034</v>
      </c>
      <c r="D1233" s="143" t="str">
        <f>HYPERLINK(AA2 &amp; "/key/3dw_dda03bda-8760-4f9a-ab30-04319e4fb88b/rendering/01.obj", "3.63431453705")</f>
        <v>3.63431453705</v>
      </c>
      <c r="E1233" s="162" t="str">
        <f>HYPERLINK(AA2 &amp; "/key/3dw_dda03bda-8760-4f9a-ab30-04319e4fb88b/rendering/02.obj", "3.97138881683")</f>
        <v>3.97138881683</v>
      </c>
      <c r="F1233" s="212" t="str">
        <f>HYPERLINK(AA2 &amp; "/key/3dw_dda03bda-8760-4f9a-ab30-04319e4fb88b/rendering/03.obj", "3.93232798576")</f>
        <v>3.93232798576</v>
      </c>
      <c r="G1233" s="105" t="str">
        <f>HYPERLINK(AA2 &amp; "/key/3dw_dda03bda-8760-4f9a-ab30-04319e4fb88b/rendering/04.obj", "3.36276578903")</f>
        <v>3.36276578903</v>
      </c>
      <c r="H1233" s="50" t="str">
        <f>HYPERLINK(AA2 &amp; "/key/3dw_dda03bda-8760-4f9a-ab30-04319e4fb88b/rendering/05.obj", "5.52346420288")</f>
        <v>5.52346420288</v>
      </c>
      <c r="I1233" s="249" t="str">
        <f>HYPERLINK(AA2 &amp; "/key/3dw_dda03bda-8760-4f9a-ab30-04319e4fb88b/rendering/06.obj", "2.95433735847")</f>
        <v>2.95433735847</v>
      </c>
      <c r="J1233" s="20" t="str">
        <f>HYPERLINK(AA2 &amp; "/key/3dw_dda03bda-8760-4f9a-ab30-04319e4fb88b/rendering/07.obj", "13.1002664566")</f>
        <v>13.1002664566</v>
      </c>
      <c r="K1233" s="131" t="str">
        <f>HYPERLINK(AA2 &amp; "/key/3dw_dda03bda-8760-4f9a-ab30-04319e4fb88b/rendering/08.obj", "3.71310639381")</f>
        <v>3.71310639381</v>
      </c>
      <c r="L1233" s="105" t="str">
        <f>HYPERLINK(AA2 &amp; "/key/3dw_dda03bda-8760-4f9a-ab30-04319e4fb88b/rendering/09.obj", "3.36502385139")</f>
        <v>3.36502385139</v>
      </c>
      <c r="M1233" s="20" t="str">
        <f>HYPERLINK(AA2 &amp; "/key/3dw_dda03bda-8760-4f9a-ab30-04319e4fb88b/rendering/10.obj", "20.2809505463")</f>
        <v>20.2809505463</v>
      </c>
      <c r="N1233" s="128" t="str">
        <f>HYPERLINK(AA2 &amp; "/key/3dw_dda03bda-8760-4f9a-ab30-04319e4fb88b/rendering/11.obj", "4.19789600372")</f>
        <v>4.19789600372</v>
      </c>
      <c r="O1233" s="20" t="str">
        <f>HYPERLINK(AA2 &amp; "/key/3dw_dda03bda-8760-4f9a-ab30-04319e4fb88b/rendering/12.obj", "15.4758481979")</f>
        <v>15.4758481979</v>
      </c>
      <c r="P1233" s="97" t="str">
        <f>HYPERLINK(AA2 &amp; "/key/3dw_dda03bda-8760-4f9a-ab30-04319e4fb88b/rendering/13.obj", "3.90453863144")</f>
        <v>3.90453863144</v>
      </c>
      <c r="Q1233" s="41" t="str">
        <f>HYPERLINK(AA2 &amp; "/key/3dw_dda03bda-8760-4f9a-ab30-04319e4fb88b/rendering/14.obj", "7.36053657532")</f>
        <v>7.36053657532</v>
      </c>
      <c r="R1233" s="4" t="str">
        <f>HYPERLINK(AA2 &amp; "/key/3dw_dda03bda-8760-4f9a-ab30-04319e4fb88b/rendering/15.obj", "4.93983125687")</f>
        <v>4.93983125687</v>
      </c>
      <c r="S1233" s="20" t="str">
        <f>HYPERLINK(AA2 &amp; "/key/3dw_dda03bda-8760-4f9a-ab30-04319e4fb88b/rendering/16.obj", "21.7816009521")</f>
        <v>21.7816009521</v>
      </c>
      <c r="T1233" s="61" t="str">
        <f>HYPERLINK(AA2 &amp; "/key/3dw_dda03bda-8760-4f9a-ab30-04319e4fb88b/rendering/17.obj", "4.8030591011")</f>
        <v>4.8030591011</v>
      </c>
      <c r="U1233" s="62" t="str">
        <f>HYPERLINK(AA2 &amp; "/key/3dw_dda03bda-8760-4f9a-ab30-04319e4fb88b/rendering/18.obj", "2.76755666733")</f>
        <v>2.76755666733</v>
      </c>
      <c r="V1233" s="18" t="str">
        <f>HYPERLINK(AA2 &amp; "/key/3dw_dda03bda-8760-4f9a-ab30-04319e4fb88b/rendering/19.obj", "2.90136837959")</f>
        <v>2.90136837959</v>
      </c>
      <c r="W1233" s="12" t="s">
        <v>30</v>
      </c>
      <c r="X1233" s="13">
        <v>6.9025151371955884</v>
      </c>
      <c r="Y1233" s="13">
        <v>5.7080656519651383</v>
      </c>
      <c r="Z1233" s="20">
        <v>0.82695445623959318</v>
      </c>
    </row>
    <row r="1234" spans="1:26" x14ac:dyDescent="0.2">
      <c r="A1234" s="1">
        <v>1232</v>
      </c>
      <c r="B1234" s="2" t="s">
        <v>279</v>
      </c>
      <c r="C1234" s="25" t="str">
        <f>HYPERLINK(AB2 &amp; "/key/3dw_dda03bda-8760-4f9a-ab30-04319e4fb88b/rendering/00.obj", "2.06488845825")</f>
        <v>2.06488845825</v>
      </c>
      <c r="D1234" s="77" t="str">
        <f>HYPERLINK(AB2 &amp; "/key/3dw_dda03bda-8760-4f9a-ab30-04319e4fb88b/rendering/01.obj", "2.42503356934")</f>
        <v>2.42503356934</v>
      </c>
      <c r="E1234" s="78" t="str">
        <f>HYPERLINK(AB2 &amp; "/key/3dw_dda03bda-8760-4f9a-ab30-04319e4fb88b/rendering/02.obj", "1.91453475952")</f>
        <v>1.91453475952</v>
      </c>
      <c r="F1234" s="46" t="str">
        <f>HYPERLINK(AB2 &amp; "/key/3dw_dda03bda-8760-4f9a-ab30-04319e4fb88b/rendering/03.obj", "2.07930755615")</f>
        <v>2.07930755615</v>
      </c>
      <c r="G1234" s="33" t="str">
        <f>HYPERLINK(AB2 &amp; "/key/3dw_dda03bda-8760-4f9a-ab30-04319e4fb88b/rendering/04.obj", "2.26416687012")</f>
        <v>2.26416687012</v>
      </c>
      <c r="H1234" s="74" t="str">
        <f>HYPERLINK(AB2 &amp; "/key/3dw_dda03bda-8760-4f9a-ab30-04319e4fb88b/rendering/05.obj", "2.06897842407")</f>
        <v>2.06897842407</v>
      </c>
      <c r="I1234" s="83" t="str">
        <f>HYPERLINK(AB2 &amp; "/key/3dw_dda03bda-8760-4f9a-ab30-04319e4fb88b/rendering/06.obj", "1.73403320313")</f>
        <v>1.73403320313</v>
      </c>
      <c r="J1234" s="38" t="str">
        <f>HYPERLINK(AB2 &amp; "/key/3dw_dda03bda-8760-4f9a-ab30-04319e4fb88b/rendering/07.obj", "1.86041015625")</f>
        <v>1.86041015625</v>
      </c>
      <c r="K1234" s="35" t="str">
        <f>HYPERLINK(AB2 &amp; "/key/3dw_dda03bda-8760-4f9a-ab30-04319e4fb88b/rendering/08.obj", "1.92499023438")</f>
        <v>1.92499023438</v>
      </c>
      <c r="L1234" s="32" t="str">
        <f>HYPERLINK(AB2 &amp; "/key/3dw_dda03bda-8760-4f9a-ab30-04319e4fb88b/rendering/09.obj", "2.2584552002")</f>
        <v>2.2584552002</v>
      </c>
      <c r="M1234" s="23" t="str">
        <f>HYPERLINK(AB2 &amp; "/key/3dw_dda03bda-8760-4f9a-ab30-04319e4fb88b/rendering/10.obj", "1.9642489624")</f>
        <v>1.9642489624</v>
      </c>
      <c r="N1234" s="41" t="str">
        <f>HYPERLINK(AB2 &amp; "/key/3dw_dda03bda-8760-4f9a-ab30-04319e4fb88b/rendering/11.obj", "2.18255661011")</f>
        <v>2.18255661011</v>
      </c>
      <c r="O1234" s="6" t="str">
        <f>HYPERLINK(AB2 &amp; "/key/3dw_dda03bda-8760-4f9a-ab30-04319e4fb88b/rendering/12.obj", "1.94762695313")</f>
        <v>1.94762695313</v>
      </c>
      <c r="P1234" s="10" t="str">
        <f>HYPERLINK(AB2 &amp; "/key/3dw_dda03bda-8760-4f9a-ab30-04319e4fb88b/rendering/13.obj", "2.15630752563")</f>
        <v>2.15630752563</v>
      </c>
      <c r="Q1234" s="60" t="str">
        <f>HYPERLINK(AB2 &amp; "/key/3dw_dda03bda-8760-4f9a-ab30-04319e4fb88b/rendering/14.obj", "2.14970428467")</f>
        <v>2.14970428467</v>
      </c>
      <c r="R1234" s="65" t="str">
        <f>HYPERLINK(AB2 &amp; "/key/3dw_dda03bda-8760-4f9a-ab30-04319e4fb88b/rendering/15.obj", "1.76758361816")</f>
        <v>1.76758361816</v>
      </c>
      <c r="S1234" s="74" t="str">
        <f>HYPERLINK(AB2 &amp; "/key/3dw_dda03bda-8760-4f9a-ab30-04319e4fb88b/rendering/16.obj", "2.01188598633")</f>
        <v>2.01188598633</v>
      </c>
      <c r="T1234" s="5" t="str">
        <f>HYPERLINK(AB2 &amp; "/key/3dw_dda03bda-8760-4f9a-ab30-04319e4fb88b/rendering/17.obj", "1.88413146973")</f>
        <v>1.88413146973</v>
      </c>
      <c r="U1234" s="33" t="str">
        <f>HYPERLINK(AB2 &amp; "/key/3dw_dda03bda-8760-4f9a-ab30-04319e4fb88b/rendering/18.obj", "1.82360565186")</f>
        <v>1.82360565186</v>
      </c>
      <c r="V1234" s="79" t="str">
        <f>HYPERLINK(AB2 &amp; "/key/3dw_dda03bda-8760-4f9a-ab30-04319e4fb88b/rendering/19.obj", "2.36364761353")</f>
        <v>2.36364761353</v>
      </c>
      <c r="W1234" s="12" t="s">
        <v>31</v>
      </c>
      <c r="X1234" s="13">
        <v>2.0423048553466789</v>
      </c>
      <c r="Y1234" s="13">
        <v>0.18907479033658819</v>
      </c>
      <c r="Z1234" s="67">
        <v>9.2579121986415144E-2</v>
      </c>
    </row>
    <row r="1235" spans="1:26" x14ac:dyDescent="0.2">
      <c r="A1235" s="1">
        <v>1233</v>
      </c>
      <c r="B1235" s="2" t="s">
        <v>279</v>
      </c>
      <c r="C1235" s="42" t="str">
        <f>HYPERLINK(AB2 &amp; "/key/3dw_dda03bda-8760-4f9a-ab30-04319e4fb88b/rendering/00.obj", "3.09362435341")</f>
        <v>3.09362435341</v>
      </c>
      <c r="D1235" s="90" t="str">
        <f>HYPERLINK(AB2 &amp; "/key/3dw_dda03bda-8760-4f9a-ab30-04319e4fb88b/rendering/01.obj", "2.46211218834")</f>
        <v>2.46211218834</v>
      </c>
      <c r="E1235" s="71" t="str">
        <f>HYPERLINK(AB2 &amp; "/key/3dw_dda03bda-8760-4f9a-ab30-04319e4fb88b/rendering/02.obj", "2.39623427391")</f>
        <v>2.39623427391</v>
      </c>
      <c r="F1235" s="78" t="str">
        <f>HYPERLINK(AB2 &amp; "/key/3dw_dda03bda-8760-4f9a-ab30-04319e4fb88b/rendering/03.obj", "2.55443477631")</f>
        <v>2.55443477631</v>
      </c>
      <c r="G1235" s="25" t="str">
        <f>HYPERLINK(AB2 &amp; "/key/3dw_dda03bda-8760-4f9a-ab30-04319e4fb88b/rendering/04.obj", "2.69369697571")</f>
        <v>2.69369697571</v>
      </c>
      <c r="H1235" s="63" t="str">
        <f>HYPERLINK(AB2 &amp; "/key/3dw_dda03bda-8760-4f9a-ab30-04319e4fb88b/rendering/05.obj", "2.39216446877")</f>
        <v>2.39216446877</v>
      </c>
      <c r="I1235" s="80" t="str">
        <f>HYPERLINK(AB2 &amp; "/key/3dw_dda03bda-8760-4f9a-ab30-04319e4fb88b/rendering/06.obj", "2.31122112274")</f>
        <v>2.31122112274</v>
      </c>
      <c r="J1235" s="8" t="str">
        <f>HYPERLINK(AB2 &amp; "/key/3dw_dda03bda-8760-4f9a-ab30-04319e4fb88b/rendering/07.obj", "3.10874009132")</f>
        <v>3.10874009132</v>
      </c>
      <c r="K1235" s="10" t="str">
        <f>HYPERLINK(AB2 &amp; "/key/3dw_dda03bda-8760-4f9a-ab30-04319e4fb88b/rendering/08.obj", "2.868070364")</f>
        <v>2.868070364</v>
      </c>
      <c r="L1235" s="110" t="str">
        <f>HYPERLINK(AB2 &amp; "/key/3dw_dda03bda-8760-4f9a-ab30-04319e4fb88b/rendering/09.obj", "2.45494127274")</f>
        <v>2.45494127274</v>
      </c>
      <c r="M1235" s="69" t="str">
        <f>HYPERLINK(AB2 &amp; "/key/3dw_dda03bda-8760-4f9a-ab30-04319e4fb88b/rendering/10.obj", "2.80365896225")</f>
        <v>2.80365896225</v>
      </c>
      <c r="N1235" s="26" t="str">
        <f>HYPERLINK(AB2 &amp; "/key/3dw_dda03bda-8760-4f9a-ab30-04319e4fb88b/rendering/11.obj", "2.54168367386")</f>
        <v>2.54168367386</v>
      </c>
      <c r="O1235" s="65" t="str">
        <f>HYPERLINK(AB2 &amp; "/key/3dw_dda03bda-8760-4f9a-ab30-04319e4fb88b/rendering/12.obj", "3.08499741554")</f>
        <v>3.08499741554</v>
      </c>
      <c r="P1235" s="44" t="str">
        <f>HYPERLINK(AB2 &amp; "/key/3dw_dda03bda-8760-4f9a-ab30-04319e4fb88b/rendering/13.obj", "3.25723648071")</f>
        <v>3.25723648071</v>
      </c>
      <c r="Q1235" s="68" t="str">
        <f>HYPERLINK(AB2 &amp; "/key/3dw_dda03bda-8760-4f9a-ab30-04319e4fb88b/rendering/14.obj", "2.83753490448")</f>
        <v>2.83753490448</v>
      </c>
      <c r="R1235" s="110" t="str">
        <f>HYPERLINK(AB2 &amp; "/key/3dw_dda03bda-8760-4f9a-ab30-04319e4fb88b/rendering/15.obj", "2.45173239708")</f>
        <v>2.45173239708</v>
      </c>
      <c r="S1235" s="86" t="str">
        <f>HYPERLINK(AB2 &amp; "/key/3dw_dda03bda-8760-4f9a-ab30-04319e4fb88b/rendering/16.obj", "3.44945597649")</f>
        <v>3.44945597649</v>
      </c>
      <c r="T1235" s="41" t="str">
        <f>HYPERLINK(AB2 &amp; "/key/3dw_dda03bda-8760-4f9a-ab30-04319e4fb88b/rendering/17.obj", "2.53979682922")</f>
        <v>2.53979682922</v>
      </c>
      <c r="U1235" s="6" t="str">
        <f>HYPERLINK(AB2 &amp; "/key/3dw_dda03bda-8760-4f9a-ab30-04319e4fb88b/rendering/18.obj", "2.59331655502")</f>
        <v>2.59331655502</v>
      </c>
      <c r="V1235" s="51" t="str">
        <f>HYPERLINK(AB2 &amp; "/key/3dw_dda03bda-8760-4f9a-ab30-04319e4fb88b/rendering/19.obj", "2.50077939034")</f>
        <v>2.50077939034</v>
      </c>
      <c r="W1235" s="12" t="s">
        <v>32</v>
      </c>
      <c r="X1235" s="13">
        <v>2.7197716236114502</v>
      </c>
      <c r="Y1235" s="13">
        <v>0.31874860951190309</v>
      </c>
      <c r="Z1235" s="71">
        <v>0.11719682886045139</v>
      </c>
    </row>
    <row r="1236" spans="1:26" x14ac:dyDescent="0.2">
      <c r="A1236" s="1">
        <v>1234</v>
      </c>
      <c r="B1236" s="2" t="s">
        <v>279</v>
      </c>
      <c r="C1236" s="13" t="str">
        <f>HYPERLINK(AC2 &amp; "/key/3dw_dda03bda-8760-4f9a-ab30-04319e4fb88b/rendering/00.xyz", "0.0")</f>
        <v>0.0</v>
      </c>
      <c r="D1236" s="13" t="str">
        <f>HYPERLINK(AC2 &amp; "/key/3dw_dda03bda-8760-4f9a-ab30-04319e4fb88b/rendering/01.xyz", "0.0")</f>
        <v>0.0</v>
      </c>
      <c r="E1236" s="13" t="str">
        <f>HYPERLINK(AC2 &amp; "/key/3dw_dda03bda-8760-4f9a-ab30-04319e4fb88b/rendering/02.xyz", "0.0")</f>
        <v>0.0</v>
      </c>
      <c r="F1236" s="13" t="str">
        <f>HYPERLINK(AC2 &amp; "/key/3dw_dda03bda-8760-4f9a-ab30-04319e4fb88b/rendering/03.xyz", "0.0")</f>
        <v>0.0</v>
      </c>
      <c r="G1236" s="13" t="str">
        <f>HYPERLINK(AC2 &amp; "/key/3dw_dda03bda-8760-4f9a-ab30-04319e4fb88b/rendering/04.xyz", "0.0")</f>
        <v>0.0</v>
      </c>
      <c r="H1236" s="13" t="str">
        <f>HYPERLINK(AC2 &amp; "/key/3dw_dda03bda-8760-4f9a-ab30-04319e4fb88b/rendering/05.xyz", "0.0")</f>
        <v>0.0</v>
      </c>
      <c r="I1236" s="13" t="str">
        <f>HYPERLINK(AC2 &amp; "/key/3dw_dda03bda-8760-4f9a-ab30-04319e4fb88b/rendering/06.xyz", "0.0")</f>
        <v>0.0</v>
      </c>
      <c r="J1236" s="13" t="str">
        <f>HYPERLINK(AC2 &amp; "/key/3dw_dda03bda-8760-4f9a-ab30-04319e4fb88b/rendering/07.xyz", "0.0")</f>
        <v>0.0</v>
      </c>
      <c r="K1236" s="13" t="str">
        <f>HYPERLINK(AC2 &amp; "/key/3dw_dda03bda-8760-4f9a-ab30-04319e4fb88b/rendering/08.xyz", "0.0")</f>
        <v>0.0</v>
      </c>
      <c r="L1236" s="13" t="str">
        <f>HYPERLINK(AC2 &amp; "/key/3dw_dda03bda-8760-4f9a-ab30-04319e4fb88b/rendering/09.xyz", "0.0")</f>
        <v>0.0</v>
      </c>
      <c r="M1236" s="13" t="str">
        <f>HYPERLINK(AC2 &amp; "/key/3dw_dda03bda-8760-4f9a-ab30-04319e4fb88b/rendering/10.xyz", "0.0")</f>
        <v>0.0</v>
      </c>
      <c r="N1236" s="13" t="str">
        <f>HYPERLINK(AC2 &amp; "/key/3dw_dda03bda-8760-4f9a-ab30-04319e4fb88b/rendering/11.xyz", "0.0")</f>
        <v>0.0</v>
      </c>
      <c r="O1236" s="13" t="str">
        <f>HYPERLINK(AC2 &amp; "/key/3dw_dda03bda-8760-4f9a-ab30-04319e4fb88b/rendering/12.xyz", "0.0")</f>
        <v>0.0</v>
      </c>
      <c r="P1236" s="13" t="str">
        <f>HYPERLINK(AC2 &amp; "/key/3dw_dda03bda-8760-4f9a-ab30-04319e4fb88b/rendering/13.xyz", "0.0")</f>
        <v>0.0</v>
      </c>
      <c r="Q1236" s="13" t="str">
        <f>HYPERLINK(AC2 &amp; "/key/3dw_dda03bda-8760-4f9a-ab30-04319e4fb88b/rendering/14.xyz", "0.0")</f>
        <v>0.0</v>
      </c>
      <c r="R1236" s="13" t="str">
        <f>HYPERLINK(AC2 &amp; "/key/3dw_dda03bda-8760-4f9a-ab30-04319e4fb88b/rendering/15.xyz", "0.0")</f>
        <v>0.0</v>
      </c>
      <c r="S1236" s="13" t="str">
        <f>HYPERLINK(AC2 &amp; "/key/3dw_dda03bda-8760-4f9a-ab30-04319e4fb88b/rendering/16.xyz", "0.0")</f>
        <v>0.0</v>
      </c>
      <c r="T1236" s="13" t="str">
        <f>HYPERLINK(AC2 &amp; "/key/3dw_dda03bda-8760-4f9a-ab30-04319e4fb88b/rendering/17.xyz", "0.0")</f>
        <v>0.0</v>
      </c>
      <c r="U1236" s="13" t="str">
        <f>HYPERLINK(AC2 &amp; "/key/3dw_dda03bda-8760-4f9a-ab30-04319e4fb88b/rendering/18.xyz", "0.0")</f>
        <v>0.0</v>
      </c>
      <c r="V1236" s="13" t="str">
        <f>HYPERLINK(AC2 &amp; "/key/3dw_dda03bda-8760-4f9a-ab30-04319e4fb88b/rendering/19.xyz", "0.0")</f>
        <v>0.0</v>
      </c>
      <c r="W1236" s="12" t="s">
        <v>33</v>
      </c>
      <c r="X1236" s="13">
        <v>0</v>
      </c>
      <c r="Y1236" s="13">
        <v>0</v>
      </c>
      <c r="Z1236" s="13">
        <v>0</v>
      </c>
    </row>
    <row r="1237" spans="1:26" x14ac:dyDescent="0.2">
      <c r="A1237" s="1">
        <v>1235</v>
      </c>
      <c r="B1237" s="2" t="s">
        <v>280</v>
      </c>
      <c r="C1237" s="83" t="str">
        <f>HYPERLINK(AA2 &amp; "/key/3dw_e558a52d-a485-42bd-8b9f-d176abd8ad13/rendering/00.obj", "1.84918685913")</f>
        <v>1.84918685913</v>
      </c>
      <c r="D1237" s="72" t="str">
        <f>HYPERLINK(AA2 &amp; "/key/3dw_e558a52d-a485-42bd-8b9f-d176abd8ad13/rendering/01.obj", "2.10539703369")</f>
        <v>2.10539703369</v>
      </c>
      <c r="E1237" s="134" t="str">
        <f>HYPERLINK(AA2 &amp; "/key/3dw_e558a52d-a485-42bd-8b9f-d176abd8ad13/rendering/02.obj", "1.78833984375")</f>
        <v>1.78833984375</v>
      </c>
      <c r="F1237" s="28" t="str">
        <f>HYPERLINK(AA2 &amp; "/key/3dw_e558a52d-a485-42bd-8b9f-d176abd8ad13/rendering/03.obj", "2.4233454895")</f>
        <v>2.4233454895</v>
      </c>
      <c r="G1237" s="68" t="str">
        <f>HYPERLINK(AA2 &amp; "/key/3dw_e558a52d-a485-42bd-8b9f-d176abd8ad13/rendering/04.obj", "2.26876068115")</f>
        <v>2.26876068115</v>
      </c>
      <c r="H1237" s="59" t="str">
        <f>HYPERLINK(AA2 &amp; "/key/3dw_e558a52d-a485-42bd-8b9f-d176abd8ad13/rendering/05.obj", "1.65846282959")</f>
        <v>1.65846282959</v>
      </c>
      <c r="I1237" s="14" t="str">
        <f>HYPERLINK(AA2 &amp; "/key/3dw_e558a52d-a485-42bd-8b9f-d176abd8ad13/rendering/06.obj", "2.80876831055")</f>
        <v>2.80876831055</v>
      </c>
      <c r="J1237" s="74" t="str">
        <f>HYPERLINK(AA2 &amp; "/key/3dw_e558a52d-a485-42bd-8b9f-d176abd8ad13/rendering/07.obj", "2.15111221313")</f>
        <v>2.15111221313</v>
      </c>
      <c r="K1237" s="50" t="str">
        <f>HYPERLINK(AA2 &amp; "/key/3dw_e558a52d-a485-42bd-8b9f-d176abd8ad13/rendering/08.obj", "2.61013458252")</f>
        <v>2.61013458252</v>
      </c>
      <c r="L1237" s="91" t="str">
        <f>HYPERLINK(AA2 &amp; "/key/3dw_e558a52d-a485-42bd-8b9f-d176abd8ad13/rendering/09.obj", "2.23578491211")</f>
        <v>2.23578491211</v>
      </c>
      <c r="M1237" s="77" t="str">
        <f>HYPERLINK(AA2 &amp; "/key/3dw_e558a52d-a485-42bd-8b9f-d176abd8ad13/rendering/10.obj", "1.7703729248")</f>
        <v>1.7703729248</v>
      </c>
      <c r="N1237" s="49" t="str">
        <f>HYPERLINK(AA2 &amp; "/key/3dw_e558a52d-a485-42bd-8b9f-d176abd8ad13/rendering/11.obj", "2.63569396973")</f>
        <v>2.63569396973</v>
      </c>
      <c r="O1237" s="6" t="str">
        <f>HYPERLINK(AA2 &amp; "/key/3dw_e558a52d-a485-42bd-8b9f-d176abd8ad13/rendering/12.obj", "2.07676147461")</f>
        <v>2.07676147461</v>
      </c>
      <c r="P1237" s="92" t="str">
        <f>HYPERLINK(AA2 &amp; "/key/3dw_e558a52d-a485-42bd-8b9f-d176abd8ad13/rendering/13.obj", "1.9078704834")</f>
        <v>1.9078704834</v>
      </c>
      <c r="Q1237" s="73" t="str">
        <f>HYPERLINK(AA2 &amp; "/key/3dw_e558a52d-a485-42bd-8b9f-d176abd8ad13/rendering/14.obj", "2.2554800415")</f>
        <v>2.2554800415</v>
      </c>
      <c r="R1237" s="91" t="str">
        <f>HYPERLINK(AA2 &amp; "/key/3dw_e558a52d-a485-42bd-8b9f-d176abd8ad13/rendering/15.obj", "2.23647323608")</f>
        <v>2.23647323608</v>
      </c>
      <c r="S1237" s="94" t="str">
        <f>HYPERLINK(AA2 &amp; "/key/3dw_e558a52d-a485-42bd-8b9f-d176abd8ad13/rendering/16.obj", "2.01983718872")</f>
        <v>2.01983718872</v>
      </c>
      <c r="T1237" s="5" t="str">
        <f>HYPERLINK(AA2 &amp; "/key/3dw_e558a52d-a485-42bd-8b9f-d176abd8ad13/rendering/17.obj", "2.00882873535")</f>
        <v>2.00882873535</v>
      </c>
      <c r="U1237" s="35" t="str">
        <f>HYPERLINK(AA2 &amp; "/key/3dw_e558a52d-a485-42bd-8b9f-d176abd8ad13/rendering/18.obj", "2.05472442627")</f>
        <v>2.05472442627</v>
      </c>
      <c r="V1237" s="58" t="str">
        <f>HYPERLINK(AA2 &amp; "/key/3dw_e558a52d-a485-42bd-8b9f-d176abd8ad13/rendering/19.obj", "2.70850891113")</f>
        <v>2.70850891113</v>
      </c>
      <c r="W1237" s="12" t="s">
        <v>29</v>
      </c>
      <c r="X1237" s="13">
        <v>2.1786922073364261</v>
      </c>
      <c r="Y1237" s="13">
        <v>0.31707984432445052</v>
      </c>
      <c r="Z1237" s="84">
        <v>0.14553677809868271</v>
      </c>
    </row>
    <row r="1238" spans="1:26" x14ac:dyDescent="0.2">
      <c r="A1238" s="1">
        <v>1236</v>
      </c>
      <c r="B1238" s="2" t="s">
        <v>280</v>
      </c>
      <c r="C1238" s="145" t="str">
        <f>HYPERLINK(AA2 &amp; "/key/3dw_e558a52d-a485-42bd-8b9f-d176abd8ad13/rendering/00.obj", "2.71248412132")</f>
        <v>2.71248412132</v>
      </c>
      <c r="D1238" s="35" t="str">
        <f>HYPERLINK(AA2 &amp; "/key/3dw_e558a52d-a485-42bd-8b9f-d176abd8ad13/rendering/01.obj", "5.65094995499")</f>
        <v>5.65094995499</v>
      </c>
      <c r="E1238" s="132" t="str">
        <f>HYPERLINK(AA2 &amp; "/key/3dw_e558a52d-a485-42bd-8b9f-d176abd8ad13/rendering/02.obj", "3.10209321976")</f>
        <v>3.10209321976</v>
      </c>
      <c r="F1238" s="31" t="str">
        <f>HYPERLINK(AA2 &amp; "/key/3dw_e558a52d-a485-42bd-8b9f-d176abd8ad13/rendering/03.obj", "6.1678647995")</f>
        <v>6.1678647995</v>
      </c>
      <c r="G1238" s="26" t="str">
        <f>HYPERLINK(AA2 &amp; "/key/3dw_e558a52d-a485-42bd-8b9f-d176abd8ad13/rendering/04.obj", "5.6882481575")</f>
        <v>5.6882481575</v>
      </c>
      <c r="H1238" s="195" t="str">
        <f>HYPERLINK(AA2 &amp; "/key/3dw_e558a52d-a485-42bd-8b9f-d176abd8ad13/rendering/05.obj", "2.419891119")</f>
        <v>2.419891119</v>
      </c>
      <c r="I1238" s="209" t="str">
        <f>HYPERLINK(AA2 &amp; "/key/3dw_e558a52d-a485-42bd-8b9f-d176abd8ad13/rendering/06.obj", "9.38194465637")</f>
        <v>9.38194465637</v>
      </c>
      <c r="J1238" s="81" t="str">
        <f>HYPERLINK(AA2 &amp; "/key/3dw_e558a52d-a485-42bd-8b9f-d176abd8ad13/rendering/07.obj", "4.17668581009")</f>
        <v>4.17668581009</v>
      </c>
      <c r="K1238" s="252" t="str">
        <f>HYPERLINK(AA2 &amp; "/key/3dw_e558a52d-a485-42bd-8b9f-d176abd8ad13/rendering/08.obj", "8.77319049835")</f>
        <v>8.77319049835</v>
      </c>
      <c r="L1238" s="60" t="str">
        <f>HYPERLINK(AA2 &amp; "/key/3dw_e558a52d-a485-42bd-8b9f-d176abd8ad13/rendering/09.obj", "5.06510543823")</f>
        <v>5.06510543823</v>
      </c>
      <c r="M1238" s="156" t="str">
        <f>HYPERLINK(AA2 &amp; "/key/3dw_e558a52d-a485-42bd-8b9f-d176abd8ad13/rendering/10.obj", "2.94940423965")</f>
        <v>2.94940423965</v>
      </c>
      <c r="N1238" s="243" t="str">
        <f>HYPERLINK(AA2 &amp; "/key/3dw_e558a52d-a485-42bd-8b9f-d176abd8ad13/rendering/11.obj", "9.50465393066")</f>
        <v>9.50465393066</v>
      </c>
      <c r="O1238" s="128" t="str">
        <f>HYPERLINK(AA2 &amp; "/key/3dw_e558a52d-a485-42bd-8b9f-d176abd8ad13/rendering/12.obj", "3.26058530807")</f>
        <v>3.26058530807</v>
      </c>
      <c r="P1238" s="39" t="str">
        <f>HYPERLINK(AA2 &amp; "/key/3dw_e558a52d-a485-42bd-8b9f-d176abd8ad13/rendering/13.obj", "4.87327432632")</f>
        <v>4.87327432632</v>
      </c>
      <c r="Q1238" s="70" t="str">
        <f>HYPERLINK(AA2 &amp; "/key/3dw_e558a52d-a485-42bd-8b9f-d176abd8ad13/rendering/14.obj", "6.01137399673")</f>
        <v>6.01137399673</v>
      </c>
      <c r="R1238" s="63" t="str">
        <f>HYPERLINK(AA2 &amp; "/key/3dw_e558a52d-a485-42bd-8b9f-d176abd8ad13/rendering/15.obj", "5.98545789719")</f>
        <v>5.98545789719</v>
      </c>
      <c r="S1238" s="82" t="str">
        <f>HYPERLINK(AA2 &amp; "/key/3dw_e558a52d-a485-42bd-8b9f-d176abd8ad13/rendering/16.obj", "4.24094629288")</f>
        <v>4.24094629288</v>
      </c>
      <c r="T1238" s="43" t="str">
        <f>HYPERLINK(AA2 &amp; "/key/3dw_e558a52d-a485-42bd-8b9f-d176abd8ad13/rendering/17.obj", "3.34067821503")</f>
        <v>3.34067821503</v>
      </c>
      <c r="U1238" s="63" t="str">
        <f>HYPERLINK(AA2 &amp; "/key/3dw_e558a52d-a485-42bd-8b9f-d176abd8ad13/rendering/18.obj", "4.68981122971")</f>
        <v>4.68981122971</v>
      </c>
      <c r="V1238" s="241" t="str">
        <f>HYPERLINK(AA2 &amp; "/key/3dw_e558a52d-a485-42bd-8b9f-d176abd8ad13/rendering/19.obj", "8.76784801483")</f>
        <v>8.76784801483</v>
      </c>
      <c r="W1238" s="12" t="s">
        <v>30</v>
      </c>
      <c r="X1238" s="13">
        <v>5.3381245613098143</v>
      </c>
      <c r="Y1238" s="13">
        <v>2.1993394587609241</v>
      </c>
      <c r="Z1238" s="53">
        <v>0.4120060207477198</v>
      </c>
    </row>
    <row r="1239" spans="1:26" x14ac:dyDescent="0.2">
      <c r="A1239" s="1">
        <v>1237</v>
      </c>
      <c r="B1239" s="2" t="s">
        <v>280</v>
      </c>
      <c r="C1239" s="79" t="str">
        <f>HYPERLINK(AB2 &amp; "/key/3dw_e558a52d-a485-42bd-8b9f-d176abd8ad13/rendering/00.obj", "1.79896881104")</f>
        <v>1.79896881104</v>
      </c>
      <c r="D1239" s="84" t="str">
        <f>HYPERLINK(AB2 &amp; "/key/3dw_e558a52d-a485-42bd-8b9f-d176abd8ad13/rendering/01.obj", "1.32892318726")</f>
        <v>1.32892318726</v>
      </c>
      <c r="E1239" s="39" t="str">
        <f>HYPERLINK(AB2 &amp; "/key/3dw_e558a52d-a485-42bd-8b9f-d176abd8ad13/rendering/02.obj", "1.41919616699")</f>
        <v>1.41919616699</v>
      </c>
      <c r="F1239" s="27" t="str">
        <f>HYPERLINK(AB2 &amp; "/key/3dw_e558a52d-a485-42bd-8b9f-d176abd8ad13/rendering/03.obj", "1.44354598999")</f>
        <v>1.44354598999</v>
      </c>
      <c r="G1239" s="47" t="str">
        <f>HYPERLINK(AB2 &amp; "/key/3dw_e558a52d-a485-42bd-8b9f-d176abd8ad13/rendering/04.obj", "1.541355896")</f>
        <v>1.541355896</v>
      </c>
      <c r="H1239" s="71" t="str">
        <f>HYPERLINK(AB2 &amp; "/key/3dw_e558a52d-a485-42bd-8b9f-d176abd8ad13/rendering/05.obj", "1.73796005249")</f>
        <v>1.73796005249</v>
      </c>
      <c r="I1239" s="41" t="str">
        <f>HYPERLINK(AB2 &amp; "/key/3dw_e558a52d-a485-42bd-8b9f-d176abd8ad13/rendering/06.obj", "1.44641357422")</f>
        <v>1.44641357422</v>
      </c>
      <c r="J1239" s="25" t="str">
        <f>HYPERLINK(AB2 &amp; "/key/3dw_e558a52d-a485-42bd-8b9f-d176abd8ad13/rendering/07.obj", "1.534949646")</f>
        <v>1.534949646</v>
      </c>
      <c r="K1239" s="6" t="str">
        <f>HYPERLINK(AB2 &amp; "/key/3dw_e558a52d-a485-42bd-8b9f-d176abd8ad13/rendering/08.obj", "1.48262878418")</f>
        <v>1.48262878418</v>
      </c>
      <c r="L1239" s="33" t="str">
        <f>HYPERLINK(AB2 &amp; "/key/3dw_e558a52d-a485-42bd-8b9f-d176abd8ad13/rendering/09.obj", "1.38502944946")</f>
        <v>1.38502944946</v>
      </c>
      <c r="M1239" s="78" t="str">
        <f>HYPERLINK(AB2 &amp; "/key/3dw_e558a52d-a485-42bd-8b9f-d176abd8ad13/rendering/10.obj", "1.4575617981")</f>
        <v>1.4575617981</v>
      </c>
      <c r="N1239" s="27" t="str">
        <f>HYPERLINK(AB2 &amp; "/key/3dw_e558a52d-a485-42bd-8b9f-d176abd8ad13/rendering/11.obj", "1.44164794922")</f>
        <v>1.44164794922</v>
      </c>
      <c r="O1239" s="185" t="str">
        <f>HYPERLINK(AB2 &amp; "/key/3dw_e558a52d-a485-42bd-8b9f-d176abd8ad13/rendering/12.obj", "2.08446868896")</f>
        <v>2.08446868896</v>
      </c>
      <c r="P1239" s="70" t="str">
        <f>HYPERLINK(AB2 &amp; "/key/3dw_e558a52d-a485-42bd-8b9f-d176abd8ad13/rendering/13.obj", "1.35650756836")</f>
        <v>1.35650756836</v>
      </c>
      <c r="Q1239" s="48" t="str">
        <f>HYPERLINK(AB2 &amp; "/key/3dw_e558a52d-a485-42bd-8b9f-d176abd8ad13/rendering/14.obj", "1.59125762939")</f>
        <v>1.59125762939</v>
      </c>
      <c r="R1239" s="47" t="str">
        <f>HYPERLINK(AB2 &amp; "/key/3dw_e558a52d-a485-42bd-8b9f-d176abd8ad13/rendering/15.obj", "1.56342849731")</f>
        <v>1.56342849731</v>
      </c>
      <c r="S1239" s="70" t="str">
        <f>HYPERLINK(AB2 &amp; "/key/3dw_e558a52d-a485-42bd-8b9f-d176abd8ad13/rendering/16.obj", "1.35525695801")</f>
        <v>1.35525695801</v>
      </c>
      <c r="T1239" s="129" t="str">
        <f>HYPERLINK(AB2 &amp; "/key/3dw_e558a52d-a485-42bd-8b9f-d176abd8ad13/rendering/17.obj", "1.9431338501")</f>
        <v>1.9431338501</v>
      </c>
      <c r="U1239" s="29" t="str">
        <f>HYPERLINK(AB2 &amp; "/key/3dw_e558a52d-a485-42bd-8b9f-d176abd8ad13/rendering/18.obj", "1.75347610474")</f>
        <v>1.75347610474</v>
      </c>
      <c r="V1239" s="90" t="str">
        <f>HYPERLINK(AB2 &amp; "/key/3dw_e558a52d-a485-42bd-8b9f-d176abd8ad13/rendering/19.obj", "1.40605987549")</f>
        <v>1.40605987549</v>
      </c>
      <c r="W1239" s="12" t="s">
        <v>31</v>
      </c>
      <c r="X1239" s="13">
        <v>1.553588523864746</v>
      </c>
      <c r="Y1239" s="13">
        <v>0.20211673200533739</v>
      </c>
      <c r="Z1239" s="29">
        <v>0.1300966947815414</v>
      </c>
    </row>
    <row r="1240" spans="1:26" x14ac:dyDescent="0.2">
      <c r="A1240" s="1">
        <v>1238</v>
      </c>
      <c r="B1240" s="2" t="s">
        <v>280</v>
      </c>
      <c r="C1240" s="133" t="str">
        <f>HYPERLINK(AB2 &amp; "/key/3dw_e558a52d-a485-42bd-8b9f-d176abd8ad13/rendering/00.obj", "1.87458539009")</f>
        <v>1.87458539009</v>
      </c>
      <c r="D1240" s="91" t="str">
        <f>HYPERLINK(AB2 &amp; "/key/3dw_e558a52d-a485-42bd-8b9f-d176abd8ad13/rendering/01.obj", "2.14328551292")</f>
        <v>2.14328551292</v>
      </c>
      <c r="E1240" s="47" t="str">
        <f>HYPERLINK(AB2 &amp; "/key/3dw_e558a52d-a485-42bd-8b9f-d176abd8ad13/rendering/02.obj", "2.06726932526")</f>
        <v>2.06726932526</v>
      </c>
      <c r="F1240" s="30" t="str">
        <f>HYPERLINK(AB2 &amp; "/key/3dw_e558a52d-a485-42bd-8b9f-d176abd8ad13/rendering/03.obj", "2.07491755486")</f>
        <v>2.07491755486</v>
      </c>
      <c r="G1240" s="74" t="str">
        <f>HYPERLINK(AB2 &amp; "/key/3dw_e558a52d-a485-42bd-8b9f-d176abd8ad13/rendering/04.obj", "2.11091661453")</f>
        <v>2.11091661453</v>
      </c>
      <c r="H1240" s="35" t="str">
        <f>HYPERLINK(AB2 &amp; "/key/3dw_e558a52d-a485-42bd-8b9f-d176abd8ad13/rendering/05.obj", "1.96380591393")</f>
        <v>1.96380591393</v>
      </c>
      <c r="I1240" s="77" t="str">
        <f>HYPERLINK(AB2 &amp; "/key/3dw_e558a52d-a485-42bd-8b9f-d176abd8ad13/rendering/06.obj", "2.47626137733")</f>
        <v>2.47626137733</v>
      </c>
      <c r="J1240" s="32" t="str">
        <f>HYPERLINK(AB2 &amp; "/key/3dw_e558a52d-a485-42bd-8b9f-d176abd8ad13/rendering/07.obj", "1.86601006985")</f>
        <v>1.86601006985</v>
      </c>
      <c r="K1240" s="64" t="str">
        <f>HYPERLINK(AB2 &amp; "/key/3dw_e558a52d-a485-42bd-8b9f-d176abd8ad13/rendering/08.obj", "2.427724123")</f>
        <v>2.427724123</v>
      </c>
      <c r="L1240" s="91" t="str">
        <f>HYPERLINK(AB2 &amp; "/key/3dw_e558a52d-a485-42bd-8b9f-d176abd8ad13/rendering/09.obj", "2.02641868591")</f>
        <v>2.02641868591</v>
      </c>
      <c r="M1240" s="26" t="str">
        <f>HYPERLINK(AB2 &amp; "/key/3dw_e558a52d-a485-42bd-8b9f-d176abd8ad13/rendering/10.obj", "1.94925022125")</f>
        <v>1.94925022125</v>
      </c>
      <c r="N1240" s="78" t="str">
        <f>HYPERLINK(AB2 &amp; "/key/3dw_e558a52d-a485-42bd-8b9f-d176abd8ad13/rendering/11.obj", "2.21035385132")</f>
        <v>2.21035385132</v>
      </c>
      <c r="O1240" s="17" t="str">
        <f>HYPERLINK(AB2 &amp; "/key/3dw_e558a52d-a485-42bd-8b9f-d176abd8ad13/rendering/12.obj", "2.04429578781")</f>
        <v>2.04429578781</v>
      </c>
      <c r="P1240" s="74" t="str">
        <f>HYPERLINK(AB2 &amp; "/key/3dw_e558a52d-a485-42bd-8b9f-d176abd8ad13/rendering/13.obj", "2.11699271202")</f>
        <v>2.11699271202</v>
      </c>
      <c r="Q1240" s="67" t="str">
        <f>HYPERLINK(AB2 &amp; "/key/3dw_e558a52d-a485-42bd-8b9f-d176abd8ad13/rendering/14.obj", "2.2743947506")</f>
        <v>2.2743947506</v>
      </c>
      <c r="R1240" s="107" t="str">
        <f>HYPERLINK(AB2 &amp; "/key/3dw_e558a52d-a485-42bd-8b9f-d176abd8ad13/rendering/15.obj", "1.91114032269")</f>
        <v>1.91114032269</v>
      </c>
      <c r="S1240" s="48" t="str">
        <f>HYPERLINK(AB2 &amp; "/key/3dw_e558a52d-a485-42bd-8b9f-d176abd8ad13/rendering/16.obj", "2.13655376434")</f>
        <v>2.13655376434</v>
      </c>
      <c r="T1240" s="6" t="str">
        <f>HYPERLINK(AB2 &amp; "/key/3dw_e558a52d-a485-42bd-8b9f-d176abd8ad13/rendering/17.obj", "1.98976421356")</f>
        <v>1.98976421356</v>
      </c>
      <c r="U1240" s="68" t="str">
        <f>HYPERLINK(AB2 &amp; "/key/3dw_e558a52d-a485-42bd-8b9f-d176abd8ad13/rendering/18.obj", "1.99382901192")</f>
        <v>1.99382901192</v>
      </c>
      <c r="V1240" s="48" t="str">
        <f>HYPERLINK(AB2 &amp; "/key/3dw_e558a52d-a485-42bd-8b9f-d176abd8ad13/rendering/19.obj", "2.03479361534")</f>
        <v>2.03479361534</v>
      </c>
      <c r="W1240" s="12" t="s">
        <v>32</v>
      </c>
      <c r="X1240" s="13">
        <v>2.0846281409263612</v>
      </c>
      <c r="Y1240" s="13">
        <v>0.1598214777302599</v>
      </c>
      <c r="Z1240" s="5">
        <v>7.6666660394999198E-2</v>
      </c>
    </row>
    <row r="1241" spans="1:26" x14ac:dyDescent="0.2">
      <c r="A1241" s="1">
        <v>1239</v>
      </c>
      <c r="B1241" s="2" t="s">
        <v>280</v>
      </c>
      <c r="C1241" s="13" t="str">
        <f>HYPERLINK(AC2 &amp; "/key/3dw_e558a52d-a485-42bd-8b9f-d176abd8ad13/rendering/00.xyz", "0.0")</f>
        <v>0.0</v>
      </c>
      <c r="D1241" s="13" t="str">
        <f>HYPERLINK(AC2 &amp; "/key/3dw_e558a52d-a485-42bd-8b9f-d176abd8ad13/rendering/01.xyz", "0.0")</f>
        <v>0.0</v>
      </c>
      <c r="E1241" s="13" t="str">
        <f>HYPERLINK(AC2 &amp; "/key/3dw_e558a52d-a485-42bd-8b9f-d176abd8ad13/rendering/02.xyz", "0.0")</f>
        <v>0.0</v>
      </c>
      <c r="F1241" s="13" t="str">
        <f>HYPERLINK(AC2 &amp; "/key/3dw_e558a52d-a485-42bd-8b9f-d176abd8ad13/rendering/03.xyz", "0.0")</f>
        <v>0.0</v>
      </c>
      <c r="G1241" s="13" t="str">
        <f>HYPERLINK(AC2 &amp; "/key/3dw_e558a52d-a485-42bd-8b9f-d176abd8ad13/rendering/04.xyz", "0.0")</f>
        <v>0.0</v>
      </c>
      <c r="H1241" s="13" t="str">
        <f>HYPERLINK(AC2 &amp; "/key/3dw_e558a52d-a485-42bd-8b9f-d176abd8ad13/rendering/05.xyz", "0.0")</f>
        <v>0.0</v>
      </c>
      <c r="I1241" s="13" t="str">
        <f>HYPERLINK(AC2 &amp; "/key/3dw_e558a52d-a485-42bd-8b9f-d176abd8ad13/rendering/06.xyz", "0.0")</f>
        <v>0.0</v>
      </c>
      <c r="J1241" s="13" t="str">
        <f>HYPERLINK(AC2 &amp; "/key/3dw_e558a52d-a485-42bd-8b9f-d176abd8ad13/rendering/07.xyz", "0.0")</f>
        <v>0.0</v>
      </c>
      <c r="K1241" s="13" t="str">
        <f>HYPERLINK(AC2 &amp; "/key/3dw_e558a52d-a485-42bd-8b9f-d176abd8ad13/rendering/08.xyz", "0.0")</f>
        <v>0.0</v>
      </c>
      <c r="L1241" s="13" t="str">
        <f>HYPERLINK(AC2 &amp; "/key/3dw_e558a52d-a485-42bd-8b9f-d176abd8ad13/rendering/09.xyz", "0.0")</f>
        <v>0.0</v>
      </c>
      <c r="M1241" s="13" t="str">
        <f>HYPERLINK(AC2 &amp; "/key/3dw_e558a52d-a485-42bd-8b9f-d176abd8ad13/rendering/10.xyz", "0.0")</f>
        <v>0.0</v>
      </c>
      <c r="N1241" s="13" t="str">
        <f>HYPERLINK(AC2 &amp; "/key/3dw_e558a52d-a485-42bd-8b9f-d176abd8ad13/rendering/11.xyz", "0.0")</f>
        <v>0.0</v>
      </c>
      <c r="O1241" s="13" t="str">
        <f>HYPERLINK(AC2 &amp; "/key/3dw_e558a52d-a485-42bd-8b9f-d176abd8ad13/rendering/12.xyz", "0.0")</f>
        <v>0.0</v>
      </c>
      <c r="P1241" s="13" t="str">
        <f>HYPERLINK(AC2 &amp; "/key/3dw_e558a52d-a485-42bd-8b9f-d176abd8ad13/rendering/13.xyz", "0.0")</f>
        <v>0.0</v>
      </c>
      <c r="Q1241" s="13" t="str">
        <f>HYPERLINK(AC2 &amp; "/key/3dw_e558a52d-a485-42bd-8b9f-d176abd8ad13/rendering/14.xyz", "0.0")</f>
        <v>0.0</v>
      </c>
      <c r="R1241" s="13" t="str">
        <f>HYPERLINK(AC2 &amp; "/key/3dw_e558a52d-a485-42bd-8b9f-d176abd8ad13/rendering/15.xyz", "0.0")</f>
        <v>0.0</v>
      </c>
      <c r="S1241" s="13" t="str">
        <f>HYPERLINK(AC2 &amp; "/key/3dw_e558a52d-a485-42bd-8b9f-d176abd8ad13/rendering/16.xyz", "0.0")</f>
        <v>0.0</v>
      </c>
      <c r="T1241" s="13" t="str">
        <f>HYPERLINK(AC2 &amp; "/key/3dw_e558a52d-a485-42bd-8b9f-d176abd8ad13/rendering/17.xyz", "0.0")</f>
        <v>0.0</v>
      </c>
      <c r="U1241" s="13" t="str">
        <f>HYPERLINK(AC2 &amp; "/key/3dw_e558a52d-a485-42bd-8b9f-d176abd8ad13/rendering/18.xyz", "0.0")</f>
        <v>0.0</v>
      </c>
      <c r="V1241" s="13" t="str">
        <f>HYPERLINK(AC2 &amp; "/key/3dw_e558a52d-a485-42bd-8b9f-d176abd8ad13/rendering/19.xyz", "0.0")</f>
        <v>0.0</v>
      </c>
      <c r="W1241" s="12" t="s">
        <v>33</v>
      </c>
      <c r="X1241" s="13">
        <v>0</v>
      </c>
      <c r="Y1241" s="13">
        <v>0</v>
      </c>
      <c r="Z1241" s="13">
        <v>0</v>
      </c>
    </row>
    <row r="1242" spans="1:26" x14ac:dyDescent="0.2">
      <c r="A1242" s="1">
        <v>1240</v>
      </c>
      <c r="B1242" s="2" t="s">
        <v>281</v>
      </c>
      <c r="C1242" s="179" t="str">
        <f>HYPERLINK(AA2 &amp; "/key/3dw_e67d2b89-5e91-4111-8ca9-6f5242b8b45b/rendering/00.obj", "6.56388549805")</f>
        <v>6.56388549805</v>
      </c>
      <c r="D1242" s="50" t="str">
        <f>HYPERLINK(AA2 &amp; "/key/3dw_e67d2b89-5e91-4111-8ca9-6f5242b8b45b/rendering/01.obj", "9.16988891602")</f>
        <v>9.16988891602</v>
      </c>
      <c r="E1242" s="136" t="str">
        <f>HYPERLINK(AA2 &amp; "/key/3dw_e67d2b89-5e91-4111-8ca9-6f5242b8b45b/rendering/02.obj", "8.73287719727")</f>
        <v>8.73287719727</v>
      </c>
      <c r="F1242" s="88" t="str">
        <f>HYPERLINK(AA2 &amp; "/key/3dw_e67d2b89-5e91-4111-8ca9-6f5242b8b45b/rendering/03.obj", "13.7666357422")</f>
        <v>13.7666357422</v>
      </c>
      <c r="G1242" s="246" t="str">
        <f>HYPERLINK(AA2 &amp; "/key/3dw_e67d2b89-5e91-4111-8ca9-6f5242b8b45b/rendering/04.obj", "18.4647021484")</f>
        <v>18.4647021484</v>
      </c>
      <c r="H1242" s="193" t="str">
        <f>HYPERLINK(AA2 &amp; "/key/3dw_e67d2b89-5e91-4111-8ca9-6f5242b8b45b/rendering/05.obj", "15.2553979492")</f>
        <v>15.2553979492</v>
      </c>
      <c r="I1242" s="133" t="str">
        <f>HYPERLINK(AA2 &amp; "/key/3dw_e67d2b89-5e91-4111-8ca9-6f5242b8b45b/rendering/06.obj", "12.6362841797")</f>
        <v>12.6362841797</v>
      </c>
      <c r="J1242" s="241" t="str">
        <f>HYPERLINK(AA2 &amp; "/key/3dw_e67d2b89-5e91-4111-8ca9-6f5242b8b45b/rendering/07.obj", "18.8169165039")</f>
        <v>18.8169165039</v>
      </c>
      <c r="K1242" s="62" t="str">
        <f>HYPERLINK(AA2 &amp; "/key/3dw_e67d2b89-5e91-4111-8ca9-6f5242b8b45b/rendering/08.obj", "18.2979516602")</f>
        <v>18.2979516602</v>
      </c>
      <c r="L1242" s="104" t="str">
        <f>HYPERLINK(AA2 &amp; "/key/3dw_e67d2b89-5e91-4111-8ca9-6f5242b8b45b/rendering/09.obj", "6.01061645508")</f>
        <v>6.01061645508</v>
      </c>
      <c r="M1242" s="167" t="str">
        <f>HYPERLINK(AA2 &amp; "/key/3dw_e67d2b89-5e91-4111-8ca9-6f5242b8b45b/rendering/10.obj", "18.3781323242")</f>
        <v>18.3781323242</v>
      </c>
      <c r="N1242" s="60" t="str">
        <f>HYPERLINK(AA2 &amp; "/key/3dw_e67d2b89-5e91-4111-8ca9-6f5242b8b45b/rendering/11.obj", "12.0394702148")</f>
        <v>12.0394702148</v>
      </c>
      <c r="O1242" s="246" t="str">
        <f>HYPERLINK(AA2 &amp; "/key/3dw_e67d2b89-5e91-4111-8ca9-6f5242b8b45b/rendering/12.obj", "4.45979370117")</f>
        <v>4.45979370117</v>
      </c>
      <c r="P1242" s="109" t="str">
        <f>HYPERLINK(AA2 &amp; "/key/3dw_e67d2b89-5e91-4111-8ca9-6f5242b8b45b/rendering/13.obj", "9.299453125")</f>
        <v>9.299453125</v>
      </c>
      <c r="Q1242" s="13" t="str">
        <f>HYPERLINK(AA2 &amp; "/key/3dw_e67d2b89-5e91-4111-8ca9-6f5242b8b45b/rendering/14.obj", "11.4510913086")</f>
        <v>11.4510913086</v>
      </c>
      <c r="R1242" s="91" t="str">
        <f>HYPERLINK(AA2 &amp; "/key/3dw_e67d2b89-5e91-4111-8ca9-6f5242b8b45b/rendering/15.obj", "11.7734960937")</f>
        <v>11.7734960937</v>
      </c>
      <c r="S1242" s="94" t="str">
        <f>HYPERLINK(AA2 &amp; "/key/3dw_e67d2b89-5e91-4111-8ca9-6f5242b8b45b/rendering/16.obj", "10.6239318848")</f>
        <v>10.6239318848</v>
      </c>
      <c r="T1242" s="10" t="str">
        <f>HYPERLINK(AA2 &amp; "/key/3dw_e67d2b89-5e91-4111-8ca9-6f5242b8b45b/rendering/17.obj", "12.0887695312")</f>
        <v>12.0887695312</v>
      </c>
      <c r="U1242" s="178" t="str">
        <f>HYPERLINK(AA2 &amp; "/key/3dw_e67d2b89-5e91-4111-8ca9-6f5242b8b45b/rendering/18.obj", "4.02903656006")</f>
        <v>4.02903656006</v>
      </c>
      <c r="V1242" s="151" t="str">
        <f>HYPERLINK(AA2 &amp; "/key/3dw_e67d2b89-5e91-4111-8ca9-6f5242b8b45b/rendering/19.obj", "7.32772827148")</f>
        <v>7.32772827148</v>
      </c>
      <c r="W1242" s="12" t="s">
        <v>29</v>
      </c>
      <c r="X1242" s="13">
        <v>11.459302963256841</v>
      </c>
      <c r="Y1242" s="13">
        <v>4.5429133229988548</v>
      </c>
      <c r="Z1242" s="196">
        <v>0.39643888791188042</v>
      </c>
    </row>
    <row r="1243" spans="1:26" x14ac:dyDescent="0.2">
      <c r="A1243" s="1">
        <v>1241</v>
      </c>
      <c r="B1243" s="2" t="s">
        <v>281</v>
      </c>
      <c r="C1243" s="205" t="str">
        <f>HYPERLINK(AA2 &amp; "/key/3dw_e67d2b89-5e91-4111-8ca9-6f5242b8b45b/rendering/00.obj", "47.5227584839")</f>
        <v>47.5227584839</v>
      </c>
      <c r="D1243" s="221" t="str">
        <f>HYPERLINK(AA2 &amp; "/key/3dw_e67d2b89-5e91-4111-8ca9-6f5242b8b45b/rendering/01.obj", "63.4435043335")</f>
        <v>63.4435043335</v>
      </c>
      <c r="E1243" s="160" t="str">
        <f>HYPERLINK(AA2 &amp; "/key/3dw_e67d2b89-5e91-4111-8ca9-6f5242b8b45b/rendering/02.obj", "67.2672271729")</f>
        <v>67.2672271729</v>
      </c>
      <c r="F1243" s="68" t="str">
        <f>HYPERLINK(AA2 &amp; "/key/3dw_e67d2b89-5e91-4111-8ca9-6f5242b8b45b/rendering/03.obj", "136.561325073")</f>
        <v>136.561325073</v>
      </c>
      <c r="G1243" s="20" t="str">
        <f>HYPERLINK(AA2 &amp; "/key/3dw_e67d2b89-5e91-4111-8ca9-6f5242b8b45b/rendering/04.obj", "346.023712158")</f>
        <v>346.023712158</v>
      </c>
      <c r="H1243" s="227" t="str">
        <f>HYPERLINK(AA2 &amp; "/key/3dw_e67d2b89-5e91-4111-8ca9-6f5242b8b45b/rendering/05.obj", "215.482330322")</f>
        <v>215.482330322</v>
      </c>
      <c r="I1243" s="24" t="str">
        <f>HYPERLINK(AA2 &amp; "/key/3dw_e67d2b89-5e91-4111-8ca9-6f5242b8b45b/rendering/06.obj", "166.902786255")</f>
        <v>166.902786255</v>
      </c>
      <c r="J1243" s="20" t="str">
        <f>HYPERLINK(AA2 &amp; "/key/3dw_e67d2b89-5e91-4111-8ca9-6f5242b8b45b/rendering/07.obj", "349.507507324")</f>
        <v>349.507507324</v>
      </c>
      <c r="K1243" s="20" t="str">
        <f>HYPERLINK(AA2 &amp; "/key/3dw_e67d2b89-5e91-4111-8ca9-6f5242b8b45b/rendering/08.obj", "345.290252686")</f>
        <v>345.290252686</v>
      </c>
      <c r="L1243" s="20" t="str">
        <f>HYPERLINK(AA2 &amp; "/key/3dw_e67d2b89-5e91-4111-8ca9-6f5242b8b45b/rendering/09.obj", "27.9515380859")</f>
        <v>27.9515380859</v>
      </c>
      <c r="M1243" s="20" t="str">
        <f>HYPERLINK(AA2 &amp; "/key/3dw_e67d2b89-5e91-4111-8ca9-6f5242b8b45b/rendering/10.obj", "361.48260498")</f>
        <v>361.48260498</v>
      </c>
      <c r="N1243" s="56" t="str">
        <f>HYPERLINK(AA2 &amp; "/key/3dw_e67d2b89-5e91-4111-8ca9-6f5242b8b45b/rendering/11.obj", "98.5364379883")</f>
        <v>98.5364379883</v>
      </c>
      <c r="O1243" s="20" t="str">
        <f>HYPERLINK(AA2 &amp; "/key/3dw_e67d2b89-5e91-4111-8ca9-6f5242b8b45b/rendering/12.obj", "14.6551275253")</f>
        <v>14.6551275253</v>
      </c>
      <c r="P1243" s="45" t="str">
        <f>HYPERLINK(AA2 &amp; "/key/3dw_e67d2b89-5e91-4111-8ca9-6f5242b8b45b/rendering/13.obj", "48.1416397095")</f>
        <v>48.1416397095</v>
      </c>
      <c r="Q1243" s="38" t="str">
        <f>HYPERLINK(AA2 &amp; "/key/3dw_e67d2b89-5e91-4111-8ca9-6f5242b8b45b/rendering/14.obj", "129.944274902")</f>
        <v>129.944274902</v>
      </c>
      <c r="R1243" s="27" t="str">
        <f>HYPERLINK(AA2 &amp; "/key/3dw_e67d2b89-5e91-4111-8ca9-6f5242b8b45b/rendering/15.obj", "132.816558838")</f>
        <v>132.816558838</v>
      </c>
      <c r="S1243" s="124" t="str">
        <f>HYPERLINK(AA2 &amp; "/key/3dw_e67d2b89-5e91-4111-8ca9-6f5242b8b45b/rendering/16.obj", "88.4904098511")</f>
        <v>88.4904098511</v>
      </c>
      <c r="T1243" s="10" t="str">
        <f>HYPERLINK(AA2 &amp; "/key/3dw_e67d2b89-5e91-4111-8ca9-6f5242b8b45b/rendering/17.obj", "150.37852478")</f>
        <v>150.37852478</v>
      </c>
      <c r="U1243" s="20" t="str">
        <f>HYPERLINK(AA2 &amp; "/key/3dw_e67d2b89-5e91-4111-8ca9-6f5242b8b45b/rendering/18.obj", "11.3554105759")</f>
        <v>11.3554105759</v>
      </c>
      <c r="V1243" s="189" t="str">
        <f>HYPERLINK(AA2 &amp; "/key/3dw_e67d2b89-5e91-4111-8ca9-6f5242b8b45b/rendering/19.obj", "53.529712677")</f>
        <v>53.529712677</v>
      </c>
      <c r="W1243" s="12" t="s">
        <v>30</v>
      </c>
      <c r="X1243" s="13">
        <v>142.7641821861267</v>
      </c>
      <c r="Y1243" s="13">
        <v>115.9492854686268</v>
      </c>
      <c r="Z1243" s="20">
        <v>0.81217349963494068</v>
      </c>
    </row>
    <row r="1244" spans="1:26" x14ac:dyDescent="0.2">
      <c r="A1244" s="1">
        <v>1242</v>
      </c>
      <c r="B1244" s="2" t="s">
        <v>281</v>
      </c>
      <c r="C1244" s="92" t="str">
        <f>HYPERLINK(AB2 &amp; "/key/3dw_e67d2b89-5e91-4111-8ca9-6f5242b8b45b/rendering/00.obj", "1.72712463379")</f>
        <v>1.72712463379</v>
      </c>
      <c r="D1244" s="87" t="str">
        <f>HYPERLINK(AB2 &amp; "/key/3dw_e67d2b89-5e91-4111-8ca9-6f5242b8b45b/rendering/01.obj", "2.4242401123")</f>
        <v>2.4242401123</v>
      </c>
      <c r="E1244" s="27" t="str">
        <f>HYPERLINK(AB2 &amp; "/key/3dw_e67d2b89-5e91-4111-8ca9-6f5242b8b45b/rendering/02.obj", "1.83196105957")</f>
        <v>1.83196105957</v>
      </c>
      <c r="F1244" s="48" t="str">
        <f>HYPERLINK(AB2 &amp; "/key/3dw_e67d2b89-5e91-4111-8ca9-6f5242b8b45b/rendering/03.obj", "2.01799591064")</f>
        <v>2.01799591064</v>
      </c>
      <c r="G1244" s="10" t="str">
        <f>HYPERLINK(AB2 &amp; "/key/3dw_e67d2b89-5e91-4111-8ca9-6f5242b8b45b/rendering/04.obj", "2.08192474365")</f>
        <v>2.08192474365</v>
      </c>
      <c r="H1244" s="13" t="str">
        <f>HYPERLINK(AB2 &amp; "/key/3dw_e67d2b89-5e91-4111-8ca9-6f5242b8b45b/rendering/05.obj", "1.97014465332")</f>
        <v>1.97014465332</v>
      </c>
      <c r="I1244" s="92" t="str">
        <f>HYPERLINK(AB2 &amp; "/key/3dw_e67d2b89-5e91-4111-8ca9-6f5242b8b45b/rendering/06.obj", "1.7293548584")</f>
        <v>1.7293548584</v>
      </c>
      <c r="J1244" s="54" t="str">
        <f>HYPERLINK(AB2 &amp; "/key/3dw_e67d2b89-5e91-4111-8ca9-6f5242b8b45b/rendering/07.obj", "2.61772857666")</f>
        <v>2.61772857666</v>
      </c>
      <c r="K1244" s="13" t="str">
        <f>HYPERLINK(AB2 &amp; "/key/3dw_e67d2b89-5e91-4111-8ca9-6f5242b8b45b/rendering/08.obj", "1.9747026062")</f>
        <v>1.9747026062</v>
      </c>
      <c r="L1244" s="46" t="str">
        <f>HYPERLINK(AB2 &amp; "/key/3dw_e67d2b89-5e91-4111-8ca9-6f5242b8b45b/rendering/09.obj", "2.00970672607")</f>
        <v>2.00970672607</v>
      </c>
      <c r="M1244" s="10" t="str">
        <f>HYPERLINK(AB2 &amp; "/key/3dw_e67d2b89-5e91-4111-8ca9-6f5242b8b45b/rendering/10.obj", "2.08336761475")</f>
        <v>2.08336761475</v>
      </c>
      <c r="N1244" s="6" t="str">
        <f>HYPERLINK(AB2 &amp; "/key/3dw_e67d2b89-5e91-4111-8ca9-6f5242b8b45b/rendering/11.obj", "2.06165649414")</f>
        <v>2.06165649414</v>
      </c>
      <c r="O1244" s="5" t="str">
        <f>HYPERLINK(AB2 &amp; "/key/3dw_e67d2b89-5e91-4111-8ca9-6f5242b8b45b/rendering/12.obj", "1.82174560547")</f>
        <v>1.82174560547</v>
      </c>
      <c r="P1244" s="24" t="str">
        <f>HYPERLINK(AB2 &amp; "/key/3dw_e67d2b89-5e91-4111-8ca9-6f5242b8b45b/rendering/13.obj", "1.64278991699")</f>
        <v>1.64278991699</v>
      </c>
      <c r="Q1244" s="90" t="str">
        <f>HYPERLINK(AB2 &amp; "/key/3dw_e67d2b89-5e91-4111-8ca9-6f5242b8b45b/rendering/14.obj", "1.78719970703")</f>
        <v>1.78719970703</v>
      </c>
      <c r="R1244" s="106" t="str">
        <f>HYPERLINK(AB2 &amp; "/key/3dw_e67d2b89-5e91-4111-8ca9-6f5242b8b45b/rendering/15.obj", "1.74804138184")</f>
        <v>1.74804138184</v>
      </c>
      <c r="S1244" s="4" t="str">
        <f>HYPERLINK(AB2 &amp; "/key/3dw_e67d2b89-5e91-4111-8ca9-6f5242b8b45b/rendering/16.obj", "2.53465209961")</f>
        <v>2.53465209961</v>
      </c>
      <c r="T1244" s="90" t="str">
        <f>HYPERLINK(AB2 &amp; "/key/3dw_e67d2b89-5e91-4111-8ca9-6f5242b8b45b/rendering/17.obj", "1.78400863647")</f>
        <v>1.78400863647</v>
      </c>
      <c r="U1244" s="79" t="str">
        <f>HYPERLINK(AB2 &amp; "/key/3dw_e67d2b89-5e91-4111-8ca9-6f5242b8b45b/rendering/18.obj", "1.66149978638")</f>
        <v>1.66149978638</v>
      </c>
      <c r="V1244" s="47" t="str">
        <f>HYPERLINK(AB2 &amp; "/key/3dw_e67d2b89-5e91-4111-8ca9-6f5242b8b45b/rendering/19.obj", "1.95983139038")</f>
        <v>1.95983139038</v>
      </c>
      <c r="W1244" s="12" t="s">
        <v>31</v>
      </c>
      <c r="X1244" s="13">
        <v>1.973483825683594</v>
      </c>
      <c r="Y1244" s="13">
        <v>0.27015805663667669</v>
      </c>
      <c r="Z1244" s="42">
        <v>0.13689398064516531</v>
      </c>
    </row>
    <row r="1245" spans="1:26" x14ac:dyDescent="0.2">
      <c r="A1245" s="1">
        <v>1243</v>
      </c>
      <c r="B1245" s="2" t="s">
        <v>281</v>
      </c>
      <c r="C1245" s="93" t="str">
        <f>HYPERLINK(AB2 &amp; "/key/3dw_e67d2b89-5e91-4111-8ca9-6f5242b8b45b/rendering/00.obj", "3.35207748413")</f>
        <v>3.35207748413</v>
      </c>
      <c r="D1245" s="75" t="str">
        <f>HYPERLINK(AB2 &amp; "/key/3dw_e67d2b89-5e91-4111-8ca9-6f5242b8b45b/rendering/01.obj", "3.59390115738")</f>
        <v>3.59390115738</v>
      </c>
      <c r="E1245" s="93" t="str">
        <f>HYPERLINK(AB2 &amp; "/key/3dw_e67d2b89-5e91-4111-8ca9-6f5242b8b45b/rendering/02.obj", "2.53569746017")</f>
        <v>2.53569746017</v>
      </c>
      <c r="F1245" s="91" t="str">
        <f>HYPERLINK(AB2 &amp; "/key/3dw_e67d2b89-5e91-4111-8ca9-6f5242b8b45b/rendering/03.obj", "2.86592698097")</f>
        <v>2.86592698097</v>
      </c>
      <c r="G1245" s="106" t="str">
        <f>HYPERLINK(AB2 &amp; "/key/3dw_e67d2b89-5e91-4111-8ca9-6f5242b8b45b/rendering/04.obj", "3.28417468071")</f>
        <v>3.28417468071</v>
      </c>
      <c r="H1245" s="25" t="str">
        <f>HYPERLINK(AB2 &amp; "/key/3dw_e67d2b89-5e91-4111-8ca9-6f5242b8b45b/rendering/05.obj", "2.91100335121")</f>
        <v>2.91100335121</v>
      </c>
      <c r="I1245" s="36" t="str">
        <f>HYPERLINK(AB2 &amp; "/key/3dw_e67d2b89-5e91-4111-8ca9-6f5242b8b45b/rendering/06.obj", "2.31024909019")</f>
        <v>2.31024909019</v>
      </c>
      <c r="J1245" s="79" t="str">
        <f>HYPERLINK(AB2 &amp; "/key/3dw_e67d2b89-5e91-4111-8ca9-6f5242b8b45b/rendering/07.obj", "3.41111111641")</f>
        <v>3.41111111641</v>
      </c>
      <c r="K1245" s="117" t="str">
        <f>HYPERLINK(AB2 &amp; "/key/3dw_e67d2b89-5e91-4111-8ca9-6f5242b8b45b/rendering/08.obj", "2.41851139069")</f>
        <v>2.41851139069</v>
      </c>
      <c r="L1245" s="30" t="str">
        <f>HYPERLINK(AB2 &amp; "/key/3dw_e67d2b89-5e91-4111-8ca9-6f5242b8b45b/rendering/09.obj", "2.95512461662")</f>
        <v>2.95512461662</v>
      </c>
      <c r="M1245" s="42" t="str">
        <f>HYPERLINK(AB2 &amp; "/key/3dw_e67d2b89-5e91-4111-8ca9-6f5242b8b45b/rendering/10.obj", "2.54399490356")</f>
        <v>2.54399490356</v>
      </c>
      <c r="N1245" s="67" t="str">
        <f>HYPERLINK(AB2 &amp; "/key/3dw_e67d2b89-5e91-4111-8ca9-6f5242b8b45b/rendering/11.obj", "2.67064404488")</f>
        <v>2.67064404488</v>
      </c>
      <c r="O1245" s="13" t="str">
        <f>HYPERLINK(AB2 &amp; "/key/3dw_e67d2b89-5e91-4111-8ca9-6f5242b8b45b/rendering/12.obj", "2.95047330856")</f>
        <v>2.95047330856</v>
      </c>
      <c r="P1245" s="68" t="str">
        <f>HYPERLINK(AB2 &amp; "/key/3dw_e67d2b89-5e91-4111-8ca9-6f5242b8b45b/rendering/13.obj", "3.07062840462")</f>
        <v>3.07062840462</v>
      </c>
      <c r="Q1245" s="66" t="str">
        <f>HYPERLINK(AB2 &amp; "/key/3dw_e67d2b89-5e91-4111-8ca9-6f5242b8b45b/rendering/14.obj", "2.46533322334")</f>
        <v>2.46533322334</v>
      </c>
      <c r="R1245" s="88" t="str">
        <f>HYPERLINK(AB2 &amp; "/key/3dw_e67d2b89-5e91-4111-8ca9-6f5242b8b45b/rendering/15.obj", "2.34604716301")</f>
        <v>2.34604716301</v>
      </c>
      <c r="S1245" s="221" t="str">
        <f>HYPERLINK(AB2 &amp; "/key/3dw_e67d2b89-5e91-4111-8ca9-6f5242b8b45b/rendering/16.obj", "4.58831310272")</f>
        <v>4.58831310272</v>
      </c>
      <c r="T1245" s="76" t="str">
        <f>HYPERLINK(AB2 &amp; "/key/3dw_e67d2b89-5e91-4111-8ca9-6f5242b8b45b/rendering/17.obj", "2.39953255653")</f>
        <v>2.39953255653</v>
      </c>
      <c r="U1245" s="35" t="str">
        <f>HYPERLINK(AB2 &amp; "/key/3dw_e67d2b89-5e91-4111-8ca9-6f5242b8b45b/rendering/18.obj", "3.11740350723")</f>
        <v>3.11740350723</v>
      </c>
      <c r="V1245" s="60" t="str">
        <f>HYPERLINK(AB2 &amp; "/key/3dw_e67d2b89-5e91-4111-8ca9-6f5242b8b45b/rendering/19.obj", "3.1006064415")</f>
        <v>3.1006064415</v>
      </c>
      <c r="W1245" s="12" t="s">
        <v>32</v>
      </c>
      <c r="X1245" s="13">
        <v>2.9445376992225651</v>
      </c>
      <c r="Y1245" s="13">
        <v>0.53230068499124616</v>
      </c>
      <c r="Z1245" s="134">
        <v>0.1807756392902653</v>
      </c>
    </row>
    <row r="1246" spans="1:26" x14ac:dyDescent="0.2">
      <c r="A1246" s="1">
        <v>1244</v>
      </c>
      <c r="B1246" s="2" t="s">
        <v>281</v>
      </c>
      <c r="C1246" s="13" t="str">
        <f>HYPERLINK(AC2 &amp; "/key/3dw_e67d2b89-5e91-4111-8ca9-6f5242b8b45b/rendering/00.xyz", "0.0")</f>
        <v>0.0</v>
      </c>
      <c r="D1246" s="13" t="str">
        <f>HYPERLINK(AC2 &amp; "/key/3dw_e67d2b89-5e91-4111-8ca9-6f5242b8b45b/rendering/01.xyz", "0.0")</f>
        <v>0.0</v>
      </c>
      <c r="E1246" s="13" t="str">
        <f>HYPERLINK(AC2 &amp; "/key/3dw_e67d2b89-5e91-4111-8ca9-6f5242b8b45b/rendering/02.xyz", "0.0")</f>
        <v>0.0</v>
      </c>
      <c r="F1246" s="13" t="str">
        <f>HYPERLINK(AC2 &amp; "/key/3dw_e67d2b89-5e91-4111-8ca9-6f5242b8b45b/rendering/03.xyz", "0.0")</f>
        <v>0.0</v>
      </c>
      <c r="G1246" s="13" t="str">
        <f>HYPERLINK(AC2 &amp; "/key/3dw_e67d2b89-5e91-4111-8ca9-6f5242b8b45b/rendering/04.xyz", "0.0")</f>
        <v>0.0</v>
      </c>
      <c r="H1246" s="13" t="str">
        <f>HYPERLINK(AC2 &amp; "/key/3dw_e67d2b89-5e91-4111-8ca9-6f5242b8b45b/rendering/05.xyz", "0.0")</f>
        <v>0.0</v>
      </c>
      <c r="I1246" s="13" t="str">
        <f>HYPERLINK(AC2 &amp; "/key/3dw_e67d2b89-5e91-4111-8ca9-6f5242b8b45b/rendering/06.xyz", "0.0")</f>
        <v>0.0</v>
      </c>
      <c r="J1246" s="13" t="str">
        <f>HYPERLINK(AC2 &amp; "/key/3dw_e67d2b89-5e91-4111-8ca9-6f5242b8b45b/rendering/07.xyz", "0.0")</f>
        <v>0.0</v>
      </c>
      <c r="K1246" s="13" t="str">
        <f>HYPERLINK(AC2 &amp; "/key/3dw_e67d2b89-5e91-4111-8ca9-6f5242b8b45b/rendering/08.xyz", "0.0")</f>
        <v>0.0</v>
      </c>
      <c r="L1246" s="13" t="str">
        <f>HYPERLINK(AC2 &amp; "/key/3dw_e67d2b89-5e91-4111-8ca9-6f5242b8b45b/rendering/09.xyz", "0.0")</f>
        <v>0.0</v>
      </c>
      <c r="M1246" s="13" t="str">
        <f>HYPERLINK(AC2 &amp; "/key/3dw_e67d2b89-5e91-4111-8ca9-6f5242b8b45b/rendering/10.xyz", "0.0")</f>
        <v>0.0</v>
      </c>
      <c r="N1246" s="13" t="str">
        <f>HYPERLINK(AC2 &amp; "/key/3dw_e67d2b89-5e91-4111-8ca9-6f5242b8b45b/rendering/11.xyz", "0.0")</f>
        <v>0.0</v>
      </c>
      <c r="O1246" s="13" t="str">
        <f>HYPERLINK(AC2 &amp; "/key/3dw_e67d2b89-5e91-4111-8ca9-6f5242b8b45b/rendering/12.xyz", "0.0")</f>
        <v>0.0</v>
      </c>
      <c r="P1246" s="13" t="str">
        <f>HYPERLINK(AC2 &amp; "/key/3dw_e67d2b89-5e91-4111-8ca9-6f5242b8b45b/rendering/13.xyz", "0.0")</f>
        <v>0.0</v>
      </c>
      <c r="Q1246" s="13" t="str">
        <f>HYPERLINK(AC2 &amp; "/key/3dw_e67d2b89-5e91-4111-8ca9-6f5242b8b45b/rendering/14.xyz", "0.0")</f>
        <v>0.0</v>
      </c>
      <c r="R1246" s="13" t="str">
        <f>HYPERLINK(AC2 &amp; "/key/3dw_e67d2b89-5e91-4111-8ca9-6f5242b8b45b/rendering/15.xyz", "0.0")</f>
        <v>0.0</v>
      </c>
      <c r="S1246" s="13" t="str">
        <f>HYPERLINK(AC2 &amp; "/key/3dw_e67d2b89-5e91-4111-8ca9-6f5242b8b45b/rendering/16.xyz", "0.0")</f>
        <v>0.0</v>
      </c>
      <c r="T1246" s="13" t="str">
        <f>HYPERLINK(AC2 &amp; "/key/3dw_e67d2b89-5e91-4111-8ca9-6f5242b8b45b/rendering/17.xyz", "0.0")</f>
        <v>0.0</v>
      </c>
      <c r="U1246" s="13" t="str">
        <f>HYPERLINK(AC2 &amp; "/key/3dw_e67d2b89-5e91-4111-8ca9-6f5242b8b45b/rendering/18.xyz", "0.0")</f>
        <v>0.0</v>
      </c>
      <c r="V1246" s="13" t="str">
        <f>HYPERLINK(AC2 &amp; "/key/3dw_e67d2b89-5e91-4111-8ca9-6f5242b8b45b/rendering/19.xyz", "0.0")</f>
        <v>0.0</v>
      </c>
      <c r="W1246" s="12" t="s">
        <v>33</v>
      </c>
      <c r="X1246" s="13">
        <v>0</v>
      </c>
      <c r="Y1246" s="13">
        <v>0</v>
      </c>
      <c r="Z1246" s="13">
        <v>0</v>
      </c>
    </row>
    <row r="1247" spans="1:26" x14ac:dyDescent="0.2">
      <c r="A1247" s="1">
        <v>1245</v>
      </c>
      <c r="B1247" s="2" t="s">
        <v>282</v>
      </c>
      <c r="C1247" s="147" t="str">
        <f>HYPERLINK(AA2 &amp; "/key/3dw_e77175bf-a601-40d8-aafd-179e50d3cbaf/rendering/00.obj", "2.85104003906")</f>
        <v>2.85104003906</v>
      </c>
      <c r="D1247" s="47" t="str">
        <f>HYPERLINK(AA2 &amp; "/key/3dw_e77175bf-a601-40d8-aafd-179e50d3cbaf/rendering/01.obj", "1.89869476318")</f>
        <v>1.89869476318</v>
      </c>
      <c r="E1247" s="193" t="str">
        <f>HYPERLINK(AA2 &amp; "/key/3dw_e77175bf-a601-40d8-aafd-179e50d3cbaf/rendering/02.obj", "1.28230987549")</f>
        <v>1.28230987549</v>
      </c>
      <c r="F1247" s="36" t="str">
        <f>HYPERLINK(AA2 &amp; "/key/3dw_e77175bf-a601-40d8-aafd-179e50d3cbaf/rendering/03.obj", "2.32615646362")</f>
        <v>2.32615646362</v>
      </c>
      <c r="G1247" s="83" t="str">
        <f>HYPERLINK(AA2 &amp; "/key/3dw_e77175bf-a601-40d8-aafd-179e50d3cbaf/rendering/04.obj", "2.20664459229")</f>
        <v>2.20664459229</v>
      </c>
      <c r="H1247" s="73" t="str">
        <f>HYPERLINK(AA2 &amp; "/key/3dw_e77175bf-a601-40d8-aafd-179e50d3cbaf/rendering/05.obj", "1.84657409668")</f>
        <v>1.84657409668</v>
      </c>
      <c r="I1247" s="46" t="str">
        <f>HYPERLINK(AA2 &amp; "/key/3dw_e77175bf-a601-40d8-aafd-179e50d3cbaf/rendering/06.obj", "1.94974060059")</f>
        <v>1.94974060059</v>
      </c>
      <c r="J1247" s="46" t="str">
        <f>HYPERLINK(AA2 &amp; "/key/3dw_e77175bf-a601-40d8-aafd-179e50d3cbaf/rendering/07.obj", "1.88046676636")</f>
        <v>1.88046676636</v>
      </c>
      <c r="K1247" s="65" t="str">
        <f>HYPERLINK(AA2 &amp; "/key/3dw_e77175bf-a601-40d8-aafd-179e50d3cbaf/rendering/08.obj", "1.65900177002")</f>
        <v>1.65900177002</v>
      </c>
      <c r="L1247" s="109" t="str">
        <f>HYPERLINK(AA2 &amp; "/key/3dw_e77175bf-a601-40d8-aafd-179e50d3cbaf/rendering/09.obj", "1.54954666138")</f>
        <v>1.54954666138</v>
      </c>
      <c r="M1247" s="169" t="str">
        <f>HYPERLINK(AA2 &amp; "/key/3dw_e77175bf-a601-40d8-aafd-179e50d3cbaf/rendering/10.obj", "2.51251464844")</f>
        <v>2.51251464844</v>
      </c>
      <c r="N1247" s="65" t="str">
        <f>HYPERLINK(AA2 &amp; "/key/3dw_e77175bf-a601-40d8-aafd-179e50d3cbaf/rendering/11.obj", "1.65989044189")</f>
        <v>1.65989044189</v>
      </c>
      <c r="O1247" s="133" t="str">
        <f>HYPERLINK(AA2 &amp; "/key/3dw_e77175bf-a601-40d8-aafd-179e50d3cbaf/rendering/12.obj", "1.71646362305")</f>
        <v>1.71646362305</v>
      </c>
      <c r="P1247" s="8" t="str">
        <f>HYPERLINK(AA2 &amp; "/key/3dw_e77175bf-a601-40d8-aafd-179e50d3cbaf/rendering/13.obj", "2.1908480835")</f>
        <v>2.1908480835</v>
      </c>
      <c r="Q1247" s="33" t="str">
        <f>HYPERLINK(AA2 &amp; "/key/3dw_e77175bf-a601-40d8-aafd-179e50d3cbaf/rendering/14.obj", "2.12073516846")</f>
        <v>2.12073516846</v>
      </c>
      <c r="R1247" s="72" t="str">
        <f>HYPERLINK(AA2 &amp; "/key/3dw_e77175bf-a601-40d8-aafd-179e50d3cbaf/rendering/15.obj", "1.85178665161")</f>
        <v>1.85178665161</v>
      </c>
      <c r="S1247" s="58" t="str">
        <f>HYPERLINK(AA2 &amp; "/key/3dw_e77175bf-a601-40d8-aafd-179e50d3cbaf/rendering/16.obj", "1.45158081055")</f>
        <v>1.45158081055</v>
      </c>
      <c r="T1247" s="73" t="str">
        <f>HYPERLINK(AA2 &amp; "/key/3dw_e77175bf-a601-40d8-aafd-179e50d3cbaf/rendering/17.obj", "1.98656585693")</f>
        <v>1.98656585693</v>
      </c>
      <c r="U1247" s="94" t="str">
        <f>HYPERLINK(AA2 &amp; "/key/3dw_e77175bf-a601-40d8-aafd-179e50d3cbaf/rendering/18.obj", "1.77075210571")</f>
        <v>1.77075210571</v>
      </c>
      <c r="V1247" s="37" t="str">
        <f>HYPERLINK(AA2 &amp; "/key/3dw_e77175bf-a601-40d8-aafd-179e50d3cbaf/rendering/19.obj", "1.58097808838")</f>
        <v>1.58097808838</v>
      </c>
      <c r="W1247" s="12" t="s">
        <v>29</v>
      </c>
      <c r="X1247" s="13">
        <v>1.9146145553588869</v>
      </c>
      <c r="Y1247" s="13">
        <v>0.36559561910280608</v>
      </c>
      <c r="Z1247" s="109">
        <v>0.1909499842041453</v>
      </c>
    </row>
    <row r="1248" spans="1:26" x14ac:dyDescent="0.2">
      <c r="A1248" s="1">
        <v>1246</v>
      </c>
      <c r="B1248" s="2" t="s">
        <v>282</v>
      </c>
      <c r="C1248" s="20" t="str">
        <f>HYPERLINK(AA2 &amp; "/key/3dw_e77175bf-a601-40d8-aafd-179e50d3cbaf/rendering/00.obj", "5.90485954285")</f>
        <v>5.90485954285</v>
      </c>
      <c r="D1248" s="187" t="str">
        <f>HYPERLINK(AA2 &amp; "/key/3dw_e77175bf-a601-40d8-aafd-179e50d3cbaf/rendering/01.obj", "1.71634674072")</f>
        <v>1.71634674072</v>
      </c>
      <c r="E1248" s="142" t="str">
        <f>HYPERLINK(AA2 &amp; "/key/3dw_e77175bf-a601-40d8-aafd-179e50d3cbaf/rendering/02.obj", "1.5949999094")</f>
        <v>1.5949999094</v>
      </c>
      <c r="F1248" s="20" t="str">
        <f>HYPERLINK(AA2 &amp; "/key/3dw_e77175bf-a601-40d8-aafd-179e50d3cbaf/rendering/03.obj", "5.12282943726")</f>
        <v>5.12282943726</v>
      </c>
      <c r="G1248" s="17" t="str">
        <f>HYPERLINK(AA2 &amp; "/key/3dw_e77175bf-a601-40d8-aafd-179e50d3cbaf/rendering/04.obj", "2.57851433754")</f>
        <v>2.57851433754</v>
      </c>
      <c r="H1248" s="55" t="str">
        <f>HYPERLINK(AA2 &amp; "/key/3dw_e77175bf-a601-40d8-aafd-179e50d3cbaf/rendering/05.obj", "2.12343740463")</f>
        <v>2.12343740463</v>
      </c>
      <c r="I1248" s="40" t="str">
        <f>HYPERLINK(AA2 &amp; "/key/3dw_e77175bf-a601-40d8-aafd-179e50d3cbaf/rendering/06.obj", "2.18286371231")</f>
        <v>2.18286371231</v>
      </c>
      <c r="J1248" s="14" t="str">
        <f>HYPERLINK(AA2 &amp; "/key/3dw_e77175bf-a601-40d8-aafd-179e50d3cbaf/rendering/07.obj", "1.86936545372")</f>
        <v>1.86936545372</v>
      </c>
      <c r="K1248" s="203" t="str">
        <f>HYPERLINK(AA2 &amp; "/key/3dw_e77175bf-a601-40d8-aafd-179e50d3cbaf/rendering/08.obj", "1.40709972382")</f>
        <v>1.40709972382</v>
      </c>
      <c r="L1248" s="118" t="str">
        <f>HYPERLINK(AA2 &amp; "/key/3dw_e77175bf-a601-40d8-aafd-179e50d3cbaf/rendering/09.obj", "1.86103832722")</f>
        <v>1.86103832722</v>
      </c>
      <c r="M1248" s="113" t="str">
        <f>HYPERLINK(AA2 &amp; "/key/3dw_e77175bf-a601-40d8-aafd-179e50d3cbaf/rendering/10.obj", "3.36158967018")</f>
        <v>3.36158967018</v>
      </c>
      <c r="N1248" s="139" t="str">
        <f>HYPERLINK(AA2 &amp; "/key/3dw_e77175bf-a601-40d8-aafd-179e50d3cbaf/rendering/11.obj", "1.3692868948")</f>
        <v>1.3692868948</v>
      </c>
      <c r="O1248" s="152" t="str">
        <f>HYPERLINK(AA2 &amp; "/key/3dw_e77175bf-a601-40d8-aafd-179e50d3cbaf/rendering/12.obj", "1.56488394737")</f>
        <v>1.56488394737</v>
      </c>
      <c r="P1248" s="20" t="str">
        <f>HYPERLINK(AA2 &amp; "/key/3dw_e77175bf-a601-40d8-aafd-179e50d3cbaf/rendering/13.obj", "5.16189718246")</f>
        <v>5.16189718246</v>
      </c>
      <c r="Q1248" s="51" t="str">
        <f>HYPERLINK(AA2 &amp; "/key/3dw_e77175bf-a601-40d8-aafd-179e50d3cbaf/rendering/14.obj", "2.42808699608")</f>
        <v>2.42808699608</v>
      </c>
      <c r="R1248" s="89" t="str">
        <f>HYPERLINK(AA2 &amp; "/key/3dw_e77175bf-a601-40d8-aafd-179e50d3cbaf/rendering/15.obj", "3.31757116318")</f>
        <v>3.31757116318</v>
      </c>
      <c r="S1248" s="56" t="str">
        <f>HYPERLINK(AA2 &amp; "/key/3dw_e77175bf-a601-40d8-aafd-179e50d3cbaf/rendering/16.obj", "1.81718730927")</f>
        <v>1.81718730927</v>
      </c>
      <c r="T1248" s="129" t="str">
        <f>HYPERLINK(AA2 &amp; "/key/3dw_e77175bf-a601-40d8-aafd-179e50d3cbaf/rendering/17.obj", "3.29583191872")</f>
        <v>3.29583191872</v>
      </c>
      <c r="U1248" s="53" t="str">
        <f>HYPERLINK(AA2 &amp; "/key/3dw_e77175bf-a601-40d8-aafd-179e50d3cbaf/rendering/18.obj", "1.54714667797")</f>
        <v>1.54714667797</v>
      </c>
      <c r="V1248" s="10" t="str">
        <f>HYPERLINK(AA2 &amp; "/key/3dw_e77175bf-a601-40d8-aafd-179e50d3cbaf/rendering/19.obj", "2.49215364456")</f>
        <v>2.49215364456</v>
      </c>
      <c r="W1248" s="12" t="s">
        <v>30</v>
      </c>
      <c r="X1248" s="13">
        <v>2.635849499702454</v>
      </c>
      <c r="Y1248" s="13">
        <v>1.3123916174707191</v>
      </c>
      <c r="Z1248" s="102">
        <v>0.49790081627151622</v>
      </c>
    </row>
    <row r="1249" spans="1:26" x14ac:dyDescent="0.2">
      <c r="A1249" s="1">
        <v>1247</v>
      </c>
      <c r="B1249" s="2" t="s">
        <v>282</v>
      </c>
      <c r="C1249" s="55" t="str">
        <f>HYPERLINK(AB2 &amp; "/key/3dw_e77175bf-a601-40d8-aafd-179e50d3cbaf/rendering/00.obj", "1.3755078125")</f>
        <v>1.3755078125</v>
      </c>
      <c r="D1249" s="71" t="str">
        <f>HYPERLINK(AB2 &amp; "/key/3dw_e77175bf-a601-40d8-aafd-179e50d3cbaf/rendering/01.obj", "1.50385070801")</f>
        <v>1.50385070801</v>
      </c>
      <c r="E1249" s="72" t="str">
        <f>HYPERLINK(AB2 &amp; "/key/3dw_e77175bf-a601-40d8-aafd-179e50d3cbaf/rendering/02.obj", "1.64994384766")</f>
        <v>1.64994384766</v>
      </c>
      <c r="F1249" s="107" t="str">
        <f>HYPERLINK(AB2 &amp; "/key/3dw_e77175bf-a601-40d8-aafd-179e50d3cbaf/rendering/03.obj", "1.56220031738")</f>
        <v>1.56220031738</v>
      </c>
      <c r="G1249" s="79" t="str">
        <f>HYPERLINK(AB2 &amp; "/key/3dw_e77175bf-a601-40d8-aafd-179e50d3cbaf/rendering/04.obj", "1.97386566162")</f>
        <v>1.97386566162</v>
      </c>
      <c r="H1249" s="98" t="str">
        <f>HYPERLINK(AB2 &amp; "/key/3dw_e77175bf-a601-40d8-aafd-179e50d3cbaf/rendering/05.obj", "2.09891891479")</f>
        <v>2.09891891479</v>
      </c>
      <c r="I1249" s="107" t="str">
        <f>HYPERLINK(AB2 &amp; "/key/3dw_e77175bf-a601-40d8-aafd-179e50d3cbaf/rendering/06.obj", "1.8466116333")</f>
        <v>1.8466116333</v>
      </c>
      <c r="J1249" s="134" t="str">
        <f>HYPERLINK(AB2 &amp; "/key/3dw_e77175bf-a601-40d8-aafd-179e50d3cbaf/rendering/07.obj", "2.01163482666")</f>
        <v>2.01163482666</v>
      </c>
      <c r="K1249" s="74" t="str">
        <f>HYPERLINK(AB2 &amp; "/key/3dw_e77175bf-a601-40d8-aafd-179e50d3cbaf/rendering/08.obj", "1.72666549683")</f>
        <v>1.72666549683</v>
      </c>
      <c r="L1249" s="73" t="str">
        <f>HYPERLINK(AB2 &amp; "/key/3dw_e77175bf-a601-40d8-aafd-179e50d3cbaf/rendering/09.obj", "1.64054748535")</f>
        <v>1.64054748535</v>
      </c>
      <c r="M1249" s="33" t="str">
        <f>HYPERLINK(AB2 &amp; "/key/3dw_e77175bf-a601-40d8-aafd-179e50d3cbaf/rendering/10.obj", "1.8915737915")</f>
        <v>1.8915737915</v>
      </c>
      <c r="N1249" s="72" t="str">
        <f>HYPERLINK(AB2 &amp; "/key/3dw_e77175bf-a601-40d8-aafd-179e50d3cbaf/rendering/11.obj", "1.76018890381")</f>
        <v>1.76018890381</v>
      </c>
      <c r="O1249" s="29" t="str">
        <f>HYPERLINK(AB2 &amp; "/key/3dw_e77175bf-a601-40d8-aafd-179e50d3cbaf/rendering/12.obj", "1.92648590088")</f>
        <v>1.92648590088</v>
      </c>
      <c r="P1249" s="4" t="str">
        <f>HYPERLINK(AB2 &amp; "/key/3dw_e77175bf-a601-40d8-aafd-179e50d3cbaf/rendering/13.obj", "1.21943252563")</f>
        <v>1.21943252563</v>
      </c>
      <c r="Q1249" s="27" t="str">
        <f>HYPERLINK(AB2 &amp; "/key/3dw_e77175bf-a601-40d8-aafd-179e50d3cbaf/rendering/14.obj", "1.82499816895")</f>
        <v>1.82499816895</v>
      </c>
      <c r="R1249" s="61" t="str">
        <f>HYPERLINK(AB2 &amp; "/key/3dw_e77175bf-a601-40d8-aafd-179e50d3cbaf/rendering/15.obj", "1.18744155884")</f>
        <v>1.18744155884</v>
      </c>
      <c r="S1249" s="133" t="str">
        <f>HYPERLINK(AB2 &amp; "/key/3dw_e77175bf-a601-40d8-aafd-179e50d3cbaf/rendering/16.obj", "1.87643493652")</f>
        <v>1.87643493652</v>
      </c>
      <c r="T1249" s="42" t="str">
        <f>HYPERLINK(AB2 &amp; "/key/3dw_e77175bf-a601-40d8-aafd-179e50d3cbaf/rendering/17.obj", "1.93527053833")</f>
        <v>1.93527053833</v>
      </c>
      <c r="U1249" s="30" t="str">
        <f>HYPERLINK(AB2 &amp; "/key/3dw_e77175bf-a601-40d8-aafd-179e50d3cbaf/rendering/18.obj", "1.71397872925")</f>
        <v>1.71397872925</v>
      </c>
      <c r="V1249" s="44" t="str">
        <f>HYPERLINK(AB2 &amp; "/key/3dw_e77175bf-a601-40d8-aafd-179e50d3cbaf/rendering/19.obj", "1.36835098267")</f>
        <v>1.36835098267</v>
      </c>
      <c r="W1249" s="12" t="s">
        <v>31</v>
      </c>
      <c r="X1249" s="13">
        <v>1.7046951370239261</v>
      </c>
      <c r="Y1249" s="13">
        <v>0.2568454462997975</v>
      </c>
      <c r="Z1249" s="83">
        <v>0.15066943098588351</v>
      </c>
    </row>
    <row r="1250" spans="1:26" x14ac:dyDescent="0.2">
      <c r="A1250" s="1">
        <v>1248</v>
      </c>
      <c r="B1250" s="2" t="s">
        <v>282</v>
      </c>
      <c r="C1250" s="59" t="str">
        <f>HYPERLINK(AB2 &amp; "/key/3dw_e77175bf-a601-40d8-aafd-179e50d3cbaf/rendering/00.obj", "1.97682988644")</f>
        <v>1.97682988644</v>
      </c>
      <c r="D1250" s="134" t="str">
        <f>HYPERLINK(AB2 &amp; "/key/3dw_e77175bf-a601-40d8-aafd-179e50d3cbaf/rendering/01.obj", "1.30798077583")</f>
        <v>1.30798077583</v>
      </c>
      <c r="E1250" s="33" t="str">
        <f>HYPERLINK(AB2 &amp; "/key/3dw_e77175bf-a601-40d8-aafd-179e50d3cbaf/rendering/02.obj", "1.41948390007")</f>
        <v>1.41948390007</v>
      </c>
      <c r="F1250" s="67" t="str">
        <f>HYPERLINK(AB2 &amp; "/key/3dw_e77175bf-a601-40d8-aafd-179e50d3cbaf/rendering/03.obj", "1.73893332481")</f>
        <v>1.73893332481</v>
      </c>
      <c r="G1250" s="13" t="str">
        <f>HYPERLINK(AB2 &amp; "/key/3dw_e77175bf-a601-40d8-aafd-179e50d3cbaf/rendering/04.obj", "1.58991408348")</f>
        <v>1.58991408348</v>
      </c>
      <c r="H1250" s="26" t="str">
        <f>HYPERLINK(AB2 &amp; "/key/3dw_e77175bf-a601-40d8-aafd-179e50d3cbaf/rendering/05.obj", "1.69597709179")</f>
        <v>1.69597709179</v>
      </c>
      <c r="I1250" s="38" t="str">
        <f>HYPERLINK(AB2 &amp; "/key/3dw_e77175bf-a601-40d8-aafd-179e50d3cbaf/rendering/06.obj", "1.45036447048")</f>
        <v>1.45036447048</v>
      </c>
      <c r="J1250" s="25" t="str">
        <f>HYPERLINK(AB2 &amp; "/key/3dw_e77175bf-a601-40d8-aafd-179e50d3cbaf/rendering/07.obj", "1.57440853119")</f>
        <v>1.57440853119</v>
      </c>
      <c r="K1250" s="90" t="str">
        <f>HYPERLINK(AB2 &amp; "/key/3dw_e77175bf-a601-40d8-aafd-179e50d3cbaf/rendering/08.obj", "1.44301581383")</f>
        <v>1.44301581383</v>
      </c>
      <c r="L1250" s="37" t="str">
        <f>HYPERLINK(AB2 &amp; "/key/3dw_e77175bf-a601-40d8-aafd-179e50d3cbaf/rendering/09.obj", "1.31667590141")</f>
        <v>1.31667590141</v>
      </c>
      <c r="M1250" s="48" t="str">
        <f>HYPERLINK(AB2 &amp; "/key/3dw_e77175bf-a601-40d8-aafd-179e50d3cbaf/rendering/10.obj", "1.55357980728")</f>
        <v>1.55357980728</v>
      </c>
      <c r="N1250" s="71" t="str">
        <f>HYPERLINK(AB2 &amp; "/key/3dw_e77175bf-a601-40d8-aafd-179e50d3cbaf/rendering/11.obj", "1.40676116943")</f>
        <v>1.40676116943</v>
      </c>
      <c r="O1250" s="13" t="str">
        <f>HYPERLINK(AB2 &amp; "/key/3dw_e77175bf-a601-40d8-aafd-179e50d3cbaf/rendering/12.obj", "1.59594559669")</f>
        <v>1.59594559669</v>
      </c>
      <c r="P1250" s="4" t="str">
        <f>HYPERLINK(AB2 &amp; "/key/3dw_e77175bf-a601-40d8-aafd-179e50d3cbaf/rendering/13.obj", "2.04705452919")</f>
        <v>2.04705452919</v>
      </c>
      <c r="Q1250" s="71" t="str">
        <f>HYPERLINK(AB2 &amp; "/key/3dw_e77175bf-a601-40d8-aafd-179e50d3cbaf/rendering/14.obj", "1.40493261814")</f>
        <v>1.40493261814</v>
      </c>
      <c r="R1250" s="64" t="str">
        <f>HYPERLINK(AB2 &amp; "/key/3dw_e77175bf-a601-40d8-aafd-179e50d3cbaf/rendering/15.obj", "1.8577208519")</f>
        <v>1.8577208519</v>
      </c>
      <c r="S1250" s="74" t="str">
        <f>HYPERLINK(AB2 &amp; "/key/3dw_e77175bf-a601-40d8-aafd-179e50d3cbaf/rendering/16.obj", "1.6163007021")</f>
        <v>1.6163007021</v>
      </c>
      <c r="T1250" s="110" t="str">
        <f>HYPERLINK(AB2 &amp; "/key/3dw_e77175bf-a601-40d8-aafd-179e50d3cbaf/rendering/17.obj", "1.43719685078")</f>
        <v>1.43719685078</v>
      </c>
      <c r="U1250" s="110" t="str">
        <f>HYPERLINK(AB2 &amp; "/key/3dw_e77175bf-a601-40d8-aafd-179e50d3cbaf/rendering/18.obj", "1.43403995037")</f>
        <v>1.43403995037</v>
      </c>
      <c r="V1250" s="135" t="str">
        <f>HYPERLINK(AB2 &amp; "/key/3dw_e77175bf-a601-40d8-aafd-179e50d3cbaf/rendering/19.obj", "2.00243759155")</f>
        <v>2.00243759155</v>
      </c>
      <c r="W1250" s="12" t="s">
        <v>32</v>
      </c>
      <c r="X1250" s="13">
        <v>1.593477672338486</v>
      </c>
      <c r="Y1250" s="13">
        <v>0.2208732952958424</v>
      </c>
      <c r="Z1250" s="93">
        <v>0.1386108504248465</v>
      </c>
    </row>
    <row r="1251" spans="1:26" x14ac:dyDescent="0.2">
      <c r="A1251" s="1">
        <v>1249</v>
      </c>
      <c r="B1251" s="2" t="s">
        <v>282</v>
      </c>
      <c r="C1251" s="13" t="str">
        <f>HYPERLINK(AC2 &amp; "/key/3dw_e77175bf-a601-40d8-aafd-179e50d3cbaf/rendering/00.xyz", "0.0")</f>
        <v>0.0</v>
      </c>
      <c r="D1251" s="13" t="str">
        <f>HYPERLINK(AC2 &amp; "/key/3dw_e77175bf-a601-40d8-aafd-179e50d3cbaf/rendering/01.xyz", "0.0")</f>
        <v>0.0</v>
      </c>
      <c r="E1251" s="13" t="str">
        <f>HYPERLINK(AC2 &amp; "/key/3dw_e77175bf-a601-40d8-aafd-179e50d3cbaf/rendering/02.xyz", "0.0")</f>
        <v>0.0</v>
      </c>
      <c r="F1251" s="13" t="str">
        <f>HYPERLINK(AC2 &amp; "/key/3dw_e77175bf-a601-40d8-aafd-179e50d3cbaf/rendering/03.xyz", "0.0")</f>
        <v>0.0</v>
      </c>
      <c r="G1251" s="13" t="str">
        <f>HYPERLINK(AC2 &amp; "/key/3dw_e77175bf-a601-40d8-aafd-179e50d3cbaf/rendering/04.xyz", "0.0")</f>
        <v>0.0</v>
      </c>
      <c r="H1251" s="13" t="str">
        <f>HYPERLINK(AC2 &amp; "/key/3dw_e77175bf-a601-40d8-aafd-179e50d3cbaf/rendering/05.xyz", "0.0")</f>
        <v>0.0</v>
      </c>
      <c r="I1251" s="13" t="str">
        <f>HYPERLINK(AC2 &amp; "/key/3dw_e77175bf-a601-40d8-aafd-179e50d3cbaf/rendering/06.xyz", "0.0")</f>
        <v>0.0</v>
      </c>
      <c r="J1251" s="13" t="str">
        <f>HYPERLINK(AC2 &amp; "/key/3dw_e77175bf-a601-40d8-aafd-179e50d3cbaf/rendering/07.xyz", "0.0")</f>
        <v>0.0</v>
      </c>
      <c r="K1251" s="13" t="str">
        <f>HYPERLINK(AC2 &amp; "/key/3dw_e77175bf-a601-40d8-aafd-179e50d3cbaf/rendering/08.xyz", "0.0")</f>
        <v>0.0</v>
      </c>
      <c r="L1251" s="13" t="str">
        <f>HYPERLINK(AC2 &amp; "/key/3dw_e77175bf-a601-40d8-aafd-179e50d3cbaf/rendering/09.xyz", "0.0")</f>
        <v>0.0</v>
      </c>
      <c r="M1251" s="13" t="str">
        <f>HYPERLINK(AC2 &amp; "/key/3dw_e77175bf-a601-40d8-aafd-179e50d3cbaf/rendering/10.xyz", "0.0")</f>
        <v>0.0</v>
      </c>
      <c r="N1251" s="13" t="str">
        <f>HYPERLINK(AC2 &amp; "/key/3dw_e77175bf-a601-40d8-aafd-179e50d3cbaf/rendering/11.xyz", "0.0")</f>
        <v>0.0</v>
      </c>
      <c r="O1251" s="13" t="str">
        <f>HYPERLINK(AC2 &amp; "/key/3dw_e77175bf-a601-40d8-aafd-179e50d3cbaf/rendering/12.xyz", "0.0")</f>
        <v>0.0</v>
      </c>
      <c r="P1251" s="13" t="str">
        <f>HYPERLINK(AC2 &amp; "/key/3dw_e77175bf-a601-40d8-aafd-179e50d3cbaf/rendering/13.xyz", "0.0")</f>
        <v>0.0</v>
      </c>
      <c r="Q1251" s="13" t="str">
        <f>HYPERLINK(AC2 &amp; "/key/3dw_e77175bf-a601-40d8-aafd-179e50d3cbaf/rendering/14.xyz", "0.0")</f>
        <v>0.0</v>
      </c>
      <c r="R1251" s="13" t="str">
        <f>HYPERLINK(AC2 &amp; "/key/3dw_e77175bf-a601-40d8-aafd-179e50d3cbaf/rendering/15.xyz", "0.0")</f>
        <v>0.0</v>
      </c>
      <c r="S1251" s="13" t="str">
        <f>HYPERLINK(AC2 &amp; "/key/3dw_e77175bf-a601-40d8-aafd-179e50d3cbaf/rendering/16.xyz", "0.0")</f>
        <v>0.0</v>
      </c>
      <c r="T1251" s="13" t="str">
        <f>HYPERLINK(AC2 &amp; "/key/3dw_e77175bf-a601-40d8-aafd-179e50d3cbaf/rendering/17.xyz", "0.0")</f>
        <v>0.0</v>
      </c>
      <c r="U1251" s="13" t="str">
        <f>HYPERLINK(AC2 &amp; "/key/3dw_e77175bf-a601-40d8-aafd-179e50d3cbaf/rendering/18.xyz", "0.0")</f>
        <v>0.0</v>
      </c>
      <c r="V1251" s="13" t="str">
        <f>HYPERLINK(AC2 &amp; "/key/3dw_e77175bf-a601-40d8-aafd-179e50d3cbaf/rendering/19.xyz", "0.0")</f>
        <v>0.0</v>
      </c>
      <c r="W1251" s="12" t="s">
        <v>33</v>
      </c>
      <c r="X1251" s="13">
        <v>0</v>
      </c>
      <c r="Y1251" s="13">
        <v>0</v>
      </c>
      <c r="Z1251" s="13">
        <v>0</v>
      </c>
    </row>
    <row r="1252" spans="1:26" x14ac:dyDescent="0.2">
      <c r="A1252" s="1">
        <v>1250</v>
      </c>
      <c r="B1252" s="2" t="s">
        <v>283</v>
      </c>
      <c r="C1252" s="30" t="str">
        <f>HYPERLINK(AA2 &amp; "/key/3dw_e7a563a5-def8-4da8-bcea-d244bdd65cc5/rendering/00.obj", "2.54281188965")</f>
        <v>2.54281188965</v>
      </c>
      <c r="D1252" s="40" t="str">
        <f>HYPERLINK(AA2 &amp; "/key/3dw_e7a563a5-def8-4da8-bcea-d244bdd65cc5/rendering/01.obj", "2.96467193604")</f>
        <v>2.96467193604</v>
      </c>
      <c r="E1252" s="88" t="str">
        <f>HYPERLINK(AA2 &amp; "/key/3dw_e7a563a5-def8-4da8-bcea-d244bdd65cc5/rendering/02.obj", "2.01641143799")</f>
        <v>2.01641143799</v>
      </c>
      <c r="F1252" s="39" t="str">
        <f>HYPERLINK(AA2 &amp; "/key/3dw_e7a563a5-def8-4da8-bcea-d244bdd65cc5/rendering/03.obj", "2.30823638916")</f>
        <v>2.30823638916</v>
      </c>
      <c r="G1252" s="135" t="str">
        <f>HYPERLINK(AA2 &amp; "/key/3dw_e7a563a5-def8-4da8-bcea-d244bdd65cc5/rendering/04.obj", "3.17189239502")</f>
        <v>3.17189239502</v>
      </c>
      <c r="H1252" s="49" t="str">
        <f>HYPERLINK(AA2 &amp; "/key/3dw_e7a563a5-def8-4da8-bcea-d244bdd65cc5/rendering/05.obj", "2.00249725342")</f>
        <v>2.00249725342</v>
      </c>
      <c r="I1252" s="41" t="str">
        <f>HYPERLINK(AA2 &amp; "/key/3dw_e7a563a5-def8-4da8-bcea-d244bdd65cc5/rendering/06.obj", "2.69902526855")</f>
        <v>2.69902526855</v>
      </c>
      <c r="J1252" s="133" t="str">
        <f>HYPERLINK(AA2 &amp; "/key/3dw_e7a563a5-def8-4da8-bcea-d244bdd65cc5/rendering/07.obj", "2.78686889648")</f>
        <v>2.78686889648</v>
      </c>
      <c r="K1252" s="30" t="str">
        <f>HYPERLINK(AA2 &amp; "/key/3dw_e7a563a5-def8-4da8-bcea-d244bdd65cc5/rendering/08.obj", "2.52014129639")</f>
        <v>2.52014129639</v>
      </c>
      <c r="L1252" s="8" t="str">
        <f>HYPERLINK(AA2 &amp; "/key/3dw_e7a563a5-def8-4da8-bcea-d244bdd65cc5/rendering/09.obj", "2.16760681152")</f>
        <v>2.16760681152</v>
      </c>
      <c r="M1252" s="5" t="str">
        <f>HYPERLINK(AA2 &amp; "/key/3dw_e7a563a5-def8-4da8-bcea-d244bdd65cc5/rendering/10.obj", "2.72612579346")</f>
        <v>2.72612579346</v>
      </c>
      <c r="N1252" s="66" t="str">
        <f>HYPERLINK(AA2 &amp; "/key/3dw_e7a563a5-def8-4da8-bcea-d244bdd65cc5/rendering/11.obj", "2.11746078491")</f>
        <v>2.11746078491</v>
      </c>
      <c r="O1252" s="182" t="str">
        <f>HYPERLINK(AA2 &amp; "/key/3dw_e7a563a5-def8-4da8-bcea-d244bdd65cc5/rendering/12.obj", "3.3734942627")</f>
        <v>3.3734942627</v>
      </c>
      <c r="P1252" s="94" t="str">
        <f>HYPERLINK(AA2 &amp; "/key/3dw_e7a563a5-def8-4da8-bcea-d244bdd65cc5/rendering/13.obj", "2.34091674805")</f>
        <v>2.34091674805</v>
      </c>
      <c r="Q1252" s="84" t="str">
        <f>HYPERLINK(AA2 &amp; "/key/3dw_e7a563a5-def8-4da8-bcea-d244bdd65cc5/rendering/14.obj", "2.16179962158")</f>
        <v>2.16179962158</v>
      </c>
      <c r="R1252" s="107" t="str">
        <f>HYPERLINK(AA2 &amp; "/key/3dw_e7a563a5-def8-4da8-bcea-d244bdd65cc5/rendering/15.obj", "2.31672302246")</f>
        <v>2.31672302246</v>
      </c>
      <c r="S1252" s="63" t="str">
        <f>HYPERLINK(AA2 &amp; "/key/3dw_e7a563a5-def8-4da8-bcea-d244bdd65cc5/rendering/16.obj", "2.83726379395")</f>
        <v>2.83726379395</v>
      </c>
      <c r="T1252" s="92" t="str">
        <f>HYPERLINK(AA2 &amp; "/key/3dw_e7a563a5-def8-4da8-bcea-d244bdd65cc5/rendering/17.obj", "2.83907470703")</f>
        <v>2.83907470703</v>
      </c>
      <c r="U1252" s="33" t="str">
        <f>HYPERLINK(AA2 &amp; "/key/3dw_e7a563a5-def8-4da8-bcea-d244bdd65cc5/rendering/18.obj", "2.2529888916")</f>
        <v>2.2529888916</v>
      </c>
      <c r="V1252" s="23" t="str">
        <f>HYPERLINK(AA2 &amp; "/key/3dw_e7a563a5-def8-4da8-bcea-d244bdd65cc5/rendering/19.obj", "2.4287538147")</f>
        <v>2.4287538147</v>
      </c>
      <c r="W1252" s="12" t="s">
        <v>29</v>
      </c>
      <c r="X1252" s="13">
        <v>2.5287382507324221</v>
      </c>
      <c r="Y1252" s="13">
        <v>0.37630826546515339</v>
      </c>
      <c r="Z1252" s="80">
        <v>0.14881265997228449</v>
      </c>
    </row>
    <row r="1253" spans="1:26" x14ac:dyDescent="0.2">
      <c r="A1253" s="1">
        <v>1251</v>
      </c>
      <c r="B1253" s="2" t="s">
        <v>283</v>
      </c>
      <c r="C1253" s="50" t="str">
        <f>HYPERLINK(AA2 &amp; "/key/3dw_e7a563a5-def8-4da8-bcea-d244bdd65cc5/rendering/00.obj", "2.90556931496")</f>
        <v>2.90556931496</v>
      </c>
      <c r="D1253" s="76" t="str">
        <f>HYPERLINK(AA2 &amp; "/key/3dw_e7a563a5-def8-4da8-bcea-d244bdd65cc5/rendering/01.obj", "4.30370664597")</f>
        <v>4.30370664597</v>
      </c>
      <c r="E1253" s="171" t="str">
        <f>HYPERLINK(AA2 &amp; "/key/3dw_e7a563a5-def8-4da8-bcea-d244bdd65cc5/rendering/02.obj", "2.52826881409")</f>
        <v>2.52826881409</v>
      </c>
      <c r="F1253" s="52" t="str">
        <f>HYPERLINK(AA2 &amp; "/key/3dw_e7a563a5-def8-4da8-bcea-d244bdd65cc5/rendering/03.obj", "2.18193149567")</f>
        <v>2.18193149567</v>
      </c>
      <c r="G1253" s="166" t="str">
        <f>HYPERLINK(AA2 &amp; "/key/3dw_e7a563a5-def8-4da8-bcea-d244bdd65cc5/rendering/04.obj", "4.68417739868")</f>
        <v>4.68417739868</v>
      </c>
      <c r="H1253" s="104" t="str">
        <f>HYPERLINK(AA2 &amp; "/key/3dw_e7a563a5-def8-4da8-bcea-d244bdd65cc5/rendering/05.obj", "1.90727806091")</f>
        <v>1.90727806091</v>
      </c>
      <c r="I1253" s="90" t="str">
        <f>HYPERLINK(AA2 &amp; "/key/3dw_e7a563a5-def8-4da8-bcea-d244bdd65cc5/rendering/06.obj", "3.28416061401")</f>
        <v>3.28416061401</v>
      </c>
      <c r="J1253" s="30" t="str">
        <f>HYPERLINK(AA2 &amp; "/key/3dw_e7a563a5-def8-4da8-bcea-d244bdd65cc5/rendering/07.obj", "3.62368988991")</f>
        <v>3.62368988991</v>
      </c>
      <c r="K1253" s="90" t="str">
        <f>HYPERLINK(AA2 &amp; "/key/3dw_e7a563a5-def8-4da8-bcea-d244bdd65cc5/rendering/08.obj", "3.28963279724")</f>
        <v>3.28963279724</v>
      </c>
      <c r="L1253" s="203" t="str">
        <f>HYPERLINK(AA2 &amp; "/key/3dw_e7a563a5-def8-4da8-bcea-d244bdd65cc5/rendering/09.obj", "1.93997585773")</f>
        <v>1.93997585773</v>
      </c>
      <c r="M1253" s="93" t="str">
        <f>HYPERLINK(AA2 &amp; "/key/3dw_e7a563a5-def8-4da8-bcea-d244bdd65cc5/rendering/10.obj", "3.13276171684")</f>
        <v>3.13276171684</v>
      </c>
      <c r="N1253" s="159" t="str">
        <f>HYPERLINK(AA2 &amp; "/key/3dw_e7a563a5-def8-4da8-bcea-d244bdd65cc5/rendering/11.obj", "1.92761266232")</f>
        <v>1.92761266232</v>
      </c>
      <c r="O1253" s="20" t="str">
        <f>HYPERLINK(AA2 &amp; "/key/3dw_e7a563a5-def8-4da8-bcea-d244bdd65cc5/rendering/12.obj", "7.22371149063")</f>
        <v>7.22371149063</v>
      </c>
      <c r="P1253" s="192" t="str">
        <f>HYPERLINK(AA2 &amp; "/key/3dw_e7a563a5-def8-4da8-bcea-d244bdd65cc5/rendering/13.obj", "4.98982620239")</f>
        <v>4.98982620239</v>
      </c>
      <c r="Q1253" s="151" t="str">
        <f>HYPERLINK(AA2 &amp; "/key/3dw_e7a563a5-def8-4da8-bcea-d244bdd65cc5/rendering/14.obj", "2.33232355118")</f>
        <v>2.33232355118</v>
      </c>
      <c r="R1253" s="17" t="str">
        <f>HYPERLINK(AA2 &amp; "/key/3dw_e7a563a5-def8-4da8-bcea-d244bdd65cc5/rendering/15.obj", "3.70879912376")</f>
        <v>3.70879912376</v>
      </c>
      <c r="S1253" s="106" t="str">
        <f>HYPERLINK(AA2 &amp; "/key/3dw_e7a563a5-def8-4da8-bcea-d244bdd65cc5/rendering/16.obj", "3.21905136108")</f>
        <v>3.21905136108</v>
      </c>
      <c r="T1253" s="20" t="str">
        <f>HYPERLINK(AA2 &amp; "/key/3dw_e7a563a5-def8-4da8-bcea-d244bdd65cc5/rendering/17.obj", "7.70889043808")</f>
        <v>7.70889043808</v>
      </c>
      <c r="U1253" s="148" t="str">
        <f>HYPERLINK(AA2 &amp; "/key/3dw_e7a563a5-def8-4da8-bcea-d244bdd65cc5/rendering/18.obj", "1.87343740463")</f>
        <v>1.87343740463</v>
      </c>
      <c r="V1253" s="217" t="str">
        <f>HYPERLINK(AA2 &amp; "/key/3dw_e7a563a5-def8-4da8-bcea-d244bdd65cc5/rendering/19.obj", "5.93781518936")</f>
        <v>5.93781518936</v>
      </c>
      <c r="W1253" s="12" t="s">
        <v>30</v>
      </c>
      <c r="X1253" s="13">
        <v>3.6351310014724731</v>
      </c>
      <c r="Y1253" s="13">
        <v>1.677450231918882</v>
      </c>
      <c r="Z1253" s="131">
        <v>0.46145523537924821</v>
      </c>
    </row>
    <row r="1254" spans="1:26" x14ac:dyDescent="0.2">
      <c r="A1254" s="1">
        <v>1252</v>
      </c>
      <c r="B1254" s="2" t="s">
        <v>283</v>
      </c>
      <c r="C1254" s="81" t="str">
        <f>HYPERLINK(AB2 &amp; "/key/3dw_e7a563a5-def8-4da8-bcea-d244bdd65cc5/rendering/00.obj", "2.49936187744")</f>
        <v>2.49936187744</v>
      </c>
      <c r="D1254" s="10" t="str">
        <f>HYPERLINK(AB2 &amp; "/key/3dw_e7a563a5-def8-4da8-bcea-d244bdd65cc5/rendering/01.obj", "1.94076980591")</f>
        <v>1.94076980591</v>
      </c>
      <c r="E1254" s="69" t="str">
        <f>HYPERLINK(AB2 &amp; "/key/3dw_e7a563a5-def8-4da8-bcea-d244bdd65cc5/rendering/02.obj", "1.9950668335")</f>
        <v>1.9950668335</v>
      </c>
      <c r="F1254" s="68" t="str">
        <f>HYPERLINK(AB2 &amp; "/key/3dw_e7a563a5-def8-4da8-bcea-d244bdd65cc5/rendering/03.obj", "1.96391021729")</f>
        <v>1.96391021729</v>
      </c>
      <c r="G1254" s="72" t="str">
        <f>HYPERLINK(AB2 &amp; "/key/3dw_e7a563a5-def8-4da8-bcea-d244bdd65cc5/rendering/04.obj", "2.12406585693")</f>
        <v>2.12406585693</v>
      </c>
      <c r="H1254" s="94" t="str">
        <f>HYPERLINK(AB2 &amp; "/key/3dw_e7a563a5-def8-4da8-bcea-d244bdd65cc5/rendering/05.obj", "1.90308654785")</f>
        <v>1.90308654785</v>
      </c>
      <c r="I1254" s="73" t="str">
        <f>HYPERLINK(AB2 &amp; "/key/3dw_e7a563a5-def8-4da8-bcea-d244bdd65cc5/rendering/06.obj", "1.97847000122")</f>
        <v>1.97847000122</v>
      </c>
      <c r="J1254" s="17" t="str">
        <f>HYPERLINK(AB2 &amp; "/key/3dw_e7a563a5-def8-4da8-bcea-d244bdd65cc5/rendering/07.obj", "2.0929119873")</f>
        <v>2.0929119873</v>
      </c>
      <c r="K1254" s="175" t="str">
        <f>HYPERLINK(AB2 &amp; "/key/3dw_e7a563a5-def8-4da8-bcea-d244bdd65cc5/rendering/08.obj", "2.53183502197")</f>
        <v>2.53183502197</v>
      </c>
      <c r="L1254" s="47" t="str">
        <f>HYPERLINK(AB2 &amp; "/key/3dw_e7a563a5-def8-4da8-bcea-d244bdd65cc5/rendering/09.obj", "2.07131561279")</f>
        <v>2.07131561279</v>
      </c>
      <c r="M1254" s="30" t="str">
        <f>HYPERLINK(AB2 &amp; "/key/3dw_e7a563a5-def8-4da8-bcea-d244bdd65cc5/rendering/10.obj", "2.04249099731")</f>
        <v>2.04249099731</v>
      </c>
      <c r="N1254" s="34" t="str">
        <f>HYPERLINK(AB2 &amp; "/key/3dw_e7a563a5-def8-4da8-bcea-d244bdd65cc5/rendering/11.obj", "2.15409973145")</f>
        <v>2.15409973145</v>
      </c>
      <c r="O1254" s="17" t="str">
        <f>HYPERLINK(AB2 &amp; "/key/3dw_e7a563a5-def8-4da8-bcea-d244bdd65cc5/rendering/12.obj", "2.01150634766")</f>
        <v>2.01150634766</v>
      </c>
      <c r="P1254" s="47" t="str">
        <f>HYPERLINK(AB2 &amp; "/key/3dw_e7a563a5-def8-4da8-bcea-d244bdd65cc5/rendering/13.obj", "2.03890594482")</f>
        <v>2.03890594482</v>
      </c>
      <c r="Q1254" s="88" t="str">
        <f>HYPERLINK(AB2 &amp; "/key/3dw_e7a563a5-def8-4da8-bcea-d244bdd65cc5/rendering/14.obj", "1.63468887329")</f>
        <v>1.63468887329</v>
      </c>
      <c r="R1254" s="92" t="str">
        <f>HYPERLINK(AB2 &amp; "/key/3dw_e7a563a5-def8-4da8-bcea-d244bdd65cc5/rendering/15.obj", "2.30808685303")</f>
        <v>2.30808685303</v>
      </c>
      <c r="S1254" s="23" t="str">
        <f>HYPERLINK(AB2 &amp; "/key/3dw_e7a563a5-def8-4da8-bcea-d244bdd65cc5/rendering/16.obj", "2.13660903931")</f>
        <v>2.13660903931</v>
      </c>
      <c r="T1254" s="74" t="str">
        <f>HYPERLINK(AB2 &amp; "/key/3dw_e7a563a5-def8-4da8-bcea-d244bdd65cc5/rendering/17.obj", "2.02530960083")</f>
        <v>2.02530960083</v>
      </c>
      <c r="U1254" s="69" t="str">
        <f>HYPERLINK(AB2 &amp; "/key/3dw_e7a563a5-def8-4da8-bcea-d244bdd65cc5/rendering/18.obj", "1.99086242676")</f>
        <v>1.99086242676</v>
      </c>
      <c r="V1254" s="49" t="str">
        <f>HYPERLINK(AB2 &amp; "/key/3dw_e7a563a5-def8-4da8-bcea-d244bdd65cc5/rendering/19.obj", "1.62475219727")</f>
        <v>1.62475219727</v>
      </c>
      <c r="W1254" s="12" t="s">
        <v>31</v>
      </c>
      <c r="X1254" s="13">
        <v>2.0534052886962888</v>
      </c>
      <c r="Y1254" s="13">
        <v>0.21618683754725759</v>
      </c>
      <c r="Z1254" s="32">
        <v>0.1052821080852066</v>
      </c>
    </row>
    <row r="1255" spans="1:26" x14ac:dyDescent="0.2">
      <c r="A1255" s="1">
        <v>1253</v>
      </c>
      <c r="B1255" s="2" t="s">
        <v>283</v>
      </c>
      <c r="C1255" s="101" t="str">
        <f>HYPERLINK(AB2 &amp; "/key/3dw_e7a563a5-def8-4da8-bcea-d244bdd65cc5/rendering/00.obj", "2.70035386086")</f>
        <v>2.70035386086</v>
      </c>
      <c r="D1255" s="68" t="str">
        <f>HYPERLINK(AB2 &amp; "/key/3dw_e7a563a5-def8-4da8-bcea-d244bdd65cc5/rendering/01.obj", "1.87930178642")</f>
        <v>1.87930178642</v>
      </c>
      <c r="E1255" s="106" t="str">
        <f>HYPERLINK(AB2 &amp; "/key/3dw_e7a563a5-def8-4da8-bcea-d244bdd65cc5/rendering/02.obj", "1.73758101463")</f>
        <v>1.73758101463</v>
      </c>
      <c r="F1255" s="6" t="str">
        <f>HYPERLINK(AB2 &amp; "/key/3dw_e7a563a5-def8-4da8-bcea-d244bdd65cc5/rendering/03.obj", "1.87172007561")</f>
        <v>1.87172007561</v>
      </c>
      <c r="G1255" s="94" t="str">
        <f>HYPERLINK(AB2 &amp; "/key/3dw_e7a563a5-def8-4da8-bcea-d244bdd65cc5/rendering/04.obj", "1.81281244755")</f>
        <v>1.81281244755</v>
      </c>
      <c r="H1255" s="67" t="str">
        <f>HYPERLINK(AB2 &amp; "/key/3dw_e7a563a5-def8-4da8-bcea-d244bdd65cc5/rendering/05.obj", "1.778039217")</f>
        <v>1.778039217</v>
      </c>
      <c r="I1255" s="63" t="str">
        <f>HYPERLINK(AB2 &amp; "/key/3dw_e7a563a5-def8-4da8-bcea-d244bdd65cc5/rendering/06.obj", "1.72215771675")</f>
        <v>1.72215771675</v>
      </c>
      <c r="J1255" s="29" t="str">
        <f>HYPERLINK(AB2 &amp; "/key/3dw_e7a563a5-def8-4da8-bcea-d244bdd65cc5/rendering/07.obj", "1.70552778244")</f>
        <v>1.70552778244</v>
      </c>
      <c r="K1255" s="118" t="str">
        <f>HYPERLINK(AB2 &amp; "/key/3dw_e7a563a5-def8-4da8-bcea-d244bdd65cc5/rendering/08.obj", "2.53625750542")</f>
        <v>2.53625750542</v>
      </c>
      <c r="L1255" s="106" t="str">
        <f>HYPERLINK(AB2 &amp; "/key/3dw_e7a563a5-def8-4da8-bcea-d244bdd65cc5/rendering/09.obj", "1.73429679871")</f>
        <v>1.73429679871</v>
      </c>
      <c r="M1255" s="5" t="str">
        <f>HYPERLINK(AB2 &amp; "/key/3dw_e7a563a5-def8-4da8-bcea-d244bdd65cc5/rendering/10.obj", "1.80992388725")</f>
        <v>1.80992388725</v>
      </c>
      <c r="N1255" s="38" t="str">
        <f>HYPERLINK(AB2 &amp; "/key/3dw_e7a563a5-def8-4da8-bcea-d244bdd65cc5/rendering/11.obj", "2.13307952881")</f>
        <v>2.13307952881</v>
      </c>
      <c r="O1255" s="60" t="str">
        <f>HYPERLINK(AB2 &amp; "/key/3dw_e7a563a5-def8-4da8-bcea-d244bdd65cc5/rendering/12.obj", "1.85643577576")</f>
        <v>1.85643577576</v>
      </c>
      <c r="P1255" s="64" t="str">
        <f>HYPERLINK(AB2 &amp; "/key/3dw_e7a563a5-def8-4da8-bcea-d244bdd65cc5/rendering/13.obj", "2.28485608101")</f>
        <v>2.28485608101</v>
      </c>
      <c r="Q1255" s="46" t="str">
        <f>HYPERLINK(AB2 &amp; "/key/3dw_e7a563a5-def8-4da8-bcea-d244bdd65cc5/rendering/14.obj", "1.92769920826")</f>
        <v>1.92769920826</v>
      </c>
      <c r="R1255" s="13" t="str">
        <f>HYPERLINK(AB2 &amp; "/key/3dw_e7a563a5-def8-4da8-bcea-d244bdd65cc5/rendering/15.obj", "1.96379256248")</f>
        <v>1.96379256248</v>
      </c>
      <c r="S1255" s="5" t="str">
        <f>HYPERLINK(AB2 &amp; "/key/3dw_e7a563a5-def8-4da8-bcea-d244bdd65cc5/rendering/16.obj", "1.81197237968")</f>
        <v>1.81197237968</v>
      </c>
      <c r="T1255" s="74" t="str">
        <f>HYPERLINK(AB2 &amp; "/key/3dw_e7a563a5-def8-4da8-bcea-d244bdd65cc5/rendering/17.obj", "1.93222427368")</f>
        <v>1.93222427368</v>
      </c>
      <c r="U1255" s="110" t="str">
        <f>HYPERLINK(AB2 &amp; "/key/3dw_e7a563a5-def8-4da8-bcea-d244bdd65cc5/rendering/18.obj", "1.76733016968")</f>
        <v>1.76733016968</v>
      </c>
      <c r="V1255" s="93" t="str">
        <f>HYPERLINK(AB2 &amp; "/key/3dw_e7a563a5-def8-4da8-bcea-d244bdd65cc5/rendering/19.obj", "2.23586082458")</f>
        <v>2.23586082458</v>
      </c>
      <c r="W1255" s="12" t="s">
        <v>32</v>
      </c>
      <c r="X1255" s="13">
        <v>1.9600611448287959</v>
      </c>
      <c r="Y1255" s="13">
        <v>0.27172704706873102</v>
      </c>
      <c r="Z1255" s="93">
        <v>0.1386319236956586</v>
      </c>
    </row>
    <row r="1256" spans="1:26" x14ac:dyDescent="0.2">
      <c r="A1256" s="1">
        <v>1254</v>
      </c>
      <c r="B1256" s="2" t="s">
        <v>283</v>
      </c>
      <c r="C1256" s="13" t="str">
        <f>HYPERLINK(AC2 &amp; "/key/3dw_e7a563a5-def8-4da8-bcea-d244bdd65cc5/rendering/00.xyz", "0.0")</f>
        <v>0.0</v>
      </c>
      <c r="D1256" s="13" t="str">
        <f>HYPERLINK(AC2 &amp; "/key/3dw_e7a563a5-def8-4da8-bcea-d244bdd65cc5/rendering/01.xyz", "0.0")</f>
        <v>0.0</v>
      </c>
      <c r="E1256" s="13" t="str">
        <f>HYPERLINK(AC2 &amp; "/key/3dw_e7a563a5-def8-4da8-bcea-d244bdd65cc5/rendering/02.xyz", "0.0")</f>
        <v>0.0</v>
      </c>
      <c r="F1256" s="13" t="str">
        <f>HYPERLINK(AC2 &amp; "/key/3dw_e7a563a5-def8-4da8-bcea-d244bdd65cc5/rendering/03.xyz", "0.0")</f>
        <v>0.0</v>
      </c>
      <c r="G1256" s="13" t="str">
        <f>HYPERLINK(AC2 &amp; "/key/3dw_e7a563a5-def8-4da8-bcea-d244bdd65cc5/rendering/04.xyz", "0.0")</f>
        <v>0.0</v>
      </c>
      <c r="H1256" s="13" t="str">
        <f>HYPERLINK(AC2 &amp; "/key/3dw_e7a563a5-def8-4da8-bcea-d244bdd65cc5/rendering/05.xyz", "0.0")</f>
        <v>0.0</v>
      </c>
      <c r="I1256" s="13" t="str">
        <f>HYPERLINK(AC2 &amp; "/key/3dw_e7a563a5-def8-4da8-bcea-d244bdd65cc5/rendering/06.xyz", "0.0")</f>
        <v>0.0</v>
      </c>
      <c r="J1256" s="13" t="str">
        <f>HYPERLINK(AC2 &amp; "/key/3dw_e7a563a5-def8-4da8-bcea-d244bdd65cc5/rendering/07.xyz", "0.0")</f>
        <v>0.0</v>
      </c>
      <c r="K1256" s="13" t="str">
        <f>HYPERLINK(AC2 &amp; "/key/3dw_e7a563a5-def8-4da8-bcea-d244bdd65cc5/rendering/08.xyz", "0.0")</f>
        <v>0.0</v>
      </c>
      <c r="L1256" s="13" t="str">
        <f>HYPERLINK(AC2 &amp; "/key/3dw_e7a563a5-def8-4da8-bcea-d244bdd65cc5/rendering/09.xyz", "0.0")</f>
        <v>0.0</v>
      </c>
      <c r="M1256" s="13" t="str">
        <f>HYPERLINK(AC2 &amp; "/key/3dw_e7a563a5-def8-4da8-bcea-d244bdd65cc5/rendering/10.xyz", "0.0")</f>
        <v>0.0</v>
      </c>
      <c r="N1256" s="13" t="str">
        <f>HYPERLINK(AC2 &amp; "/key/3dw_e7a563a5-def8-4da8-bcea-d244bdd65cc5/rendering/11.xyz", "0.0")</f>
        <v>0.0</v>
      </c>
      <c r="O1256" s="13" t="str">
        <f>HYPERLINK(AC2 &amp; "/key/3dw_e7a563a5-def8-4da8-bcea-d244bdd65cc5/rendering/12.xyz", "0.0")</f>
        <v>0.0</v>
      </c>
      <c r="P1256" s="13" t="str">
        <f>HYPERLINK(AC2 &amp; "/key/3dw_e7a563a5-def8-4da8-bcea-d244bdd65cc5/rendering/13.xyz", "0.0")</f>
        <v>0.0</v>
      </c>
      <c r="Q1256" s="13" t="str">
        <f>HYPERLINK(AC2 &amp; "/key/3dw_e7a563a5-def8-4da8-bcea-d244bdd65cc5/rendering/14.xyz", "0.0")</f>
        <v>0.0</v>
      </c>
      <c r="R1256" s="13" t="str">
        <f>HYPERLINK(AC2 &amp; "/key/3dw_e7a563a5-def8-4da8-bcea-d244bdd65cc5/rendering/15.xyz", "0.0")</f>
        <v>0.0</v>
      </c>
      <c r="S1256" s="13" t="str">
        <f>HYPERLINK(AC2 &amp; "/key/3dw_e7a563a5-def8-4da8-bcea-d244bdd65cc5/rendering/16.xyz", "0.0")</f>
        <v>0.0</v>
      </c>
      <c r="T1256" s="13" t="str">
        <f>HYPERLINK(AC2 &amp; "/key/3dw_e7a563a5-def8-4da8-bcea-d244bdd65cc5/rendering/17.xyz", "0.0")</f>
        <v>0.0</v>
      </c>
      <c r="U1256" s="13" t="str">
        <f>HYPERLINK(AC2 &amp; "/key/3dw_e7a563a5-def8-4da8-bcea-d244bdd65cc5/rendering/18.xyz", "0.0")</f>
        <v>0.0</v>
      </c>
      <c r="V1256" s="13" t="str">
        <f>HYPERLINK(AC2 &amp; "/key/3dw_e7a563a5-def8-4da8-bcea-d244bdd65cc5/rendering/19.xyz", "0.0")</f>
        <v>0.0</v>
      </c>
      <c r="W1256" s="12" t="s">
        <v>33</v>
      </c>
      <c r="X1256" s="13">
        <v>0</v>
      </c>
      <c r="Y1256" s="13">
        <v>0</v>
      </c>
      <c r="Z1256" s="13">
        <v>0</v>
      </c>
    </row>
    <row r="1257" spans="1:26" x14ac:dyDescent="0.2">
      <c r="A1257" s="1">
        <v>1255</v>
      </c>
      <c r="B1257" s="2" t="s">
        <v>284</v>
      </c>
      <c r="C1257" s="60" t="str">
        <f>HYPERLINK(AA2 &amp; "/key/3dw_e91098bf-bf3e-4771-a955-4a5779ec8f29/rendering/00.obj", "3.01003662109")</f>
        <v>3.01003662109</v>
      </c>
      <c r="D1257" s="49" t="str">
        <f>HYPERLINK(AA2 &amp; "/key/3dw_e91098bf-bf3e-4771-a955-4a5779ec8f29/rendering/01.obj", "3.45691833496")</f>
        <v>3.45691833496</v>
      </c>
      <c r="E1257" s="33" t="str">
        <f>HYPERLINK(AA2 &amp; "/key/3dw_e91098bf-bf3e-4771-a955-4a5779ec8f29/rendering/02.obj", "2.55483520508")</f>
        <v>2.55483520508</v>
      </c>
      <c r="F1257" s="83" t="str">
        <f>HYPERLINK(AA2 &amp; "/key/3dw_e91098bf-bf3e-4771-a955-4a5779ec8f29/rendering/03.obj", "2.42644622803")</f>
        <v>2.42644622803</v>
      </c>
      <c r="G1257" s="80" t="str">
        <f>HYPERLINK(AA2 &amp; "/key/3dw_e91098bf-bf3e-4771-a955-4a5779ec8f29/rendering/04.obj", "2.43889099121")</f>
        <v>2.43889099121</v>
      </c>
      <c r="H1257" s="91" t="str">
        <f>HYPERLINK(AA2 &amp; "/key/3dw_e91098bf-bf3e-4771-a955-4a5779ec8f29/rendering/05.obj", "2.78989624023")</f>
        <v>2.78989624023</v>
      </c>
      <c r="I1257" s="8" t="str">
        <f>HYPERLINK(AA2 &amp; "/key/3dw_e91098bf-bf3e-4771-a955-4a5779ec8f29/rendering/06.obj", "2.45329467773")</f>
        <v>2.45329467773</v>
      </c>
      <c r="J1257" s="60" t="str">
        <f>HYPERLINK(AA2 &amp; "/key/3dw_e91098bf-bf3e-4771-a955-4a5779ec8f29/rendering/07.obj", "3.01466369629")</f>
        <v>3.01466369629</v>
      </c>
      <c r="K1257" s="51" t="str">
        <f>HYPERLINK(AA2 &amp; "/key/3dw_e91098bf-bf3e-4771-a955-4a5779ec8f29/rendering/08.obj", "2.63125823975")</f>
        <v>2.63125823975</v>
      </c>
      <c r="L1257" s="21" t="str">
        <f>HYPERLINK(AA2 &amp; "/key/3dw_e91098bf-bf3e-4771-a955-4a5779ec8f29/rendering/09.obj", "4.44350830078")</f>
        <v>4.44350830078</v>
      </c>
      <c r="M1257" s="78" t="str">
        <f>HYPERLINK(AA2 &amp; "/key/3dw_e91098bf-bf3e-4771-a955-4a5779ec8f29/rendering/10.obj", "2.6889465332")</f>
        <v>2.6889465332</v>
      </c>
      <c r="N1257" s="84" t="str">
        <f>HYPERLINK(AA2 &amp; "/key/3dw_e91098bf-bf3e-4771-a955-4a5779ec8f29/rendering/11.obj", "2.44499176025")</f>
        <v>2.44499176025</v>
      </c>
      <c r="O1257" s="17" t="str">
        <f>HYPERLINK(AA2 &amp; "/key/3dw_e91098bf-bf3e-4771-a955-4a5779ec8f29/rendering/12.obj", "2.92043609619")</f>
        <v>2.92043609619</v>
      </c>
      <c r="P1257" s="94" t="str">
        <f>HYPERLINK(AA2 &amp; "/key/3dw_e91098bf-bf3e-4771-a955-4a5779ec8f29/rendering/13.obj", "2.65189819336")</f>
        <v>2.65189819336</v>
      </c>
      <c r="Q1257" s="246" t="str">
        <f>HYPERLINK(AA2 &amp; "/key/3dw_e91098bf-bf3e-4771-a955-4a5779ec8f29/rendering/14.obj", "4.61044372559")</f>
        <v>4.61044372559</v>
      </c>
      <c r="R1257" s="110" t="str">
        <f>HYPERLINK(AA2 &amp; "/key/3dw_e91098bf-bf3e-4771-a955-4a5779ec8f29/rendering/15.obj", "2.58294128418")</f>
        <v>2.58294128418</v>
      </c>
      <c r="S1257" s="28" t="str">
        <f>HYPERLINK(AA2 &amp; "/key/3dw_e91098bf-bf3e-4771-a955-4a5779ec8f29/rendering/16.obj", "2.54497314453")</f>
        <v>2.54497314453</v>
      </c>
      <c r="T1257" s="5" t="str">
        <f>HYPERLINK(AA2 &amp; "/key/3dw_e91098bf-bf3e-4771-a955-4a5779ec8f29/rendering/17.obj", "2.64441650391")</f>
        <v>2.64441650391</v>
      </c>
      <c r="U1257" s="70" t="str">
        <f>HYPERLINK(AA2 &amp; "/key/3dw_e91098bf-bf3e-4771-a955-4a5779ec8f29/rendering/18.obj", "2.50087219238")</f>
        <v>2.50087219238</v>
      </c>
      <c r="V1257" s="80" t="str">
        <f>HYPERLINK(AA2 &amp; "/key/3dw_e91098bf-bf3e-4771-a955-4a5779ec8f29/rendering/19.obj", "2.43423431396")</f>
        <v>2.43423431396</v>
      </c>
      <c r="W1257" s="12" t="s">
        <v>29</v>
      </c>
      <c r="X1257" s="13">
        <v>2.862195114135742</v>
      </c>
      <c r="Y1257" s="13">
        <v>0.60977255717986811</v>
      </c>
      <c r="Z1257" s="120">
        <v>0.21304367202932381</v>
      </c>
    </row>
    <row r="1258" spans="1:26" x14ac:dyDescent="0.2">
      <c r="A1258" s="1">
        <v>1256</v>
      </c>
      <c r="B1258" s="2" t="s">
        <v>284</v>
      </c>
      <c r="C1258" s="140" t="str">
        <f>HYPERLINK(AA2 &amp; "/key/3dw_e91098bf-bf3e-4771-a955-4a5779ec8f29/rendering/00.obj", "5.13930892944")</f>
        <v>5.13930892944</v>
      </c>
      <c r="D1258" s="20" t="str">
        <f>HYPERLINK(AA2 &amp; "/key/3dw_e91098bf-bf3e-4771-a955-4a5779ec8f29/rendering/01.obj", "8.52276325226")</f>
        <v>8.52276325226</v>
      </c>
      <c r="E1258" s="179" t="str">
        <f>HYPERLINK(AA2 &amp; "/key/3dw_e91098bf-bf3e-4771-a955-4a5779ec8f29/rendering/02.obj", "2.17656636238")</f>
        <v>2.17656636238</v>
      </c>
      <c r="F1258" s="105" t="str">
        <f>HYPERLINK(AA2 &amp; "/key/3dw_e91098bf-bf3e-4771-a955-4a5779ec8f29/rendering/03.obj", "1.85770988464")</f>
        <v>1.85770988464</v>
      </c>
      <c r="G1258" s="101" t="str">
        <f>HYPERLINK(AA2 &amp; "/key/3dw_e91098bf-bf3e-4771-a955-4a5779ec8f29/rendering/04.obj", "2.37600922585")</f>
        <v>2.37600922585</v>
      </c>
      <c r="H1258" s="15" t="str">
        <f>HYPERLINK(AA2 &amp; "/key/3dw_e91098bf-bf3e-4771-a955-4a5779ec8f29/rendering/05.obj", "1.87872231007")</f>
        <v>1.87872231007</v>
      </c>
      <c r="I1258" s="191" t="str">
        <f>HYPERLINK(AA2 &amp; "/key/3dw_e91098bf-bf3e-4771-a955-4a5779ec8f29/rendering/06.obj", "2.08503746986")</f>
        <v>2.08503746986</v>
      </c>
      <c r="J1258" s="168" t="str">
        <f>HYPERLINK(AA2 &amp; "/key/3dw_e91098bf-bf3e-4771-a955-4a5779ec8f29/rendering/07.obj", "5.03948450089")</f>
        <v>5.03948450089</v>
      </c>
      <c r="K1258" s="227" t="str">
        <f>HYPERLINK(AA2 &amp; "/key/3dw_e91098bf-bf3e-4771-a955-4a5779ec8f29/rendering/08.obj", "1.86878097057")</f>
        <v>1.86878097057</v>
      </c>
      <c r="L1258" s="45" t="str">
        <f>HYPERLINK(AA2 &amp; "/key/3dw_e91098bf-bf3e-4771-a955-4a5779ec8f29/rendering/09.obj", "6.34740400314")</f>
        <v>6.34740400314</v>
      </c>
      <c r="M1258" s="198" t="str">
        <f>HYPERLINK(AA2 &amp; "/key/3dw_e91098bf-bf3e-4771-a955-4a5779ec8f29/rendering/10.obj", "2.33291649818")</f>
        <v>2.33291649818</v>
      </c>
      <c r="N1258" s="8" t="str">
        <f>HYPERLINK(AA2 &amp; "/key/3dw_e91098bf-bf3e-4771-a955-4a5779ec8f29/rendering/11.obj", "3.27490758896")</f>
        <v>3.27490758896</v>
      </c>
      <c r="O1258" s="181" t="str">
        <f>HYPERLINK(AA2 &amp; "/key/3dw_e91098bf-bf3e-4771-a955-4a5779ec8f29/rendering/12.obj", "2.12679886818")</f>
        <v>2.12679886818</v>
      </c>
      <c r="P1258" s="131" t="str">
        <f>HYPERLINK(AA2 &amp; "/key/3dw_e91098bf-bf3e-4771-a955-4a5779ec8f29/rendering/13.obj", "2.04883933067")</f>
        <v>2.04883933067</v>
      </c>
      <c r="Q1258" s="20" t="str">
        <f>HYPERLINK(AA2 &amp; "/key/3dw_e91098bf-bf3e-4771-a955-4a5779ec8f29/rendering/14.obj", "19.9819602966")</f>
        <v>19.9819602966</v>
      </c>
      <c r="R1258" s="195" t="str">
        <f>HYPERLINK(AA2 &amp; "/key/3dw_e91098bf-bf3e-4771-a955-4a5779ec8f29/rendering/15.obj", "1.73119544983")</f>
        <v>1.73119544983</v>
      </c>
      <c r="S1258" s="213" t="str">
        <f>HYPERLINK(AA2 &amp; "/key/3dw_e91098bf-bf3e-4771-a955-4a5779ec8f29/rendering/16.obj", "1.93407988548")</f>
        <v>1.93407988548</v>
      </c>
      <c r="T1258" s="141" t="str">
        <f>HYPERLINK(AA2 &amp; "/key/3dw_e91098bf-bf3e-4771-a955-4a5779ec8f29/rendering/17.obj", "1.71435499191")</f>
        <v>1.71435499191</v>
      </c>
      <c r="U1258" s="177" t="str">
        <f>HYPERLINK(AA2 &amp; "/key/3dw_e91098bf-bf3e-4771-a955-4a5779ec8f29/rendering/18.obj", "1.77767395973")</f>
        <v>1.77767395973</v>
      </c>
      <c r="V1258" s="191" t="str">
        <f>HYPERLINK(AA2 &amp; "/key/3dw_e91098bf-bf3e-4771-a955-4a5779ec8f29/rendering/19.obj", "2.08976507187")</f>
        <v>2.08976507187</v>
      </c>
      <c r="W1258" s="12" t="s">
        <v>30</v>
      </c>
      <c r="X1258" s="13">
        <v>3.8152139425277709</v>
      </c>
      <c r="Y1258" s="13">
        <v>4.1242774020731394</v>
      </c>
      <c r="Z1258" s="20">
        <v>1.081008159490159</v>
      </c>
    </row>
    <row r="1259" spans="1:26" x14ac:dyDescent="0.2">
      <c r="A1259" s="1">
        <v>1257</v>
      </c>
      <c r="B1259" s="2" t="s">
        <v>284</v>
      </c>
      <c r="C1259" s="70" t="str">
        <f>HYPERLINK(AB2 &amp; "/key/3dw_e91098bf-bf3e-4771-a955-4a5779ec8f29/rendering/00.obj", "2.82980194092")</f>
        <v>2.82980194092</v>
      </c>
      <c r="D1259" s="63" t="str">
        <f>HYPERLINK(AB2 &amp; "/key/3dw_e91098bf-bf3e-4771-a955-4a5779ec8f29/rendering/01.obj", "2.20442565918")</f>
        <v>2.20442565918</v>
      </c>
      <c r="E1259" s="110" t="str">
        <f>HYPERLINK(AB2 &amp; "/key/3dw_e91098bf-bf3e-4771-a955-4a5779ec8f29/rendering/02.obj", "2.75655944824")</f>
        <v>2.75655944824</v>
      </c>
      <c r="F1259" s="32" t="str">
        <f>HYPERLINK(AB2 &amp; "/key/3dw_e91098bf-bf3e-4771-a955-4a5779ec8f29/rendering/03.obj", "2.24234619141")</f>
        <v>2.24234619141</v>
      </c>
      <c r="G1259" s="71" t="str">
        <f>HYPERLINK(AB2 &amp; "/key/3dw_e91098bf-bf3e-4771-a955-4a5779ec8f29/rendering/04.obj", "2.80328735352")</f>
        <v>2.80328735352</v>
      </c>
      <c r="H1259" s="23" t="str">
        <f>HYPERLINK(AB2 &amp; "/key/3dw_e91098bf-bf3e-4771-a955-4a5779ec8f29/rendering/05.obj", "2.60383605957")</f>
        <v>2.60383605957</v>
      </c>
      <c r="I1259" s="25" t="str">
        <f>HYPERLINK(AB2 &amp; "/key/3dw_e91098bf-bf3e-4771-a955-4a5779ec8f29/rendering/06.obj", "2.53742599487")</f>
        <v>2.53742599487</v>
      </c>
      <c r="J1259" s="90" t="str">
        <f>HYPERLINK(AB2 &amp; "/key/3dw_e91098bf-bf3e-4771-a955-4a5779ec8f29/rendering/07.obj", "2.74642944336")</f>
        <v>2.74642944336</v>
      </c>
      <c r="K1259" s="41" t="str">
        <f>HYPERLINK(AB2 &amp; "/key/3dw_e91098bf-bf3e-4771-a955-4a5779ec8f29/rendering/08.obj", "2.33717681885")</f>
        <v>2.33717681885</v>
      </c>
      <c r="L1259" s="30" t="str">
        <f>HYPERLINK(AB2 &amp; "/key/3dw_e91098bf-bf3e-4771-a955-4a5779ec8f29/rendering/09.obj", "2.49890335083")</f>
        <v>2.49890335083</v>
      </c>
      <c r="M1259" s="63" t="str">
        <f>HYPERLINK(AB2 &amp; "/key/3dw_e91098bf-bf3e-4771-a955-4a5779ec8f29/rendering/10.obj", "2.81085632324")</f>
        <v>2.81085632324</v>
      </c>
      <c r="N1259" s="41" t="str">
        <f>HYPERLINK(AB2 &amp; "/key/3dw_e91098bf-bf3e-4771-a955-4a5779ec8f29/rendering/11.obj", "2.67880187988")</f>
        <v>2.67880187988</v>
      </c>
      <c r="O1259" s="47" t="str">
        <f>HYPERLINK(AB2 &amp; "/key/3dw_e91098bf-bf3e-4771-a955-4a5779ec8f29/rendering/12.obj", "2.52767791748")</f>
        <v>2.52767791748</v>
      </c>
      <c r="P1259" s="33" t="str">
        <f>HYPERLINK(AB2 &amp; "/key/3dw_e91098bf-bf3e-4771-a955-4a5779ec8f29/rendering/13.obj", "2.23617599487")</f>
        <v>2.23617599487</v>
      </c>
      <c r="Q1259" s="175" t="str">
        <f>HYPERLINK(AB2 &amp; "/key/3dw_e91098bf-bf3e-4771-a955-4a5779ec8f29/rendering/14.obj", "1.91893310547")</f>
        <v>1.91893310547</v>
      </c>
      <c r="R1259" s="10" t="str">
        <f>HYPERLINK(AB2 &amp; "/key/3dw_e91098bf-bf3e-4771-a955-4a5779ec8f29/rendering/15.obj", "2.3672958374")</f>
        <v>2.3672958374</v>
      </c>
      <c r="S1259" s="27" t="str">
        <f>HYPERLINK(AB2 &amp; "/key/3dw_e91098bf-bf3e-4771-a955-4a5779ec8f29/rendering/16.obj", "2.32823760986")</f>
        <v>2.32823760986</v>
      </c>
      <c r="T1259" s="10" t="str">
        <f>HYPERLINK(AB2 &amp; "/key/3dw_e91098bf-bf3e-4771-a955-4a5779ec8f29/rendering/17.obj", "2.64266784668")</f>
        <v>2.64266784668</v>
      </c>
      <c r="U1259" s="33" t="str">
        <f>HYPERLINK(AB2 &amp; "/key/3dw_e91098bf-bf3e-4771-a955-4a5779ec8f29/rendering/18.obj", "2.23990570068")</f>
        <v>2.23990570068</v>
      </c>
      <c r="V1259" s="65" t="str">
        <f>HYPERLINK(AB2 &amp; "/key/3dw_e91098bf-bf3e-4771-a955-4a5779ec8f29/rendering/19.obj", "2.83791168213")</f>
        <v>2.83791168213</v>
      </c>
      <c r="W1259" s="12" t="s">
        <v>31</v>
      </c>
      <c r="X1259" s="13">
        <v>2.5074328079223629</v>
      </c>
      <c r="Y1259" s="13">
        <v>0.25539700260468029</v>
      </c>
      <c r="Z1259" s="133">
        <v>0.1018559706955019</v>
      </c>
    </row>
    <row r="1260" spans="1:26" x14ac:dyDescent="0.2">
      <c r="A1260" s="1">
        <v>1258</v>
      </c>
      <c r="B1260" s="2" t="s">
        <v>284</v>
      </c>
      <c r="C1260" s="11" t="str">
        <f>HYPERLINK(AB2 &amp; "/key/3dw_e91098bf-bf3e-4771-a955-4a5779ec8f29/rendering/00.obj", "2.20090436935")</f>
        <v>2.20090436935</v>
      </c>
      <c r="D1260" s="5" t="str">
        <f>HYPERLINK(AB2 &amp; "/key/3dw_e91098bf-bf3e-4771-a955-4a5779ec8f29/rendering/01.obj", "1.65682911873")</f>
        <v>1.65682911873</v>
      </c>
      <c r="E1260" s="76" t="str">
        <f>HYPERLINK(AB2 &amp; "/key/3dw_e91098bf-bf3e-4771-a955-4a5779ec8f29/rendering/02.obj", "1.46919727325")</f>
        <v>1.46919727325</v>
      </c>
      <c r="F1260" s="36" t="str">
        <f>HYPERLINK(AB2 &amp; "/key/3dw_e91098bf-bf3e-4771-a955-4a5779ec8f29/rendering/03.obj", "2.18407201767")</f>
        <v>2.18407201767</v>
      </c>
      <c r="G1260" s="77" t="str">
        <f>HYPERLINK(AB2 &amp; "/key/3dw_e91098bf-bf3e-4771-a955-4a5779ec8f29/rendering/04.obj", "2.1331384182")</f>
        <v>2.1331384182</v>
      </c>
      <c r="H1260" s="91" t="str">
        <f>HYPERLINK(AB2 &amp; "/key/3dw_e91098bf-bf3e-4771-a955-4a5779ec8f29/rendering/05.obj", "1.84507453442")</f>
        <v>1.84507453442</v>
      </c>
      <c r="I1260" s="69" t="str">
        <f>HYPERLINK(AB2 &amp; "/key/3dw_e91098bf-bf3e-4771-a955-4a5779ec8f29/rendering/06.obj", "1.74412083626")</f>
        <v>1.74412083626</v>
      </c>
      <c r="J1260" s="75" t="str">
        <f>HYPERLINK(AB2 &amp; "/key/3dw_e91098bf-bf3e-4771-a955-4a5779ec8f29/rendering/07.obj", "1.39894413948")</f>
        <v>1.39894413948</v>
      </c>
      <c r="K1260" s="80" t="str">
        <f>HYPERLINK(AB2 &amp; "/key/3dw_e91098bf-bf3e-4771-a955-4a5779ec8f29/rendering/08.obj", "1.52868616581")</f>
        <v>1.52868616581</v>
      </c>
      <c r="L1260" s="42" t="str">
        <f>HYPERLINK(AB2 &amp; "/key/3dw_e91098bf-bf3e-4771-a955-4a5779ec8f29/rendering/09.obj", "1.55190432072")</f>
        <v>1.55190432072</v>
      </c>
      <c r="M1260" s="8" t="str">
        <f>HYPERLINK(AB2 &amp; "/key/3dw_e91098bf-bf3e-4771-a955-4a5779ec8f29/rendering/10.obj", "1.54308605194")</f>
        <v>1.54308605194</v>
      </c>
      <c r="N1260" s="19" t="str">
        <f>HYPERLINK(AB2 &amp; "/key/3dw_e91098bf-bf3e-4771-a955-4a5779ec8f29/rendering/11.obj", "2.26589512825")</f>
        <v>2.26589512825</v>
      </c>
      <c r="O1260" s="69" t="str">
        <f>HYPERLINK(AB2 &amp; "/key/3dw_e91098bf-bf3e-4771-a955-4a5779ec8f29/rendering/12.obj", "1.74269139767")</f>
        <v>1.74269139767</v>
      </c>
      <c r="P1260" s="133" t="str">
        <f>HYPERLINK(AB2 &amp; "/key/3dw_e91098bf-bf3e-4771-a955-4a5779ec8f29/rendering/13.obj", "1.61600899696")</f>
        <v>1.61600899696</v>
      </c>
      <c r="Q1260" s="71" t="str">
        <f>HYPERLINK(AB2 &amp; "/key/3dw_e91098bf-bf3e-4771-a955-4a5779ec8f29/rendering/14.obj", "2.00788593292")</f>
        <v>2.00788593292</v>
      </c>
      <c r="R1260" s="51" t="str">
        <f>HYPERLINK(AB2 &amp; "/key/3dw_e91098bf-bf3e-4771-a955-4a5779ec8f29/rendering/15.obj", "1.65334820747")</f>
        <v>1.65334820747</v>
      </c>
      <c r="S1260" s="30" t="str">
        <f>HYPERLINK(AB2 &amp; "/key/3dw_e91098bf-bf3e-4771-a955-4a5779ec8f29/rendering/16.obj", "1.80789232254")</f>
        <v>1.80789232254</v>
      </c>
      <c r="T1260" s="34" t="str">
        <f>HYPERLINK(AB2 &amp; "/key/3dw_e91098bf-bf3e-4771-a955-4a5779ec8f29/rendering/17.obj", "1.88717961311")</f>
        <v>1.88717961311</v>
      </c>
      <c r="U1260" s="39" t="str">
        <f>HYPERLINK(AB2 &amp; "/key/3dw_e91098bf-bf3e-4771-a955-4a5779ec8f29/rendering/18.obj", "1.63958930969")</f>
        <v>1.63958930969</v>
      </c>
      <c r="V1260" s="83" t="str">
        <f>HYPERLINK(AB2 &amp; "/key/3dw_e91098bf-bf3e-4771-a955-4a5779ec8f29/rendering/19.obj", "2.07101488113")</f>
        <v>2.07101488113</v>
      </c>
      <c r="W1260" s="12" t="s">
        <v>32</v>
      </c>
      <c r="X1260" s="13">
        <v>1.7973731517791749</v>
      </c>
      <c r="Y1260" s="13">
        <v>0.25903053717098262</v>
      </c>
      <c r="Z1260" s="8">
        <v>0.14411617137742089</v>
      </c>
    </row>
    <row r="1261" spans="1:26" x14ac:dyDescent="0.2">
      <c r="A1261" s="1">
        <v>1259</v>
      </c>
      <c r="B1261" s="2" t="s">
        <v>284</v>
      </c>
      <c r="C1261" s="13" t="str">
        <f>HYPERLINK(AC2 &amp; "/key/3dw_e91098bf-bf3e-4771-a955-4a5779ec8f29/rendering/00.xyz", "0.0")</f>
        <v>0.0</v>
      </c>
      <c r="D1261" s="13" t="str">
        <f>HYPERLINK(AC2 &amp; "/key/3dw_e91098bf-bf3e-4771-a955-4a5779ec8f29/rendering/01.xyz", "0.0")</f>
        <v>0.0</v>
      </c>
      <c r="E1261" s="13" t="str">
        <f>HYPERLINK(AC2 &amp; "/key/3dw_e91098bf-bf3e-4771-a955-4a5779ec8f29/rendering/02.xyz", "0.0")</f>
        <v>0.0</v>
      </c>
      <c r="F1261" s="13" t="str">
        <f>HYPERLINK(AC2 &amp; "/key/3dw_e91098bf-bf3e-4771-a955-4a5779ec8f29/rendering/03.xyz", "0.0")</f>
        <v>0.0</v>
      </c>
      <c r="G1261" s="13" t="str">
        <f>HYPERLINK(AC2 &amp; "/key/3dw_e91098bf-bf3e-4771-a955-4a5779ec8f29/rendering/04.xyz", "0.0")</f>
        <v>0.0</v>
      </c>
      <c r="H1261" s="13" t="str">
        <f>HYPERLINK(AC2 &amp; "/key/3dw_e91098bf-bf3e-4771-a955-4a5779ec8f29/rendering/05.xyz", "0.0")</f>
        <v>0.0</v>
      </c>
      <c r="I1261" s="13" t="str">
        <f>HYPERLINK(AC2 &amp; "/key/3dw_e91098bf-bf3e-4771-a955-4a5779ec8f29/rendering/06.xyz", "0.0")</f>
        <v>0.0</v>
      </c>
      <c r="J1261" s="13" t="str">
        <f>HYPERLINK(AC2 &amp; "/key/3dw_e91098bf-bf3e-4771-a955-4a5779ec8f29/rendering/07.xyz", "0.0")</f>
        <v>0.0</v>
      </c>
      <c r="K1261" s="13" t="str">
        <f>HYPERLINK(AC2 &amp; "/key/3dw_e91098bf-bf3e-4771-a955-4a5779ec8f29/rendering/08.xyz", "0.0")</f>
        <v>0.0</v>
      </c>
      <c r="L1261" s="13" t="str">
        <f>HYPERLINK(AC2 &amp; "/key/3dw_e91098bf-bf3e-4771-a955-4a5779ec8f29/rendering/09.xyz", "0.0")</f>
        <v>0.0</v>
      </c>
      <c r="M1261" s="13" t="str">
        <f>HYPERLINK(AC2 &amp; "/key/3dw_e91098bf-bf3e-4771-a955-4a5779ec8f29/rendering/10.xyz", "0.0")</f>
        <v>0.0</v>
      </c>
      <c r="N1261" s="13" t="str">
        <f>HYPERLINK(AC2 &amp; "/key/3dw_e91098bf-bf3e-4771-a955-4a5779ec8f29/rendering/11.xyz", "0.0")</f>
        <v>0.0</v>
      </c>
      <c r="O1261" s="13" t="str">
        <f>HYPERLINK(AC2 &amp; "/key/3dw_e91098bf-bf3e-4771-a955-4a5779ec8f29/rendering/12.xyz", "0.0")</f>
        <v>0.0</v>
      </c>
      <c r="P1261" s="13" t="str">
        <f>HYPERLINK(AC2 &amp; "/key/3dw_e91098bf-bf3e-4771-a955-4a5779ec8f29/rendering/13.xyz", "0.0")</f>
        <v>0.0</v>
      </c>
      <c r="Q1261" s="13" t="str">
        <f>HYPERLINK(AC2 &amp; "/key/3dw_e91098bf-bf3e-4771-a955-4a5779ec8f29/rendering/14.xyz", "0.0")</f>
        <v>0.0</v>
      </c>
      <c r="R1261" s="13" t="str">
        <f>HYPERLINK(AC2 &amp; "/key/3dw_e91098bf-bf3e-4771-a955-4a5779ec8f29/rendering/15.xyz", "0.0")</f>
        <v>0.0</v>
      </c>
      <c r="S1261" s="13" t="str">
        <f>HYPERLINK(AC2 &amp; "/key/3dw_e91098bf-bf3e-4771-a955-4a5779ec8f29/rendering/16.xyz", "0.0")</f>
        <v>0.0</v>
      </c>
      <c r="T1261" s="13" t="str">
        <f>HYPERLINK(AC2 &amp; "/key/3dw_e91098bf-bf3e-4771-a955-4a5779ec8f29/rendering/17.xyz", "0.0")</f>
        <v>0.0</v>
      </c>
      <c r="U1261" s="13" t="str">
        <f>HYPERLINK(AC2 &amp; "/key/3dw_e91098bf-bf3e-4771-a955-4a5779ec8f29/rendering/18.xyz", "0.0")</f>
        <v>0.0</v>
      </c>
      <c r="V1261" s="13" t="str">
        <f>HYPERLINK(AC2 &amp; "/key/3dw_e91098bf-bf3e-4771-a955-4a5779ec8f29/rendering/19.xyz", "0.0")</f>
        <v>0.0</v>
      </c>
      <c r="W1261" s="12" t="s">
        <v>33</v>
      </c>
      <c r="X1261" s="13">
        <v>0</v>
      </c>
      <c r="Y1261" s="13">
        <v>0</v>
      </c>
      <c r="Z1261" s="13">
        <v>0</v>
      </c>
    </row>
    <row r="1262" spans="1:26" x14ac:dyDescent="0.2">
      <c r="A1262" s="1">
        <v>1260</v>
      </c>
      <c r="B1262" s="2" t="s">
        <v>285</v>
      </c>
      <c r="C1262" s="27" t="str">
        <f>HYPERLINK(AA2 &amp; "/key/3dw_ef06d62e-07a5-4337-8a38-d15fa904d188/rendering/00.obj", "1.66050231934")</f>
        <v>1.66050231934</v>
      </c>
      <c r="D1262" s="33" t="str">
        <f>HYPERLINK(AA2 &amp; "/key/3dw_ef06d62e-07a5-4337-8a38-d15fa904d188/rendering/01.obj", "1.97874450684")</f>
        <v>1.97874450684</v>
      </c>
      <c r="E1262" s="230" t="str">
        <f>HYPERLINK(AA2 &amp; "/key/3dw_ef06d62e-07a5-4337-8a38-d15fa904d188/rendering/02.obj", "2.6016607666")</f>
        <v>2.6016607666</v>
      </c>
      <c r="F1262" s="169" t="str">
        <f>HYPERLINK(AA2 &amp; "/key/3dw_ef06d62e-07a5-4337-8a38-d15fa904d188/rendering/03.obj", "2.34600280762")</f>
        <v>2.34600280762</v>
      </c>
      <c r="G1262" s="134" t="str">
        <f>HYPERLINK(AA2 &amp; "/key/3dw_ef06d62e-07a5-4337-8a38-d15fa904d188/rendering/04.obj", "1.466796875")</f>
        <v>1.466796875</v>
      </c>
      <c r="H1262" s="215" t="str">
        <f>HYPERLINK(AA2 &amp; "/key/3dw_ef06d62e-07a5-4337-8a38-d15fa904d188/rendering/05.obj", "2.98518341064")</f>
        <v>2.98518341064</v>
      </c>
      <c r="I1262" s="35" t="str">
        <f>HYPERLINK(AA2 &amp; "/key/3dw_ef06d62e-07a5-4337-8a38-d15fa904d188/rendering/06.obj", "1.68458572388")</f>
        <v>1.68458572388</v>
      </c>
      <c r="J1262" s="90" t="str">
        <f>HYPERLINK(AA2 &amp; "/key/3dw_ef06d62e-07a5-4337-8a38-d15fa904d188/rendering/07.obj", "1.95849182129")</f>
        <v>1.95849182129</v>
      </c>
      <c r="K1262" s="99" t="str">
        <f>HYPERLINK(AA2 &amp; "/key/3dw_ef06d62e-07a5-4337-8a38-d15fa904d188/rendering/08.obj", "1.30387695313")</f>
        <v>1.30387695313</v>
      </c>
      <c r="L1262" s="76" t="str">
        <f>HYPERLINK(AA2 &amp; "/key/3dw_ef06d62e-07a5-4337-8a38-d15fa904d188/rendering/09.obj", "1.46004425049")</f>
        <v>1.46004425049</v>
      </c>
      <c r="M1262" s="73" t="str">
        <f>HYPERLINK(AA2 &amp; "/key/3dw_ef06d62e-07a5-4337-8a38-d15fa904d188/rendering/10.obj", "1.7240713501")</f>
        <v>1.7240713501</v>
      </c>
      <c r="N1262" s="56" t="str">
        <f>HYPERLINK(AA2 &amp; "/key/3dw_ef06d62e-07a5-4337-8a38-d15fa904d188/rendering/11.obj", "1.23353424072")</f>
        <v>1.23353424072</v>
      </c>
      <c r="O1262" s="28" t="str">
        <f>HYPERLINK(AA2 &amp; "/key/3dw_ef06d62e-07a5-4337-8a38-d15fa904d188/rendering/12.obj", "1.98862014771")</f>
        <v>1.98862014771</v>
      </c>
      <c r="P1262" s="73" t="str">
        <f>HYPERLINK(AA2 &amp; "/key/3dw_ef06d62e-07a5-4337-8a38-d15fa904d188/rendering/13.obj", "1.72110794067")</f>
        <v>1.72110794067</v>
      </c>
      <c r="Q1262" s="92" t="str">
        <f>HYPERLINK(AA2 &amp; "/key/3dw_ef06d62e-07a5-4337-8a38-d15fa904d188/rendering/14.obj", "1.56340667725")</f>
        <v>1.56340667725</v>
      </c>
      <c r="R1262" s="23" t="str">
        <f>HYPERLINK(AA2 &amp; "/key/3dw_ef06d62e-07a5-4337-8a38-d15fa904d188/rendering/15.obj", "1.71939819336")</f>
        <v>1.71939819336</v>
      </c>
      <c r="S1262" s="63" t="str">
        <f>HYPERLINK(AA2 &amp; "/key/3dw_ef06d62e-07a5-4337-8a38-d15fa904d188/rendering/16.obj", "2.00058013916")</f>
        <v>2.00058013916</v>
      </c>
      <c r="T1262" s="7" t="str">
        <f>HYPERLINK(AA2 &amp; "/key/3dw_ef06d62e-07a5-4337-8a38-d15fa904d188/rendering/17.obj", "1.29195587158")</f>
        <v>1.29195587158</v>
      </c>
      <c r="U1262" s="84" t="str">
        <f>HYPERLINK(AA2 &amp; "/key/3dw_ef06d62e-07a5-4337-8a38-d15fa904d188/rendering/18.obj", "1.52865264893")</f>
        <v>1.52865264893</v>
      </c>
      <c r="V1262" s="84" t="str">
        <f>HYPERLINK(AA2 &amp; "/key/3dw_ef06d62e-07a5-4337-8a38-d15fa904d188/rendering/19.obj", "1.52394989014")</f>
        <v>1.52394989014</v>
      </c>
      <c r="W1262" s="12" t="s">
        <v>29</v>
      </c>
      <c r="X1262" s="13">
        <v>1.787058326721191</v>
      </c>
      <c r="Y1262" s="13">
        <v>0.43495793573124197</v>
      </c>
      <c r="Z1262" s="58">
        <v>0.2433932509238699</v>
      </c>
    </row>
    <row r="1263" spans="1:26" x14ac:dyDescent="0.2">
      <c r="A1263" s="1">
        <v>1261</v>
      </c>
      <c r="B1263" s="2" t="s">
        <v>285</v>
      </c>
      <c r="C1263" s="25" t="str">
        <f>HYPERLINK(AA2 &amp; "/key/3dw_ef06d62e-07a5-4337-8a38-d15fa904d188/rendering/00.obj", "2.34600877762")</f>
        <v>2.34600877762</v>
      </c>
      <c r="D1263" s="26" t="str">
        <f>HYPERLINK(AA2 &amp; "/key/3dw_ef06d62e-07a5-4337-8a38-d15fa904d188/rendering/01.obj", "2.52873587608")</f>
        <v>2.52873587608</v>
      </c>
      <c r="E1263" s="20" t="str">
        <f>HYPERLINK(AA2 &amp; "/key/3dw_ef06d62e-07a5-4337-8a38-d15fa904d188/rendering/02.obj", "5.41960477829")</f>
        <v>5.41960477829</v>
      </c>
      <c r="F1263" s="88" t="str">
        <f>HYPERLINK(AA2 &amp; "/key/3dw_ef06d62e-07a5-4337-8a38-d15fa904d188/rendering/03.obj", "2.85500383377")</f>
        <v>2.85500383377</v>
      </c>
      <c r="G1263" s="170" t="str">
        <f>HYPERLINK(AA2 &amp; "/key/3dw_ef06d62e-07a5-4337-8a38-d15fa904d188/rendering/04.obj", "1.77222514153")</f>
        <v>1.77222514153</v>
      </c>
      <c r="H1263" s="20" t="str">
        <f>HYPERLINK(AA2 &amp; "/key/3dw_ef06d62e-07a5-4337-8a38-d15fa904d188/rendering/05.obj", "6.39553976059")</f>
        <v>6.39553976059</v>
      </c>
      <c r="I1263" s="54" t="str">
        <f>HYPERLINK(AA2 &amp; "/key/3dw_ef06d62e-07a5-4337-8a38-d15fa904d188/rendering/06.obj", "1.59780371189")</f>
        <v>1.59780371189</v>
      </c>
      <c r="J1263" s="26" t="str">
        <f>HYPERLINK(AA2 &amp; "/key/3dw_ef06d62e-07a5-4337-8a38-d15fa904d188/rendering/07.obj", "2.52824187279")</f>
        <v>2.52824187279</v>
      </c>
      <c r="K1263" s="43" t="str">
        <f>HYPERLINK(AA2 &amp; "/key/3dw_ef06d62e-07a5-4337-8a38-d15fa904d188/rendering/08.obj", "1.4847124815")</f>
        <v>1.4847124815</v>
      </c>
      <c r="L1263" s="118" t="str">
        <f>HYPERLINK(AA2 &amp; "/key/3dw_ef06d62e-07a5-4337-8a38-d15fa904d188/rendering/09.obj", "1.6788135767")</f>
        <v>1.6788135767</v>
      </c>
      <c r="M1263" s="40" t="str">
        <f>HYPERLINK(AA2 &amp; "/key/3dw_ef06d62e-07a5-4337-8a38-d15fa904d188/rendering/10.obj", "1.96499800682")</f>
        <v>1.96499800682</v>
      </c>
      <c r="N1263" s="98" t="str">
        <f>HYPERLINK(AA2 &amp; "/key/3dw_ef06d62e-07a5-4337-8a38-d15fa904d188/rendering/11.obj", "1.82602155209")</f>
        <v>1.82602155209</v>
      </c>
      <c r="O1263" s="132" t="str">
        <f>HYPERLINK(AA2 &amp; "/key/3dw_ef06d62e-07a5-4337-8a38-d15fa904d188/rendering/12.obj", "3.36740159988")</f>
        <v>3.36740159988</v>
      </c>
      <c r="P1263" s="96" t="str">
        <f>HYPERLINK(AA2 &amp; "/key/3dw_ef06d62e-07a5-4337-8a38-d15fa904d188/rendering/13.obj", "1.51069784164")</f>
        <v>1.51069784164</v>
      </c>
      <c r="Q1263" s="182" t="str">
        <f>HYPERLINK(AA2 &amp; "/key/3dw_ef06d62e-07a5-4337-8a38-d15fa904d188/rendering/14.obj", "1.5805516243")</f>
        <v>1.5805516243</v>
      </c>
      <c r="R1263" s="123" t="str">
        <f>HYPERLINK(AA2 &amp; "/key/3dw_ef06d62e-07a5-4337-8a38-d15fa904d188/rendering/15.obj", "1.4973732233")</f>
        <v>1.4973732233</v>
      </c>
      <c r="S1263" s="35" t="str">
        <f>HYPERLINK(AA2 &amp; "/key/3dw_ef06d62e-07a5-4337-8a38-d15fa904d188/rendering/16.obj", "2.23178315163")</f>
        <v>2.23178315163</v>
      </c>
      <c r="T1263" s="152" t="str">
        <f>HYPERLINK(AA2 &amp; "/key/3dw_ef06d62e-07a5-4337-8a38-d15fa904d188/rendering/17.obj", "1.40598273277")</f>
        <v>1.40598273277</v>
      </c>
      <c r="U1263" s="89" t="str">
        <f>HYPERLINK(AA2 &amp; "/key/3dw_ef06d62e-07a5-4337-8a38-d15fa904d188/rendering/18.obj", "1.75843334198")</f>
        <v>1.75843334198</v>
      </c>
      <c r="V1263" s="95" t="str">
        <f>HYPERLINK(AA2 &amp; "/key/3dw_ef06d62e-07a5-4337-8a38-d15fa904d188/rendering/19.obj", "1.7083170414")</f>
        <v>1.7083170414</v>
      </c>
      <c r="W1263" s="12" t="s">
        <v>30</v>
      </c>
      <c r="X1263" s="13">
        <v>2.3729124963283539</v>
      </c>
      <c r="Y1263" s="13">
        <v>1.291203959145951</v>
      </c>
      <c r="Z1263" s="16">
        <v>0.54414309888959334</v>
      </c>
    </row>
    <row r="1264" spans="1:26" x14ac:dyDescent="0.2">
      <c r="A1264" s="1">
        <v>1262</v>
      </c>
      <c r="B1264" s="2" t="s">
        <v>285</v>
      </c>
      <c r="C1264" s="10" t="str">
        <f>HYPERLINK(AB2 &amp; "/key/3dw_ef06d62e-07a5-4337-8a38-d15fa904d188/rendering/00.obj", "1.43045578003")</f>
        <v>1.43045578003</v>
      </c>
      <c r="D1264" s="79" t="str">
        <f>HYPERLINK(AB2 &amp; "/key/3dw_ef06d62e-07a5-4337-8a38-d15fa904d188/rendering/01.obj", "1.75381607056")</f>
        <v>1.75381607056</v>
      </c>
      <c r="E1264" s="38" t="str">
        <f>HYPERLINK(AB2 &amp; "/key/3dw_ef06d62e-07a5-4337-8a38-d15fa904d188/rendering/02.obj", "1.38070709229")</f>
        <v>1.38070709229</v>
      </c>
      <c r="F1264" s="93" t="str">
        <f>HYPERLINK(AB2 &amp; "/key/3dw_ef06d62e-07a5-4337-8a38-d15fa904d188/rendering/03.obj", "1.30411621094")</f>
        <v>1.30411621094</v>
      </c>
      <c r="G1264" s="23" t="str">
        <f>HYPERLINK(AB2 &amp; "/key/3dw_ef06d62e-07a5-4337-8a38-d15fa904d188/rendering/04.obj", "1.57409484863")</f>
        <v>1.57409484863</v>
      </c>
      <c r="H1264" s="98" t="str">
        <f>HYPERLINK(AB2 &amp; "/key/3dw_ef06d62e-07a5-4337-8a38-d15fa904d188/rendering/05.obj", "1.86392410278")</f>
        <v>1.86392410278</v>
      </c>
      <c r="I1264" s="91" t="str">
        <f>HYPERLINK(AB2 &amp; "/key/3dw_ef06d62e-07a5-4337-8a38-d15fa904d188/rendering/06.obj", "1.47548019409")</f>
        <v>1.47548019409</v>
      </c>
      <c r="J1264" s="26" t="str">
        <f>HYPERLINK(AB2 &amp; "/key/3dw_ef06d62e-07a5-4337-8a38-d15fa904d188/rendering/07.obj", "1.61413009644")</f>
        <v>1.61413009644</v>
      </c>
      <c r="K1264" s="41" t="str">
        <f>HYPERLINK(AB2 &amp; "/key/3dw_ef06d62e-07a5-4337-8a38-d15fa904d188/rendering/08.obj", "1.41481002808")</f>
        <v>1.41481002808</v>
      </c>
      <c r="L1264" s="5" t="str">
        <f>HYPERLINK(AB2 &amp; "/key/3dw_ef06d62e-07a5-4337-8a38-d15fa904d188/rendering/09.obj", "1.39989456177")</f>
        <v>1.39989456177</v>
      </c>
      <c r="M1264" s="51" t="str">
        <f>HYPERLINK(AB2 &amp; "/key/3dw_ef06d62e-07a5-4337-8a38-d15fa904d188/rendering/10.obj", "1.39609222412")</f>
        <v>1.39609222412</v>
      </c>
      <c r="N1264" s="73" t="str">
        <f>HYPERLINK(AB2 &amp; "/key/3dw_ef06d62e-07a5-4337-8a38-d15fa904d188/rendering/11.obj", "1.46016906738")</f>
        <v>1.46016906738</v>
      </c>
      <c r="O1264" s="37" t="str">
        <f>HYPERLINK(AB2 &amp; "/key/3dw_ef06d62e-07a5-4337-8a38-d15fa904d188/rendering/12.obj", "1.25345222473")</f>
        <v>1.25345222473</v>
      </c>
      <c r="P1264" s="72" t="str">
        <f>HYPERLINK(AB2 &amp; "/key/3dw_ef06d62e-07a5-4337-8a38-d15fa904d188/rendering/13.obj", "1.56475540161")</f>
        <v>1.56475540161</v>
      </c>
      <c r="Q1264" s="6" t="str">
        <f>HYPERLINK(AB2 &amp; "/key/3dw_ef06d62e-07a5-4337-8a38-d15fa904d188/rendering/14.obj", "1.44563476562")</f>
        <v>1.44563476562</v>
      </c>
      <c r="R1264" s="40" t="str">
        <f>HYPERLINK(AB2 &amp; "/key/3dw_ef06d62e-07a5-4337-8a38-d15fa904d188/rendering/15.obj", "1.77536315918")</f>
        <v>1.77536315918</v>
      </c>
      <c r="S1264" s="17" t="str">
        <f>HYPERLINK(AB2 &amp; "/key/3dw_ef06d62e-07a5-4337-8a38-d15fa904d188/rendering/16.obj", "1.48619232178")</f>
        <v>1.48619232178</v>
      </c>
      <c r="T1264" s="30" t="str">
        <f>HYPERLINK(AB2 &amp; "/key/3dw_ef06d62e-07a5-4337-8a38-d15fa904d188/rendering/17.obj", "1.50823501587")</f>
        <v>1.50823501587</v>
      </c>
      <c r="U1264" s="68" t="str">
        <f>HYPERLINK(AB2 &amp; "/key/3dw_ef06d62e-07a5-4337-8a38-d15fa904d188/rendering/18.obj", "1.44976745605")</f>
        <v>1.44976745605</v>
      </c>
      <c r="V1264" s="31" t="str">
        <f>HYPERLINK(AB2 &amp; "/key/3dw_ef06d62e-07a5-4337-8a38-d15fa904d188/rendering/19.obj", "1.74824462891")</f>
        <v>1.74824462891</v>
      </c>
      <c r="W1264" s="12" t="s">
        <v>31</v>
      </c>
      <c r="X1264" s="13">
        <v>1.514966762542725</v>
      </c>
      <c r="Y1264" s="13">
        <v>0.15918013675621409</v>
      </c>
      <c r="Z1264" s="32">
        <v>0.105071702358041</v>
      </c>
    </row>
    <row r="1265" spans="1:26" x14ac:dyDescent="0.2">
      <c r="A1265" s="1">
        <v>1263</v>
      </c>
      <c r="B1265" s="2" t="s">
        <v>285</v>
      </c>
      <c r="C1265" s="38" t="str">
        <f>HYPERLINK(AB2 &amp; "/key/3dw_ef06d62e-07a5-4337-8a38-d15fa904d188/rendering/00.obj", "1.52829051018")</f>
        <v>1.52829051018</v>
      </c>
      <c r="D1265" s="107" t="str">
        <f>HYPERLINK(AB2 &amp; "/key/3dw_ef06d62e-07a5-4337-8a38-d15fa904d188/rendering/01.obj", "1.5200715065")</f>
        <v>1.5200715065</v>
      </c>
      <c r="E1265" s="47" t="str">
        <f>HYPERLINK(AB2 &amp; "/key/3dw_ef06d62e-07a5-4337-8a38-d15fa904d188/rendering/02.obj", "1.41534781456")</f>
        <v>1.41534781456</v>
      </c>
      <c r="F1265" s="78" t="str">
        <f>HYPERLINK(AB2 &amp; "/key/3dw_ef06d62e-07a5-4337-8a38-d15fa904d188/rendering/03.obj", "1.31735086441")</f>
        <v>1.31735086441</v>
      </c>
      <c r="G1265" s="74" t="str">
        <f>HYPERLINK(AB2 &amp; "/key/3dw_ef06d62e-07a5-4337-8a38-d15fa904d188/rendering/04.obj", "1.38468158245")</f>
        <v>1.38468158245</v>
      </c>
      <c r="H1265" s="7" t="str">
        <f>HYPERLINK(AB2 &amp; "/key/3dw_ef06d62e-07a5-4337-8a38-d15fa904d188/rendering/05.obj", "1.79114937782")</f>
        <v>1.79114937782</v>
      </c>
      <c r="I1265" s="39" t="str">
        <f>HYPERLINK(AB2 &amp; "/key/3dw_ef06d62e-07a5-4337-8a38-d15fa904d188/rendering/06.obj", "1.28162944317")</f>
        <v>1.28162944317</v>
      </c>
      <c r="J1265" s="73" t="str">
        <f>HYPERLINK(AB2 &amp; "/key/3dw_ef06d62e-07a5-4337-8a38-d15fa904d188/rendering/07.obj", "1.35326182842")</f>
        <v>1.35326182842</v>
      </c>
      <c r="K1265" s="90" t="str">
        <f>HYPERLINK(AB2 &amp; "/key/3dw_ef06d62e-07a5-4337-8a38-d15fa904d188/rendering/08.obj", "1.26985681057")</f>
        <v>1.26985681057</v>
      </c>
      <c r="L1265" s="23" t="str">
        <f>HYPERLINK(AB2 &amp; "/key/3dw_ef06d62e-07a5-4337-8a38-d15fa904d188/rendering/09.obj", "1.34566652775")</f>
        <v>1.34566652775</v>
      </c>
      <c r="M1265" s="94" t="str">
        <f>HYPERLINK(AB2 &amp; "/key/3dw_ef06d62e-07a5-4337-8a38-d15fa904d188/rendering/10.obj", "1.29817032814")</f>
        <v>1.29817032814</v>
      </c>
      <c r="N1265" s="41" t="str">
        <f>HYPERLINK(AB2 &amp; "/key/3dw_ef06d62e-07a5-4337-8a38-d15fa904d188/rendering/11.obj", "1.30882918835")</f>
        <v>1.30882918835</v>
      </c>
      <c r="O1265" s="17" t="str">
        <f>HYPERLINK(AB2 &amp; "/key/3dw_ef06d62e-07a5-4337-8a38-d15fa904d188/rendering/12.obj", "1.37461471558")</f>
        <v>1.37461471558</v>
      </c>
      <c r="P1265" s="23" t="str">
        <f>HYPERLINK(AB2 &amp; "/key/3dw_ef06d62e-07a5-4337-8a38-d15fa904d188/rendering/13.obj", "1.34648370743")</f>
        <v>1.34648370743</v>
      </c>
      <c r="Q1265" s="46" t="str">
        <f>HYPERLINK(AB2 &amp; "/key/3dw_ef06d62e-07a5-4337-8a38-d15fa904d188/rendering/14.obj", "1.37951540947")</f>
        <v>1.37951540947</v>
      </c>
      <c r="R1265" s="79" t="str">
        <f>HYPERLINK(AB2 &amp; "/key/3dw_ef06d62e-07a5-4337-8a38-d15fa904d188/rendering/15.obj", "1.62706780434")</f>
        <v>1.62706780434</v>
      </c>
      <c r="S1265" s="69" t="str">
        <f>HYPERLINK(AB2 &amp; "/key/3dw_ef06d62e-07a5-4337-8a38-d15fa904d188/rendering/16.obj", "1.36276054382")</f>
        <v>1.36276054382</v>
      </c>
      <c r="T1265" s="26" t="str">
        <f>HYPERLINK(AB2 &amp; "/key/3dw_ef06d62e-07a5-4337-8a38-d15fa904d188/rendering/17.obj", "1.31063258648")</f>
        <v>1.31063258648</v>
      </c>
      <c r="U1265" s="10" t="str">
        <f>HYPERLINK(AB2 &amp; "/key/3dw_ef06d62e-07a5-4337-8a38-d15fa904d188/rendering/18.obj", "1.32580900192")</f>
        <v>1.32580900192</v>
      </c>
      <c r="V1265" s="51" t="str">
        <f>HYPERLINK(AB2 &amp; "/key/3dw_ef06d62e-07a5-4337-8a38-d15fa904d188/rendering/19.obj", "1.51273155212")</f>
        <v>1.51273155212</v>
      </c>
      <c r="W1265" s="12" t="s">
        <v>32</v>
      </c>
      <c r="X1265" s="13">
        <v>1.4026960551738741</v>
      </c>
      <c r="Y1265" s="13">
        <v>0.1282321768594791</v>
      </c>
      <c r="Z1265" s="67">
        <v>9.1418362792489549E-2</v>
      </c>
    </row>
    <row r="1266" spans="1:26" x14ac:dyDescent="0.2">
      <c r="A1266" s="1">
        <v>1264</v>
      </c>
      <c r="B1266" s="2" t="s">
        <v>285</v>
      </c>
      <c r="C1266" s="13" t="str">
        <f>HYPERLINK(AC2 &amp; "/key/3dw_ef06d62e-07a5-4337-8a38-d15fa904d188/rendering/00.xyz", "0.0")</f>
        <v>0.0</v>
      </c>
      <c r="D1266" s="13" t="str">
        <f>HYPERLINK(AC2 &amp; "/key/3dw_ef06d62e-07a5-4337-8a38-d15fa904d188/rendering/01.xyz", "0.0")</f>
        <v>0.0</v>
      </c>
      <c r="E1266" s="13" t="str">
        <f>HYPERLINK(AC2 &amp; "/key/3dw_ef06d62e-07a5-4337-8a38-d15fa904d188/rendering/02.xyz", "0.0")</f>
        <v>0.0</v>
      </c>
      <c r="F1266" s="13" t="str">
        <f>HYPERLINK(AC2 &amp; "/key/3dw_ef06d62e-07a5-4337-8a38-d15fa904d188/rendering/03.xyz", "0.0")</f>
        <v>0.0</v>
      </c>
      <c r="G1266" s="13" t="str">
        <f>HYPERLINK(AC2 &amp; "/key/3dw_ef06d62e-07a5-4337-8a38-d15fa904d188/rendering/04.xyz", "0.0")</f>
        <v>0.0</v>
      </c>
      <c r="H1266" s="13" t="str">
        <f>HYPERLINK(AC2 &amp; "/key/3dw_ef06d62e-07a5-4337-8a38-d15fa904d188/rendering/05.xyz", "0.0")</f>
        <v>0.0</v>
      </c>
      <c r="I1266" s="13" t="str">
        <f>HYPERLINK(AC2 &amp; "/key/3dw_ef06d62e-07a5-4337-8a38-d15fa904d188/rendering/06.xyz", "0.0")</f>
        <v>0.0</v>
      </c>
      <c r="J1266" s="13" t="str">
        <f>HYPERLINK(AC2 &amp; "/key/3dw_ef06d62e-07a5-4337-8a38-d15fa904d188/rendering/07.xyz", "0.0")</f>
        <v>0.0</v>
      </c>
      <c r="K1266" s="13" t="str">
        <f>HYPERLINK(AC2 &amp; "/key/3dw_ef06d62e-07a5-4337-8a38-d15fa904d188/rendering/08.xyz", "0.0")</f>
        <v>0.0</v>
      </c>
      <c r="L1266" s="13" t="str">
        <f>HYPERLINK(AC2 &amp; "/key/3dw_ef06d62e-07a5-4337-8a38-d15fa904d188/rendering/09.xyz", "0.0")</f>
        <v>0.0</v>
      </c>
      <c r="M1266" s="13" t="str">
        <f>HYPERLINK(AC2 &amp; "/key/3dw_ef06d62e-07a5-4337-8a38-d15fa904d188/rendering/10.xyz", "0.0")</f>
        <v>0.0</v>
      </c>
      <c r="N1266" s="13" t="str">
        <f>HYPERLINK(AC2 &amp; "/key/3dw_ef06d62e-07a5-4337-8a38-d15fa904d188/rendering/11.xyz", "0.0")</f>
        <v>0.0</v>
      </c>
      <c r="O1266" s="13" t="str">
        <f>HYPERLINK(AC2 &amp; "/key/3dw_ef06d62e-07a5-4337-8a38-d15fa904d188/rendering/12.xyz", "0.0")</f>
        <v>0.0</v>
      </c>
      <c r="P1266" s="13" t="str">
        <f>HYPERLINK(AC2 &amp; "/key/3dw_ef06d62e-07a5-4337-8a38-d15fa904d188/rendering/13.xyz", "0.0")</f>
        <v>0.0</v>
      </c>
      <c r="Q1266" s="13" t="str">
        <f>HYPERLINK(AC2 &amp; "/key/3dw_ef06d62e-07a5-4337-8a38-d15fa904d188/rendering/14.xyz", "0.0")</f>
        <v>0.0</v>
      </c>
      <c r="R1266" s="13" t="str">
        <f>HYPERLINK(AC2 &amp; "/key/3dw_ef06d62e-07a5-4337-8a38-d15fa904d188/rendering/15.xyz", "0.0")</f>
        <v>0.0</v>
      </c>
      <c r="S1266" s="13" t="str">
        <f>HYPERLINK(AC2 &amp; "/key/3dw_ef06d62e-07a5-4337-8a38-d15fa904d188/rendering/16.xyz", "0.0")</f>
        <v>0.0</v>
      </c>
      <c r="T1266" s="13" t="str">
        <f>HYPERLINK(AC2 &amp; "/key/3dw_ef06d62e-07a5-4337-8a38-d15fa904d188/rendering/17.xyz", "0.0")</f>
        <v>0.0</v>
      </c>
      <c r="U1266" s="13" t="str">
        <f>HYPERLINK(AC2 &amp; "/key/3dw_ef06d62e-07a5-4337-8a38-d15fa904d188/rendering/18.xyz", "0.0")</f>
        <v>0.0</v>
      </c>
      <c r="V1266" s="13" t="str">
        <f>HYPERLINK(AC2 &amp; "/key/3dw_ef06d62e-07a5-4337-8a38-d15fa904d188/rendering/19.xyz", "0.0")</f>
        <v>0.0</v>
      </c>
      <c r="W1266" s="12" t="s">
        <v>33</v>
      </c>
      <c r="X1266" s="13">
        <v>0</v>
      </c>
      <c r="Y1266" s="13">
        <v>0</v>
      </c>
      <c r="Z1266" s="13">
        <v>0</v>
      </c>
    </row>
    <row r="1267" spans="1:26" x14ac:dyDescent="0.2">
      <c r="A1267" s="1">
        <v>1265</v>
      </c>
      <c r="B1267" s="2" t="s">
        <v>286</v>
      </c>
      <c r="C1267" s="26" t="str">
        <f>HYPERLINK(AA2 &amp; "/key/3dw_efc2e71d-ac26-4e51-b89e-90f4dc3cc609/rendering/00.obj", "6.21222167969")</f>
        <v>6.21222167969</v>
      </c>
      <c r="D1267" s="64" t="str">
        <f>HYPERLINK(AA2 &amp; "/key/3dw_efc2e71d-ac26-4e51-b89e-90f4dc3cc609/rendering/01.obj", "4.88393951416")</f>
        <v>4.88393951416</v>
      </c>
      <c r="E1267" s="17" t="str">
        <f>HYPERLINK(AA2 &amp; "/key/3dw_efc2e71d-ac26-4e51-b89e-90f4dc3cc609/rendering/02.obj", "5.72304138184")</f>
        <v>5.72304138184</v>
      </c>
      <c r="F1267" s="109" t="str">
        <f>HYPERLINK(AA2 &amp; "/key/3dw_efc2e71d-ac26-4e51-b89e-90f4dc3cc609/rendering/03.obj", "6.94775695801")</f>
        <v>6.94775695801</v>
      </c>
      <c r="G1267" s="78" t="str">
        <f>HYPERLINK(AA2 &amp; "/key/3dw_efc2e71d-ac26-4e51-b89e-90f4dc3cc609/rendering/04.obj", "5.48929992676")</f>
        <v>5.48929992676</v>
      </c>
      <c r="H1267" s="107" t="str">
        <f>HYPERLINK(AA2 &amp; "/key/3dw_efc2e71d-ac26-4e51-b89e-90f4dc3cc609/rendering/05.obj", "5.36254638672")</f>
        <v>5.36254638672</v>
      </c>
      <c r="I1267" s="38" t="str">
        <f>HYPERLINK(AA2 &amp; "/key/3dw_efc2e71d-ac26-4e51-b89e-90f4dc3cc609/rendering/06.obj", "5.3219152832")</f>
        <v>5.3219152832</v>
      </c>
      <c r="J1267" s="26" t="str">
        <f>HYPERLINK(AA2 &amp; "/key/3dw_efc2e71d-ac26-4e51-b89e-90f4dc3cc609/rendering/07.obj", "5.46526306152")</f>
        <v>5.46526306152</v>
      </c>
      <c r="K1267" s="60" t="str">
        <f>HYPERLINK(AA2 &amp; "/key/3dw_efc2e71d-ac26-4e51-b89e-90f4dc3cc609/rendering/08.obj", "5.53392333984")</f>
        <v>5.53392333984</v>
      </c>
      <c r="L1267" s="27" t="str">
        <f>HYPERLINK(AA2 &amp; "/key/3dw_efc2e71d-ac26-4e51-b89e-90f4dc3cc609/rendering/09.obj", "5.43612426758")</f>
        <v>5.43612426758</v>
      </c>
      <c r="M1267" s="74" t="str">
        <f>HYPERLINK(AA2 &amp; "/key/3dw_efc2e71d-ac26-4e51-b89e-90f4dc3cc609/rendering/10.obj", "5.91996704102")</f>
        <v>5.91996704102</v>
      </c>
      <c r="N1267" s="39" t="str">
        <f>HYPERLINK(AA2 &amp; "/key/3dw_efc2e71d-ac26-4e51-b89e-90f4dc3cc609/rendering/11.obj", "5.33706054688")</f>
        <v>5.33706054688</v>
      </c>
      <c r="O1267" s="92" t="str">
        <f>HYPERLINK(AA2 &amp; "/key/3dw_efc2e71d-ac26-4e51-b89e-90f4dc3cc609/rendering/12.obj", "6.56057373047")</f>
        <v>6.56057373047</v>
      </c>
      <c r="P1267" s="35" t="str">
        <f>HYPERLINK(AA2 &amp; "/key/3dw_efc2e71d-ac26-4e51-b89e-90f4dc3cc609/rendering/13.obj", "6.17790527344")</f>
        <v>6.17790527344</v>
      </c>
      <c r="Q1267" s="33" t="str">
        <f>HYPERLINK(AA2 &amp; "/key/3dw_efc2e71d-ac26-4e51-b89e-90f4dc3cc609/rendering/14.obj", "5.20156005859")</f>
        <v>5.20156005859</v>
      </c>
      <c r="R1267" s="50" t="str">
        <f>HYPERLINK(AA2 &amp; "/key/3dw_efc2e71d-ac26-4e51-b89e-90f4dc3cc609/rendering/15.obj", "6.9970324707")</f>
        <v>6.9970324707</v>
      </c>
      <c r="S1267" s="28" t="str">
        <f>HYPERLINK(AA2 &amp; "/key/3dw_efc2e71d-ac26-4e51-b89e-90f4dc3cc609/rendering/16.obj", "5.19562438965")</f>
        <v>5.19562438965</v>
      </c>
      <c r="T1267" s="47" t="str">
        <f>HYPERLINK(AA2 &amp; "/key/3dw_efc2e71d-ac26-4e51-b89e-90f4dc3cc609/rendering/17.obj", "5.7915802002")</f>
        <v>5.7915802002</v>
      </c>
      <c r="U1267" s="26" t="str">
        <f>HYPERLINK(AA2 &amp; "/key/3dw_efc2e71d-ac26-4e51-b89e-90f4dc3cc609/rendering/18.obj", "5.4645489502")</f>
        <v>5.4645489502</v>
      </c>
      <c r="V1267" s="138" t="str">
        <f>HYPERLINK(AA2 &amp; "/key/3dw_efc2e71d-ac26-4e51-b89e-90f4dc3cc609/rendering/19.obj", "7.81664916992")</f>
        <v>7.81664916992</v>
      </c>
      <c r="W1267" s="12" t="s">
        <v>29</v>
      </c>
      <c r="X1267" s="13">
        <v>5.8419266815185544</v>
      </c>
      <c r="Y1267" s="13">
        <v>0.72161868687613417</v>
      </c>
      <c r="Z1267" s="92">
        <v>0.123524091659527</v>
      </c>
    </row>
    <row r="1268" spans="1:26" x14ac:dyDescent="0.2">
      <c r="A1268" s="1">
        <v>1266</v>
      </c>
      <c r="B1268" s="2" t="s">
        <v>286</v>
      </c>
      <c r="C1268" s="20" t="str">
        <f>HYPERLINK(AA2 &amp; "/key/3dw_efc2e71d-ac26-4e51-b89e-90f4dc3cc609/rendering/00.obj", "7.88111639023")</f>
        <v>7.88111639023</v>
      </c>
      <c r="D1268" s="246" t="str">
        <f>HYPERLINK(AA2 &amp; "/key/3dw_efc2e71d-ac26-4e51-b89e-90f4dc3cc609/rendering/01.obj", "1.68859088421")</f>
        <v>1.68859088421</v>
      </c>
      <c r="E1268" s="250" t="str">
        <f>HYPERLINK(AA2 &amp; "/key/3dw_efc2e71d-ac26-4e51-b89e-90f4dc3cc609/rendering/02.obj", "1.36099696159")</f>
        <v>1.36099696159</v>
      </c>
      <c r="F1268" s="193" t="str">
        <f>HYPERLINK(AA2 &amp; "/key/3dw_efc2e71d-ac26-4e51-b89e-90f4dc3cc609/rendering/03.obj", "5.7679567337")</f>
        <v>5.7679567337</v>
      </c>
      <c r="G1268" s="31" t="str">
        <f>HYPERLINK(AA2 &amp; "/key/3dw_efc2e71d-ac26-4e51-b89e-90f4dc3cc609/rendering/04.obj", "5.01183843613")</f>
        <v>5.01183843613</v>
      </c>
      <c r="H1268" s="186" t="str">
        <f>HYPERLINK(AA2 &amp; "/key/3dw_efc2e71d-ac26-4e51-b89e-90f4dc3cc609/rendering/05.obj", "1.73417365551")</f>
        <v>1.73417365551</v>
      </c>
      <c r="I1268" s="249" t="str">
        <f>HYPERLINK(AA2 &amp; "/key/3dw_efc2e71d-ac26-4e51-b89e-90f4dc3cc609/rendering/06.obj", "1.85956573486")</f>
        <v>1.85956573486</v>
      </c>
      <c r="J1268" s="257" t="str">
        <f>HYPERLINK(AA2 &amp; "/key/3dw_efc2e71d-ac26-4e51-b89e-90f4dc3cc609/rendering/07.obj", "1.24346542358")</f>
        <v>1.24346542358</v>
      </c>
      <c r="K1268" s="105" t="str">
        <f>HYPERLINK(AA2 &amp; "/key/3dw_efc2e71d-ac26-4e51-b89e-90f4dc3cc609/rendering/08.obj", "2.11013746262")</f>
        <v>2.11013746262</v>
      </c>
      <c r="L1268" s="13" t="str">
        <f>HYPERLINK(AA2 &amp; "/key/3dw_efc2e71d-ac26-4e51-b89e-90f4dc3cc609/rendering/09.obj", "4.34335184097")</f>
        <v>4.34335184097</v>
      </c>
      <c r="M1268" s="50" t="str">
        <f>HYPERLINK(AA2 &amp; "/key/3dw_efc2e71d-ac26-4e51-b89e-90f4dc3cc609/rendering/10.obj", "3.47407770157")</f>
        <v>3.47407770157</v>
      </c>
      <c r="N1268" s="138" t="str">
        <f>HYPERLINK(AA2 &amp; "/key/3dw_efc2e71d-ac26-4e51-b89e-90f4dc3cc609/rendering/11.obj", "2.87831687927")</f>
        <v>2.87831687927</v>
      </c>
      <c r="O1268" s="20" t="str">
        <f>HYPERLINK(AA2 &amp; "/key/3dw_efc2e71d-ac26-4e51-b89e-90f4dc3cc609/rendering/12.obj", "10.3046894073")</f>
        <v>10.3046894073</v>
      </c>
      <c r="P1268" s="185" t="str">
        <f>HYPERLINK(AA2 &amp; "/key/3dw_efc2e71d-ac26-4e51-b89e-90f4dc3cc609/rendering/13.obj", "2.85690593719")</f>
        <v>2.85690593719</v>
      </c>
      <c r="Q1268" s="142" t="str">
        <f>HYPERLINK(AA2 &amp; "/key/3dw_efc2e71d-ac26-4e51-b89e-90f4dc3cc609/rendering/14.obj", "2.6259791851")</f>
        <v>2.6259791851</v>
      </c>
      <c r="R1268" s="202" t="str">
        <f>HYPERLINK(AA2 &amp; "/key/3dw_efc2e71d-ac26-4e51-b89e-90f4dc3cc609/rendering/15.obj", "7.0714263916")</f>
        <v>7.0714263916</v>
      </c>
      <c r="S1268" s="84" t="str">
        <f>HYPERLINK(AA2 &amp; "/key/3dw_efc2e71d-ac26-4e51-b89e-90f4dc3cc609/rendering/16.obj", "3.70108008385")</f>
        <v>3.70108008385</v>
      </c>
      <c r="T1268" s="218" t="str">
        <f>HYPERLINK(AA2 &amp; "/key/3dw_efc2e71d-ac26-4e51-b89e-90f4dc3cc609/rendering/17.obj", "2.10285806656")</f>
        <v>2.10285806656</v>
      </c>
      <c r="U1268" s="110" t="str">
        <f>HYPERLINK(AA2 &amp; "/key/3dw_efc2e71d-ac26-4e51-b89e-90f4dc3cc609/rendering/18.obj", "3.90836405754")</f>
        <v>3.90836405754</v>
      </c>
      <c r="V1268" s="20" t="str">
        <f>HYPERLINK(AA2 &amp; "/key/3dw_efc2e71d-ac26-4e51-b89e-90f4dc3cc609/rendering/19.obj", "14.8392133713")</f>
        <v>14.8392133713</v>
      </c>
      <c r="W1268" s="12" t="s">
        <v>30</v>
      </c>
      <c r="X1268" s="13">
        <v>4.3382052302360536</v>
      </c>
      <c r="Y1268" s="13">
        <v>3.3565816323745379</v>
      </c>
      <c r="Z1268" s="254">
        <v>0.77372587377381807</v>
      </c>
    </row>
    <row r="1269" spans="1:26" x14ac:dyDescent="0.2">
      <c r="A1269" s="1">
        <v>1267</v>
      </c>
      <c r="B1269" s="2" t="s">
        <v>286</v>
      </c>
      <c r="C1269" s="38" t="str">
        <f>HYPERLINK(AB2 &amp; "/key/3dw_efc2e71d-ac26-4e51-b89e-90f4dc3cc609/rendering/00.obj", "4.58445281982")</f>
        <v>4.58445281982</v>
      </c>
      <c r="D1269" s="74" t="str">
        <f>HYPERLINK(AB2 &amp; "/key/3dw_efc2e71d-ac26-4e51-b89e-90f4dc3cc609/rendering/01.obj", "4.96928131104")</f>
        <v>4.96928131104</v>
      </c>
      <c r="E1269" s="25" t="str">
        <f>HYPERLINK(AB2 &amp; "/key/3dw_efc2e71d-ac26-4e51-b89e-90f4dc3cc609/rendering/02.obj", "5.09899353027")</f>
        <v>5.09899353027</v>
      </c>
      <c r="F1269" s="74" t="str">
        <f>HYPERLINK(AB2 &amp; "/key/3dw_efc2e71d-ac26-4e51-b89e-90f4dc3cc609/rendering/03.obj", "5.11461181641")</f>
        <v>5.11461181641</v>
      </c>
      <c r="G1269" s="25" t="str">
        <f>HYPERLINK(AB2 &amp; "/key/3dw_efc2e71d-ac26-4e51-b89e-90f4dc3cc609/rendering/04.obj", "5.09837463379")</f>
        <v>5.09837463379</v>
      </c>
      <c r="H1269" s="35" t="str">
        <f>HYPERLINK(AB2 &amp; "/key/3dw_efc2e71d-ac26-4e51-b89e-90f4dc3cc609/rendering/05.obj", "4.7392678833")</f>
        <v>4.7392678833</v>
      </c>
      <c r="I1269" s="84" t="str">
        <f>HYPERLINK(AB2 &amp; "/key/3dw_efc2e71d-ac26-4e51-b89e-90f4dc3cc609/rendering/06.obj", "5.76819335938")</f>
        <v>5.76819335938</v>
      </c>
      <c r="J1269" s="10" t="str">
        <f>HYPERLINK(AB2 &amp; "/key/3dw_efc2e71d-ac26-4e51-b89e-90f4dc3cc609/rendering/07.obj", "4.75320465088")</f>
        <v>4.75320465088</v>
      </c>
      <c r="K1269" s="76" t="str">
        <f>HYPERLINK(AB2 &amp; "/key/3dw_efc2e71d-ac26-4e51-b89e-90f4dc3cc609/rendering/08.obj", "4.11194091797")</f>
        <v>4.11194091797</v>
      </c>
      <c r="L1269" s="47" t="str">
        <f>HYPERLINK(AB2 &amp; "/key/3dw_efc2e71d-ac26-4e51-b89e-90f4dc3cc609/rendering/09.obj", "5.06874328613")</f>
        <v>5.06874328613</v>
      </c>
      <c r="M1269" s="91" t="str">
        <f>HYPERLINK(AB2 &amp; "/key/3dw_efc2e71d-ac26-4e51-b89e-90f4dc3cc609/rendering/10.obj", "5.16518676758")</f>
        <v>5.16518676758</v>
      </c>
      <c r="N1269" s="5" t="str">
        <f>HYPERLINK(AB2 &amp; "/key/3dw_efc2e71d-ac26-4e51-b89e-90f4dc3cc609/rendering/11.obj", "5.42304626465")</f>
        <v>5.42304626465</v>
      </c>
      <c r="O1269" s="41" t="str">
        <f>HYPERLINK(AB2 &amp; "/key/3dw_efc2e71d-ac26-4e51-b89e-90f4dc3cc609/rendering/12.obj", "5.38299560547")</f>
        <v>5.38299560547</v>
      </c>
      <c r="P1269" s="117" t="str">
        <f>HYPERLINK(AB2 &amp; "/key/3dw_efc2e71d-ac26-4e51-b89e-90f4dc3cc609/rendering/13.obj", "5.9300567627")</f>
        <v>5.9300567627</v>
      </c>
      <c r="Q1269" s="94" t="str">
        <f>HYPERLINK(AB2 &amp; "/key/3dw_efc2e71d-ac26-4e51-b89e-90f4dc3cc609/rendering/14.obj", "4.67032531738")</f>
        <v>4.67032531738</v>
      </c>
      <c r="R1269" s="17" t="str">
        <f>HYPERLINK(AB2 &amp; "/key/3dw_efc2e71d-ac26-4e51-b89e-90f4dc3cc609/rendering/15.obj", "5.14636230469")</f>
        <v>5.14636230469</v>
      </c>
      <c r="S1269" s="71" t="str">
        <f>HYPERLINK(AB2 &amp; "/key/3dw_efc2e71d-ac26-4e51-b89e-90f4dc3cc609/rendering/16.obj", "4.44590881348")</f>
        <v>4.44590881348</v>
      </c>
      <c r="T1269" s="51" t="str">
        <f>HYPERLINK(AB2 &amp; "/key/3dw_efc2e71d-ac26-4e51-b89e-90f4dc3cc609/rendering/17.obj", "4.63482666016")</f>
        <v>4.63482666016</v>
      </c>
      <c r="U1269" s="25" t="str">
        <f>HYPERLINK(AB2 &amp; "/key/3dw_efc2e71d-ac26-4e51-b89e-90f4dc3cc609/rendering/18.obj", "4.97994140625")</f>
        <v>4.97994140625</v>
      </c>
      <c r="V1269" s="71" t="str">
        <f>HYPERLINK(AB2 &amp; "/key/3dw_efc2e71d-ac26-4e51-b89e-90f4dc3cc609/rendering/19.obj", "5.63540588379")</f>
        <v>5.63540588379</v>
      </c>
      <c r="W1269" s="12" t="s">
        <v>31</v>
      </c>
      <c r="X1269" s="13">
        <v>5.0360559997558596</v>
      </c>
      <c r="Y1269" s="13">
        <v>0.4407485271325301</v>
      </c>
      <c r="Z1269" s="39">
        <v>8.7518591364730045E-2</v>
      </c>
    </row>
    <row r="1270" spans="1:26" x14ac:dyDescent="0.2">
      <c r="A1270" s="1">
        <v>1268</v>
      </c>
      <c r="B1270" s="2" t="s">
        <v>286</v>
      </c>
      <c r="C1270" s="66" t="str">
        <f>HYPERLINK(AB2 &amp; "/key/3dw_efc2e71d-ac26-4e51-b89e-90f4dc3cc609/rendering/00.obj", "1.02757430077")</f>
        <v>1.02757430077</v>
      </c>
      <c r="D1270" s="84" t="str">
        <f>HYPERLINK(AB2 &amp; "/key/3dw_efc2e71d-ac26-4e51-b89e-90f4dc3cc609/rendering/01.obj", "1.04797673225")</f>
        <v>1.04797673225</v>
      </c>
      <c r="E1270" s="63" t="str">
        <f>HYPERLINK(AB2 &amp; "/key/3dw_efc2e71d-ac26-4e51-b89e-90f4dc3cc609/rendering/02.obj", "1.0772947073")</f>
        <v>1.0772947073</v>
      </c>
      <c r="F1270" s="91" t="str">
        <f>HYPERLINK(AB2 &amp; "/key/3dw_efc2e71d-ac26-4e51-b89e-90f4dc3cc609/rendering/03.obj", "1.2583758831")</f>
        <v>1.2583758831</v>
      </c>
      <c r="G1270" s="24" t="str">
        <f>HYPERLINK(AB2 &amp; "/key/3dw_efc2e71d-ac26-4e51-b89e-90f4dc3cc609/rendering/04.obj", "1.02014529705")</f>
        <v>1.02014529705</v>
      </c>
      <c r="H1270" s="23" t="str">
        <f>HYPERLINK(AB2 &amp; "/key/3dw_efc2e71d-ac26-4e51-b89e-90f4dc3cc609/rendering/05.obj", "1.27479743958")</f>
        <v>1.27479743958</v>
      </c>
      <c r="I1270" s="177" t="str">
        <f>HYPERLINK(AB2 &amp; "/key/3dw_efc2e71d-ac26-4e51-b89e-90f4dc3cc609/rendering/06.obj", "1.88140702248")</f>
        <v>1.88140702248</v>
      </c>
      <c r="J1270" s="80" t="str">
        <f>HYPERLINK(AB2 &amp; "/key/3dw_efc2e71d-ac26-4e51-b89e-90f4dc3cc609/rendering/07.obj", "1.40668416023")</f>
        <v>1.40668416023</v>
      </c>
      <c r="K1270" s="48" t="str">
        <f>HYPERLINK(AB2 &amp; "/key/3dw_efc2e71d-ac26-4e51-b89e-90f4dc3cc609/rendering/08.obj", "1.25373005867")</f>
        <v>1.25373005867</v>
      </c>
      <c r="L1270" s="29" t="str">
        <f>HYPERLINK(AB2 &amp; "/key/3dw_efc2e71d-ac26-4e51-b89e-90f4dc3cc609/rendering/09.obj", "1.06353211403")</f>
        <v>1.06353211403</v>
      </c>
      <c r="M1270" s="78" t="str">
        <f>HYPERLINK(AB2 &amp; "/key/3dw_efc2e71d-ac26-4e51-b89e-90f4dc3cc609/rendering/10.obj", "1.29893362522")</f>
        <v>1.29893362522</v>
      </c>
      <c r="N1270" s="73" t="str">
        <f>HYPERLINK(AB2 &amp; "/key/3dw_efc2e71d-ac26-4e51-b89e-90f4dc3cc609/rendering/11.obj", "1.17901611328")</f>
        <v>1.17901611328</v>
      </c>
      <c r="O1270" s="193" t="str">
        <f>HYPERLINK(AB2 &amp; "/key/3dw_efc2e71d-ac26-4e51-b89e-90f4dc3cc609/rendering/12.obj", "1.62964558601")</f>
        <v>1.62964558601</v>
      </c>
      <c r="P1270" s="77" t="str">
        <f>HYPERLINK(AB2 &amp; "/key/3dw_efc2e71d-ac26-4e51-b89e-90f4dc3cc609/rendering/13.obj", "1.45237052441")</f>
        <v>1.45237052441</v>
      </c>
      <c r="Q1270" s="35" t="str">
        <f>HYPERLINK(AB2 &amp; "/key/3dw_efc2e71d-ac26-4e51-b89e-90f4dc3cc609/rendering/14.obj", "1.15435218811")</f>
        <v>1.15435218811</v>
      </c>
      <c r="R1270" s="30" t="str">
        <f>HYPERLINK(AB2 &amp; "/key/3dw_efc2e71d-ac26-4e51-b89e-90f4dc3cc609/rendering/15.obj", "1.22023928165")</f>
        <v>1.22023928165</v>
      </c>
      <c r="S1270" s="88" t="str">
        <f>HYPERLINK(AB2 &amp; "/key/3dw_efc2e71d-ac26-4e51-b89e-90f4dc3cc609/rendering/16.obj", "0.975826561451")</f>
        <v>0.975826561451</v>
      </c>
      <c r="T1270" s="28" t="str">
        <f>HYPERLINK(AB2 &amp; "/key/3dw_efc2e71d-ac26-4e51-b89e-90f4dc3cc609/rendering/17.obj", "1.08892536163")</f>
        <v>1.08892536163</v>
      </c>
      <c r="U1270" s="93" t="str">
        <f>HYPERLINK(AB2 &amp; "/key/3dw_efc2e71d-ac26-4e51-b89e-90f4dc3cc609/rendering/18.obj", "1.05492663383")</f>
        <v>1.05492663383</v>
      </c>
      <c r="V1270" s="5" t="str">
        <f>HYPERLINK(AB2 &amp; "/key/3dw_efc2e71d-ac26-4e51-b89e-90f4dc3cc609/rendering/19.obj", "1.13191115856")</f>
        <v>1.13191115856</v>
      </c>
      <c r="W1270" s="12" t="s">
        <v>32</v>
      </c>
      <c r="X1270" s="13">
        <v>1.2248832374811169</v>
      </c>
      <c r="Y1270" s="13">
        <v>0.22075898516318559</v>
      </c>
      <c r="Z1270" s="134">
        <v>0.1802285951901508</v>
      </c>
    </row>
    <row r="1271" spans="1:26" x14ac:dyDescent="0.2">
      <c r="A1271" s="1">
        <v>1269</v>
      </c>
      <c r="B1271" s="2" t="s">
        <v>286</v>
      </c>
      <c r="C1271" s="13" t="str">
        <f>HYPERLINK(AC2 &amp; "/key/3dw_efc2e71d-ac26-4e51-b89e-90f4dc3cc609/rendering/00.xyz", "0.0")</f>
        <v>0.0</v>
      </c>
      <c r="D1271" s="13" t="str">
        <f>HYPERLINK(AC2 &amp; "/key/3dw_efc2e71d-ac26-4e51-b89e-90f4dc3cc609/rendering/01.xyz", "0.0")</f>
        <v>0.0</v>
      </c>
      <c r="E1271" s="13" t="str">
        <f>HYPERLINK(AC2 &amp; "/key/3dw_efc2e71d-ac26-4e51-b89e-90f4dc3cc609/rendering/02.xyz", "0.0")</f>
        <v>0.0</v>
      </c>
      <c r="F1271" s="13" t="str">
        <f>HYPERLINK(AC2 &amp; "/key/3dw_efc2e71d-ac26-4e51-b89e-90f4dc3cc609/rendering/03.xyz", "0.0")</f>
        <v>0.0</v>
      </c>
      <c r="G1271" s="13" t="str">
        <f>HYPERLINK(AC2 &amp; "/key/3dw_efc2e71d-ac26-4e51-b89e-90f4dc3cc609/rendering/04.xyz", "0.0")</f>
        <v>0.0</v>
      </c>
      <c r="H1271" s="13" t="str">
        <f>HYPERLINK(AC2 &amp; "/key/3dw_efc2e71d-ac26-4e51-b89e-90f4dc3cc609/rendering/05.xyz", "0.0")</f>
        <v>0.0</v>
      </c>
      <c r="I1271" s="13" t="str">
        <f>HYPERLINK(AC2 &amp; "/key/3dw_efc2e71d-ac26-4e51-b89e-90f4dc3cc609/rendering/06.xyz", "0.0")</f>
        <v>0.0</v>
      </c>
      <c r="J1271" s="13" t="str">
        <f>HYPERLINK(AC2 &amp; "/key/3dw_efc2e71d-ac26-4e51-b89e-90f4dc3cc609/rendering/07.xyz", "0.0")</f>
        <v>0.0</v>
      </c>
      <c r="K1271" s="13" t="str">
        <f>HYPERLINK(AC2 &amp; "/key/3dw_efc2e71d-ac26-4e51-b89e-90f4dc3cc609/rendering/08.xyz", "0.0")</f>
        <v>0.0</v>
      </c>
      <c r="L1271" s="13" t="str">
        <f>HYPERLINK(AC2 &amp; "/key/3dw_efc2e71d-ac26-4e51-b89e-90f4dc3cc609/rendering/09.xyz", "0.0")</f>
        <v>0.0</v>
      </c>
      <c r="M1271" s="13" t="str">
        <f>HYPERLINK(AC2 &amp; "/key/3dw_efc2e71d-ac26-4e51-b89e-90f4dc3cc609/rendering/10.xyz", "0.0")</f>
        <v>0.0</v>
      </c>
      <c r="N1271" s="13" t="str">
        <f>HYPERLINK(AC2 &amp; "/key/3dw_efc2e71d-ac26-4e51-b89e-90f4dc3cc609/rendering/11.xyz", "0.0")</f>
        <v>0.0</v>
      </c>
      <c r="O1271" s="13" t="str">
        <f>HYPERLINK(AC2 &amp; "/key/3dw_efc2e71d-ac26-4e51-b89e-90f4dc3cc609/rendering/12.xyz", "0.0")</f>
        <v>0.0</v>
      </c>
      <c r="P1271" s="13" t="str">
        <f>HYPERLINK(AC2 &amp; "/key/3dw_efc2e71d-ac26-4e51-b89e-90f4dc3cc609/rendering/13.xyz", "0.0")</f>
        <v>0.0</v>
      </c>
      <c r="Q1271" s="13" t="str">
        <f>HYPERLINK(AC2 &amp; "/key/3dw_efc2e71d-ac26-4e51-b89e-90f4dc3cc609/rendering/14.xyz", "0.0")</f>
        <v>0.0</v>
      </c>
      <c r="R1271" s="13" t="str">
        <f>HYPERLINK(AC2 &amp; "/key/3dw_efc2e71d-ac26-4e51-b89e-90f4dc3cc609/rendering/15.xyz", "0.0")</f>
        <v>0.0</v>
      </c>
      <c r="S1271" s="13" t="str">
        <f>HYPERLINK(AC2 &amp; "/key/3dw_efc2e71d-ac26-4e51-b89e-90f4dc3cc609/rendering/16.xyz", "0.0")</f>
        <v>0.0</v>
      </c>
      <c r="T1271" s="13" t="str">
        <f>HYPERLINK(AC2 &amp; "/key/3dw_efc2e71d-ac26-4e51-b89e-90f4dc3cc609/rendering/17.xyz", "0.0")</f>
        <v>0.0</v>
      </c>
      <c r="U1271" s="13" t="str">
        <f>HYPERLINK(AC2 &amp; "/key/3dw_efc2e71d-ac26-4e51-b89e-90f4dc3cc609/rendering/18.xyz", "0.0")</f>
        <v>0.0</v>
      </c>
      <c r="V1271" s="13" t="str">
        <f>HYPERLINK(AC2 &amp; "/key/3dw_efc2e71d-ac26-4e51-b89e-90f4dc3cc609/rendering/19.xyz", "0.0")</f>
        <v>0.0</v>
      </c>
      <c r="W1271" s="12" t="s">
        <v>33</v>
      </c>
      <c r="X1271" s="13">
        <v>0</v>
      </c>
      <c r="Y1271" s="13">
        <v>0</v>
      </c>
      <c r="Z1271" s="13">
        <v>0</v>
      </c>
    </row>
    <row r="1272" spans="1:26" x14ac:dyDescent="0.2">
      <c r="A1272" s="1">
        <v>1270</v>
      </c>
      <c r="B1272" s="2" t="s">
        <v>287</v>
      </c>
      <c r="C1272" s="94" t="str">
        <f>HYPERLINK(AA2 &amp; "/key/3dw_f7a6f166-ba11-4855-9518-2bc54b62f88f/rendering/00.obj", "2.3158984375")</f>
        <v>2.3158984375</v>
      </c>
      <c r="D1272" s="166" t="str">
        <f>HYPERLINK(AA2 &amp; "/key/3dw_f7a6f166-ba11-4855-9518-2bc54b62f88f/rendering/01.obj", "1.78227874756")</f>
        <v>1.78227874756</v>
      </c>
      <c r="E1272" s="20" t="str">
        <f>HYPERLINK(AA2 &amp; "/key/3dw_f7a6f166-ba11-4855-9518-2bc54b62f88f/rendering/02.obj", "5.56157043457")</f>
        <v>5.56157043457</v>
      </c>
      <c r="F1272" s="158" t="str">
        <f>HYPERLINK(AA2 &amp; "/key/3dw_f7a6f166-ba11-4855-9518-2bc54b62f88f/rendering/03.obj", "3.51682861328")</f>
        <v>3.51682861328</v>
      </c>
      <c r="G1272" s="23" t="str">
        <f>HYPERLINK(AA2 &amp; "/key/3dw_f7a6f166-ba11-4855-9518-2bc54b62f88f/rendering/04.obj", "2.5954486084")</f>
        <v>2.5954486084</v>
      </c>
      <c r="H1272" s="61" t="str">
        <f>HYPERLINK(AA2 &amp; "/key/3dw_f7a6f166-ba11-4855-9518-2bc54b62f88f/rendering/05.obj", "1.73847732544")</f>
        <v>1.73847732544</v>
      </c>
      <c r="I1272" s="61" t="str">
        <f>HYPERLINK(AA2 &amp; "/key/3dw_f7a6f166-ba11-4855-9518-2bc54b62f88f/rendering/06.obj", "1.73797973633")</f>
        <v>1.73797973633</v>
      </c>
      <c r="J1272" s="162" t="str">
        <f>HYPERLINK(AA2 &amp; "/key/3dw_f7a6f166-ba11-4855-9518-2bc54b62f88f/rendering/07.obj", "1.43219818115")</f>
        <v>1.43219818115</v>
      </c>
      <c r="K1272" s="70" t="str">
        <f>HYPERLINK(AA2 &amp; "/key/3dw_f7a6f166-ba11-4855-9518-2bc54b62f88f/rendering/08.obj", "2.18150985718")</f>
        <v>2.18150985718</v>
      </c>
      <c r="L1272" s="100" t="str">
        <f>HYPERLINK(AA2 &amp; "/key/3dw_f7a6f166-ba11-4855-9518-2bc54b62f88f/rendering/09.obj", "3.24383148193")</f>
        <v>3.24383148193</v>
      </c>
      <c r="M1272" s="95" t="str">
        <f>HYPERLINK(AA2 &amp; "/key/3dw_f7a6f166-ba11-4855-9518-2bc54b62f88f/rendering/10.obj", "1.79874435425")</f>
        <v>1.79874435425</v>
      </c>
      <c r="N1272" s="113" t="str">
        <f>HYPERLINK(AA2 &amp; "/key/3dw_f7a6f166-ba11-4855-9518-2bc54b62f88f/rendering/11.obj", "1.81256469727")</f>
        <v>1.81256469727</v>
      </c>
      <c r="O1272" s="227" t="str">
        <f>HYPERLINK(AA2 &amp; "/key/3dw_f7a6f166-ba11-4855-9518-2bc54b62f88f/rendering/12.obj", "3.7683770752")</f>
        <v>3.7683770752</v>
      </c>
      <c r="P1272" s="197" t="str">
        <f>HYPERLINK(AA2 &amp; "/key/3dw_f7a6f166-ba11-4855-9518-2bc54b62f88f/rendering/13.obj", "3.91377990723")</f>
        <v>3.91377990723</v>
      </c>
      <c r="Q1272" s="86" t="str">
        <f>HYPERLINK(AA2 &amp; "/key/3dw_f7a6f166-ba11-4855-9518-2bc54b62f88f/rendering/14.obj", "1.82490844727")</f>
        <v>1.82490844727</v>
      </c>
      <c r="R1272" s="34" t="str">
        <f>HYPERLINK(AA2 &amp; "/key/3dw_f7a6f166-ba11-4855-9518-2bc54b62f88f/rendering/15.obj", "2.37236724854")</f>
        <v>2.37236724854</v>
      </c>
      <c r="S1272" s="98" t="str">
        <f>HYPERLINK(AA2 &amp; "/key/3dw_f7a6f166-ba11-4855-9518-2bc54b62f88f/rendering/16.obj", "1.92258666992")</f>
        <v>1.92258666992</v>
      </c>
      <c r="T1272" s="109" t="str">
        <f>HYPERLINK(AA2 &amp; "/key/3dw_f7a6f166-ba11-4855-9518-2bc54b62f88f/rendering/17.obj", "2.02018157959")</f>
        <v>2.02018157959</v>
      </c>
      <c r="U1272" s="34" t="str">
        <f>HYPERLINK(AA2 &amp; "/key/3dw_f7a6f166-ba11-4855-9518-2bc54b62f88f/rendering/18.obj", "2.61493469238")</f>
        <v>2.61493469238</v>
      </c>
      <c r="V1272" s="14" t="str">
        <f>HYPERLINK(AA2 &amp; "/key/3dw_f7a6f166-ba11-4855-9518-2bc54b62f88f/rendering/19.obj", "1.77352096558")</f>
        <v>1.77352096558</v>
      </c>
      <c r="W1272" s="12" t="s">
        <v>29</v>
      </c>
      <c r="X1272" s="13">
        <v>2.4963993530273441</v>
      </c>
      <c r="Y1272" s="13">
        <v>1.001725238951972</v>
      </c>
      <c r="Z1272" s="52">
        <v>0.40126802538111361</v>
      </c>
    </row>
    <row r="1273" spans="1:26" x14ac:dyDescent="0.2">
      <c r="A1273" s="1">
        <v>1271</v>
      </c>
      <c r="B1273" s="2" t="s">
        <v>287</v>
      </c>
      <c r="C1273" s="75" t="str">
        <f>HYPERLINK(AA2 &amp; "/key/3dw_f7a6f166-ba11-4855-9518-2bc54b62f88f/rendering/00.obj", "3.58545589447")</f>
        <v>3.58545589447</v>
      </c>
      <c r="D1273" s="203" t="str">
        <f>HYPERLINK(AA2 &amp; "/key/3dw_f7a6f166-ba11-4855-9518-2bc54b62f88f/rendering/01.obj", "2.45424222946")</f>
        <v>2.45424222946</v>
      </c>
      <c r="E1273" s="20" t="str">
        <f>HYPERLINK(AA2 &amp; "/key/3dw_f7a6f166-ba11-4855-9518-2bc54b62f88f/rendering/02.obj", "14.404665947")</f>
        <v>14.404665947</v>
      </c>
      <c r="F1273" s="221" t="str">
        <f>HYPERLINK(AA2 &amp; "/key/3dw_f7a6f166-ba11-4855-9518-2bc54b62f88f/rendering/03.obj", "7.17547035217")</f>
        <v>7.17547035217</v>
      </c>
      <c r="G1273" s="68" t="str">
        <f>HYPERLINK(AA2 &amp; "/key/3dw_f7a6f166-ba11-4855-9518-2bc54b62f88f/rendering/04.obj", "4.80003166199")</f>
        <v>4.80003166199</v>
      </c>
      <c r="H1273" s="206" t="str">
        <f>HYPERLINK(AA2 &amp; "/key/3dw_f7a6f166-ba11-4855-9518-2bc54b62f88f/rendering/05.obj", "1.88966298103")</f>
        <v>1.88966298103</v>
      </c>
      <c r="I1273" s="151" t="str">
        <f>HYPERLINK(AA2 &amp; "/key/3dw_f7a6f166-ba11-4855-9518-2bc54b62f88f/rendering/06.obj", "2.95913410187")</f>
        <v>2.95913410187</v>
      </c>
      <c r="J1273" s="16" t="str">
        <f>HYPERLINK(AA2 &amp; "/key/3dw_f7a6f166-ba11-4855-9518-2bc54b62f88f/rendering/07.obj", "2.09629654884")</f>
        <v>2.09629654884</v>
      </c>
      <c r="K1273" s="52" t="str">
        <f>HYPERLINK(AA2 &amp; "/key/3dw_f7a6f166-ba11-4855-9518-2bc54b62f88f/rendering/08.obj", "2.77070355415")</f>
        <v>2.77070355415</v>
      </c>
      <c r="L1273" s="175" t="str">
        <f>HYPERLINK(AA2 &amp; "/key/3dw_f7a6f166-ba11-4855-9518-2bc54b62f88f/rendering/09.obj", "5.68618535995")</f>
        <v>5.68618535995</v>
      </c>
      <c r="M1273" s="195" t="str">
        <f>HYPERLINK(AA2 &amp; "/key/3dw_f7a6f166-ba11-4855-9518-2bc54b62f88f/rendering/10.obj", "2.07981729507")</f>
        <v>2.07981729507</v>
      </c>
      <c r="N1273" s="139" t="str">
        <f>HYPERLINK(AA2 &amp; "/key/3dw_f7a6f166-ba11-4855-9518-2bc54b62f88f/rendering/11.obj", "2.38230609894")</f>
        <v>2.38230609894</v>
      </c>
      <c r="O1273" s="20" t="str">
        <f>HYPERLINK(AA2 &amp; "/key/3dw_f7a6f166-ba11-4855-9518-2bc54b62f88f/rendering/12.obj", "11.0066337585")</f>
        <v>11.0066337585</v>
      </c>
      <c r="P1273" s="20" t="str">
        <f>HYPERLINK(AA2 &amp; "/key/3dw_f7a6f166-ba11-4855-9518-2bc54b62f88f/rendering/13.obj", "11.1327209473")</f>
        <v>11.1327209473</v>
      </c>
      <c r="Q1273" s="132" t="str">
        <f>HYPERLINK(AA2 &amp; "/key/3dw_f7a6f166-ba11-4855-9518-2bc54b62f88f/rendering/14.obj", "2.68445181847")</f>
        <v>2.68445181847</v>
      </c>
      <c r="R1273" s="36" t="str">
        <f>HYPERLINK(AA2 &amp; "/key/3dw_f7a6f166-ba11-4855-9518-2bc54b62f88f/rendering/15.obj", "3.62365198135")</f>
        <v>3.62365198135</v>
      </c>
      <c r="S1273" s="226" t="str">
        <f>HYPERLINK(AA2 &amp; "/key/3dw_f7a6f166-ba11-4855-9518-2bc54b62f88f/rendering/16.obj", "2.01404237747")</f>
        <v>2.01404237747</v>
      </c>
      <c r="T1273" s="124" t="str">
        <f>HYPERLINK(AA2 &amp; "/key/3dw_f7a6f166-ba11-4855-9518-2bc54b62f88f/rendering/17.obj", "2.84567546844")</f>
        <v>2.84567546844</v>
      </c>
      <c r="U1273" s="84" t="str">
        <f>HYPERLINK(AA2 &amp; "/key/3dw_f7a6f166-ba11-4855-9518-2bc54b62f88f/rendering/18.obj", "3.92855596542")</f>
        <v>3.92855596542</v>
      </c>
      <c r="V1273" s="179" t="str">
        <f>HYPERLINK(AA2 &amp; "/key/3dw_f7a6f166-ba11-4855-9518-2bc54b62f88f/rendering/19.obj", "2.63485836983")</f>
        <v>2.63485836983</v>
      </c>
      <c r="W1273" s="12" t="s">
        <v>30</v>
      </c>
      <c r="X1273" s="13">
        <v>4.6077281355857851</v>
      </c>
      <c r="Y1273" s="13">
        <v>3.4854042487195631</v>
      </c>
      <c r="Z1273" s="209">
        <v>0.75642575823898073</v>
      </c>
    </row>
    <row r="1274" spans="1:26" x14ac:dyDescent="0.2">
      <c r="A1274" s="1">
        <v>1272</v>
      </c>
      <c r="B1274" s="2" t="s">
        <v>287</v>
      </c>
      <c r="C1274" s="133" t="str">
        <f>HYPERLINK(AB2 &amp; "/key/3dw_f7a6f166-ba11-4855-9518-2bc54b62f88f/rendering/00.obj", "1.51427734375")</f>
        <v>1.51427734375</v>
      </c>
      <c r="D1274" s="80" t="str">
        <f>HYPERLINK(AB2 &amp; "/key/3dw_f7a6f166-ba11-4855-9518-2bc54b62f88f/rendering/01.obj", "1.17106765747")</f>
        <v>1.17106765747</v>
      </c>
      <c r="E1274" s="31" t="str">
        <f>HYPERLINK(AB2 &amp; "/key/3dw_f7a6f166-ba11-4855-9518-2bc54b62f88f/rendering/02.obj", "1.16237998962")</f>
        <v>1.16237998962</v>
      </c>
      <c r="F1274" s="72" t="str">
        <f>HYPERLINK(AB2 &amp; "/key/3dw_f7a6f166-ba11-4855-9518-2bc54b62f88f/rendering/03.obj", "1.42142211914")</f>
        <v>1.42142211914</v>
      </c>
      <c r="G1274" s="30" t="str">
        <f>HYPERLINK(AB2 &amp; "/key/3dw_f7a6f166-ba11-4855-9518-2bc54b62f88f/rendering/04.obj", "1.36988647461")</f>
        <v>1.36988647461</v>
      </c>
      <c r="H1274" s="69" t="str">
        <f>HYPERLINK(AB2 &amp; "/key/3dw_f7a6f166-ba11-4855-9518-2bc54b62f88f/rendering/05.obj", "1.41716445923")</f>
        <v>1.41716445923</v>
      </c>
      <c r="I1274" s="94" t="str">
        <f>HYPERLINK(AB2 &amp; "/key/3dw_f7a6f166-ba11-4855-9518-2bc54b62f88f/rendering/06.obj", "1.27473838806")</f>
        <v>1.27473838806</v>
      </c>
      <c r="J1274" s="65" t="str">
        <f>HYPERLINK(AB2 &amp; "/key/3dw_f7a6f166-ba11-4855-9518-2bc54b62f88f/rendering/07.obj", "1.191039505")</f>
        <v>1.191039505</v>
      </c>
      <c r="K1274" s="41" t="str">
        <f>HYPERLINK(AB2 &amp; "/key/3dw_f7a6f166-ba11-4855-9518-2bc54b62f88f/rendering/08.obj", "1.46974700928")</f>
        <v>1.46974700928</v>
      </c>
      <c r="L1274" s="70" t="str">
        <f>HYPERLINK(AB2 &amp; "/key/3dw_f7a6f166-ba11-4855-9518-2bc54b62f88f/rendering/09.obj", "1.55166122437")</f>
        <v>1.55166122437</v>
      </c>
      <c r="M1274" s="44" t="str">
        <f>HYPERLINK(AB2 &amp; "/key/3dw_f7a6f166-ba11-4855-9518-2bc54b62f88f/rendering/10.obj", "1.64560424805")</f>
        <v>1.64560424805</v>
      </c>
      <c r="N1274" s="83" t="str">
        <f>HYPERLINK(AB2 &amp; "/key/3dw_f7a6f166-ba11-4855-9518-2bc54b62f88f/rendering/11.obj", "1.16791908264")</f>
        <v>1.16791908264</v>
      </c>
      <c r="O1274" s="63" t="str">
        <f>HYPERLINK(AB2 &amp; "/key/3dw_f7a6f166-ba11-4855-9518-2bc54b62f88f/rendering/12.obj", "1.20777938843")</f>
        <v>1.20777938843</v>
      </c>
      <c r="P1274" s="37" t="str">
        <f>HYPERLINK(AB2 &amp; "/key/3dw_f7a6f166-ba11-4855-9518-2bc54b62f88f/rendering/13.obj", "1.13644271851")</f>
        <v>1.13644271851</v>
      </c>
      <c r="Q1274" s="74" t="str">
        <f>HYPERLINK(AB2 &amp; "/key/3dw_f7a6f166-ba11-4855-9518-2bc54b62f88f/rendering/14.obj", "1.39278106689")</f>
        <v>1.39278106689</v>
      </c>
      <c r="R1274" s="68" t="str">
        <f>HYPERLINK(AB2 &amp; "/key/3dw_f7a6f166-ba11-4855-9518-2bc54b62f88f/rendering/15.obj", "1.43191558838")</f>
        <v>1.43191558838</v>
      </c>
      <c r="S1274" s="26" t="str">
        <f>HYPERLINK(AB2 &amp; "/key/3dw_f7a6f166-ba11-4855-9518-2bc54b62f88f/rendering/16.obj", "1.46504577637")</f>
        <v>1.46504577637</v>
      </c>
      <c r="T1274" s="90" t="str">
        <f>HYPERLINK(AB2 &amp; "/key/3dw_f7a6f166-ba11-4855-9518-2bc54b62f88f/rendering/17.obj", "1.50672546387")</f>
        <v>1.50672546387</v>
      </c>
      <c r="U1274" s="41" t="str">
        <f>HYPERLINK(AB2 &amp; "/key/3dw_f7a6f166-ba11-4855-9518-2bc54b62f88f/rendering/18.obj", "1.46834060669")</f>
        <v>1.46834060669</v>
      </c>
      <c r="V1274" s="92" t="str">
        <f>HYPERLINK(AB2 &amp; "/key/3dw_f7a6f166-ba11-4855-9518-2bc54b62f88f/rendering/19.obj", "1.54395355225")</f>
        <v>1.54395355225</v>
      </c>
      <c r="W1274" s="12" t="s">
        <v>31</v>
      </c>
      <c r="X1274" s="13">
        <v>1.375494583129883</v>
      </c>
      <c r="Y1274" s="13">
        <v>0.15190171716650319</v>
      </c>
      <c r="Z1274" s="28">
        <v>0.1104342532711812</v>
      </c>
    </row>
    <row r="1275" spans="1:26" x14ac:dyDescent="0.2">
      <c r="A1275" s="1">
        <v>1273</v>
      </c>
      <c r="B1275" s="2" t="s">
        <v>287</v>
      </c>
      <c r="C1275" s="73" t="str">
        <f>HYPERLINK(AB2 &amp; "/key/3dw_f7a6f166-ba11-4855-9518-2bc54b62f88f/rendering/00.obj", "1.63102304935")</f>
        <v>1.63102304935</v>
      </c>
      <c r="D1275" s="133" t="str">
        <f>HYPERLINK(AB2 &amp; "/key/3dw_f7a6f166-ba11-4855-9518-2bc54b62f88f/rendering/01.obj", "1.41587913036")</f>
        <v>1.41587913036</v>
      </c>
      <c r="E1275" s="60" t="str">
        <f>HYPERLINK(AB2 &amp; "/key/3dw_f7a6f166-ba11-4855-9518-2bc54b62f88f/rendering/02.obj", "1.65653252602")</f>
        <v>1.65653252602</v>
      </c>
      <c r="F1275" s="30" t="str">
        <f>HYPERLINK(AB2 &amp; "/key/3dw_f7a6f166-ba11-4855-9518-2bc54b62f88f/rendering/03.obj", "1.56883144379")</f>
        <v>1.56883144379</v>
      </c>
      <c r="G1275" s="90" t="str">
        <f>HYPERLINK(AB2 &amp; "/key/3dw_f7a6f166-ba11-4855-9518-2bc54b62f88f/rendering/04.obj", "1.72544932365")</f>
        <v>1.72544932365</v>
      </c>
      <c r="H1275" s="47" t="str">
        <f>HYPERLINK(AB2 &amp; "/key/3dw_f7a6f166-ba11-4855-9518-2bc54b62f88f/rendering/05.obj", "1.56539416313")</f>
        <v>1.56539416313</v>
      </c>
      <c r="I1275" s="73" t="str">
        <f>HYPERLINK(AB2 &amp; "/key/3dw_f7a6f166-ba11-4855-9518-2bc54b62f88f/rendering/06.obj", "1.6329164505")</f>
        <v>1.6329164505</v>
      </c>
      <c r="J1275" s="23" t="str">
        <f>HYPERLINK(AB2 &amp; "/key/3dw_f7a6f166-ba11-4855-9518-2bc54b62f88f/rendering/07.obj", "1.5168364048")</f>
        <v>1.5168364048</v>
      </c>
      <c r="K1275" s="47" t="str">
        <f>HYPERLINK(AB2 &amp; "/key/3dw_f7a6f166-ba11-4855-9518-2bc54b62f88f/rendering/08.obj", "1.58942222595")</f>
        <v>1.58942222595</v>
      </c>
      <c r="L1275" s="78" t="str">
        <f>HYPERLINK(AB2 &amp; "/key/3dw_f7a6f166-ba11-4855-9518-2bc54b62f88f/rendering/09.obj", "1.67394196987")</f>
        <v>1.67394196987</v>
      </c>
      <c r="M1275" s="39" t="str">
        <f>HYPERLINK(AB2 &amp; "/key/3dw_f7a6f166-ba11-4855-9518-2bc54b62f88f/rendering/10.obj", "1.7133051157")</f>
        <v>1.7133051157</v>
      </c>
      <c r="N1275" s="93" t="str">
        <f>HYPERLINK(AB2 &amp; "/key/3dw_f7a6f166-ba11-4855-9518-2bc54b62f88f/rendering/11.obj", "1.3542330265")</f>
        <v>1.3542330265</v>
      </c>
      <c r="O1275" s="35" t="str">
        <f>HYPERLINK(AB2 &amp; "/key/3dw_f7a6f166-ba11-4855-9518-2bc54b62f88f/rendering/12.obj", "1.48296511173")</f>
        <v>1.48296511173</v>
      </c>
      <c r="P1275" s="71" t="str">
        <f>HYPERLINK(AB2 &amp; "/key/3dw_f7a6f166-ba11-4855-9518-2bc54b62f88f/rendering/13.obj", "1.39106738567")</f>
        <v>1.39106738567</v>
      </c>
      <c r="Q1275" s="30" t="str">
        <f>HYPERLINK(AB2 &amp; "/key/3dw_f7a6f166-ba11-4855-9518-2bc54b62f88f/rendering/14.obj", "1.57052457333")</f>
        <v>1.57052457333</v>
      </c>
      <c r="R1275" s="74" t="str">
        <f>HYPERLINK(AB2 &amp; "/key/3dw_f7a6f166-ba11-4855-9518-2bc54b62f88f/rendering/15.obj", "1.55415654182")</f>
        <v>1.55415654182</v>
      </c>
      <c r="S1275" s="69" t="str">
        <f>HYPERLINK(AB2 &amp; "/key/3dw_f7a6f166-ba11-4855-9518-2bc54b62f88f/rendering/16.obj", "1.52991223335")</f>
        <v>1.52991223335</v>
      </c>
      <c r="T1275" s="46" t="str">
        <f>HYPERLINK(AB2 &amp; "/key/3dw_f7a6f166-ba11-4855-9518-2bc54b62f88f/rendering/17.obj", "1.54874777794")</f>
        <v>1.54874777794</v>
      </c>
      <c r="U1275" s="30" t="str">
        <f>HYPERLINK(AB2 &amp; "/key/3dw_f7a6f166-ba11-4855-9518-2bc54b62f88f/rendering/18.obj", "1.57022356987")</f>
        <v>1.57022356987</v>
      </c>
      <c r="V1275" s="64" t="str">
        <f>HYPERLINK(AB2 &amp; "/key/3dw_f7a6f166-ba11-4855-9518-2bc54b62f88f/rendering/19.obj", "1.83585143089")</f>
        <v>1.83585143089</v>
      </c>
      <c r="W1275" s="12" t="s">
        <v>32</v>
      </c>
      <c r="X1275" s="13">
        <v>1.576360672712326</v>
      </c>
      <c r="Y1275" s="13">
        <v>0.1131325660140175</v>
      </c>
      <c r="Z1275" s="27">
        <v>7.1768198720257817E-2</v>
      </c>
    </row>
    <row r="1276" spans="1:26" x14ac:dyDescent="0.2">
      <c r="A1276" s="1">
        <v>1274</v>
      </c>
      <c r="B1276" s="2" t="s">
        <v>287</v>
      </c>
      <c r="C1276" s="13" t="str">
        <f>HYPERLINK(AC2 &amp; "/key/3dw_f7a6f166-ba11-4855-9518-2bc54b62f88f/rendering/00.xyz", "0.0")</f>
        <v>0.0</v>
      </c>
      <c r="D1276" s="13" t="str">
        <f>HYPERLINK(AC2 &amp; "/key/3dw_f7a6f166-ba11-4855-9518-2bc54b62f88f/rendering/01.xyz", "0.0")</f>
        <v>0.0</v>
      </c>
      <c r="E1276" s="13" t="str">
        <f>HYPERLINK(AC2 &amp; "/key/3dw_f7a6f166-ba11-4855-9518-2bc54b62f88f/rendering/02.xyz", "0.0")</f>
        <v>0.0</v>
      </c>
      <c r="F1276" s="13" t="str">
        <f>HYPERLINK(AC2 &amp; "/key/3dw_f7a6f166-ba11-4855-9518-2bc54b62f88f/rendering/03.xyz", "0.0")</f>
        <v>0.0</v>
      </c>
      <c r="G1276" s="13" t="str">
        <f>HYPERLINK(AC2 &amp; "/key/3dw_f7a6f166-ba11-4855-9518-2bc54b62f88f/rendering/04.xyz", "0.0")</f>
        <v>0.0</v>
      </c>
      <c r="H1276" s="13" t="str">
        <f>HYPERLINK(AC2 &amp; "/key/3dw_f7a6f166-ba11-4855-9518-2bc54b62f88f/rendering/05.xyz", "0.0")</f>
        <v>0.0</v>
      </c>
      <c r="I1276" s="13" t="str">
        <f>HYPERLINK(AC2 &amp; "/key/3dw_f7a6f166-ba11-4855-9518-2bc54b62f88f/rendering/06.xyz", "0.0")</f>
        <v>0.0</v>
      </c>
      <c r="J1276" s="13" t="str">
        <f>HYPERLINK(AC2 &amp; "/key/3dw_f7a6f166-ba11-4855-9518-2bc54b62f88f/rendering/07.xyz", "0.0")</f>
        <v>0.0</v>
      </c>
      <c r="K1276" s="13" t="str">
        <f>HYPERLINK(AC2 &amp; "/key/3dw_f7a6f166-ba11-4855-9518-2bc54b62f88f/rendering/08.xyz", "0.0")</f>
        <v>0.0</v>
      </c>
      <c r="L1276" s="13" t="str">
        <f>HYPERLINK(AC2 &amp; "/key/3dw_f7a6f166-ba11-4855-9518-2bc54b62f88f/rendering/09.xyz", "0.0")</f>
        <v>0.0</v>
      </c>
      <c r="M1276" s="13" t="str">
        <f>HYPERLINK(AC2 &amp; "/key/3dw_f7a6f166-ba11-4855-9518-2bc54b62f88f/rendering/10.xyz", "0.0")</f>
        <v>0.0</v>
      </c>
      <c r="N1276" s="13" t="str">
        <f>HYPERLINK(AC2 &amp; "/key/3dw_f7a6f166-ba11-4855-9518-2bc54b62f88f/rendering/11.xyz", "0.0")</f>
        <v>0.0</v>
      </c>
      <c r="O1276" s="13" t="str">
        <f>HYPERLINK(AC2 &amp; "/key/3dw_f7a6f166-ba11-4855-9518-2bc54b62f88f/rendering/12.xyz", "0.0")</f>
        <v>0.0</v>
      </c>
      <c r="P1276" s="13" t="str">
        <f>HYPERLINK(AC2 &amp; "/key/3dw_f7a6f166-ba11-4855-9518-2bc54b62f88f/rendering/13.xyz", "0.0")</f>
        <v>0.0</v>
      </c>
      <c r="Q1276" s="13" t="str">
        <f>HYPERLINK(AC2 &amp; "/key/3dw_f7a6f166-ba11-4855-9518-2bc54b62f88f/rendering/14.xyz", "0.0")</f>
        <v>0.0</v>
      </c>
      <c r="R1276" s="13" t="str">
        <f>HYPERLINK(AC2 &amp; "/key/3dw_f7a6f166-ba11-4855-9518-2bc54b62f88f/rendering/15.xyz", "0.0")</f>
        <v>0.0</v>
      </c>
      <c r="S1276" s="13" t="str">
        <f>HYPERLINK(AC2 &amp; "/key/3dw_f7a6f166-ba11-4855-9518-2bc54b62f88f/rendering/16.xyz", "0.0")</f>
        <v>0.0</v>
      </c>
      <c r="T1276" s="13" t="str">
        <f>HYPERLINK(AC2 &amp; "/key/3dw_f7a6f166-ba11-4855-9518-2bc54b62f88f/rendering/17.xyz", "0.0")</f>
        <v>0.0</v>
      </c>
      <c r="U1276" s="13" t="str">
        <f>HYPERLINK(AC2 &amp; "/key/3dw_f7a6f166-ba11-4855-9518-2bc54b62f88f/rendering/18.xyz", "0.0")</f>
        <v>0.0</v>
      </c>
      <c r="V1276" s="13" t="str">
        <f>HYPERLINK(AC2 &amp; "/key/3dw_f7a6f166-ba11-4855-9518-2bc54b62f88f/rendering/19.xyz", "0.0")</f>
        <v>0.0</v>
      </c>
      <c r="W1276" s="12" t="s">
        <v>33</v>
      </c>
      <c r="X1276" s="13">
        <v>0</v>
      </c>
      <c r="Y1276" s="13">
        <v>0</v>
      </c>
      <c r="Z1276" s="13">
        <v>0</v>
      </c>
    </row>
    <row r="1277" spans="1:26" x14ac:dyDescent="0.2">
      <c r="A1277" s="1">
        <v>1275</v>
      </c>
      <c r="B1277" s="2" t="s">
        <v>288</v>
      </c>
      <c r="C1277" s="239" t="str">
        <f>HYPERLINK(AA2 &amp; "/key/3dw_fa931f99-b59c-4f63-ba5d-5b1aef9725c9/rendering/00.obj", "2.40564086914")</f>
        <v>2.40564086914</v>
      </c>
      <c r="D1277" s="78" t="str">
        <f>HYPERLINK(AA2 &amp; "/key/3dw_fa931f99-b59c-4f63-ba5d-5b1aef9725c9/rendering/01.obj", "5.75062011719")</f>
        <v>5.75062011719</v>
      </c>
      <c r="E1277" s="123" t="str">
        <f>HYPERLINK(AA2 &amp; "/key/3dw_fa931f99-b59c-4f63-ba5d-5b1aef9725c9/rendering/02.obj", "3.8656060791")</f>
        <v>3.8656060791</v>
      </c>
      <c r="F1277" s="231" t="str">
        <f>HYPERLINK(AA2 &amp; "/key/3dw_fa931f99-b59c-4f63-ba5d-5b1aef9725c9/rendering/03.obj", "9.64764831543")</f>
        <v>9.64764831543</v>
      </c>
      <c r="G1277" s="156" t="str">
        <f>HYPERLINK(AA2 &amp; "/key/3dw_fa931f99-b59c-4f63-ba5d-5b1aef9725c9/rendering/04.obj", "3.37756774902")</f>
        <v>3.37756774902</v>
      </c>
      <c r="H1277" s="249" t="str">
        <f>HYPERLINK(AA2 &amp; "/key/3dw_fa931f99-b59c-4f63-ba5d-5b1aef9725c9/rendering/05.obj", "2.62336273193")</f>
        <v>2.62336273193</v>
      </c>
      <c r="I1277" s="20" t="str">
        <f>HYPERLINK(AA2 &amp; "/key/3dw_fa931f99-b59c-4f63-ba5d-5b1aef9725c9/rendering/06.obj", "16.8645422363")</f>
        <v>16.8645422363</v>
      </c>
      <c r="J1277" s="164" t="str">
        <f>HYPERLINK(AA2 &amp; "/key/3dw_fa931f99-b59c-4f63-ba5d-5b1aef9725c9/rendering/07.obj", "2.22997802734")</f>
        <v>2.22997802734</v>
      </c>
      <c r="K1277" s="20" t="str">
        <f>HYPERLINK(AA2 &amp; "/key/3dw_fa931f99-b59c-4f63-ba5d-5b1aef9725c9/rendering/08.obj", "12.7048803711")</f>
        <v>12.7048803711</v>
      </c>
      <c r="L1277" s="20" t="str">
        <f>HYPERLINK(AA2 &amp; "/key/3dw_fa931f99-b59c-4f63-ba5d-5b1aef9725c9/rendering/09.obj", "13.8847973633")</f>
        <v>13.8847973633</v>
      </c>
      <c r="M1277" s="20" t="str">
        <f>HYPERLINK(AA2 &amp; "/key/3dw_fa931f99-b59c-4f63-ba5d-5b1aef9725c9/rendering/10.obj", "12.9989208984")</f>
        <v>12.9989208984</v>
      </c>
      <c r="N1277" s="161" t="str">
        <f>HYPERLINK(AA2 &amp; "/key/3dw_fa931f99-b59c-4f63-ba5d-5b1aef9725c9/rendering/11.obj", "2.53193450928")</f>
        <v>2.53193450928</v>
      </c>
      <c r="O1277" s="193" t="str">
        <f>HYPERLINK(AA2 &amp; "/key/3dw_fa931f99-b59c-4f63-ba5d-5b1aef9725c9/rendering/12.obj", "4.09610168457")</f>
        <v>4.09610168457</v>
      </c>
      <c r="P1277" s="125" t="str">
        <f>HYPERLINK(AA2 &amp; "/key/3dw_fa931f99-b59c-4f63-ba5d-5b1aef9725c9/rendering/13.obj", "1.76893127441")</f>
        <v>1.76893127441</v>
      </c>
      <c r="Q1277" s="191" t="str">
        <f>HYPERLINK(AA2 &amp; "/key/3dw_fa931f99-b59c-4f63-ba5d-5b1aef9725c9/rendering/14.obj", "3.34224121094")</f>
        <v>3.34224121094</v>
      </c>
      <c r="R1277" s="228" t="str">
        <f>HYPERLINK(AA2 &amp; "/key/3dw_fa931f99-b59c-4f63-ba5d-5b1aef9725c9/rendering/15.obj", "2.86630126953")</f>
        <v>2.86630126953</v>
      </c>
      <c r="S1277" s="196" t="str">
        <f>HYPERLINK(AA2 &amp; "/key/3dw_fa931f99-b59c-4f63-ba5d-5b1aef9725c9/rendering/16.obj", "3.68907897949")</f>
        <v>3.68907897949</v>
      </c>
      <c r="T1277" s="156" t="str">
        <f>HYPERLINK(AA2 &amp; "/key/3dw_fa931f99-b59c-4f63-ba5d-5b1aef9725c9/rendering/17.obj", "3.39511260986")</f>
        <v>3.39511260986</v>
      </c>
      <c r="U1277" s="235" t="str">
        <f>HYPERLINK(AA2 &amp; "/key/3dw_fa931f99-b59c-4f63-ba5d-5b1aef9725c9/rendering/18.obj", "2.80947967529")</f>
        <v>2.80947967529</v>
      </c>
      <c r="V1277" s="20" t="str">
        <f>HYPERLINK(AA2 &amp; "/key/3dw_fa931f99-b59c-4f63-ba5d-5b1aef9725c9/rendering/19.obj", "11.6028100586")</f>
        <v>11.6028100586</v>
      </c>
      <c r="W1277" s="12" t="s">
        <v>29</v>
      </c>
      <c r="X1277" s="13">
        <v>6.1227778015136716</v>
      </c>
      <c r="Y1277" s="13">
        <v>4.6974264628330804</v>
      </c>
      <c r="Z1277" s="211">
        <v>0.76720511753207543</v>
      </c>
    </row>
    <row r="1278" spans="1:26" x14ac:dyDescent="0.2">
      <c r="A1278" s="1">
        <v>1276</v>
      </c>
      <c r="B1278" s="2" t="s">
        <v>288</v>
      </c>
      <c r="C1278" s="20" t="str">
        <f>HYPERLINK(AA2 &amp; "/key/3dw_fa931f99-b59c-4f63-ba5d-5b1aef9725c9/rendering/00.obj", "6.73584461212")</f>
        <v>6.73584461212</v>
      </c>
      <c r="D1278" s="178" t="str">
        <f>HYPERLINK(AA2 &amp; "/key/3dw_fa931f99-b59c-4f63-ba5d-5b1aef9725c9/rendering/01.obj", "22.7829265594")</f>
        <v>22.7829265594</v>
      </c>
      <c r="E1278" s="20" t="str">
        <f>HYPERLINK(AA2 &amp; "/key/3dw_fa931f99-b59c-4f63-ba5d-5b1aef9725c9/rendering/02.obj", "11.222784996")</f>
        <v>11.222784996</v>
      </c>
      <c r="F1278" s="168" t="str">
        <f>HYPERLINK(AA2 &amp; "/key/3dw_fa931f99-b59c-4f63-ba5d-5b1aef9725c9/rendering/03.obj", "85.2445449829")</f>
        <v>85.2445449829</v>
      </c>
      <c r="G1278" s="20" t="str">
        <f>HYPERLINK(AA2 &amp; "/key/3dw_fa931f99-b59c-4f63-ba5d-5b1aef9725c9/rendering/04.obj", "8.96713447571")</f>
        <v>8.96713447571</v>
      </c>
      <c r="H1278" s="20" t="str">
        <f>HYPERLINK(AA2 &amp; "/key/3dw_fa931f99-b59c-4f63-ba5d-5b1aef9725c9/rendering/05.obj", "9.05222988129")</f>
        <v>9.05222988129</v>
      </c>
      <c r="I1278" s="20" t="str">
        <f>HYPERLINK(AA2 &amp; "/key/3dw_fa931f99-b59c-4f63-ba5d-5b1aef9725c9/rendering/06.obj", "356.372436523")</f>
        <v>356.372436523</v>
      </c>
      <c r="J1278" s="20" t="str">
        <f>HYPERLINK(AA2 &amp; "/key/3dw_fa931f99-b59c-4f63-ba5d-5b1aef9725c9/rendering/07.obj", "9.31709003448")</f>
        <v>9.31709003448</v>
      </c>
      <c r="K1278" s="20" t="str">
        <f>HYPERLINK(AA2 &amp; "/key/3dw_fa931f99-b59c-4f63-ba5d-5b1aef9725c9/rendering/08.obj", "206.866485596")</f>
        <v>206.866485596</v>
      </c>
      <c r="L1278" s="20" t="str">
        <f>HYPERLINK(AA2 &amp; "/key/3dw_fa931f99-b59c-4f63-ba5d-5b1aef9725c9/rendering/09.obj", "216.198608398")</f>
        <v>216.198608398</v>
      </c>
      <c r="M1278" s="20" t="str">
        <f>HYPERLINK(AA2 &amp; "/key/3dw_fa931f99-b59c-4f63-ba5d-5b1aef9725c9/rendering/10.obj", "190.955337524")</f>
        <v>190.955337524</v>
      </c>
      <c r="N1278" s="20" t="str">
        <f>HYPERLINK(AA2 &amp; "/key/3dw_fa931f99-b59c-4f63-ba5d-5b1aef9725c9/rendering/11.obj", "5.60615634918")</f>
        <v>5.60615634918</v>
      </c>
      <c r="O1278" s="183" t="str">
        <f>HYPERLINK(AA2 &amp; "/key/3dw_fa931f99-b59c-4f63-ba5d-5b1aef9725c9/rendering/12.obj", "16.0933952332")</f>
        <v>16.0933952332</v>
      </c>
      <c r="P1278" s="20" t="str">
        <f>HYPERLINK(AA2 &amp; "/key/3dw_fa931f99-b59c-4f63-ba5d-5b1aef9725c9/rendering/13.obj", "4.74803876877")</f>
        <v>4.74803876877</v>
      </c>
      <c r="Q1278" s="20" t="str">
        <f>HYPERLINK(AA2 &amp; "/key/3dw_fa931f99-b59c-4f63-ba5d-5b1aef9725c9/rendering/14.obj", "12.1829967499")</f>
        <v>12.1829967499</v>
      </c>
      <c r="R1278" s="20" t="str">
        <f>HYPERLINK(AA2 &amp; "/key/3dw_fa931f99-b59c-4f63-ba5d-5b1aef9725c9/rendering/15.obj", "8.87239551544")</f>
        <v>8.87239551544</v>
      </c>
      <c r="S1278" s="180" t="str">
        <f>HYPERLINK(AA2 &amp; "/key/3dw_fa931f99-b59c-4f63-ba5d-5b1aef9725c9/rendering/16.obj", "13.6348323822")</f>
        <v>13.6348323822</v>
      </c>
      <c r="T1278" s="20" t="str">
        <f>HYPERLINK(AA2 &amp; "/key/3dw_fa931f99-b59c-4f63-ba5d-5b1aef9725c9/rendering/17.obj", "10.1878070831")</f>
        <v>10.1878070831</v>
      </c>
      <c r="U1278" s="20" t="str">
        <f>HYPERLINK(AA2 &amp; "/key/3dw_fa931f99-b59c-4f63-ba5d-5b1aef9725c9/rendering/18.obj", "7.78424692154")</f>
        <v>7.78424692154</v>
      </c>
      <c r="V1278" s="151" t="str">
        <f>HYPERLINK(AA2 &amp; "/key/3dw_fa931f99-b59c-4f63-ba5d-5b1aef9725c9/rendering/19.obj", "87.6976928711")</f>
        <v>87.6976928711</v>
      </c>
      <c r="W1278" s="12" t="s">
        <v>30</v>
      </c>
      <c r="X1278" s="13">
        <v>64.526149272918701</v>
      </c>
      <c r="Y1278" s="13">
        <v>96.57013745343815</v>
      </c>
      <c r="Z1278" s="20">
        <v>1.496604687271617</v>
      </c>
    </row>
    <row r="1279" spans="1:26" x14ac:dyDescent="0.2">
      <c r="A1279" s="1">
        <v>1277</v>
      </c>
      <c r="B1279" s="2" t="s">
        <v>288</v>
      </c>
      <c r="C1279" s="215" t="str">
        <f>HYPERLINK(AB2 &amp; "/key/3dw_fa931f99-b59c-4f63-ba5d-5b1aef9725c9/rendering/00.obj", "2.86256408691")</f>
        <v>2.86256408691</v>
      </c>
      <c r="D1279" s="13" t="str">
        <f>HYPERLINK(AB2 &amp; "/key/3dw_fa931f99-b59c-4f63-ba5d-5b1aef9725c9/rendering/01.obj", "1.71628128052")</f>
        <v>1.71628128052</v>
      </c>
      <c r="E1279" s="29" t="str">
        <f>HYPERLINK(AB2 &amp; "/key/3dw_fa931f99-b59c-4f63-ba5d-5b1aef9725c9/rendering/02.obj", "1.93437484741")</f>
        <v>1.93437484741</v>
      </c>
      <c r="F1279" s="8" t="str">
        <f>HYPERLINK(AB2 &amp; "/key/3dw_fa931f99-b59c-4f63-ba5d-5b1aef9725c9/rendering/03.obj", "1.46711273193")</f>
        <v>1.46711273193</v>
      </c>
      <c r="G1279" s="39" t="str">
        <f>HYPERLINK(AB2 &amp; "/key/3dw_fa931f99-b59c-4f63-ba5d-5b1aef9725c9/rendering/04.obj", "1.56815567017")</f>
        <v>1.56815567017</v>
      </c>
      <c r="H1279" s="83" t="str">
        <f>HYPERLINK(AB2 &amp; "/key/3dw_fa931f99-b59c-4f63-ba5d-5b1aef9725c9/rendering/05.obj", "1.45517242432")</f>
        <v>1.45517242432</v>
      </c>
      <c r="I1279" s="23" t="str">
        <f>HYPERLINK(AB2 &amp; "/key/3dw_fa931f99-b59c-4f63-ba5d-5b1aef9725c9/rendering/06.obj", "1.78157928467")</f>
        <v>1.78157928467</v>
      </c>
      <c r="J1279" s="74" t="str">
        <f>HYPERLINK(AB2 &amp; "/key/3dw_fa931f99-b59c-4f63-ba5d-5b1aef9725c9/rendering/07.obj", "1.74054290771")</f>
        <v>1.74054290771</v>
      </c>
      <c r="K1279" s="133" t="str">
        <f>HYPERLINK(AB2 &amp; "/key/3dw_fa931f99-b59c-4f63-ba5d-5b1aef9725c9/rendering/08.obj", "1.53654541016")</f>
        <v>1.53654541016</v>
      </c>
      <c r="L1279" s="106" t="str">
        <f>HYPERLINK(AB2 &amp; "/key/3dw_fa931f99-b59c-4f63-ba5d-5b1aef9725c9/rendering/09.obj", "1.9115927124")</f>
        <v>1.9115927124</v>
      </c>
      <c r="M1279" s="30" t="str">
        <f>HYPERLINK(AB2 &amp; "/key/3dw_fa931f99-b59c-4f63-ba5d-5b1aef9725c9/rendering/10.obj", "1.72212234497")</f>
        <v>1.72212234497</v>
      </c>
      <c r="N1279" s="76" t="str">
        <f>HYPERLINK(AB2 &amp; "/key/3dw_fa931f99-b59c-4f63-ba5d-5b1aef9725c9/rendering/11.obj", "1.40191390991")</f>
        <v>1.40191390991</v>
      </c>
      <c r="O1279" s="84" t="str">
        <f>HYPERLINK(AB2 &amp; "/key/3dw_fa931f99-b59c-4f63-ba5d-5b1aef9725c9/rendering/12.obj", "1.46365722656")</f>
        <v>1.46365722656</v>
      </c>
      <c r="P1279" s="47" t="str">
        <f>HYPERLINK(AB2 &amp; "/key/3dw_fa931f99-b59c-4f63-ba5d-5b1aef9725c9/rendering/13.obj", "1.72516799927")</f>
        <v>1.72516799927</v>
      </c>
      <c r="Q1279" s="84" t="str">
        <f>HYPERLINK(AB2 &amp; "/key/3dw_fa931f99-b59c-4f63-ba5d-5b1aef9725c9/rendering/14.obj", "1.96267456055")</f>
        <v>1.96267456055</v>
      </c>
      <c r="R1279" s="110" t="str">
        <f>HYPERLINK(AB2 &amp; "/key/3dw_fa931f99-b59c-4f63-ba5d-5b1aef9725c9/rendering/15.obj", "1.54333404541")</f>
        <v>1.54333404541</v>
      </c>
      <c r="S1279" s="72" t="str">
        <f>HYPERLINK(AB2 &amp; "/key/3dw_fa931f99-b59c-4f63-ba5d-5b1aef9725c9/rendering/16.obj", "1.768540802")</f>
        <v>1.768540802</v>
      </c>
      <c r="T1279" s="51" t="str">
        <f>HYPERLINK(AB2 &amp; "/key/3dw_fa931f99-b59c-4f63-ba5d-5b1aef9725c9/rendering/17.obj", "1.57666290283")</f>
        <v>1.57666290283</v>
      </c>
      <c r="U1279" s="39" t="str">
        <f>HYPERLINK(AB2 &amp; "/key/3dw_fa931f99-b59c-4f63-ba5d-5b1aef9725c9/rendering/18.obj", "1.86355041504")</f>
        <v>1.86355041504</v>
      </c>
      <c r="V1279" s="135" t="str">
        <f>HYPERLINK(AB2 &amp; "/key/3dw_fa931f99-b59c-4f63-ba5d-5b1aef9725c9/rendering/19.obj", "1.27562522888")</f>
        <v>1.27562522888</v>
      </c>
      <c r="W1279" s="12" t="s">
        <v>31</v>
      </c>
      <c r="X1279" s="13">
        <v>1.7138585395812991</v>
      </c>
      <c r="Y1279" s="13">
        <v>0.32252048147801882</v>
      </c>
      <c r="Z1279" s="77">
        <v>0.1881838401650183</v>
      </c>
    </row>
    <row r="1280" spans="1:26" x14ac:dyDescent="0.2">
      <c r="A1280" s="1">
        <v>1278</v>
      </c>
      <c r="B1280" s="2" t="s">
        <v>288</v>
      </c>
      <c r="C1280" s="164" t="str">
        <f>HYPERLINK(AB2 &amp; "/key/3dw_fa931f99-b59c-4f63-ba5d-5b1aef9725c9/rendering/00.obj", "6.04416942596")</f>
        <v>6.04416942596</v>
      </c>
      <c r="D1280" s="106" t="str">
        <f>HYPERLINK(AB2 &amp; "/key/3dw_fa931f99-b59c-4f63-ba5d-5b1aef9725c9/rendering/01.obj", "3.27647590637")</f>
        <v>3.27647590637</v>
      </c>
      <c r="E1280" s="29" t="str">
        <f>HYPERLINK(AB2 &amp; "/key/3dw_fa931f99-b59c-4f63-ba5d-5b1aef9725c9/rendering/02.obj", "4.17793083191")</f>
        <v>4.17793083191</v>
      </c>
      <c r="F1280" s="50" t="str">
        <f>HYPERLINK(AB2 &amp; "/key/3dw_fa931f99-b59c-4f63-ba5d-5b1aef9725c9/rendering/03.obj", "2.96076107025")</f>
        <v>2.96076107025</v>
      </c>
      <c r="G1280" s="70" t="str">
        <f>HYPERLINK(AB2 &amp; "/key/3dw_fa931f99-b59c-4f63-ba5d-5b1aef9725c9/rendering/04.obj", "3.2283680439")</f>
        <v>3.2283680439</v>
      </c>
      <c r="H1280" s="5" t="str">
        <f>HYPERLINK(AB2 &amp; "/key/3dw_fa931f99-b59c-4f63-ba5d-5b1aef9725c9/rendering/05.obj", "3.97421169281")</f>
        <v>3.97421169281</v>
      </c>
      <c r="I1280" s="69" t="str">
        <f>HYPERLINK(AB2 &amp; "/key/3dw_fa931f99-b59c-4f63-ba5d-5b1aef9725c9/rendering/06.obj", "3.58741521835")</f>
        <v>3.58741521835</v>
      </c>
      <c r="J1280" s="23" t="str">
        <f>HYPERLINK(AB2 &amp; "/key/3dw_fa931f99-b59c-4f63-ba5d-5b1aef9725c9/rendering/07.obj", "3.55404639244")</f>
        <v>3.55404639244</v>
      </c>
      <c r="K1280" s="26" t="str">
        <f>HYPERLINK(AB2 &amp; "/key/3dw_fa931f99-b59c-4f63-ba5d-5b1aef9725c9/rendering/08.obj", "3.46041083336")</f>
        <v>3.46041083336</v>
      </c>
      <c r="L1280" s="80" t="str">
        <f>HYPERLINK(AB2 &amp; "/key/3dw_fa931f99-b59c-4f63-ba5d-5b1aef9725c9/rendering/09.obj", "3.1409034729")</f>
        <v>3.1409034729</v>
      </c>
      <c r="M1280" s="64" t="str">
        <f>HYPERLINK(AB2 &amp; "/key/3dw_fa931f99-b59c-4f63-ba5d-5b1aef9725c9/rendering/10.obj", "3.08694911003")</f>
        <v>3.08694911003</v>
      </c>
      <c r="N1280" s="109" t="str">
        <f>HYPERLINK(AB2 &amp; "/key/3dw_fa931f99-b59c-4f63-ba5d-5b1aef9725c9/rendering/11.obj", "2.98961186409")</f>
        <v>2.98961186409</v>
      </c>
      <c r="O1280" s="110" t="str">
        <f>HYPERLINK(AB2 &amp; "/key/3dw_fa931f99-b59c-4f63-ba5d-5b1aef9725c9/rendering/12.obj", "3.3273704052")</f>
        <v>3.3273704052</v>
      </c>
      <c r="P1280" s="48" t="str">
        <f>HYPERLINK(AB2 &amp; "/key/3dw_fa931f99-b59c-4f63-ba5d-5b1aef9725c9/rendering/13.obj", "3.60710740089")</f>
        <v>3.60710740089</v>
      </c>
      <c r="Q1280" s="23" t="str">
        <f>HYPERLINK(AB2 &amp; "/key/3dw_fa931f99-b59c-4f63-ba5d-5b1aef9725c9/rendering/14.obj", "3.54701900482")</f>
        <v>3.54701900482</v>
      </c>
      <c r="R1280" s="91" t="str">
        <f>HYPERLINK(AB2 &amp; "/key/3dw_fa931f99-b59c-4f63-ba5d-5b1aef9725c9/rendering/15.obj", "3.59833264351")</f>
        <v>3.59833264351</v>
      </c>
      <c r="S1280" s="108" t="str">
        <f>HYPERLINK(AB2 &amp; "/key/3dw_fa931f99-b59c-4f63-ba5d-5b1aef9725c9/rendering/16.obj", "4.60684156418")</f>
        <v>4.60684156418</v>
      </c>
      <c r="T1280" s="74" t="str">
        <f>HYPERLINK(AB2 &amp; "/key/3dw_fa931f99-b59c-4f63-ba5d-5b1aef9725c9/rendering/17.obj", "3.6400847435")</f>
        <v>3.6400847435</v>
      </c>
      <c r="U1280" s="176" t="str">
        <f>HYPERLINK(AB2 &amp; "/key/3dw_fa931f99-b59c-4f63-ba5d-5b1aef9725c9/rendering/18.obj", "4.87366724014")</f>
        <v>4.87366724014</v>
      </c>
      <c r="V1280" s="29" t="str">
        <f>HYPERLINK(AB2 &amp; "/key/3dw_fa931f99-b59c-4f63-ba5d-5b1aef9725c9/rendering/19.obj", "3.21162343025")</f>
        <v>3.21162343025</v>
      </c>
      <c r="W1280" s="12" t="s">
        <v>32</v>
      </c>
      <c r="X1280" s="13">
        <v>3.6946650147438049</v>
      </c>
      <c r="Y1280" s="13">
        <v>0.72986595126870324</v>
      </c>
      <c r="Z1280" s="44">
        <v>0.19754590696480601</v>
      </c>
    </row>
    <row r="1281" spans="1:26" x14ac:dyDescent="0.2">
      <c r="A1281" s="1">
        <v>1279</v>
      </c>
      <c r="B1281" s="2" t="s">
        <v>288</v>
      </c>
      <c r="C1281" s="13" t="str">
        <f>HYPERLINK(AC2 &amp; "/key/3dw_fa931f99-b59c-4f63-ba5d-5b1aef9725c9/rendering/00.xyz", "0.0")</f>
        <v>0.0</v>
      </c>
      <c r="D1281" s="13" t="str">
        <f>HYPERLINK(AC2 &amp; "/key/3dw_fa931f99-b59c-4f63-ba5d-5b1aef9725c9/rendering/01.xyz", "0.0")</f>
        <v>0.0</v>
      </c>
      <c r="E1281" s="13" t="str">
        <f>HYPERLINK(AC2 &amp; "/key/3dw_fa931f99-b59c-4f63-ba5d-5b1aef9725c9/rendering/02.xyz", "0.0")</f>
        <v>0.0</v>
      </c>
      <c r="F1281" s="13" t="str">
        <f>HYPERLINK(AC2 &amp; "/key/3dw_fa931f99-b59c-4f63-ba5d-5b1aef9725c9/rendering/03.xyz", "0.0")</f>
        <v>0.0</v>
      </c>
      <c r="G1281" s="13" t="str">
        <f>HYPERLINK(AC2 &amp; "/key/3dw_fa931f99-b59c-4f63-ba5d-5b1aef9725c9/rendering/04.xyz", "0.0")</f>
        <v>0.0</v>
      </c>
      <c r="H1281" s="13" t="str">
        <f>HYPERLINK(AC2 &amp; "/key/3dw_fa931f99-b59c-4f63-ba5d-5b1aef9725c9/rendering/05.xyz", "0.0")</f>
        <v>0.0</v>
      </c>
      <c r="I1281" s="13" t="str">
        <f>HYPERLINK(AC2 &amp; "/key/3dw_fa931f99-b59c-4f63-ba5d-5b1aef9725c9/rendering/06.xyz", "0.0")</f>
        <v>0.0</v>
      </c>
      <c r="J1281" s="13" t="str">
        <f>HYPERLINK(AC2 &amp; "/key/3dw_fa931f99-b59c-4f63-ba5d-5b1aef9725c9/rendering/07.xyz", "0.0")</f>
        <v>0.0</v>
      </c>
      <c r="K1281" s="13" t="str">
        <f>HYPERLINK(AC2 &amp; "/key/3dw_fa931f99-b59c-4f63-ba5d-5b1aef9725c9/rendering/08.xyz", "0.0")</f>
        <v>0.0</v>
      </c>
      <c r="L1281" s="13" t="str">
        <f>HYPERLINK(AC2 &amp; "/key/3dw_fa931f99-b59c-4f63-ba5d-5b1aef9725c9/rendering/09.xyz", "0.0")</f>
        <v>0.0</v>
      </c>
      <c r="M1281" s="13" t="str">
        <f>HYPERLINK(AC2 &amp; "/key/3dw_fa931f99-b59c-4f63-ba5d-5b1aef9725c9/rendering/10.xyz", "0.0")</f>
        <v>0.0</v>
      </c>
      <c r="N1281" s="13" t="str">
        <f>HYPERLINK(AC2 &amp; "/key/3dw_fa931f99-b59c-4f63-ba5d-5b1aef9725c9/rendering/11.xyz", "0.0")</f>
        <v>0.0</v>
      </c>
      <c r="O1281" s="13" t="str">
        <f>HYPERLINK(AC2 &amp; "/key/3dw_fa931f99-b59c-4f63-ba5d-5b1aef9725c9/rendering/12.xyz", "0.0")</f>
        <v>0.0</v>
      </c>
      <c r="P1281" s="13" t="str">
        <f>HYPERLINK(AC2 &amp; "/key/3dw_fa931f99-b59c-4f63-ba5d-5b1aef9725c9/rendering/13.xyz", "0.0")</f>
        <v>0.0</v>
      </c>
      <c r="Q1281" s="13" t="str">
        <f>HYPERLINK(AC2 &amp; "/key/3dw_fa931f99-b59c-4f63-ba5d-5b1aef9725c9/rendering/14.xyz", "0.0")</f>
        <v>0.0</v>
      </c>
      <c r="R1281" s="13" t="str">
        <f>HYPERLINK(AC2 &amp; "/key/3dw_fa931f99-b59c-4f63-ba5d-5b1aef9725c9/rendering/15.xyz", "0.0")</f>
        <v>0.0</v>
      </c>
      <c r="S1281" s="13" t="str">
        <f>HYPERLINK(AC2 &amp; "/key/3dw_fa931f99-b59c-4f63-ba5d-5b1aef9725c9/rendering/16.xyz", "0.0")</f>
        <v>0.0</v>
      </c>
      <c r="T1281" s="13" t="str">
        <f>HYPERLINK(AC2 &amp; "/key/3dw_fa931f99-b59c-4f63-ba5d-5b1aef9725c9/rendering/17.xyz", "0.0")</f>
        <v>0.0</v>
      </c>
      <c r="U1281" s="13" t="str">
        <f>HYPERLINK(AC2 &amp; "/key/3dw_fa931f99-b59c-4f63-ba5d-5b1aef9725c9/rendering/18.xyz", "0.0")</f>
        <v>0.0</v>
      </c>
      <c r="V1281" s="13" t="str">
        <f>HYPERLINK(AC2 &amp; "/key/3dw_fa931f99-b59c-4f63-ba5d-5b1aef9725c9/rendering/19.xyz", "0.0")</f>
        <v>0.0</v>
      </c>
      <c r="W1281" s="12" t="s">
        <v>33</v>
      </c>
      <c r="X1281" s="13">
        <v>0</v>
      </c>
      <c r="Y1281" s="13">
        <v>0</v>
      </c>
      <c r="Z1281" s="13">
        <v>0</v>
      </c>
    </row>
    <row r="1282" spans="1:26" x14ac:dyDescent="0.2">
      <c r="A1282" s="1">
        <v>1280</v>
      </c>
      <c r="B1282" s="2" t="s">
        <v>289</v>
      </c>
      <c r="C1282" s="17" t="str">
        <f>HYPERLINK(AA2 &amp; "/key/3dw_fb60ab63-62f5-4eb6-bf40-75ca594150cd/rendering/00.obj", "2.23535354614")</f>
        <v>2.23535354614</v>
      </c>
      <c r="D1282" s="149" t="str">
        <f>HYPERLINK(AA2 &amp; "/key/3dw_fb60ab63-62f5-4eb6-bf40-75ca594150cd/rendering/01.obj", "1.49890563965")</f>
        <v>1.49890563965</v>
      </c>
      <c r="E1282" s="180" t="str">
        <f>HYPERLINK(AA2 &amp; "/key/3dw_fb60ab63-62f5-4eb6-bf40-75ca594150cd/rendering/02.obj", "4.07416534424")</f>
        <v>4.07416534424</v>
      </c>
      <c r="F1282" s="171" t="str">
        <f>HYPERLINK(AA2 &amp; "/key/3dw_fb60ab63-62f5-4eb6-bf40-75ca594150cd/rendering/03.obj", "2.97358184814")</f>
        <v>2.97358184814</v>
      </c>
      <c r="G1282" s="20" t="str">
        <f>HYPERLINK(AA2 &amp; "/key/3dw_fb60ab63-62f5-4eb6-bf40-75ca594150cd/rendering/04.obj", "4.72542510986")</f>
        <v>4.72542510986</v>
      </c>
      <c r="H1282" s="94" t="str">
        <f>HYPERLINK(AA2 &amp; "/key/3dw_fb60ab63-62f5-4eb6-bf40-75ca594150cd/rendering/05.obj", "2.10855377197")</f>
        <v>2.10855377197</v>
      </c>
      <c r="I1282" s="182" t="str">
        <f>HYPERLINK(AA2 &amp; "/key/3dw_fb60ab63-62f5-4eb6-bf40-75ca594150cd/rendering/06.obj", "1.51912063599")</f>
        <v>1.51912063599</v>
      </c>
      <c r="J1282" s="8" t="str">
        <f>HYPERLINK(AA2 &amp; "/key/3dw_fb60ab63-62f5-4eb6-bf40-75ca594150cd/rendering/07.obj", "1.95620361328")</f>
        <v>1.95620361328</v>
      </c>
      <c r="K1282" s="193" t="str">
        <f>HYPERLINK(AA2 &amp; "/key/3dw_fb60ab63-62f5-4eb6-bf40-75ca594150cd/rendering/08.obj", "1.52368225098")</f>
        <v>1.52368225098</v>
      </c>
      <c r="L1282" s="128" t="str">
        <f>HYPERLINK(AA2 &amp; "/key/3dw_fb60ab63-62f5-4eb6-bf40-75ca594150cd/rendering/09.obj", "1.38655853271")</f>
        <v>1.38655853271</v>
      </c>
      <c r="M1282" s="24" t="str">
        <f>HYPERLINK(AA2 &amp; "/key/3dw_fb60ab63-62f5-4eb6-bf40-75ca594150cd/rendering/10.obj", "1.89331481934")</f>
        <v>1.89331481934</v>
      </c>
      <c r="N1282" s="16" t="str">
        <f>HYPERLINK(AA2 &amp; "/key/3dw_fb60ab63-62f5-4eb6-bf40-75ca594150cd/rendering/11.obj", "1.03935752869")</f>
        <v>1.03935752869</v>
      </c>
      <c r="O1282" s="82" t="str">
        <f>HYPERLINK(AA2 &amp; "/key/3dw_fb60ab63-62f5-4eb6-bf40-75ca594150cd/rendering/12.obj", "1.80954406738")</f>
        <v>1.80954406738</v>
      </c>
      <c r="P1282" s="182" t="str">
        <f>HYPERLINK(AA2 &amp; "/key/3dw_fb60ab63-62f5-4eb6-bf40-75ca594150cd/rendering/13.obj", "1.51412445068")</f>
        <v>1.51412445068</v>
      </c>
      <c r="Q1282" s="28" t="str">
        <f>HYPERLINK(AA2 &amp; "/key/3dw_fb60ab63-62f5-4eb6-bf40-75ca594150cd/rendering/14.obj", "2.53571075439")</f>
        <v>2.53571075439</v>
      </c>
      <c r="R1282" s="50" t="str">
        <f>HYPERLINK(AA2 &amp; "/key/3dw_fb60ab63-62f5-4eb6-bf40-75ca594150cd/rendering/15.obj", "1.82543441772")</f>
        <v>1.82543441772</v>
      </c>
      <c r="S1282" s="96" t="str">
        <f>HYPERLINK(AA2 &amp; "/key/3dw_fb60ab63-62f5-4eb6-bf40-75ca594150cd/rendering/16.obj", "1.45476287842")</f>
        <v>1.45476287842</v>
      </c>
      <c r="T1282" s="175" t="str">
        <f>HYPERLINK(AA2 &amp; "/key/3dw_fb60ab63-62f5-4eb6-bf40-75ca594150cd/rendering/17.obj", "2.81029907227")</f>
        <v>2.81029907227</v>
      </c>
      <c r="U1282" s="137" t="str">
        <f>HYPERLINK(AA2 &amp; "/key/3dw_fb60ab63-62f5-4eb6-bf40-75ca594150cd/rendering/18.obj", "1.44709793091")</f>
        <v>1.44709793091</v>
      </c>
      <c r="V1282" s="20" t="str">
        <f>HYPERLINK(AA2 &amp; "/key/3dw_fb60ab63-62f5-4eb6-bf40-75ca594150cd/rendering/19.obj", "5.24633056641")</f>
        <v>5.24633056641</v>
      </c>
      <c r="W1282" s="12" t="s">
        <v>29</v>
      </c>
      <c r="X1282" s="13">
        <v>2.2788763389587401</v>
      </c>
      <c r="Y1282" s="13">
        <v>1.131357645970998</v>
      </c>
      <c r="Z1282" s="102">
        <v>0.49645416323376967</v>
      </c>
    </row>
    <row r="1283" spans="1:26" x14ac:dyDescent="0.2">
      <c r="A1283" s="1">
        <v>1281</v>
      </c>
      <c r="B1283" s="2" t="s">
        <v>289</v>
      </c>
      <c r="C1283" s="5" t="str">
        <f>HYPERLINK(AA2 &amp; "/key/3dw_fb60ab63-62f5-4eb6-bf40-75ca594150cd/rendering/00.obj", "4.89484357834")</f>
        <v>4.89484357834</v>
      </c>
      <c r="D1283" s="244" t="str">
        <f>HYPERLINK(AA2 &amp; "/key/3dw_fb60ab63-62f5-4eb6-bf40-75ca594150cd/rendering/01.obj", "1.75661242008")</f>
        <v>1.75661242008</v>
      </c>
      <c r="E1283" s="20" t="str">
        <f>HYPERLINK(AA2 &amp; "/key/3dw_fb60ab63-62f5-4eb6-bf40-75ca594150cd/rendering/02.obj", "14.7705955505")</f>
        <v>14.7705955505</v>
      </c>
      <c r="F1283" s="73" t="str">
        <f>HYPERLINK(AA2 &amp; "/key/3dw_fb60ab63-62f5-4eb6-bf40-75ca594150cd/rendering/03.obj", "4.70945501328")</f>
        <v>4.70945501328</v>
      </c>
      <c r="G1283" s="20" t="str">
        <f>HYPERLINK(AA2 &amp; "/key/3dw_fb60ab63-62f5-4eb6-bf40-75ca594150cd/rendering/04.obj", "14.3003978729")</f>
        <v>14.3003978729</v>
      </c>
      <c r="H1283" s="19" t="str">
        <f>HYPERLINK(AA2 &amp; "/key/3dw_fb60ab63-62f5-4eb6-bf40-75ca594150cd/rendering/05.obj", "3.34700751305")</f>
        <v>3.34700751305</v>
      </c>
      <c r="I1283" s="248" t="str">
        <f>HYPERLINK(AA2 &amp; "/key/3dw_fb60ab63-62f5-4eb6-bf40-75ca594150cd/rendering/06.obj", "1.53627860546")</f>
        <v>1.53627860546</v>
      </c>
      <c r="J1283" s="116" t="str">
        <f>HYPERLINK(AA2 &amp; "/key/3dw_fb60ab63-62f5-4eb6-bf40-75ca594150cd/rendering/07.obj", "2.5526034832")</f>
        <v>2.5526034832</v>
      </c>
      <c r="K1283" s="21" t="str">
        <f>HYPERLINK(AA2 &amp; "/key/3dw_fb60ab63-62f5-4eb6-bf40-75ca594150cd/rendering/08.obj", "2.02262687683")</f>
        <v>2.02262687683</v>
      </c>
      <c r="L1283" s="216" t="str">
        <f>HYPERLINK(AA2 &amp; "/key/3dw_fb60ab63-62f5-4eb6-bf40-75ca594150cd/rendering/09.obj", "1.5885848999")</f>
        <v>1.5885848999</v>
      </c>
      <c r="M1283" s="231" t="str">
        <f>HYPERLINK(AA2 &amp; "/key/3dw_fb60ab63-62f5-4eb6-bf40-75ca594150cd/rendering/10.obj", "1.92491018772")</f>
        <v>1.92491018772</v>
      </c>
      <c r="N1283" s="216" t="str">
        <f>HYPERLINK(AA2 &amp; "/key/3dw_fb60ab63-62f5-4eb6-bf40-75ca594150cd/rendering/11.obj", "1.59121465683")</f>
        <v>1.59121465683</v>
      </c>
      <c r="O1283" s="249" t="str">
        <f>HYPERLINK(AA2 &amp; "/key/3dw_fb60ab63-62f5-4eb6-bf40-75ca594150cd/rendering/12.obj", "1.93832421303")</f>
        <v>1.93832421303</v>
      </c>
      <c r="P1283" s="249" t="str">
        <f>HYPERLINK(AA2 &amp; "/key/3dw_fb60ab63-62f5-4eb6-bf40-75ca594150cd/rendering/13.obj", "1.93733894825")</f>
        <v>1.93733894825</v>
      </c>
      <c r="Q1283" s="92" t="str">
        <f>HYPERLINK(AA2 &amp; "/key/3dw_fb60ab63-62f5-4eb6-bf40-75ca594150cd/rendering/14.obj", "3.97047877312")</f>
        <v>3.97047877312</v>
      </c>
      <c r="R1283" s="206" t="str">
        <f>HYPERLINK(AA2 &amp; "/key/3dw_fb60ab63-62f5-4eb6-bf40-75ca594150cd/rendering/15.obj", "1.8534924984")</f>
        <v>1.8534924984</v>
      </c>
      <c r="S1283" s="9" t="str">
        <f>HYPERLINK(AA2 &amp; "/key/3dw_fb60ab63-62f5-4eb6-bf40-75ca594150cd/rendering/16.obj", "1.55223345757")</f>
        <v>1.55223345757</v>
      </c>
      <c r="T1283" s="27" t="str">
        <f>HYPERLINK(AA2 &amp; "/key/3dw_fb60ab63-62f5-4eb6-bf40-75ca594150cd/rendering/17.obj", "4.21981191635")</f>
        <v>4.21981191635</v>
      </c>
      <c r="U1283" s="250" t="str">
        <f>HYPERLINK(AA2 &amp; "/key/3dw_fb60ab63-62f5-4eb6-bf40-75ca594150cd/rendering/18.obj", "1.43176317215")</f>
        <v>1.43176317215</v>
      </c>
      <c r="V1283" s="20" t="str">
        <f>HYPERLINK(AA2 &amp; "/key/3dw_fb60ab63-62f5-4eb6-bf40-75ca594150cd/rendering/19.obj", "18.8888072968")</f>
        <v>18.8888072968</v>
      </c>
      <c r="W1283" s="12" t="s">
        <v>30</v>
      </c>
      <c r="X1283" s="13">
        <v>4.5393690466880798</v>
      </c>
      <c r="Y1283" s="13">
        <v>4.992357161802067</v>
      </c>
      <c r="Z1283" s="20">
        <v>1.09979098646859</v>
      </c>
    </row>
    <row r="1284" spans="1:26" x14ac:dyDescent="0.2">
      <c r="A1284" s="1">
        <v>1282</v>
      </c>
      <c r="B1284" s="2" t="s">
        <v>289</v>
      </c>
      <c r="C1284" s="24" t="str">
        <f>HYPERLINK(AB2 &amp; "/key/3dw_fb60ab63-62f5-4eb6-bf40-75ca594150cd/rendering/00.obj", "1.87946731567")</f>
        <v>1.87946731567</v>
      </c>
      <c r="D1284" s="47" t="str">
        <f>HYPERLINK(AB2 &amp; "/key/3dw_fb60ab63-62f5-4eb6-bf40-75ca594150cd/rendering/01.obj", "1.59775543213")</f>
        <v>1.59775543213</v>
      </c>
      <c r="E1284" s="38" t="str">
        <f>HYPERLINK(AB2 &amp; "/key/3dw_fb60ab63-62f5-4eb6-bf40-75ca594150cd/rendering/02.obj", "1.75411468506")</f>
        <v>1.75411468506</v>
      </c>
      <c r="F1284" s="70" t="str">
        <f>HYPERLINK(AB2 &amp; "/key/3dw_fb60ab63-62f5-4eb6-bf40-75ca594150cd/rendering/03.obj", "1.40673202515")</f>
        <v>1.40673202515</v>
      </c>
      <c r="G1284" s="110" t="str">
        <f>HYPERLINK(AB2 &amp; "/key/3dw_fb60ab63-62f5-4eb6-bf40-75ca594150cd/rendering/04.obj", "1.45289550781")</f>
        <v>1.45289550781</v>
      </c>
      <c r="H1284" s="25" t="str">
        <f>HYPERLINK(AB2 &amp; "/key/3dw_fb60ab63-62f5-4eb6-bf40-75ca594150cd/rendering/05.obj", "1.59111846924")</f>
        <v>1.59111846924</v>
      </c>
      <c r="I1284" s="35" t="str">
        <f>HYPERLINK(AB2 &amp; "/key/3dw_fb60ab63-62f5-4eb6-bf40-75ca594150cd/rendering/06.obj", "1.51422271729")</f>
        <v>1.51422271729</v>
      </c>
      <c r="J1284" s="19" t="str">
        <f>HYPERLINK(AB2 &amp; "/key/3dw_fb60ab63-62f5-4eb6-bf40-75ca594150cd/rendering/07.obj", "2.03022125244")</f>
        <v>2.03022125244</v>
      </c>
      <c r="K1284" s="30" t="str">
        <f>HYPERLINK(AB2 &amp; "/key/3dw_fb60ab63-62f5-4eb6-bf40-75ca594150cd/rendering/08.obj", "1.60467727661")</f>
        <v>1.60467727661</v>
      </c>
      <c r="L1284" s="74" t="str">
        <f>HYPERLINK(AB2 &amp; "/key/3dw_fb60ab63-62f5-4eb6-bf40-75ca594150cd/rendering/09.obj", "1.63290466309")</f>
        <v>1.63290466309</v>
      </c>
      <c r="M1284" s="69" t="str">
        <f>HYPERLINK(AB2 &amp; "/key/3dw_fb60ab63-62f5-4eb6-bf40-75ca594150cd/rendering/10.obj", "1.56158599854")</f>
        <v>1.56158599854</v>
      </c>
      <c r="N1284" s="71" t="str">
        <f>HYPERLINK(AB2 &amp; "/key/3dw_fb60ab63-62f5-4eb6-bf40-75ca594150cd/rendering/11.obj", "1.80058258057")</f>
        <v>1.80058258057</v>
      </c>
      <c r="O1284" s="41" t="str">
        <f>HYPERLINK(AB2 &amp; "/key/3dw_fb60ab63-62f5-4eb6-bf40-75ca594150cd/rendering/12.obj", "1.71686950684")</f>
        <v>1.71686950684</v>
      </c>
      <c r="P1284" s="34" t="str">
        <f>HYPERLINK(AB2 &amp; "/key/3dw_fb60ab63-62f5-4eb6-bf40-75ca594150cd/rendering/13.obj", "1.68616424561")</f>
        <v>1.68616424561</v>
      </c>
      <c r="Q1284" s="117" t="str">
        <f>HYPERLINK(AB2 &amp; "/key/3dw_fb60ab63-62f5-4eb6-bf40-75ca594150cd/rendering/14.obj", "1.32360778809")</f>
        <v>1.32360778809</v>
      </c>
      <c r="R1284" s="68" t="str">
        <f>HYPERLINK(AB2 &amp; "/key/3dw_fb60ab63-62f5-4eb6-bf40-75ca594150cd/rendering/15.obj", "1.54166793823")</f>
        <v>1.54166793823</v>
      </c>
      <c r="S1284" s="41" t="str">
        <f>HYPERLINK(AB2 &amp; "/key/3dw_fb60ab63-62f5-4eb6-bf40-75ca594150cd/rendering/16.obj", "1.50347167969")</f>
        <v>1.50347167969</v>
      </c>
      <c r="T1284" s="117" t="str">
        <f>HYPERLINK(AB2 &amp; "/key/3dw_fb60ab63-62f5-4eb6-bf40-75ca594150cd/rendering/17.obj", "1.32358428955")</f>
        <v>1.32358428955</v>
      </c>
      <c r="U1284" s="42" t="str">
        <f>HYPERLINK(AB2 &amp; "/key/3dw_fb60ab63-62f5-4eb6-bf40-75ca594150cd/rendering/18.obj", "1.39229324341")</f>
        <v>1.39229324341</v>
      </c>
      <c r="V1284" s="24" t="str">
        <f>HYPERLINK(AB2 &amp; "/key/3dw_fb60ab63-62f5-4eb6-bf40-75ca594150cd/rendering/19.obj", "1.88110397339")</f>
        <v>1.88110397339</v>
      </c>
      <c r="W1284" s="12" t="s">
        <v>31</v>
      </c>
      <c r="X1284" s="13">
        <v>1.6097520294189449</v>
      </c>
      <c r="Y1284" s="13">
        <v>0.18749027321315101</v>
      </c>
      <c r="Z1284" s="71">
        <v>0.1164715246737892</v>
      </c>
    </row>
    <row r="1285" spans="1:26" x14ac:dyDescent="0.2">
      <c r="A1285" s="1">
        <v>1283</v>
      </c>
      <c r="B1285" s="2" t="s">
        <v>289</v>
      </c>
      <c r="C1285" s="122" t="str">
        <f>HYPERLINK(AB2 &amp; "/key/3dw_fb60ab63-62f5-4eb6-bf40-75ca594150cd/rendering/00.obj", "2.18114447594")</f>
        <v>2.18114447594</v>
      </c>
      <c r="D1285" s="66" t="str">
        <f>HYPERLINK(AB2 &amp; "/key/3dw_fb60ab63-62f5-4eb6-bf40-75ca594150cd/rendering/01.obj", "1.3030115366")</f>
        <v>1.3030115366</v>
      </c>
      <c r="E1285" s="77" t="str">
        <f>HYPERLINK(AB2 &amp; "/key/3dw_fb60ab63-62f5-4eb6-bf40-75ca594150cd/rendering/02.obj", "1.84452056885")</f>
        <v>1.84452056885</v>
      </c>
      <c r="F1285" s="41" t="str">
        <f>HYPERLINK(AB2 &amp; "/key/3dw_fb60ab63-62f5-4eb6-bf40-75ca594150cd/rendering/03.obj", "1.44838452339")</f>
        <v>1.44838452339</v>
      </c>
      <c r="G1285" s="90" t="str">
        <f>HYPERLINK(AB2 &amp; "/key/3dw_fb60ab63-62f5-4eb6-bf40-75ca594150cd/rendering/04.obj", "1.40571963787")</f>
        <v>1.40571963787</v>
      </c>
      <c r="H1285" s="68" t="str">
        <f>HYPERLINK(AB2 &amp; "/key/3dw_fb60ab63-62f5-4eb6-bf40-75ca594150cd/rendering/05.obj", "1.48675107956")</f>
        <v>1.48675107956</v>
      </c>
      <c r="I1285" s="92" t="str">
        <f>HYPERLINK(AB2 &amp; "/key/3dw_fb60ab63-62f5-4eb6-bf40-75ca594150cd/rendering/06.obj", "1.36054170132")</f>
        <v>1.36054170132</v>
      </c>
      <c r="J1285" s="108" t="str">
        <f>HYPERLINK(AB2 &amp; "/key/3dw_fb60ab63-62f5-4eb6-bf40-75ca594150cd/rendering/07.obj", "1.93598330021")</f>
        <v>1.93598330021</v>
      </c>
      <c r="K1285" s="107" t="str">
        <f>HYPERLINK(AB2 &amp; "/key/3dw_fb60ab63-62f5-4eb6-bf40-75ca594150cd/rendering/08.obj", "1.42533612251")</f>
        <v>1.42533612251</v>
      </c>
      <c r="L1285" s="39" t="str">
        <f>HYPERLINK(AB2 &amp; "/key/3dw_fb60ab63-62f5-4eb6-bf40-75ca594150cd/rendering/09.obj", "1.42093396187")</f>
        <v>1.42093396187</v>
      </c>
      <c r="M1285" s="31" t="str">
        <f>HYPERLINK(AB2 &amp; "/key/3dw_fb60ab63-62f5-4eb6-bf40-75ca594150cd/rendering/10.obj", "1.31515932083")</f>
        <v>1.31515932083</v>
      </c>
      <c r="N1285" s="23" t="str">
        <f>HYPERLINK(AB2 &amp; "/key/3dw_fb60ab63-62f5-4eb6-bf40-75ca594150cd/rendering/11.obj", "1.61437869072")</f>
        <v>1.61437869072</v>
      </c>
      <c r="O1285" s="25" t="str">
        <f>HYPERLINK(AB2 &amp; "/key/3dw_fb60ab63-62f5-4eb6-bf40-75ca594150cd/rendering/12.obj", "1.57163000107")</f>
        <v>1.57163000107</v>
      </c>
      <c r="P1285" s="4" t="str">
        <f>HYPERLINK(AB2 &amp; "/key/3dw_fb60ab63-62f5-4eb6-bf40-75ca594150cd/rendering/13.obj", "1.99503743649")</f>
        <v>1.99503743649</v>
      </c>
      <c r="Q1285" s="65" t="str">
        <f>HYPERLINK(AB2 &amp; "/key/3dw_fb60ab63-62f5-4eb6-bf40-75ca594150cd/rendering/14.obj", "1.34890496731")</f>
        <v>1.34890496731</v>
      </c>
      <c r="R1285" s="71" t="str">
        <f>HYPERLINK(AB2 &amp; "/key/3dw_fb60ab63-62f5-4eb6-bf40-75ca594150cd/rendering/15.obj", "1.37022697926")</f>
        <v>1.37022697926</v>
      </c>
      <c r="S1285" s="80" t="str">
        <f>HYPERLINK(AB2 &amp; "/key/3dw_fb60ab63-62f5-4eb6-bf40-75ca594150cd/rendering/16.obj", "1.32274007797")</f>
        <v>1.32274007797</v>
      </c>
      <c r="T1285" s="64" t="str">
        <f>HYPERLINK(AB2 &amp; "/key/3dw_fb60ab63-62f5-4eb6-bf40-75ca594150cd/rendering/17.obj", "1.29864442348")</f>
        <v>1.29864442348</v>
      </c>
      <c r="U1285" s="64" t="str">
        <f>HYPERLINK(AB2 &amp; "/key/3dw_fb60ab63-62f5-4eb6-bf40-75ca594150cd/rendering/18.obj", "1.29967796803")</f>
        <v>1.29967796803</v>
      </c>
      <c r="V1285" s="124" t="str">
        <f>HYPERLINK(AB2 &amp; "/key/3dw_fb60ab63-62f5-4eb6-bf40-75ca594150cd/rendering/19.obj", "2.14941978455")</f>
        <v>2.14941978455</v>
      </c>
      <c r="W1285" s="12" t="s">
        <v>32</v>
      </c>
      <c r="X1285" s="13">
        <v>1.554907327890396</v>
      </c>
      <c r="Y1285" s="13">
        <v>0.288547863996239</v>
      </c>
      <c r="Z1285" s="77">
        <v>0.18557238674006579</v>
      </c>
    </row>
    <row r="1286" spans="1:26" x14ac:dyDescent="0.2">
      <c r="A1286" s="1">
        <v>1284</v>
      </c>
      <c r="B1286" s="2" t="s">
        <v>289</v>
      </c>
      <c r="C1286" s="13" t="str">
        <f>HYPERLINK(AC2 &amp; "/key/3dw_fb60ab63-62f5-4eb6-bf40-75ca594150cd/rendering/00.xyz", "0.0")</f>
        <v>0.0</v>
      </c>
      <c r="D1286" s="13" t="str">
        <f>HYPERLINK(AC2 &amp; "/key/3dw_fb60ab63-62f5-4eb6-bf40-75ca594150cd/rendering/01.xyz", "0.0")</f>
        <v>0.0</v>
      </c>
      <c r="E1286" s="13" t="str">
        <f>HYPERLINK(AC2 &amp; "/key/3dw_fb60ab63-62f5-4eb6-bf40-75ca594150cd/rendering/02.xyz", "0.0")</f>
        <v>0.0</v>
      </c>
      <c r="F1286" s="13" t="str">
        <f>HYPERLINK(AC2 &amp; "/key/3dw_fb60ab63-62f5-4eb6-bf40-75ca594150cd/rendering/03.xyz", "0.0")</f>
        <v>0.0</v>
      </c>
      <c r="G1286" s="13" t="str">
        <f>HYPERLINK(AC2 &amp; "/key/3dw_fb60ab63-62f5-4eb6-bf40-75ca594150cd/rendering/04.xyz", "0.0")</f>
        <v>0.0</v>
      </c>
      <c r="H1286" s="13" t="str">
        <f>HYPERLINK(AC2 &amp; "/key/3dw_fb60ab63-62f5-4eb6-bf40-75ca594150cd/rendering/05.xyz", "0.0")</f>
        <v>0.0</v>
      </c>
      <c r="I1286" s="13" t="str">
        <f>HYPERLINK(AC2 &amp; "/key/3dw_fb60ab63-62f5-4eb6-bf40-75ca594150cd/rendering/06.xyz", "0.0")</f>
        <v>0.0</v>
      </c>
      <c r="J1286" s="13" t="str">
        <f>HYPERLINK(AC2 &amp; "/key/3dw_fb60ab63-62f5-4eb6-bf40-75ca594150cd/rendering/07.xyz", "0.0")</f>
        <v>0.0</v>
      </c>
      <c r="K1286" s="13" t="str">
        <f>HYPERLINK(AC2 &amp; "/key/3dw_fb60ab63-62f5-4eb6-bf40-75ca594150cd/rendering/08.xyz", "0.0")</f>
        <v>0.0</v>
      </c>
      <c r="L1286" s="13" t="str">
        <f>HYPERLINK(AC2 &amp; "/key/3dw_fb60ab63-62f5-4eb6-bf40-75ca594150cd/rendering/09.xyz", "0.0")</f>
        <v>0.0</v>
      </c>
      <c r="M1286" s="13" t="str">
        <f>HYPERLINK(AC2 &amp; "/key/3dw_fb60ab63-62f5-4eb6-bf40-75ca594150cd/rendering/10.xyz", "0.0")</f>
        <v>0.0</v>
      </c>
      <c r="N1286" s="13" t="str">
        <f>HYPERLINK(AC2 &amp; "/key/3dw_fb60ab63-62f5-4eb6-bf40-75ca594150cd/rendering/11.xyz", "0.0")</f>
        <v>0.0</v>
      </c>
      <c r="O1286" s="13" t="str">
        <f>HYPERLINK(AC2 &amp; "/key/3dw_fb60ab63-62f5-4eb6-bf40-75ca594150cd/rendering/12.xyz", "0.0")</f>
        <v>0.0</v>
      </c>
      <c r="P1286" s="13" t="str">
        <f>HYPERLINK(AC2 &amp; "/key/3dw_fb60ab63-62f5-4eb6-bf40-75ca594150cd/rendering/13.xyz", "0.0")</f>
        <v>0.0</v>
      </c>
      <c r="Q1286" s="13" t="str">
        <f>HYPERLINK(AC2 &amp; "/key/3dw_fb60ab63-62f5-4eb6-bf40-75ca594150cd/rendering/14.xyz", "0.0")</f>
        <v>0.0</v>
      </c>
      <c r="R1286" s="13" t="str">
        <f>HYPERLINK(AC2 &amp; "/key/3dw_fb60ab63-62f5-4eb6-bf40-75ca594150cd/rendering/15.xyz", "0.0")</f>
        <v>0.0</v>
      </c>
      <c r="S1286" s="13" t="str">
        <f>HYPERLINK(AC2 &amp; "/key/3dw_fb60ab63-62f5-4eb6-bf40-75ca594150cd/rendering/16.xyz", "0.0")</f>
        <v>0.0</v>
      </c>
      <c r="T1286" s="13" t="str">
        <f>HYPERLINK(AC2 &amp; "/key/3dw_fb60ab63-62f5-4eb6-bf40-75ca594150cd/rendering/17.xyz", "0.0")</f>
        <v>0.0</v>
      </c>
      <c r="U1286" s="13" t="str">
        <f>HYPERLINK(AC2 &amp; "/key/3dw_fb60ab63-62f5-4eb6-bf40-75ca594150cd/rendering/18.xyz", "0.0")</f>
        <v>0.0</v>
      </c>
      <c r="V1286" s="13" t="str">
        <f>HYPERLINK(AC2 &amp; "/key/3dw_fb60ab63-62f5-4eb6-bf40-75ca594150cd/rendering/19.xyz", "0.0")</f>
        <v>0.0</v>
      </c>
      <c r="W1286" s="12" t="s">
        <v>33</v>
      </c>
      <c r="X1286" s="13">
        <v>0</v>
      </c>
      <c r="Y1286" s="13">
        <v>0</v>
      </c>
      <c r="Z1286" s="13">
        <v>0</v>
      </c>
    </row>
    <row r="1287" spans="1:26" x14ac:dyDescent="0.2">
      <c r="A1287" s="1">
        <v>1285</v>
      </c>
      <c r="B1287" s="2" t="s">
        <v>290</v>
      </c>
      <c r="C1287" s="67" t="str">
        <f>HYPERLINK(AA2 &amp; "/key/3dw_fe56c1f9-16f6-41a1-a0db-a41ba7bd2751/rendering/00.obj", "1.77613525391")</f>
        <v>1.77613525391</v>
      </c>
      <c r="D1287" s="48" t="str">
        <f>HYPERLINK(AA2 &amp; "/key/3dw_fe56c1f9-16f6-41a1-a0db-a41ba7bd2751/rendering/01.obj", "1.91076705933")</f>
        <v>1.91076705933</v>
      </c>
      <c r="E1287" s="91" t="str">
        <f>HYPERLINK(AA2 &amp; "/key/3dw_fe56c1f9-16f6-41a1-a0db-a41ba7bd2751/rendering/02.obj", "2.00401290894")</f>
        <v>2.00401290894</v>
      </c>
      <c r="F1287" s="51" t="str">
        <f>HYPERLINK(AA2 &amp; "/key/3dw_fe56c1f9-16f6-41a1-a0db-a41ba7bd2751/rendering/03.obj", "2.11269195557")</f>
        <v>2.11269195557</v>
      </c>
      <c r="G1287" s="110" t="str">
        <f>HYPERLINK(AA2 &amp; "/key/3dw_fe56c1f9-16f6-41a1-a0db-a41ba7bd2751/rendering/04.obj", "1.76379745483")</f>
        <v>1.76379745483</v>
      </c>
      <c r="H1287" s="73" t="str">
        <f>HYPERLINK(AA2 &amp; "/key/3dw_fe56c1f9-16f6-41a1-a0db-a41ba7bd2751/rendering/05.obj", "1.8840637207")</f>
        <v>1.8840637207</v>
      </c>
      <c r="I1287" s="10" t="str">
        <f>HYPERLINK(AA2 &amp; "/key/3dw_fe56c1f9-16f6-41a1-a0db-a41ba7bd2751/rendering/06.obj", "2.0634576416")</f>
        <v>2.0634576416</v>
      </c>
      <c r="J1287" s="94" t="str">
        <f>HYPERLINK(AA2 &amp; "/key/3dw_fe56c1f9-16f6-41a1-a0db-a41ba7bd2751/rendering/07.obj", "2.09690948486")</f>
        <v>2.09690948486</v>
      </c>
      <c r="K1287" s="44" t="str">
        <f>HYPERLINK(AA2 &amp; "/key/3dw_fe56c1f9-16f6-41a1-a0db-a41ba7bd2751/rendering/08.obj", "2.3362538147")</f>
        <v>2.3362538147</v>
      </c>
      <c r="L1287" s="70" t="str">
        <f>HYPERLINK(AA2 &amp; "/key/3dw_fe56c1f9-16f6-41a1-a0db-a41ba7bd2751/rendering/09.obj", "1.70332992554")</f>
        <v>1.70332992554</v>
      </c>
      <c r="M1287" s="5" t="str">
        <f>HYPERLINK(AA2 &amp; "/key/3dw_fe56c1f9-16f6-41a1-a0db-a41ba7bd2751/rendering/10.obj", "1.80589935303")</f>
        <v>1.80589935303</v>
      </c>
      <c r="N1287" s="64" t="str">
        <f>HYPERLINK(AA2 &amp; "/key/3dw_fe56c1f9-16f6-41a1-a0db-a41ba7bd2751/rendering/11.obj", "2.27786987305")</f>
        <v>2.27786987305</v>
      </c>
      <c r="O1287" s="27" t="str">
        <f>HYPERLINK(AA2 &amp; "/key/3dw_fe56c1f9-16f6-41a1-a0db-a41ba7bd2751/rendering/12.obj", "1.81503707886")</f>
        <v>1.81503707886</v>
      </c>
      <c r="P1287" s="74" t="str">
        <f>HYPERLINK(AA2 &amp; "/key/3dw_fe56c1f9-16f6-41a1-a0db-a41ba7bd2751/rendering/13.obj", "1.98322494507")</f>
        <v>1.98322494507</v>
      </c>
      <c r="Q1287" s="71" t="str">
        <f>HYPERLINK(AA2 &amp; "/key/3dw_fe56c1f9-16f6-41a1-a0db-a41ba7bd2751/rendering/14.obj", "1.72733337402")</f>
        <v>1.72733337402</v>
      </c>
      <c r="R1287" s="90" t="str">
        <f>HYPERLINK(AA2 &amp; "/key/3dw_fe56c1f9-16f6-41a1-a0db-a41ba7bd2751/rendering/15.obj", "2.1425289917")</f>
        <v>2.1425289917</v>
      </c>
      <c r="S1287" s="48" t="str">
        <f>HYPERLINK(AA2 &amp; "/key/3dw_fe56c1f9-16f6-41a1-a0db-a41ba7bd2751/rendering/16.obj", "1.90592712402")</f>
        <v>1.90592712402</v>
      </c>
      <c r="T1287" s="106" t="str">
        <f>HYPERLINK(AA2 &amp; "/key/3dw_fe56c1f9-16f6-41a1-a0db-a41ba7bd2751/rendering/17.obj", "1.7312097168")</f>
        <v>1.7312097168</v>
      </c>
      <c r="U1287" s="106" t="str">
        <f>HYPERLINK(AA2 &amp; "/key/3dw_fe56c1f9-16f6-41a1-a0db-a41ba7bd2751/rendering/18.obj", "2.17824539185")</f>
        <v>2.17824539185</v>
      </c>
      <c r="V1287" s="6" t="str">
        <f>HYPERLINK(AA2 &amp; "/key/3dw_fe56c1f9-16f6-41a1-a0db-a41ba7bd2751/rendering/19.obj", "1.86624481201")</f>
        <v>1.86624481201</v>
      </c>
      <c r="W1287" s="12" t="s">
        <v>29</v>
      </c>
      <c r="X1287" s="13">
        <v>1.954246994018555</v>
      </c>
      <c r="Y1287" s="13">
        <v>0.18539936934239509</v>
      </c>
      <c r="Z1287" s="90">
        <v>9.4869978006799888E-2</v>
      </c>
    </row>
    <row r="1288" spans="1:26" x14ac:dyDescent="0.2">
      <c r="A1288" s="1">
        <v>1286</v>
      </c>
      <c r="B1288" s="2" t="s">
        <v>290</v>
      </c>
      <c r="C1288" s="66" t="str">
        <f>HYPERLINK(AA2 &amp; "/key/3dw_fe56c1f9-16f6-41a1-a0db-a41ba7bd2751/rendering/00.obj", "3.01771450043")</f>
        <v>3.01771450043</v>
      </c>
      <c r="D1288" s="110" t="str">
        <f>HYPERLINK(AA2 &amp; "/key/3dw_fe56c1f9-16f6-41a1-a0db-a41ba7bd2751/rendering/01.obj", "3.23724246025")</f>
        <v>3.23724246025</v>
      </c>
      <c r="E1288" s="74" t="str">
        <f>HYPERLINK(AA2 &amp; "/key/3dw_fe56c1f9-16f6-41a1-a0db-a41ba7bd2751/rendering/02.obj", "3.53825640678")</f>
        <v>3.53825640678</v>
      </c>
      <c r="F1288" s="108" t="str">
        <f>HYPERLINK(AA2 &amp; "/key/3dw_fe56c1f9-16f6-41a1-a0db-a41ba7bd2751/rendering/03.obj", "4.47906017303")</f>
        <v>4.47906017303</v>
      </c>
      <c r="G1288" s="87" t="str">
        <f>HYPERLINK(AA2 &amp; "/key/3dw_fe56c1f9-16f6-41a1-a0db-a41ba7bd2751/rendering/04.obj", "2.77186942101")</f>
        <v>2.77186942101</v>
      </c>
      <c r="H1288" s="69" t="str">
        <f>HYPERLINK(AA2 &amp; "/key/3dw_fe56c1f9-16f6-41a1-a0db-a41ba7bd2751/rendering/05.obj", "3.49120903015")</f>
        <v>3.49120903015</v>
      </c>
      <c r="I1288" s="27" t="str">
        <f>HYPERLINK(AA2 &amp; "/key/3dw_fe56c1f9-16f6-41a1-a0db-a41ba7bd2751/rendering/06.obj", "3.84300470352")</f>
        <v>3.84300470352</v>
      </c>
      <c r="J1288" s="28" t="str">
        <f>HYPERLINK(AA2 &amp; "/key/3dw_fe56c1f9-16f6-41a1-a0db-a41ba7bd2751/rendering/07.obj", "3.99913454056")</f>
        <v>3.99913454056</v>
      </c>
      <c r="K1288" s="127" t="str">
        <f>HYPERLINK(AA2 &amp; "/key/3dw_fe56c1f9-16f6-41a1-a0db-a41ba7bd2751/rendering/08.obj", "5.45628929138")</f>
        <v>5.45628929138</v>
      </c>
      <c r="L1288" s="10" t="str">
        <f>HYPERLINK(AA2 &amp; "/key/3dw_fe56c1f9-16f6-41a1-a0db-a41ba7bd2751/rendering/09.obj", "3.39364957809")</f>
        <v>3.39364957809</v>
      </c>
      <c r="M1288" s="81" t="str">
        <f>HYPERLINK(AA2 &amp; "/key/3dw_fe56c1f9-16f6-41a1-a0db-a41ba7bd2751/rendering/10.obj", "2.81387162209")</f>
        <v>2.81387162209</v>
      </c>
      <c r="N1288" s="57" t="str">
        <f>HYPERLINK(AA2 &amp; "/key/3dw_fe56c1f9-16f6-41a1-a0db-a41ba7bd2751/rendering/11.obj", "4.73346996307")</f>
        <v>4.73346996307</v>
      </c>
      <c r="O1288" s="71" t="str">
        <f>HYPERLINK(AA2 &amp; "/key/3dw_fe56c1f9-16f6-41a1-a0db-a41ba7bd2751/rendering/12.obj", "3.17081427574")</f>
        <v>3.17081427574</v>
      </c>
      <c r="P1288" s="69" t="str">
        <f>HYPERLINK(AA2 &amp; "/key/3dw_fe56c1f9-16f6-41a1-a0db-a41ba7bd2751/rendering/13.obj", "3.69737625122")</f>
        <v>3.69737625122</v>
      </c>
      <c r="Q1288" s="64" t="str">
        <f>HYPERLINK(AA2 &amp; "/key/3dw_fe56c1f9-16f6-41a1-a0db-a41ba7bd2751/rendering/14.obj", "3.00468349457")</f>
        <v>3.00468349457</v>
      </c>
      <c r="R1288" s="24" t="str">
        <f>HYPERLINK(AA2 &amp; "/key/3dw_fe56c1f9-16f6-41a1-a0db-a41ba7bd2751/rendering/15.obj", "2.99144220352")</f>
        <v>2.99144220352</v>
      </c>
      <c r="S1288" s="93" t="str">
        <f>HYPERLINK(AA2 &amp; "/key/3dw_fe56c1f9-16f6-41a1-a0db-a41ba7bd2751/rendering/16.obj", "3.09611272812")</f>
        <v>3.09611272812</v>
      </c>
      <c r="T1288" s="71" t="str">
        <f>HYPERLINK(AA2 &amp; "/key/3dw_fe56c1f9-16f6-41a1-a0db-a41ba7bd2751/rendering/17.obj", "3.17639255524")</f>
        <v>3.17639255524</v>
      </c>
      <c r="U1288" s="172" t="str">
        <f>HYPERLINK(AA2 &amp; "/key/3dw_fe56c1f9-16f6-41a1-a0db-a41ba7bd2751/rendering/18.obj", "4.97121715546")</f>
        <v>4.97121715546</v>
      </c>
      <c r="V1288" s="64" t="str">
        <f>HYPERLINK(AA2 &amp; "/key/3dw_fe56c1f9-16f6-41a1-a0db-a41ba7bd2751/rendering/19.obj", "3.00779390335")</f>
        <v>3.00779390335</v>
      </c>
      <c r="W1288" s="12" t="s">
        <v>30</v>
      </c>
      <c r="X1288" s="13">
        <v>3.5945302128791812</v>
      </c>
      <c r="Y1288" s="13">
        <v>0.74620590279310151</v>
      </c>
      <c r="Z1288" s="49">
        <v>0.20759483398399331</v>
      </c>
    </row>
    <row r="1289" spans="1:26" x14ac:dyDescent="0.2">
      <c r="A1289" s="1">
        <v>1287</v>
      </c>
      <c r="B1289" s="2" t="s">
        <v>290</v>
      </c>
      <c r="C1289" s="69" t="str">
        <f>HYPERLINK(AB2 &amp; "/key/3dw_fe56c1f9-16f6-41a1-a0db-a41ba7bd2751/rendering/00.obj", "2.30580108643")</f>
        <v>2.30580108643</v>
      </c>
      <c r="D1289" s="13" t="str">
        <f>HYPERLINK(AB2 &amp; "/key/3dw_fe56c1f9-16f6-41a1-a0db-a41ba7bd2751/rendering/01.obj", "2.37789245605")</f>
        <v>2.37789245605</v>
      </c>
      <c r="E1289" s="68" t="str">
        <f>HYPERLINK(AB2 &amp; "/key/3dw_fe56c1f9-16f6-41a1-a0db-a41ba7bd2751/rendering/02.obj", "2.47647674561")</f>
        <v>2.47647674561</v>
      </c>
      <c r="F1289" s="47" t="str">
        <f>HYPERLINK(AB2 &amp; "/key/3dw_fe56c1f9-16f6-41a1-a0db-a41ba7bd2751/rendering/03.obj", "2.38999725342")</f>
        <v>2.38999725342</v>
      </c>
      <c r="G1289" s="25" t="str">
        <f>HYPERLINK(AB2 &amp; "/key/3dw_fe56c1f9-16f6-41a1-a0db-a41ba7bd2751/rendering/04.obj", "2.34536529541")</f>
        <v>2.34536529541</v>
      </c>
      <c r="H1289" s="23" t="str">
        <f>HYPERLINK(AB2 &amp; "/key/3dw_fe56c1f9-16f6-41a1-a0db-a41ba7bd2751/rendering/05.obj", "2.46590042114")</f>
        <v>2.46590042114</v>
      </c>
      <c r="I1289" s="51" t="str">
        <f>HYPERLINK(AB2 &amp; "/key/3dw_fe56c1f9-16f6-41a1-a0db-a41ba7bd2751/rendering/06.obj", "2.5607434082")</f>
        <v>2.5607434082</v>
      </c>
      <c r="J1289" s="63" t="str">
        <f>HYPERLINK(AB2 &amp; "/key/3dw_fe56c1f9-16f6-41a1-a0db-a41ba7bd2751/rendering/07.obj", "2.08394058228")</f>
        <v>2.08394058228</v>
      </c>
      <c r="K1289" s="17" t="str">
        <f>HYPERLINK(AB2 &amp; "/key/3dw_fe56c1f9-16f6-41a1-a0db-a41ba7bd2751/rendering/08.obj", "2.32185058594")</f>
        <v>2.32185058594</v>
      </c>
      <c r="L1289" s="78" t="str">
        <f>HYPERLINK(AB2 &amp; "/key/3dw_fe56c1f9-16f6-41a1-a0db-a41ba7bd2751/rendering/09.obj", "2.51667510986")</f>
        <v>2.51667510986</v>
      </c>
      <c r="M1289" s="26" t="str">
        <f>HYPERLINK(AB2 &amp; "/key/3dw_fe56c1f9-16f6-41a1-a0db-a41ba7bd2751/rendering/10.obj", "2.22441818237")</f>
        <v>2.22441818237</v>
      </c>
      <c r="N1289" s="68" t="str">
        <f>HYPERLINK(AB2 &amp; "/key/3dw_fe56c1f9-16f6-41a1-a0db-a41ba7bd2751/rendering/11.obj", "2.47756866455")</f>
        <v>2.47756866455</v>
      </c>
      <c r="O1289" s="72" t="str">
        <f>HYPERLINK(AB2 &amp; "/key/3dw_fe56c1f9-16f6-41a1-a0db-a41ba7bd2751/rendering/12.obj", "2.45090591431")</f>
        <v>2.45090591431</v>
      </c>
      <c r="P1289" s="32" t="str">
        <f>HYPERLINK(AB2 &amp; "/key/3dw_fe56c1f9-16f6-41a1-a0db-a41ba7bd2751/rendering/13.obj", "2.62235473633")</f>
        <v>2.62235473633</v>
      </c>
      <c r="Q1289" s="47" t="str">
        <f>HYPERLINK(AB2 &amp; "/key/3dw_fe56c1f9-16f6-41a1-a0db-a41ba7bd2751/rendering/14.obj", "2.35177474976")</f>
        <v>2.35177474976</v>
      </c>
      <c r="R1289" s="78" t="str">
        <f>HYPERLINK(AB2 &amp; "/key/3dw_fe56c1f9-16f6-41a1-a0db-a41ba7bd2751/rendering/15.obj", "2.51761810303")</f>
        <v>2.51761810303</v>
      </c>
      <c r="S1289" s="117" t="str">
        <f>HYPERLINK(AB2 &amp; "/key/3dw_fe56c1f9-16f6-41a1-a0db-a41ba7bd2751/rendering/16.obj", "1.95179260254")</f>
        <v>1.95179260254</v>
      </c>
      <c r="T1289" s="10" t="str">
        <f>HYPERLINK(AB2 &amp; "/key/3dw_fe56c1f9-16f6-41a1-a0db-a41ba7bd2751/rendering/17.obj", "2.50695098877")</f>
        <v>2.50695098877</v>
      </c>
      <c r="U1289" s="78" t="str">
        <f>HYPERLINK(AB2 &amp; "/key/3dw_fe56c1f9-16f6-41a1-a0db-a41ba7bd2751/rendering/18.obj", "2.23213607788")</f>
        <v>2.23213607788</v>
      </c>
      <c r="V1289" s="72" t="str">
        <f>HYPERLINK(AB2 &amp; "/key/3dw_fe56c1f9-16f6-41a1-a0db-a41ba7bd2751/rendering/19.obj", "2.29628387451")</f>
        <v>2.29628387451</v>
      </c>
      <c r="W1289" s="12" t="s">
        <v>31</v>
      </c>
      <c r="X1289" s="13">
        <v>2.3738223419189448</v>
      </c>
      <c r="Y1289" s="13">
        <v>0.15979488110433149</v>
      </c>
      <c r="Z1289" s="41">
        <v>6.731543396594579E-2</v>
      </c>
    </row>
    <row r="1290" spans="1:26" x14ac:dyDescent="0.2">
      <c r="A1290" s="1">
        <v>1288</v>
      </c>
      <c r="B1290" s="2" t="s">
        <v>290</v>
      </c>
      <c r="C1290" s="10" t="str">
        <f>HYPERLINK(AB2 &amp; "/key/3dw_fe56c1f9-16f6-41a1-a0db-a41ba7bd2751/rendering/00.obj", "2.62419033051")</f>
        <v>2.62419033051</v>
      </c>
      <c r="D1290" s="51" t="str">
        <f>HYPERLINK(AB2 &amp; "/key/3dw_fe56c1f9-16f6-41a1-a0db-a41ba7bd2751/rendering/01.obj", "2.99858093262")</f>
        <v>2.99858093262</v>
      </c>
      <c r="E1290" s="27" t="str">
        <f>HYPERLINK(AB2 &amp; "/key/3dw_fe56c1f9-16f6-41a1-a0db-a41ba7bd2751/rendering/02.obj", "2.97362875938")</f>
        <v>2.97362875938</v>
      </c>
      <c r="F1290" s="27" t="str">
        <f>HYPERLINK(AB2 &amp; "/key/3dw_fe56c1f9-16f6-41a1-a0db-a41ba7bd2751/rendering/03.obj", "2.97013020515")</f>
        <v>2.97013020515</v>
      </c>
      <c r="G1290" s="10" t="str">
        <f>HYPERLINK(AB2 &amp; "/key/3dw_fe56c1f9-16f6-41a1-a0db-a41ba7bd2751/rendering/04.obj", "2.93307256699")</f>
        <v>2.93307256699</v>
      </c>
      <c r="H1290" s="72" t="str">
        <f>HYPERLINK(AB2 &amp; "/key/3dw_fe56c1f9-16f6-41a1-a0db-a41ba7bd2751/rendering/05.obj", "2.68326711655")</f>
        <v>2.68326711655</v>
      </c>
      <c r="I1290" s="26" t="str">
        <f>HYPERLINK(AB2 &amp; "/key/3dw_fe56c1f9-16f6-41a1-a0db-a41ba7bd2751/rendering/06.obj", "2.60141277313")</f>
        <v>2.60141277313</v>
      </c>
      <c r="J1290" s="51" t="str">
        <f>HYPERLINK(AB2 &amp; "/key/3dw_fe56c1f9-16f6-41a1-a0db-a41ba7bd2751/rendering/07.obj", "2.55500125885")</f>
        <v>2.55500125885</v>
      </c>
      <c r="K1290" s="60" t="str">
        <f>HYPERLINK(AB2 &amp; "/key/3dw_fe56c1f9-16f6-41a1-a0db-a41ba7bd2751/rendering/08.obj", "2.63596439362")</f>
        <v>2.63596439362</v>
      </c>
      <c r="L1290" s="39" t="str">
        <f>HYPERLINK(AB2 &amp; "/key/3dw_fe56c1f9-16f6-41a1-a0db-a41ba7bd2751/rendering/09.obj", "2.53384399414")</f>
        <v>2.53384399414</v>
      </c>
      <c r="M1290" s="32" t="str">
        <f>HYPERLINK(AB2 &amp; "/key/3dw_fe56c1f9-16f6-41a1-a0db-a41ba7bd2751/rendering/10.obj", "2.48928380013")</f>
        <v>2.48928380013</v>
      </c>
      <c r="N1290" s="107" t="str">
        <f>HYPERLINK(AB2 &amp; "/key/3dw_fe56c1f9-16f6-41a1-a0db-a41ba7bd2751/rendering/11.obj", "2.54786419868")</f>
        <v>2.54786419868</v>
      </c>
      <c r="O1290" s="74" t="str">
        <f>HYPERLINK(AB2 &amp; "/key/3dw_fe56c1f9-16f6-41a1-a0db-a41ba7bd2751/rendering/12.obj", "2.81856274605")</f>
        <v>2.81856274605</v>
      </c>
      <c r="P1290" s="74" t="str">
        <f>HYPERLINK(AB2 &amp; "/key/3dw_fe56c1f9-16f6-41a1-a0db-a41ba7bd2751/rendering/13.obj", "2.73479032516")</f>
        <v>2.73479032516</v>
      </c>
      <c r="Q1290" s="51" t="str">
        <f>HYPERLINK(AB2 &amp; "/key/3dw_fe56c1f9-16f6-41a1-a0db-a41ba7bd2751/rendering/14.obj", "2.99844503403")</f>
        <v>2.99844503403</v>
      </c>
      <c r="R1290" s="152" t="str">
        <f>HYPERLINK(AB2 &amp; "/key/3dw_fe56c1f9-16f6-41a1-a0db-a41ba7bd2751/rendering/15.obj", "3.90690636635")</f>
        <v>3.90690636635</v>
      </c>
      <c r="S1290" s="41" t="str">
        <f>HYPERLINK(AB2 &amp; "/key/3dw_fe56c1f9-16f6-41a1-a0db-a41ba7bd2751/rendering/16.obj", "2.59103059769")</f>
        <v>2.59103059769</v>
      </c>
      <c r="T1290" s="72" t="str">
        <f>HYPERLINK(AB2 &amp; "/key/3dw_fe56c1f9-16f6-41a1-a0db-a41ba7bd2751/rendering/17.obj", "2.6849064827")</f>
        <v>2.6849064827</v>
      </c>
      <c r="U1290" s="107" t="str">
        <f>HYPERLINK(AB2 &amp; "/key/3dw_fe56c1f9-16f6-41a1-a0db-a41ba7bd2751/rendering/18.obj", "2.54716420174")</f>
        <v>2.54716420174</v>
      </c>
      <c r="V1290" s="48" t="str">
        <f>HYPERLINK(AB2 &amp; "/key/3dw_fe56c1f9-16f6-41a1-a0db-a41ba7bd2751/rendering/19.obj", "2.71313071251")</f>
        <v>2.71313071251</v>
      </c>
      <c r="W1290" s="12" t="s">
        <v>32</v>
      </c>
      <c r="X1290" s="13">
        <v>2.7770588397979741</v>
      </c>
      <c r="Y1290" s="13">
        <v>0.30864012547677222</v>
      </c>
      <c r="Z1290" s="28">
        <v>0.1111392099633097</v>
      </c>
    </row>
    <row r="1291" spans="1:26" x14ac:dyDescent="0.2">
      <c r="A1291" s="1">
        <v>1289</v>
      </c>
      <c r="B1291" s="2" t="s">
        <v>290</v>
      </c>
      <c r="C1291" s="13" t="str">
        <f>HYPERLINK(AC2 &amp; "/key/3dw_fe56c1f9-16f6-41a1-a0db-a41ba7bd2751/rendering/00.xyz", "0.0")</f>
        <v>0.0</v>
      </c>
      <c r="D1291" s="13" t="str">
        <f>HYPERLINK(AC2 &amp; "/key/3dw_fe56c1f9-16f6-41a1-a0db-a41ba7bd2751/rendering/01.xyz", "0.0")</f>
        <v>0.0</v>
      </c>
      <c r="E1291" s="13" t="str">
        <f>HYPERLINK(AC2 &amp; "/key/3dw_fe56c1f9-16f6-41a1-a0db-a41ba7bd2751/rendering/02.xyz", "0.0")</f>
        <v>0.0</v>
      </c>
      <c r="F1291" s="13" t="str">
        <f>HYPERLINK(AC2 &amp; "/key/3dw_fe56c1f9-16f6-41a1-a0db-a41ba7bd2751/rendering/03.xyz", "0.0")</f>
        <v>0.0</v>
      </c>
      <c r="G1291" s="13" t="str">
        <f>HYPERLINK(AC2 &amp; "/key/3dw_fe56c1f9-16f6-41a1-a0db-a41ba7bd2751/rendering/04.xyz", "0.0")</f>
        <v>0.0</v>
      </c>
      <c r="H1291" s="13" t="str">
        <f>HYPERLINK(AC2 &amp; "/key/3dw_fe56c1f9-16f6-41a1-a0db-a41ba7bd2751/rendering/05.xyz", "0.0")</f>
        <v>0.0</v>
      </c>
      <c r="I1291" s="13" t="str">
        <f>HYPERLINK(AC2 &amp; "/key/3dw_fe56c1f9-16f6-41a1-a0db-a41ba7bd2751/rendering/06.xyz", "0.0")</f>
        <v>0.0</v>
      </c>
      <c r="J1291" s="13" t="str">
        <f>HYPERLINK(AC2 &amp; "/key/3dw_fe56c1f9-16f6-41a1-a0db-a41ba7bd2751/rendering/07.xyz", "0.0")</f>
        <v>0.0</v>
      </c>
      <c r="K1291" s="13" t="str">
        <f>HYPERLINK(AC2 &amp; "/key/3dw_fe56c1f9-16f6-41a1-a0db-a41ba7bd2751/rendering/08.xyz", "0.0")</f>
        <v>0.0</v>
      </c>
      <c r="L1291" s="13" t="str">
        <f>HYPERLINK(AC2 &amp; "/key/3dw_fe56c1f9-16f6-41a1-a0db-a41ba7bd2751/rendering/09.xyz", "0.0")</f>
        <v>0.0</v>
      </c>
      <c r="M1291" s="13" t="str">
        <f>HYPERLINK(AC2 &amp; "/key/3dw_fe56c1f9-16f6-41a1-a0db-a41ba7bd2751/rendering/10.xyz", "0.0")</f>
        <v>0.0</v>
      </c>
      <c r="N1291" s="13" t="str">
        <f>HYPERLINK(AC2 &amp; "/key/3dw_fe56c1f9-16f6-41a1-a0db-a41ba7bd2751/rendering/11.xyz", "0.0")</f>
        <v>0.0</v>
      </c>
      <c r="O1291" s="13" t="str">
        <f>HYPERLINK(AC2 &amp; "/key/3dw_fe56c1f9-16f6-41a1-a0db-a41ba7bd2751/rendering/12.xyz", "0.0")</f>
        <v>0.0</v>
      </c>
      <c r="P1291" s="13" t="str">
        <f>HYPERLINK(AC2 &amp; "/key/3dw_fe56c1f9-16f6-41a1-a0db-a41ba7bd2751/rendering/13.xyz", "0.0")</f>
        <v>0.0</v>
      </c>
      <c r="Q1291" s="13" t="str">
        <f>HYPERLINK(AC2 &amp; "/key/3dw_fe56c1f9-16f6-41a1-a0db-a41ba7bd2751/rendering/14.xyz", "0.0")</f>
        <v>0.0</v>
      </c>
      <c r="R1291" s="13" t="str">
        <f>HYPERLINK(AC2 &amp; "/key/3dw_fe56c1f9-16f6-41a1-a0db-a41ba7bd2751/rendering/15.xyz", "0.0")</f>
        <v>0.0</v>
      </c>
      <c r="S1291" s="13" t="str">
        <f>HYPERLINK(AC2 &amp; "/key/3dw_fe56c1f9-16f6-41a1-a0db-a41ba7bd2751/rendering/16.xyz", "0.0")</f>
        <v>0.0</v>
      </c>
      <c r="T1291" s="13" t="str">
        <f>HYPERLINK(AC2 &amp; "/key/3dw_fe56c1f9-16f6-41a1-a0db-a41ba7bd2751/rendering/17.xyz", "0.0")</f>
        <v>0.0</v>
      </c>
      <c r="U1291" s="13" t="str">
        <f>HYPERLINK(AC2 &amp; "/key/3dw_fe56c1f9-16f6-41a1-a0db-a41ba7bd2751/rendering/18.xyz", "0.0")</f>
        <v>0.0</v>
      </c>
      <c r="V1291" s="13" t="str">
        <f>HYPERLINK(AC2 &amp; "/key/3dw_fe56c1f9-16f6-41a1-a0db-a41ba7bd2751/rendering/19.xyz", "0.0")</f>
        <v>0.0</v>
      </c>
      <c r="W1291" s="12" t="s">
        <v>33</v>
      </c>
      <c r="X1291" s="13">
        <v>0</v>
      </c>
      <c r="Y1291" s="13">
        <v>0</v>
      </c>
      <c r="Z1291" s="13">
        <v>0</v>
      </c>
    </row>
    <row r="1292" spans="1:26" x14ac:dyDescent="0.2">
      <c r="A1292" s="1">
        <v>1290</v>
      </c>
      <c r="B1292" s="2" t="s">
        <v>291</v>
      </c>
      <c r="C1292" s="69" t="str">
        <f>HYPERLINK(AA2 &amp; "/key/sn_35941431e1a6161c6344eb3465e61941/rendering/00.obj", "6.12456176758")</f>
        <v>6.12456176758</v>
      </c>
      <c r="D1292" s="42" t="str">
        <f>HYPERLINK(AA2 &amp; "/key/sn_35941431e1a6161c6344eb3465e61941/rendering/01.obj", "7.1652722168")</f>
        <v>7.1652722168</v>
      </c>
      <c r="E1292" s="27" t="str">
        <f>HYPERLINK(AA2 &amp; "/key/sn_35941431e1a6161c6344eb3465e61941/rendering/02.obj", "5.85805786133")</f>
        <v>5.85805786133</v>
      </c>
      <c r="F1292" s="30" t="str">
        <f>HYPERLINK(AA2 &amp; "/key/sn_35941431e1a6161c6344eb3465e61941/rendering/03.obj", "6.26897460938")</f>
        <v>6.26897460938</v>
      </c>
      <c r="G1292" s="13" t="str">
        <f>HYPERLINK(AA2 &amp; "/key/sn_35941431e1a6161c6344eb3465e61941/rendering/04.obj", "6.29099243164")</f>
        <v>6.29099243164</v>
      </c>
      <c r="H1292" s="48" t="str">
        <f>HYPERLINK(AA2 &amp; "/key/sn_35941431e1a6161c6344eb3465e61941/rendering/05.obj", "6.15044311523")</f>
        <v>6.15044311523</v>
      </c>
      <c r="I1292" s="133" t="str">
        <f>HYPERLINK(AA2 &amp; "/key/sn_35941431e1a6161c6344eb3465e61941/rendering/06.obj", "5.6620135498")</f>
        <v>5.6620135498</v>
      </c>
      <c r="J1292" s="6" t="str">
        <f>HYPERLINK(AA2 &amp; "/key/sn_35941431e1a6161c6344eb3465e61941/rendering/07.obj", "6.01614868164")</f>
        <v>6.01614868164</v>
      </c>
      <c r="K1292" s="240" t="str">
        <f>HYPERLINK(AA2 &amp; "/key/sn_35941431e1a6161c6344eb3465e61941/rendering/08.obj", "10.4310620117")</f>
        <v>10.4310620117</v>
      </c>
      <c r="L1292" s="70" t="str">
        <f>HYPERLINK(AA2 &amp; "/key/sn_35941431e1a6161c6344eb3465e61941/rendering/09.obj", "5.50059570312")</f>
        <v>5.50059570312</v>
      </c>
      <c r="M1292" s="69" t="str">
        <f>HYPERLINK(AA2 &amp; "/key/sn_35941431e1a6161c6344eb3465e61941/rendering/10.obj", "6.48885986328")</f>
        <v>6.48885986328</v>
      </c>
      <c r="N1292" s="92" t="str">
        <f>HYPERLINK(AA2 &amp; "/key/sn_35941431e1a6161c6344eb3465e61941/rendering/11.obj", "5.52623840332")</f>
        <v>5.52623840332</v>
      </c>
      <c r="O1292" s="133" t="str">
        <f>HYPERLINK(AA2 &amp; "/key/sn_35941431e1a6161c6344eb3465e61941/rendering/12.obj", "6.95312011719")</f>
        <v>6.95312011719</v>
      </c>
      <c r="P1292" s="73" t="str">
        <f>HYPERLINK(AA2 &amp; "/key/sn_35941431e1a6161c6344eb3465e61941/rendering/13.obj", "6.08219970703")</f>
        <v>6.08219970703</v>
      </c>
      <c r="Q1292" s="34" t="str">
        <f>HYPERLINK(AA2 &amp; "/key/sn_35941431e1a6161c6344eb3465e61941/rendering/14.obj", "5.99907348633")</f>
        <v>5.99907348633</v>
      </c>
      <c r="R1292" s="27" t="str">
        <f>HYPERLINK(AA2 &amp; "/key/sn_35941431e1a6161c6344eb3465e61941/rendering/15.obj", "6.74398010254")</f>
        <v>6.74398010254</v>
      </c>
      <c r="S1292" s="93" t="str">
        <f>HYPERLINK(AA2 &amp; "/key/sn_35941431e1a6161c6344eb3465e61941/rendering/16.obj", "5.42982055664")</f>
        <v>5.42982055664</v>
      </c>
      <c r="T1292" s="11" t="str">
        <f>HYPERLINK(AA2 &amp; "/key/sn_35941431e1a6161c6344eb3465e61941/rendering/17.obj", "4.89725036621")</f>
        <v>4.89725036621</v>
      </c>
      <c r="U1292" s="73" t="str">
        <f>HYPERLINK(AA2 &amp; "/key/sn_35941431e1a6161c6344eb3465e61941/rendering/18.obj", "6.53572753906")</f>
        <v>6.53572753906</v>
      </c>
      <c r="V1292" s="10" t="str">
        <f>HYPERLINK(AA2 &amp; "/key/sn_35941431e1a6161c6344eb3465e61941/rendering/19.obj", "5.96372619629")</f>
        <v>5.96372619629</v>
      </c>
      <c r="W1292" s="12" t="s">
        <v>29</v>
      </c>
      <c r="X1292" s="13">
        <v>6.3044059143066411</v>
      </c>
      <c r="Y1292" s="13">
        <v>1.083506999885167</v>
      </c>
      <c r="Z1292" s="40">
        <v>0.17186504400459929</v>
      </c>
    </row>
    <row r="1293" spans="1:26" x14ac:dyDescent="0.2">
      <c r="A1293" s="1">
        <v>1291</v>
      </c>
      <c r="B1293" s="2" t="s">
        <v>291</v>
      </c>
      <c r="C1293" s="79" t="str">
        <f>HYPERLINK(AA2 &amp; "/key/sn_35941431e1a6161c6344eb3465e61941/rendering/00.obj", "5.0690073967")</f>
        <v>5.0690073967</v>
      </c>
      <c r="D1293" s="191" t="str">
        <f>HYPERLINK(AA2 &amp; "/key/sn_35941431e1a6161c6344eb3465e61941/rendering/01.obj", "8.76053905487")</f>
        <v>8.76053905487</v>
      </c>
      <c r="E1293" s="171" t="str">
        <f>HYPERLINK(AA2 &amp; "/key/sn_35941431e1a6161c6344eb3465e61941/rendering/02.obj", "4.1818022728")</f>
        <v>4.1818022728</v>
      </c>
      <c r="F1293" s="94" t="str">
        <f>HYPERLINK(AA2 &amp; "/key/sn_35941431e1a6161c6344eb3465e61941/rendering/03.obj", "5.58870887756")</f>
        <v>5.58870887756</v>
      </c>
      <c r="G1293" s="60" t="str">
        <f>HYPERLINK(AA2 &amp; "/key/sn_35941431e1a6161c6344eb3465e61941/rendering/04.obj", "5.71776485443")</f>
        <v>5.71776485443</v>
      </c>
      <c r="H1293" s="57" t="str">
        <f>HYPERLINK(AA2 &amp; "/key/sn_35941431e1a6161c6344eb3465e61941/rendering/05.obj", "4.13001298904")</f>
        <v>4.13001298904</v>
      </c>
      <c r="I1293" s="54" t="str">
        <f>HYPERLINK(AA2 &amp; "/key/sn_35941431e1a6161c6344eb3465e61941/rendering/06.obj", "4.0536365509")</f>
        <v>4.0536365509</v>
      </c>
      <c r="J1293" s="77" t="str">
        <f>HYPERLINK(AA2 &amp; "/key/sn_35941431e1a6161c6344eb3465e61941/rendering/07.obj", "4.90952777863")</f>
        <v>4.90952777863</v>
      </c>
      <c r="K1293" s="20" t="str">
        <f>HYPERLINK(AA2 &amp; "/key/sn_35941431e1a6161c6344eb3465e61941/rendering/08.obj", "22.1263809204")</f>
        <v>22.1263809204</v>
      </c>
      <c r="L1293" s="119" t="str">
        <f>HYPERLINK(AA2 &amp; "/key/sn_35941431e1a6161c6344eb3465e61941/rendering/09.obj", "4.42567968369")</f>
        <v>4.42567968369</v>
      </c>
      <c r="M1293" s="6" t="str">
        <f>HYPERLINK(AA2 &amp; "/key/sn_35941431e1a6161c6344eb3465e61941/rendering/10.obj", "5.75545072556")</f>
        <v>5.75545072556</v>
      </c>
      <c r="N1293" s="86" t="str">
        <f>HYPERLINK(AA2 &amp; "/key/sn_35941431e1a6161c6344eb3465e61941/rendering/11.obj", "4.41115140915")</f>
        <v>4.41115140915</v>
      </c>
      <c r="O1293" s="31" t="str">
        <f>HYPERLINK(AA2 &amp; "/key/sn_35941431e1a6161c6344eb3465e61941/rendering/12.obj", "6.97675800323")</f>
        <v>6.97675800323</v>
      </c>
      <c r="P1293" s="98" t="str">
        <f>HYPERLINK(AA2 &amp; "/key/sn_35941431e1a6161c6344eb3465e61941/rendering/13.obj", "4.65025949478")</f>
        <v>4.65025949478</v>
      </c>
      <c r="Q1293" s="73" t="str">
        <f>HYPERLINK(AA2 &amp; "/key/sn_35941431e1a6161c6344eb3465e61941/rendering/14.obj", "5.81038236618")</f>
        <v>5.81038236618</v>
      </c>
      <c r="R1293" s="78" t="str">
        <f>HYPERLINK(AA2 &amp; "/key/sn_35941431e1a6161c6344eb3465e61941/rendering/15.obj", "6.39771270752")</f>
        <v>6.39771270752</v>
      </c>
      <c r="S1293" s="100" t="str">
        <f>HYPERLINK(AA2 &amp; "/key/sn_35941431e1a6161c6344eb3465e61941/rendering/16.obj", "4.21755838394")</f>
        <v>4.21755838394</v>
      </c>
      <c r="T1293" s="174" t="str">
        <f>HYPERLINK(AA2 &amp; "/key/sn_35941431e1a6161c6344eb3465e61941/rendering/17.obj", "2.85935139656")</f>
        <v>2.85935139656</v>
      </c>
      <c r="U1293" s="67" t="str">
        <f>HYPERLINK(AA2 &amp; "/key/sn_35941431e1a6161c6344eb3465e61941/rendering/18.obj", "6.58666753769")</f>
        <v>6.58666753769</v>
      </c>
      <c r="V1293" s="193" t="str">
        <f>HYPERLINK(AA2 &amp; "/key/sn_35941431e1a6161c6344eb3465e61941/rendering/19.obj", "4.02844524384")</f>
        <v>4.02844524384</v>
      </c>
      <c r="W1293" s="12" t="s">
        <v>30</v>
      </c>
      <c r="X1293" s="13">
        <v>6.0328398823738096</v>
      </c>
      <c r="Y1293" s="13">
        <v>3.9106238669889102</v>
      </c>
      <c r="Z1293" s="178">
        <v>0.64822271819522459</v>
      </c>
    </row>
    <row r="1294" spans="1:26" x14ac:dyDescent="0.2">
      <c r="A1294" s="1">
        <v>1292</v>
      </c>
      <c r="B1294" s="2" t="s">
        <v>291</v>
      </c>
      <c r="C1294" s="51" t="str">
        <f>HYPERLINK(AB2 &amp; "/key/sn_35941431e1a6161c6344eb3465e61941/rendering/00.obj", "6.04065673828")</f>
        <v>6.04065673828</v>
      </c>
      <c r="D1294" s="48" t="str">
        <f>HYPERLINK(AB2 &amp; "/key/sn_35941431e1a6161c6344eb3465e61941/rendering/01.obj", "6.42768066406")</f>
        <v>6.42768066406</v>
      </c>
      <c r="E1294" s="90" t="str">
        <f>HYPERLINK(AB2 &amp; "/key/sn_35941431e1a6161c6344eb3465e61941/rendering/02.obj", "5.93563781738")</f>
        <v>5.93563781738</v>
      </c>
      <c r="F1294" s="78" t="str">
        <f>HYPERLINK(AB2 &amp; "/key/sn_35941431e1a6161c6344eb3465e61941/rendering/03.obj", "6.17904174805")</f>
        <v>6.17904174805</v>
      </c>
      <c r="G1294" s="31" t="str">
        <f>HYPERLINK(AB2 &amp; "/key/sn_35941431e1a6161c6344eb3465e61941/rendering/04.obj", "7.58773803711")</f>
        <v>7.58773803711</v>
      </c>
      <c r="H1294" s="13" t="str">
        <f>HYPERLINK(AB2 &amp; "/key/sn_35941431e1a6161c6344eb3465e61941/rendering/05.obj", "6.5637121582")</f>
        <v>6.5637121582</v>
      </c>
      <c r="I1294" s="48" t="str">
        <f>HYPERLINK(AB2 &amp; "/key/sn_35941431e1a6161c6344eb3465e61941/rendering/06.obj", "6.72867431641")</f>
        <v>6.72867431641</v>
      </c>
      <c r="J1294" s="27" t="str">
        <f>HYPERLINK(AB2 &amp; "/key/sn_35941431e1a6161c6344eb3465e61941/rendering/07.obj", "6.11204711914")</f>
        <v>6.11204711914</v>
      </c>
      <c r="K1294" s="42" t="str">
        <f>HYPERLINK(AB2 &amp; "/key/sn_35941431e1a6161c6344eb3465e61941/rendering/08.obj", "7.46088317871")</f>
        <v>7.46088317871</v>
      </c>
      <c r="L1294" s="38" t="str">
        <f>HYPERLINK(AB2 &amp; "/key/sn_35941431e1a6161c6344eb3465e61941/rendering/09.obj", "7.16611633301")</f>
        <v>7.16611633301</v>
      </c>
      <c r="M1294" s="72" t="str">
        <f>HYPERLINK(AB2 &amp; "/key/sn_35941431e1a6161c6344eb3465e61941/rendering/10.obj", "6.35565795898")</f>
        <v>6.35565795898</v>
      </c>
      <c r="N1294" s="34" t="str">
        <f>HYPERLINK(AB2 &amp; "/key/sn_35941431e1a6161c6344eb3465e61941/rendering/11.obj", "6.25814331055")</f>
        <v>6.25814331055</v>
      </c>
      <c r="O1294" s="26" t="str">
        <f>HYPERLINK(AB2 &amp; "/key/sn_35941431e1a6161c6344eb3465e61941/rendering/12.obj", "6.15532592773")</f>
        <v>6.15532592773</v>
      </c>
      <c r="P1294" s="33" t="str">
        <f>HYPERLINK(AB2 &amp; "/key/sn_35941431e1a6161c6344eb3465e61941/rendering/13.obj", "5.86982421875")</f>
        <v>5.86982421875</v>
      </c>
      <c r="Q1294" s="8" t="str">
        <f>HYPERLINK(AB2 &amp; "/key/sn_35941431e1a6161c6344eb3465e61941/rendering/14.obj", "7.51637390137")</f>
        <v>7.51637390137</v>
      </c>
      <c r="R1294" s="92" t="str">
        <f>HYPERLINK(AB2 &amp; "/key/sn_35941431e1a6161c6344eb3465e61941/rendering/15.obj", "7.39805969238")</f>
        <v>7.39805969238</v>
      </c>
      <c r="S1294" s="39" t="str">
        <f>HYPERLINK(AB2 &amp; "/key/sn_35941431e1a6161c6344eb3465e61941/rendering/16.obj", "6.01407104492")</f>
        <v>6.01407104492</v>
      </c>
      <c r="T1294" s="78" t="str">
        <f>HYPERLINK(AB2 &amp; "/key/sn_35941431e1a6161c6344eb3465e61941/rendering/17.obj", "6.16595703125")</f>
        <v>6.16595703125</v>
      </c>
      <c r="U1294" s="69" t="str">
        <f>HYPERLINK(AB2 &amp; "/key/sn_35941431e1a6161c6344eb3465e61941/rendering/18.obj", "6.37686279297")</f>
        <v>6.37686279297</v>
      </c>
      <c r="V1294" s="38" t="str">
        <f>HYPERLINK(AB2 &amp; "/key/sn_35941431e1a6161c6344eb3465e61941/rendering/19.obj", "7.1607409668")</f>
        <v>7.1607409668</v>
      </c>
      <c r="W1294" s="12" t="s">
        <v>31</v>
      </c>
      <c r="X1294" s="13">
        <v>6.5736602478027351</v>
      </c>
      <c r="Y1294" s="13">
        <v>0.57098598242923371</v>
      </c>
      <c r="Z1294" s="39">
        <v>8.6859673439935906E-2</v>
      </c>
    </row>
    <row r="1295" spans="1:26" x14ac:dyDescent="0.2">
      <c r="A1295" s="1">
        <v>1293</v>
      </c>
      <c r="B1295" s="2" t="s">
        <v>291</v>
      </c>
      <c r="C1295" s="109" t="str">
        <f>HYPERLINK(AB2 &amp; "/key/sn_35941431e1a6161c6344eb3465e61941/rendering/00.obj", "2.62305450439")</f>
        <v>2.62305450439</v>
      </c>
      <c r="D1295" s="27" t="str">
        <f>HYPERLINK(AB2 &amp; "/key/sn_35941431e1a6161c6344eb3465e61941/rendering/01.obj", "3.00689768791")</f>
        <v>3.00689768791</v>
      </c>
      <c r="E1295" s="28" t="str">
        <f>HYPERLINK(AB2 &amp; "/key/sn_35941431e1a6161c6344eb3465e61941/rendering/02.obj", "2.87806797028")</f>
        <v>2.87806797028</v>
      </c>
      <c r="F1295" s="63" t="str">
        <f>HYPERLINK(AB2 &amp; "/key/sn_35941431e1a6161c6344eb3465e61941/rendering/03.obj", "2.8415594101")</f>
        <v>2.8415594101</v>
      </c>
      <c r="G1295" s="109" t="str">
        <f>HYPERLINK(AB2 &amp; "/key/sn_35941431e1a6161c6344eb3465e61941/rendering/04.obj", "3.84960532188")</f>
        <v>3.84960532188</v>
      </c>
      <c r="H1295" s="91" t="str">
        <f>HYPERLINK(AB2 &amp; "/key/sn_35941431e1a6161c6344eb3465e61941/rendering/05.obj", "3.32707929611")</f>
        <v>3.32707929611</v>
      </c>
      <c r="I1295" s="6" t="str">
        <f>HYPERLINK(AB2 &amp; "/key/sn_35941431e1a6161c6344eb3465e61941/rendering/06.obj", "3.09088540077")</f>
        <v>3.09088540077</v>
      </c>
      <c r="J1295" s="70" t="str">
        <f>HYPERLINK(AB2 &amp; "/key/sn_35941431e1a6161c6344eb3465e61941/rendering/07.obj", "2.82849645615")</f>
        <v>2.82849645615</v>
      </c>
      <c r="K1295" s="235" t="str">
        <f>HYPERLINK(AB2 &amp; "/key/sn_35941431e1a6161c6344eb3465e61941/rendering/08.obj", "4.98802280426")</f>
        <v>4.98802280426</v>
      </c>
      <c r="L1295" s="91" t="str">
        <f>HYPERLINK(AB2 &amp; "/key/sn_35941431e1a6161c6344eb3465e61941/rendering/09.obj", "3.32829260826")</f>
        <v>3.32829260826</v>
      </c>
      <c r="M1295" s="41" t="str">
        <f>HYPERLINK(AB2 &amp; "/key/sn_35941431e1a6161c6344eb3465e61941/rendering/10.obj", "3.01773667336")</f>
        <v>3.01773667336</v>
      </c>
      <c r="N1295" s="70" t="str">
        <f>HYPERLINK(AB2 &amp; "/key/sn_35941431e1a6161c6344eb3465e61941/rendering/11.obj", "2.82621788979")</f>
        <v>2.82621788979</v>
      </c>
      <c r="O1295" s="68" t="str">
        <f>HYPERLINK(AB2 &amp; "/key/sn_35941431e1a6161c6344eb3465e61941/rendering/12.obj", "3.09771704674")</f>
        <v>3.09771704674</v>
      </c>
      <c r="P1295" s="92" t="str">
        <f>HYPERLINK(AB2 &amp; "/key/sn_35941431e1a6161c6344eb3465e61941/rendering/13.obj", "2.83278393745")</f>
        <v>2.83278393745</v>
      </c>
      <c r="Q1295" s="31" t="str">
        <f>HYPERLINK(AB2 &amp; "/key/sn_35941431e1a6161c6344eb3465e61941/rendering/14.obj", "3.74112772942")</f>
        <v>3.74112772942</v>
      </c>
      <c r="R1295" s="7" t="str">
        <f>HYPERLINK(AB2 &amp; "/key/sn_35941431e1a6161c6344eb3465e61941/rendering/15.obj", "4.13992261887")</f>
        <v>4.13992261887</v>
      </c>
      <c r="S1295" s="33" t="str">
        <f>HYPERLINK(AB2 &amp; "/key/sn_35941431e1a6161c6344eb3465e61941/rendering/16.obj", "2.89177131653")</f>
        <v>2.89177131653</v>
      </c>
      <c r="T1295" s="26" t="str">
        <f>HYPERLINK(AB2 &amp; "/key/sn_35941431e1a6161c6344eb3465e61941/rendering/17.obj", "3.02617383003")</f>
        <v>3.02617383003</v>
      </c>
      <c r="U1295" s="41" t="str">
        <f>HYPERLINK(AB2 &amp; "/key/sn_35941431e1a6161c6344eb3465e61941/rendering/18.obj", "3.02238225937")</f>
        <v>3.02238225937</v>
      </c>
      <c r="V1295" s="6" t="str">
        <f>HYPERLINK(AB2 &amp; "/key/sn_35941431e1a6161c6344eb3465e61941/rendering/19.obj", "3.38660120964")</f>
        <v>3.38660120964</v>
      </c>
      <c r="W1295" s="12" t="s">
        <v>32</v>
      </c>
      <c r="X1295" s="13">
        <v>3.2372197985649112</v>
      </c>
      <c r="Y1295" s="13">
        <v>0.55055492807863826</v>
      </c>
      <c r="Z1295" s="40">
        <v>0.17007029560448891</v>
      </c>
    </row>
    <row r="1296" spans="1:26" x14ac:dyDescent="0.2">
      <c r="A1296" s="1">
        <v>1294</v>
      </c>
      <c r="B1296" s="2" t="s">
        <v>291</v>
      </c>
      <c r="C1296" s="13" t="str">
        <f>HYPERLINK(AC2 &amp; "/key/sn_35941431e1a6161c6344eb3465e61941/rendering/00.xyz", "0.0")</f>
        <v>0.0</v>
      </c>
      <c r="D1296" s="13" t="str">
        <f>HYPERLINK(AC2 &amp; "/key/sn_35941431e1a6161c6344eb3465e61941/rendering/01.xyz", "0.0")</f>
        <v>0.0</v>
      </c>
      <c r="E1296" s="13" t="str">
        <f>HYPERLINK(AC2 &amp; "/key/sn_35941431e1a6161c6344eb3465e61941/rendering/02.xyz", "0.0")</f>
        <v>0.0</v>
      </c>
      <c r="F1296" s="13" t="str">
        <f>HYPERLINK(AC2 &amp; "/key/sn_35941431e1a6161c6344eb3465e61941/rendering/03.xyz", "0.0")</f>
        <v>0.0</v>
      </c>
      <c r="G1296" s="13" t="str">
        <f>HYPERLINK(AC2 &amp; "/key/sn_35941431e1a6161c6344eb3465e61941/rendering/04.xyz", "0.0")</f>
        <v>0.0</v>
      </c>
      <c r="H1296" s="13" t="str">
        <f>HYPERLINK(AC2 &amp; "/key/sn_35941431e1a6161c6344eb3465e61941/rendering/05.xyz", "0.0")</f>
        <v>0.0</v>
      </c>
      <c r="I1296" s="13" t="str">
        <f>HYPERLINK(AC2 &amp; "/key/sn_35941431e1a6161c6344eb3465e61941/rendering/06.xyz", "0.0")</f>
        <v>0.0</v>
      </c>
      <c r="J1296" s="13" t="str">
        <f>HYPERLINK(AC2 &amp; "/key/sn_35941431e1a6161c6344eb3465e61941/rendering/07.xyz", "0.0")</f>
        <v>0.0</v>
      </c>
      <c r="K1296" s="13" t="str">
        <f>HYPERLINK(AC2 &amp; "/key/sn_35941431e1a6161c6344eb3465e61941/rendering/08.xyz", "0.0")</f>
        <v>0.0</v>
      </c>
      <c r="L1296" s="13" t="str">
        <f>HYPERLINK(AC2 &amp; "/key/sn_35941431e1a6161c6344eb3465e61941/rendering/09.xyz", "0.0")</f>
        <v>0.0</v>
      </c>
      <c r="M1296" s="13" t="str">
        <f>HYPERLINK(AC2 &amp; "/key/sn_35941431e1a6161c6344eb3465e61941/rendering/10.xyz", "0.0")</f>
        <v>0.0</v>
      </c>
      <c r="N1296" s="13" t="str">
        <f>HYPERLINK(AC2 &amp; "/key/sn_35941431e1a6161c6344eb3465e61941/rendering/11.xyz", "0.0")</f>
        <v>0.0</v>
      </c>
      <c r="O1296" s="13" t="str">
        <f>HYPERLINK(AC2 &amp; "/key/sn_35941431e1a6161c6344eb3465e61941/rendering/12.xyz", "0.0")</f>
        <v>0.0</v>
      </c>
      <c r="P1296" s="13" t="str">
        <f>HYPERLINK(AC2 &amp; "/key/sn_35941431e1a6161c6344eb3465e61941/rendering/13.xyz", "0.0")</f>
        <v>0.0</v>
      </c>
      <c r="Q1296" s="13" t="str">
        <f>HYPERLINK(AC2 &amp; "/key/sn_35941431e1a6161c6344eb3465e61941/rendering/14.xyz", "0.0")</f>
        <v>0.0</v>
      </c>
      <c r="R1296" s="13" t="str">
        <f>HYPERLINK(AC2 &amp; "/key/sn_35941431e1a6161c6344eb3465e61941/rendering/15.xyz", "0.0")</f>
        <v>0.0</v>
      </c>
      <c r="S1296" s="13" t="str">
        <f>HYPERLINK(AC2 &amp; "/key/sn_35941431e1a6161c6344eb3465e61941/rendering/16.xyz", "0.0")</f>
        <v>0.0</v>
      </c>
      <c r="T1296" s="13" t="str">
        <f>HYPERLINK(AC2 &amp; "/key/sn_35941431e1a6161c6344eb3465e61941/rendering/17.xyz", "0.0")</f>
        <v>0.0</v>
      </c>
      <c r="U1296" s="13" t="str">
        <f>HYPERLINK(AC2 &amp; "/key/sn_35941431e1a6161c6344eb3465e61941/rendering/18.xyz", "0.0")</f>
        <v>0.0</v>
      </c>
      <c r="V1296" s="13" t="str">
        <f>HYPERLINK(AC2 &amp; "/key/sn_35941431e1a6161c6344eb3465e61941/rendering/19.xyz", "0.0")</f>
        <v>0.0</v>
      </c>
      <c r="W1296" s="12" t="s">
        <v>33</v>
      </c>
      <c r="X1296" s="13">
        <v>0</v>
      </c>
      <c r="Y1296" s="13">
        <v>0</v>
      </c>
      <c r="Z1296" s="13">
        <v>0</v>
      </c>
    </row>
    <row r="1297" spans="1:26" x14ac:dyDescent="0.2">
      <c r="A1297" s="1">
        <v>1295</v>
      </c>
      <c r="B1297" s="2" t="s">
        <v>292</v>
      </c>
      <c r="C1297" s="133" t="str">
        <f>HYPERLINK(AA2 &amp; "/key/sn_41128930ff1e7a85763ffa228e9509c8/rendering/00.obj", "4.7226763916")</f>
        <v>4.7226763916</v>
      </c>
      <c r="D1297" s="63" t="str">
        <f>HYPERLINK(AA2 &amp; "/key/sn_41128930ff1e7a85763ffa228e9509c8/rendering/01.obj", "3.76591369629")</f>
        <v>3.76591369629</v>
      </c>
      <c r="E1297" s="109" t="str">
        <f>HYPERLINK(AA2 &amp; "/key/sn_41128930ff1e7a85763ffa228e9509c8/rendering/02.obj", "5.09522064209")</f>
        <v>5.09522064209</v>
      </c>
      <c r="F1297" s="107" t="str">
        <f>HYPERLINK(AA2 &amp; "/key/sn_41128930ff1e7a85763ffa228e9509c8/rendering/03.obj", "3.93231262207")</f>
        <v>3.93231262207</v>
      </c>
      <c r="G1297" s="74" t="str">
        <f>HYPERLINK(AA2 &amp; "/key/sn_41128930ff1e7a85763ffa228e9509c8/rendering/04.obj", "4.34325805664")</f>
        <v>4.34325805664</v>
      </c>
      <c r="H1297" s="107" t="str">
        <f>HYPERLINK(AA2 &amp; "/key/sn_41128930ff1e7a85763ffa228e9509c8/rendering/05.obj", "4.64052062988")</f>
        <v>4.64052062988</v>
      </c>
      <c r="I1297" s="94" t="str">
        <f>HYPERLINK(AA2 &amp; "/key/sn_41128930ff1e7a85763ffa228e9509c8/rendering/06.obj", "3.9738873291")</f>
        <v>3.9738873291</v>
      </c>
      <c r="J1297" s="113" t="str">
        <f>HYPERLINK(AA2 &amp; "/key/sn_41128930ff1e7a85763ffa228e9509c8/rendering/07.obj", "5.46366333008")</f>
        <v>5.46366333008</v>
      </c>
      <c r="K1297" s="27" t="str">
        <f>HYPERLINK(AA2 &amp; "/key/sn_41128930ff1e7a85763ffa228e9509c8/rendering/08.obj", "3.97815368652")</f>
        <v>3.97815368652</v>
      </c>
      <c r="L1297" s="32" t="str">
        <f>HYPERLINK(AA2 &amp; "/key/sn_41128930ff1e7a85763ffa228e9509c8/rendering/09.obj", "4.72862579346")</f>
        <v>4.72862579346</v>
      </c>
      <c r="M1297" s="98" t="str">
        <f>HYPERLINK(AA2 &amp; "/key/sn_41128930ff1e7a85763ffa228e9509c8/rendering/10.obj", "3.2917791748")</f>
        <v>3.2917791748</v>
      </c>
      <c r="N1297" s="35" t="str">
        <f>HYPERLINK(AA2 &amp; "/key/sn_41128930ff1e7a85763ffa228e9509c8/rendering/11.obj", "4.0366619873")</f>
        <v>4.0366619873</v>
      </c>
      <c r="O1297" s="28" t="str">
        <f>HYPERLINK(AA2 &amp; "/key/sn_41128930ff1e7a85763ffa228e9509c8/rendering/12.obj", "3.80432678223")</f>
        <v>3.80432678223</v>
      </c>
      <c r="P1297" s="80" t="str">
        <f>HYPERLINK(AA2 &amp; "/key/sn_41128930ff1e7a85763ffa228e9509c8/rendering/13.obj", "4.91936279297")</f>
        <v>4.91936279297</v>
      </c>
      <c r="Q1297" s="38" t="str">
        <f>HYPERLINK(AA2 &amp; "/key/sn_41128930ff1e7a85763ffa228e9509c8/rendering/14.obj", "3.89547485352")</f>
        <v>3.89547485352</v>
      </c>
      <c r="R1297" s="38" t="str">
        <f>HYPERLINK(AA2 &amp; "/key/sn_41128930ff1e7a85763ffa228e9509c8/rendering/15.obj", "3.89487243652")</f>
        <v>3.89487243652</v>
      </c>
      <c r="S1297" s="72" t="str">
        <f>HYPERLINK(AA2 &amp; "/key/sn_41128930ff1e7a85763ffa228e9509c8/rendering/16.obj", "4.14617523193")</f>
        <v>4.14617523193</v>
      </c>
      <c r="T1297" s="63" t="str">
        <f>HYPERLINK(AA2 &amp; "/key/sn_41128930ff1e7a85763ffa228e9509c8/rendering/17.obj", "3.76392028809")</f>
        <v>3.76392028809</v>
      </c>
      <c r="U1297" s="37" t="str">
        <f>HYPERLINK(AA2 &amp; "/key/sn_41128930ff1e7a85763ffa228e9509c8/rendering/18.obj", "5.02253540039")</f>
        <v>5.02253540039</v>
      </c>
      <c r="V1297" s="25" t="str">
        <f>HYPERLINK(AA2 &amp; "/key/sn_41128930ff1e7a85763ffa228e9509c8/rendering/19.obj", "4.24163787842")</f>
        <v>4.24163787842</v>
      </c>
      <c r="W1297" s="12" t="s">
        <v>29</v>
      </c>
      <c r="X1297" s="13">
        <v>4.2830489501953126</v>
      </c>
      <c r="Y1297" s="13">
        <v>0.54638601151906907</v>
      </c>
      <c r="Z1297" s="70">
        <v>0.1275694062506928</v>
      </c>
    </row>
    <row r="1298" spans="1:26" x14ac:dyDescent="0.2">
      <c r="A1298" s="1">
        <v>1296</v>
      </c>
      <c r="B1298" s="2" t="s">
        <v>292</v>
      </c>
      <c r="C1298" s="72" t="str">
        <f>HYPERLINK(AA2 &amp; "/key/sn_41128930ff1e7a85763ffa228e9509c8/rendering/00.obj", "4.00729179382")</f>
        <v>4.00729179382</v>
      </c>
      <c r="D1298" s="43" t="str">
        <f>HYPERLINK(AA2 &amp; "/key/sn_41128930ff1e7a85763ffa228e9509c8/rendering/01.obj", "2.59467124939")</f>
        <v>2.59467124939</v>
      </c>
      <c r="E1298" s="94" t="str">
        <f>HYPERLINK(AA2 &amp; "/key/sn_41128930ff1e7a85763ffa228e9509c8/rendering/02.obj", "4.45171689987")</f>
        <v>4.45171689987</v>
      </c>
      <c r="F1298" s="56" t="str">
        <f>HYPERLINK(AA2 &amp; "/key/sn_41128930ff1e7a85763ffa228e9509c8/rendering/03.obj", "2.85763382912")</f>
        <v>2.85763382912</v>
      </c>
      <c r="G1298" s="88" t="str">
        <f>HYPERLINK(AA2 &amp; "/key/sn_41128930ff1e7a85763ffa228e9509c8/rendering/04.obj", "4.9868721962")</f>
        <v>4.9868721962</v>
      </c>
      <c r="H1298" s="175" t="str">
        <f>HYPERLINK(AA2 &amp; "/key/sn_41128930ff1e7a85763ffa228e9509c8/rendering/05.obj", "5.10901880264")</f>
        <v>5.10901880264</v>
      </c>
      <c r="I1298" s="5" t="str">
        <f>HYPERLINK(AA2 &amp; "/key/sn_41128930ff1e7a85763ffa228e9509c8/rendering/06.obj", "4.46509933472")</f>
        <v>4.46509933472</v>
      </c>
      <c r="J1298" s="20" t="str">
        <f>HYPERLINK(AA2 &amp; "/key/sn_41128930ff1e7a85763ffa228e9509c8/rendering/07.obj", "8.41246032715")</f>
        <v>8.41246032715</v>
      </c>
      <c r="K1298" s="64" t="str">
        <f>HYPERLINK(AA2 &amp; "/key/sn_41128930ff1e7a85763ffa228e9509c8/rendering/08.obj", "3.46496152878")</f>
        <v>3.46496152878</v>
      </c>
      <c r="L1298" s="5" t="str">
        <f>HYPERLINK(AA2 &amp; "/key/sn_41128930ff1e7a85763ffa228e9509c8/rendering/09.obj", "3.8324007988")</f>
        <v>3.8324007988</v>
      </c>
      <c r="M1298" s="138" t="str">
        <f>HYPERLINK(AA2 &amp; "/key/sn_41128930ff1e7a85763ffa228e9509c8/rendering/10.obj", "2.74396491051")</f>
        <v>2.74396491051</v>
      </c>
      <c r="N1298" s="31" t="str">
        <f>HYPERLINK(AA2 &amp; "/key/sn_41128930ff1e7a85763ffa228e9509c8/rendering/11.obj", "3.49810242653")</f>
        <v>3.49810242653</v>
      </c>
      <c r="O1298" s="118" t="str">
        <f>HYPERLINK(AA2 &amp; "/key/sn_41128930ff1e7a85763ffa228e9509c8/rendering/12.obj", "2.93169903755")</f>
        <v>2.93169903755</v>
      </c>
      <c r="P1298" s="155" t="str">
        <f>HYPERLINK(AA2 &amp; "/key/sn_41128930ff1e7a85763ffa228e9509c8/rendering/13.obj", "6.94136762619")</f>
        <v>6.94136762619</v>
      </c>
      <c r="Q1298" s="196" t="str">
        <f>HYPERLINK(AA2 &amp; "/key/sn_41128930ff1e7a85763ffa228e9509c8/rendering/14.obj", "2.50351858139")</f>
        <v>2.50351858139</v>
      </c>
      <c r="R1298" s="51" t="str">
        <f>HYPERLINK(AA2 &amp; "/key/sn_41128930ff1e7a85763ffa228e9509c8/rendering/15.obj", "4.47501850128")</f>
        <v>4.47501850128</v>
      </c>
      <c r="S1298" s="90" t="str">
        <f>HYPERLINK(AA2 &amp; "/key/sn_41128930ff1e7a85763ffa228e9509c8/rendering/16.obj", "4.54507303238")</f>
        <v>4.54507303238</v>
      </c>
      <c r="T1298" s="145" t="str">
        <f>HYPERLINK(AA2 &amp; "/key/sn_41128930ff1e7a85763ffa228e9509c8/rendering/17.obj", "2.11501073837")</f>
        <v>2.11501073837</v>
      </c>
      <c r="U1298" s="136" t="str">
        <f>HYPERLINK(AA2 &amp; "/key/sn_41128930ff1e7a85763ffa228e9509c8/rendering/18.obj", "5.12435531616")</f>
        <v>5.12435531616</v>
      </c>
      <c r="V1298" s="94" t="str">
        <f>HYPERLINK(AA2 &amp; "/key/sn_41128930ff1e7a85763ffa228e9509c8/rendering/19.obj", "3.83452153206")</f>
        <v>3.83452153206</v>
      </c>
      <c r="W1298" s="12" t="s">
        <v>30</v>
      </c>
      <c r="X1298" s="13">
        <v>4.1447379231452954</v>
      </c>
      <c r="Y1298" s="13">
        <v>1.491622775853392</v>
      </c>
      <c r="Z1298" s="151">
        <v>0.35988349649896623</v>
      </c>
    </row>
    <row r="1299" spans="1:26" x14ac:dyDescent="0.2">
      <c r="A1299" s="1">
        <v>1297</v>
      </c>
      <c r="B1299" s="2" t="s">
        <v>292</v>
      </c>
      <c r="C1299" s="49" t="str">
        <f>HYPERLINK(AB2 &amp; "/key/sn_41128930ff1e7a85763ffa228e9509c8/rendering/00.obj", "3.72404052734")</f>
        <v>3.72404052734</v>
      </c>
      <c r="D1299" s="34" t="str">
        <f>HYPERLINK(AB2 &amp; "/key/sn_41128930ff1e7a85763ffa228e9509c8/rendering/01.obj", "4.47894744873")</f>
        <v>4.47894744873</v>
      </c>
      <c r="E1299" s="41" t="str">
        <f>HYPERLINK(AB2 &amp; "/key/sn_41128930ff1e7a85763ffa228e9509c8/rendering/02.obj", "4.38064697266")</f>
        <v>4.38064697266</v>
      </c>
      <c r="F1299" s="47" t="str">
        <f>HYPERLINK(AB2 &amp; "/key/sn_41128930ff1e7a85763ffa228e9509c8/rendering/03.obj", "4.672449646")</f>
        <v>4.672449646</v>
      </c>
      <c r="G1299" s="27" t="str">
        <f>HYPERLINK(AB2 &amp; "/key/sn_41128930ff1e7a85763ffa228e9509c8/rendering/04.obj", "5.03156066895")</f>
        <v>5.03156066895</v>
      </c>
      <c r="H1299" s="29" t="str">
        <f>HYPERLINK(AB2 &amp; "/key/sn_41128930ff1e7a85763ffa228e9509c8/rendering/05.obj", "5.31485046387")</f>
        <v>5.31485046387</v>
      </c>
      <c r="I1299" s="8" t="str">
        <f>HYPERLINK(AB2 &amp; "/key/sn_41128930ff1e7a85763ffa228e9509c8/rendering/06.obj", "5.37350219727")</f>
        <v>5.37350219727</v>
      </c>
      <c r="J1299" s="13" t="str">
        <f>HYPERLINK(AB2 &amp; "/key/sn_41128930ff1e7a85763ffa228e9509c8/rendering/07.obj", "4.69277526855")</f>
        <v>4.69277526855</v>
      </c>
      <c r="K1299" s="25" t="str">
        <f>HYPERLINK(AB2 &amp; "/key/sn_41128930ff1e7a85763ffa228e9509c8/rendering/08.obj", "4.7498046875")</f>
        <v>4.7498046875</v>
      </c>
      <c r="L1299" s="13" t="str">
        <f>HYPERLINK(AB2 &amp; "/key/sn_41128930ff1e7a85763ffa228e9509c8/rendering/09.obj", "4.7050378418")</f>
        <v>4.7050378418</v>
      </c>
      <c r="M1299" s="27" t="str">
        <f>HYPERLINK(AB2 &amp; "/key/sn_41128930ff1e7a85763ffa228e9509c8/rendering/10.obj", "4.36761535645")</f>
        <v>4.36761535645</v>
      </c>
      <c r="N1299" s="8" t="str">
        <f>HYPERLINK(AB2 &amp; "/key/sn_41128930ff1e7a85763ffa228e9509c8/rendering/11.obj", "5.3746673584")</f>
        <v>5.3746673584</v>
      </c>
      <c r="O1299" s="48" t="str">
        <f>HYPERLINK(AB2 &amp; "/key/sn_41128930ff1e7a85763ffa228e9509c8/rendering/12.obj", "4.59581054687")</f>
        <v>4.59581054687</v>
      </c>
      <c r="P1299" s="93" t="str">
        <f>HYPERLINK(AB2 &amp; "/key/sn_41128930ff1e7a85763ffa228e9509c8/rendering/13.obj", "4.04259857178")</f>
        <v>4.04259857178</v>
      </c>
      <c r="Q1299" s="48" t="str">
        <f>HYPERLINK(AB2 &amp; "/key/sn_41128930ff1e7a85763ffa228e9509c8/rendering/14.obj", "4.59197174072")</f>
        <v>4.59197174072</v>
      </c>
      <c r="R1299" s="42" t="str">
        <f>HYPERLINK(AB2 &amp; "/key/sn_41128930ff1e7a85763ffa228e9509c8/rendering/15.obj", "5.34275390625")</f>
        <v>5.34275390625</v>
      </c>
      <c r="S1299" s="70" t="str">
        <f>HYPERLINK(AB2 &amp; "/key/sn_41128930ff1e7a85763ffa228e9509c8/rendering/16.obj", "4.11048278809")</f>
        <v>4.11048278809</v>
      </c>
      <c r="T1299" s="69" t="str">
        <f>HYPERLINK(AB2 &amp; "/key/sn_41128930ff1e7a85763ffa228e9509c8/rendering/17.obj", "4.8497644043")</f>
        <v>4.8497644043</v>
      </c>
      <c r="U1299" s="23" t="str">
        <f>HYPERLINK(AB2 &amp; "/key/sn_41128930ff1e7a85763ffa228e9509c8/rendering/18.obj", "4.51555511475")</f>
        <v>4.51555511475</v>
      </c>
      <c r="V1299" s="67" t="str">
        <f>HYPERLINK(AB2 &amp; "/key/sn_41128930ff1e7a85763ffa228e9509c8/rendering/19.obj", "5.13404052734")</f>
        <v>5.13404052734</v>
      </c>
      <c r="W1299" s="12" t="s">
        <v>31</v>
      </c>
      <c r="X1299" s="13">
        <v>4.7024438018798831</v>
      </c>
      <c r="Y1299" s="13">
        <v>0.45133054961318619</v>
      </c>
      <c r="Z1299" s="90">
        <v>9.5977872065745692E-2</v>
      </c>
    </row>
    <row r="1300" spans="1:26" x14ac:dyDescent="0.2">
      <c r="A1300" s="1">
        <v>1298</v>
      </c>
      <c r="B1300" s="2" t="s">
        <v>292</v>
      </c>
      <c r="C1300" s="64" t="str">
        <f>HYPERLINK(AB2 &amp; "/key/sn_41128930ff1e7a85763ffa228e9509c8/rendering/00.obj", "1.70434439182")</f>
        <v>1.70434439182</v>
      </c>
      <c r="D1300" s="38" t="str">
        <f>HYPERLINK(AB2 &amp; "/key/sn_41128930ff1e7a85763ffa228e9509c8/rendering/01.obj", "1.85272622108")</f>
        <v>1.85272622108</v>
      </c>
      <c r="E1300" s="106" t="str">
        <f>HYPERLINK(AB2 &amp; "/key/sn_41128930ff1e7a85763ffa228e9509c8/rendering/02.obj", "1.80337274075")</f>
        <v>1.80337274075</v>
      </c>
      <c r="F1300" s="90" t="str">
        <f>HYPERLINK(AB2 &amp; "/key/sn_41128930ff1e7a85763ffa228e9509c8/rendering/03.obj", "1.84116506577")</f>
        <v>1.84116506577</v>
      </c>
      <c r="G1300" s="166" t="str">
        <f>HYPERLINK(AB2 &amp; "/key/sn_41128930ff1e7a85763ffa228e9509c8/rendering/04.obj", "2.62050938606")</f>
        <v>2.62050938606</v>
      </c>
      <c r="H1300" s="27" t="str">
        <f>HYPERLINK(AB2 &amp; "/key/sn_41128930ff1e7a85763ffa228e9509c8/rendering/05.obj", "2.17797780037")</f>
        <v>2.17797780037</v>
      </c>
      <c r="I1300" s="36" t="str">
        <f>HYPERLINK(AB2 &amp; "/key/sn_41128930ff1e7a85763ffa228e9509c8/rendering/06.obj", "2.47575163841")</f>
        <v>2.47575163841</v>
      </c>
      <c r="J1300" s="134" t="str">
        <f>HYPERLINK(AB2 &amp; "/key/sn_41128930ff1e7a85763ffa228e9509c8/rendering/07.obj", "1.67088270187")</f>
        <v>1.67088270187</v>
      </c>
      <c r="K1300" s="78" t="str">
        <f>HYPERLINK(AB2 &amp; "/key/sn_41128930ff1e7a85763ffa228e9509c8/rendering/08.obj", "1.91539525986")</f>
        <v>1.91539525986</v>
      </c>
      <c r="L1300" s="10" t="str">
        <f>HYPERLINK(AB2 &amp; "/key/sn_41128930ff1e7a85763ffa228e9509c8/rendering/09.obj", "2.14836645126")</f>
        <v>2.14836645126</v>
      </c>
      <c r="M1300" s="25" t="str">
        <f>HYPERLINK(AB2 &amp; "/key/sn_41128930ff1e7a85763ffa228e9509c8/rendering/10.obj", "2.01318717003")</f>
        <v>2.01318717003</v>
      </c>
      <c r="N1300" s="110" t="str">
        <f>HYPERLINK(AB2 &amp; "/key/sn_41128930ff1e7a85763ffa228e9509c8/rendering/11.obj", "2.23600482941")</f>
        <v>2.23600482941</v>
      </c>
      <c r="O1300" s="8" t="str">
        <f>HYPERLINK(AB2 &amp; "/key/sn_41128930ff1e7a85763ffa228e9509c8/rendering/12.obj", "1.74583363533")</f>
        <v>1.74583363533</v>
      </c>
      <c r="P1300" s="32" t="str">
        <f>HYPERLINK(AB2 &amp; "/key/sn_41128930ff1e7a85763ffa228e9509c8/rendering/13.obj", "1.82057142258")</f>
        <v>1.82057142258</v>
      </c>
      <c r="Q1300" s="41" t="str">
        <f>HYPERLINK(AB2 &amp; "/key/sn_41128930ff1e7a85763ffa228e9509c8/rendering/14.obj", "1.90051388741")</f>
        <v>1.90051388741</v>
      </c>
      <c r="R1300" s="49" t="str">
        <f>HYPERLINK(AB2 &amp; "/key/sn_41128930ff1e7a85763ffa228e9509c8/rendering/15.obj", "2.46224021912")</f>
        <v>2.46224021912</v>
      </c>
      <c r="S1300" s="68" t="str">
        <f>HYPERLINK(AB2 &amp; "/key/sn_41128930ff1e7a85763ffa228e9509c8/rendering/16.obj", "1.94823670387")</f>
        <v>1.94823670387</v>
      </c>
      <c r="T1300" s="46" t="str">
        <f>HYPERLINK(AB2 &amp; "/key/sn_41128930ff1e7a85763ffa228e9509c8/rendering/17.obj", "2.07300758362")</f>
        <v>2.07300758362</v>
      </c>
      <c r="U1300" s="71" t="str">
        <f>HYPERLINK(AB2 &amp; "/key/sn_41128930ff1e7a85763ffa228e9509c8/rendering/18.obj", "2.28004074097")</f>
        <v>2.28004074097</v>
      </c>
      <c r="V1300" s="25" t="str">
        <f>HYPERLINK(AB2 &amp; "/key/sn_41128930ff1e7a85763ffa228e9509c8/rendering/19.obj", "2.05683279037")</f>
        <v>2.05683279037</v>
      </c>
      <c r="W1300" s="12" t="s">
        <v>32</v>
      </c>
      <c r="X1300" s="13">
        <v>2.0373480319976811</v>
      </c>
      <c r="Y1300" s="13">
        <v>0.26377307110942072</v>
      </c>
      <c r="Z1300" s="29">
        <v>0.12946883250515789</v>
      </c>
    </row>
    <row r="1301" spans="1:26" x14ac:dyDescent="0.2">
      <c r="A1301" s="1">
        <v>1299</v>
      </c>
      <c r="B1301" s="2" t="s">
        <v>292</v>
      </c>
      <c r="C1301" s="13" t="str">
        <f>HYPERLINK(AC2 &amp; "/key/sn_41128930ff1e7a85763ffa228e9509c8/rendering/00.xyz", "0.0")</f>
        <v>0.0</v>
      </c>
      <c r="D1301" s="13" t="str">
        <f>HYPERLINK(AC2 &amp; "/key/sn_41128930ff1e7a85763ffa228e9509c8/rendering/01.xyz", "0.0")</f>
        <v>0.0</v>
      </c>
      <c r="E1301" s="13" t="str">
        <f>HYPERLINK(AC2 &amp; "/key/sn_41128930ff1e7a85763ffa228e9509c8/rendering/02.xyz", "0.0")</f>
        <v>0.0</v>
      </c>
      <c r="F1301" s="13" t="str">
        <f>HYPERLINK(AC2 &amp; "/key/sn_41128930ff1e7a85763ffa228e9509c8/rendering/03.xyz", "0.0")</f>
        <v>0.0</v>
      </c>
      <c r="G1301" s="13" t="str">
        <f>HYPERLINK(AC2 &amp; "/key/sn_41128930ff1e7a85763ffa228e9509c8/rendering/04.xyz", "0.0")</f>
        <v>0.0</v>
      </c>
      <c r="H1301" s="13" t="str">
        <f>HYPERLINK(AC2 &amp; "/key/sn_41128930ff1e7a85763ffa228e9509c8/rendering/05.xyz", "0.0")</f>
        <v>0.0</v>
      </c>
      <c r="I1301" s="13" t="str">
        <f>HYPERLINK(AC2 &amp; "/key/sn_41128930ff1e7a85763ffa228e9509c8/rendering/06.xyz", "0.0")</f>
        <v>0.0</v>
      </c>
      <c r="J1301" s="13" t="str">
        <f>HYPERLINK(AC2 &amp; "/key/sn_41128930ff1e7a85763ffa228e9509c8/rendering/07.xyz", "0.0")</f>
        <v>0.0</v>
      </c>
      <c r="K1301" s="13" t="str">
        <f>HYPERLINK(AC2 &amp; "/key/sn_41128930ff1e7a85763ffa228e9509c8/rendering/08.xyz", "0.0")</f>
        <v>0.0</v>
      </c>
      <c r="L1301" s="13" t="str">
        <f>HYPERLINK(AC2 &amp; "/key/sn_41128930ff1e7a85763ffa228e9509c8/rendering/09.xyz", "0.0")</f>
        <v>0.0</v>
      </c>
      <c r="M1301" s="13" t="str">
        <f>HYPERLINK(AC2 &amp; "/key/sn_41128930ff1e7a85763ffa228e9509c8/rendering/10.xyz", "0.0")</f>
        <v>0.0</v>
      </c>
      <c r="N1301" s="13" t="str">
        <f>HYPERLINK(AC2 &amp; "/key/sn_41128930ff1e7a85763ffa228e9509c8/rendering/11.xyz", "0.0")</f>
        <v>0.0</v>
      </c>
      <c r="O1301" s="13" t="str">
        <f>HYPERLINK(AC2 &amp; "/key/sn_41128930ff1e7a85763ffa228e9509c8/rendering/12.xyz", "0.0")</f>
        <v>0.0</v>
      </c>
      <c r="P1301" s="13" t="str">
        <f>HYPERLINK(AC2 &amp; "/key/sn_41128930ff1e7a85763ffa228e9509c8/rendering/13.xyz", "0.0")</f>
        <v>0.0</v>
      </c>
      <c r="Q1301" s="13" t="str">
        <f>HYPERLINK(AC2 &amp; "/key/sn_41128930ff1e7a85763ffa228e9509c8/rendering/14.xyz", "0.0")</f>
        <v>0.0</v>
      </c>
      <c r="R1301" s="13" t="str">
        <f>HYPERLINK(AC2 &amp; "/key/sn_41128930ff1e7a85763ffa228e9509c8/rendering/15.xyz", "0.0")</f>
        <v>0.0</v>
      </c>
      <c r="S1301" s="13" t="str">
        <f>HYPERLINK(AC2 &amp; "/key/sn_41128930ff1e7a85763ffa228e9509c8/rendering/16.xyz", "0.0")</f>
        <v>0.0</v>
      </c>
      <c r="T1301" s="13" t="str">
        <f>HYPERLINK(AC2 &amp; "/key/sn_41128930ff1e7a85763ffa228e9509c8/rendering/17.xyz", "0.0")</f>
        <v>0.0</v>
      </c>
      <c r="U1301" s="13" t="str">
        <f>HYPERLINK(AC2 &amp; "/key/sn_41128930ff1e7a85763ffa228e9509c8/rendering/18.xyz", "0.0")</f>
        <v>0.0</v>
      </c>
      <c r="V1301" s="13" t="str">
        <f>HYPERLINK(AC2 &amp; "/key/sn_41128930ff1e7a85763ffa228e9509c8/rendering/19.xyz", "0.0")</f>
        <v>0.0</v>
      </c>
      <c r="W1301" s="12" t="s">
        <v>33</v>
      </c>
      <c r="X1301" s="13">
        <v>0</v>
      </c>
      <c r="Y1301" s="13">
        <v>0</v>
      </c>
      <c r="Z1301" s="13">
        <v>0</v>
      </c>
    </row>
    <row r="1302" spans="1:26" x14ac:dyDescent="0.2">
      <c r="A1302" s="1">
        <v>1300</v>
      </c>
      <c r="B1302" s="2" t="s">
        <v>293</v>
      </c>
      <c r="C1302" s="23" t="str">
        <f>HYPERLINK(AA2 &amp; "/key/sn_52de08c2f128aa331683a1f2bb7ab319/rendering/00.obj", "6.50713745117")</f>
        <v>6.50713745117</v>
      </c>
      <c r="D1302" s="13" t="str">
        <f>HYPERLINK(AA2 &amp; "/key/sn_52de08c2f128aa331683a1f2bb7ab319/rendering/01.obj", "6.2668963623")</f>
        <v>6.2668963623</v>
      </c>
      <c r="E1302" s="92" t="str">
        <f>HYPERLINK(AA2 &amp; "/key/sn_52de08c2f128aa331683a1f2bb7ab319/rendering/02.obj", "5.47339355469")</f>
        <v>5.47339355469</v>
      </c>
      <c r="F1302" s="131" t="str">
        <f>HYPERLINK(AA2 &amp; "/key/sn_52de08c2f128aa331683a1f2bb7ab319/rendering/03.obj", "9.14196777344")</f>
        <v>9.14196777344</v>
      </c>
      <c r="G1302" s="35" t="str">
        <f>HYPERLINK(AA2 &amp; "/key/sn_52de08c2f128aa331683a1f2bb7ab319/rendering/04.obj", "5.90014282227")</f>
        <v>5.90014282227</v>
      </c>
      <c r="H1302" s="50" t="str">
        <f>HYPERLINK(AA2 &amp; "/key/sn_52de08c2f128aa331683a1f2bb7ab319/rendering/05.obj", "5.01094604492")</f>
        <v>5.01094604492</v>
      </c>
      <c r="I1302" s="138" t="str">
        <f>HYPERLINK(AA2 &amp; "/key/sn_52de08c2f128aa331683a1f2bb7ab319/rendering/06.obj", "8.36696594238")</f>
        <v>8.36696594238</v>
      </c>
      <c r="J1302" s="109" t="str">
        <f>HYPERLINK(AA2 &amp; "/key/sn_52de08c2f128aa331683a1f2bb7ab319/rendering/07.obj", "5.0706918335")</f>
        <v>5.0706918335</v>
      </c>
      <c r="K1302" s="28" t="str">
        <f>HYPERLINK(AA2 &amp; "/key/sn_52de08c2f128aa331683a1f2bb7ab319/rendering/08.obj", "6.95581542969")</f>
        <v>6.95581542969</v>
      </c>
      <c r="L1302" s="60" t="str">
        <f>HYPERLINK(AA2 &amp; "/key/sn_52de08c2f128aa331683a1f2bb7ab319/rendering/09.obj", "5.93016479492")</f>
        <v>5.93016479492</v>
      </c>
      <c r="M1302" s="59" t="str">
        <f>HYPERLINK(AA2 &amp; "/key/sn_52de08c2f128aa331683a1f2bb7ab319/rendering/10.obj", "7.76063659668")</f>
        <v>7.76063659668</v>
      </c>
      <c r="N1302" s="92" t="str">
        <f>HYPERLINK(AA2 &amp; "/key/sn_52de08c2f128aa331683a1f2bb7ab319/rendering/11.obj", "5.47313476562")</f>
        <v>5.47313476562</v>
      </c>
      <c r="O1302" s="38" t="str">
        <f>HYPERLINK(AA2 &amp; "/key/sn_52de08c2f128aa331683a1f2bb7ab319/rendering/12.obj", "6.80923828125")</f>
        <v>6.80923828125</v>
      </c>
      <c r="P1302" s="120" t="str">
        <f>HYPERLINK(AA2 &amp; "/key/sn_52de08c2f128aa331683a1f2bb7ab319/rendering/13.obj", "4.92302612305")</f>
        <v>4.92302612305</v>
      </c>
      <c r="Q1302" s="66" t="str">
        <f>HYPERLINK(AA2 &amp; "/key/sn_52de08c2f128aa331683a1f2bb7ab319/rendering/14.obj", "5.24600830078")</f>
        <v>5.24600830078</v>
      </c>
      <c r="R1302" s="55" t="str">
        <f>HYPERLINK(AA2 &amp; "/key/sn_52de08c2f128aa331683a1f2bb7ab319/rendering/15.obj", "5.04560791016")</f>
        <v>5.04560791016</v>
      </c>
      <c r="S1302" s="107" t="str">
        <f>HYPERLINK(AA2 &amp; "/key/sn_52de08c2f128aa331683a1f2bb7ab319/rendering/16.obj", "5.73154418945")</f>
        <v>5.73154418945</v>
      </c>
      <c r="T1302" s="25" t="str">
        <f>HYPERLINK(AA2 &amp; "/key/sn_52de08c2f128aa331683a1f2bb7ab319/rendering/17.obj", "6.17997924805")</f>
        <v>6.17997924805</v>
      </c>
      <c r="U1302" s="93" t="str">
        <f>HYPERLINK(AA2 &amp; "/key/sn_52de08c2f128aa331683a1f2bb7ab319/rendering/18.obj", "7.12288635254")</f>
        <v>7.12288635254</v>
      </c>
      <c r="V1302" s="25" t="str">
        <f>HYPERLINK(AA2 &amp; "/key/sn_52de08c2f128aa331683a1f2bb7ab319/rendering/19.obj", "6.18666687012")</f>
        <v>6.18666687012</v>
      </c>
      <c r="W1302" s="12" t="s">
        <v>29</v>
      </c>
      <c r="X1302" s="13">
        <v>6.2551425323486329</v>
      </c>
      <c r="Y1302" s="13">
        <v>1.131818425876473</v>
      </c>
      <c r="Z1302" s="134">
        <v>0.18094206807011101</v>
      </c>
    </row>
    <row r="1303" spans="1:26" x14ac:dyDescent="0.2">
      <c r="A1303" s="1">
        <v>1301</v>
      </c>
      <c r="B1303" s="2" t="s">
        <v>293</v>
      </c>
      <c r="C1303" s="113" t="str">
        <f>HYPERLINK(AA2 &amp; "/key/sn_52de08c2f128aa331683a1f2bb7ab319/rendering/00.obj", "4.17697286606")</f>
        <v>4.17697286606</v>
      </c>
      <c r="D1303" s="41" t="str">
        <f>HYPERLINK(AA2 &amp; "/key/sn_52de08c2f128aa331683a1f2bb7ab319/rendering/01.obj", "6.14874696732")</f>
        <v>6.14874696732</v>
      </c>
      <c r="E1303" s="197" t="str">
        <f>HYPERLINK(AA2 &amp; "/key/sn_52de08c2f128aa331683a1f2bb7ab319/rendering/02.obj", "2.49908542633")</f>
        <v>2.49908542633</v>
      </c>
      <c r="F1303" s="20" t="str">
        <f>HYPERLINK(AA2 &amp; "/key/sn_52de08c2f128aa331683a1f2bb7ab319/rendering/03.obj", "16.9465103149")</f>
        <v>16.9465103149</v>
      </c>
      <c r="G1303" s="19" t="str">
        <f>HYPERLINK(AA2 &amp; "/key/sn_52de08c2f128aa331683a1f2bb7ab319/rendering/04.obj", "4.24583482742")</f>
        <v>4.24583482742</v>
      </c>
      <c r="H1303" s="118" t="str">
        <f>HYPERLINK(AA2 &amp; "/key/sn_52de08c2f128aa331683a1f2bb7ab319/rendering/05.obj", "4.08186292648")</f>
        <v>4.08186292648</v>
      </c>
      <c r="I1303" s="20" t="str">
        <f>HYPERLINK(AA2 &amp; "/key/sn_52de08c2f128aa331683a1f2bb7ab319/rendering/06.obj", "12.5053567886")</f>
        <v>12.5053567886</v>
      </c>
      <c r="J1303" s="137" t="str">
        <f>HYPERLINK(AA2 &amp; "/key/sn_52de08c2f128aa331683a1f2bb7ab319/rendering/07.obj", "3.6524887085")</f>
        <v>3.6524887085</v>
      </c>
      <c r="K1303" s="33" t="str">
        <f>HYPERLINK(AA2 &amp; "/key/sn_52de08c2f128aa331683a1f2bb7ab319/rendering/08.obj", "6.39754009247")</f>
        <v>6.39754009247</v>
      </c>
      <c r="L1303" s="60" t="str">
        <f>HYPERLINK(AA2 &amp; "/key/sn_52de08c2f128aa331683a1f2bb7ab319/rendering/09.obj", "5.46228647232")</f>
        <v>5.46228647232</v>
      </c>
      <c r="M1303" s="229" t="str">
        <f>HYPERLINK(AA2 &amp; "/key/sn_52de08c2f128aa331683a1f2bb7ab319/rendering/10.obj", "9.69676971436")</f>
        <v>9.69676971436</v>
      </c>
      <c r="N1303" s="105" t="str">
        <f>HYPERLINK(AA2 &amp; "/key/sn_52de08c2f128aa331683a1f2bb7ab319/rendering/11.obj", "2.81655716896")</f>
        <v>2.81655716896</v>
      </c>
      <c r="O1303" s="4" t="str">
        <f>HYPERLINK(AA2 &amp; "/key/sn_52de08c2f128aa331683a1f2bb7ab319/rendering/12.obj", "4.12712478638")</f>
        <v>4.12712478638</v>
      </c>
      <c r="P1303" s="153" t="str">
        <f>HYPERLINK(AA2 &amp; "/key/sn_52de08c2f128aa331683a1f2bb7ab319/rendering/13.obj", "3.70618081093")</f>
        <v>3.70618081093</v>
      </c>
      <c r="Q1303" s="119" t="str">
        <f>HYPERLINK(AA2 &amp; "/key/sn_52de08c2f128aa331683a1f2bb7ab319/rendering/14.obj", "4.23620271683")</f>
        <v>4.23620271683</v>
      </c>
      <c r="R1303" s="200" t="str">
        <f>HYPERLINK(AA2 &amp; "/key/sn_52de08c2f128aa331683a1f2bb7ab319/rendering/15.obj", "3.0100672245")</f>
        <v>3.0100672245</v>
      </c>
      <c r="S1303" s="5" t="str">
        <f>HYPERLINK(AA2 &amp; "/key/sn_52de08c2f128aa331683a1f2bb7ab319/rendering/16.obj", "5.31865119934")</f>
        <v>5.31865119934</v>
      </c>
      <c r="T1303" s="102" t="str">
        <f>HYPERLINK(AA2 &amp; "/key/sn_52de08c2f128aa331683a1f2bb7ab319/rendering/17.obj", "2.89535927773")</f>
        <v>2.89535927773</v>
      </c>
      <c r="U1303" s="84" t="str">
        <f>HYPERLINK(AA2 &amp; "/key/sn_52de08c2f128aa331683a1f2bb7ab319/rendering/18.obj", "6.60857343674")</f>
        <v>6.60857343674</v>
      </c>
      <c r="V1303" s="37" t="str">
        <f>HYPERLINK(AA2 &amp; "/key/sn_52de08c2f128aa331683a1f2bb7ab319/rendering/19.obj", "6.76543331146")</f>
        <v>6.76543331146</v>
      </c>
      <c r="W1303" s="12" t="s">
        <v>30</v>
      </c>
      <c r="X1303" s="13">
        <v>5.7648802518844606</v>
      </c>
      <c r="Y1303" s="13">
        <v>3.5002575299504111</v>
      </c>
      <c r="Z1303" s="239">
        <v>0.60716916518885611</v>
      </c>
    </row>
    <row r="1304" spans="1:26" x14ac:dyDescent="0.2">
      <c r="A1304" s="1">
        <v>1302</v>
      </c>
      <c r="B1304" s="2" t="s">
        <v>293</v>
      </c>
      <c r="C1304" s="67" t="str">
        <f>HYPERLINK(AB2 &amp; "/key/sn_52de08c2f128aa331683a1f2bb7ab319/rendering/00.obj", "7.06289611816")</f>
        <v>7.06289611816</v>
      </c>
      <c r="D1304" s="68" t="str">
        <f>HYPERLINK(AB2 &amp; "/key/sn_52de08c2f128aa331683a1f2bb7ab319/rendering/01.obj", "6.18337890625")</f>
        <v>6.18337890625</v>
      </c>
      <c r="E1304" s="5" t="str">
        <f>HYPERLINK(AB2 &amp; "/key/sn_52de08c2f128aa331683a1f2bb7ab319/rendering/02.obj", "6.9569519043")</f>
        <v>6.9569519043</v>
      </c>
      <c r="F1304" s="72" t="str">
        <f>HYPERLINK(AB2 &amp; "/key/sn_52de08c2f128aa331683a1f2bb7ab319/rendering/03.obj", "6.25121948242")</f>
        <v>6.25121948242</v>
      </c>
      <c r="G1304" s="48" t="str">
        <f>HYPERLINK(AB2 &amp; "/key/sn_52de08c2f128aa331683a1f2bb7ab319/rendering/04.obj", "6.60844238281")</f>
        <v>6.60844238281</v>
      </c>
      <c r="H1304" s="5" t="str">
        <f>HYPERLINK(AB2 &amp; "/key/sn_52de08c2f128aa331683a1f2bb7ab319/rendering/05.obj", "5.9665625")</f>
        <v>5.9665625</v>
      </c>
      <c r="I1304" s="69" t="str">
        <f>HYPERLINK(AB2 &amp; "/key/sn_52de08c2f128aa331683a1f2bb7ab319/rendering/06.obj", "6.26774597168")</f>
        <v>6.26774597168</v>
      </c>
      <c r="J1304" s="90" t="str">
        <f>HYPERLINK(AB2 &amp; "/key/sn_52de08c2f128aa331683a1f2bb7ab319/rendering/07.obj", "5.84295410156")</f>
        <v>5.84295410156</v>
      </c>
      <c r="K1304" s="90" t="str">
        <f>HYPERLINK(AB2 &amp; "/key/sn_52de08c2f128aa331683a1f2bb7ab319/rendering/08.obj", "5.83670654297")</f>
        <v>5.83670654297</v>
      </c>
      <c r="L1304" s="110" t="str">
        <f>HYPERLINK(AB2 &amp; "/key/sn_52de08c2f128aa331683a1f2bb7ab319/rendering/09.obj", "7.09580444336")</f>
        <v>7.09580444336</v>
      </c>
      <c r="M1304" s="73" t="str">
        <f>HYPERLINK(AB2 &amp; "/key/sn_52de08c2f128aa331683a1f2bb7ab319/rendering/10.obj", "6.23321289063")</f>
        <v>6.23321289063</v>
      </c>
      <c r="N1304" s="35" t="str">
        <f>HYPERLINK(AB2 &amp; "/key/sn_52de08c2f128aa331683a1f2bb7ab319/rendering/11.obj", "6.83266662598")</f>
        <v>6.83266662598</v>
      </c>
      <c r="O1304" s="34" t="str">
        <f>HYPERLINK(AB2 &amp; "/key/sn_52de08c2f128aa331683a1f2bb7ab319/rendering/12.obj", "6.77187133789")</f>
        <v>6.77187133789</v>
      </c>
      <c r="P1304" s="10" t="str">
        <f>HYPERLINK(AB2 &amp; "/key/sn_52de08c2f128aa331683a1f2bb7ab319/rendering/13.obj", "6.11703430176")</f>
        <v>6.11703430176</v>
      </c>
      <c r="Q1304" s="35" t="str">
        <f>HYPERLINK(AB2 &amp; "/key/sn_52de08c2f128aa331683a1f2bb7ab319/rendering/14.obj", "6.83909179688")</f>
        <v>6.83909179688</v>
      </c>
      <c r="R1304" s="17" t="str">
        <f>HYPERLINK(AB2 &amp; "/key/sn_52de08c2f128aa331683a1f2bb7ab319/rendering/15.obj", "6.58640625")</f>
        <v>6.58640625</v>
      </c>
      <c r="S1304" s="78" t="str">
        <f>HYPERLINK(AB2 &amp; "/key/sn_52de08c2f128aa331683a1f2bb7ab319/rendering/16.obj", "6.07254150391")</f>
        <v>6.07254150391</v>
      </c>
      <c r="T1304" s="73" t="str">
        <f>HYPERLINK(AB2 &amp; "/key/sn_52de08c2f128aa331683a1f2bb7ab319/rendering/17.obj", "6.70472351074")</f>
        <v>6.70472351074</v>
      </c>
      <c r="U1304" s="13" t="str">
        <f>HYPERLINK(AB2 &amp; "/key/sn_52de08c2f128aa331683a1f2bb7ab319/rendering/18.obj", "6.45242919922")</f>
        <v>6.45242919922</v>
      </c>
      <c r="V1304" s="74" t="str">
        <f>HYPERLINK(AB2 &amp; "/key/sn_52de08c2f128aa331683a1f2bb7ab319/rendering/19.obj", "6.56309692383")</f>
        <v>6.56309692383</v>
      </c>
      <c r="W1304" s="12" t="s">
        <v>31</v>
      </c>
      <c r="X1304" s="13">
        <v>6.4622868347167968</v>
      </c>
      <c r="Y1304" s="13">
        <v>0.38678191299625497</v>
      </c>
      <c r="Z1304" s="78">
        <v>5.9852173524452552E-2</v>
      </c>
    </row>
    <row r="1305" spans="1:26" x14ac:dyDescent="0.2">
      <c r="A1305" s="1">
        <v>1303</v>
      </c>
      <c r="B1305" s="2" t="s">
        <v>293</v>
      </c>
      <c r="C1305" s="50" t="str">
        <f>HYPERLINK(AB2 &amp; "/key/sn_52de08c2f128aa331683a1f2bb7ab319/rendering/00.obj", "2.97341942787")</f>
        <v>2.97341942787</v>
      </c>
      <c r="D1305" s="10" t="str">
        <f>HYPERLINK(AB2 &amp; "/key/sn_52de08c2f128aa331683a1f2bb7ab319/rendering/01.obj", "2.62162876129")</f>
        <v>2.62162876129</v>
      </c>
      <c r="E1305" s="33" t="str">
        <f>HYPERLINK(AB2 &amp; "/key/sn_52de08c2f128aa331683a1f2bb7ab319/rendering/02.obj", "2.21535992622")</f>
        <v>2.21535992622</v>
      </c>
      <c r="F1305" s="65" t="str">
        <f>HYPERLINK(AB2 &amp; "/key/sn_52de08c2f128aa331683a1f2bb7ab319/rendering/03.obj", "2.81727075577")</f>
        <v>2.81727075577</v>
      </c>
      <c r="G1305" s="13" t="str">
        <f>HYPERLINK(AB2 &amp; "/key/sn_52de08c2f128aa331683a1f2bb7ab319/rendering/04.obj", "2.48653268814")</f>
        <v>2.48653268814</v>
      </c>
      <c r="H1305" s="73" t="str">
        <f>HYPERLINK(AB2 &amp; "/key/sn_52de08c2f128aa331683a1f2bb7ab319/rendering/05.obj", "2.57085299492")</f>
        <v>2.57085299492</v>
      </c>
      <c r="I1305" s="66" t="str">
        <f>HYPERLINK(AB2 &amp; "/key/sn_52de08c2f128aa331683a1f2bb7ab319/rendering/06.obj", "2.88133883476")</f>
        <v>2.88133883476</v>
      </c>
      <c r="J1305" s="93" t="str">
        <f>HYPERLINK(AB2 &amp; "/key/sn_52de08c2f128aa331683a1f2bb7ab319/rendering/07.obj", "2.13518333435")</f>
        <v>2.13518333435</v>
      </c>
      <c r="K1305" s="72" t="str">
        <f>HYPERLINK(AB2 &amp; "/key/sn_52de08c2f128aa331683a1f2bb7ab319/rendering/08.obj", "2.39921951294")</f>
        <v>2.39921951294</v>
      </c>
      <c r="L1305" s="25" t="str">
        <f>HYPERLINK(AB2 &amp; "/key/sn_52de08c2f128aa331683a1f2bb7ab319/rendering/09.obj", "2.50779390335")</f>
        <v>2.50779390335</v>
      </c>
      <c r="M1305" s="10" t="str">
        <f>HYPERLINK(AB2 &amp; "/key/sn_52de08c2f128aa331683a1f2bb7ab319/rendering/10.obj", "2.61876058578")</f>
        <v>2.61876058578</v>
      </c>
      <c r="N1305" s="129" t="str">
        <f>HYPERLINK(AB2 &amp; "/key/sn_52de08c2f128aa331683a1f2bb7ab319/rendering/11.obj", "1.86709797382")</f>
        <v>1.86709797382</v>
      </c>
      <c r="O1305" s="78" t="str">
        <f>HYPERLINK(AB2 &amp; "/key/sn_52de08c2f128aa331683a1f2bb7ab319/rendering/12.obj", "2.63300538063")</f>
        <v>2.63300538063</v>
      </c>
      <c r="P1305" s="38" t="str">
        <f>HYPERLINK(AB2 &amp; "/key/sn_52de08c2f128aa331683a1f2bb7ab319/rendering/13.obj", "2.701182127")</f>
        <v>2.701182127</v>
      </c>
      <c r="Q1305" s="69" t="str">
        <f>HYPERLINK(AB2 &amp; "/key/sn_52de08c2f128aa331683a1f2bb7ab319/rendering/14.obj", "2.40686321259")</f>
        <v>2.40686321259</v>
      </c>
      <c r="R1305" s="117" t="str">
        <f>HYPERLINK(AB2 &amp; "/key/sn_52de08c2f128aa331683a1f2bb7ab319/rendering/15.obj", "2.92533397675")</f>
        <v>2.92533397675</v>
      </c>
      <c r="S1305" s="90" t="str">
        <f>HYPERLINK(AB2 &amp; "/key/sn_52de08c2f128aa331683a1f2bb7ab319/rendering/16.obj", "2.2444858551")</f>
        <v>2.2444858551</v>
      </c>
      <c r="T1305" s="81" t="str">
        <f>HYPERLINK(AB2 &amp; "/key/sn_52de08c2f128aa331683a1f2bb7ab319/rendering/17.obj", "1.94355666637")</f>
        <v>1.94355666637</v>
      </c>
      <c r="U1305" s="73" t="str">
        <f>HYPERLINK(AB2 &amp; "/key/sn_52de08c2f128aa331683a1f2bb7ab319/rendering/18.obj", "2.39598202705")</f>
        <v>2.39598202705</v>
      </c>
      <c r="V1305" s="27" t="str">
        <f>HYPERLINK(AB2 &amp; "/key/sn_52de08c2f128aa331683a1f2bb7ab319/rendering/19.obj", "2.30755591393")</f>
        <v>2.30755591393</v>
      </c>
      <c r="W1305" s="12" t="s">
        <v>32</v>
      </c>
      <c r="X1305" s="13">
        <v>2.4826211929321289</v>
      </c>
      <c r="Y1305" s="13">
        <v>0.2994726648289025</v>
      </c>
      <c r="Z1305" s="63">
        <v>0.1206276115266731</v>
      </c>
    </row>
    <row r="1306" spans="1:26" x14ac:dyDescent="0.2">
      <c r="A1306" s="1">
        <v>1304</v>
      </c>
      <c r="B1306" s="2" t="s">
        <v>293</v>
      </c>
      <c r="C1306" s="13" t="str">
        <f>HYPERLINK(AC2 &amp; "/key/sn_52de08c2f128aa331683a1f2bb7ab319/rendering/00.xyz", "0.0")</f>
        <v>0.0</v>
      </c>
      <c r="D1306" s="13" t="str">
        <f>HYPERLINK(AC2 &amp; "/key/sn_52de08c2f128aa331683a1f2bb7ab319/rendering/01.xyz", "0.0")</f>
        <v>0.0</v>
      </c>
      <c r="E1306" s="13" t="str">
        <f>HYPERLINK(AC2 &amp; "/key/sn_52de08c2f128aa331683a1f2bb7ab319/rendering/02.xyz", "0.0")</f>
        <v>0.0</v>
      </c>
      <c r="F1306" s="13" t="str">
        <f>HYPERLINK(AC2 &amp; "/key/sn_52de08c2f128aa331683a1f2bb7ab319/rendering/03.xyz", "0.0")</f>
        <v>0.0</v>
      </c>
      <c r="G1306" s="13" t="str">
        <f>HYPERLINK(AC2 &amp; "/key/sn_52de08c2f128aa331683a1f2bb7ab319/rendering/04.xyz", "0.0")</f>
        <v>0.0</v>
      </c>
      <c r="H1306" s="13" t="str">
        <f>HYPERLINK(AC2 &amp; "/key/sn_52de08c2f128aa331683a1f2bb7ab319/rendering/05.xyz", "0.0")</f>
        <v>0.0</v>
      </c>
      <c r="I1306" s="13" t="str">
        <f>HYPERLINK(AC2 &amp; "/key/sn_52de08c2f128aa331683a1f2bb7ab319/rendering/06.xyz", "0.0")</f>
        <v>0.0</v>
      </c>
      <c r="J1306" s="13" t="str">
        <f>HYPERLINK(AC2 &amp; "/key/sn_52de08c2f128aa331683a1f2bb7ab319/rendering/07.xyz", "0.0")</f>
        <v>0.0</v>
      </c>
      <c r="K1306" s="13" t="str">
        <f>HYPERLINK(AC2 &amp; "/key/sn_52de08c2f128aa331683a1f2bb7ab319/rendering/08.xyz", "0.0")</f>
        <v>0.0</v>
      </c>
      <c r="L1306" s="13" t="str">
        <f>HYPERLINK(AC2 &amp; "/key/sn_52de08c2f128aa331683a1f2bb7ab319/rendering/09.xyz", "0.0")</f>
        <v>0.0</v>
      </c>
      <c r="M1306" s="13" t="str">
        <f>HYPERLINK(AC2 &amp; "/key/sn_52de08c2f128aa331683a1f2bb7ab319/rendering/10.xyz", "0.0")</f>
        <v>0.0</v>
      </c>
      <c r="N1306" s="13" t="str">
        <f>HYPERLINK(AC2 &amp; "/key/sn_52de08c2f128aa331683a1f2bb7ab319/rendering/11.xyz", "0.0")</f>
        <v>0.0</v>
      </c>
      <c r="O1306" s="13" t="str">
        <f>HYPERLINK(AC2 &amp; "/key/sn_52de08c2f128aa331683a1f2bb7ab319/rendering/12.xyz", "0.0")</f>
        <v>0.0</v>
      </c>
      <c r="P1306" s="13" t="str">
        <f>HYPERLINK(AC2 &amp; "/key/sn_52de08c2f128aa331683a1f2bb7ab319/rendering/13.xyz", "0.0")</f>
        <v>0.0</v>
      </c>
      <c r="Q1306" s="13" t="str">
        <f>HYPERLINK(AC2 &amp; "/key/sn_52de08c2f128aa331683a1f2bb7ab319/rendering/14.xyz", "0.0")</f>
        <v>0.0</v>
      </c>
      <c r="R1306" s="13" t="str">
        <f>HYPERLINK(AC2 &amp; "/key/sn_52de08c2f128aa331683a1f2bb7ab319/rendering/15.xyz", "0.0")</f>
        <v>0.0</v>
      </c>
      <c r="S1306" s="13" t="str">
        <f>HYPERLINK(AC2 &amp; "/key/sn_52de08c2f128aa331683a1f2bb7ab319/rendering/16.xyz", "0.0")</f>
        <v>0.0</v>
      </c>
      <c r="T1306" s="13" t="str">
        <f>HYPERLINK(AC2 &amp; "/key/sn_52de08c2f128aa331683a1f2bb7ab319/rendering/17.xyz", "0.0")</f>
        <v>0.0</v>
      </c>
      <c r="U1306" s="13" t="str">
        <f>HYPERLINK(AC2 &amp; "/key/sn_52de08c2f128aa331683a1f2bb7ab319/rendering/18.xyz", "0.0")</f>
        <v>0.0</v>
      </c>
      <c r="V1306" s="13" t="str">
        <f>HYPERLINK(AC2 &amp; "/key/sn_52de08c2f128aa331683a1f2bb7ab319/rendering/19.xyz", "0.0")</f>
        <v>0.0</v>
      </c>
      <c r="W1306" s="12" t="s">
        <v>33</v>
      </c>
      <c r="X1306" s="13">
        <v>0</v>
      </c>
      <c r="Y1306" s="13">
        <v>0</v>
      </c>
      <c r="Z1306" s="13">
        <v>0</v>
      </c>
    </row>
    <row r="1307" spans="1:26" x14ac:dyDescent="0.2">
      <c r="A1307" s="1">
        <v>1305</v>
      </c>
      <c r="B1307" s="2" t="s">
        <v>294</v>
      </c>
      <c r="C1307" s="78" t="str">
        <f>HYPERLINK(AA2 &amp; "/key/sn_55e76cab29ed698d1f344185981b2096/rendering/00.obj", "4.13885742188")</f>
        <v>4.13885742188</v>
      </c>
      <c r="D1307" s="67" t="str">
        <f>HYPERLINK(AA2 &amp; "/key/sn_55e76cab29ed698d1f344185981b2096/rendering/01.obj", "4.00286865234")</f>
        <v>4.00286865234</v>
      </c>
      <c r="E1307" s="46" t="str">
        <f>HYPERLINK(AA2 &amp; "/key/sn_55e76cab29ed698d1f344185981b2096/rendering/02.obj", "4.3262588501")</f>
        <v>4.3262588501</v>
      </c>
      <c r="F1307" s="48" t="str">
        <f>HYPERLINK(AA2 &amp; "/key/sn_55e76cab29ed698d1f344185981b2096/rendering/03.obj", "4.30604736328")</f>
        <v>4.30604736328</v>
      </c>
      <c r="G1307" s="68" t="str">
        <f>HYPERLINK(AA2 &amp; "/key/sn_55e76cab29ed698d1f344185981b2096/rendering/04.obj", "4.21822814941")</f>
        <v>4.21822814941</v>
      </c>
      <c r="H1307" s="25" t="str">
        <f>HYPERLINK(AA2 &amp; "/key/sn_55e76cab29ed698d1f344185981b2096/rendering/05.obj", "4.45177001953")</f>
        <v>4.45177001953</v>
      </c>
      <c r="I1307" s="23" t="str">
        <f>HYPERLINK(AA2 &amp; "/key/sn_55e76cab29ed698d1f344185981b2096/rendering/06.obj", "4.57502838135")</f>
        <v>4.57502838135</v>
      </c>
      <c r="J1307" s="88" t="str">
        <f>HYPERLINK(AA2 &amp; "/key/sn_55e76cab29ed698d1f344185981b2096/rendering/07.obj", "5.30140991211")</f>
        <v>5.30140991211</v>
      </c>
      <c r="K1307" s="30" t="str">
        <f>HYPERLINK(AA2 &amp; "/key/sn_55e76cab29ed698d1f344185981b2096/rendering/08.obj", "4.42137390137")</f>
        <v>4.42137390137</v>
      </c>
      <c r="L1307" s="38" t="str">
        <f>HYPERLINK(AA2 &amp; "/key/sn_55e76cab29ed698d1f344185981b2096/rendering/09.obj", "4.80360778809")</f>
        <v>4.80360778809</v>
      </c>
      <c r="M1307" s="76" t="str">
        <f>HYPERLINK(AA2 &amp; "/key/sn_55e76cab29ed698d1f344185981b2096/rendering/10.obj", "5.20557250977")</f>
        <v>5.20557250977</v>
      </c>
      <c r="N1307" s="26" t="str">
        <f>HYPERLINK(AA2 &amp; "/key/sn_55e76cab29ed698d1f344185981b2096/rendering/11.obj", "4.68073272705")</f>
        <v>4.68073272705</v>
      </c>
      <c r="O1307" s="46" t="str">
        <f>HYPERLINK(AA2 &amp; "/key/sn_55e76cab29ed698d1f344185981b2096/rendering/12.obj", "4.3299206543")</f>
        <v>4.3299206543</v>
      </c>
      <c r="P1307" s="13" t="str">
        <f>HYPERLINK(AA2 &amp; "/key/sn_55e76cab29ed698d1f344185981b2096/rendering/13.obj", "4.41366119385")</f>
        <v>4.41366119385</v>
      </c>
      <c r="Q1307" s="17" t="str">
        <f>HYPERLINK(AA2 &amp; "/key/sn_55e76cab29ed698d1f344185981b2096/rendering/14.obj", "4.5000604248")</f>
        <v>4.5000604248</v>
      </c>
      <c r="R1307" s="74" t="str">
        <f>HYPERLINK(AA2 &amp; "/key/sn_55e76cab29ed698d1f344185981b2096/rendering/15.obj", "4.34164031982")</f>
        <v>4.34164031982</v>
      </c>
      <c r="S1307" s="70" t="str">
        <f>HYPERLINK(AA2 &amp; "/key/sn_55e76cab29ed698d1f344185981b2096/rendering/16.obj", "3.83903076172")</f>
        <v>3.83903076172</v>
      </c>
      <c r="T1307" s="78" t="str">
        <f>HYPERLINK(AA2 &amp; "/key/sn_55e76cab29ed698d1f344185981b2096/rendering/17.obj", "4.13949645996")</f>
        <v>4.13949645996</v>
      </c>
      <c r="U1307" s="78" t="str">
        <f>HYPERLINK(AA2 &amp; "/key/sn_55e76cab29ed698d1f344185981b2096/rendering/18.obj", "4.13020751953")</f>
        <v>4.13020751953</v>
      </c>
      <c r="V1307" s="133" t="str">
        <f>HYPERLINK(AA2 &amp; "/key/sn_55e76cab29ed698d1f344185981b2096/rendering/19.obj", "3.94836914063")</f>
        <v>3.94836914063</v>
      </c>
      <c r="W1307" s="12" t="s">
        <v>29</v>
      </c>
      <c r="X1307" s="13">
        <v>4.403707107543946</v>
      </c>
      <c r="Y1307" s="13">
        <v>0.36658773595389232</v>
      </c>
      <c r="Z1307" s="107">
        <v>8.3245258370134245E-2</v>
      </c>
    </row>
    <row r="1308" spans="1:26" x14ac:dyDescent="0.2">
      <c r="A1308" s="1">
        <v>1306</v>
      </c>
      <c r="B1308" s="2" t="s">
        <v>294</v>
      </c>
      <c r="C1308" s="32" t="str">
        <f>HYPERLINK(AA2 &amp; "/key/sn_55e76cab29ed698d1f344185981b2096/rendering/00.obj", "2.3588912487")</f>
        <v>2.3588912487</v>
      </c>
      <c r="D1308" s="8" t="str">
        <f>HYPERLINK(AA2 &amp; "/key/sn_55e76cab29ed698d1f344185981b2096/rendering/01.obj", "2.25536704063")</f>
        <v>2.25536704063</v>
      </c>
      <c r="E1308" s="124" t="str">
        <f>HYPERLINK(AA2 &amp; "/key/sn_55e76cab29ed698d1f344185981b2096/rendering/02.obj", "1.62828981876")</f>
        <v>1.62828981876</v>
      </c>
      <c r="F1308" s="69" t="str">
        <f>HYPERLINK(AA2 &amp; "/key/sn_55e76cab29ed698d1f344185981b2096/rendering/03.obj", "2.55195498466")</f>
        <v>2.55195498466</v>
      </c>
      <c r="G1308" s="35" t="str">
        <f>HYPERLINK(AA2 &amp; "/key/sn_55e76cab29ed698d1f344185981b2096/rendering/04.obj", "2.47704839706")</f>
        <v>2.47704839706</v>
      </c>
      <c r="H1308" s="92" t="str">
        <f>HYPERLINK(AA2 &amp; "/key/sn_55e76cab29ed698d1f344185981b2096/rendering/05.obj", "2.30767512321")</f>
        <v>2.30767512321</v>
      </c>
      <c r="I1308" s="119" t="str">
        <f>HYPERLINK(AA2 &amp; "/key/sn_55e76cab29ed698d1f344185981b2096/rendering/06.obj", "1.93748521805")</f>
        <v>1.93748521805</v>
      </c>
      <c r="J1308" s="168" t="str">
        <f>HYPERLINK(AA2 &amp; "/key/sn_55e76cab29ed698d1f344185981b2096/rendering/07.obj", "3.48027396202")</f>
        <v>3.48027396202</v>
      </c>
      <c r="K1308" s="79" t="str">
        <f>HYPERLINK(AA2 &amp; "/key/sn_55e76cab29ed698d1f344185981b2096/rendering/08.obj", "3.05053949356")</f>
        <v>3.05053949356</v>
      </c>
      <c r="L1308" s="185" t="str">
        <f>HYPERLINK(AA2 &amp; "/key/sn_55e76cab29ed698d1f344185981b2096/rendering/09.obj", "3.52635455132")</f>
        <v>3.52635455132</v>
      </c>
      <c r="M1308" s="155" t="str">
        <f>HYPERLINK(AA2 &amp; "/key/sn_55e76cab29ed698d1f344185981b2096/rendering/10.obj", "4.41683626175")</f>
        <v>4.41683626175</v>
      </c>
      <c r="N1308" s="117" t="str">
        <f>HYPERLINK(AA2 &amp; "/key/sn_55e76cab29ed698d1f344185981b2096/rendering/11.obj", "3.10054349899")</f>
        <v>3.10054349899</v>
      </c>
      <c r="O1308" s="65" t="str">
        <f>HYPERLINK(AA2 &amp; "/key/sn_55e76cab29ed698d1f344185981b2096/rendering/12.obj", "2.28114247322")</f>
        <v>2.28114247322</v>
      </c>
      <c r="P1308" s="6" t="str">
        <f>HYPERLINK(AA2 &amp; "/key/sn_55e76cab29ed698d1f344185981b2096/rendering/13.obj", "2.51121616364")</f>
        <v>2.51121616364</v>
      </c>
      <c r="Q1308" s="32" t="str">
        <f>HYPERLINK(AA2 &amp; "/key/sn_55e76cab29ed698d1f344185981b2096/rendering/14.obj", "2.90948462486")</f>
        <v>2.90948462486</v>
      </c>
      <c r="R1308" s="47" t="str">
        <f>HYPERLINK(AA2 &amp; "/key/sn_55e76cab29ed698d1f344185981b2096/rendering/15.obj", "2.60888671875")</f>
        <v>2.60888671875</v>
      </c>
      <c r="S1308" s="98" t="str">
        <f>HYPERLINK(AA2 &amp; "/key/sn_55e76cab29ed698d1f344185981b2096/rendering/16.obj", "2.02576971054")</f>
        <v>2.02576971054</v>
      </c>
      <c r="T1308" s="42" t="str">
        <f>HYPERLINK(AA2 &amp; "/key/sn_55e76cab29ed698d1f344185981b2096/rendering/17.obj", "2.98853611946")</f>
        <v>2.98853611946</v>
      </c>
      <c r="U1308" s="133" t="str">
        <f>HYPERLINK(AA2 &amp; "/key/sn_55e76cab29ed698d1f344185981b2096/rendering/18.obj", "2.3607583046")</f>
        <v>2.3607583046</v>
      </c>
      <c r="V1308" s="4" t="str">
        <f>HYPERLINK(AA2 &amp; "/key/sn_55e76cab29ed698d1f344185981b2096/rendering/19.obj", "1.88197672367")</f>
        <v>1.88197672367</v>
      </c>
      <c r="W1308" s="12" t="s">
        <v>30</v>
      </c>
      <c r="X1308" s="13">
        <v>2.632951521873474</v>
      </c>
      <c r="Y1308" s="13">
        <v>0.64372202098977449</v>
      </c>
      <c r="Z1308" s="58">
        <v>0.2444868489381585</v>
      </c>
    </row>
    <row r="1309" spans="1:26" x14ac:dyDescent="0.2">
      <c r="A1309" s="1">
        <v>1307</v>
      </c>
      <c r="B1309" s="2" t="s">
        <v>294</v>
      </c>
      <c r="C1309" s="13" t="str">
        <f>HYPERLINK(AB2 &amp; "/key/sn_55e76cab29ed698d1f344185981b2096/rendering/00.obj", "5.43915710449")</f>
        <v>5.43915710449</v>
      </c>
      <c r="D1309" s="48" t="str">
        <f>HYPERLINK(AB2 &amp; "/key/sn_55e76cab29ed698d1f344185981b2096/rendering/01.obj", "5.31804504395")</f>
        <v>5.31804504395</v>
      </c>
      <c r="E1309" s="35" t="str">
        <f>HYPERLINK(AB2 &amp; "/key/sn_55e76cab29ed698d1f344185981b2096/rendering/02.obj", "5.1278527832")</f>
        <v>5.1278527832</v>
      </c>
      <c r="F1309" s="23" t="str">
        <f>HYPERLINK(AB2 &amp; "/key/sn_55e76cab29ed698d1f344185981b2096/rendering/03.obj", "5.23825317383")</f>
        <v>5.23825317383</v>
      </c>
      <c r="G1309" s="34" t="str">
        <f>HYPERLINK(AB2 &amp; "/key/sn_55e76cab29ed698d1f344185981b2096/rendering/04.obj", "5.720859375")</f>
        <v>5.720859375</v>
      </c>
      <c r="H1309" s="13" t="str">
        <f>HYPERLINK(AB2 &amp; "/key/sn_55e76cab29ed698d1f344185981b2096/rendering/05.obj", "5.43696533203")</f>
        <v>5.43696533203</v>
      </c>
      <c r="I1309" s="30" t="str">
        <f>HYPERLINK(AB2 &amp; "/key/sn_55e76cab29ed698d1f344185981b2096/rendering/06.obj", "5.47725830078")</f>
        <v>5.47725830078</v>
      </c>
      <c r="J1309" s="13" t="str">
        <f>HYPERLINK(AB2 &amp; "/key/sn_55e76cab29ed698d1f344185981b2096/rendering/07.obj", "5.45604675293")</f>
        <v>5.45604675293</v>
      </c>
      <c r="K1309" s="73" t="str">
        <f>HYPERLINK(AB2 &amp; "/key/sn_55e76cab29ed698d1f344185981b2096/rendering/08.obj", "5.25978027344")</f>
        <v>5.25978027344</v>
      </c>
      <c r="L1309" s="48" t="str">
        <f>HYPERLINK(AB2 &amp; "/key/sn_55e76cab29ed698d1f344185981b2096/rendering/09.obj", "5.31777954102")</f>
        <v>5.31777954102</v>
      </c>
      <c r="M1309" s="74" t="str">
        <f>HYPERLINK(AB2 &amp; "/key/sn_55e76cab29ed698d1f344185981b2096/rendering/10.obj", "5.52080444336")</f>
        <v>5.52080444336</v>
      </c>
      <c r="N1309" s="68" t="str">
        <f>HYPERLINK(AB2 &amp; "/key/sn_55e76cab29ed698d1f344185981b2096/rendering/11.obj", "5.67749389648")</f>
        <v>5.67749389648</v>
      </c>
      <c r="O1309" s="23" t="str">
        <f>HYPERLINK(AB2 &amp; "/key/sn_55e76cab29ed698d1f344185981b2096/rendering/12.obj", "5.66515319824")</f>
        <v>5.66515319824</v>
      </c>
      <c r="P1309" s="17" t="str">
        <f>HYPERLINK(AB2 &amp; "/key/sn_55e76cab29ed698d1f344185981b2096/rendering/13.obj", "5.34170898437")</f>
        <v>5.34170898437</v>
      </c>
      <c r="Q1309" s="94" t="str">
        <f>HYPERLINK(AB2 &amp; "/key/sn_55e76cab29ed698d1f344185981b2096/rendering/14.obj", "5.85274841309")</f>
        <v>5.85274841309</v>
      </c>
      <c r="R1309" s="41" t="str">
        <f>HYPERLINK(AB2 &amp; "/key/sn_55e76cab29ed698d1f344185981b2096/rendering/15.obj", "5.81407104492")</f>
        <v>5.81407104492</v>
      </c>
      <c r="S1309" s="30" t="str">
        <f>HYPERLINK(AB2 &amp; "/key/sn_55e76cab29ed698d1f344185981b2096/rendering/16.obj", "5.47908630371")</f>
        <v>5.47908630371</v>
      </c>
      <c r="T1309" s="6" t="str">
        <f>HYPERLINK(AB2 &amp; "/key/sn_55e76cab29ed698d1f344185981b2096/rendering/17.obj", "5.20110961914")</f>
        <v>5.20110961914</v>
      </c>
      <c r="U1309" s="25" t="str">
        <f>HYPERLINK(AB2 &amp; "/key/sn_55e76cab29ed698d1f344185981b2096/rendering/18.obj", "5.5017388916")</f>
        <v>5.5017388916</v>
      </c>
      <c r="V1309" s="10" t="str">
        <f>HYPERLINK(AB2 &amp; "/key/sn_55e76cab29ed698d1f344185981b2096/rendering/19.obj", "5.14905944824")</f>
        <v>5.14905944824</v>
      </c>
      <c r="W1309" s="12" t="s">
        <v>31</v>
      </c>
      <c r="X1309" s="13">
        <v>5.4497485961914061</v>
      </c>
      <c r="Y1309" s="13">
        <v>0.2073279041271695</v>
      </c>
      <c r="Z1309" s="23">
        <v>3.80435721882771E-2</v>
      </c>
    </row>
    <row r="1310" spans="1:26" x14ac:dyDescent="0.2">
      <c r="A1310" s="1">
        <v>1308</v>
      </c>
      <c r="B1310" s="2" t="s">
        <v>294</v>
      </c>
      <c r="C1310" s="25" t="str">
        <f>HYPERLINK(AB2 &amp; "/key/sn_55e76cab29ed698d1f344185981b2096/rendering/00.obj", "1.94335579872")</f>
        <v>1.94335579872</v>
      </c>
      <c r="D1310" s="71" t="str">
        <f>HYPERLINK(AB2 &amp; "/key/sn_55e76cab29ed698d1f344185981b2096/rendering/01.obj", "1.73570585251")</f>
        <v>1.73570585251</v>
      </c>
      <c r="E1310" s="11" t="str">
        <f>HYPERLINK(AB2 &amp; "/key/sn_55e76cab29ed698d1f344185981b2096/rendering/02.obj", "1.52740240097")</f>
        <v>1.52740240097</v>
      </c>
      <c r="F1310" s="60" t="str">
        <f>HYPERLINK(AB2 &amp; "/key/sn_55e76cab29ed698d1f344185981b2096/rendering/03.obj", "1.86556077003")</f>
        <v>1.86556077003</v>
      </c>
      <c r="G1310" s="29" t="str">
        <f>HYPERLINK(AB2 &amp; "/key/sn_55e76cab29ed698d1f344185981b2096/rendering/04.obj", "2.22516107559")</f>
        <v>2.22516107559</v>
      </c>
      <c r="H1310" s="34" t="str">
        <f>HYPERLINK(AB2 &amp; "/key/sn_55e76cab29ed698d1f344185981b2096/rendering/05.obj", "2.06323075294")</f>
        <v>2.06323075294</v>
      </c>
      <c r="I1310" s="70" t="str">
        <f>HYPERLINK(AB2 &amp; "/key/sn_55e76cab29ed698d1f344185981b2096/rendering/06.obj", "1.71786022186")</f>
        <v>1.71786022186</v>
      </c>
      <c r="J1310" s="17" t="str">
        <f>HYPERLINK(AB2 &amp; "/key/sn_55e76cab29ed698d1f344185981b2096/rendering/07.obj", "1.92359411716")</f>
        <v>1.92359411716</v>
      </c>
      <c r="K1310" s="35" t="str">
        <f>HYPERLINK(AB2 &amp; "/key/sn_55e76cab29ed698d1f344185981b2096/rendering/08.obj", "1.85547351837")</f>
        <v>1.85547351837</v>
      </c>
      <c r="L1310" s="74" t="str">
        <f>HYPERLINK(AB2 &amp; "/key/sn_55e76cab29ed698d1f344185981b2096/rendering/09.obj", "1.99214863777")</f>
        <v>1.99214863777</v>
      </c>
      <c r="M1310" s="46" t="str">
        <f>HYPERLINK(AB2 &amp; "/key/sn_55e76cab29ed698d1f344185981b2096/rendering/10.obj", "1.93182277679")</f>
        <v>1.93182277679</v>
      </c>
      <c r="N1310" s="47" t="str">
        <f>HYPERLINK(AB2 &amp; "/key/sn_55e76cab29ed698d1f344185981b2096/rendering/11.obj", "1.98059284687")</f>
        <v>1.98059284687</v>
      </c>
      <c r="O1310" s="27" t="str">
        <f>HYPERLINK(AB2 &amp; "/key/sn_55e76cab29ed698d1f344185981b2096/rendering/12.obj", "2.10786509514")</f>
        <v>2.10786509514</v>
      </c>
      <c r="P1310" s="42" t="str">
        <f>HYPERLINK(AB2 &amp; "/key/sn_55e76cab29ed698d1f344185981b2096/rendering/13.obj", "2.23332810402")</f>
        <v>2.23332810402</v>
      </c>
      <c r="Q1310" s="49" t="str">
        <f>HYPERLINK(AB2 &amp; "/key/sn_55e76cab29ed698d1f344185981b2096/rendering/14.obj", "2.37555766106")</f>
        <v>2.37555766106</v>
      </c>
      <c r="R1310" s="63" t="str">
        <f>HYPERLINK(AB2 &amp; "/key/sn_55e76cab29ed698d1f344185981b2096/rendering/15.obj", "2.20543861389")</f>
        <v>2.20543861389</v>
      </c>
      <c r="S1310" s="46" t="str">
        <f>HYPERLINK(AB2 &amp; "/key/sn_55e76cab29ed698d1f344185981b2096/rendering/16.obj", "1.9299967289")</f>
        <v>1.9299967289</v>
      </c>
      <c r="T1310" s="47" t="str">
        <f>HYPERLINK(AB2 &amp; "/key/sn_55e76cab29ed698d1f344185981b2096/rendering/17.obj", "1.9830108881")</f>
        <v>1.9830108881</v>
      </c>
      <c r="U1310" s="17" t="str">
        <f>HYPERLINK(AB2 &amp; "/key/sn_55e76cab29ed698d1f344185981b2096/rendering/18.obj", "2.00919532776")</f>
        <v>2.00919532776</v>
      </c>
      <c r="V1310" s="63" t="str">
        <f>HYPERLINK(AB2 &amp; "/key/sn_55e76cab29ed698d1f344185981b2096/rendering/19.obj", "1.72644841671")</f>
        <v>1.72644841671</v>
      </c>
      <c r="W1310" s="12" t="s">
        <v>32</v>
      </c>
      <c r="X1310" s="13">
        <v>1.9666374802589419</v>
      </c>
      <c r="Y1310" s="13">
        <v>0.19846428514690351</v>
      </c>
      <c r="Z1310" s="133">
        <v>0.1009155409367934</v>
      </c>
    </row>
    <row r="1311" spans="1:26" x14ac:dyDescent="0.2">
      <c r="A1311" s="1">
        <v>1309</v>
      </c>
      <c r="B1311" s="2" t="s">
        <v>294</v>
      </c>
      <c r="C1311" s="13" t="str">
        <f>HYPERLINK(AC2 &amp; "/key/sn_55e76cab29ed698d1f344185981b2096/rendering/00.xyz", "0.0")</f>
        <v>0.0</v>
      </c>
      <c r="D1311" s="13" t="str">
        <f>HYPERLINK(AC2 &amp; "/key/sn_55e76cab29ed698d1f344185981b2096/rendering/01.xyz", "0.0")</f>
        <v>0.0</v>
      </c>
      <c r="E1311" s="13" t="str">
        <f>HYPERLINK(AC2 &amp; "/key/sn_55e76cab29ed698d1f344185981b2096/rendering/02.xyz", "0.0")</f>
        <v>0.0</v>
      </c>
      <c r="F1311" s="13" t="str">
        <f>HYPERLINK(AC2 &amp; "/key/sn_55e76cab29ed698d1f344185981b2096/rendering/03.xyz", "0.0")</f>
        <v>0.0</v>
      </c>
      <c r="G1311" s="13" t="str">
        <f>HYPERLINK(AC2 &amp; "/key/sn_55e76cab29ed698d1f344185981b2096/rendering/04.xyz", "0.0")</f>
        <v>0.0</v>
      </c>
      <c r="H1311" s="13" t="str">
        <f>HYPERLINK(AC2 &amp; "/key/sn_55e76cab29ed698d1f344185981b2096/rendering/05.xyz", "0.0")</f>
        <v>0.0</v>
      </c>
      <c r="I1311" s="13" t="str">
        <f>HYPERLINK(AC2 &amp; "/key/sn_55e76cab29ed698d1f344185981b2096/rendering/06.xyz", "0.0")</f>
        <v>0.0</v>
      </c>
      <c r="J1311" s="13" t="str">
        <f>HYPERLINK(AC2 &amp; "/key/sn_55e76cab29ed698d1f344185981b2096/rendering/07.xyz", "0.0")</f>
        <v>0.0</v>
      </c>
      <c r="K1311" s="13" t="str">
        <f>HYPERLINK(AC2 &amp; "/key/sn_55e76cab29ed698d1f344185981b2096/rendering/08.xyz", "0.0")</f>
        <v>0.0</v>
      </c>
      <c r="L1311" s="13" t="str">
        <f>HYPERLINK(AC2 &amp; "/key/sn_55e76cab29ed698d1f344185981b2096/rendering/09.xyz", "0.0")</f>
        <v>0.0</v>
      </c>
      <c r="M1311" s="13" t="str">
        <f>HYPERLINK(AC2 &amp; "/key/sn_55e76cab29ed698d1f344185981b2096/rendering/10.xyz", "0.0")</f>
        <v>0.0</v>
      </c>
      <c r="N1311" s="13" t="str">
        <f>HYPERLINK(AC2 &amp; "/key/sn_55e76cab29ed698d1f344185981b2096/rendering/11.xyz", "0.0")</f>
        <v>0.0</v>
      </c>
      <c r="O1311" s="13" t="str">
        <f>HYPERLINK(AC2 &amp; "/key/sn_55e76cab29ed698d1f344185981b2096/rendering/12.xyz", "0.0")</f>
        <v>0.0</v>
      </c>
      <c r="P1311" s="13" t="str">
        <f>HYPERLINK(AC2 &amp; "/key/sn_55e76cab29ed698d1f344185981b2096/rendering/13.xyz", "0.0")</f>
        <v>0.0</v>
      </c>
      <c r="Q1311" s="13" t="str">
        <f>HYPERLINK(AC2 &amp; "/key/sn_55e76cab29ed698d1f344185981b2096/rendering/14.xyz", "0.0")</f>
        <v>0.0</v>
      </c>
      <c r="R1311" s="13" t="str">
        <f>HYPERLINK(AC2 &amp; "/key/sn_55e76cab29ed698d1f344185981b2096/rendering/15.xyz", "0.0")</f>
        <v>0.0</v>
      </c>
      <c r="S1311" s="13" t="str">
        <f>HYPERLINK(AC2 &amp; "/key/sn_55e76cab29ed698d1f344185981b2096/rendering/16.xyz", "0.0")</f>
        <v>0.0</v>
      </c>
      <c r="T1311" s="13" t="str">
        <f>HYPERLINK(AC2 &amp; "/key/sn_55e76cab29ed698d1f344185981b2096/rendering/17.xyz", "0.0")</f>
        <v>0.0</v>
      </c>
      <c r="U1311" s="13" t="str">
        <f>HYPERLINK(AC2 &amp; "/key/sn_55e76cab29ed698d1f344185981b2096/rendering/18.xyz", "0.0")</f>
        <v>0.0</v>
      </c>
      <c r="V1311" s="13" t="str">
        <f>HYPERLINK(AC2 &amp; "/key/sn_55e76cab29ed698d1f344185981b2096/rendering/19.xyz", "0.0")</f>
        <v>0.0</v>
      </c>
      <c r="W1311" s="12" t="s">
        <v>33</v>
      </c>
      <c r="X1311" s="13">
        <v>0</v>
      </c>
      <c r="Y1311" s="13">
        <v>0</v>
      </c>
      <c r="Z1311" s="13">
        <v>0</v>
      </c>
    </row>
    <row r="1312" spans="1:26" x14ac:dyDescent="0.2">
      <c r="A1312" s="1">
        <v>1310</v>
      </c>
      <c r="B1312" s="2" t="s">
        <v>295</v>
      </c>
      <c r="C1312" s="23" t="str">
        <f>HYPERLINK(AA2 &amp; "/key/sn_89c1046bca3baa53768071f8dcc2a47e/rendering/00.obj", "6.41688598633")</f>
        <v>6.41688598633</v>
      </c>
      <c r="D1312" s="10" t="str">
        <f>HYPERLINK(AA2 &amp; "/key/sn_89c1046bca3baa53768071f8dcc2a47e/rendering/01.obj", "7.0434942627")</f>
        <v>7.0434942627</v>
      </c>
      <c r="E1312" s="39" t="str">
        <f>HYPERLINK(AA2 &amp; "/key/sn_89c1046bca3baa53768071f8dcc2a47e/rendering/02.obj", "6.09809326172")</f>
        <v>6.09809326172</v>
      </c>
      <c r="F1312" s="32" t="str">
        <f>HYPERLINK(AA2 &amp; "/key/sn_89c1046bca3baa53768071f8dcc2a47e/rendering/03.obj", "7.38241577148")</f>
        <v>7.38241577148</v>
      </c>
      <c r="G1312" s="41" t="str">
        <f>HYPERLINK(AA2 &amp; "/key/sn_89c1046bca3baa53768071f8dcc2a47e/rendering/04.obj", "6.23559875488")</f>
        <v>6.23559875488</v>
      </c>
      <c r="H1312" s="90" t="str">
        <f>HYPERLINK(AA2 &amp; "/key/sn_89c1046bca3baa53768071f8dcc2a47e/rendering/05.obj", "6.03112426758")</f>
        <v>6.03112426758</v>
      </c>
      <c r="I1312" s="38" t="str">
        <f>HYPERLINK(AA2 &amp; "/key/sn_89c1046bca3baa53768071f8dcc2a47e/rendering/06.obj", "6.08300231934")</f>
        <v>6.08300231934</v>
      </c>
      <c r="J1312" s="6" t="str">
        <f>HYPERLINK(AA2 &amp; "/key/sn_89c1046bca3baa53768071f8dcc2a47e/rendering/07.obj", "6.97954467773")</f>
        <v>6.97954467773</v>
      </c>
      <c r="K1312" s="67" t="str">
        <f>HYPERLINK(AA2 &amp; "/key/sn_89c1046bca3baa53768071f8dcc2a47e/rendering/08.obj", "6.05625183105")</f>
        <v>6.05625183105</v>
      </c>
      <c r="L1312" s="78" t="str">
        <f>HYPERLINK(AA2 &amp; "/key/sn_89c1046bca3baa53768071f8dcc2a47e/rendering/09.obj", "6.26577880859")</f>
        <v>6.26577880859</v>
      </c>
      <c r="M1312" s="107" t="str">
        <f>HYPERLINK(AA2 &amp; "/key/sn_89c1046bca3baa53768071f8dcc2a47e/rendering/10.obj", "7.2288659668")</f>
        <v>7.2288659668</v>
      </c>
      <c r="N1312" s="17" t="str">
        <f>HYPERLINK(AA2 &amp; "/key/sn_89c1046bca3baa53768071f8dcc2a47e/rendering/11.obj", "6.53955566406")</f>
        <v>6.53955566406</v>
      </c>
      <c r="O1312" s="91" t="str">
        <f>HYPERLINK(AA2 &amp; "/key/sn_89c1046bca3baa53768071f8dcc2a47e/rendering/12.obj", "6.84938232422")</f>
        <v>6.84938232422</v>
      </c>
      <c r="P1312" s="25" t="str">
        <f>HYPERLINK(AA2 &amp; "/key/sn_89c1046bca3baa53768071f8dcc2a47e/rendering/13.obj", "6.60089294434")</f>
        <v>6.60089294434</v>
      </c>
      <c r="Q1312" s="70" t="str">
        <f>HYPERLINK(AA2 &amp; "/key/sn_89c1046bca3baa53768071f8dcc2a47e/rendering/14.obj", "7.53755859375")</f>
        <v>7.53755859375</v>
      </c>
      <c r="R1312" s="74" t="str">
        <f>HYPERLINK(AA2 &amp; "/key/sn_89c1046bca3baa53768071f8dcc2a47e/rendering/15.obj", "6.58382507324")</f>
        <v>6.58382507324</v>
      </c>
      <c r="S1312" s="110" t="str">
        <f>HYPERLINK(AA2 &amp; "/key/sn_89c1046bca3baa53768071f8dcc2a47e/rendering/16.obj", "6.0161328125")</f>
        <v>6.0161328125</v>
      </c>
      <c r="T1312" s="40" t="str">
        <f>HYPERLINK(AA2 &amp; "/key/sn_89c1046bca3baa53768071f8dcc2a47e/rendering/17.obj", "7.83169189453")</f>
        <v>7.83169189453</v>
      </c>
      <c r="U1312" s="47" t="str">
        <f>HYPERLINK(AA2 &amp; "/key/sn_89c1046bca3baa53768071f8dcc2a47e/rendering/18.obj", "6.62880615234")</f>
        <v>6.62880615234</v>
      </c>
      <c r="V1312" s="94" t="str">
        <f>HYPERLINK(AA2 &amp; "/key/sn_89c1046bca3baa53768071f8dcc2a47e/rendering/19.obj", "7.17525634766")</f>
        <v>7.17525634766</v>
      </c>
      <c r="W1312" s="12" t="s">
        <v>29</v>
      </c>
      <c r="X1312" s="13">
        <v>6.6792078857421888</v>
      </c>
      <c r="Y1312" s="13">
        <v>0.53731978017272242</v>
      </c>
      <c r="Z1312" s="51">
        <v>8.0446632200161836E-2</v>
      </c>
    </row>
    <row r="1313" spans="1:26" x14ac:dyDescent="0.2">
      <c r="A1313" s="1">
        <v>1311</v>
      </c>
      <c r="B1313" s="2" t="s">
        <v>295</v>
      </c>
      <c r="C1313" s="4" t="str">
        <f>HYPERLINK(AA2 &amp; "/key/sn_89c1046bca3baa53768071f8dcc2a47e/rendering/00.obj", "3.13988423347")</f>
        <v>3.13988423347</v>
      </c>
      <c r="D1313" s="75" t="str">
        <f>HYPERLINK(AA2 &amp; "/key/sn_89c1046bca3baa53768071f8dcc2a47e/rendering/01.obj", "5.36627292633")</f>
        <v>5.36627292633</v>
      </c>
      <c r="E1313" s="89" t="str">
        <f>HYPERLINK(AA2 &amp; "/key/sn_89c1046bca3baa53768071f8dcc2a47e/rendering/02.obj", "3.24951291084")</f>
        <v>3.24951291084</v>
      </c>
      <c r="F1313" s="44" t="str">
        <f>HYPERLINK(AA2 &amp; "/key/sn_89c1046bca3baa53768071f8dcc2a47e/rendering/03.obj", "3.53611636162")</f>
        <v>3.53611636162</v>
      </c>
      <c r="G1313" s="74" t="str">
        <f>HYPERLINK(AA2 &amp; "/key/sn_89c1046bca3baa53768071f8dcc2a47e/rendering/04.obj", "4.33083248138")</f>
        <v>4.33083248138</v>
      </c>
      <c r="H1313" s="32" t="str">
        <f>HYPERLINK(AA2 &amp; "/key/sn_89c1046bca3baa53768071f8dcc2a47e/rendering/05.obj", "4.85486602783")</f>
        <v>4.85486602783</v>
      </c>
      <c r="I1313" s="80" t="str">
        <f>HYPERLINK(AA2 &amp; "/key/sn_89c1046bca3baa53768071f8dcc2a47e/rendering/06.obj", "3.73686504364")</f>
        <v>3.73686504364</v>
      </c>
      <c r="J1313" s="61" t="str">
        <f>HYPERLINK(AA2 &amp; "/key/sn_89c1046bca3baa53768071f8dcc2a47e/rendering/07.obj", "3.06205511093")</f>
        <v>3.06205511093</v>
      </c>
      <c r="K1313" s="136" t="str">
        <f>HYPERLINK(AA2 &amp; "/key/sn_89c1046bca3baa53768071f8dcc2a47e/rendering/08.obj", "5.43825149536")</f>
        <v>5.43825149536</v>
      </c>
      <c r="L1313" s="39" t="str">
        <f>HYPERLINK(AA2 &amp; "/key/sn_89c1046bca3baa53768071f8dcc2a47e/rendering/09.obj", "4.01003313065")</f>
        <v>4.01003313065</v>
      </c>
      <c r="M1313" s="19" t="str">
        <f>HYPERLINK(AA2 &amp; "/key/sn_89c1046bca3baa53768071f8dcc2a47e/rendering/10.obj", "3.2433617115")</f>
        <v>3.2433617115</v>
      </c>
      <c r="N1313" s="15" t="str">
        <f>HYPERLINK(AA2 &amp; "/key/sn_89c1046bca3baa53768071f8dcc2a47e/rendering/11.obj", "6.61916780472")</f>
        <v>6.61916780472</v>
      </c>
      <c r="O1313" s="68" t="str">
        <f>HYPERLINK(AA2 &amp; "/key/sn_89c1046bca3baa53768071f8dcc2a47e/rendering/12.obj", "4.57886552811")</f>
        <v>4.57886552811</v>
      </c>
      <c r="P1313" s="106" t="str">
        <f>HYPERLINK(AA2 &amp; "/key/sn_89c1046bca3baa53768071f8dcc2a47e/rendering/13.obj", "3.89323687553")</f>
        <v>3.89323687553</v>
      </c>
      <c r="Q1313" s="220" t="str">
        <f>HYPERLINK(AA2 &amp; "/key/sn_89c1046bca3baa53768071f8dcc2a47e/rendering/14.obj", "7.37853574753")</f>
        <v>7.37853574753</v>
      </c>
      <c r="R1313" s="33" t="str">
        <f>HYPERLINK(AA2 &amp; "/key/sn_89c1046bca3baa53768071f8dcc2a47e/rendering/15.obj", "3.92035627365")</f>
        <v>3.92035627365</v>
      </c>
      <c r="S1313" s="48" t="str">
        <f>HYPERLINK(AA2 &amp; "/key/sn_89c1046bca3baa53768071f8dcc2a47e/rendering/16.obj", "4.50226688385")</f>
        <v>4.50226688385</v>
      </c>
      <c r="T1313" s="13" t="str">
        <f>HYPERLINK(AA2 &amp; "/key/sn_89c1046bca3baa53768071f8dcc2a47e/rendering/17.obj", "4.38686275482")</f>
        <v>4.38686275482</v>
      </c>
      <c r="U1313" s="187" t="str">
        <f>HYPERLINK(AA2 &amp; "/key/sn_89c1046bca3baa53768071f8dcc2a47e/rendering/18.obj", "2.85181474686")</f>
        <v>2.85181474686</v>
      </c>
      <c r="V1313" s="56" t="str">
        <f>HYPERLINK(AA2 &amp; "/key/sn_89c1046bca3baa53768071f8dcc2a47e/rendering/19.obj", "5.74442243576")</f>
        <v>5.74442243576</v>
      </c>
      <c r="W1313" s="12" t="s">
        <v>30</v>
      </c>
      <c r="X1313" s="13">
        <v>4.3921790242195131</v>
      </c>
      <c r="Y1313" s="13">
        <v>1.1859568415982411</v>
      </c>
      <c r="Z1313" s="99">
        <v>0.27001559705526462</v>
      </c>
    </row>
    <row r="1314" spans="1:26" x14ac:dyDescent="0.2">
      <c r="A1314" s="1">
        <v>1312</v>
      </c>
      <c r="B1314" s="2" t="s">
        <v>295</v>
      </c>
      <c r="C1314" s="25" t="str">
        <f>HYPERLINK(AB2 &amp; "/key/sn_89c1046bca3baa53768071f8dcc2a47e/rendering/00.obj", "6.72542175293")</f>
        <v>6.72542175293</v>
      </c>
      <c r="D1314" s="67" t="str">
        <f>HYPERLINK(AB2 &amp; "/key/sn_89c1046bca3baa53768071f8dcc2a47e/rendering/01.obj", "6.16383544922")</f>
        <v>6.16383544922</v>
      </c>
      <c r="E1314" s="78" t="str">
        <f>HYPERLINK(AB2 &amp; "/key/sn_89c1046bca3baa53768071f8dcc2a47e/rendering/02.obj", "6.38835083008")</f>
        <v>6.38835083008</v>
      </c>
      <c r="F1314" s="73" t="str">
        <f>HYPERLINK(AB2 &amp; "/key/sn_89c1046bca3baa53768071f8dcc2a47e/rendering/03.obj", "6.54551696777")</f>
        <v>6.54551696777</v>
      </c>
      <c r="G1314" s="51" t="str">
        <f>HYPERLINK(AB2 &amp; "/key/sn_89c1046bca3baa53768071f8dcc2a47e/rendering/04.obj", "6.24901367187")</f>
        <v>6.24901367187</v>
      </c>
      <c r="H1314" s="17" t="str">
        <f>HYPERLINK(AB2 &amp; "/key/sn_89c1046bca3baa53768071f8dcc2a47e/rendering/05.obj", "6.9277154541")</f>
        <v>6.9277154541</v>
      </c>
      <c r="I1314" s="25" t="str">
        <f>HYPERLINK(AB2 &amp; "/key/sn_89c1046bca3baa53768071f8dcc2a47e/rendering/06.obj", "6.72186279297")</f>
        <v>6.72186279297</v>
      </c>
      <c r="J1314" s="47" t="str">
        <f>HYPERLINK(AB2 &amp; "/key/sn_89c1046bca3baa53768071f8dcc2a47e/rendering/07.obj", "6.74272277832")</f>
        <v>6.74272277832</v>
      </c>
      <c r="K1314" s="10" t="str">
        <f>HYPERLINK(AB2 &amp; "/key/sn_89c1046bca3baa53768071f8dcc2a47e/rendering/08.obj", "7.17632995605")</f>
        <v>7.17632995605</v>
      </c>
      <c r="L1314" s="5" t="str">
        <f>HYPERLINK(AB2 &amp; "/key/sn_89c1046bca3baa53768071f8dcc2a47e/rendering/09.obj", "6.26674194336")</f>
        <v>6.26674194336</v>
      </c>
      <c r="M1314" s="47" t="str">
        <f>HYPERLINK(AB2 &amp; "/key/sn_89c1046bca3baa53768071f8dcc2a47e/rendering/10.obj", "6.73453735352")</f>
        <v>6.73453735352</v>
      </c>
      <c r="N1314" s="23" t="str">
        <f>HYPERLINK(AB2 &amp; "/key/sn_89c1046bca3baa53768071f8dcc2a47e/rendering/11.obj", "7.07400939941")</f>
        <v>7.07400939941</v>
      </c>
      <c r="O1314" s="84" t="str">
        <f>HYPERLINK(AB2 &amp; "/key/sn_89c1046bca3baa53768071f8dcc2a47e/rendering/12.obj", "7.79706176758")</f>
        <v>7.79706176758</v>
      </c>
      <c r="P1314" s="93" t="str">
        <f>HYPERLINK(AB2 &amp; "/key/sn_89c1046bca3baa53768071f8dcc2a47e/rendering/13.obj", "7.7420715332")</f>
        <v>7.7420715332</v>
      </c>
      <c r="Q1314" s="27" t="str">
        <f>HYPERLINK(AB2 &amp; "/key/sn_89c1046bca3baa53768071f8dcc2a47e/rendering/14.obj", "7.26731933594")</f>
        <v>7.26731933594</v>
      </c>
      <c r="R1314" s="31" t="str">
        <f>HYPERLINK(AB2 &amp; "/key/sn_89c1046bca3baa53768071f8dcc2a47e/rendering/15.obj", "5.74546875")</f>
        <v>5.74546875</v>
      </c>
      <c r="S1314" s="78" t="str">
        <f>HYPERLINK(AB2 &amp; "/key/sn_89c1046bca3baa53768071f8dcc2a47e/rendering/16.obj", "7.2230657959")</f>
        <v>7.2230657959</v>
      </c>
      <c r="T1314" s="25" t="str">
        <f>HYPERLINK(AB2 &amp; "/key/sn_89c1046bca3baa53768071f8dcc2a47e/rendering/17.obj", "6.86321105957")</f>
        <v>6.86321105957</v>
      </c>
      <c r="U1314" s="17" t="str">
        <f>HYPERLINK(AB2 &amp; "/key/sn_89c1046bca3baa53768071f8dcc2a47e/rendering/18.obj", "6.64938110352")</f>
        <v>6.64938110352</v>
      </c>
      <c r="V1314" s="48" t="str">
        <f>HYPERLINK(AB2 &amp; "/key/sn_89c1046bca3baa53768071f8dcc2a47e/rendering/19.obj", "6.95266723633")</f>
        <v>6.95266723633</v>
      </c>
      <c r="W1314" s="12" t="s">
        <v>31</v>
      </c>
      <c r="X1314" s="13">
        <v>6.7978152465820312</v>
      </c>
      <c r="Y1314" s="13">
        <v>0.49598662876530603</v>
      </c>
      <c r="Z1314" s="94">
        <v>7.2962652083651436E-2</v>
      </c>
    </row>
    <row r="1315" spans="1:26" x14ac:dyDescent="0.2">
      <c r="A1315" s="1">
        <v>1313</v>
      </c>
      <c r="B1315" s="2" t="s">
        <v>295</v>
      </c>
      <c r="C1315" s="31" t="str">
        <f>HYPERLINK(AB2 &amp; "/key/sn_89c1046bca3baa53768071f8dcc2a47e/rendering/00.obj", "2.63462758064")</f>
        <v>2.63462758064</v>
      </c>
      <c r="D1315" s="27" t="str">
        <f>HYPERLINK(AB2 &amp; "/key/sn_89c1046bca3baa53768071f8dcc2a47e/rendering/01.obj", "2.89360833168")</f>
        <v>2.89360833168</v>
      </c>
      <c r="E1315" s="33" t="str">
        <f>HYPERLINK(AB2 &amp; "/key/sn_89c1046bca3baa53768071f8dcc2a47e/rendering/02.obj", "2.780585289")</f>
        <v>2.780585289</v>
      </c>
      <c r="F1315" s="75" t="str">
        <f>HYPERLINK(AB2 &amp; "/key/sn_89c1046bca3baa53768071f8dcc2a47e/rendering/03.obj", "2.42562222481")</f>
        <v>2.42562222481</v>
      </c>
      <c r="G1315" s="13" t="str">
        <f>HYPERLINK(AB2 &amp; "/key/sn_89c1046bca3baa53768071f8dcc2a47e/rendering/04.obj", "3.11792254448")</f>
        <v>3.11792254448</v>
      </c>
      <c r="H1315" s="41" t="str">
        <f>HYPERLINK(AB2 &amp; "/key/sn_89c1046bca3baa53768071f8dcc2a47e/rendering/05.obj", "2.90795183182")</f>
        <v>2.90795183182</v>
      </c>
      <c r="I1315" s="91" t="str">
        <f>HYPERLINK(AB2 &amp; "/key/sn_89c1046bca3baa53768071f8dcc2a47e/rendering/06.obj", "3.20361638069")</f>
        <v>3.20361638069</v>
      </c>
      <c r="J1315" s="25" t="str">
        <f>HYPERLINK(AB2 &amp; "/key/sn_89c1046bca3baa53768071f8dcc2a47e/rendering/07.obj", "3.07914829254")</f>
        <v>3.07914829254</v>
      </c>
      <c r="K1315" s="32" t="str">
        <f>HYPERLINK(AB2 &amp; "/key/sn_89c1046bca3baa53768071f8dcc2a47e/rendering/08.obj", "2.78657436371")</f>
        <v>2.78657436371</v>
      </c>
      <c r="L1315" s="24" t="str">
        <f>HYPERLINK(AB2 &amp; "/key/sn_89c1046bca3baa53768071f8dcc2a47e/rendering/09.obj", "2.59716248512")</f>
        <v>2.59716248512</v>
      </c>
      <c r="M1315" s="71" t="str">
        <f>HYPERLINK(AB2 &amp; "/key/sn_89c1046bca3baa53768071f8dcc2a47e/rendering/10.obj", "2.74970579147")</f>
        <v>2.74970579147</v>
      </c>
      <c r="N1315" s="17" t="str">
        <f>HYPERLINK(AB2 &amp; "/key/sn_89c1046bca3baa53768071f8dcc2a47e/rendering/11.obj", "3.058634758")</f>
        <v>3.058634758</v>
      </c>
      <c r="O1315" s="102" t="str">
        <f>HYPERLINK(AB2 &amp; "/key/sn_89c1046bca3baa53768071f8dcc2a47e/rendering/12.obj", "4.66728591919")</f>
        <v>4.66728591919</v>
      </c>
      <c r="P1315" s="51" t="str">
        <f>HYPERLINK(AB2 &amp; "/key/sn_89c1046bca3baa53768071f8dcc2a47e/rendering/13.obj", "2.86586046219")</f>
        <v>2.86586046219</v>
      </c>
      <c r="Q1315" s="55" t="str">
        <f>HYPERLINK(AB2 &amp; "/key/sn_89c1046bca3baa53768071f8dcc2a47e/rendering/14.obj", "3.71458339691")</f>
        <v>3.71458339691</v>
      </c>
      <c r="R1315" s="34" t="str">
        <f>HYPERLINK(AB2 &amp; "/key/sn_89c1046bca3baa53768071f8dcc2a47e/rendering/15.obj", "2.96227097511")</f>
        <v>2.96227097511</v>
      </c>
      <c r="S1315" s="26" t="str">
        <f>HYPERLINK(AB2 &amp; "/key/sn_89c1046bca3baa53768071f8dcc2a47e/rendering/16.obj", "2.91368699074")</f>
        <v>2.91368699074</v>
      </c>
      <c r="T1315" s="33" t="str">
        <f>HYPERLINK(AB2 &amp; "/key/sn_89c1046bca3baa53768071f8dcc2a47e/rendering/17.obj", "2.78108000755")</f>
        <v>2.78108000755</v>
      </c>
      <c r="U1315" s="26" t="str">
        <f>HYPERLINK(AB2 &amp; "/key/sn_89c1046bca3baa53768071f8dcc2a47e/rendering/18.obj", "2.92190146446")</f>
        <v>2.92190146446</v>
      </c>
      <c r="V1315" s="219" t="str">
        <f>HYPERLINK(AB2 &amp; "/key/sn_89c1046bca3baa53768071f8dcc2a47e/rendering/19.obj", "5.2899889946")</f>
        <v>5.2899889946</v>
      </c>
      <c r="W1315" s="12" t="s">
        <v>32</v>
      </c>
      <c r="X1315" s="13">
        <v>3.1175909042358398</v>
      </c>
      <c r="Y1315" s="13">
        <v>0.67844478125366703</v>
      </c>
      <c r="Z1315" s="81">
        <v>0.21761828350598239</v>
      </c>
    </row>
    <row r="1316" spans="1:26" x14ac:dyDescent="0.2">
      <c r="A1316" s="1">
        <v>1314</v>
      </c>
      <c r="B1316" s="2" t="s">
        <v>295</v>
      </c>
      <c r="C1316" s="13" t="str">
        <f>HYPERLINK(AC2 &amp; "/key/sn_89c1046bca3baa53768071f8dcc2a47e/rendering/00.xyz", "0.0")</f>
        <v>0.0</v>
      </c>
      <c r="D1316" s="13" t="str">
        <f>HYPERLINK(AC2 &amp; "/key/sn_89c1046bca3baa53768071f8dcc2a47e/rendering/01.xyz", "0.0")</f>
        <v>0.0</v>
      </c>
      <c r="E1316" s="13" t="str">
        <f>HYPERLINK(AC2 &amp; "/key/sn_89c1046bca3baa53768071f8dcc2a47e/rendering/02.xyz", "0.0")</f>
        <v>0.0</v>
      </c>
      <c r="F1316" s="13" t="str">
        <f>HYPERLINK(AC2 &amp; "/key/sn_89c1046bca3baa53768071f8dcc2a47e/rendering/03.xyz", "0.0")</f>
        <v>0.0</v>
      </c>
      <c r="G1316" s="13" t="str">
        <f>HYPERLINK(AC2 &amp; "/key/sn_89c1046bca3baa53768071f8dcc2a47e/rendering/04.xyz", "0.0")</f>
        <v>0.0</v>
      </c>
      <c r="H1316" s="13" t="str">
        <f>HYPERLINK(AC2 &amp; "/key/sn_89c1046bca3baa53768071f8dcc2a47e/rendering/05.xyz", "0.0")</f>
        <v>0.0</v>
      </c>
      <c r="I1316" s="13" t="str">
        <f>HYPERLINK(AC2 &amp; "/key/sn_89c1046bca3baa53768071f8dcc2a47e/rendering/06.xyz", "0.0")</f>
        <v>0.0</v>
      </c>
      <c r="J1316" s="13" t="str">
        <f>HYPERLINK(AC2 &amp; "/key/sn_89c1046bca3baa53768071f8dcc2a47e/rendering/07.xyz", "0.0")</f>
        <v>0.0</v>
      </c>
      <c r="K1316" s="13" t="str">
        <f>HYPERLINK(AC2 &amp; "/key/sn_89c1046bca3baa53768071f8dcc2a47e/rendering/08.xyz", "0.0")</f>
        <v>0.0</v>
      </c>
      <c r="L1316" s="13" t="str">
        <f>HYPERLINK(AC2 &amp; "/key/sn_89c1046bca3baa53768071f8dcc2a47e/rendering/09.xyz", "0.0")</f>
        <v>0.0</v>
      </c>
      <c r="M1316" s="13" t="str">
        <f>HYPERLINK(AC2 &amp; "/key/sn_89c1046bca3baa53768071f8dcc2a47e/rendering/10.xyz", "0.0")</f>
        <v>0.0</v>
      </c>
      <c r="N1316" s="13" t="str">
        <f>HYPERLINK(AC2 &amp; "/key/sn_89c1046bca3baa53768071f8dcc2a47e/rendering/11.xyz", "0.0")</f>
        <v>0.0</v>
      </c>
      <c r="O1316" s="13" t="str">
        <f>HYPERLINK(AC2 &amp; "/key/sn_89c1046bca3baa53768071f8dcc2a47e/rendering/12.xyz", "0.0")</f>
        <v>0.0</v>
      </c>
      <c r="P1316" s="13" t="str">
        <f>HYPERLINK(AC2 &amp; "/key/sn_89c1046bca3baa53768071f8dcc2a47e/rendering/13.xyz", "0.0")</f>
        <v>0.0</v>
      </c>
      <c r="Q1316" s="13" t="str">
        <f>HYPERLINK(AC2 &amp; "/key/sn_89c1046bca3baa53768071f8dcc2a47e/rendering/14.xyz", "0.0")</f>
        <v>0.0</v>
      </c>
      <c r="R1316" s="13" t="str">
        <f>HYPERLINK(AC2 &amp; "/key/sn_89c1046bca3baa53768071f8dcc2a47e/rendering/15.xyz", "0.0")</f>
        <v>0.0</v>
      </c>
      <c r="S1316" s="13" t="str">
        <f>HYPERLINK(AC2 &amp; "/key/sn_89c1046bca3baa53768071f8dcc2a47e/rendering/16.xyz", "0.0")</f>
        <v>0.0</v>
      </c>
      <c r="T1316" s="13" t="str">
        <f>HYPERLINK(AC2 &amp; "/key/sn_89c1046bca3baa53768071f8dcc2a47e/rendering/17.xyz", "0.0")</f>
        <v>0.0</v>
      </c>
      <c r="U1316" s="13" t="str">
        <f>HYPERLINK(AC2 &amp; "/key/sn_89c1046bca3baa53768071f8dcc2a47e/rendering/18.xyz", "0.0")</f>
        <v>0.0</v>
      </c>
      <c r="V1316" s="13" t="str">
        <f>HYPERLINK(AC2 &amp; "/key/sn_89c1046bca3baa53768071f8dcc2a47e/rendering/19.xyz", "0.0")</f>
        <v>0.0</v>
      </c>
      <c r="W1316" s="12" t="s">
        <v>33</v>
      </c>
      <c r="X1316" s="13">
        <v>0</v>
      </c>
      <c r="Y1316" s="13">
        <v>0</v>
      </c>
      <c r="Z1316" s="13">
        <v>0</v>
      </c>
    </row>
    <row r="1317" spans="1:26" x14ac:dyDescent="0.2">
      <c r="A1317" s="1">
        <v>1315</v>
      </c>
      <c r="B1317" s="2" t="s">
        <v>296</v>
      </c>
      <c r="C1317" s="32" t="str">
        <f>HYPERLINK(AA2 &amp; "/key/sn_9faceaa8dba36f401436eb1bcf306b50/rendering/00.obj", "7.06909423828")</f>
        <v>7.06909423828</v>
      </c>
      <c r="D1317" s="176" t="str">
        <f>HYPERLINK(AA2 &amp; "/key/sn_9faceaa8dba36f401436eb1bcf306b50/rendering/01.obj", "5.37382568359")</f>
        <v>5.37382568359</v>
      </c>
      <c r="E1317" s="93" t="str">
        <f>HYPERLINK(AA2 &amp; "/key/sn_9faceaa8dba36f401436eb1bcf306b50/rendering/02.obj", "6.80649963379")</f>
        <v>6.80649963379</v>
      </c>
      <c r="F1317" s="134" t="str">
        <f>HYPERLINK(AA2 &amp; "/key/sn_9faceaa8dba36f401436eb1bcf306b50/rendering/03.obj", "9.33316589355")</f>
        <v>9.33316589355</v>
      </c>
      <c r="G1317" s="23" t="str">
        <f>HYPERLINK(AA2 &amp; "/key/sn_9faceaa8dba36f401436eb1bcf306b50/rendering/04.obj", "7.58032348633")</f>
        <v>7.58032348633</v>
      </c>
      <c r="H1317" s="76" t="str">
        <f>HYPERLINK(AA2 &amp; "/key/sn_9faceaa8dba36f401436eb1bcf306b50/rendering/05.obj", "6.45109191895")</f>
        <v>6.45109191895</v>
      </c>
      <c r="I1317" s="61" t="str">
        <f>HYPERLINK(AA2 &amp; "/key/sn_9faceaa8dba36f401436eb1bcf306b50/rendering/06.obj", "5.50457763672")</f>
        <v>5.50457763672</v>
      </c>
      <c r="J1317" s="179" t="str">
        <f>HYPERLINK(AA2 &amp; "/key/sn_9faceaa8dba36f401436eb1bcf306b50/rendering/07.obj", "4.50356506348")</f>
        <v>4.50356506348</v>
      </c>
      <c r="K1317" s="4" t="str">
        <f>HYPERLINK(AA2 &amp; "/key/sn_9faceaa8dba36f401436eb1bcf306b50/rendering/08.obj", "5.66633239746")</f>
        <v>5.66633239746</v>
      </c>
      <c r="L1317" s="36" t="str">
        <f>HYPERLINK(AA2 &amp; "/key/sn_9faceaa8dba36f401436eb1bcf306b50/rendering/09.obj", "6.19093505859")</f>
        <v>6.19093505859</v>
      </c>
      <c r="M1317" s="117" t="str">
        <f>HYPERLINK(AA2 &amp; "/key/sn_9faceaa8dba36f401436eb1bcf306b50/rendering/10.obj", "9.29760253906")</f>
        <v>9.29760253906</v>
      </c>
      <c r="N1317" s="160" t="str">
        <f>HYPERLINK(AA2 &amp; "/key/sn_9faceaa8dba36f401436eb1bcf306b50/rendering/11.obj", "12.0627746582")</f>
        <v>12.0627746582</v>
      </c>
      <c r="O1317" s="36" t="str">
        <f>HYPERLINK(AA2 &amp; "/key/sn_9faceaa8dba36f401436eb1bcf306b50/rendering/12.obj", "6.19932250977")</f>
        <v>6.19932250977</v>
      </c>
      <c r="P1317" s="103" t="str">
        <f>HYPERLINK(AA2 &amp; "/key/sn_9faceaa8dba36f401436eb1bcf306b50/rendering/13.obj", "5.33073852539")</f>
        <v>5.33073852539</v>
      </c>
      <c r="Q1317" s="100" t="str">
        <f>HYPERLINK(AA2 &amp; "/key/sn_9faceaa8dba36f401436eb1bcf306b50/rendering/14.obj", "5.53160644531")</f>
        <v>5.53160644531</v>
      </c>
      <c r="R1317" s="20" t="str">
        <f>HYPERLINK(AA2 &amp; "/key/sn_9faceaa8dba36f401436eb1bcf306b50/rendering/15.obj", "19.6333105469")</f>
        <v>19.6333105469</v>
      </c>
      <c r="S1317" s="90" t="str">
        <f>HYPERLINK(AA2 &amp; "/key/sn_9faceaa8dba36f401436eb1bcf306b50/rendering/16.obj", "8.64040161133")</f>
        <v>8.64040161133</v>
      </c>
      <c r="T1317" s="42" t="str">
        <f>HYPERLINK(AA2 &amp; "/key/sn_9faceaa8dba36f401436eb1bcf306b50/rendering/17.obj", "8.96630615234")</f>
        <v>8.96630615234</v>
      </c>
      <c r="U1317" s="59" t="str">
        <f>HYPERLINK(AA2 &amp; "/key/sn_9faceaa8dba36f401436eb1bcf306b50/rendering/18.obj", "6.0021496582")</f>
        <v>6.0021496582</v>
      </c>
      <c r="V1317" s="213" t="str">
        <f>HYPERLINK(AA2 &amp; "/key/sn_9faceaa8dba36f401436eb1bcf306b50/rendering/19.obj", "11.7965686035")</f>
        <v>11.7965686035</v>
      </c>
      <c r="W1317" s="12" t="s">
        <v>29</v>
      </c>
      <c r="X1317" s="13">
        <v>7.8970096130371088</v>
      </c>
      <c r="Y1317" s="13">
        <v>3.3928789743606358</v>
      </c>
      <c r="Z1317" s="179">
        <v>0.42964098318423721</v>
      </c>
    </row>
    <row r="1318" spans="1:26" x14ac:dyDescent="0.2">
      <c r="A1318" s="1">
        <v>1316</v>
      </c>
      <c r="B1318" s="2" t="s">
        <v>296</v>
      </c>
      <c r="C1318" s="59" t="str">
        <f>HYPERLINK(AA2 &amp; "/key/sn_9faceaa8dba36f401436eb1bcf306b50/rendering/00.obj", "12.7549571991")</f>
        <v>12.7549571991</v>
      </c>
      <c r="D1318" s="139" t="str">
        <f>HYPERLINK(AA2 &amp; "/key/sn_9faceaa8dba36f401436eb1bcf306b50/rendering/01.obj", "8.70124149323")</f>
        <v>8.70124149323</v>
      </c>
      <c r="E1318" s="192" t="str">
        <f>HYPERLINK(AA2 &amp; "/key/sn_9faceaa8dba36f401436eb1bcf306b50/rendering/02.obj", "10.5137062073")</f>
        <v>10.5137062073</v>
      </c>
      <c r="F1318" s="94" t="str">
        <f>HYPERLINK(AA2 &amp; "/key/sn_9faceaa8dba36f401436eb1bcf306b50/rendering/03.obj", "17.9933700562")</f>
        <v>17.9933700562</v>
      </c>
      <c r="G1318" s="175" t="str">
        <f>HYPERLINK(AA2 &amp; "/key/sn_9faceaa8dba36f401436eb1bcf306b50/rendering/04.obj", "12.8647155762")</f>
        <v>12.8647155762</v>
      </c>
      <c r="H1318" s="128" t="str">
        <f>HYPERLINK(AA2 &amp; "/key/sn_9faceaa8dba36f401436eb1bcf306b50/rendering/05.obj", "10.2046298981")</f>
        <v>10.2046298981</v>
      </c>
      <c r="I1318" s="114" t="str">
        <f>HYPERLINK(AA2 &amp; "/key/sn_9faceaa8dba36f401436eb1bcf306b50/rendering/06.obj", "9.07709693909")</f>
        <v>9.07709693909</v>
      </c>
      <c r="J1318" s="181" t="str">
        <f>HYPERLINK(AA2 &amp; "/key/sn_9faceaa8dba36f401436eb1bcf306b50/rendering/07.obj", "9.32746696472")</f>
        <v>9.32746696472</v>
      </c>
      <c r="K1318" s="145" t="str">
        <f>HYPERLINK(AA2 &amp; "/key/sn_9faceaa8dba36f401436eb1bcf306b50/rendering/08.obj", "8.54200744629")</f>
        <v>8.54200744629</v>
      </c>
      <c r="L1318" s="111" t="str">
        <f>HYPERLINK(AA2 &amp; "/key/sn_9faceaa8dba36f401436eb1bcf306b50/rendering/09.obj", "9.69336223602")</f>
        <v>9.69336223602</v>
      </c>
      <c r="M1318" s="170" t="str">
        <f>HYPERLINK(AA2 &amp; "/key/sn_9faceaa8dba36f401436eb1bcf306b50/rendering/10.obj", "21.0301074982")</f>
        <v>21.0301074982</v>
      </c>
      <c r="N1318" s="20" t="str">
        <f>HYPERLINK(AA2 &amp; "/key/sn_9faceaa8dba36f401436eb1bcf306b50/rendering/11.obj", "35.471446991")</f>
        <v>35.471446991</v>
      </c>
      <c r="O1318" s="116" t="str">
        <f>HYPERLINK(AA2 &amp; "/key/sn_9faceaa8dba36f401436eb1bcf306b50/rendering/12.obj", "9.42575073242")</f>
        <v>9.42575073242</v>
      </c>
      <c r="P1318" s="52" t="str">
        <f>HYPERLINK(AA2 &amp; "/key/sn_9faceaa8dba36f401436eb1bcf306b50/rendering/13.obj", "10.0413398743")</f>
        <v>10.0413398743</v>
      </c>
      <c r="Q1318" s="131" t="str">
        <f>HYPERLINK(AA2 &amp; "/key/sn_9faceaa8dba36f401436eb1bcf306b50/rendering/14.obj", "8.99373626709")</f>
        <v>8.99373626709</v>
      </c>
      <c r="R1318" s="20" t="str">
        <f>HYPERLINK(AA2 &amp; "/key/sn_9faceaa8dba36f401436eb1bcf306b50/rendering/15.obj", "70.6704940796")</f>
        <v>70.6704940796</v>
      </c>
      <c r="S1318" s="78" t="str">
        <f>HYPERLINK(AA2 &amp; "/key/sn_9faceaa8dba36f401436eb1bcf306b50/rendering/16.obj", "15.7667646408")</f>
        <v>15.7667646408</v>
      </c>
      <c r="T1318" s="46" t="str">
        <f>HYPERLINK(AA2 &amp; "/key/sn_9faceaa8dba36f401436eb1bcf306b50/rendering/17.obj", "17.0420608521")</f>
        <v>17.0420608521</v>
      </c>
      <c r="U1318" s="139" t="str">
        <f>HYPERLINK(AA2 &amp; "/key/sn_9faceaa8dba36f401436eb1bcf306b50/rendering/18.obj", "8.69012641907")</f>
        <v>8.69012641907</v>
      </c>
      <c r="V1318" s="257" t="str">
        <f>HYPERLINK(AA2 &amp; "/key/sn_9faceaa8dba36f401436eb1bcf306b50/rendering/19.obj", "28.732334137")</f>
        <v>28.732334137</v>
      </c>
      <c r="W1318" s="12" t="s">
        <v>30</v>
      </c>
      <c r="X1318" s="13">
        <v>16.776835775375371</v>
      </c>
      <c r="Y1318" s="13">
        <v>14.238802139196711</v>
      </c>
      <c r="Z1318" s="20">
        <v>0.84871797815986727</v>
      </c>
    </row>
    <row r="1319" spans="1:26" x14ac:dyDescent="0.2">
      <c r="A1319" s="1">
        <v>1317</v>
      </c>
      <c r="B1319" s="2" t="s">
        <v>296</v>
      </c>
      <c r="C1319" s="41" t="str">
        <f>HYPERLINK(AB2 &amp; "/key/sn_9faceaa8dba36f401436eb1bcf306b50/rendering/00.obj", "4.95723205566")</f>
        <v>4.95723205566</v>
      </c>
      <c r="D1319" s="79" t="str">
        <f>HYPERLINK(AB2 &amp; "/key/sn_9faceaa8dba36f401436eb1bcf306b50/rendering/01.obj", "5.38142089844")</f>
        <v>5.38142089844</v>
      </c>
      <c r="E1319" s="110" t="str">
        <f>HYPERLINK(AB2 &amp; "/key/sn_9faceaa8dba36f401436eb1bcf306b50/rendering/02.obj", "5.10678710938")</f>
        <v>5.10678710938</v>
      </c>
      <c r="F1319" s="79" t="str">
        <f>HYPERLINK(AB2 &amp; "/key/sn_9faceaa8dba36f401436eb1bcf306b50/rendering/03.obj", "3.91092041016")</f>
        <v>3.91092041016</v>
      </c>
      <c r="G1319" s="37" t="str">
        <f>HYPERLINK(AB2 &amp; "/key/sn_9faceaa8dba36f401436eb1bcf306b50/rendering/04.obj", "3.83643829346")</f>
        <v>3.83643829346</v>
      </c>
      <c r="H1319" s="42" t="str">
        <f>HYPERLINK(AB2 &amp; "/key/sn_9faceaa8dba36f401436eb1bcf306b50/rendering/05.obj", "5.27562805176")</f>
        <v>5.27562805176</v>
      </c>
      <c r="I1319" s="34" t="str">
        <f>HYPERLINK(AB2 &amp; "/key/sn_9faceaa8dba36f401436eb1bcf306b50/rendering/06.obj", "4.86405548096")</f>
        <v>4.86405548096</v>
      </c>
      <c r="J1319" s="79" t="str">
        <f>HYPERLINK(AB2 &amp; "/key/sn_9faceaa8dba36f401436eb1bcf306b50/rendering/07.obj", "5.37814086914")</f>
        <v>5.37814086914</v>
      </c>
      <c r="K1319" s="6" t="str">
        <f>HYPERLINK(AB2 &amp; "/key/sn_9faceaa8dba36f401436eb1bcf306b50/rendering/08.obj", "4.85266662598")</f>
        <v>4.85266662598</v>
      </c>
      <c r="L1319" s="73" t="str">
        <f>HYPERLINK(AB2 &amp; "/key/sn_9faceaa8dba36f401436eb1bcf306b50/rendering/09.obj", "4.80883361816")</f>
        <v>4.80883361816</v>
      </c>
      <c r="M1319" s="73" t="str">
        <f>HYPERLINK(AB2 &amp; "/key/sn_9faceaa8dba36f401436eb1bcf306b50/rendering/10.obj", "4.47300048828")</f>
        <v>4.47300048828</v>
      </c>
      <c r="N1319" s="23" t="str">
        <f>HYPERLINK(AB2 &amp; "/key/sn_9faceaa8dba36f401436eb1bcf306b50/rendering/11.obj", "4.46130065918")</f>
        <v>4.46130065918</v>
      </c>
      <c r="O1319" s="17" t="str">
        <f>HYPERLINK(AB2 &amp; "/key/sn_9faceaa8dba36f401436eb1bcf306b50/rendering/12.obj", "4.54891204834")</f>
        <v>4.54891204834</v>
      </c>
      <c r="P1319" s="72" t="str">
        <f>HYPERLINK(AB2 &amp; "/key/sn_9faceaa8dba36f401436eb1bcf306b50/rendering/13.obj", "4.49488342285")</f>
        <v>4.49488342285</v>
      </c>
      <c r="Q1319" s="69" t="str">
        <f>HYPERLINK(AB2 &amp; "/key/sn_9faceaa8dba36f401436eb1bcf306b50/rendering/14.obj", "4.51043823242")</f>
        <v>4.51043823242</v>
      </c>
      <c r="R1319" s="35" t="str">
        <f>HYPERLINK(AB2 &amp; "/key/sn_9faceaa8dba36f401436eb1bcf306b50/rendering/15.obj", "4.37708740234")</f>
        <v>4.37708740234</v>
      </c>
      <c r="S1319" s="26" t="str">
        <f>HYPERLINK(AB2 &amp; "/key/sn_9faceaa8dba36f401436eb1bcf306b50/rendering/16.obj", "4.33757629395")</f>
        <v>4.33757629395</v>
      </c>
      <c r="T1319" s="41" t="str">
        <f>HYPERLINK(AB2 &amp; "/key/sn_9faceaa8dba36f401436eb1bcf306b50/rendering/17.obj", "4.33113342285")</f>
        <v>4.33113342285</v>
      </c>
      <c r="U1319" s="72" t="str">
        <f>HYPERLINK(AB2 &amp; "/key/sn_9faceaa8dba36f401436eb1bcf306b50/rendering/18.obj", "4.49686920166")</f>
        <v>4.49686920166</v>
      </c>
      <c r="V1319" s="23" t="str">
        <f>HYPERLINK(AB2 &amp; "/key/sn_9faceaa8dba36f401436eb1bcf306b50/rendering/19.obj", "4.46142211914")</f>
        <v>4.46142211914</v>
      </c>
      <c r="W1319" s="12" t="s">
        <v>31</v>
      </c>
      <c r="X1319" s="13">
        <v>4.6432373352050789</v>
      </c>
      <c r="Y1319" s="13">
        <v>0.42026303984245478</v>
      </c>
      <c r="Z1319" s="38">
        <v>9.0510781487738209E-2</v>
      </c>
    </row>
    <row r="1320" spans="1:26" x14ac:dyDescent="0.2">
      <c r="A1320" s="1">
        <v>1318</v>
      </c>
      <c r="B1320" s="2" t="s">
        <v>296</v>
      </c>
      <c r="C1320" s="6" t="str">
        <f>HYPERLINK(AB2 &amp; "/key/sn_9faceaa8dba36f401436eb1bcf306b50/rendering/00.obj", "6.39969205856")</f>
        <v>6.39969205856</v>
      </c>
      <c r="D1320" s="20" t="str">
        <f>HYPERLINK(AB2 &amp; "/key/sn_9faceaa8dba36f401436eb1bcf306b50/rendering/01.obj", "13.3756599426")</f>
        <v>13.3756599426</v>
      </c>
      <c r="E1320" s="71" t="str">
        <f>HYPERLINK(AB2 &amp; "/key/sn_9faceaa8dba36f401436eb1bcf306b50/rendering/02.obj", "7.49099349976")</f>
        <v>7.49099349976</v>
      </c>
      <c r="F1320" s="135" t="str">
        <f>HYPERLINK(AB2 &amp; "/key/sn_9faceaa8dba36f401436eb1bcf306b50/rendering/03.obj", "4.99511861801")</f>
        <v>4.99511861801</v>
      </c>
      <c r="G1320" s="129" t="str">
        <f>HYPERLINK(AB2 &amp; "/key/sn_9faceaa8dba36f401436eb1bcf306b50/rendering/04.obj", "5.04217624664")</f>
        <v>5.04217624664</v>
      </c>
      <c r="H1320" s="67" t="str">
        <f>HYPERLINK(AB2 &amp; "/key/sn_9faceaa8dba36f401436eb1bcf306b50/rendering/05.obj", "7.31769037247")</f>
        <v>7.31769037247</v>
      </c>
      <c r="I1320" s="89" t="str">
        <f>HYPERLINK(AB2 &amp; "/key/sn_9faceaa8dba36f401436eb1bcf306b50/rendering/06.obj", "8.44383430481")</f>
        <v>8.44383430481</v>
      </c>
      <c r="J1320" s="31" t="str">
        <f>HYPERLINK(AB2 &amp; "/key/sn_9faceaa8dba36f401436eb1bcf306b50/rendering/07.obj", "7.75593852997")</f>
        <v>7.75593852997</v>
      </c>
      <c r="K1320" s="47" t="str">
        <f>HYPERLINK(AB2 &amp; "/key/sn_9faceaa8dba36f401436eb1bcf306b50/rendering/08.obj", "6.7483215332")</f>
        <v>6.7483215332</v>
      </c>
      <c r="L1320" s="46" t="str">
        <f>HYPERLINK(AB2 &amp; "/key/sn_9faceaa8dba36f401436eb1bcf306b50/rendering/09.obj", "6.5977473259")</f>
        <v>6.5977473259</v>
      </c>
      <c r="M1320" s="58" t="str">
        <f>HYPERLINK(AB2 &amp; "/key/sn_9faceaa8dba36f401436eb1bcf306b50/rendering/10.obj", "5.07668972015")</f>
        <v>5.07668972015</v>
      </c>
      <c r="N1320" s="79" t="str">
        <f>HYPERLINK(AB2 &amp; "/key/sn_9faceaa8dba36f401436eb1bcf306b50/rendering/11.obj", "5.63536691666")</f>
        <v>5.63536691666</v>
      </c>
      <c r="O1320" s="67" t="str">
        <f>HYPERLINK(AB2 &amp; "/key/sn_9faceaa8dba36f401436eb1bcf306b50/rendering/12.obj", "7.32533979416")</f>
        <v>7.32533979416</v>
      </c>
      <c r="P1320" s="67" t="str">
        <f>HYPERLINK(AB2 &amp; "/key/sn_9faceaa8dba36f401436eb1bcf306b50/rendering/13.obj", "6.09072732925")</f>
        <v>6.09072732925</v>
      </c>
      <c r="Q1320" s="26" t="str">
        <f>HYPERLINK(AB2 &amp; "/key/sn_9faceaa8dba36f401436eb1bcf306b50/rendering/14.obj", "6.26882696152")</f>
        <v>6.26882696152</v>
      </c>
      <c r="R1320" s="27" t="str">
        <f>HYPERLINK(AB2 &amp; "/key/sn_9faceaa8dba36f401436eb1bcf306b50/rendering/15.obj", "6.22601938248")</f>
        <v>6.22601938248</v>
      </c>
      <c r="S1320" s="31" t="str">
        <f>HYPERLINK(AB2 &amp; "/key/sn_9faceaa8dba36f401436eb1bcf306b50/rendering/16.obj", "5.65952301025")</f>
        <v>5.65952301025</v>
      </c>
      <c r="T1320" s="133" t="str">
        <f>HYPERLINK(AB2 &amp; "/key/sn_9faceaa8dba36f401436eb1bcf306b50/rendering/17.obj", "6.03246116638")</f>
        <v>6.03246116638</v>
      </c>
      <c r="U1320" s="39" t="str">
        <f>HYPERLINK(AB2 &amp; "/key/sn_9faceaa8dba36f401436eb1bcf306b50/rendering/18.obj", "6.11731052399")</f>
        <v>6.11731052399</v>
      </c>
      <c r="V1320" s="117" t="str">
        <f>HYPERLINK(AB2 &amp; "/key/sn_9faceaa8dba36f401436eb1bcf306b50/rendering/19.obj", "5.52205133438")</f>
        <v>5.52205133438</v>
      </c>
      <c r="W1320" s="12" t="s">
        <v>32</v>
      </c>
      <c r="X1320" s="13">
        <v>6.7060744285583498</v>
      </c>
      <c r="Y1320" s="13">
        <v>1.784398370684978</v>
      </c>
      <c r="Z1320" s="119">
        <v>0.26608687238632123</v>
      </c>
    </row>
    <row r="1321" spans="1:26" x14ac:dyDescent="0.2">
      <c r="A1321" s="1">
        <v>1319</v>
      </c>
      <c r="B1321" s="2" t="s">
        <v>296</v>
      </c>
      <c r="C1321" s="13" t="str">
        <f>HYPERLINK(AC2 &amp; "/key/sn_9faceaa8dba36f401436eb1bcf306b50/rendering/00.xyz", "0.0")</f>
        <v>0.0</v>
      </c>
      <c r="D1321" s="13" t="str">
        <f>HYPERLINK(AC2 &amp; "/key/sn_9faceaa8dba36f401436eb1bcf306b50/rendering/01.xyz", "0.0")</f>
        <v>0.0</v>
      </c>
      <c r="E1321" s="13" t="str">
        <f>HYPERLINK(AC2 &amp; "/key/sn_9faceaa8dba36f401436eb1bcf306b50/rendering/02.xyz", "0.0")</f>
        <v>0.0</v>
      </c>
      <c r="F1321" s="13" t="str">
        <f>HYPERLINK(AC2 &amp; "/key/sn_9faceaa8dba36f401436eb1bcf306b50/rendering/03.xyz", "0.0")</f>
        <v>0.0</v>
      </c>
      <c r="G1321" s="13" t="str">
        <f>HYPERLINK(AC2 &amp; "/key/sn_9faceaa8dba36f401436eb1bcf306b50/rendering/04.xyz", "0.0")</f>
        <v>0.0</v>
      </c>
      <c r="H1321" s="13" t="str">
        <f>HYPERLINK(AC2 &amp; "/key/sn_9faceaa8dba36f401436eb1bcf306b50/rendering/05.xyz", "0.0")</f>
        <v>0.0</v>
      </c>
      <c r="I1321" s="13" t="str">
        <f>HYPERLINK(AC2 &amp; "/key/sn_9faceaa8dba36f401436eb1bcf306b50/rendering/06.xyz", "0.0")</f>
        <v>0.0</v>
      </c>
      <c r="J1321" s="13" t="str">
        <f>HYPERLINK(AC2 &amp; "/key/sn_9faceaa8dba36f401436eb1bcf306b50/rendering/07.xyz", "0.0")</f>
        <v>0.0</v>
      </c>
      <c r="K1321" s="13" t="str">
        <f>HYPERLINK(AC2 &amp; "/key/sn_9faceaa8dba36f401436eb1bcf306b50/rendering/08.xyz", "0.0")</f>
        <v>0.0</v>
      </c>
      <c r="L1321" s="13" t="str">
        <f>HYPERLINK(AC2 &amp; "/key/sn_9faceaa8dba36f401436eb1bcf306b50/rendering/09.xyz", "0.0")</f>
        <v>0.0</v>
      </c>
      <c r="M1321" s="13" t="str">
        <f>HYPERLINK(AC2 &amp; "/key/sn_9faceaa8dba36f401436eb1bcf306b50/rendering/10.xyz", "0.0")</f>
        <v>0.0</v>
      </c>
      <c r="N1321" s="13" t="str">
        <f>HYPERLINK(AC2 &amp; "/key/sn_9faceaa8dba36f401436eb1bcf306b50/rendering/11.xyz", "0.0")</f>
        <v>0.0</v>
      </c>
      <c r="O1321" s="13" t="str">
        <f>HYPERLINK(AC2 &amp; "/key/sn_9faceaa8dba36f401436eb1bcf306b50/rendering/12.xyz", "0.0")</f>
        <v>0.0</v>
      </c>
      <c r="P1321" s="13" t="str">
        <f>HYPERLINK(AC2 &amp; "/key/sn_9faceaa8dba36f401436eb1bcf306b50/rendering/13.xyz", "0.0")</f>
        <v>0.0</v>
      </c>
      <c r="Q1321" s="13" t="str">
        <f>HYPERLINK(AC2 &amp; "/key/sn_9faceaa8dba36f401436eb1bcf306b50/rendering/14.xyz", "0.0")</f>
        <v>0.0</v>
      </c>
      <c r="R1321" s="13" t="str">
        <f>HYPERLINK(AC2 &amp; "/key/sn_9faceaa8dba36f401436eb1bcf306b50/rendering/15.xyz", "0.0")</f>
        <v>0.0</v>
      </c>
      <c r="S1321" s="13" t="str">
        <f>HYPERLINK(AC2 &amp; "/key/sn_9faceaa8dba36f401436eb1bcf306b50/rendering/16.xyz", "0.0")</f>
        <v>0.0</v>
      </c>
      <c r="T1321" s="13" t="str">
        <f>HYPERLINK(AC2 &amp; "/key/sn_9faceaa8dba36f401436eb1bcf306b50/rendering/17.xyz", "0.0")</f>
        <v>0.0</v>
      </c>
      <c r="U1321" s="13" t="str">
        <f>HYPERLINK(AC2 &amp; "/key/sn_9faceaa8dba36f401436eb1bcf306b50/rendering/18.xyz", "0.0")</f>
        <v>0.0</v>
      </c>
      <c r="V1321" s="13" t="str">
        <f>HYPERLINK(AC2 &amp; "/key/sn_9faceaa8dba36f401436eb1bcf306b50/rendering/19.xyz", "0.0")</f>
        <v>0.0</v>
      </c>
      <c r="W1321" s="12" t="s">
        <v>33</v>
      </c>
      <c r="X1321" s="13">
        <v>0</v>
      </c>
      <c r="Y1321" s="13">
        <v>0</v>
      </c>
      <c r="Z1321" s="13">
        <v>0</v>
      </c>
    </row>
    <row r="1322" spans="1:26" x14ac:dyDescent="0.2">
      <c r="A1322" s="1">
        <v>1320</v>
      </c>
      <c r="B1322" s="2" t="s">
        <v>297</v>
      </c>
      <c r="C1322" s="3" t="str">
        <f>HYPERLINK(AA2 &amp; "/knife/sn_cc38f97557029b2a2b5fd8277662be97/rendering/00.obj", "nan")</f>
        <v>nan</v>
      </c>
      <c r="D1322" s="3" t="str">
        <f>HYPERLINK(AA2 &amp; "/knife/sn_cc38f97557029b2a2b5fd8277662be97/rendering/01.obj", "nan")</f>
        <v>nan</v>
      </c>
      <c r="E1322" s="3" t="str">
        <f>HYPERLINK(AA2 &amp; "/knife/sn_cc38f97557029b2a2b5fd8277662be97/rendering/02.obj", "nan")</f>
        <v>nan</v>
      </c>
      <c r="F1322" s="3" t="str">
        <f>HYPERLINK(AA2 &amp; "/knife/sn_cc38f97557029b2a2b5fd8277662be97/rendering/03.obj", "nan")</f>
        <v>nan</v>
      </c>
      <c r="G1322" s="3" t="str">
        <f>HYPERLINK(AA2 &amp; "/knife/sn_cc38f97557029b2a2b5fd8277662be97/rendering/04.obj", "nan")</f>
        <v>nan</v>
      </c>
      <c r="H1322" s="3" t="str">
        <f>HYPERLINK(AA2 &amp; "/knife/sn_cc38f97557029b2a2b5fd8277662be97/rendering/05.obj", "nan")</f>
        <v>nan</v>
      </c>
      <c r="I1322" s="3" t="str">
        <f>HYPERLINK(AA2 &amp; "/knife/sn_cc38f97557029b2a2b5fd8277662be97/rendering/06.obj", "nan")</f>
        <v>nan</v>
      </c>
      <c r="J1322" s="3" t="str">
        <f>HYPERLINK(AA2 &amp; "/knife/sn_cc38f97557029b2a2b5fd8277662be97/rendering/07.obj", "nan")</f>
        <v>nan</v>
      </c>
      <c r="K1322" s="46" t="str">
        <f>HYPERLINK(AA2 &amp; "/knife/sn_cc38f97557029b2a2b5fd8277662be97/rendering/08.obj", "2.92856811523")</f>
        <v>2.92856811523</v>
      </c>
      <c r="L1322" s="47" t="str">
        <f>HYPERLINK(AA2 &amp; "/knife/sn_cc38f97557029b2a2b5fd8277662be97/rendering/09.obj", "2.95023864746")</f>
        <v>2.95023864746</v>
      </c>
      <c r="M1322" s="66" t="str">
        <f>HYPERLINK(AA2 &amp; "/knife/sn_cc38f97557029b2a2b5fd8277662be97/rendering/10.obj", "2.49571899414")</f>
        <v>2.49571899414</v>
      </c>
      <c r="N1322" s="17" t="str">
        <f>HYPERLINK(AA2 &amp; "/knife/sn_cc38f97557029b2a2b5fd8277662be97/rendering/11.obj", "2.91977539062")</f>
        <v>2.91977539062</v>
      </c>
      <c r="O1322" s="90" t="str">
        <f>HYPERLINK(AA2 &amp; "/knife/sn_cc38f97557029b2a2b5fd8277662be97/rendering/12.obj", "2.69057525635")</f>
        <v>2.69057525635</v>
      </c>
      <c r="P1322" s="23" t="str">
        <f>HYPERLINK(AA2 &amp; "/knife/sn_cc38f97557029b2a2b5fd8277662be97/rendering/13.obj", "2.85771789551")</f>
        <v>2.85771789551</v>
      </c>
      <c r="Q1322" s="121" t="str">
        <f>HYPERLINK(AA2 &amp; "/knife/sn_cc38f97557029b2a2b5fd8277662be97/rendering/14.obj", "4.02348052979")</f>
        <v>4.02348052979</v>
      </c>
      <c r="R1322" s="55" t="str">
        <f>HYPERLINK(AA2 &amp; "/knife/sn_cc38f97557029b2a2b5fd8277662be97/rendering/15.obj", "2.3975227356")</f>
        <v>2.3975227356</v>
      </c>
      <c r="S1322" s="69" t="str">
        <f>HYPERLINK(AA2 &amp; "/knife/sn_cc38f97557029b2a2b5fd8277662be97/rendering/16.obj", "2.88281494141")</f>
        <v>2.88281494141</v>
      </c>
      <c r="T1322" s="13" t="str">
        <f>HYPERLINK(AA2 &amp; "/knife/sn_cc38f97557029b2a2b5fd8277662be97/rendering/17.obj", "2.97091247559")</f>
        <v>2.97091247559</v>
      </c>
      <c r="U1322" s="187" t="str">
        <f>HYPERLINK(AA2 &amp; "/knife/sn_cc38f97557029b2a2b5fd8277662be97/rendering/18.obj", "4.01720092773")</f>
        <v>4.01720092773</v>
      </c>
      <c r="V1322" s="65" t="str">
        <f>HYPERLINK(AA2 &amp; "/knife/sn_cc38f97557029b2a2b5fd8277662be97/rendering/19.obj", "2.57936157227")</f>
        <v>2.57936157227</v>
      </c>
      <c r="W1322" s="12" t="s">
        <v>29</v>
      </c>
      <c r="X1322" s="13">
        <v>2.976157290140788</v>
      </c>
      <c r="Y1322" s="13">
        <v>0.50118062977562849</v>
      </c>
      <c r="Z1322" s="24">
        <v>0.16839856933499639</v>
      </c>
    </row>
    <row r="1323" spans="1:26" x14ac:dyDescent="0.2">
      <c r="A1323" s="1">
        <v>1321</v>
      </c>
      <c r="B1323" s="2" t="s">
        <v>297</v>
      </c>
      <c r="C1323" s="3" t="str">
        <f>HYPERLINK(AA2 &amp; "/knife/sn_cc38f97557029b2a2b5fd8277662be97/rendering/00.obj", "nan")</f>
        <v>nan</v>
      </c>
      <c r="D1323" s="3" t="str">
        <f>HYPERLINK(AA2 &amp; "/knife/sn_cc38f97557029b2a2b5fd8277662be97/rendering/01.obj", "nan")</f>
        <v>nan</v>
      </c>
      <c r="E1323" s="3" t="str">
        <f>HYPERLINK(AA2 &amp; "/knife/sn_cc38f97557029b2a2b5fd8277662be97/rendering/02.obj", "nan")</f>
        <v>nan</v>
      </c>
      <c r="F1323" s="3" t="str">
        <f>HYPERLINK(AA2 &amp; "/knife/sn_cc38f97557029b2a2b5fd8277662be97/rendering/03.obj", "nan")</f>
        <v>nan</v>
      </c>
      <c r="G1323" s="3" t="str">
        <f>HYPERLINK(AA2 &amp; "/knife/sn_cc38f97557029b2a2b5fd8277662be97/rendering/04.obj", "nan")</f>
        <v>nan</v>
      </c>
      <c r="H1323" s="3" t="str">
        <f>HYPERLINK(AA2 &amp; "/knife/sn_cc38f97557029b2a2b5fd8277662be97/rendering/05.obj", "nan")</f>
        <v>nan</v>
      </c>
      <c r="I1323" s="3" t="str">
        <f>HYPERLINK(AA2 &amp; "/knife/sn_cc38f97557029b2a2b5fd8277662be97/rendering/06.obj", "nan")</f>
        <v>nan</v>
      </c>
      <c r="J1323" s="3" t="str">
        <f>HYPERLINK(AA2 &amp; "/knife/sn_cc38f97557029b2a2b5fd8277662be97/rendering/07.obj", "nan")</f>
        <v>nan</v>
      </c>
      <c r="K1323" s="32" t="str">
        <f>HYPERLINK(AA2 &amp; "/knife/sn_cc38f97557029b2a2b5fd8277662be97/rendering/08.obj", "2.18381404877")</f>
        <v>2.18381404877</v>
      </c>
      <c r="L1323" s="32" t="str">
        <f>HYPERLINK(AA2 &amp; "/knife/sn_cc38f97557029b2a2b5fd8277662be97/rendering/09.obj", "2.18050146103")</f>
        <v>2.18050146103</v>
      </c>
      <c r="M1323" s="114" t="str">
        <f>HYPERLINK(AA2 &amp; "/knife/sn_cc38f97557029b2a2b5fd8277662be97/rendering/10.obj", "1.06476151943")</f>
        <v>1.06476151943</v>
      </c>
      <c r="N1323" s="39" t="str">
        <f>HYPERLINK(AA2 &amp; "/knife/sn_cc38f97557029b2a2b5fd8277662be97/rendering/11.obj", "2.14760446548")</f>
        <v>2.14760446548</v>
      </c>
      <c r="O1323" s="136" t="str">
        <f>HYPERLINK(AA2 &amp; "/knife/sn_cc38f97557029b2a2b5fd8277662be97/rendering/12.obj", "1.50447416306")</f>
        <v>1.50447416306</v>
      </c>
      <c r="P1323" s="75" t="str">
        <f>HYPERLINK(AA2 &amp; "/knife/sn_cc38f97557029b2a2b5fd8277662be97/rendering/13.obj", "1.53911757469")</f>
        <v>1.53911757469</v>
      </c>
      <c r="Q1323" s="219" t="str">
        <f>HYPERLINK(AA2 &amp; "/knife/sn_cc38f97557029b2a2b5fd8277662be97/rendering/14.obj", "3.35083651543")</f>
        <v>3.35083651543</v>
      </c>
      <c r="R1323" s="149" t="str">
        <f>HYPERLINK(AA2 &amp; "/knife/sn_cc38f97557029b2a2b5fd8277662be97/rendering/15.obj", "1.29483008385")</f>
        <v>1.29483008385</v>
      </c>
      <c r="S1323" s="35" t="str">
        <f>HYPERLINK(AA2 &amp; "/knife/sn_cc38f97557029b2a2b5fd8277662be97/rendering/16.obj", "2.09072089195")</f>
        <v>2.09072089195</v>
      </c>
      <c r="T1323" s="228" t="str">
        <f>HYPERLINK(AA2 &amp; "/knife/sn_cc38f97557029b2a2b5fd8277662be97/rendering/17.obj", "0.9261906147")</f>
        <v>0.9261906147</v>
      </c>
      <c r="U1323" s="20" t="str">
        <f>HYPERLINK(AA2 &amp; "/knife/sn_cc38f97557029b2a2b5fd8277662be97/rendering/18.obj", "3.86693096161")</f>
        <v>3.86693096161</v>
      </c>
      <c r="V1323" s="81" t="str">
        <f>HYPERLINK(AA2 &amp; "/knife/sn_cc38f97557029b2a2b5fd8277662be97/rendering/19.obj", "1.54112529755")</f>
        <v>1.54112529755</v>
      </c>
      <c r="W1323" s="12" t="s">
        <v>30</v>
      </c>
      <c r="X1323" s="13">
        <v>1.974242299795151</v>
      </c>
      <c r="Y1323" s="13">
        <v>0.84617479565102016</v>
      </c>
      <c r="Z1323" s="179">
        <v>0.42860736786909093</v>
      </c>
    </row>
    <row r="1324" spans="1:26" x14ac:dyDescent="0.2">
      <c r="A1324" s="1">
        <v>1322</v>
      </c>
      <c r="B1324" s="2" t="s">
        <v>297</v>
      </c>
      <c r="C1324" s="3" t="str">
        <f>HYPERLINK(AB2 &amp; "/knife/sn_cc38f97557029b2a2b5fd8277662be97/rendering/00.obj", "nan")</f>
        <v>nan</v>
      </c>
      <c r="D1324" s="3" t="str">
        <f>HYPERLINK(AB2 &amp; "/knife/sn_cc38f97557029b2a2b5fd8277662be97/rendering/01.obj", "nan")</f>
        <v>nan</v>
      </c>
      <c r="E1324" s="3" t="str">
        <f>HYPERLINK(AB2 &amp; "/knife/sn_cc38f97557029b2a2b5fd8277662be97/rendering/02.obj", "nan")</f>
        <v>nan</v>
      </c>
      <c r="F1324" s="3" t="str">
        <f>HYPERLINK(AB2 &amp; "/knife/sn_cc38f97557029b2a2b5fd8277662be97/rendering/03.obj", "nan")</f>
        <v>nan</v>
      </c>
      <c r="G1324" s="3" t="str">
        <f>HYPERLINK(AB2 &amp; "/knife/sn_cc38f97557029b2a2b5fd8277662be97/rendering/04.obj", "nan")</f>
        <v>nan</v>
      </c>
      <c r="H1324" s="3" t="str">
        <f>HYPERLINK(AB2 &amp; "/knife/sn_cc38f97557029b2a2b5fd8277662be97/rendering/05.obj", "nan")</f>
        <v>nan</v>
      </c>
      <c r="I1324" s="3" t="str">
        <f>HYPERLINK(AB2 &amp; "/knife/sn_cc38f97557029b2a2b5fd8277662be97/rendering/06.obj", "nan")</f>
        <v>nan</v>
      </c>
      <c r="J1324" s="3" t="str">
        <f>HYPERLINK(AB2 &amp; "/knife/sn_cc38f97557029b2a2b5fd8277662be97/rendering/07.obj", "nan")</f>
        <v>nan</v>
      </c>
      <c r="K1324" s="30" t="str">
        <f>HYPERLINK(AB2 &amp; "/knife/sn_cc38f97557029b2a2b5fd8277662be97/rendering/08.obj", "2.36335510254")</f>
        <v>2.36335510254</v>
      </c>
      <c r="L1324" s="10" t="str">
        <f>HYPERLINK(AB2 &amp; "/knife/sn_cc38f97557029b2a2b5fd8277662be97/rendering/09.obj", "2.24490631104")</f>
        <v>2.24490631104</v>
      </c>
      <c r="M1324" s="46" t="str">
        <f>HYPERLINK(AB2 &amp; "/knife/sn_cc38f97557029b2a2b5fd8277662be97/rendering/10.obj", "2.33535583496")</f>
        <v>2.33535583496</v>
      </c>
      <c r="N1324" s="91" t="str">
        <f>HYPERLINK(AB2 &amp; "/knife/sn_cc38f97557029b2a2b5fd8277662be97/rendering/11.obj", "2.44322937012")</f>
        <v>2.44322937012</v>
      </c>
      <c r="O1324" s="60" t="str">
        <f>HYPERLINK(AB2 &amp; "/knife/sn_cc38f97557029b2a2b5fd8277662be97/rendering/12.obj", "2.2571975708")</f>
        <v>2.2571975708</v>
      </c>
      <c r="P1324" s="48" t="str">
        <f>HYPERLINK(AB2 &amp; "/knife/sn_cc38f97557029b2a2b5fd8277662be97/rendering/13.obj", "2.43249511719")</f>
        <v>2.43249511719</v>
      </c>
      <c r="Q1324" s="69" t="str">
        <f>HYPERLINK(AB2 &amp; "/knife/sn_cc38f97557029b2a2b5fd8277662be97/rendering/14.obj", "2.30945068359")</f>
        <v>2.30945068359</v>
      </c>
      <c r="R1324" s="6" t="str">
        <f>HYPERLINK(AB2 &amp; "/knife/sn_cc38f97557029b2a2b5fd8277662be97/rendering/15.obj", "2.2683895874")</f>
        <v>2.2683895874</v>
      </c>
      <c r="S1324" s="46" t="str">
        <f>HYPERLINK(AB2 &amp; "/knife/sn_cc38f97557029b2a2b5fd8277662be97/rendering/16.obj", "2.41589004517")</f>
        <v>2.41589004517</v>
      </c>
      <c r="T1324" s="19" t="str">
        <f>HYPERLINK(AB2 &amp; "/knife/sn_cc38f97557029b2a2b5fd8277662be97/rendering/17.obj", "2.99647857666")</f>
        <v>2.99647857666</v>
      </c>
      <c r="U1324" s="71" t="str">
        <f>HYPERLINK(AB2 &amp; "/knife/sn_cc38f97557029b2a2b5fd8277662be97/rendering/18.obj", "2.09905578613")</f>
        <v>2.09905578613</v>
      </c>
      <c r="V1324" s="47" t="str">
        <f>HYPERLINK(AB2 &amp; "/knife/sn_cc38f97557029b2a2b5fd8277662be97/rendering/19.obj", "2.35569274902")</f>
        <v>2.35569274902</v>
      </c>
      <c r="W1324" s="12" t="s">
        <v>31</v>
      </c>
      <c r="X1324" s="13">
        <v>2.3767913945515948</v>
      </c>
      <c r="Y1324" s="13">
        <v>0.20827056903416749</v>
      </c>
      <c r="Z1324" s="39">
        <v>8.7626776801529013E-2</v>
      </c>
    </row>
    <row r="1325" spans="1:26" x14ac:dyDescent="0.2">
      <c r="A1325" s="1">
        <v>1323</v>
      </c>
      <c r="B1325" s="2" t="s">
        <v>297</v>
      </c>
      <c r="C1325" s="3" t="str">
        <f>HYPERLINK(AB2 &amp; "/knife/sn_cc38f97557029b2a2b5fd8277662be97/rendering/00.obj", "nan")</f>
        <v>nan</v>
      </c>
      <c r="D1325" s="3" t="str">
        <f>HYPERLINK(AB2 &amp; "/knife/sn_cc38f97557029b2a2b5fd8277662be97/rendering/01.obj", "nan")</f>
        <v>nan</v>
      </c>
      <c r="E1325" s="3" t="str">
        <f>HYPERLINK(AB2 &amp; "/knife/sn_cc38f97557029b2a2b5fd8277662be97/rendering/02.obj", "nan")</f>
        <v>nan</v>
      </c>
      <c r="F1325" s="3" t="str">
        <f>HYPERLINK(AB2 &amp; "/knife/sn_cc38f97557029b2a2b5fd8277662be97/rendering/03.obj", "nan")</f>
        <v>nan</v>
      </c>
      <c r="G1325" s="3" t="str">
        <f>HYPERLINK(AB2 &amp; "/knife/sn_cc38f97557029b2a2b5fd8277662be97/rendering/04.obj", "nan")</f>
        <v>nan</v>
      </c>
      <c r="H1325" s="3" t="str">
        <f>HYPERLINK(AB2 &amp; "/knife/sn_cc38f97557029b2a2b5fd8277662be97/rendering/05.obj", "nan")</f>
        <v>nan</v>
      </c>
      <c r="I1325" s="3" t="str">
        <f>HYPERLINK(AB2 &amp; "/knife/sn_cc38f97557029b2a2b5fd8277662be97/rendering/06.obj", "nan")</f>
        <v>nan</v>
      </c>
      <c r="J1325" s="3" t="str">
        <f>HYPERLINK(AB2 &amp; "/knife/sn_cc38f97557029b2a2b5fd8277662be97/rendering/07.obj", "nan")</f>
        <v>nan</v>
      </c>
      <c r="K1325" s="55" t="str">
        <f>HYPERLINK(AB2 &amp; "/knife/sn_cc38f97557029b2a2b5fd8277662be97/rendering/08.obj", "0.920611977577")</f>
        <v>0.920611977577</v>
      </c>
      <c r="L1325" s="10" t="str">
        <f>HYPERLINK(AB2 &amp; "/knife/sn_cc38f97557029b2a2b5fd8277662be97/rendering/09.obj", "1.07511019707")</f>
        <v>1.07511019707</v>
      </c>
      <c r="M1325" s="38" t="str">
        <f>HYPERLINK(AB2 &amp; "/knife/sn_cc38f97557029b2a2b5fd8277662be97/rendering/10.obj", "1.03608882427")</f>
        <v>1.03608882427</v>
      </c>
      <c r="N1325" s="64" t="str">
        <f>HYPERLINK(AB2 &amp; "/knife/sn_cc38f97557029b2a2b5fd8277662be97/rendering/11.obj", "0.949896991253")</f>
        <v>0.949896991253</v>
      </c>
      <c r="O1325" s="71" t="str">
        <f>HYPERLINK(AB2 &amp; "/knife/sn_cc38f97557029b2a2b5fd8277662be97/rendering/12.obj", "1.27321434021")</f>
        <v>1.27321434021</v>
      </c>
      <c r="P1325" s="13" t="str">
        <f>HYPERLINK(AB2 &amp; "/knife/sn_cc38f97557029b2a2b5fd8277662be97/rendering/13.obj", "1.13701987267")</f>
        <v>1.13701987267</v>
      </c>
      <c r="Q1325" s="88" t="str">
        <f>HYPERLINK(AB2 &amp; "/knife/sn_cc38f97557029b2a2b5fd8277662be97/rendering/14.obj", "0.909099400043")</f>
        <v>0.909099400043</v>
      </c>
      <c r="R1325" s="5" t="str">
        <f>HYPERLINK(AB2 &amp; "/knife/sn_cc38f97557029b2a2b5fd8277662be97/rendering/15.obj", "1.04981017113")</f>
        <v>1.04981017113</v>
      </c>
      <c r="S1325" s="117" t="str">
        <f>HYPERLINK(AB2 &amp; "/knife/sn_cc38f97557029b2a2b5fd8277662be97/rendering/16.obj", "0.93634647131")</f>
        <v>0.93634647131</v>
      </c>
      <c r="T1325" s="20" t="str">
        <f>HYPERLINK(AB2 &amp; "/knife/sn_cc38f97557029b2a2b5fd8277662be97/rendering/17.obj", "2.44477653503")</f>
        <v>2.44477653503</v>
      </c>
      <c r="U1325" s="136" t="str">
        <f>HYPERLINK(AB2 &amp; "/knife/sn_cc38f97557029b2a2b5fd8277662be97/rendering/18.obj", "0.868176281452")</f>
        <v>0.868176281452</v>
      </c>
      <c r="V1325" s="26" t="str">
        <f>HYPERLINK(AB2 &amp; "/knife/sn_cc38f97557029b2a2b5fd8277662be97/rendering/19.obj", "1.06495189667")</f>
        <v>1.06495189667</v>
      </c>
      <c r="W1325" s="12" t="s">
        <v>32</v>
      </c>
      <c r="X1325" s="13">
        <v>1.1387585798899329</v>
      </c>
      <c r="Y1325" s="13">
        <v>0.40844227821362822</v>
      </c>
      <c r="Z1325" s="151">
        <v>0.35867328284201039</v>
      </c>
    </row>
    <row r="1326" spans="1:26" x14ac:dyDescent="0.2">
      <c r="A1326" s="1">
        <v>1324</v>
      </c>
      <c r="B1326" s="2" t="s">
        <v>297</v>
      </c>
      <c r="C1326" s="13" t="str">
        <f>HYPERLINK(AC2 &amp; "/knife/sn_cc38f97557029b2a2b5fd8277662be97/rendering/00.xyz", "0.0")</f>
        <v>0.0</v>
      </c>
      <c r="D1326" s="13" t="str">
        <f>HYPERLINK(AC2 &amp; "/knife/sn_cc38f97557029b2a2b5fd8277662be97/rendering/01.xyz", "0.0")</f>
        <v>0.0</v>
      </c>
      <c r="E1326" s="13" t="str">
        <f>HYPERLINK(AC2 &amp; "/knife/sn_cc38f97557029b2a2b5fd8277662be97/rendering/02.xyz", "0.0")</f>
        <v>0.0</v>
      </c>
      <c r="F1326" s="13" t="str">
        <f>HYPERLINK(AC2 &amp; "/knife/sn_cc38f97557029b2a2b5fd8277662be97/rendering/03.xyz", "0.0")</f>
        <v>0.0</v>
      </c>
      <c r="G1326" s="13" t="str">
        <f>HYPERLINK(AC2 &amp; "/knife/sn_cc38f97557029b2a2b5fd8277662be97/rendering/04.xyz", "0.0")</f>
        <v>0.0</v>
      </c>
      <c r="H1326" s="13" t="str">
        <f>HYPERLINK(AC2 &amp; "/knife/sn_cc38f97557029b2a2b5fd8277662be97/rendering/05.xyz", "0.0")</f>
        <v>0.0</v>
      </c>
      <c r="I1326" s="13" t="str">
        <f>HYPERLINK(AC2 &amp; "/knife/sn_cc38f97557029b2a2b5fd8277662be97/rendering/06.xyz", "0.0")</f>
        <v>0.0</v>
      </c>
      <c r="J1326" s="13" t="str">
        <f>HYPERLINK(AC2 &amp; "/knife/sn_cc38f97557029b2a2b5fd8277662be97/rendering/07.xyz", "0.0")</f>
        <v>0.0</v>
      </c>
      <c r="K1326" s="13" t="str">
        <f>HYPERLINK(AC2 &amp; "/knife/sn_cc38f97557029b2a2b5fd8277662be97/rendering/08.xyz", "0.0")</f>
        <v>0.0</v>
      </c>
      <c r="L1326" s="13" t="str">
        <f>HYPERLINK(AC2 &amp; "/knife/sn_cc38f97557029b2a2b5fd8277662be97/rendering/09.xyz", "0.0")</f>
        <v>0.0</v>
      </c>
      <c r="M1326" s="13" t="str">
        <f>HYPERLINK(AC2 &amp; "/knife/sn_cc38f97557029b2a2b5fd8277662be97/rendering/10.xyz", "0.0")</f>
        <v>0.0</v>
      </c>
      <c r="N1326" s="13" t="str">
        <f>HYPERLINK(AC2 &amp; "/knife/sn_cc38f97557029b2a2b5fd8277662be97/rendering/11.xyz", "0.0")</f>
        <v>0.0</v>
      </c>
      <c r="O1326" s="13" t="str">
        <f>HYPERLINK(AC2 &amp; "/knife/sn_cc38f97557029b2a2b5fd8277662be97/rendering/12.xyz", "0.0")</f>
        <v>0.0</v>
      </c>
      <c r="P1326" s="13" t="str">
        <f>HYPERLINK(AC2 &amp; "/knife/sn_cc38f97557029b2a2b5fd8277662be97/rendering/13.xyz", "0.0")</f>
        <v>0.0</v>
      </c>
      <c r="Q1326" s="13" t="str">
        <f>HYPERLINK(AC2 &amp; "/knife/sn_cc38f97557029b2a2b5fd8277662be97/rendering/14.xyz", "0.0")</f>
        <v>0.0</v>
      </c>
      <c r="R1326" s="13" t="str">
        <f>HYPERLINK(AC2 &amp; "/knife/sn_cc38f97557029b2a2b5fd8277662be97/rendering/15.xyz", "0.0")</f>
        <v>0.0</v>
      </c>
      <c r="S1326" s="13" t="str">
        <f>HYPERLINK(AC2 &amp; "/knife/sn_cc38f97557029b2a2b5fd8277662be97/rendering/16.xyz", "0.0")</f>
        <v>0.0</v>
      </c>
      <c r="T1326" s="13" t="str">
        <f>HYPERLINK(AC2 &amp; "/knife/sn_cc38f97557029b2a2b5fd8277662be97/rendering/17.xyz", "0.0")</f>
        <v>0.0</v>
      </c>
      <c r="U1326" s="13" t="str">
        <f>HYPERLINK(AC2 &amp; "/knife/sn_cc38f97557029b2a2b5fd8277662be97/rendering/18.xyz", "0.0")</f>
        <v>0.0</v>
      </c>
      <c r="V1326" s="13" t="str">
        <f>HYPERLINK(AC2 &amp; "/knife/sn_cc38f97557029b2a2b5fd8277662be97/rendering/19.xyz", "0.0")</f>
        <v>0.0</v>
      </c>
      <c r="W1326" s="12" t="s">
        <v>33</v>
      </c>
      <c r="X1326" s="13">
        <v>0</v>
      </c>
      <c r="Y1326" s="13">
        <v>0</v>
      </c>
      <c r="Z1326" s="13">
        <v>0</v>
      </c>
    </row>
    <row r="1327" spans="1:26" x14ac:dyDescent="0.2">
      <c r="A1327" s="1">
        <v>1325</v>
      </c>
      <c r="B1327" s="2" t="s">
        <v>298</v>
      </c>
      <c r="C1327" s="186" t="str">
        <f>HYPERLINK(AA2 &amp; "/knife/sn_cdd910639f7d9482a32c3eabd9a79b99/rendering/00.obj", "5.17393066406")</f>
        <v>5.17393066406</v>
      </c>
      <c r="D1327" s="95" t="str">
        <f>HYPERLINK(AA2 &amp; "/knife/sn_cdd910639f7d9482a32c3eabd9a79b99/rendering/01.obj", "9.34502075195")</f>
        <v>9.34502075195</v>
      </c>
      <c r="E1327" s="215" t="str">
        <f>HYPERLINK(AA2 &amp; "/knife/sn_cdd910639f7d9482a32c3eabd9a79b99/rendering/02.obj", "4.28777587891")</f>
        <v>4.28777587891</v>
      </c>
      <c r="F1327" s="11" t="str">
        <f>HYPERLINK(AA2 &amp; "/knife/sn_cdd910639f7d9482a32c3eabd9a79b99/rendering/03.obj", "10.0900421143")</f>
        <v>10.0900421143</v>
      </c>
      <c r="G1327" s="20" t="str">
        <f>HYPERLINK(AA2 &amp; "/knife/sn_cdd910639f7d9482a32c3eabd9a79b99/rendering/04.obj", "28.9687182617")</f>
        <v>28.9687182617</v>
      </c>
      <c r="H1327" s="153" t="str">
        <f>HYPERLINK(AA2 &amp; "/knife/sn_cdd910639f7d9482a32c3eabd9a79b99/rendering/05.obj", "17.6493347168")</f>
        <v>17.6493347168</v>
      </c>
      <c r="I1327" s="217" t="str">
        <f>HYPERLINK(AA2 &amp; "/knife/sn_cdd910639f7d9482a32c3eabd9a79b99/rendering/06.obj", "4.76790985107")</f>
        <v>4.76790985107</v>
      </c>
      <c r="J1327" s="176" t="str">
        <f>HYPERLINK(AA2 &amp; "/knife/sn_cdd910639f7d9482a32c3eabd9a79b99/rendering/07.obj", "17.1371472168")</f>
        <v>17.1371472168</v>
      </c>
      <c r="K1327" s="20" t="str">
        <f>HYPERLINK(AA2 &amp; "/knife/sn_cdd910639f7d9482a32c3eabd9a79b99/rendering/08.obj", "24.9655517578")</f>
        <v>24.9655517578</v>
      </c>
      <c r="L1327" s="176" t="str">
        <f>HYPERLINK(AA2 &amp; "/knife/sn_cdd910639f7d9482a32c3eabd9a79b99/rendering/09.obj", "17.1364501953")</f>
        <v>17.1364501953</v>
      </c>
      <c r="M1327" s="99" t="str">
        <f>HYPERLINK(AA2 &amp; "/knife/sn_cdd910639f7d9482a32c3eabd9a79b99/rendering/10.obj", "16.5100366211")</f>
        <v>16.5100366211</v>
      </c>
      <c r="N1327" s="246" t="str">
        <f>HYPERLINK(AA2 &amp; "/knife/sn_cdd910639f7d9482a32c3eabd9a79b99/rendering/11.obj", "5.07901885986")</f>
        <v>5.07901885986</v>
      </c>
      <c r="O1327" s="157" t="str">
        <f>HYPERLINK(AA2 &amp; "/knife/sn_cdd910639f7d9482a32c3eabd9a79b99/rendering/12.obj", "18.3951550293")</f>
        <v>18.3951550293</v>
      </c>
      <c r="P1327" s="67" t="str">
        <f>HYPERLINK(AA2 &amp; "/knife/sn_cdd910639f7d9482a32c3eabd9a79b99/rendering/13.obj", "11.8076049805")</f>
        <v>11.8076049805</v>
      </c>
      <c r="Q1327" s="141" t="str">
        <f>HYPERLINK(AA2 &amp; "/knife/sn_cdd910639f7d9482a32c3eabd9a79b99/rendering/14.obj", "5.8350769043")</f>
        <v>5.8350769043</v>
      </c>
      <c r="R1327" s="250" t="str">
        <f>HYPERLINK(AA2 &amp; "/knife/sn_cdd910639f7d9482a32c3eabd9a79b99/rendering/15.obj", "4.08904022217")</f>
        <v>4.08904022217</v>
      </c>
      <c r="S1327" s="20" t="str">
        <f>HYPERLINK(AA2 &amp; "/knife/sn_cdd910639f7d9482a32c3eabd9a79b99/rendering/16.obj", "38.6278710938")</f>
        <v>38.6278710938</v>
      </c>
      <c r="T1327" s="165" t="str">
        <f>HYPERLINK(AA2 &amp; "/knife/sn_cdd910639f7d9482a32c3eabd9a79b99/rendering/17.obj", "4.00139587402")</f>
        <v>4.00139587402</v>
      </c>
      <c r="U1327" s="231" t="str">
        <f>HYPERLINK(AA2 &amp; "/knife/sn_cdd910639f7d9482a32c3eabd9a79b99/rendering/18.obj", "5.53328063965")</f>
        <v>5.53328063965</v>
      </c>
      <c r="V1327" s="134" t="str">
        <f>HYPERLINK(AA2 &amp; "/knife/sn_cdd910639f7d9482a32c3eabd9a79b99/rendering/19.obj", "10.6386621094")</f>
        <v>10.6386621094</v>
      </c>
      <c r="W1327" s="12" t="s">
        <v>29</v>
      </c>
      <c r="X1327" s="13">
        <v>13.001951187133789</v>
      </c>
      <c r="Y1327" s="13">
        <v>9.2633273742118334</v>
      </c>
      <c r="Z1327" s="257">
        <v>0.71245671060344018</v>
      </c>
    </row>
    <row r="1328" spans="1:26" x14ac:dyDescent="0.2">
      <c r="A1328" s="1">
        <v>1326</v>
      </c>
      <c r="B1328" s="2" t="s">
        <v>298</v>
      </c>
      <c r="C1328" s="20" t="str">
        <f>HYPERLINK(AA2 &amp; "/knife/sn_cdd910639f7d9482a32c3eabd9a79b99/rendering/00.obj", "8.53182697296")</f>
        <v>8.53182697296</v>
      </c>
      <c r="D1328" s="184" t="str">
        <f>HYPERLINK(AA2 &amp; "/knife/sn_cdd910639f7d9482a32c3eabd9a79b99/rendering/01.obj", "11.4194478989")</f>
        <v>11.4194478989</v>
      </c>
      <c r="E1328" s="20" t="str">
        <f>HYPERLINK(AA2 &amp; "/knife/sn_cdd910639f7d9482a32c3eabd9a79b99/rendering/02.obj", "4.6102013588")</f>
        <v>4.6102013588</v>
      </c>
      <c r="F1328" s="140" t="str">
        <f>HYPERLINK(AA2 &amp; "/knife/sn_cdd910639f7d9482a32c3eabd9a79b99/rendering/03.obj", "28.277513504")</f>
        <v>28.277513504</v>
      </c>
      <c r="G1328" s="20" t="str">
        <f>HYPERLINK(AA2 &amp; "/knife/sn_cdd910639f7d9482a32c3eabd9a79b99/rendering/04.obj", "142.828460693")</f>
        <v>142.828460693</v>
      </c>
      <c r="H1328" s="133" t="str">
        <f>HYPERLINK(AA2 &amp; "/knife/sn_cdd910639f7d9482a32c3eabd9a79b99/rendering/05.obj", "38.9873199463")</f>
        <v>38.9873199463</v>
      </c>
      <c r="I1328" s="20" t="str">
        <f>HYPERLINK(AA2 &amp; "/knife/sn_cdd910639f7d9482a32c3eabd9a79b99/rendering/06.obj", "3.27128052711")</f>
        <v>3.27128052711</v>
      </c>
      <c r="J1328" s="83" t="str">
        <f>HYPERLINK(AA2 &amp; "/knife/sn_cdd910639f7d9482a32c3eabd9a79b99/rendering/07.obj", "36.812789917")</f>
        <v>36.812789917</v>
      </c>
      <c r="K1328" s="20" t="str">
        <f>HYPERLINK(AA2 &amp; "/knife/sn_cdd910639f7d9482a32c3eabd9a79b99/rendering/08.obj", "99.350112915")</f>
        <v>99.350112915</v>
      </c>
      <c r="L1328" s="236" t="str">
        <f>HYPERLINK(AA2 &amp; "/knife/sn_cdd910639f7d9482a32c3eabd9a79b99/rendering/09.obj", "75.4244689941")</f>
        <v>75.4244689941</v>
      </c>
      <c r="M1328" s="4" t="str">
        <f>HYPERLINK(AA2 &amp; "/knife/sn_cdd910639f7d9482a32c3eabd9a79b99/rendering/10.obj", "31.0286865234")</f>
        <v>31.0286865234</v>
      </c>
      <c r="N1328" s="20" t="str">
        <f>HYPERLINK(AA2 &amp; "/knife/sn_cdd910639f7d9482a32c3eabd9a79b99/rendering/11.obj", "4.66209077835")</f>
        <v>4.66209077835</v>
      </c>
      <c r="O1328" s="31" t="str">
        <f>HYPERLINK(AA2 &amp; "/knife/sn_cdd910639f7d9482a32c3eabd9a79b99/rendering/12.obj", "50.1433906555")</f>
        <v>50.1433906555</v>
      </c>
      <c r="P1328" s="194" t="str">
        <f>HYPERLINK(AA2 &amp; "/knife/sn_cdd910639f7d9482a32c3eabd9a79b99/rendering/13.obj", "16.3550167084")</f>
        <v>16.3550167084</v>
      </c>
      <c r="Q1328" s="20" t="str">
        <f>HYPERLINK(AA2 &amp; "/knife/sn_cdd910639f7d9482a32c3eabd9a79b99/rendering/14.obj", "7.42328119278")</f>
        <v>7.42328119278</v>
      </c>
      <c r="R1328" s="20" t="str">
        <f>HYPERLINK(AA2 &amp; "/knife/sn_cdd910639f7d9482a32c3eabd9a79b99/rendering/15.obj", "3.88941836357")</f>
        <v>3.88941836357</v>
      </c>
      <c r="S1328" s="20" t="str">
        <f>HYPERLINK(AA2 &amp; "/knife/sn_cdd910639f7d9482a32c3eabd9a79b99/rendering/16.obj", "266.95401001")</f>
        <v>266.95401001</v>
      </c>
      <c r="T1328" s="20" t="str">
        <f>HYPERLINK(AA2 &amp; "/knife/sn_cdd910639f7d9482a32c3eabd9a79b99/rendering/17.obj", "4.3643245697")</f>
        <v>4.3643245697</v>
      </c>
      <c r="U1328" s="20" t="str">
        <f>HYPERLINK(AA2 &amp; "/knife/sn_cdd910639f7d9482a32c3eabd9a79b99/rendering/18.obj", "6.41138839722")</f>
        <v>6.41138839722</v>
      </c>
      <c r="V1328" s="198" t="str">
        <f>HYPERLINK(AA2 &amp; "/knife/sn_cdd910639f7d9482a32c3eabd9a79b99/rendering/19.obj", "26.5939254761")</f>
        <v>26.5939254761</v>
      </c>
      <c r="W1328" s="12" t="s">
        <v>30</v>
      </c>
      <c r="X1328" s="13">
        <v>43.366947770118713</v>
      </c>
      <c r="Y1328" s="13">
        <v>62.499523944337817</v>
      </c>
      <c r="Z1328" s="20">
        <v>1.4411787584322939</v>
      </c>
    </row>
    <row r="1329" spans="1:26" x14ac:dyDescent="0.2">
      <c r="A1329" s="1">
        <v>1327</v>
      </c>
      <c r="B1329" s="2" t="s">
        <v>298</v>
      </c>
      <c r="C1329" s="57" t="str">
        <f>HYPERLINK(AB2 &amp; "/knife/sn_cdd910639f7d9482a32c3eabd9a79b99/rendering/00.obj", "3.43817382813")</f>
        <v>3.43817382813</v>
      </c>
      <c r="D1329" s="67" t="str">
        <f>HYPERLINK(AB2 &amp; "/knife/sn_cdd910639f7d9482a32c3eabd9a79b99/rendering/01.obj", "5.4792755127")</f>
        <v>5.4792755127</v>
      </c>
      <c r="E1329" s="227" t="str">
        <f>HYPERLINK(AB2 &amp; "/knife/sn_cdd910639f7d9482a32c3eabd9a79b99/rendering/02.obj", "7.58338134766")</f>
        <v>7.58338134766</v>
      </c>
      <c r="F1329" s="83" t="str">
        <f>HYPERLINK(AB2 &amp; "/knife/sn_cdd910639f7d9482a32c3eabd9a79b99/rendering/03.obj", "4.2587701416")</f>
        <v>4.2587701416</v>
      </c>
      <c r="G1329" s="48" t="str">
        <f>HYPERLINK(AB2 &amp; "/knife/sn_cdd910639f7d9482a32c3eabd9a79b99/rendering/04.obj", "5.14145690918")</f>
        <v>5.14145690918</v>
      </c>
      <c r="H1329" s="213" t="str">
        <f>HYPERLINK(AB2 &amp; "/knife/sn_cdd910639f7d9482a32c3eabd9a79b99/rendering/05.obj", "7.49678894043")</f>
        <v>7.49678894043</v>
      </c>
      <c r="I1329" s="58" t="str">
        <f>HYPERLINK(AB2 &amp; "/knife/sn_cdd910639f7d9482a32c3eabd9a79b99/rendering/06.obj", "3.80133148193")</f>
        <v>3.80133148193</v>
      </c>
      <c r="J1329" s="89" t="str">
        <f>HYPERLINK(AB2 &amp; "/knife/sn_cdd910639f7d9482a32c3eabd9a79b99/rendering/07.obj", "6.31954589844")</f>
        <v>6.31954589844</v>
      </c>
      <c r="K1329" s="109" t="str">
        <f>HYPERLINK(AB2 &amp; "/knife/sn_cdd910639f7d9482a32c3eabd9a79b99/rendering/08.obj", "4.0690612793")</f>
        <v>4.0690612793</v>
      </c>
      <c r="L1329" s="7" t="str">
        <f>HYPERLINK(AB2 &amp; "/knife/sn_cdd910639f7d9482a32c3eabd9a79b99/rendering/09.obj", "3.62187469482")</f>
        <v>3.62187469482</v>
      </c>
      <c r="M1329" s="42" t="str">
        <f>HYPERLINK(AB2 &amp; "/knife/sn_cdd910639f7d9482a32c3eabd9a79b99/rendering/10.obj", "4.34109527588")</f>
        <v>4.34109527588</v>
      </c>
      <c r="N1329" s="171" t="str">
        <f>HYPERLINK(AB2 &amp; "/knife/sn_cdd910639f7d9482a32c3eabd9a79b99/rendering/11.obj", "3.48646118164")</f>
        <v>3.48646118164</v>
      </c>
      <c r="O1329" s="90" t="str">
        <f>HYPERLINK(AB2 &amp; "/knife/sn_cdd910639f7d9482a32c3eabd9a79b99/rendering/12.obj", "5.50908203125")</f>
        <v>5.50908203125</v>
      </c>
      <c r="P1329" s="58" t="str">
        <f>HYPERLINK(AB2 &amp; "/knife/sn_cdd910639f7d9482a32c3eabd9a79b99/rendering/13.obj", "6.23637695313")</f>
        <v>6.23637695313</v>
      </c>
      <c r="Q1329" s="87" t="str">
        <f>HYPERLINK(AB2 &amp; "/knife/sn_cdd910639f7d9482a32c3eabd9a79b99/rendering/14.obj", "3.88302246094")</f>
        <v>3.88302246094</v>
      </c>
      <c r="R1329" s="17" t="str">
        <f>HYPERLINK(AB2 &amp; "/knife/sn_cdd910639f7d9482a32c3eabd9a79b99/rendering/15.obj", "5.11752532959")</f>
        <v>5.11752532959</v>
      </c>
      <c r="S1329" s="70" t="str">
        <f>HYPERLINK(AB2 &amp; "/knife/sn_cdd910639f7d9482a32c3eabd9a79b99/rendering/16.obj", "5.65981201172")</f>
        <v>5.65981201172</v>
      </c>
      <c r="T1329" s="101" t="str">
        <f>HYPERLINK(AB2 &amp; "/knife/sn_cdd910639f7d9482a32c3eabd9a79b99/rendering/17.obj", "6.91930786133")</f>
        <v>6.91930786133</v>
      </c>
      <c r="U1329" s="86" t="str">
        <f>HYPERLINK(AB2 &amp; "/knife/sn_cdd910639f7d9482a32c3eabd9a79b99/rendering/18.obj", "3.67508087158")</f>
        <v>3.67508087158</v>
      </c>
      <c r="V1329" s="92" t="str">
        <f>HYPERLINK(AB2 &amp; "/knife/sn_cdd910639f7d9482a32c3eabd9a79b99/rendering/19.obj", "4.39688446045")</f>
        <v>4.39688446045</v>
      </c>
      <c r="W1329" s="12" t="s">
        <v>31</v>
      </c>
      <c r="X1329" s="13">
        <v>5.0217154235839843</v>
      </c>
      <c r="Y1329" s="13">
        <v>1.3056254619566969</v>
      </c>
      <c r="Z1329" s="89">
        <v>0.25999590813628298</v>
      </c>
    </row>
    <row r="1330" spans="1:26" x14ac:dyDescent="0.2">
      <c r="A1330" s="1">
        <v>1328</v>
      </c>
      <c r="B1330" s="2" t="s">
        <v>298</v>
      </c>
      <c r="C1330" s="167" t="str">
        <f>HYPERLINK(AB2 &amp; "/knife/sn_cdd910639f7d9482a32c3eabd9a79b99/rendering/00.obj", "2.73235440254")</f>
        <v>2.73235440254</v>
      </c>
      <c r="D1330" s="105" t="str">
        <f>HYPERLINK(AB2 &amp; "/knife/sn_cdd910639f7d9482a32c3eabd9a79b99/rendering/01.obj", "10.4501838684")</f>
        <v>10.4501838684</v>
      </c>
      <c r="E1330" s="20" t="str">
        <f>HYPERLINK(AB2 &amp; "/knife/sn_cdd910639f7d9482a32c3eabd9a79b99/rendering/02.obj", "18.5065746307")</f>
        <v>18.5065746307</v>
      </c>
      <c r="F1330" s="141" t="str">
        <f>HYPERLINK(AB2 &amp; "/knife/sn_cdd910639f7d9482a32c3eabd9a79b99/rendering/03.obj", "3.11390185356")</f>
        <v>3.11390185356</v>
      </c>
      <c r="G1330" s="141" t="str">
        <f>HYPERLINK(AB2 &amp; "/knife/sn_cdd910639f7d9482a32c3eabd9a79b99/rendering/04.obj", "3.11186075211")</f>
        <v>3.11186075211</v>
      </c>
      <c r="H1330" s="20" t="str">
        <f>HYPERLINK(AB2 &amp; "/knife/sn_cdd910639f7d9482a32c3eabd9a79b99/rendering/05.obj", "13.5994653702")</f>
        <v>13.5994653702</v>
      </c>
      <c r="I1330" s="235" t="str">
        <f>HYPERLINK(AB2 &amp; "/knife/sn_cdd910639f7d9482a32c3eabd9a79b99/rendering/06.obj", "3.17963218689")</f>
        <v>3.17963218689</v>
      </c>
      <c r="J1330" s="20" t="str">
        <f>HYPERLINK(AB2 &amp; "/knife/sn_cdd910639f7d9482a32c3eabd9a79b99/rendering/07.obj", "13.0578947067")</f>
        <v>13.0578947067</v>
      </c>
      <c r="K1330" s="130" t="str">
        <f>HYPERLINK(AB2 &amp; "/knife/sn_cdd910639f7d9482a32c3eabd9a79b99/rendering/08.obj", "3.79562401772")</f>
        <v>3.79562401772</v>
      </c>
      <c r="L1330" s="167" t="str">
        <f>HYPERLINK(AB2 &amp; "/knife/sn_cdd910639f7d9482a32c3eabd9a79b99/rendering/09.obj", "2.74031114578")</f>
        <v>2.74031114578</v>
      </c>
      <c r="M1330" s="128" t="str">
        <f>HYPERLINK(AB2 &amp; "/knife/sn_cdd910639f7d9482a32c3eabd9a79b99/rendering/10.obj", "4.22263050079")</f>
        <v>4.22263050079</v>
      </c>
      <c r="N1330" s="195" t="str">
        <f>HYPERLINK(AB2 &amp; "/knife/sn_cdd910639f7d9482a32c3eabd9a79b99/rendering/11.obj", "3.12802124023")</f>
        <v>3.12802124023</v>
      </c>
      <c r="O1330" s="53" t="str">
        <f>HYPERLINK(AB2 &amp; "/knife/sn_cdd910639f7d9482a32c3eabd9a79b99/rendering/12.obj", "4.07068824768")</f>
        <v>4.07068824768</v>
      </c>
      <c r="P1330" s="20" t="str">
        <f>HYPERLINK(AB2 &amp; "/knife/sn_cdd910639f7d9482a32c3eabd9a79b99/rendering/13.obj", "13.4368715286")</f>
        <v>13.4368715286</v>
      </c>
      <c r="Q1330" s="142" t="str">
        <f>HYPERLINK(AB2 &amp; "/knife/sn_cdd910639f7d9482a32c3eabd9a79b99/rendering/14.obj", "4.18660545349")</f>
        <v>4.18660545349</v>
      </c>
      <c r="R1330" s="11" t="str">
        <f>HYPERLINK(AB2 &amp; "/knife/sn_cdd910639f7d9482a32c3eabd9a79b99/rendering/15.obj", "8.47040176392")</f>
        <v>8.47040176392</v>
      </c>
      <c r="S1330" s="161" t="str">
        <f>HYPERLINK(AB2 &amp; "/knife/sn_cdd910639f7d9482a32c3eabd9a79b99/rendering/16.obj", "2.85872077942")</f>
        <v>2.85872077942</v>
      </c>
      <c r="T1330" s="20" t="str">
        <f>HYPERLINK(AB2 &amp; "/knife/sn_cdd910639f7d9482a32c3eabd9a79b99/rendering/17.obj", "16.1678924561")</f>
        <v>16.1678924561</v>
      </c>
      <c r="U1330" s="126" t="str">
        <f>HYPERLINK(AB2 &amp; "/knife/sn_cdd910639f7d9482a32c3eabd9a79b99/rendering/18.obj", "3.4551346302")</f>
        <v>3.4551346302</v>
      </c>
      <c r="V1330" s="162" t="str">
        <f>HYPERLINK(AB2 &amp; "/knife/sn_cdd910639f7d9482a32c3eabd9a79b99/rendering/19.obj", "3.96618413925")</f>
        <v>3.96618413925</v>
      </c>
      <c r="W1330" s="12" t="s">
        <v>32</v>
      </c>
      <c r="X1330" s="13">
        <v>6.91254768371582</v>
      </c>
      <c r="Y1330" s="13">
        <v>5.1069143298131694</v>
      </c>
      <c r="Z1330" s="236">
        <v>0.73878902012404801</v>
      </c>
    </row>
    <row r="1331" spans="1:26" x14ac:dyDescent="0.2">
      <c r="A1331" s="1">
        <v>1329</v>
      </c>
      <c r="B1331" s="2" t="s">
        <v>298</v>
      </c>
      <c r="C1331" s="13" t="str">
        <f>HYPERLINK(AC2 &amp; "/knife/sn_cdd910639f7d9482a32c3eabd9a79b99/rendering/00.xyz", "0.0")</f>
        <v>0.0</v>
      </c>
      <c r="D1331" s="13" t="str">
        <f>HYPERLINK(AC2 &amp; "/knife/sn_cdd910639f7d9482a32c3eabd9a79b99/rendering/01.xyz", "0.0")</f>
        <v>0.0</v>
      </c>
      <c r="E1331" s="13" t="str">
        <f>HYPERLINK(AC2 &amp; "/knife/sn_cdd910639f7d9482a32c3eabd9a79b99/rendering/02.xyz", "0.0")</f>
        <v>0.0</v>
      </c>
      <c r="F1331" s="13" t="str">
        <f>HYPERLINK(AC2 &amp; "/knife/sn_cdd910639f7d9482a32c3eabd9a79b99/rendering/03.xyz", "0.0")</f>
        <v>0.0</v>
      </c>
      <c r="G1331" s="13" t="str">
        <f>HYPERLINK(AC2 &amp; "/knife/sn_cdd910639f7d9482a32c3eabd9a79b99/rendering/04.xyz", "0.0")</f>
        <v>0.0</v>
      </c>
      <c r="H1331" s="13" t="str">
        <f>HYPERLINK(AC2 &amp; "/knife/sn_cdd910639f7d9482a32c3eabd9a79b99/rendering/05.xyz", "0.0")</f>
        <v>0.0</v>
      </c>
      <c r="I1331" s="13" t="str">
        <f>HYPERLINK(AC2 &amp; "/knife/sn_cdd910639f7d9482a32c3eabd9a79b99/rendering/06.xyz", "0.0")</f>
        <v>0.0</v>
      </c>
      <c r="J1331" s="13" t="str">
        <f>HYPERLINK(AC2 &amp; "/knife/sn_cdd910639f7d9482a32c3eabd9a79b99/rendering/07.xyz", "0.0")</f>
        <v>0.0</v>
      </c>
      <c r="K1331" s="13" t="str">
        <f>HYPERLINK(AC2 &amp; "/knife/sn_cdd910639f7d9482a32c3eabd9a79b99/rendering/08.xyz", "0.0")</f>
        <v>0.0</v>
      </c>
      <c r="L1331" s="13" t="str">
        <f>HYPERLINK(AC2 &amp; "/knife/sn_cdd910639f7d9482a32c3eabd9a79b99/rendering/09.xyz", "0.0")</f>
        <v>0.0</v>
      </c>
      <c r="M1331" s="13" t="str">
        <f>HYPERLINK(AC2 &amp; "/knife/sn_cdd910639f7d9482a32c3eabd9a79b99/rendering/10.xyz", "0.0")</f>
        <v>0.0</v>
      </c>
      <c r="N1331" s="13" t="str">
        <f>HYPERLINK(AC2 &amp; "/knife/sn_cdd910639f7d9482a32c3eabd9a79b99/rendering/11.xyz", "0.0")</f>
        <v>0.0</v>
      </c>
      <c r="O1331" s="13" t="str">
        <f>HYPERLINK(AC2 &amp; "/knife/sn_cdd910639f7d9482a32c3eabd9a79b99/rendering/12.xyz", "0.0")</f>
        <v>0.0</v>
      </c>
      <c r="P1331" s="13" t="str">
        <f>HYPERLINK(AC2 &amp; "/knife/sn_cdd910639f7d9482a32c3eabd9a79b99/rendering/13.xyz", "0.0")</f>
        <v>0.0</v>
      </c>
      <c r="Q1331" s="13" t="str">
        <f>HYPERLINK(AC2 &amp; "/knife/sn_cdd910639f7d9482a32c3eabd9a79b99/rendering/14.xyz", "0.0")</f>
        <v>0.0</v>
      </c>
      <c r="R1331" s="13" t="str">
        <f>HYPERLINK(AC2 &amp; "/knife/sn_cdd910639f7d9482a32c3eabd9a79b99/rendering/15.xyz", "0.0")</f>
        <v>0.0</v>
      </c>
      <c r="S1331" s="13" t="str">
        <f>HYPERLINK(AC2 &amp; "/knife/sn_cdd910639f7d9482a32c3eabd9a79b99/rendering/16.xyz", "0.0")</f>
        <v>0.0</v>
      </c>
      <c r="T1331" s="13" t="str">
        <f>HYPERLINK(AC2 &amp; "/knife/sn_cdd910639f7d9482a32c3eabd9a79b99/rendering/17.xyz", "0.0")</f>
        <v>0.0</v>
      </c>
      <c r="U1331" s="13" t="str">
        <f>HYPERLINK(AC2 &amp; "/knife/sn_cdd910639f7d9482a32c3eabd9a79b99/rendering/18.xyz", "0.0")</f>
        <v>0.0</v>
      </c>
      <c r="V1331" s="13" t="str">
        <f>HYPERLINK(AC2 &amp; "/knife/sn_cdd910639f7d9482a32c3eabd9a79b99/rendering/19.xyz", "0.0")</f>
        <v>0.0</v>
      </c>
      <c r="W1331" s="12" t="s">
        <v>33</v>
      </c>
      <c r="X1331" s="13">
        <v>0</v>
      </c>
      <c r="Y1331" s="13">
        <v>0</v>
      </c>
      <c r="Z1331" s="13">
        <v>0</v>
      </c>
    </row>
    <row r="1332" spans="1:26" x14ac:dyDescent="0.2">
      <c r="A1332" s="1">
        <v>1330</v>
      </c>
      <c r="B1332" s="2" t="s">
        <v>299</v>
      </c>
      <c r="C1332" s="7" t="str">
        <f>HYPERLINK(AA2 &amp; "/knife/sn_ceeb38ab7929361e76ec14627bf6bbcb/rendering/00.obj", "4.9063949585")</f>
        <v>4.9063949585</v>
      </c>
      <c r="D1332" s="153" t="str">
        <f>HYPERLINK(AA2 &amp; "/knife/sn_ceeb38ab7929361e76ec14627bf6bbcb/rendering/01.obj", "4.37660308838")</f>
        <v>4.37660308838</v>
      </c>
      <c r="E1332" s="143" t="str">
        <f>HYPERLINK(AA2 &amp; "/knife/sn_ceeb38ab7929361e76ec14627bf6bbcb/rendering/02.obj", "3.59617828369")</f>
        <v>3.59617828369</v>
      </c>
      <c r="F1332" s="191" t="str">
        <f>HYPERLINK(AA2 &amp; "/knife/sn_ceeb38ab7929361e76ec14627bf6bbcb/rendering/03.obj", "3.71518585205")</f>
        <v>3.71518585205</v>
      </c>
      <c r="G1332" s="20" t="str">
        <f>HYPERLINK(AA2 &amp; "/knife/sn_ceeb38ab7929361e76ec14627bf6bbcb/rendering/04.obj", "19.8925708008")</f>
        <v>19.8925708008</v>
      </c>
      <c r="H1332" s="150" t="str">
        <f>HYPERLINK(AA2 &amp; "/knife/sn_ceeb38ab7929361e76ec14627bf6bbcb/rendering/05.obj", "3.13638122559")</f>
        <v>3.13638122559</v>
      </c>
      <c r="I1332" s="57" t="str">
        <f>HYPERLINK(AA2 &amp; "/knife/sn_ceeb38ab7929361e76ec14627bf6bbcb/rendering/06.obj", "8.93206420898")</f>
        <v>8.93206420898</v>
      </c>
      <c r="J1332" s="59" t="str">
        <f>HYPERLINK(AA2 &amp; "/knife/sn_ceeb38ab7929361e76ec14627bf6bbcb/rendering/07.obj", "8.4376751709")</f>
        <v>8.4376751709</v>
      </c>
      <c r="K1332" s="123" t="str">
        <f>HYPERLINK(AA2 &amp; "/knife/sn_ceeb38ab7929361e76ec14627bf6bbcb/rendering/08.obj", "4.28380859375")</f>
        <v>4.28380859375</v>
      </c>
      <c r="L1332" s="150" t="str">
        <f>HYPERLINK(AA2 &amp; "/knife/sn_ceeb38ab7929361e76ec14627bf6bbcb/rendering/09.obj", "3.13123779297")</f>
        <v>3.13123779297</v>
      </c>
      <c r="M1332" s="20" t="str">
        <f>HYPERLINK(AA2 &amp; "/knife/sn_ceeb38ab7929361e76ec14627bf6bbcb/rendering/10.obj", "23.2352514648")</f>
        <v>23.2352514648</v>
      </c>
      <c r="N1332" s="51" t="str">
        <f>HYPERLINK(AA2 &amp; "/knife/sn_ceeb38ab7929361e76ec14627bf6bbcb/rendering/11.obj", "7.33201660156")</f>
        <v>7.33201660156</v>
      </c>
      <c r="O1332" s="100" t="str">
        <f>HYPERLINK(AA2 &amp; "/knife/sn_ceeb38ab7929361e76ec14627bf6bbcb/rendering/12.obj", "4.761796875")</f>
        <v>4.761796875</v>
      </c>
      <c r="P1332" s="145" t="str">
        <f>HYPERLINK(AA2 &amp; "/knife/sn_ceeb38ab7929361e76ec14627bf6bbcb/rendering/13.obj", "10.1447399902")</f>
        <v>10.1447399902</v>
      </c>
      <c r="Q1332" s="162" t="str">
        <f>HYPERLINK(AA2 &amp; "/knife/sn_ceeb38ab7929361e76ec14627bf6bbcb/rendering/14.obj", "3.91309753418")</f>
        <v>3.91309753418</v>
      </c>
      <c r="R1332" s="196" t="str">
        <f>HYPERLINK(AA2 &amp; "/knife/sn_ceeb38ab7929361e76ec14627bf6bbcb/rendering/15.obj", "4.10239379883")</f>
        <v>4.10239379883</v>
      </c>
      <c r="S1332" s="107" t="str">
        <f>HYPERLINK(AA2 &amp; "/knife/sn_ceeb38ab7929361e76ec14627bf6bbcb/rendering/16.obj", "6.2398638916")</f>
        <v>6.2398638916</v>
      </c>
      <c r="T1332" s="203" t="str">
        <f>HYPERLINK(AA2 &amp; "/knife/sn_ceeb38ab7929361e76ec14627bf6bbcb/rendering/17.obj", "3.6201751709")</f>
        <v>3.6201751709</v>
      </c>
      <c r="U1332" s="114" t="str">
        <f>HYPERLINK(AA2 &amp; "/knife/sn_ceeb38ab7929361e76ec14627bf6bbcb/rendering/18.obj", "3.67337280273")</f>
        <v>3.67337280273</v>
      </c>
      <c r="V1332" s="182" t="str">
        <f>HYPERLINK(AA2 &amp; "/knife/sn_ceeb38ab7929361e76ec14627bf6bbcb/rendering/19.obj", "4.52483123779")</f>
        <v>4.52483123779</v>
      </c>
      <c r="W1332" s="12" t="s">
        <v>29</v>
      </c>
      <c r="X1332" s="13">
        <v>6.7977819671630852</v>
      </c>
      <c r="Y1332" s="13">
        <v>5.3283481300492186</v>
      </c>
      <c r="Z1332" s="232">
        <v>0.78383628009665274</v>
      </c>
    </row>
    <row r="1333" spans="1:26" x14ac:dyDescent="0.2">
      <c r="A1333" s="1">
        <v>1331</v>
      </c>
      <c r="B1333" s="2" t="s">
        <v>299</v>
      </c>
      <c r="C1333" s="195" t="str">
        <f>HYPERLINK(AA2 &amp; "/knife/sn_ceeb38ab7929361e76ec14627bf6bbcb/rendering/00.obj", "4.90749502182")</f>
        <v>4.90749502182</v>
      </c>
      <c r="D1333" s="20" t="str">
        <f>HYPERLINK(AA2 &amp; "/knife/sn_ceeb38ab7929361e76ec14627bf6bbcb/rendering/01.obj", "1.37801110744")</f>
        <v>1.37801110744</v>
      </c>
      <c r="E1333" s="20" t="str">
        <f>HYPERLINK(AA2 &amp; "/knife/sn_ceeb38ab7929361e76ec14627bf6bbcb/rendering/02.obj", "1.45852279663")</f>
        <v>1.45852279663</v>
      </c>
      <c r="F1333" s="20" t="str">
        <f>HYPERLINK(AA2 &amp; "/knife/sn_ceeb38ab7929361e76ec14627bf6bbcb/rendering/03.obj", "1.22928285599")</f>
        <v>1.22928285599</v>
      </c>
      <c r="G1333" s="20" t="str">
        <f>HYPERLINK(AA2 &amp; "/knife/sn_ceeb38ab7929361e76ec14627bf6bbcb/rendering/04.obj", "53.767326355")</f>
        <v>53.767326355</v>
      </c>
      <c r="H1333" s="20" t="str">
        <f>HYPERLINK(AA2 &amp; "/knife/sn_ceeb38ab7929361e76ec14627bf6bbcb/rendering/05.obj", "1.23677265644")</f>
        <v>1.23677265644</v>
      </c>
      <c r="I1333" s="177" t="str">
        <f>HYPERLINK(AA2 &amp; "/knife/sn_ceeb38ab7929361e76ec14627bf6bbcb/rendering/06.obj", "5.04572868347")</f>
        <v>5.04572868347</v>
      </c>
      <c r="J1333" s="248" t="str">
        <f>HYPERLINK(AA2 &amp; "/knife/sn_ceeb38ab7929361e76ec14627bf6bbcb/rendering/07.obj", "17.95520401")</f>
        <v>17.95520401</v>
      </c>
      <c r="K1333" s="209" t="str">
        <f>HYPERLINK(AA2 &amp; "/knife/sn_ceeb38ab7929361e76ec14627bf6bbcb/rendering/08.obj", "2.63474035263")</f>
        <v>2.63474035263</v>
      </c>
      <c r="L1333" s="20" t="str">
        <f>HYPERLINK(AA2 &amp; "/knife/sn_ceeb38ab7929361e76ec14627bf6bbcb/rendering/09.obj", "1.12038505077")</f>
        <v>1.12038505077</v>
      </c>
      <c r="M1333" s="20" t="str">
        <f>HYPERLINK(AA2 &amp; "/knife/sn_ceeb38ab7929361e76ec14627bf6bbcb/rendering/10.obj", "80.1513214111")</f>
        <v>80.1513214111</v>
      </c>
      <c r="N1333" s="37" t="str">
        <f>HYPERLINK(AA2 &amp; "/knife/sn_ceeb38ab7929361e76ec14627bf6bbcb/rendering/11.obj", "12.6939172745")</f>
        <v>12.6939172745</v>
      </c>
      <c r="O1333" s="112" t="str">
        <f>HYPERLINK(AA2 &amp; "/knife/sn_ceeb38ab7929361e76ec14627bf6bbcb/rendering/12.obj", "4.37623929977")</f>
        <v>4.37623929977</v>
      </c>
      <c r="P1333" s="50" t="str">
        <f>HYPERLINK(AA2 &amp; "/knife/sn_ceeb38ab7929361e76ec14627bf6bbcb/rendering/13.obj", "8.6652173996")</f>
        <v>8.6652173996</v>
      </c>
      <c r="Q1333" s="20" t="str">
        <f>HYPERLINK(AA2 &amp; "/knife/sn_ceeb38ab7929361e76ec14627bf6bbcb/rendering/14.obj", "1.59931945801")</f>
        <v>1.59931945801</v>
      </c>
      <c r="R1333" s="20" t="str">
        <f>HYPERLINK(AA2 &amp; "/knife/sn_ceeb38ab7929361e76ec14627bf6bbcb/rendering/15.obj", "1.75725626945")</f>
        <v>1.75725626945</v>
      </c>
      <c r="S1333" s="13" t="str">
        <f>HYPERLINK(AA2 &amp; "/knife/sn_ceeb38ab7929361e76ec14627bf6bbcb/rendering/16.obj", "10.8440475464")</f>
        <v>10.8440475464</v>
      </c>
      <c r="T1333" s="20" t="str">
        <f>HYPERLINK(AA2 &amp; "/knife/sn_ceeb38ab7929361e76ec14627bf6bbcb/rendering/17.obj", "1.46600592136")</f>
        <v>1.46600592136</v>
      </c>
      <c r="U1333" s="20" t="str">
        <f>HYPERLINK(AA2 &amp; "/knife/sn_ceeb38ab7929361e76ec14627bf6bbcb/rendering/18.obj", "1.51125478745")</f>
        <v>1.51125478745</v>
      </c>
      <c r="V1333" s="209" t="str">
        <f>HYPERLINK(AA2 &amp; "/knife/sn_ceeb38ab7929361e76ec14627bf6bbcb/rendering/19.obj", "2.63817405701")</f>
        <v>2.63817405701</v>
      </c>
      <c r="W1333" s="12" t="s">
        <v>30</v>
      </c>
      <c r="X1333" s="13">
        <v>10.821811115741729</v>
      </c>
      <c r="Y1333" s="13">
        <v>19.68518384205808</v>
      </c>
      <c r="Z1333" s="20">
        <v>1.819028592489794</v>
      </c>
    </row>
    <row r="1334" spans="1:26" x14ac:dyDescent="0.2">
      <c r="A1334" s="1">
        <v>1332</v>
      </c>
      <c r="B1334" s="2" t="s">
        <v>299</v>
      </c>
      <c r="C1334" s="74" t="str">
        <f>HYPERLINK(AB2 &amp; "/knife/sn_ceeb38ab7929361e76ec14627bf6bbcb/rendering/00.obj", "3.65018310547")</f>
        <v>3.65018310547</v>
      </c>
      <c r="D1334" s="13" t="str">
        <f>HYPERLINK(AB2 &amp; "/knife/sn_ceeb38ab7929361e76ec14627bf6bbcb/rendering/01.obj", "3.71112915039")</f>
        <v>3.71112915039</v>
      </c>
      <c r="E1334" s="51" t="str">
        <f>HYPERLINK(AB2 &amp; "/knife/sn_ceeb38ab7929361e76ec14627bf6bbcb/rendering/02.obj", "3.99217468262")</f>
        <v>3.99217468262</v>
      </c>
      <c r="F1334" s="13" t="str">
        <f>HYPERLINK(AB2 &amp; "/knife/sn_ceeb38ab7929361e76ec14627bf6bbcb/rendering/03.obj", "3.70676208496")</f>
        <v>3.70676208496</v>
      </c>
      <c r="G1334" s="6" t="str">
        <f>HYPERLINK(AB2 &amp; "/knife/sn_ceeb38ab7929361e76ec14627bf6bbcb/rendering/04.obj", "3.53344543457")</f>
        <v>3.53344543457</v>
      </c>
      <c r="H1334" s="42" t="str">
        <f>HYPERLINK(AB2 &amp; "/knife/sn_ceeb38ab7929361e76ec14627bf6bbcb/rendering/05.obj", "4.20609100342")</f>
        <v>4.20609100342</v>
      </c>
      <c r="I1334" s="67" t="str">
        <f>HYPERLINK(AB2 &amp; "/knife/sn_ceeb38ab7929361e76ec14627bf6bbcb/rendering/06.obj", "3.36431121826")</f>
        <v>3.36431121826</v>
      </c>
      <c r="J1334" s="8" t="str">
        <f>HYPERLINK(AB2 &amp; "/knife/sn_ceeb38ab7929361e76ec14627bf6bbcb/rendering/07.obj", "3.16823669434")</f>
        <v>3.16823669434</v>
      </c>
      <c r="K1334" s="28" t="str">
        <f>HYPERLINK(AB2 &amp; "/knife/sn_ceeb38ab7929361e76ec14627bf6bbcb/rendering/08.obj", "4.11061096191")</f>
        <v>4.11061096191</v>
      </c>
      <c r="L1334" s="68" t="str">
        <f>HYPERLINK(AB2 &amp; "/knife/sn_ceeb38ab7929361e76ec14627bf6bbcb/rendering/09.obj", "3.86168029785")</f>
        <v>3.86168029785</v>
      </c>
      <c r="M1334" s="91" t="str">
        <f>HYPERLINK(AB2 &amp; "/knife/sn_ceeb38ab7929361e76ec14627bf6bbcb/rendering/10.obj", "3.60199127197")</f>
        <v>3.60199127197</v>
      </c>
      <c r="N1334" s="92" t="str">
        <f>HYPERLINK(AB2 &amp; "/knife/sn_ceeb38ab7929361e76ec14627bf6bbcb/rendering/11.obj", "3.24649993896")</f>
        <v>3.24649993896</v>
      </c>
      <c r="O1334" s="26" t="str">
        <f>HYPERLINK(AB2 &amp; "/knife/sn_ceeb38ab7929361e76ec14627bf6bbcb/rendering/12.obj", "3.45979614258")</f>
        <v>3.45979614258</v>
      </c>
      <c r="P1334" s="83" t="str">
        <f>HYPERLINK(AB2 &amp; "/knife/sn_ceeb38ab7929361e76ec14627bf6bbcb/rendering/13.obj", "3.13636627197")</f>
        <v>3.13636627197</v>
      </c>
      <c r="Q1334" s="33" t="str">
        <f>HYPERLINK(AB2 &amp; "/knife/sn_ceeb38ab7929361e76ec14627bf6bbcb/rendering/14.obj", "4.09975769043")</f>
        <v>4.09975769043</v>
      </c>
      <c r="R1334" s="32" t="str">
        <f>HYPERLINK(AB2 &amp; "/knife/sn_ceeb38ab7929361e76ec14627bf6bbcb/rendering/15.obj", "4.09573425293")</f>
        <v>4.09573425293</v>
      </c>
      <c r="S1334" s="48" t="str">
        <f>HYPERLINK(AB2 &amp; "/knife/sn_ceeb38ab7929361e76ec14627bf6bbcb/rendering/16.obj", "3.60848754883")</f>
        <v>3.60848754883</v>
      </c>
      <c r="T1334" s="106" t="str">
        <f>HYPERLINK(AB2 &amp; "/knife/sn_ceeb38ab7929361e76ec14627bf6bbcb/rendering/17.obj", "3.27256164551")</f>
        <v>3.27256164551</v>
      </c>
      <c r="U1334" s="107" t="str">
        <f>HYPERLINK(AB2 &amp; "/knife/sn_ceeb38ab7929361e76ec14627bf6bbcb/rendering/18.obj", "4.00450622559")</f>
        <v>4.00450622559</v>
      </c>
      <c r="V1334" s="65" t="str">
        <f>HYPERLINK(AB2 &amp; "/knife/sn_ceeb38ab7929361e76ec14627bf6bbcb/rendering/19.obj", "4.19059082031")</f>
        <v>4.19059082031</v>
      </c>
      <c r="W1334" s="12" t="s">
        <v>31</v>
      </c>
      <c r="X1334" s="13">
        <v>3.7010458221435538</v>
      </c>
      <c r="Y1334" s="13">
        <v>0.34594849507324682</v>
      </c>
      <c r="Z1334" s="67">
        <v>9.3473172637695695E-2</v>
      </c>
    </row>
    <row r="1335" spans="1:26" x14ac:dyDescent="0.2">
      <c r="A1335" s="1">
        <v>1333</v>
      </c>
      <c r="B1335" s="2" t="s">
        <v>299</v>
      </c>
      <c r="C1335" s="73" t="str">
        <f>HYPERLINK(AB2 &amp; "/knife/sn_ceeb38ab7929361e76ec14627bf6bbcb/rendering/00.obj", "1.26796281338")</f>
        <v>1.26796281338</v>
      </c>
      <c r="D1335" s="66" t="str">
        <f>HYPERLINK(AB2 &amp; "/knife/sn_ceeb38ab7929361e76ec14627bf6bbcb/rendering/01.obj", "1.10069572926")</f>
        <v>1.10069572926</v>
      </c>
      <c r="E1335" s="44" t="str">
        <f>HYPERLINK(AB2 &amp; "/knife/sn_ceeb38ab7929361e76ec14627bf6bbcb/rendering/02.obj", "1.05666041374")</f>
        <v>1.05666041374</v>
      </c>
      <c r="F1335" s="39" t="str">
        <f>HYPERLINK(AB2 &amp; "/knife/sn_ceeb38ab7929361e76ec14627bf6bbcb/rendering/03.obj", "1.20094370842")</f>
        <v>1.20094370842</v>
      </c>
      <c r="G1335" s="226" t="str">
        <f>HYPERLINK(AB2 &amp; "/knife/sn_ceeb38ab7929361e76ec14627bf6bbcb/rendering/04.obj", "2.05263972282")</f>
        <v>2.05263972282</v>
      </c>
      <c r="H1335" s="110" t="str">
        <f>HYPERLINK(AB2 &amp; "/knife/sn_ceeb38ab7929361e76ec14627bf6bbcb/rendering/05.obj", "1.18520104885")</f>
        <v>1.18520104885</v>
      </c>
      <c r="I1335" s="70" t="str">
        <f>HYPERLINK(AB2 &amp; "/knife/sn_ceeb38ab7929361e76ec14627bf6bbcb/rendering/06.obj", "1.48040866852")</f>
        <v>1.48040866852</v>
      </c>
      <c r="J1335" s="71" t="str">
        <f>HYPERLINK(AB2 &amp; "/knife/sn_ceeb38ab7929361e76ec14627bf6bbcb/rendering/07.obj", "1.46709501743")</f>
        <v>1.46709501743</v>
      </c>
      <c r="K1335" s="35" t="str">
        <f>HYPERLINK(AB2 &amp; "/knife/sn_ceeb38ab7929361e76ec14627bf6bbcb/rendering/08.obj", "1.237231493")</f>
        <v>1.237231493</v>
      </c>
      <c r="L1335" s="133" t="str">
        <f>HYPERLINK(AB2 &amp; "/knife/sn_ceeb38ab7929361e76ec14627bf6bbcb/rendering/09.obj", "1.44874238968")</f>
        <v>1.44874238968</v>
      </c>
      <c r="M1335" s="129" t="str">
        <f>HYPERLINK(AB2 &amp; "/knife/sn_ceeb38ab7929361e76ec14627bf6bbcb/rendering/10.obj", "1.64178657532")</f>
        <v>1.64178657532</v>
      </c>
      <c r="N1335" s="35" t="str">
        <f>HYPERLINK(AB2 &amp; "/knife/sn_ceeb38ab7929361e76ec14627bf6bbcb/rendering/11.obj", "1.23719549179")</f>
        <v>1.23719549179</v>
      </c>
      <c r="O1335" s="31" t="str">
        <f>HYPERLINK(AB2 &amp; "/knife/sn_ceeb38ab7929361e76ec14627bf6bbcb/rendering/12.obj", "1.10784959793")</f>
        <v>1.10784959793</v>
      </c>
      <c r="P1335" s="73" t="str">
        <f>HYPERLINK(AB2 &amp; "/knife/sn_ceeb38ab7929361e76ec14627bf6bbcb/rendering/13.obj", "1.26660430431")</f>
        <v>1.26660430431</v>
      </c>
      <c r="Q1335" s="6" t="str">
        <f>HYPERLINK(AB2 &amp; "/knife/sn_ceeb38ab7929361e76ec14627bf6bbcb/rendering/14.obj", "1.2545183897")</f>
        <v>1.2545183897</v>
      </c>
      <c r="R1335" s="23" t="str">
        <f>HYPERLINK(AB2 &amp; "/knife/sn_ceeb38ab7929361e76ec14627bf6bbcb/rendering/15.obj", "1.26069891453")</f>
        <v>1.26069891453</v>
      </c>
      <c r="S1335" s="32" t="str">
        <f>HYPERLINK(AB2 &amp; "/knife/sn_ceeb38ab7929361e76ec14627bf6bbcb/rendering/16.obj", "1.45274925232")</f>
        <v>1.45274925232</v>
      </c>
      <c r="T1335" s="79" t="str">
        <f>HYPERLINK(AB2 &amp; "/knife/sn_ceeb38ab7929361e76ec14627bf6bbcb/rendering/17.obj", "1.1073102951")</f>
        <v>1.1073102951</v>
      </c>
      <c r="U1335" s="68" t="str">
        <f>HYPERLINK(AB2 &amp; "/knife/sn_ceeb38ab7929361e76ec14627bf6bbcb/rendering/18.obj", "1.25847220421")</f>
        <v>1.25847220421</v>
      </c>
      <c r="V1335" s="110" t="str">
        <f>HYPERLINK(AB2 &amp; "/knife/sn_ceeb38ab7929361e76ec14627bf6bbcb/rendering/19.obj", "1.18275725842")</f>
        <v>1.18275725842</v>
      </c>
      <c r="W1335" s="12" t="s">
        <v>32</v>
      </c>
      <c r="X1335" s="13">
        <v>1.31337616443634</v>
      </c>
      <c r="Y1335" s="13">
        <v>0.22480199677738549</v>
      </c>
      <c r="Z1335" s="40">
        <v>0.17116345100861749</v>
      </c>
    </row>
    <row r="1336" spans="1:26" x14ac:dyDescent="0.2">
      <c r="A1336" s="1">
        <v>1334</v>
      </c>
      <c r="B1336" s="2" t="s">
        <v>299</v>
      </c>
      <c r="C1336" s="13" t="str">
        <f>HYPERLINK(AC2 &amp; "/knife/sn_ceeb38ab7929361e76ec14627bf6bbcb/rendering/00.xyz", "0.0")</f>
        <v>0.0</v>
      </c>
      <c r="D1336" s="13" t="str">
        <f>HYPERLINK(AC2 &amp; "/knife/sn_ceeb38ab7929361e76ec14627bf6bbcb/rendering/01.xyz", "0.0")</f>
        <v>0.0</v>
      </c>
      <c r="E1336" s="13" t="str">
        <f>HYPERLINK(AC2 &amp; "/knife/sn_ceeb38ab7929361e76ec14627bf6bbcb/rendering/02.xyz", "0.0")</f>
        <v>0.0</v>
      </c>
      <c r="F1336" s="13" t="str">
        <f>HYPERLINK(AC2 &amp; "/knife/sn_ceeb38ab7929361e76ec14627bf6bbcb/rendering/03.xyz", "0.0")</f>
        <v>0.0</v>
      </c>
      <c r="G1336" s="13" t="str">
        <f>HYPERLINK(AC2 &amp; "/knife/sn_ceeb38ab7929361e76ec14627bf6bbcb/rendering/04.xyz", "0.0")</f>
        <v>0.0</v>
      </c>
      <c r="H1336" s="13" t="str">
        <f>HYPERLINK(AC2 &amp; "/knife/sn_ceeb38ab7929361e76ec14627bf6bbcb/rendering/05.xyz", "0.0")</f>
        <v>0.0</v>
      </c>
      <c r="I1336" s="13" t="str">
        <f>HYPERLINK(AC2 &amp; "/knife/sn_ceeb38ab7929361e76ec14627bf6bbcb/rendering/06.xyz", "0.0")</f>
        <v>0.0</v>
      </c>
      <c r="J1336" s="13" t="str">
        <f>HYPERLINK(AC2 &amp; "/knife/sn_ceeb38ab7929361e76ec14627bf6bbcb/rendering/07.xyz", "0.0")</f>
        <v>0.0</v>
      </c>
      <c r="K1336" s="13" t="str">
        <f>HYPERLINK(AC2 &amp; "/knife/sn_ceeb38ab7929361e76ec14627bf6bbcb/rendering/08.xyz", "0.0")</f>
        <v>0.0</v>
      </c>
      <c r="L1336" s="13" t="str">
        <f>HYPERLINK(AC2 &amp; "/knife/sn_ceeb38ab7929361e76ec14627bf6bbcb/rendering/09.xyz", "0.0")</f>
        <v>0.0</v>
      </c>
      <c r="M1336" s="13" t="str">
        <f>HYPERLINK(AC2 &amp; "/knife/sn_ceeb38ab7929361e76ec14627bf6bbcb/rendering/10.xyz", "0.0")</f>
        <v>0.0</v>
      </c>
      <c r="N1336" s="13" t="str">
        <f>HYPERLINK(AC2 &amp; "/knife/sn_ceeb38ab7929361e76ec14627bf6bbcb/rendering/11.xyz", "0.0")</f>
        <v>0.0</v>
      </c>
      <c r="O1336" s="13" t="str">
        <f>HYPERLINK(AC2 &amp; "/knife/sn_ceeb38ab7929361e76ec14627bf6bbcb/rendering/12.xyz", "0.0")</f>
        <v>0.0</v>
      </c>
      <c r="P1336" s="13" t="str">
        <f>HYPERLINK(AC2 &amp; "/knife/sn_ceeb38ab7929361e76ec14627bf6bbcb/rendering/13.xyz", "0.0")</f>
        <v>0.0</v>
      </c>
      <c r="Q1336" s="13" t="str">
        <f>HYPERLINK(AC2 &amp; "/knife/sn_ceeb38ab7929361e76ec14627bf6bbcb/rendering/14.xyz", "0.0")</f>
        <v>0.0</v>
      </c>
      <c r="R1336" s="13" t="str">
        <f>HYPERLINK(AC2 &amp; "/knife/sn_ceeb38ab7929361e76ec14627bf6bbcb/rendering/15.xyz", "0.0")</f>
        <v>0.0</v>
      </c>
      <c r="S1336" s="13" t="str">
        <f>HYPERLINK(AC2 &amp; "/knife/sn_ceeb38ab7929361e76ec14627bf6bbcb/rendering/16.xyz", "0.0")</f>
        <v>0.0</v>
      </c>
      <c r="T1336" s="13" t="str">
        <f>HYPERLINK(AC2 &amp; "/knife/sn_ceeb38ab7929361e76ec14627bf6bbcb/rendering/17.xyz", "0.0")</f>
        <v>0.0</v>
      </c>
      <c r="U1336" s="13" t="str">
        <f>HYPERLINK(AC2 &amp; "/knife/sn_ceeb38ab7929361e76ec14627bf6bbcb/rendering/18.xyz", "0.0")</f>
        <v>0.0</v>
      </c>
      <c r="V1336" s="13" t="str">
        <f>HYPERLINK(AC2 &amp; "/knife/sn_ceeb38ab7929361e76ec14627bf6bbcb/rendering/19.xyz", "0.0")</f>
        <v>0.0</v>
      </c>
      <c r="W1336" s="12" t="s">
        <v>33</v>
      </c>
      <c r="X1336" s="13">
        <v>0</v>
      </c>
      <c r="Y1336" s="13">
        <v>0</v>
      </c>
      <c r="Z1336" s="13">
        <v>0</v>
      </c>
    </row>
    <row r="1337" spans="1:26" x14ac:dyDescent="0.2">
      <c r="A1337" s="1">
        <v>1335</v>
      </c>
      <c r="B1337" s="2" t="s">
        <v>300</v>
      </c>
      <c r="C1337" s="40" t="str">
        <f>HYPERLINK(AA2 &amp; "/knife/sn_d06201a49cc91067179125d1d357cdf5/rendering/00.obj", "4.03004821777")</f>
        <v>4.03004821777</v>
      </c>
      <c r="D1337" s="101" t="str">
        <f>HYPERLINK(AA2 &amp; "/knife/sn_d06201a49cc91067179125d1d357cdf5/rendering/01.obj", "6.71441589355")</f>
        <v>6.71441589355</v>
      </c>
      <c r="E1337" s="91" t="str">
        <f>HYPERLINK(AA2 &amp; "/knife/sn_d06201a49cc91067179125d1d357cdf5/rendering/02.obj", "5.00257751465")</f>
        <v>5.00257751465</v>
      </c>
      <c r="F1337" s="77" t="str">
        <f>HYPERLINK(AA2 &amp; "/knife/sn_d06201a49cc91067179125d1d357cdf5/rendering/03.obj", "3.95234954834")</f>
        <v>3.95234954834</v>
      </c>
      <c r="G1337" s="149" t="str">
        <f>HYPERLINK(AA2 &amp; "/knife/sn_d06201a49cc91067179125d1d357cdf5/rendering/04.obj", "3.20224761963")</f>
        <v>3.20224761963</v>
      </c>
      <c r="H1337" s="27" t="str">
        <f>HYPERLINK(AA2 &amp; "/knife/sn_d06201a49cc91067179125d1d357cdf5/rendering/05.obj", "4.52321411133")</f>
        <v>4.52321411133</v>
      </c>
      <c r="I1337" s="98" t="str">
        <f>HYPERLINK(AA2 &amp; "/knife/sn_d06201a49cc91067179125d1d357cdf5/rendering/06.obj", "5.98469848633")</f>
        <v>5.98469848633</v>
      </c>
      <c r="J1337" s="19" t="str">
        <f>HYPERLINK(AA2 &amp; "/knife/sn_d06201a49cc91067179125d1d357cdf5/rendering/07.obj", "3.59618804932")</f>
        <v>3.59618804932</v>
      </c>
      <c r="K1337" s="43" t="str">
        <f>HYPERLINK(AA2 &amp; "/knife/sn_d06201a49cc91067179125d1d357cdf5/rendering/08.obj", "3.03759216309")</f>
        <v>3.03759216309</v>
      </c>
      <c r="L1337" s="20" t="str">
        <f>HYPERLINK(AA2 &amp; "/knife/sn_d06201a49cc91067179125d1d357cdf5/rendering/09.obj", "14.6902624512")</f>
        <v>14.6902624512</v>
      </c>
      <c r="M1337" s="82" t="str">
        <f>HYPERLINK(AA2 &amp; "/knife/sn_d06201a49cc91067179125d1d357cdf5/rendering/10.obj", "3.86983306885")</f>
        <v>3.86983306885</v>
      </c>
      <c r="N1337" s="66" t="str">
        <f>HYPERLINK(AA2 &amp; "/knife/sn_d06201a49cc91067179125d1d357cdf5/rendering/11.obj", "5.6513659668")</f>
        <v>5.6513659668</v>
      </c>
      <c r="O1337" s="169" t="str">
        <f>HYPERLINK(AA2 &amp; "/knife/sn_d06201a49cc91067179125d1d357cdf5/rendering/12.obj", "3.34656036377")</f>
        <v>3.34656036377</v>
      </c>
      <c r="P1337" s="60" t="str">
        <f>HYPERLINK(AA2 &amp; "/knife/sn_d06201a49cc91067179125d1d357cdf5/rendering/13.obj", "5.11416778564")</f>
        <v>5.11416778564</v>
      </c>
      <c r="Q1337" s="109" t="str">
        <f>HYPERLINK(AA2 &amp; "/knife/sn_d06201a49cc91067179125d1d357cdf5/rendering/14.obj", "3.94522216797")</f>
        <v>3.94522216797</v>
      </c>
      <c r="R1337" s="39" t="str">
        <f>HYPERLINK(AA2 &amp; "/knife/sn_d06201a49cc91067179125d1d357cdf5/rendering/15.obj", "4.45433410645")</f>
        <v>4.45433410645</v>
      </c>
      <c r="S1337" s="118" t="str">
        <f>HYPERLINK(AA2 &amp; "/knife/sn_d06201a49cc91067179125d1d357cdf5/rendering/16.obj", "3.4461138916")</f>
        <v>3.4461138916</v>
      </c>
      <c r="T1337" s="81" t="str">
        <f>HYPERLINK(AA2 &amp; "/knife/sn_d06201a49cc91067179125d1d357cdf5/rendering/17.obj", "3.81473815918")</f>
        <v>3.81473815918</v>
      </c>
      <c r="U1337" s="37" t="str">
        <f>HYPERLINK(AA2 &amp; "/knife/sn_d06201a49cc91067179125d1d357cdf5/rendering/18.obj", "4.02490600586")</f>
        <v>4.02490600586</v>
      </c>
      <c r="V1337" s="17" t="str">
        <f>HYPERLINK(AA2 &amp; "/knife/sn_d06201a49cc91067179125d1d357cdf5/rendering/19.obj", "4.9729284668")</f>
        <v>4.9729284668</v>
      </c>
      <c r="W1337" s="12" t="s">
        <v>29</v>
      </c>
      <c r="X1337" s="13">
        <v>4.8686882019042974</v>
      </c>
      <c r="Y1337" s="13">
        <v>2.4435041156637989</v>
      </c>
      <c r="Z1337" s="126">
        <v>0.50188141329487235</v>
      </c>
    </row>
    <row r="1338" spans="1:26" x14ac:dyDescent="0.2">
      <c r="A1338" s="1">
        <v>1336</v>
      </c>
      <c r="B1338" s="2" t="s">
        <v>300</v>
      </c>
      <c r="C1338" s="196" t="str">
        <f>HYPERLINK(AA2 &amp; "/knife/sn_d06201a49cc91067179125d1d357cdf5/rendering/00.obj", "2.5267226696")</f>
        <v>2.5267226696</v>
      </c>
      <c r="D1338" s="33" t="str">
        <f>HYPERLINK(AA2 &amp; "/knife/sn_d06201a49cc91067179125d1d357cdf5/rendering/01.obj", "4.62775087357")</f>
        <v>4.62775087357</v>
      </c>
      <c r="E1338" s="160" t="str">
        <f>HYPERLINK(AA2 &amp; "/knife/sn_d06201a49cc91067179125d1d357cdf5/rendering/02.obj", "6.39055204391")</f>
        <v>6.39055204391</v>
      </c>
      <c r="F1338" s="213" t="str">
        <f>HYPERLINK(AA2 &amp; "/knife/sn_d06201a49cc91067179125d1d357cdf5/rendering/03.obj", "2.11030864716")</f>
        <v>2.11030864716</v>
      </c>
      <c r="G1338" s="15" t="str">
        <f>HYPERLINK(AA2 &amp; "/knife/sn_d06201a49cc91067179125d1d357cdf5/rendering/04.obj", "2.0649728775")</f>
        <v>2.0649728775</v>
      </c>
      <c r="H1338" s="107" t="str">
        <f>HYPERLINK(AA2 &amp; "/knife/sn_d06201a49cc91067179125d1d357cdf5/rendering/05.obj", "3.83166003227")</f>
        <v>3.83166003227</v>
      </c>
      <c r="I1338" s="178" t="str">
        <f>HYPERLINK(AA2 &amp; "/knife/sn_d06201a49cc91067179125d1d357cdf5/rendering/06.obj", "6.88643980026")</f>
        <v>6.88643980026</v>
      </c>
      <c r="J1338" s="161" t="str">
        <f>HYPERLINK(AA2 &amp; "/knife/sn_d06201a49cc91067179125d1d357cdf5/rendering/07.obj", "1.73224532604")</f>
        <v>1.73224532604</v>
      </c>
      <c r="K1338" s="16" t="str">
        <f>HYPERLINK(AA2 &amp; "/knife/sn_d06201a49cc91067179125d1d357cdf5/rendering/08.obj", "1.90012836456")</f>
        <v>1.90012836456</v>
      </c>
      <c r="L1338" s="20" t="str">
        <f>HYPERLINK(AA2 &amp; "/knife/sn_d06201a49cc91067179125d1d357cdf5/rendering/09.obj", "19.7574310303")</f>
        <v>19.7574310303</v>
      </c>
      <c r="M1338" s="200" t="str">
        <f>HYPERLINK(AA2 &amp; "/knife/sn_d06201a49cc91067179125d1d357cdf5/rendering/10.obj", "2.17648053169")</f>
        <v>2.17648053169</v>
      </c>
      <c r="N1338" s="212" t="str">
        <f>HYPERLINK(AA2 &amp; "/knife/sn_d06201a49cc91067179125d1d357cdf5/rendering/11.obj", "2.37446546555")</f>
        <v>2.37446546555</v>
      </c>
      <c r="O1338" s="15" t="str">
        <f>HYPERLINK(AA2 &amp; "/knife/sn_d06201a49cc91067179125d1d357cdf5/rendering/12.obj", "2.06669569016")</f>
        <v>2.06669569016</v>
      </c>
      <c r="P1338" s="122" t="str">
        <f>HYPERLINK(AA2 &amp; "/knife/sn_d06201a49cc91067179125d1d357cdf5/rendering/13.obj", "5.86221313477")</f>
        <v>5.86221313477</v>
      </c>
      <c r="Q1338" s="122" t="str">
        <f>HYPERLINK(AA2 &amp; "/knife/sn_d06201a49cc91067179125d1d357cdf5/rendering/14.obj", "2.49682807922")</f>
        <v>2.49682807922</v>
      </c>
      <c r="R1338" s="110" t="str">
        <f>HYPERLINK(AA2 &amp; "/knife/sn_d06201a49cc91067179125d1d357cdf5/rendering/15.obj", "3.77294802666")</f>
        <v>3.77294802666</v>
      </c>
      <c r="S1338" s="251" t="str">
        <f>HYPERLINK(AA2 &amp; "/knife/sn_d06201a49cc91067179125d1d357cdf5/rendering/16.obj", "1.71861362457")</f>
        <v>1.71861362457</v>
      </c>
      <c r="T1338" s="98" t="str">
        <f>HYPERLINK(AA2 &amp; "/knife/sn_d06201a49cc91067179125d1d357cdf5/rendering/17.obj", "3.22240757942")</f>
        <v>3.22240757942</v>
      </c>
      <c r="U1338" s="30" t="str">
        <f>HYPERLINK(AA2 &amp; "/knife/sn_d06201a49cc91067179125d1d357cdf5/rendering/18.obj", "4.16605377197")</f>
        <v>4.16605377197</v>
      </c>
      <c r="V1338" s="35" t="str">
        <f>HYPERLINK(AA2 &amp; "/knife/sn_d06201a49cc91067179125d1d357cdf5/rendering/19.obj", "3.93512535095")</f>
        <v>3.93512535095</v>
      </c>
      <c r="W1338" s="12" t="s">
        <v>30</v>
      </c>
      <c r="X1338" s="13">
        <v>4.1810021460056301</v>
      </c>
      <c r="Y1338" s="13">
        <v>3.8889162108489441</v>
      </c>
      <c r="Z1338" s="20">
        <v>0.93013973086913282</v>
      </c>
    </row>
    <row r="1339" spans="1:26" x14ac:dyDescent="0.2">
      <c r="A1339" s="1">
        <v>1337</v>
      </c>
      <c r="B1339" s="2" t="s">
        <v>300</v>
      </c>
      <c r="C1339" s="67" t="str">
        <f>HYPERLINK(AB2 &amp; "/knife/sn_d06201a49cc91067179125d1d357cdf5/rendering/00.obj", "3.48897766113")</f>
        <v>3.48897766113</v>
      </c>
      <c r="D1339" s="94" t="str">
        <f>HYPERLINK(AB2 &amp; "/knife/sn_d06201a49cc91067179125d1d357cdf5/rendering/01.obj", "4.13202758789")</f>
        <v>4.13202758789</v>
      </c>
      <c r="E1339" s="42" t="str">
        <f>HYPERLINK(AB2 &amp; "/knife/sn_d06201a49cc91067179125d1d357cdf5/rendering/02.obj", "4.37583496094")</f>
        <v>4.37583496094</v>
      </c>
      <c r="F1339" s="10" t="str">
        <f>HYPERLINK(AB2 &amp; "/knife/sn_d06201a49cc91067179125d1d357cdf5/rendering/03.obj", "3.6411895752")</f>
        <v>3.6411895752</v>
      </c>
      <c r="G1339" s="94" t="str">
        <f>HYPERLINK(AB2 &amp; "/knife/sn_d06201a49cc91067179125d1d357cdf5/rendering/04.obj", "4.12690063477")</f>
        <v>4.12690063477</v>
      </c>
      <c r="H1339" s="70" t="str">
        <f>HYPERLINK(AB2 &amp; "/knife/sn_d06201a49cc91067179125d1d357cdf5/rendering/05.obj", "4.33258361816")</f>
        <v>4.33258361816</v>
      </c>
      <c r="I1339" s="17" t="str">
        <f>HYPERLINK(AB2 &amp; "/knife/sn_d06201a49cc91067179125d1d357cdf5/rendering/06.obj", "3.76492919922")</f>
        <v>3.76492919922</v>
      </c>
      <c r="J1339" s="60" t="str">
        <f>HYPERLINK(AB2 &amp; "/knife/sn_d06201a49cc91067179125d1d357cdf5/rendering/07.obj", "4.05378051758")</f>
        <v>4.05378051758</v>
      </c>
      <c r="K1339" s="5" t="str">
        <f>HYPERLINK(AB2 &amp; "/knife/sn_d06201a49cc91067179125d1d357cdf5/rendering/08.obj", "3.55675598145")</f>
        <v>3.55675598145</v>
      </c>
      <c r="L1339" s="38" t="str">
        <f>HYPERLINK(AB2 &amp; "/knife/sn_d06201a49cc91067179125d1d357cdf5/rendering/09.obj", "4.1949017334")</f>
        <v>4.1949017334</v>
      </c>
      <c r="M1339" s="38" t="str">
        <f>HYPERLINK(AB2 &amp; "/knife/sn_d06201a49cc91067179125d1d357cdf5/rendering/10.obj", "3.50821685791")</f>
        <v>3.50821685791</v>
      </c>
      <c r="N1339" s="25" t="str">
        <f>HYPERLINK(AB2 &amp; "/knife/sn_d06201a49cc91067179125d1d357cdf5/rendering/11.obj", "3.88654541016")</f>
        <v>3.88654541016</v>
      </c>
      <c r="O1339" s="42" t="str">
        <f>HYPERLINK(AB2 &amp; "/knife/sn_d06201a49cc91067179125d1d357cdf5/rendering/12.obj", "3.3225604248")</f>
        <v>3.3225604248</v>
      </c>
      <c r="P1339" s="106" t="str">
        <f>HYPERLINK(AB2 &amp; "/knife/sn_d06201a49cc91067179125d1d357cdf5/rendering/13.obj", "4.28575195312")</f>
        <v>4.28575195312</v>
      </c>
      <c r="Q1339" s="67" t="str">
        <f>HYPERLINK(AB2 &amp; "/knife/sn_d06201a49cc91067179125d1d357cdf5/rendering/14.obj", "3.49039306641")</f>
        <v>3.49039306641</v>
      </c>
      <c r="R1339" s="5" t="str">
        <f>HYPERLINK(AB2 &amp; "/knife/sn_d06201a49cc91067179125d1d357cdf5/rendering/15.obj", "3.55260559082")</f>
        <v>3.55260559082</v>
      </c>
      <c r="S1339" s="27" t="str">
        <f>HYPERLINK(AB2 &amp; "/knife/sn_d06201a49cc91067179125d1d357cdf5/rendering/16.obj", "3.57402526855")</f>
        <v>3.57402526855</v>
      </c>
      <c r="T1339" s="90" t="str">
        <f>HYPERLINK(AB2 &amp; "/knife/sn_d06201a49cc91067179125d1d357cdf5/rendering/17.obj", "3.47719268799")</f>
        <v>3.47719268799</v>
      </c>
      <c r="U1339" s="13" t="str">
        <f>HYPERLINK(AB2 &amp; "/knife/sn_d06201a49cc91067179125d1d357cdf5/rendering/18.obj", "3.84192230225")</f>
        <v>3.84192230225</v>
      </c>
      <c r="V1339" s="42" t="str">
        <f>HYPERLINK(AB2 &amp; "/knife/sn_d06201a49cc91067179125d1d357cdf5/rendering/19.obj", "4.37483917236")</f>
        <v>4.37483917236</v>
      </c>
      <c r="W1339" s="12" t="s">
        <v>31</v>
      </c>
      <c r="X1339" s="13">
        <v>3.8490967102050782</v>
      </c>
      <c r="Y1339" s="13">
        <v>0.34553517665691103</v>
      </c>
      <c r="Z1339" s="38">
        <v>8.9770458544415482E-2</v>
      </c>
    </row>
    <row r="1340" spans="1:26" x14ac:dyDescent="0.2">
      <c r="A1340" s="1">
        <v>1338</v>
      </c>
      <c r="B1340" s="2" t="s">
        <v>300</v>
      </c>
      <c r="C1340" s="10" t="str">
        <f>HYPERLINK(AB2 &amp; "/knife/sn_d06201a49cc91067179125d1d357cdf5/rendering/00.obj", "1.80235528946")</f>
        <v>1.80235528946</v>
      </c>
      <c r="D1340" s="71" t="str">
        <f>HYPERLINK(AB2 &amp; "/knife/sn_d06201a49cc91067179125d1d357cdf5/rendering/01.obj", "1.6837272644")</f>
        <v>1.6837272644</v>
      </c>
      <c r="E1340" s="182" t="str">
        <f>HYPERLINK(AB2 &amp; "/knife/sn_d06201a49cc91067179125d1d357cdf5/rendering/02.obj", "2.54943418503")</f>
        <v>2.54943418503</v>
      </c>
      <c r="F1340" s="110" t="str">
        <f>HYPERLINK(AB2 &amp; "/knife/sn_d06201a49cc91067179125d1d357cdf5/rendering/03.obj", "1.72062301636")</f>
        <v>1.72062301636</v>
      </c>
      <c r="G1340" s="78" t="str">
        <f>HYPERLINK(AB2 &amp; "/knife/sn_d06201a49cc91067179125d1d357cdf5/rendering/04.obj", "1.79100418091")</f>
        <v>1.79100418091</v>
      </c>
      <c r="H1340" s="88" t="str">
        <f>HYPERLINK(AB2 &amp; "/knife/sn_d06201a49cc91067179125d1d357cdf5/rendering/05.obj", "2.29702854156")</f>
        <v>2.29702854156</v>
      </c>
      <c r="I1340" s="72" t="str">
        <f>HYPERLINK(AB2 &amp; "/knife/sn_d06201a49cc91067179125d1d357cdf5/rendering/06.obj", "1.84473407269")</f>
        <v>1.84473407269</v>
      </c>
      <c r="J1340" s="38" t="str">
        <f>HYPERLINK(AB2 &amp; "/knife/sn_d06201a49cc91067179125d1d357cdf5/rendering/07.obj", "1.74127686024")</f>
        <v>1.74127686024</v>
      </c>
      <c r="K1340" s="91" t="str">
        <f>HYPERLINK(AB2 &amp; "/knife/sn_d06201a49cc91067179125d1d357cdf5/rendering/08.obj", "1.85650706291")</f>
        <v>1.85650706291</v>
      </c>
      <c r="L1340" s="42" t="str">
        <f>HYPERLINK(AB2 &amp; "/knife/sn_d06201a49cc91067179125d1d357cdf5/rendering/09.obj", "1.65164196491")</f>
        <v>1.65164196491</v>
      </c>
      <c r="M1340" s="6" t="str">
        <f>HYPERLINK(AB2 &amp; "/knife/sn_d06201a49cc91067179125d1d357cdf5/rendering/10.obj", "1.82079422474")</f>
        <v>1.82079422474</v>
      </c>
      <c r="N1340" s="91" t="str">
        <f>HYPERLINK(AB2 &amp; "/knife/sn_d06201a49cc91067179125d1d357cdf5/rendering/11.obj", "1.86062884331")</f>
        <v>1.86062884331</v>
      </c>
      <c r="O1340" s="33" t="str">
        <f>HYPERLINK(AB2 &amp; "/knife/sn_d06201a49cc91067179125d1d357cdf5/rendering/12.obj", "1.70134675503")</f>
        <v>1.70134675503</v>
      </c>
      <c r="P1340" s="198" t="str">
        <f>HYPERLINK(AB2 &amp; "/knife/sn_d06201a49cc91067179125d1d357cdf5/rendering/13.obj", "2.65130472183")</f>
        <v>2.65130472183</v>
      </c>
      <c r="Q1340" s="26" t="str">
        <f>HYPERLINK(AB2 &amp; "/knife/sn_d06201a49cc91067179125d1d357cdf5/rendering/14.obj", "1.78704333305")</f>
        <v>1.78704333305</v>
      </c>
      <c r="R1340" s="38" t="str">
        <f>HYPERLINK(AB2 &amp; "/knife/sn_d06201a49cc91067179125d1d357cdf5/rendering/15.obj", "1.73601770401")</f>
        <v>1.73601770401</v>
      </c>
      <c r="S1340" s="66" t="str">
        <f>HYPERLINK(AB2 &amp; "/knife/sn_d06201a49cc91067179125d1d357cdf5/rendering/16.obj", "1.59973573685")</f>
        <v>1.59973573685</v>
      </c>
      <c r="T1340" s="42" t="str">
        <f>HYPERLINK(AB2 &amp; "/knife/sn_d06201a49cc91067179125d1d357cdf5/rendering/17.obj", "1.64855921268")</f>
        <v>1.64855921268</v>
      </c>
      <c r="U1340" s="98" t="str">
        <f>HYPERLINK(AB2 &amp; "/knife/sn_d06201a49cc91067179125d1d357cdf5/rendering/18.obj", "2.34829425812")</f>
        <v>2.34829425812</v>
      </c>
      <c r="V1340" s="110" t="str">
        <f>HYPERLINK(AB2 &amp; "/knife/sn_d06201a49cc91067179125d1d357cdf5/rendering/19.obj", "2.09622120857")</f>
        <v>2.09622120857</v>
      </c>
      <c r="W1340" s="12" t="s">
        <v>32</v>
      </c>
      <c r="X1340" s="13">
        <v>1.9094139218330379</v>
      </c>
      <c r="Y1340" s="13">
        <v>0.30116903990230792</v>
      </c>
      <c r="Z1340" s="79">
        <v>0.1577285241605369</v>
      </c>
    </row>
    <row r="1341" spans="1:26" x14ac:dyDescent="0.2">
      <c r="A1341" s="1">
        <v>1339</v>
      </c>
      <c r="B1341" s="2" t="s">
        <v>300</v>
      </c>
      <c r="C1341" s="13" t="str">
        <f>HYPERLINK(AC2 &amp; "/knife/sn_d06201a49cc91067179125d1d357cdf5/rendering/00.xyz", "0.0")</f>
        <v>0.0</v>
      </c>
      <c r="D1341" s="13" t="str">
        <f>HYPERLINK(AC2 &amp; "/knife/sn_d06201a49cc91067179125d1d357cdf5/rendering/01.xyz", "0.0")</f>
        <v>0.0</v>
      </c>
      <c r="E1341" s="13" t="str">
        <f>HYPERLINK(AC2 &amp; "/knife/sn_d06201a49cc91067179125d1d357cdf5/rendering/02.xyz", "0.0")</f>
        <v>0.0</v>
      </c>
      <c r="F1341" s="13" t="str">
        <f>HYPERLINK(AC2 &amp; "/knife/sn_d06201a49cc91067179125d1d357cdf5/rendering/03.xyz", "0.0")</f>
        <v>0.0</v>
      </c>
      <c r="G1341" s="13" t="str">
        <f>HYPERLINK(AC2 &amp; "/knife/sn_d06201a49cc91067179125d1d357cdf5/rendering/04.xyz", "0.0")</f>
        <v>0.0</v>
      </c>
      <c r="H1341" s="13" t="str">
        <f>HYPERLINK(AC2 &amp; "/knife/sn_d06201a49cc91067179125d1d357cdf5/rendering/05.xyz", "0.0")</f>
        <v>0.0</v>
      </c>
      <c r="I1341" s="13" t="str">
        <f>HYPERLINK(AC2 &amp; "/knife/sn_d06201a49cc91067179125d1d357cdf5/rendering/06.xyz", "0.0")</f>
        <v>0.0</v>
      </c>
      <c r="J1341" s="13" t="str">
        <f>HYPERLINK(AC2 &amp; "/knife/sn_d06201a49cc91067179125d1d357cdf5/rendering/07.xyz", "0.0")</f>
        <v>0.0</v>
      </c>
      <c r="K1341" s="13" t="str">
        <f>HYPERLINK(AC2 &amp; "/knife/sn_d06201a49cc91067179125d1d357cdf5/rendering/08.xyz", "0.0")</f>
        <v>0.0</v>
      </c>
      <c r="L1341" s="13" t="str">
        <f>HYPERLINK(AC2 &amp; "/knife/sn_d06201a49cc91067179125d1d357cdf5/rendering/09.xyz", "0.0")</f>
        <v>0.0</v>
      </c>
      <c r="M1341" s="13" t="str">
        <f>HYPERLINK(AC2 &amp; "/knife/sn_d06201a49cc91067179125d1d357cdf5/rendering/10.xyz", "0.0")</f>
        <v>0.0</v>
      </c>
      <c r="N1341" s="13" t="str">
        <f>HYPERLINK(AC2 &amp; "/knife/sn_d06201a49cc91067179125d1d357cdf5/rendering/11.xyz", "0.0")</f>
        <v>0.0</v>
      </c>
      <c r="O1341" s="13" t="str">
        <f>HYPERLINK(AC2 &amp; "/knife/sn_d06201a49cc91067179125d1d357cdf5/rendering/12.xyz", "0.0")</f>
        <v>0.0</v>
      </c>
      <c r="P1341" s="13" t="str">
        <f>HYPERLINK(AC2 &amp; "/knife/sn_d06201a49cc91067179125d1d357cdf5/rendering/13.xyz", "0.0")</f>
        <v>0.0</v>
      </c>
      <c r="Q1341" s="13" t="str">
        <f>HYPERLINK(AC2 &amp; "/knife/sn_d06201a49cc91067179125d1d357cdf5/rendering/14.xyz", "0.0")</f>
        <v>0.0</v>
      </c>
      <c r="R1341" s="13" t="str">
        <f>HYPERLINK(AC2 &amp; "/knife/sn_d06201a49cc91067179125d1d357cdf5/rendering/15.xyz", "0.0")</f>
        <v>0.0</v>
      </c>
      <c r="S1341" s="13" t="str">
        <f>HYPERLINK(AC2 &amp; "/knife/sn_d06201a49cc91067179125d1d357cdf5/rendering/16.xyz", "0.0")</f>
        <v>0.0</v>
      </c>
      <c r="T1341" s="13" t="str">
        <f>HYPERLINK(AC2 &amp; "/knife/sn_d06201a49cc91067179125d1d357cdf5/rendering/17.xyz", "0.0")</f>
        <v>0.0</v>
      </c>
      <c r="U1341" s="13" t="str">
        <f>HYPERLINK(AC2 &amp; "/knife/sn_d06201a49cc91067179125d1d357cdf5/rendering/18.xyz", "0.0")</f>
        <v>0.0</v>
      </c>
      <c r="V1341" s="13" t="str">
        <f>HYPERLINK(AC2 &amp; "/knife/sn_d06201a49cc91067179125d1d357cdf5/rendering/19.xyz", "0.0")</f>
        <v>0.0</v>
      </c>
      <c r="W1341" s="12" t="s">
        <v>33</v>
      </c>
      <c r="X1341" s="13">
        <v>0</v>
      </c>
      <c r="Y1341" s="13">
        <v>0</v>
      </c>
      <c r="Z1341" s="13">
        <v>0</v>
      </c>
    </row>
    <row r="1342" spans="1:26" x14ac:dyDescent="0.2">
      <c r="A1342" s="1">
        <v>1340</v>
      </c>
      <c r="B1342" s="2" t="s">
        <v>301</v>
      </c>
      <c r="C1342" s="182" t="str">
        <f>HYPERLINK(AA2 &amp; "/knife/sn_d179811d0522500f881796c365ec5f7e/rendering/00.obj", "3.77697875977")</f>
        <v>3.77697875977</v>
      </c>
      <c r="D1342" s="64" t="str">
        <f>HYPERLINK(AA2 &amp; "/knife/sn_d179811d0522500f881796c365ec5f7e/rendering/01.obj", "4.73889953613")</f>
        <v>4.73889953613</v>
      </c>
      <c r="E1342" s="56" t="str">
        <f>HYPERLINK(AA2 &amp; "/knife/sn_d179811d0522500f881796c365ec5f7e/rendering/02.obj", "3.9184286499")</f>
        <v>3.9184286499</v>
      </c>
      <c r="F1342" s="117" t="str">
        <f>HYPERLINK(AA2 &amp; "/knife/sn_d179811d0522500f881796c365ec5f7e/rendering/03.obj", "4.6741973877")</f>
        <v>4.6741973877</v>
      </c>
      <c r="G1342" s="87" t="str">
        <f>HYPERLINK(AA2 &amp; "/knife/sn_d179811d0522500f881796c365ec5f7e/rendering/04.obj", "4.3796182251")</f>
        <v>4.3796182251</v>
      </c>
      <c r="H1342" s="186" t="str">
        <f>HYPERLINK(AA2 &amp; "/knife/sn_d179811d0522500f881796c365ec5f7e/rendering/05.obj", "9.08346313477")</f>
        <v>9.08346313477</v>
      </c>
      <c r="I1342" s="176" t="str">
        <f>HYPERLINK(AA2 &amp; "/knife/sn_d179811d0522500f881796c365ec5f7e/rendering/06.obj", "3.8673614502")</f>
        <v>3.8673614502</v>
      </c>
      <c r="J1342" s="151" t="str">
        <f>HYPERLINK(AA2 &amp; "/knife/sn_d179811d0522500f881796c365ec5f7e/rendering/07.obj", "3.63209747314")</f>
        <v>3.63209747314</v>
      </c>
      <c r="K1342" s="93" t="str">
        <f>HYPERLINK(AA2 &amp; "/knife/sn_d179811d0522500f881796c365ec5f7e/rendering/08.obj", "6.46778198242")</f>
        <v>6.46778198242</v>
      </c>
      <c r="L1342" s="200" t="str">
        <f>HYPERLINK(AA2 &amp; "/knife/sn_d179811d0522500f881796c365ec5f7e/rendering/09.obj", "2.95442138672")</f>
        <v>2.95442138672</v>
      </c>
      <c r="M1342" s="82" t="str">
        <f>HYPERLINK(AA2 &amp; "/knife/sn_d179811d0522500f881796c365ec5f7e/rendering/10.obj", "4.51282226563")</f>
        <v>4.51282226563</v>
      </c>
      <c r="N1342" s="100" t="str">
        <f>HYPERLINK(AA2 &amp; "/knife/sn_d179811d0522500f881796c365ec5f7e/rendering/11.obj", "3.97299041748")</f>
        <v>3.97299041748</v>
      </c>
      <c r="O1342" s="192" t="str">
        <f>HYPERLINK(AA2 &amp; "/knife/sn_d179811d0522500f881796c365ec5f7e/rendering/12.obj", "3.56266113281")</f>
        <v>3.56266113281</v>
      </c>
      <c r="P1342" s="58" t="str">
        <f>HYPERLINK(AA2 &amp; "/knife/sn_d179811d0522500f881796c365ec5f7e/rendering/13.obj", "4.28985778809")</f>
        <v>4.28985778809</v>
      </c>
      <c r="Q1342" s="66" t="str">
        <f>HYPERLINK(AA2 &amp; "/knife/sn_d179811d0522500f881796c365ec5f7e/rendering/14.obj", "4.75872436523")</f>
        <v>4.75872436523</v>
      </c>
      <c r="R1342" s="46" t="str">
        <f>HYPERLINK(AA2 &amp; "/knife/sn_d179811d0522500f881796c365ec5f7e/rendering/15.obj", "5.76262329102")</f>
        <v>5.76262329102</v>
      </c>
      <c r="S1342" s="20" t="str">
        <f>HYPERLINK(AA2 &amp; "/knife/sn_d179811d0522500f881796c365ec5f7e/rendering/16.obj", "25.9593066406")</f>
        <v>25.9593066406</v>
      </c>
      <c r="T1342" s="80" t="str">
        <f>HYPERLINK(AA2 &amp; "/knife/sn_d179811d0522500f881796c365ec5f7e/rendering/17.obj", "4.82606414795")</f>
        <v>4.82606414795</v>
      </c>
      <c r="U1342" s="4" t="str">
        <f>HYPERLINK(AA2 &amp; "/knife/sn_d179811d0522500f881796c365ec5f7e/rendering/18.obj", "4.06229614258")</f>
        <v>4.06229614258</v>
      </c>
      <c r="V1342" s="170" t="str">
        <f>HYPERLINK(AA2 &amp; "/knife/sn_d179811d0522500f881796c365ec5f7e/rendering/19.obj", "4.23752258301")</f>
        <v>4.23752258301</v>
      </c>
      <c r="W1342" s="12" t="s">
        <v>29</v>
      </c>
      <c r="X1342" s="13">
        <v>5.6719058380126954</v>
      </c>
      <c r="Y1342" s="13">
        <v>4.8251875096442713</v>
      </c>
      <c r="Z1342" s="20">
        <v>0.85071713943243199</v>
      </c>
    </row>
    <row r="1343" spans="1:26" x14ac:dyDescent="0.2">
      <c r="A1343" s="1">
        <v>1341</v>
      </c>
      <c r="B1343" s="2" t="s">
        <v>301</v>
      </c>
      <c r="C1343" s="183" t="str">
        <f>HYPERLINK(AA2 &amp; "/knife/sn_d179811d0522500f881796c365ec5f7e/rendering/00.obj", "1.48279666901")</f>
        <v>1.48279666901</v>
      </c>
      <c r="D1343" s="256" t="str">
        <f>HYPERLINK(AA2 &amp; "/knife/sn_d179811d0522500f881796c365ec5f7e/rendering/01.obj", "2.2554795742")</f>
        <v>2.2554795742</v>
      </c>
      <c r="E1343" s="209" t="str">
        <f>HYPERLINK(AA2 &amp; "/knife/sn_d179811d0522500f881796c365ec5f7e/rendering/02.obj", "1.44502151012")</f>
        <v>1.44502151012</v>
      </c>
      <c r="F1343" s="190" t="str">
        <f>HYPERLINK(AA2 &amp; "/knife/sn_d179811d0522500f881796c365ec5f7e/rendering/03.obj", "1.81387650967")</f>
        <v>1.81387650967</v>
      </c>
      <c r="G1343" s="204" t="str">
        <f>HYPERLINK(AA2 &amp; "/knife/sn_d179811d0522500f881796c365ec5f7e/rendering/04.obj", "1.20989692211")</f>
        <v>1.20989692211</v>
      </c>
      <c r="H1343" s="116" t="str">
        <f>HYPERLINK(AA2 &amp; "/knife/sn_d179811d0522500f881796c365ec5f7e/rendering/05.obj", "8.53458023071")</f>
        <v>8.53458023071</v>
      </c>
      <c r="I1343" s="238" t="str">
        <f>HYPERLINK(AA2 &amp; "/knife/sn_d179811d0522500f881796c365ec5f7e/rendering/06.obj", "1.7518543005")</f>
        <v>1.7518543005</v>
      </c>
      <c r="J1343" s="20" t="str">
        <f>HYPERLINK(AA2 &amp; "/knife/sn_d179811d0522500f881796c365ec5f7e/rendering/07.obj", "1.16848993301")</f>
        <v>1.16848993301</v>
      </c>
      <c r="K1343" s="13" t="str">
        <f>HYPERLINK(AA2 &amp; "/knife/sn_d179811d0522500f881796c365ec5f7e/rendering/08.obj", "5.95058965683")</f>
        <v>5.95058965683</v>
      </c>
      <c r="L1343" s="20" t="str">
        <f>HYPERLINK(AA2 &amp; "/knife/sn_d179811d0522500f881796c365ec5f7e/rendering/09.obj", "0.968598306179")</f>
        <v>0.968598306179</v>
      </c>
      <c r="M1343" s="253" t="str">
        <f>HYPERLINK(AA2 &amp; "/knife/sn_d179811d0522500f881796c365ec5f7e/rendering/10.obj", "1.61801075935")</f>
        <v>1.61801075935</v>
      </c>
      <c r="N1343" s="20" t="str">
        <f>HYPERLINK(AA2 &amp; "/knife/sn_d179811d0522500f881796c365ec5f7e/rendering/11.obj", "1.20045828819")</f>
        <v>1.20045828819</v>
      </c>
      <c r="O1343" s="222" t="str">
        <f>HYPERLINK(AA2 &amp; "/knife/sn_d179811d0522500f881796c365ec5f7e/rendering/12.obj", "1.4924325943")</f>
        <v>1.4924325943</v>
      </c>
      <c r="P1343" s="20" t="str">
        <f>HYPERLINK(AA2 &amp; "/knife/sn_d179811d0522500f881796c365ec5f7e/rendering/13.obj", "1.0883692503")</f>
        <v>1.0883692503</v>
      </c>
      <c r="Q1343" s="221" t="str">
        <f>HYPERLINK(AA2 &amp; "/knife/sn_d179811d0522500f881796c365ec5f7e/rendering/14.obj", "2.6277282238")</f>
        <v>2.6277282238</v>
      </c>
      <c r="R1343" s="44" t="str">
        <f>HYPERLINK(AA2 &amp; "/knife/sn_d179811d0522500f881796c365ec5f7e/rendering/15.obj", "4.78012466431")</f>
        <v>4.78012466431</v>
      </c>
      <c r="S1343" s="20" t="str">
        <f>HYPERLINK(AA2 &amp; "/knife/sn_d179811d0522500f881796c365ec5f7e/rendering/16.obj", "73.5210723877")</f>
        <v>73.5210723877</v>
      </c>
      <c r="T1343" s="144" t="str">
        <f>HYPERLINK(AA2 &amp; "/knife/sn_d179811d0522500f881796c365ec5f7e/rendering/17.obj", "2.94830751419")</f>
        <v>2.94830751419</v>
      </c>
      <c r="U1343" s="154" t="str">
        <f>HYPERLINK(AA2 &amp; "/knife/sn_d179811d0522500f881796c365ec5f7e/rendering/18.obj", "1.51773846149")</f>
        <v>1.51773846149</v>
      </c>
      <c r="V1343" s="210" t="str">
        <f>HYPERLINK(AA2 &amp; "/knife/sn_d179811d0522500f881796c365ec5f7e/rendering/19.obj", "1.36475360394")</f>
        <v>1.36475360394</v>
      </c>
      <c r="W1343" s="12" t="s">
        <v>30</v>
      </c>
      <c r="X1343" s="13">
        <v>5.9370089679956433</v>
      </c>
      <c r="Y1343" s="13">
        <v>15.61764989623779</v>
      </c>
      <c r="Z1343" s="20">
        <v>2.630558582684837</v>
      </c>
    </row>
    <row r="1344" spans="1:26" x14ac:dyDescent="0.2">
      <c r="A1344" s="1">
        <v>1342</v>
      </c>
      <c r="B1344" s="2" t="s">
        <v>301</v>
      </c>
      <c r="C1344" s="5" t="str">
        <f>HYPERLINK(AB2 &amp; "/knife/sn_d179811d0522500f881796c365ec5f7e/rendering/00.obj", "3.49020355225")</f>
        <v>3.49020355225</v>
      </c>
      <c r="D1344" s="133" t="str">
        <f>HYPERLINK(AB2 &amp; "/knife/sn_d179811d0522500f881796c365ec5f7e/rendering/01.obj", "3.56751098633")</f>
        <v>3.56751098633</v>
      </c>
      <c r="E1344" s="74" t="str">
        <f>HYPERLINK(AB2 &amp; "/knife/sn_d179811d0522500f881796c365ec5f7e/rendering/02.obj", "3.28839569092")</f>
        <v>3.28839569092</v>
      </c>
      <c r="F1344" s="46" t="str">
        <f>HYPERLINK(AB2 &amp; "/knife/sn_d179811d0522500f881796c365ec5f7e/rendering/03.obj", "3.29761291504")</f>
        <v>3.29761291504</v>
      </c>
      <c r="G1344" s="26" t="str">
        <f>HYPERLINK(AB2 &amp; "/knife/sn_d179811d0522500f881796c365ec5f7e/rendering/04.obj", "3.03127746582")</f>
        <v>3.03127746582</v>
      </c>
      <c r="H1344" s="31" t="str">
        <f>HYPERLINK(AB2 &amp; "/knife/sn_d179811d0522500f881796c365ec5f7e/rendering/05.obj", "3.74093200684")</f>
        <v>3.74093200684</v>
      </c>
      <c r="I1344" s="33" t="str">
        <f>HYPERLINK(AB2 &amp; "/knife/sn_d179811d0522500f881796c365ec5f7e/rendering/06.obj", "3.58948547363")</f>
        <v>3.58948547363</v>
      </c>
      <c r="J1344" s="5" t="str">
        <f>HYPERLINK(AB2 &amp; "/knife/sn_d179811d0522500f881796c365ec5f7e/rendering/07.obj", "2.9884463501")</f>
        <v>2.9884463501</v>
      </c>
      <c r="K1344" s="46" t="str">
        <f>HYPERLINK(AB2 &amp; "/knife/sn_d179811d0522500f881796c365ec5f7e/rendering/08.obj", "3.18427947998")</f>
        <v>3.18427947998</v>
      </c>
      <c r="L1344" s="72" t="str">
        <f>HYPERLINK(AB2 &amp; "/knife/sn_d179811d0522500f881796c365ec5f7e/rendering/09.obj", "3.13804260254")</f>
        <v>3.13804260254</v>
      </c>
      <c r="M1344" s="91" t="str">
        <f>HYPERLINK(AB2 &amp; "/knife/sn_d179811d0522500f881796c365ec5f7e/rendering/10.obj", "3.15546234131")</f>
        <v>3.15546234131</v>
      </c>
      <c r="N1344" s="13" t="str">
        <f>HYPERLINK(AB2 &amp; "/knife/sn_d179811d0522500f881796c365ec5f7e/rendering/11.obj", "3.23502502441")</f>
        <v>3.23502502441</v>
      </c>
      <c r="O1344" s="90" t="str">
        <f>HYPERLINK(AB2 &amp; "/knife/sn_d179811d0522500f881796c365ec5f7e/rendering/12.obj", "3.5474230957")</f>
        <v>3.5474230957</v>
      </c>
      <c r="P1344" s="70" t="str">
        <f>HYPERLINK(AB2 &amp; "/knife/sn_d179811d0522500f881796c365ec5f7e/rendering/13.obj", "2.82752380371")</f>
        <v>2.82752380371</v>
      </c>
      <c r="Q1344" s="26" t="str">
        <f>HYPERLINK(AB2 &amp; "/knife/sn_d179811d0522500f881796c365ec5f7e/rendering/14.obj", "3.03520111084")</f>
        <v>3.03520111084</v>
      </c>
      <c r="R1344" s="38" t="str">
        <f>HYPERLINK(AB2 &amp; "/knife/sn_d179811d0522500f881796c365ec5f7e/rendering/15.obj", "2.95421234131")</f>
        <v>2.95421234131</v>
      </c>
      <c r="S1344" s="5" t="str">
        <f>HYPERLINK(AB2 &amp; "/knife/sn_d179811d0522500f881796c365ec5f7e/rendering/16.obj", "2.9887310791")</f>
        <v>2.9887310791</v>
      </c>
      <c r="T1344" s="46" t="str">
        <f>HYPERLINK(AB2 &amp; "/knife/sn_d179811d0522500f881796c365ec5f7e/rendering/17.obj", "3.29312805176")</f>
        <v>3.29312805176</v>
      </c>
      <c r="U1344" s="6" t="str">
        <f>HYPERLINK(AB2 &amp; "/knife/sn_d179811d0522500f881796c365ec5f7e/rendering/18.obj", "3.09117248535")</f>
        <v>3.09117248535</v>
      </c>
      <c r="V1344" s="73" t="str">
        <f>HYPERLINK(AB2 &amp; "/knife/sn_d179811d0522500f881796c365ec5f7e/rendering/19.obj", "3.35657287598")</f>
        <v>3.35657287598</v>
      </c>
      <c r="W1344" s="12" t="s">
        <v>31</v>
      </c>
      <c r="X1344" s="13">
        <v>3.2400319366455079</v>
      </c>
      <c r="Y1344" s="13">
        <v>0.24146176328118249</v>
      </c>
      <c r="Z1344" s="94">
        <v>7.4524500993398954E-2</v>
      </c>
    </row>
    <row r="1345" spans="1:26" x14ac:dyDescent="0.2">
      <c r="A1345" s="1">
        <v>1343</v>
      </c>
      <c r="B1345" s="2" t="s">
        <v>301</v>
      </c>
      <c r="C1345" s="65" t="str">
        <f>HYPERLINK(AB2 &amp; "/knife/sn_d179811d0522500f881796c365ec5f7e/rendering/00.obj", "0.901433825493")</f>
        <v>0.901433825493</v>
      </c>
      <c r="D1345" s="110" t="str">
        <f>HYPERLINK(AB2 &amp; "/knife/sn_d179811d0522500f881796c365ec5f7e/rendering/01.obj", "1.14082026482")</f>
        <v>1.14082026482</v>
      </c>
      <c r="E1345" s="6" t="str">
        <f>HYPERLINK(AB2 &amp; "/knife/sn_d179811d0522500f881796c365ec5f7e/rendering/02.obj", "1.08448171616")</f>
        <v>1.08448171616</v>
      </c>
      <c r="F1345" s="67" t="str">
        <f>HYPERLINK(AB2 &amp; "/knife/sn_d179811d0522500f881796c365ec5f7e/rendering/03.obj", "1.13580858707")</f>
        <v>1.13580858707</v>
      </c>
      <c r="G1345" s="110" t="str">
        <f>HYPERLINK(AB2 &amp; "/knife/sn_d179811d0522500f881796c365ec5f7e/rendering/04.obj", "0.936168909073")</f>
        <v>0.936168909073</v>
      </c>
      <c r="H1345" s="73" t="str">
        <f>HYPERLINK(AB2 &amp; "/knife/sn_d179811d0522500f881796c365ec5f7e/rendering/05.obj", "1.07695484161")</f>
        <v>1.07695484161</v>
      </c>
      <c r="I1345" s="29" t="str">
        <f>HYPERLINK(AB2 &amp; "/knife/sn_d179811d0522500f881796c365ec5f7e/rendering/06.obj", "0.903080463409")</f>
        <v>0.903080463409</v>
      </c>
      <c r="J1345" s="91" t="str">
        <f>HYPERLINK(AB2 &amp; "/knife/sn_d179811d0522500f881796c365ec5f7e/rendering/07.obj", "1.064909935")</f>
        <v>1.064909935</v>
      </c>
      <c r="K1345" s="66" t="str">
        <f>HYPERLINK(AB2 &amp; "/knife/sn_d179811d0522500f881796c365ec5f7e/rendering/08.obj", "1.20634412766")</f>
        <v>1.20634412766</v>
      </c>
      <c r="L1345" s="24" t="str">
        <f>HYPERLINK(AB2 &amp; "/knife/sn_d179811d0522500f881796c365ec5f7e/rendering/09.obj", "0.865253865719")</f>
        <v>0.865253865719</v>
      </c>
      <c r="M1345" s="23" t="str">
        <f>HYPERLINK(AB2 &amp; "/knife/sn_d179811d0522500f881796c365ec5f7e/rendering/10.obj", "0.999128758907")</f>
        <v>0.999128758907</v>
      </c>
      <c r="N1345" s="28" t="str">
        <f>HYPERLINK(AB2 &amp; "/knife/sn_d179811d0522500f881796c365ec5f7e/rendering/11.obj", "0.92300260067")</f>
        <v>0.92300260067</v>
      </c>
      <c r="O1345" s="41" t="str">
        <f>HYPERLINK(AB2 &amp; "/knife/sn_d179811d0522500f881796c365ec5f7e/rendering/12.obj", "1.10794401169")</f>
        <v>1.10794401169</v>
      </c>
      <c r="P1345" s="13" t="str">
        <f>HYPERLINK(AB2 &amp; "/knife/sn_d179811d0522500f881796c365ec5f7e/rendering/13.obj", "1.0356336832")</f>
        <v>1.0356336832</v>
      </c>
      <c r="Q1345" s="80" t="str">
        <f>HYPERLINK(AB2 &amp; "/knife/sn_d179811d0522500f881796c365ec5f7e/rendering/14.obj", "0.883832037449")</f>
        <v>0.883832037449</v>
      </c>
      <c r="R1345" s="136" t="str">
        <f>HYPERLINK(AB2 &amp; "/knife/sn_d179811d0522500f881796c365ec5f7e/rendering/15.obj", "1.28334343433")</f>
        <v>1.28334343433</v>
      </c>
      <c r="S1345" s="27" t="str">
        <f>HYPERLINK(AB2 &amp; "/knife/sn_d179811d0522500f881796c365ec5f7e/rendering/16.obj", "1.11255276203")</f>
        <v>1.11255276203</v>
      </c>
      <c r="T1345" s="25" t="str">
        <f>HYPERLINK(AB2 &amp; "/knife/sn_d179811d0522500f881796c365ec5f7e/rendering/17.obj", "1.04864168167")</f>
        <v>1.04864168167</v>
      </c>
      <c r="U1345" s="26" t="str">
        <f>HYPERLINK(AB2 &amp; "/knife/sn_d179811d0522500f881796c365ec5f7e/rendering/18.obj", "0.972484946251")</f>
        <v>0.972484946251</v>
      </c>
      <c r="V1345" s="60" t="str">
        <f>HYPERLINK(AB2 &amp; "/knife/sn_d179811d0522500f881796c365ec5f7e/rendering/19.obj", "1.09164118767")</f>
        <v>1.09164118767</v>
      </c>
      <c r="W1345" s="12" t="s">
        <v>32</v>
      </c>
      <c r="X1345" s="13">
        <v>1.0386730819940571</v>
      </c>
      <c r="Y1345" s="13">
        <v>0.11098897345785901</v>
      </c>
      <c r="Z1345" s="33">
        <v>0.10685650314994311</v>
      </c>
    </row>
    <row r="1346" spans="1:26" x14ac:dyDescent="0.2">
      <c r="A1346" s="1">
        <v>1344</v>
      </c>
      <c r="B1346" s="2" t="s">
        <v>301</v>
      </c>
      <c r="C1346" s="13" t="str">
        <f>HYPERLINK(AC2 &amp; "/knife/sn_d179811d0522500f881796c365ec5f7e/rendering/00.xyz", "0.0")</f>
        <v>0.0</v>
      </c>
      <c r="D1346" s="13" t="str">
        <f>HYPERLINK(AC2 &amp; "/knife/sn_d179811d0522500f881796c365ec5f7e/rendering/01.xyz", "0.0")</f>
        <v>0.0</v>
      </c>
      <c r="E1346" s="13" t="str">
        <f>HYPERLINK(AC2 &amp; "/knife/sn_d179811d0522500f881796c365ec5f7e/rendering/02.xyz", "0.0")</f>
        <v>0.0</v>
      </c>
      <c r="F1346" s="13" t="str">
        <f>HYPERLINK(AC2 &amp; "/knife/sn_d179811d0522500f881796c365ec5f7e/rendering/03.xyz", "0.0")</f>
        <v>0.0</v>
      </c>
      <c r="G1346" s="13" t="str">
        <f>HYPERLINK(AC2 &amp; "/knife/sn_d179811d0522500f881796c365ec5f7e/rendering/04.xyz", "0.0")</f>
        <v>0.0</v>
      </c>
      <c r="H1346" s="13" t="str">
        <f>HYPERLINK(AC2 &amp; "/knife/sn_d179811d0522500f881796c365ec5f7e/rendering/05.xyz", "0.0")</f>
        <v>0.0</v>
      </c>
      <c r="I1346" s="13" t="str">
        <f>HYPERLINK(AC2 &amp; "/knife/sn_d179811d0522500f881796c365ec5f7e/rendering/06.xyz", "0.0")</f>
        <v>0.0</v>
      </c>
      <c r="J1346" s="13" t="str">
        <f>HYPERLINK(AC2 &amp; "/knife/sn_d179811d0522500f881796c365ec5f7e/rendering/07.xyz", "0.0")</f>
        <v>0.0</v>
      </c>
      <c r="K1346" s="13" t="str">
        <f>HYPERLINK(AC2 &amp; "/knife/sn_d179811d0522500f881796c365ec5f7e/rendering/08.xyz", "0.0")</f>
        <v>0.0</v>
      </c>
      <c r="L1346" s="13" t="str">
        <f>HYPERLINK(AC2 &amp; "/knife/sn_d179811d0522500f881796c365ec5f7e/rendering/09.xyz", "0.0")</f>
        <v>0.0</v>
      </c>
      <c r="M1346" s="13" t="str">
        <f>HYPERLINK(AC2 &amp; "/knife/sn_d179811d0522500f881796c365ec5f7e/rendering/10.xyz", "0.0")</f>
        <v>0.0</v>
      </c>
      <c r="N1346" s="13" t="str">
        <f>HYPERLINK(AC2 &amp; "/knife/sn_d179811d0522500f881796c365ec5f7e/rendering/11.xyz", "0.0")</f>
        <v>0.0</v>
      </c>
      <c r="O1346" s="13" t="str">
        <f>HYPERLINK(AC2 &amp; "/knife/sn_d179811d0522500f881796c365ec5f7e/rendering/12.xyz", "0.0")</f>
        <v>0.0</v>
      </c>
      <c r="P1346" s="13" t="str">
        <f>HYPERLINK(AC2 &amp; "/knife/sn_d179811d0522500f881796c365ec5f7e/rendering/13.xyz", "0.0")</f>
        <v>0.0</v>
      </c>
      <c r="Q1346" s="13" t="str">
        <f>HYPERLINK(AC2 &amp; "/knife/sn_d179811d0522500f881796c365ec5f7e/rendering/14.xyz", "0.0")</f>
        <v>0.0</v>
      </c>
      <c r="R1346" s="13" t="str">
        <f>HYPERLINK(AC2 &amp; "/knife/sn_d179811d0522500f881796c365ec5f7e/rendering/15.xyz", "0.0")</f>
        <v>0.0</v>
      </c>
      <c r="S1346" s="13" t="str">
        <f>HYPERLINK(AC2 &amp; "/knife/sn_d179811d0522500f881796c365ec5f7e/rendering/16.xyz", "0.0")</f>
        <v>0.0</v>
      </c>
      <c r="T1346" s="13" t="str">
        <f>HYPERLINK(AC2 &amp; "/knife/sn_d179811d0522500f881796c365ec5f7e/rendering/17.xyz", "0.0")</f>
        <v>0.0</v>
      </c>
      <c r="U1346" s="13" t="str">
        <f>HYPERLINK(AC2 &amp; "/knife/sn_d179811d0522500f881796c365ec5f7e/rendering/18.xyz", "0.0")</f>
        <v>0.0</v>
      </c>
      <c r="V1346" s="13" t="str">
        <f>HYPERLINK(AC2 &amp; "/knife/sn_d179811d0522500f881796c365ec5f7e/rendering/19.xyz", "0.0")</f>
        <v>0.0</v>
      </c>
      <c r="W1346" s="12" t="s">
        <v>33</v>
      </c>
      <c r="X1346" s="13">
        <v>0</v>
      </c>
      <c r="Y1346" s="13">
        <v>0</v>
      </c>
      <c r="Z1346" s="13">
        <v>0</v>
      </c>
    </row>
    <row r="1347" spans="1:26" x14ac:dyDescent="0.2">
      <c r="A1347" s="1">
        <v>1345</v>
      </c>
      <c r="B1347" s="2" t="s">
        <v>302</v>
      </c>
      <c r="C1347" s="196" t="str">
        <f>HYPERLINK(AA2 &amp; "/knife/sn_d1c757548ead4a4d8d03ca4865da5b6/rendering/00.obj", "8.01610107422")</f>
        <v>8.01610107422</v>
      </c>
      <c r="D1347" s="114" t="str">
        <f>HYPERLINK(AA2 &amp; "/knife/sn_d1c757548ead4a4d8d03ca4865da5b6/rendering/01.obj", "3.09621520996")</f>
        <v>3.09621520996</v>
      </c>
      <c r="E1347" s="20" t="str">
        <f>HYPERLINK(AA2 &amp; "/knife/sn_d1c757548ead4a4d8d03ca4865da5b6/rendering/02.obj", "10.853840332")</f>
        <v>10.853840332</v>
      </c>
      <c r="F1347" s="72" t="str">
        <f>HYPERLINK(AA2 &amp; "/knife/sn_d1c757548ead4a4d8d03ca4865da5b6/rendering/03.obj", "5.54627807617")</f>
        <v>5.54627807617</v>
      </c>
      <c r="G1347" s="57" t="str">
        <f>HYPERLINK(AA2 &amp; "/knife/sn_d1c757548ead4a4d8d03ca4865da5b6/rendering/04.obj", "3.92531829834")</f>
        <v>3.92531829834</v>
      </c>
      <c r="H1347" s="169" t="str">
        <f>HYPERLINK(AA2 &amp; "/knife/sn_d1c757548ead4a4d8d03ca4865da5b6/rendering/05.obj", "3.95326873779")</f>
        <v>3.95326873779</v>
      </c>
      <c r="I1347" s="195" t="str">
        <f>HYPERLINK(AA2 &amp; "/knife/sn_d1c757548ead4a4d8d03ca4865da5b6/rendering/06.obj", "2.59280975342")</f>
        <v>2.59280975342</v>
      </c>
      <c r="J1347" s="206" t="str">
        <f>HYPERLINK(AA2 &amp; "/knife/sn_d1c757548ead4a4d8d03ca4865da5b6/rendering/07.obj", "9.13633544922")</f>
        <v>9.13633544922</v>
      </c>
      <c r="K1347" s="182" t="str">
        <f>HYPERLINK(AA2 &amp; "/knife/sn_d1c757548ead4a4d8d03ca4865da5b6/rendering/08.obj", "3.82827392578")</f>
        <v>3.82827392578</v>
      </c>
      <c r="L1347" s="20" t="str">
        <f>HYPERLINK(AA2 &amp; "/knife/sn_d1c757548ead4a4d8d03ca4865da5b6/rendering/09.obj", "14.921965332")</f>
        <v>14.921965332</v>
      </c>
      <c r="M1347" s="109" t="str">
        <f>HYPERLINK(AA2 &amp; "/knife/sn_d1c757548ead4a4d8d03ca4865da5b6/rendering/10.obj", "4.64706359863")</f>
        <v>4.64706359863</v>
      </c>
      <c r="N1347" s="167" t="str">
        <f>HYPERLINK(AA2 &amp; "/knife/sn_d1c757548ead4a4d8d03ca4865da5b6/rendering/11.obj", "2.26765670776")</f>
        <v>2.26765670776</v>
      </c>
      <c r="O1347" s="20" t="str">
        <f>HYPERLINK(AA2 &amp; "/knife/sn_d1c757548ead4a4d8d03ca4865da5b6/rendering/12.obj", "10.4112573242")</f>
        <v>10.4112573242</v>
      </c>
      <c r="P1347" s="50" t="str">
        <f>HYPERLINK(AA2 &amp; "/knife/sn_d1c757548ead4a4d8d03ca4865da5b6/rendering/13.obj", "4.59134399414")</f>
        <v>4.59134399414</v>
      </c>
      <c r="Q1347" s="101" t="str">
        <f>HYPERLINK(AA2 &amp; "/knife/sn_d1c757548ead4a4d8d03ca4865da5b6/rendering/14.obj", "3.57039306641")</f>
        <v>3.57039306641</v>
      </c>
      <c r="R1347" s="128" t="str">
        <f>HYPERLINK(AA2 &amp; "/knife/sn_d1c757548ead4a4d8d03ca4865da5b6/rendering/15.obj", "3.49089691162")</f>
        <v>3.49089691162</v>
      </c>
      <c r="S1347" s="16" t="str">
        <f>HYPERLINK(AA2 &amp; "/knife/sn_d1c757548ead4a4d8d03ca4865da5b6/rendering/16.obj", "2.613203125")</f>
        <v>2.613203125</v>
      </c>
      <c r="T1347" s="98" t="str">
        <f>HYPERLINK(AA2 &amp; "/knife/sn_d1c757548ead4a4d8d03ca4865da5b6/rendering/17.obj", "4.42249084473")</f>
        <v>4.42249084473</v>
      </c>
      <c r="U1347" s="164" t="str">
        <f>HYPERLINK(AA2 &amp; "/knife/sn_d1c757548ead4a4d8d03ca4865da5b6/rendering/18.obj", "9.38929931641")</f>
        <v>9.38929931641</v>
      </c>
      <c r="V1347" s="101" t="str">
        <f>HYPERLINK(AA2 &amp; "/knife/sn_d1c757548ead4a4d8d03ca4865da5b6/rendering/19.obj", "3.57015197754")</f>
        <v>3.57015197754</v>
      </c>
      <c r="W1347" s="12" t="s">
        <v>29</v>
      </c>
      <c r="X1347" s="13">
        <v>5.7422081527709974</v>
      </c>
      <c r="Y1347" s="13">
        <v>3.3907469557938121</v>
      </c>
      <c r="Z1347" s="206">
        <v>0.59049530521765403</v>
      </c>
    </row>
    <row r="1348" spans="1:26" x14ac:dyDescent="0.2">
      <c r="A1348" s="1">
        <v>1346</v>
      </c>
      <c r="B1348" s="2" t="s">
        <v>302</v>
      </c>
      <c r="C1348" s="41" t="str">
        <f>HYPERLINK(AA2 &amp; "/knife/sn_d1c757548ead4a4d8d03ca4865da5b6/rendering/00.obj", "4.84114789963")</f>
        <v>4.84114789963</v>
      </c>
      <c r="D1348" s="206" t="str">
        <f>HYPERLINK(AA2 &amp; "/knife/sn_d1c757548ead4a4d8d03ca4865da5b6/rendering/01.obj", "2.12230205536")</f>
        <v>2.12230205536</v>
      </c>
      <c r="E1348" s="20" t="str">
        <f>HYPERLINK(AA2 &amp; "/knife/sn_d1c757548ead4a4d8d03ca4865da5b6/rendering/02.obj", "12.3732585907")</f>
        <v>12.3732585907</v>
      </c>
      <c r="F1348" s="170" t="str">
        <f>HYPERLINK(AA2 &amp; "/knife/sn_d1c757548ead4a4d8d03ca4865da5b6/rendering/03.obj", "3.88377404213")</f>
        <v>3.88377404213</v>
      </c>
      <c r="G1348" s="202" t="str">
        <f>HYPERLINK(AA2 &amp; "/knife/sn_d1c757548ead4a4d8d03ca4865da5b6/rendering/04.obj", "1.92918038368")</f>
        <v>1.92918038368</v>
      </c>
      <c r="H1348" s="206" t="str">
        <f>HYPERLINK(AA2 &amp; "/knife/sn_d1c757548ead4a4d8d03ca4865da5b6/rendering/05.obj", "2.11701393127")</f>
        <v>2.11701393127</v>
      </c>
      <c r="I1348" s="243" t="str">
        <f>HYPERLINK(AA2 &amp; "/knife/sn_d1c757548ead4a4d8d03ca4865da5b6/rendering/06.obj", "1.14634335041")</f>
        <v>1.14634335041</v>
      </c>
      <c r="J1348" s="183" t="str">
        <f>HYPERLINK(AA2 &amp; "/knife/sn_d1c757548ead4a4d8d03ca4865da5b6/rendering/07.obj", "9.09728431702")</f>
        <v>9.09728431702</v>
      </c>
      <c r="K1348" s="162" t="str">
        <f>HYPERLINK(AA2 &amp; "/knife/sn_d1c757548ead4a4d8d03ca4865da5b6/rendering/08.obj", "2.98263287544")</f>
        <v>2.98263287544</v>
      </c>
      <c r="L1348" s="20" t="str">
        <f>HYPERLINK(AA2 &amp; "/knife/sn_d1c757548ead4a4d8d03ca4865da5b6/rendering/09.obj", "21.4202880859")</f>
        <v>21.4202880859</v>
      </c>
      <c r="M1348" s="152" t="str">
        <f>HYPERLINK(AA2 &amp; "/knife/sn_d1c757548ead4a4d8d03ca4865da5b6/rendering/10.obj", "3.08409118652")</f>
        <v>3.08409118652</v>
      </c>
      <c r="N1348" s="242" t="str">
        <f>HYPERLINK(AA2 &amp; "/knife/sn_d1c757548ead4a4d8d03ca4865da5b6/rendering/11.obj", "1.38086616993")</f>
        <v>1.38086616993</v>
      </c>
      <c r="O1348" s="20" t="str">
        <f>HYPERLINK(AA2 &amp; "/knife/sn_d1c757548ead4a4d8d03ca4865da5b6/rendering/12.obj", "10.8829097748")</f>
        <v>10.8829097748</v>
      </c>
      <c r="P1348" s="200" t="str">
        <f>HYPERLINK(AA2 &amp; "/knife/sn_d1c757548ead4a4d8d03ca4865da5b6/rendering/13.obj", "2.70269489288")</f>
        <v>2.70269489288</v>
      </c>
      <c r="Q1348" s="178" t="str">
        <f>HYPERLINK(AA2 &amp; "/knife/sn_d1c757548ead4a4d8d03ca4865da5b6/rendering/14.obj", "1.83466076851")</f>
        <v>1.83466076851</v>
      </c>
      <c r="R1348" s="130" t="str">
        <f>HYPERLINK(AA2 &amp; "/knife/sn_d1c757548ead4a4d8d03ca4865da5b6/rendering/15.obj", "2.84698939323")</f>
        <v>2.84698939323</v>
      </c>
      <c r="S1348" s="208" t="str">
        <f>HYPERLINK(AA2 &amp; "/knife/sn_d1c757548ead4a4d8d03ca4865da5b6/rendering/16.obj", "1.21985864639")</f>
        <v>1.21985864639</v>
      </c>
      <c r="T1348" s="104" t="str">
        <f>HYPERLINK(AA2 &amp; "/knife/sn_d1c757548ead4a4d8d03ca4865da5b6/rendering/17.obj", "2.7320497036")</f>
        <v>2.7320497036</v>
      </c>
      <c r="U1348" s="20" t="str">
        <f>HYPERLINK(AA2 &amp; "/knife/sn_d1c757548ead4a4d8d03ca4865da5b6/rendering/18.obj", "12.704706192")</f>
        <v>12.704706192</v>
      </c>
      <c r="V1348" s="15" t="str">
        <f>HYPERLINK(AA2 &amp; "/knife/sn_d1c757548ead4a4d8d03ca4865da5b6/rendering/19.obj", "2.55732226372")</f>
        <v>2.55732226372</v>
      </c>
      <c r="W1348" s="12" t="s">
        <v>30</v>
      </c>
      <c r="X1348" s="13">
        <v>5.1929687261581421</v>
      </c>
      <c r="Y1348" s="13">
        <v>5.207303838659989</v>
      </c>
      <c r="Z1348" s="20">
        <v>1.0027604850438701</v>
      </c>
    </row>
    <row r="1349" spans="1:26" x14ac:dyDescent="0.2">
      <c r="A1349" s="1">
        <v>1347</v>
      </c>
      <c r="B1349" s="2" t="s">
        <v>302</v>
      </c>
      <c r="C1349" s="23" t="str">
        <f>HYPERLINK(AB2 &amp; "/knife/sn_d1c757548ead4a4d8d03ca4865da5b6/rendering/00.obj", "2.91771759033")</f>
        <v>2.91771759033</v>
      </c>
      <c r="D1349" s="46" t="str">
        <f>HYPERLINK(AB2 &amp; "/knife/sn_d1c757548ead4a4d8d03ca4865da5b6/rendering/01.obj", "3.08720458984")</f>
        <v>3.08720458984</v>
      </c>
      <c r="E1349" s="81" t="str">
        <f>HYPERLINK(AB2 &amp; "/knife/sn_d1c757548ead4a4d8d03ca4865da5b6/rendering/02.obj", "3.69773193359")</f>
        <v>3.69773193359</v>
      </c>
      <c r="F1349" s="65" t="str">
        <f>HYPERLINK(AB2 &amp; "/knife/sn_d1c757548ead4a4d8d03ca4865da5b6/rendering/03.obj", "3.43926513672")</f>
        <v>3.43926513672</v>
      </c>
      <c r="G1349" s="44" t="str">
        <f>HYPERLINK(AB2 &amp; "/knife/sn_d1c757548ead4a4d8d03ca4865da5b6/rendering/04.obj", "2.43847106934")</f>
        <v>2.43847106934</v>
      </c>
      <c r="H1349" s="23" t="str">
        <f>HYPERLINK(AB2 &amp; "/knife/sn_d1c757548ead4a4d8d03ca4865da5b6/rendering/05.obj", "3.15406463623")</f>
        <v>3.15406463623</v>
      </c>
      <c r="I1349" s="30" t="str">
        <f>HYPERLINK(AB2 &amp; "/knife/sn_d1c757548ead4a4d8d03ca4865da5b6/rendering/06.obj", "3.04284912109")</f>
        <v>3.04284912109</v>
      </c>
      <c r="J1349" s="49" t="str">
        <f>HYPERLINK(AB2 &amp; "/knife/sn_d1c757548ead4a4d8d03ca4865da5b6/rendering/07.obj", "3.66127990723")</f>
        <v>3.66127990723</v>
      </c>
      <c r="K1349" s="133" t="str">
        <f>HYPERLINK(AB2 &amp; "/knife/sn_d1c757548ead4a4d8d03ca4865da5b6/rendering/08.obj", "2.72860870361")</f>
        <v>2.72860870361</v>
      </c>
      <c r="L1349" s="25" t="str">
        <f>HYPERLINK(AB2 &amp; "/knife/sn_d1c757548ead4a4d8d03ca4865da5b6/rendering/09.obj", "3.06827697754")</f>
        <v>3.06827697754</v>
      </c>
      <c r="M1349" s="38" t="str">
        <f>HYPERLINK(AB2 &amp; "/knife/sn_d1c757548ead4a4d8d03ca4865da5b6/rendering/10.obj", "3.30284606934")</f>
        <v>3.30284606934</v>
      </c>
      <c r="N1349" s="133" t="str">
        <f>HYPERLINK(AB2 &amp; "/knife/sn_d1c757548ead4a4d8d03ca4865da5b6/rendering/11.obj", "3.34528015137")</f>
        <v>3.34528015137</v>
      </c>
      <c r="O1349" s="29" t="str">
        <f>HYPERLINK(AB2 &amp; "/knife/sn_d1c757548ead4a4d8d03ca4865da5b6/rendering/12.obj", "3.4239453125")</f>
        <v>3.4239453125</v>
      </c>
      <c r="P1349" s="47" t="str">
        <f>HYPERLINK(AB2 &amp; "/knife/sn_d1c757548ead4a4d8d03ca4865da5b6/rendering/13.obj", "3.00586120605")</f>
        <v>3.00586120605</v>
      </c>
      <c r="Q1349" s="83" t="str">
        <f>HYPERLINK(AB2 &amp; "/knife/sn_d1c757548ead4a4d8d03ca4865da5b6/rendering/14.obj", "2.57269042969")</f>
        <v>2.57269042969</v>
      </c>
      <c r="R1349" s="92" t="str">
        <f>HYPERLINK(AB2 &amp; "/knife/sn_d1c757548ead4a4d8d03ca4865da5b6/rendering/15.obj", "2.65926940918")</f>
        <v>2.65926940918</v>
      </c>
      <c r="S1349" s="106" t="str">
        <f>HYPERLINK(AB2 &amp; "/knife/sn_d1c757548ead4a4d8d03ca4865da5b6/rendering/16.obj", "2.68265289307")</f>
        <v>2.68265289307</v>
      </c>
      <c r="T1349" s="76" t="str">
        <f>HYPERLINK(AB2 &amp; "/knife/sn_d1c757548ead4a4d8d03ca4865da5b6/rendering/17.obj", "2.48094238281")</f>
        <v>2.48094238281</v>
      </c>
      <c r="U1349" s="51" t="str">
        <f>HYPERLINK(AB2 &amp; "/knife/sn_d1c757548ead4a4d8d03ca4865da5b6/rendering/18.obj", "2.79082611084")</f>
        <v>2.79082611084</v>
      </c>
      <c r="V1349" s="68" t="str">
        <f>HYPERLINK(AB2 &amp; "/knife/sn_d1c757548ead4a4d8d03ca4865da5b6/rendering/19.obj", "3.16254486084")</f>
        <v>3.16254486084</v>
      </c>
      <c r="W1349" s="12" t="s">
        <v>31</v>
      </c>
      <c r="X1349" s="13">
        <v>3.0331164245605469</v>
      </c>
      <c r="Y1349" s="13">
        <v>0.36458270985582392</v>
      </c>
      <c r="Z1349" s="63">
        <v>0.1202006975082226</v>
      </c>
    </row>
    <row r="1350" spans="1:26" x14ac:dyDescent="0.2">
      <c r="A1350" s="1">
        <v>1348</v>
      </c>
      <c r="B1350" s="2" t="s">
        <v>302</v>
      </c>
      <c r="C1350" s="30" t="str">
        <f>HYPERLINK(AB2 &amp; "/knife/sn_d1c757548ead4a4d8d03ca4865da5b6/rendering/00.obj", "1.23062038422")</f>
        <v>1.23062038422</v>
      </c>
      <c r="D1350" s="13" t="str">
        <f>HYPERLINK(AB2 &amp; "/knife/sn_d1c757548ead4a4d8d03ca4865da5b6/rendering/01.obj", "1.2265805006")</f>
        <v>1.2265805006</v>
      </c>
      <c r="E1350" s="39" t="str">
        <f>HYPERLINK(AB2 &amp; "/knife/sn_d1c757548ead4a4d8d03ca4865da5b6/rendering/02.obj", "1.32893800735")</f>
        <v>1.32893800735</v>
      </c>
      <c r="F1350" s="136" t="str">
        <f>HYPERLINK(AB2 &amp; "/knife/sn_d1c757548ead4a4d8d03ca4865da5b6/rendering/03.obj", "1.51357388496")</f>
        <v>1.51357388496</v>
      </c>
      <c r="G1350" s="110" t="str">
        <f>HYPERLINK(AB2 &amp; "/knife/sn_d1c757548ead4a4d8d03ca4865da5b6/rendering/04.obj", "1.10264217854")</f>
        <v>1.10264217854</v>
      </c>
      <c r="H1350" s="65" t="str">
        <f>HYPERLINK(AB2 &amp; "/knife/sn_d1c757548ead4a4d8d03ca4865da5b6/rendering/05.obj", "1.38667809963")</f>
        <v>1.38667809963</v>
      </c>
      <c r="I1350" s="133" t="str">
        <f>HYPERLINK(AB2 &amp; "/knife/sn_d1c757548ead4a4d8d03ca4865da5b6/rendering/06.obj", "1.10021924973")</f>
        <v>1.10021924973</v>
      </c>
      <c r="J1350" s="86" t="str">
        <f>HYPERLINK(AB2 &amp; "/knife/sn_d1c757548ead4a4d8d03ca4865da5b6/rendering/07.obj", "1.55423355103")</f>
        <v>1.55423355103</v>
      </c>
      <c r="K1350" s="92" t="str">
        <f>HYPERLINK(AB2 &amp; "/knife/sn_d1c757548ead4a4d8d03ca4865da5b6/rendering/08.obj", "1.07389605045")</f>
        <v>1.07389605045</v>
      </c>
      <c r="L1350" s="94" t="str">
        <f>HYPERLINK(AB2 &amp; "/knife/sn_d1c757548ead4a4d8d03ca4865da5b6/rendering/09.obj", "1.13613271713")</f>
        <v>1.13613271713</v>
      </c>
      <c r="M1350" s="83" t="str">
        <f>HYPERLINK(AB2 &amp; "/knife/sn_d1c757548ead4a4d8d03ca4865da5b6/rendering/10.obj", "1.03986656666")</f>
        <v>1.03986656666</v>
      </c>
      <c r="N1350" s="61" t="str">
        <f>HYPERLINK(AB2 &amp; "/knife/sn_d1c757548ead4a4d8d03ca4865da5b6/rendering/11.obj", "1.59719026089")</f>
        <v>1.59719026089</v>
      </c>
      <c r="O1350" s="46" t="str">
        <f>HYPERLINK(AB2 &amp; "/knife/sn_d1c757548ead4a4d8d03ca4865da5b6/rendering/12.obj", "1.20264434814")</f>
        <v>1.20264434814</v>
      </c>
      <c r="P1350" s="26" t="str">
        <f>HYPERLINK(AB2 &amp; "/knife/sn_d1c757548ead4a4d8d03ca4865da5b6/rendering/13.obj", "1.14778447151")</f>
        <v>1.14778447151</v>
      </c>
      <c r="Q1350" s="93" t="str">
        <f>HYPERLINK(AB2 &amp; "/knife/sn_d1c757548ead4a4d8d03ca4865da5b6/rendering/14.obj", "1.05283033848")</f>
        <v>1.05283033848</v>
      </c>
      <c r="R1350" s="39" t="str">
        <f>HYPERLINK(AB2 &amp; "/knife/sn_d1c757548ead4a4d8d03ca4865da5b6/rendering/15.obj", "1.11934971809")</f>
        <v>1.11934971809</v>
      </c>
      <c r="S1350" s="110" t="str">
        <f>HYPERLINK(AB2 &amp; "/knife/sn_d1c757548ead4a4d8d03ca4865da5b6/rendering/16.obj", "1.10325622559")</f>
        <v>1.10325622559</v>
      </c>
      <c r="T1350" s="84" t="str">
        <f>HYPERLINK(AB2 &amp; "/knife/sn_d1c757548ead4a4d8d03ca4865da5b6/rendering/17.obj", "1.04732882977")</f>
        <v>1.04732882977</v>
      </c>
      <c r="U1350" s="23" t="str">
        <f>HYPERLINK(AB2 &amp; "/knife/sn_d1c757548ead4a4d8d03ca4865da5b6/rendering/18.obj", "1.27105093002")</f>
        <v>1.27105093002</v>
      </c>
      <c r="V1350" s="69" t="str">
        <f>HYPERLINK(AB2 &amp; "/knife/sn_d1c757548ead4a4d8d03ca4865da5b6/rendering/19.obj", "1.26245594025")</f>
        <v>1.26245594025</v>
      </c>
      <c r="W1350" s="12" t="s">
        <v>32</v>
      </c>
      <c r="X1350" s="13">
        <v>1.2248636126518251</v>
      </c>
      <c r="Y1350" s="13">
        <v>0.16731651332369499</v>
      </c>
      <c r="Z1350" s="42">
        <v>0.13660011742977279</v>
      </c>
    </row>
    <row r="1351" spans="1:26" x14ac:dyDescent="0.2">
      <c r="A1351" s="1">
        <v>1349</v>
      </c>
      <c r="B1351" s="2" t="s">
        <v>302</v>
      </c>
      <c r="C1351" s="13" t="str">
        <f>HYPERLINK(AC2 &amp; "/knife/sn_d1c757548ead4a4d8d03ca4865da5b6/rendering/00.xyz", "0.0")</f>
        <v>0.0</v>
      </c>
      <c r="D1351" s="13" t="str">
        <f>HYPERLINK(AC2 &amp; "/knife/sn_d1c757548ead4a4d8d03ca4865da5b6/rendering/01.xyz", "0.0")</f>
        <v>0.0</v>
      </c>
      <c r="E1351" s="13" t="str">
        <f>HYPERLINK(AC2 &amp; "/knife/sn_d1c757548ead4a4d8d03ca4865da5b6/rendering/02.xyz", "0.0")</f>
        <v>0.0</v>
      </c>
      <c r="F1351" s="13" t="str">
        <f>HYPERLINK(AC2 &amp; "/knife/sn_d1c757548ead4a4d8d03ca4865da5b6/rendering/03.xyz", "0.0")</f>
        <v>0.0</v>
      </c>
      <c r="G1351" s="13" t="str">
        <f>HYPERLINK(AC2 &amp; "/knife/sn_d1c757548ead4a4d8d03ca4865da5b6/rendering/04.xyz", "0.0")</f>
        <v>0.0</v>
      </c>
      <c r="H1351" s="13" t="str">
        <f>HYPERLINK(AC2 &amp; "/knife/sn_d1c757548ead4a4d8d03ca4865da5b6/rendering/05.xyz", "0.0")</f>
        <v>0.0</v>
      </c>
      <c r="I1351" s="13" t="str">
        <f>HYPERLINK(AC2 &amp; "/knife/sn_d1c757548ead4a4d8d03ca4865da5b6/rendering/06.xyz", "0.0")</f>
        <v>0.0</v>
      </c>
      <c r="J1351" s="13" t="str">
        <f>HYPERLINK(AC2 &amp; "/knife/sn_d1c757548ead4a4d8d03ca4865da5b6/rendering/07.xyz", "0.0")</f>
        <v>0.0</v>
      </c>
      <c r="K1351" s="13" t="str">
        <f>HYPERLINK(AC2 &amp; "/knife/sn_d1c757548ead4a4d8d03ca4865da5b6/rendering/08.xyz", "0.0")</f>
        <v>0.0</v>
      </c>
      <c r="L1351" s="13" t="str">
        <f>HYPERLINK(AC2 &amp; "/knife/sn_d1c757548ead4a4d8d03ca4865da5b6/rendering/09.xyz", "0.0")</f>
        <v>0.0</v>
      </c>
      <c r="M1351" s="13" t="str">
        <f>HYPERLINK(AC2 &amp; "/knife/sn_d1c757548ead4a4d8d03ca4865da5b6/rendering/10.xyz", "0.0")</f>
        <v>0.0</v>
      </c>
      <c r="N1351" s="13" t="str">
        <f>HYPERLINK(AC2 &amp; "/knife/sn_d1c757548ead4a4d8d03ca4865da5b6/rendering/11.xyz", "0.0")</f>
        <v>0.0</v>
      </c>
      <c r="O1351" s="13" t="str">
        <f>HYPERLINK(AC2 &amp; "/knife/sn_d1c757548ead4a4d8d03ca4865da5b6/rendering/12.xyz", "0.0")</f>
        <v>0.0</v>
      </c>
      <c r="P1351" s="13" t="str">
        <f>HYPERLINK(AC2 &amp; "/knife/sn_d1c757548ead4a4d8d03ca4865da5b6/rendering/13.xyz", "0.0")</f>
        <v>0.0</v>
      </c>
      <c r="Q1351" s="13" t="str">
        <f>HYPERLINK(AC2 &amp; "/knife/sn_d1c757548ead4a4d8d03ca4865da5b6/rendering/14.xyz", "0.0")</f>
        <v>0.0</v>
      </c>
      <c r="R1351" s="13" t="str">
        <f>HYPERLINK(AC2 &amp; "/knife/sn_d1c757548ead4a4d8d03ca4865da5b6/rendering/15.xyz", "0.0")</f>
        <v>0.0</v>
      </c>
      <c r="S1351" s="13" t="str">
        <f>HYPERLINK(AC2 &amp; "/knife/sn_d1c757548ead4a4d8d03ca4865da5b6/rendering/16.xyz", "0.0")</f>
        <v>0.0</v>
      </c>
      <c r="T1351" s="13" t="str">
        <f>HYPERLINK(AC2 &amp; "/knife/sn_d1c757548ead4a4d8d03ca4865da5b6/rendering/17.xyz", "0.0")</f>
        <v>0.0</v>
      </c>
      <c r="U1351" s="13" t="str">
        <f>HYPERLINK(AC2 &amp; "/knife/sn_d1c757548ead4a4d8d03ca4865da5b6/rendering/18.xyz", "0.0")</f>
        <v>0.0</v>
      </c>
      <c r="V1351" s="13" t="str">
        <f>HYPERLINK(AC2 &amp; "/knife/sn_d1c757548ead4a4d8d03ca4865da5b6/rendering/19.xyz", "0.0")</f>
        <v>0.0</v>
      </c>
      <c r="W1351" s="12" t="s">
        <v>33</v>
      </c>
      <c r="X1351" s="13">
        <v>0</v>
      </c>
      <c r="Y1351" s="13">
        <v>0</v>
      </c>
      <c r="Z1351" s="13">
        <v>0</v>
      </c>
    </row>
    <row r="1352" spans="1:26" x14ac:dyDescent="0.2">
      <c r="A1352" s="1">
        <v>1350</v>
      </c>
      <c r="B1352" s="2" t="s">
        <v>303</v>
      </c>
      <c r="C1352" s="20" t="str">
        <f>HYPERLINK(AA2 &amp; "/knife/sn_d243969f5010c6c29b5844aa8fc56c71/rendering/00.obj", "34.0980664062")</f>
        <v>34.0980664062</v>
      </c>
      <c r="D1352" s="239" t="str">
        <f>HYPERLINK(AA2 &amp; "/knife/sn_d243969f5010c6c29b5844aa8fc56c71/rendering/01.obj", "26.6757080078")</f>
        <v>26.6757080078</v>
      </c>
      <c r="E1352" s="188" t="str">
        <f>HYPERLINK(AA2 &amp; "/knife/sn_d243969f5010c6c29b5844aa8fc56c71/rendering/02.obj", "4.70484069824")</f>
        <v>4.70484069824</v>
      </c>
      <c r="F1352" s="251" t="str">
        <f>HYPERLINK(AA2 &amp; "/knife/sn_d243969f5010c6c29b5844aa8fc56c71/rendering/03.obj", "6.82788085938")</f>
        <v>6.82788085938</v>
      </c>
      <c r="G1352" s="215" t="str">
        <f>HYPERLINK(AA2 &amp; "/knife/sn_d243969f5010c6c29b5844aa8fc56c71/rendering/04.obj", "5.4833770752")</f>
        <v>5.4833770752</v>
      </c>
      <c r="H1352" s="83" t="str">
        <f>HYPERLINK(AA2 &amp; "/knife/sn_d243969f5010c6c29b5844aa8fc56c71/rendering/05.obj", "14.0777636719")</f>
        <v>14.0777636719</v>
      </c>
      <c r="I1352" s="151" t="str">
        <f>HYPERLINK(AA2 &amp; "/knife/sn_d243969f5010c6c29b5844aa8fc56c71/rendering/06.obj", "10.6040576172")</f>
        <v>10.6040576172</v>
      </c>
      <c r="J1352" s="126" t="str">
        <f>HYPERLINK(AA2 &amp; "/knife/sn_d243969f5010c6c29b5844aa8fc56c71/rendering/07.obj", "24.9134643555")</f>
        <v>24.9134643555</v>
      </c>
      <c r="K1352" s="20" t="str">
        <f>HYPERLINK(AA2 &amp; "/knife/sn_d243969f5010c6c29b5844aa8fc56c71/rendering/08.obj", "33.2759130859")</f>
        <v>33.2759130859</v>
      </c>
      <c r="L1352" s="136" t="str">
        <f>HYPERLINK(AA2 &amp; "/knife/sn_d243969f5010c6c29b5844aa8fc56c71/rendering/09.obj", "20.4926831055")</f>
        <v>20.4926831055</v>
      </c>
      <c r="M1352" s="158" t="str">
        <f>HYPERLINK(AA2 &amp; "/knife/sn_d243969f5010c6c29b5844aa8fc56c71/rendering/10.obj", "9.79606750488")</f>
        <v>9.79606750488</v>
      </c>
      <c r="N1352" s="8" t="str">
        <f>HYPERLINK(AA2 &amp; "/knife/sn_d243969f5010c6c29b5844aa8fc56c71/rendering/11.obj", "18.9670019531")</f>
        <v>18.9670019531</v>
      </c>
      <c r="O1352" s="231" t="str">
        <f>HYPERLINK(AA2 &amp; "/knife/sn_d243969f5010c6c29b5844aa8fc56c71/rendering/12.obj", "7.03059020996")</f>
        <v>7.03059020996</v>
      </c>
      <c r="P1352" s="17" t="str">
        <f>HYPERLINK(AA2 &amp; "/knife/sn_d243969f5010c6c29b5844aa8fc56c71/rendering/13.obj", "16.9125683594")</f>
        <v>16.9125683594</v>
      </c>
      <c r="Q1352" s="20" t="str">
        <f>HYPERLINK(AA2 &amp; "/knife/sn_d243969f5010c6c29b5844aa8fc56c71/rendering/14.obj", "30.8258642578")</f>
        <v>30.8258642578</v>
      </c>
      <c r="R1352" s="189" t="str">
        <f>HYPERLINK(AA2 &amp; "/knife/sn_d243969f5010c6c29b5844aa8fc56c71/rendering/15.obj", "6.20144897461")</f>
        <v>6.20144897461</v>
      </c>
      <c r="S1352" s="198" t="str">
        <f>HYPERLINK(AA2 &amp; "/knife/sn_d243969f5010c6c29b5844aa8fc56c71/rendering/16.obj", "10.160802002")</f>
        <v>10.160802002</v>
      </c>
      <c r="T1352" s="197" t="str">
        <f>HYPERLINK(AA2 &amp; "/knife/sn_d243969f5010c6c29b5844aa8fc56c71/rendering/17.obj", "7.19200134277")</f>
        <v>7.19200134277</v>
      </c>
      <c r="U1352" s="139" t="str">
        <f>HYPERLINK(AA2 &amp; "/knife/sn_d243969f5010c6c29b5844aa8fc56c71/rendering/18.obj", "8.6185559082")</f>
        <v>8.6185559082</v>
      </c>
      <c r="V1352" s="20" t="str">
        <f>HYPERLINK(AA2 &amp; "/knife/sn_d243969f5010c6c29b5844aa8fc56c71/rendering/19.obj", "34.8958935547")</f>
        <v>34.8958935547</v>
      </c>
      <c r="W1352" s="12" t="s">
        <v>29</v>
      </c>
      <c r="X1352" s="13">
        <v>16.587727447509771</v>
      </c>
      <c r="Y1352" s="13">
        <v>10.38128808441472</v>
      </c>
      <c r="Z1352" s="189">
        <v>0.62584149138363188</v>
      </c>
    </row>
    <row r="1353" spans="1:26" x14ac:dyDescent="0.2">
      <c r="A1353" s="1">
        <v>1351</v>
      </c>
      <c r="B1353" s="2" t="s">
        <v>303</v>
      </c>
      <c r="C1353" s="20" t="str">
        <f>HYPERLINK(AA2 &amp; "/knife/sn_d243969f5010c6c29b5844aa8fc56c71/rendering/00.obj", "262.035552979")</f>
        <v>262.035552979</v>
      </c>
      <c r="D1353" s="20" t="str">
        <f>HYPERLINK(AA2 &amp; "/knife/sn_d243969f5010c6c29b5844aa8fc56c71/rendering/01.obj", "270.193450928")</f>
        <v>270.193450928</v>
      </c>
      <c r="E1353" s="20" t="str">
        <f>HYPERLINK(AA2 &amp; "/knife/sn_d243969f5010c6c29b5844aa8fc56c71/rendering/02.obj", "3.78651332855")</f>
        <v>3.78651332855</v>
      </c>
      <c r="F1353" s="20" t="str">
        <f>HYPERLINK(AA2 &amp; "/knife/sn_d243969f5010c6c29b5844aa8fc56c71/rendering/03.obj", "3.88671255112")</f>
        <v>3.88671255112</v>
      </c>
      <c r="G1353" s="20" t="str">
        <f>HYPERLINK(AA2 &amp; "/knife/sn_d243969f5010c6c29b5844aa8fc56c71/rendering/04.obj", "2.37423467636")</f>
        <v>2.37423467636</v>
      </c>
      <c r="H1353" s="144" t="str">
        <f>HYPERLINK(AA2 &amp; "/knife/sn_d243969f5010c6c29b5844aa8fc56c71/rendering/05.obj", "49.0286026001")</f>
        <v>49.0286026001</v>
      </c>
      <c r="I1353" s="215" t="str">
        <f>HYPERLINK(AA2 &amp; "/knife/sn_d243969f5010c6c29b5844aa8fc56c71/rendering/06.obj", "32.5449829102")</f>
        <v>32.5449829102</v>
      </c>
      <c r="J1353" s="40" t="str">
        <f>HYPERLINK(AA2 &amp; "/knife/sn_d243969f5010c6c29b5844aa8fc56c71/rendering/07.obj", "115.206314087")</f>
        <v>115.206314087</v>
      </c>
      <c r="K1353" s="20" t="str">
        <f>HYPERLINK(AA2 &amp; "/knife/sn_d243969f5010c6c29b5844aa8fc56c71/rendering/08.obj", "421.584228516")</f>
        <v>421.584228516</v>
      </c>
      <c r="L1353" s="76" t="str">
        <f>HYPERLINK(AA2 &amp; "/knife/sn_d243969f5010c6c29b5844aa8fc56c71/rendering/09.obj", "80.4030761719")</f>
        <v>80.4030761719</v>
      </c>
      <c r="M1353" s="199" t="str">
        <f>HYPERLINK(AA2 &amp; "/knife/sn_d243969f5010c6c29b5844aa8fc56c71/rendering/10.obj", "20.9924697876")</f>
        <v>20.9924697876</v>
      </c>
      <c r="N1353" s="138" t="str">
        <f>HYPERLINK(AA2 &amp; "/knife/sn_d243969f5010c6c29b5844aa8fc56c71/rendering/11.obj", "65.3997039795")</f>
        <v>65.3997039795</v>
      </c>
      <c r="O1353" s="20" t="str">
        <f>HYPERLINK(AA2 &amp; "/knife/sn_d243969f5010c6c29b5844aa8fc56c71/rendering/12.obj", "3.70010066032")</f>
        <v>3.70010066032</v>
      </c>
      <c r="P1353" s="172" t="str">
        <f>HYPERLINK(AA2 &amp; "/knife/sn_d243969f5010c6c29b5844aa8fc56c71/rendering/13.obj", "60.6227264404")</f>
        <v>60.6227264404</v>
      </c>
      <c r="Q1353" s="20" t="str">
        <f>HYPERLINK(AA2 &amp; "/knife/sn_d243969f5010c6c29b5844aa8fc56c71/rendering/14.obj", "209.50932312")</f>
        <v>209.50932312</v>
      </c>
      <c r="R1353" s="20" t="str">
        <f>HYPERLINK(AA2 &amp; "/knife/sn_d243969f5010c6c29b5844aa8fc56c71/rendering/15.obj", "3.31377100945")</f>
        <v>3.31377100945</v>
      </c>
      <c r="S1353" s="204" t="str">
        <f>HYPERLINK(AA2 &amp; "/knife/sn_d243969f5010c6c29b5844aa8fc56c71/rendering/16.obj", "20.0867652893")</f>
        <v>20.0867652893</v>
      </c>
      <c r="T1353" s="20" t="str">
        <f>HYPERLINK(AA2 &amp; "/knife/sn_d243969f5010c6c29b5844aa8fc56c71/rendering/17.obj", "5.14994716644")</f>
        <v>5.14994716644</v>
      </c>
      <c r="U1353" s="20" t="str">
        <f>HYPERLINK(AA2 &amp; "/knife/sn_d243969f5010c6c29b5844aa8fc56c71/rendering/18.obj", "19.3800697327")</f>
        <v>19.3800697327</v>
      </c>
      <c r="V1353" s="20" t="str">
        <f>HYPERLINK(AA2 &amp; "/knife/sn_d243969f5010c6c29b5844aa8fc56c71/rendering/19.obj", "320.265808105")</f>
        <v>320.265808105</v>
      </c>
      <c r="W1353" s="12" t="s">
        <v>30</v>
      </c>
      <c r="X1353" s="13">
        <v>98.473217701911921</v>
      </c>
      <c r="Y1353" s="13">
        <v>123.3660478848266</v>
      </c>
      <c r="Z1353" s="20">
        <v>1.252787821540144</v>
      </c>
    </row>
    <row r="1354" spans="1:26" x14ac:dyDescent="0.2">
      <c r="A1354" s="1">
        <v>1352</v>
      </c>
      <c r="B1354" s="2" t="s">
        <v>303</v>
      </c>
      <c r="C1354" s="10" t="str">
        <f>HYPERLINK(AB2 &amp; "/knife/sn_d243969f5010c6c29b5844aa8fc56c71/rendering/00.obj", "5.28845214844")</f>
        <v>5.28845214844</v>
      </c>
      <c r="D1354" s="69" t="str">
        <f>HYPERLINK(AB2 &amp; "/knife/sn_d243969f5010c6c29b5844aa8fc56c71/rendering/01.obj", "5.43428649902")</f>
        <v>5.43428649902</v>
      </c>
      <c r="E1354" s="75" t="str">
        <f>HYPERLINK(AB2 &amp; "/knife/sn_d243969f5010c6c29b5844aa8fc56c71/rendering/02.obj", "4.35594146729")</f>
        <v>4.35594146729</v>
      </c>
      <c r="F1354" s="25" t="str">
        <f>HYPERLINK(AB2 &amp; "/knife/sn_d243969f5010c6c29b5844aa8fc56c71/rendering/03.obj", "5.5504876709")</f>
        <v>5.5504876709</v>
      </c>
      <c r="G1354" s="10" t="str">
        <f>HYPERLINK(AB2 &amp; "/knife/sn_d243969f5010c6c29b5844aa8fc56c71/rendering/04.obj", "5.90921142578")</f>
        <v>5.90921142578</v>
      </c>
      <c r="H1354" s="73" t="str">
        <f>HYPERLINK(AB2 &amp; "/knife/sn_d243969f5010c6c29b5844aa8fc56c71/rendering/05.obj", "5.80513122559")</f>
        <v>5.80513122559</v>
      </c>
      <c r="I1354" s="69" t="str">
        <f>HYPERLINK(AB2 &amp; "/knife/sn_d243969f5010c6c29b5844aa8fc56c71/rendering/06.obj", "5.4430480957")</f>
        <v>5.4430480957</v>
      </c>
      <c r="J1354" s="69" t="str">
        <f>HYPERLINK(AB2 &amp; "/knife/sn_d243969f5010c6c29b5844aa8fc56c71/rendering/07.obj", "5.43808898926")</f>
        <v>5.43808898926</v>
      </c>
      <c r="K1354" s="17" t="str">
        <f>HYPERLINK(AB2 &amp; "/knife/sn_d243969f5010c6c29b5844aa8fc56c71/rendering/08.obj", "5.72663391113")</f>
        <v>5.72663391113</v>
      </c>
      <c r="L1354" s="51" t="str">
        <f>HYPERLINK(AB2 &amp; "/knife/sn_d243969f5010c6c29b5844aa8fc56c71/rendering/09.obj", "5.16190917969")</f>
        <v>5.16190917969</v>
      </c>
      <c r="M1354" s="10" t="str">
        <f>HYPERLINK(AB2 &amp; "/knife/sn_d243969f5010c6c29b5844aa8fc56c71/rendering/10.obj", "5.91400085449")</f>
        <v>5.91400085449</v>
      </c>
      <c r="N1354" s="27" t="str">
        <f>HYPERLINK(AB2 &amp; "/knife/sn_d243969f5010c6c29b5844aa8fc56c71/rendering/11.obj", "5.2021105957")</f>
        <v>5.2021105957</v>
      </c>
      <c r="O1354" s="82" t="str">
        <f>HYPERLINK(AB2 &amp; "/knife/sn_d243969f5010c6c29b5844aa8fc56c71/rendering/12.obj", "6.74911315918")</f>
        <v>6.74911315918</v>
      </c>
      <c r="P1354" s="72" t="str">
        <f>HYPERLINK(AB2 &amp; "/knife/sn_d243969f5010c6c29b5844aa8fc56c71/rendering/13.obj", "5.79169494629")</f>
        <v>5.79169494629</v>
      </c>
      <c r="Q1354" s="25" t="str">
        <f>HYPERLINK(AB2 &amp; "/knife/sn_d243969f5010c6c29b5844aa8fc56c71/rendering/14.obj", "5.66959106445")</f>
        <v>5.66959106445</v>
      </c>
      <c r="R1354" s="67" t="str">
        <f>HYPERLINK(AB2 &amp; "/knife/sn_d243969f5010c6c29b5844aa8fc56c71/rendering/15.obj", "6.12295654297")</f>
        <v>6.12295654297</v>
      </c>
      <c r="S1354" s="107" t="str">
        <f>HYPERLINK(AB2 &amp; "/knife/sn_d243969f5010c6c29b5844aa8fc56c71/rendering/16.obj", "6.06907836914")</f>
        <v>6.06907836914</v>
      </c>
      <c r="T1354" s="35" t="str">
        <f>HYPERLINK(AB2 &amp; "/knife/sn_d243969f5010c6c29b5844aa8fc56c71/rendering/17.obj", "5.28141113281")</f>
        <v>5.28141113281</v>
      </c>
      <c r="U1354" s="90" t="str">
        <f>HYPERLINK(AB2 &amp; "/knife/sn_d243969f5010c6c29b5844aa8fc56c71/rendering/18.obj", "5.07502746582")</f>
        <v>5.07502746582</v>
      </c>
      <c r="V1354" s="39" t="str">
        <f>HYPERLINK(AB2 &amp; "/knife/sn_d243969f5010c6c29b5844aa8fc56c71/rendering/19.obj", "6.08488952637")</f>
        <v>6.08488952637</v>
      </c>
      <c r="W1354" s="12" t="s">
        <v>31</v>
      </c>
      <c r="X1354" s="13">
        <v>5.6036532135009756</v>
      </c>
      <c r="Y1354" s="13">
        <v>0.48967248783237172</v>
      </c>
      <c r="Z1354" s="39">
        <v>8.738450956468817E-2</v>
      </c>
    </row>
    <row r="1355" spans="1:26" x14ac:dyDescent="0.2">
      <c r="A1355" s="1">
        <v>1353</v>
      </c>
      <c r="B1355" s="2" t="s">
        <v>303</v>
      </c>
      <c r="C1355" s="78" t="str">
        <f>HYPERLINK(AB2 &amp; "/knife/sn_d243969f5010c6c29b5844aa8fc56c71/rendering/00.obj", "2.03117895126")</f>
        <v>2.03117895126</v>
      </c>
      <c r="D1355" s="88" t="str">
        <f>HYPERLINK(AB2 &amp; "/knife/sn_d243969f5010c6c29b5844aa8fc56c71/rendering/01.obj", "1.72257614136")</f>
        <v>1.72257614136</v>
      </c>
      <c r="E1355" s="41" t="str">
        <f>HYPERLINK(AB2 &amp; "/knife/sn_d243969f5010c6c29b5844aa8fc56c71/rendering/02.obj", "2.3047542572")</f>
        <v>2.3047542572</v>
      </c>
      <c r="F1355" s="74" t="str">
        <f>HYPERLINK(AB2 &amp; "/knife/sn_d243969f5010c6c29b5844aa8fc56c71/rendering/03.obj", "2.19023180008")</f>
        <v>2.19023180008</v>
      </c>
      <c r="G1355" s="41" t="str">
        <f>HYPERLINK(AB2 &amp; "/knife/sn_d243969f5010c6c29b5844aa8fc56c71/rendering/04.obj", "2.30753207207")</f>
        <v>2.30753207207</v>
      </c>
      <c r="H1355" s="37" t="str">
        <f>HYPERLINK(AB2 &amp; "/knife/sn_d243969f5010c6c29b5844aa8fc56c71/rendering/05.obj", "1.78214848042")</f>
        <v>1.78214848042</v>
      </c>
      <c r="I1355" s="46" t="str">
        <f>HYPERLINK(AB2 &amp; "/knife/sn_d243969f5010c6c29b5844aa8fc56c71/rendering/06.obj", "2.122423172")</f>
        <v>2.122423172</v>
      </c>
      <c r="J1355" s="95" t="str">
        <f>HYPERLINK(AB2 &amp; "/knife/sn_d243969f5010c6c29b5844aa8fc56c71/rendering/07.obj", "2.76745200157")</f>
        <v>2.76745200157</v>
      </c>
      <c r="K1355" s="36" t="str">
        <f>HYPERLINK(AB2 &amp; "/knife/sn_d243969f5010c6c29b5844aa8fc56c71/rendering/08.obj", "1.69776380062")</f>
        <v>1.69776380062</v>
      </c>
      <c r="L1355" s="33" t="str">
        <f>HYPERLINK(AB2 &amp; "/knife/sn_d243969f5010c6c29b5844aa8fc56c71/rendering/09.obj", "1.9248303175")</f>
        <v>1.9248303175</v>
      </c>
      <c r="M1355" s="71" t="str">
        <f>HYPERLINK(AB2 &amp; "/knife/sn_d243969f5010c6c29b5844aa8fc56c71/rendering/10.obj", "1.90790855885")</f>
        <v>1.90790855885</v>
      </c>
      <c r="N1355" s="256" t="str">
        <f>HYPERLINK(AB2 &amp; "/knife/sn_d243969f5010c6c29b5844aa8fc56c71/rendering/11.obj", "3.49827742577")</f>
        <v>3.49827742577</v>
      </c>
      <c r="O1355" s="28" t="str">
        <f>HYPERLINK(AB2 &amp; "/knife/sn_d243969f5010c6c29b5844aa8fc56c71/rendering/12.obj", "1.91877996922")</f>
        <v>1.91877996922</v>
      </c>
      <c r="P1355" s="214" t="str">
        <f>HYPERLINK(AB2 &amp; "/knife/sn_d243969f5010c6c29b5844aa8fc56c71/rendering/13.obj", "3.49415040016")</f>
        <v>3.49415040016</v>
      </c>
      <c r="Q1355" s="38" t="str">
        <f>HYPERLINK(AB2 &amp; "/knife/sn_d243969f5010c6c29b5844aa8fc56c71/rendering/14.obj", "1.9656662941")</f>
        <v>1.9656662941</v>
      </c>
      <c r="R1355" s="29" t="str">
        <f>HYPERLINK(AB2 &amp; "/knife/sn_d243969f5010c6c29b5844aa8fc56c71/rendering/15.obj", "1.87662303448")</f>
        <v>1.87662303448</v>
      </c>
      <c r="S1355" s="67" t="str">
        <f>HYPERLINK(AB2 &amp; "/knife/sn_d243969f5010c6c29b5844aa8fc56c71/rendering/16.obj", "1.95774078369")</f>
        <v>1.95774078369</v>
      </c>
      <c r="T1355" s="76" t="str">
        <f>HYPERLINK(AB2 &amp; "/knife/sn_d243969f5010c6c29b5844aa8fc56c71/rendering/17.obj", "1.76512551308")</f>
        <v>1.76512551308</v>
      </c>
      <c r="U1355" s="107" t="str">
        <f>HYPERLINK(AB2 &amp; "/knife/sn_d243969f5010c6c29b5844aa8fc56c71/rendering/18.obj", "1.97790145874")</f>
        <v>1.97790145874</v>
      </c>
      <c r="V1355" s="5" t="str">
        <f>HYPERLINK(AB2 &amp; "/knife/sn_d243969f5010c6c29b5844aa8fc56c71/rendering/19.obj", "1.99729847908")</f>
        <v>1.99729847908</v>
      </c>
      <c r="W1355" s="12" t="s">
        <v>32</v>
      </c>
      <c r="X1355" s="13">
        <v>2.1605181455612179</v>
      </c>
      <c r="Y1355" s="13">
        <v>0.50502112658136822</v>
      </c>
      <c r="Z1355" s="175">
        <v>0.23375000465463969</v>
      </c>
    </row>
    <row r="1356" spans="1:26" x14ac:dyDescent="0.2">
      <c r="A1356" s="1">
        <v>1354</v>
      </c>
      <c r="B1356" s="2" t="s">
        <v>303</v>
      </c>
      <c r="C1356" s="13" t="str">
        <f>HYPERLINK(AC2 &amp; "/knife/sn_d243969f5010c6c29b5844aa8fc56c71/rendering/00.xyz", "0.0")</f>
        <v>0.0</v>
      </c>
      <c r="D1356" s="13" t="str">
        <f>HYPERLINK(AC2 &amp; "/knife/sn_d243969f5010c6c29b5844aa8fc56c71/rendering/01.xyz", "0.0")</f>
        <v>0.0</v>
      </c>
      <c r="E1356" s="13" t="str">
        <f>HYPERLINK(AC2 &amp; "/knife/sn_d243969f5010c6c29b5844aa8fc56c71/rendering/02.xyz", "0.0")</f>
        <v>0.0</v>
      </c>
      <c r="F1356" s="13" t="str">
        <f>HYPERLINK(AC2 &amp; "/knife/sn_d243969f5010c6c29b5844aa8fc56c71/rendering/03.xyz", "0.0")</f>
        <v>0.0</v>
      </c>
      <c r="G1356" s="13" t="str">
        <f>HYPERLINK(AC2 &amp; "/knife/sn_d243969f5010c6c29b5844aa8fc56c71/rendering/04.xyz", "0.0")</f>
        <v>0.0</v>
      </c>
      <c r="H1356" s="13" t="str">
        <f>HYPERLINK(AC2 &amp; "/knife/sn_d243969f5010c6c29b5844aa8fc56c71/rendering/05.xyz", "0.0")</f>
        <v>0.0</v>
      </c>
      <c r="I1356" s="13" t="str">
        <f>HYPERLINK(AC2 &amp; "/knife/sn_d243969f5010c6c29b5844aa8fc56c71/rendering/06.xyz", "0.0")</f>
        <v>0.0</v>
      </c>
      <c r="J1356" s="13" t="str">
        <f>HYPERLINK(AC2 &amp; "/knife/sn_d243969f5010c6c29b5844aa8fc56c71/rendering/07.xyz", "0.0")</f>
        <v>0.0</v>
      </c>
      <c r="K1356" s="13" t="str">
        <f>HYPERLINK(AC2 &amp; "/knife/sn_d243969f5010c6c29b5844aa8fc56c71/rendering/08.xyz", "0.0")</f>
        <v>0.0</v>
      </c>
      <c r="L1356" s="13" t="str">
        <f>HYPERLINK(AC2 &amp; "/knife/sn_d243969f5010c6c29b5844aa8fc56c71/rendering/09.xyz", "0.0")</f>
        <v>0.0</v>
      </c>
      <c r="M1356" s="13" t="str">
        <f>HYPERLINK(AC2 &amp; "/knife/sn_d243969f5010c6c29b5844aa8fc56c71/rendering/10.xyz", "0.0")</f>
        <v>0.0</v>
      </c>
      <c r="N1356" s="13" t="str">
        <f>HYPERLINK(AC2 &amp; "/knife/sn_d243969f5010c6c29b5844aa8fc56c71/rendering/11.xyz", "0.0")</f>
        <v>0.0</v>
      </c>
      <c r="O1356" s="13" t="str">
        <f>HYPERLINK(AC2 &amp; "/knife/sn_d243969f5010c6c29b5844aa8fc56c71/rendering/12.xyz", "0.0")</f>
        <v>0.0</v>
      </c>
      <c r="P1356" s="13" t="str">
        <f>HYPERLINK(AC2 &amp; "/knife/sn_d243969f5010c6c29b5844aa8fc56c71/rendering/13.xyz", "0.0")</f>
        <v>0.0</v>
      </c>
      <c r="Q1356" s="13" t="str">
        <f>HYPERLINK(AC2 &amp; "/knife/sn_d243969f5010c6c29b5844aa8fc56c71/rendering/14.xyz", "0.0")</f>
        <v>0.0</v>
      </c>
      <c r="R1356" s="13" t="str">
        <f>HYPERLINK(AC2 &amp; "/knife/sn_d243969f5010c6c29b5844aa8fc56c71/rendering/15.xyz", "0.0")</f>
        <v>0.0</v>
      </c>
      <c r="S1356" s="13" t="str">
        <f>HYPERLINK(AC2 &amp; "/knife/sn_d243969f5010c6c29b5844aa8fc56c71/rendering/16.xyz", "0.0")</f>
        <v>0.0</v>
      </c>
      <c r="T1356" s="13" t="str">
        <f>HYPERLINK(AC2 &amp; "/knife/sn_d243969f5010c6c29b5844aa8fc56c71/rendering/17.xyz", "0.0")</f>
        <v>0.0</v>
      </c>
      <c r="U1356" s="13" t="str">
        <f>HYPERLINK(AC2 &amp; "/knife/sn_d243969f5010c6c29b5844aa8fc56c71/rendering/18.xyz", "0.0")</f>
        <v>0.0</v>
      </c>
      <c r="V1356" s="13" t="str">
        <f>HYPERLINK(AC2 &amp; "/knife/sn_d243969f5010c6c29b5844aa8fc56c71/rendering/19.xyz", "0.0")</f>
        <v>0.0</v>
      </c>
      <c r="W1356" s="12" t="s">
        <v>33</v>
      </c>
      <c r="X1356" s="13">
        <v>0</v>
      </c>
      <c r="Y1356" s="13">
        <v>0</v>
      </c>
      <c r="Z1356" s="13">
        <v>0</v>
      </c>
    </row>
    <row r="1357" spans="1:26" x14ac:dyDescent="0.2">
      <c r="A1357" s="1">
        <v>1355</v>
      </c>
      <c r="B1357" s="2" t="s">
        <v>304</v>
      </c>
      <c r="C1357" s="175" t="str">
        <f>HYPERLINK(AA2 &amp; "/knife/sn_d3ba7967cea5550405f236096897d/rendering/00.obj", "3.70236358643")</f>
        <v>3.70236358643</v>
      </c>
      <c r="D1357" s="120" t="str">
        <f>HYPERLINK(AA2 &amp; "/knife/sn_d3ba7967cea5550405f236096897d/rendering/01.obj", "3.81896606445")</f>
        <v>3.81896606445</v>
      </c>
      <c r="E1357" s="235" t="str">
        <f>HYPERLINK(AA2 &amp; "/knife/sn_d3ba7967cea5550405f236096897d/rendering/02.obj", "7.46114746094")</f>
        <v>7.46114746094</v>
      </c>
      <c r="F1357" s="133" t="str">
        <f>HYPERLINK(AA2 &amp; "/knife/sn_d3ba7967cea5550405f236096897d/rendering/03.obj", "4.34156555176")</f>
        <v>4.34156555176</v>
      </c>
      <c r="G1357" s="51" t="str">
        <f>HYPERLINK(AA2 &amp; "/knife/sn_d3ba7967cea5550405f236096897d/rendering/04.obj", "4.44463623047")</f>
        <v>4.44463623047</v>
      </c>
      <c r="H1357" s="24" t="str">
        <f>HYPERLINK(AA2 &amp; "/knife/sn_d3ba7967cea5550405f236096897d/rendering/05.obj", "4.02250854492")</f>
        <v>4.02250854492</v>
      </c>
      <c r="I1357" s="28" t="str">
        <f>HYPERLINK(AA2 &amp; "/knife/sn_d3ba7967cea5550405f236096897d/rendering/06.obj", "4.29881652832")</f>
        <v>4.29881652832</v>
      </c>
      <c r="J1357" s="20" t="str">
        <f>HYPERLINK(AA2 &amp; "/knife/sn_d3ba7967cea5550405f236096897d/rendering/07.obj", "9.36825561523")</f>
        <v>9.36825561523</v>
      </c>
      <c r="K1357" s="7" t="str">
        <f>HYPERLINK(AA2 &amp; "/knife/sn_d3ba7967cea5550405f236096897d/rendering/08.obj", "3.48783996582")</f>
        <v>3.48783996582</v>
      </c>
      <c r="L1357" s="122" t="str">
        <f>HYPERLINK(AA2 &amp; "/knife/sn_d3ba7967cea5550405f236096897d/rendering/09.obj", "6.78650695801")</f>
        <v>6.78650695801</v>
      </c>
      <c r="M1357" s="92" t="str">
        <f>HYPERLINK(AA2 &amp; "/knife/sn_d3ba7967cea5550405f236096897d/rendering/10.obj", "4.24570922852")</f>
        <v>4.24570922852</v>
      </c>
      <c r="N1357" s="79" t="str">
        <f>HYPERLINK(AA2 &amp; "/knife/sn_d3ba7967cea5550405f236096897d/rendering/11.obj", "4.07761352539")</f>
        <v>4.07761352539</v>
      </c>
      <c r="O1357" s="107" t="str">
        <f>HYPERLINK(AA2 &amp; "/knife/sn_d3ba7967cea5550405f236096897d/rendering/12.obj", "4.43858612061")</f>
        <v>4.43858612061</v>
      </c>
      <c r="P1357" s="24" t="str">
        <f>HYPERLINK(AA2 &amp; "/knife/sn_d3ba7967cea5550405f236096897d/rendering/13.obj", "4.03286132812")</f>
        <v>4.03286132812</v>
      </c>
      <c r="Q1357" s="5" t="str">
        <f>HYPERLINK(AA2 &amp; "/knife/sn_d3ba7967cea5550405f236096897d/rendering/14.obj", "5.20385131836")</f>
        <v>5.20385131836</v>
      </c>
      <c r="R1357" s="40" t="str">
        <f>HYPERLINK(AA2 &amp; "/knife/sn_d3ba7967cea5550405f236096897d/rendering/15.obj", "4.00569213867")</f>
        <v>4.00569213867</v>
      </c>
      <c r="S1357" s="8" t="str">
        <f>HYPERLINK(AA2 &amp; "/knife/sn_d3ba7967cea5550405f236096897d/rendering/16.obj", "4.15505737305")</f>
        <v>4.15505737305</v>
      </c>
      <c r="T1357" s="69" t="str">
        <f>HYPERLINK(AA2 &amp; "/knife/sn_d3ba7967cea5550405f236096897d/rendering/17.obj", "4.68747314453")</f>
        <v>4.68747314453</v>
      </c>
      <c r="U1357" s="26" t="str">
        <f>HYPERLINK(AA2 &amp; "/knife/sn_d3ba7967cea5550405f236096897d/rendering/18.obj", "5.14441894531")</f>
        <v>5.14441894531</v>
      </c>
      <c r="V1357" s="68" t="str">
        <f>HYPERLINK(AA2 &amp; "/knife/sn_d3ba7967cea5550405f236096897d/rendering/19.obj", "5.04855957031")</f>
        <v>5.04855957031</v>
      </c>
      <c r="W1357" s="12" t="s">
        <v>29</v>
      </c>
      <c r="X1357" s="13">
        <v>4.8386214599609376</v>
      </c>
      <c r="Y1357" s="13">
        <v>1.4124341751112059</v>
      </c>
      <c r="Z1357" s="118">
        <v>0.29190838481558112</v>
      </c>
    </row>
    <row r="1358" spans="1:26" x14ac:dyDescent="0.2">
      <c r="A1358" s="1">
        <v>1356</v>
      </c>
      <c r="B1358" s="2" t="s">
        <v>304</v>
      </c>
      <c r="C1358" s="124" t="str">
        <f>HYPERLINK(AA2 &amp; "/knife/sn_d3ba7967cea5550405f236096897d/rendering/00.obj", "1.16508221626")</f>
        <v>1.16508221626</v>
      </c>
      <c r="D1358" s="187" t="str">
        <f>HYPERLINK(AA2 &amp; "/knife/sn_d3ba7967cea5550405f236096897d/rendering/01.obj", "1.22222220898")</f>
        <v>1.22222220898</v>
      </c>
      <c r="E1358" s="20" t="str">
        <f>HYPERLINK(AA2 &amp; "/knife/sn_d3ba7967cea5550405f236096897d/rendering/02.obj", "4.06935691833")</f>
        <v>4.06935691833</v>
      </c>
      <c r="F1358" s="94" t="str">
        <f>HYPERLINK(AA2 &amp; "/knife/sn_d3ba7967cea5550405f236096897d/rendering/03.obj", "1.7441817522")</f>
        <v>1.7441817522</v>
      </c>
      <c r="G1358" s="110" t="str">
        <f>HYPERLINK(AA2 &amp; "/knife/sn_d3ba7967cea5550405f236096897d/rendering/04.obj", "1.69956684113")</f>
        <v>1.69956684113</v>
      </c>
      <c r="H1358" s="166" t="str">
        <f>HYPERLINK(AA2 &amp; "/knife/sn_d3ba7967cea5550405f236096897d/rendering/05.obj", "1.34177744389")</f>
        <v>1.34177744389</v>
      </c>
      <c r="I1358" s="171" t="str">
        <f>HYPERLINK(AA2 &amp; "/knife/sn_d3ba7967cea5550405f236096897d/rendering/06.obj", "1.30898368359")</f>
        <v>1.30898368359</v>
      </c>
      <c r="J1358" s="20" t="str">
        <f>HYPERLINK(AA2 &amp; "/knife/sn_d3ba7967cea5550405f236096897d/rendering/07.obj", "5.42716598511")</f>
        <v>5.42716598511</v>
      </c>
      <c r="K1358" s="185" t="str">
        <f>HYPERLINK(AA2 &amp; "/knife/sn_d3ba7967cea5550405f236096897d/rendering/08.obj", "1.24220407009")</f>
        <v>1.24220407009</v>
      </c>
      <c r="L1358" s="176" t="str">
        <f>HYPERLINK(AA2 &amp; "/knife/sn_d3ba7967cea5550405f236096897d/rendering/09.obj", "2.4828286171")</f>
        <v>2.4828286171</v>
      </c>
      <c r="M1358" s="122" t="str">
        <f>HYPERLINK(AA2 &amp; "/knife/sn_d3ba7967cea5550405f236096897d/rendering/10.obj", "1.12514901161")</f>
        <v>1.12514901161</v>
      </c>
      <c r="N1358" s="58" t="str">
        <f>HYPERLINK(AA2 &amp; "/knife/sn_d3ba7967cea5550405f236096897d/rendering/11.obj", "1.42725896835")</f>
        <v>1.42725896835</v>
      </c>
      <c r="O1358" s="89" t="str">
        <f>HYPERLINK(AA2 &amp; "/knife/sn_d3ba7967cea5550405f236096897d/rendering/12.obj", "1.39444184303")</f>
        <v>1.39444184303</v>
      </c>
      <c r="P1358" s="134" t="str">
        <f>HYPERLINK(AA2 &amp; "/knife/sn_d3ba7967cea5550405f236096897d/rendering/13.obj", "1.54239749908")</f>
        <v>1.54239749908</v>
      </c>
      <c r="Q1358" s="36" t="str">
        <f>HYPERLINK(AA2 &amp; "/knife/sn_d3ba7967cea5550405f236096897d/rendering/14.obj", "1.47657561302")</f>
        <v>1.47657561302</v>
      </c>
      <c r="R1358" s="48" t="str">
        <f>HYPERLINK(AA2 &amp; "/knife/sn_d3ba7967cea5550405f236096897d/rendering/15.obj", "1.83608984947")</f>
        <v>1.83608984947</v>
      </c>
      <c r="S1358" s="82" t="str">
        <f>HYPERLINK(AA2 &amp; "/knife/sn_d3ba7967cea5550405f236096897d/rendering/16.obj", "1.49878191948")</f>
        <v>1.49878191948</v>
      </c>
      <c r="T1358" s="52" t="str">
        <f>HYPERLINK(AA2 &amp; "/knife/sn_d3ba7967cea5550405f236096897d/rendering/17.obj", "2.63375353813")</f>
        <v>2.63375353813</v>
      </c>
      <c r="U1358" s="118" t="str">
        <f>HYPERLINK(AA2 &amp; "/knife/sn_d3ba7967cea5550405f236096897d/rendering/18.obj", "1.33301520348")</f>
        <v>1.33301520348</v>
      </c>
      <c r="V1358" s="133" t="str">
        <f>HYPERLINK(AA2 &amp; "/knife/sn_d3ba7967cea5550405f236096897d/rendering/19.obj", "1.69376897812")</f>
        <v>1.69376897812</v>
      </c>
      <c r="W1358" s="12" t="s">
        <v>30</v>
      </c>
      <c r="X1358" s="13">
        <v>1.8832301080226901</v>
      </c>
      <c r="Y1358" s="13">
        <v>1.051016518488344</v>
      </c>
      <c r="Z1358" s="221">
        <v>0.55809245721536727</v>
      </c>
    </row>
    <row r="1359" spans="1:26" x14ac:dyDescent="0.2">
      <c r="A1359" s="1">
        <v>1357</v>
      </c>
      <c r="B1359" s="2" t="s">
        <v>304</v>
      </c>
      <c r="C1359" s="133" t="str">
        <f>HYPERLINK(AB2 &amp; "/knife/sn_d3ba7967cea5550405f236096897d/rendering/00.obj", "3.56415161133")</f>
        <v>3.56415161133</v>
      </c>
      <c r="D1359" s="38" t="str">
        <f>HYPERLINK(AB2 &amp; "/knife/sn_d3ba7967cea5550405f236096897d/rendering/01.obj", "3.61846099854")</f>
        <v>3.61846099854</v>
      </c>
      <c r="E1359" s="133" t="str">
        <f>HYPERLINK(AB2 &amp; "/knife/sn_d3ba7967cea5550405f236096897d/rendering/02.obj", "4.37524780273")</f>
        <v>4.37524780273</v>
      </c>
      <c r="F1359" s="39" t="str">
        <f>HYPERLINK(AB2 &amp; "/knife/sn_d3ba7967cea5550405f236096897d/rendering/03.obj", "3.62734069824")</f>
        <v>3.62734069824</v>
      </c>
      <c r="G1359" s="73" t="str">
        <f>HYPERLINK(AB2 &amp; "/knife/sn_d3ba7967cea5550405f236096897d/rendering/04.obj", "3.82109649658")</f>
        <v>3.82109649658</v>
      </c>
      <c r="H1359" s="29" t="str">
        <f>HYPERLINK(AB2 &amp; "/knife/sn_d3ba7967cea5550405f236096897d/rendering/05.obj", "3.45035583496")</f>
        <v>3.45035583496</v>
      </c>
      <c r="I1359" s="23" t="str">
        <f>HYPERLINK(AB2 &amp; "/knife/sn_d3ba7967cea5550405f236096897d/rendering/06.obj", "3.8159777832")</f>
        <v>3.8159777832</v>
      </c>
      <c r="J1359" s="17" t="str">
        <f>HYPERLINK(AB2 &amp; "/knife/sn_d3ba7967cea5550405f236096897d/rendering/07.obj", "4.05469299316")</f>
        <v>4.05469299316</v>
      </c>
      <c r="K1359" s="10" t="str">
        <f>HYPERLINK(AB2 &amp; "/knife/sn_d3ba7967cea5550405f236096897d/rendering/08.obj", "3.75339599609")</f>
        <v>3.75339599609</v>
      </c>
      <c r="L1359" s="65" t="str">
        <f>HYPERLINK(AB2 &amp; "/knife/sn_d3ba7967cea5550405f236096897d/rendering/09.obj", "4.49666748047")</f>
        <v>4.49666748047</v>
      </c>
      <c r="M1359" s="27" t="str">
        <f>HYPERLINK(AB2 &amp; "/knife/sn_d3ba7967cea5550405f236096897d/rendering/10.obj", "4.25185119629")</f>
        <v>4.25185119629</v>
      </c>
      <c r="N1359" s="23" t="str">
        <f>HYPERLINK(AB2 &amp; "/knife/sn_d3ba7967cea5550405f236096897d/rendering/11.obj", "3.81333099365")</f>
        <v>3.81333099365</v>
      </c>
      <c r="O1359" s="90" t="str">
        <f>HYPERLINK(AB2 &amp; "/knife/sn_d3ba7967cea5550405f236096897d/rendering/12.obj", "3.58602630615")</f>
        <v>3.58602630615</v>
      </c>
      <c r="P1359" s="23" t="str">
        <f>HYPERLINK(AB2 &amp; "/knife/sn_d3ba7967cea5550405f236096897d/rendering/13.obj", "4.1252166748")</f>
        <v>4.1252166748</v>
      </c>
      <c r="Q1359" s="107" t="str">
        <f>HYPERLINK(AB2 &amp; "/knife/sn_d3ba7967cea5550405f236096897d/rendering/14.obj", "3.63177581787")</f>
        <v>3.63177581787</v>
      </c>
      <c r="R1359" s="76" t="str">
        <f>HYPERLINK(AB2 &amp; "/knife/sn_d3ba7967cea5550405f236096897d/rendering/15.obj", "4.6963873291")</f>
        <v>4.6963873291</v>
      </c>
      <c r="S1359" s="92" t="str">
        <f>HYPERLINK(AB2 &amp; "/knife/sn_d3ba7967cea5550405f236096897d/rendering/16.obj", "3.47657531738")</f>
        <v>3.47657531738</v>
      </c>
      <c r="T1359" s="60" t="str">
        <f>HYPERLINK(AB2 &amp; "/knife/sn_d3ba7967cea5550405f236096897d/rendering/17.obj", "3.76818756104")</f>
        <v>3.76818756104</v>
      </c>
      <c r="U1359" s="38" t="str">
        <f>HYPERLINK(AB2 &amp; "/knife/sn_d3ba7967cea5550405f236096897d/rendering/18.obj", "4.32745239258")</f>
        <v>4.32745239258</v>
      </c>
      <c r="V1359" s="166" t="str">
        <f>HYPERLINK(AB2 &amp; "/knife/sn_d3ba7967cea5550405f236096897d/rendering/19.obj", "5.10139801025")</f>
        <v>5.10139801025</v>
      </c>
      <c r="W1359" s="12" t="s">
        <v>31</v>
      </c>
      <c r="X1359" s="13">
        <v>3.96777946472168</v>
      </c>
      <c r="Y1359" s="13">
        <v>0.43742464611657988</v>
      </c>
      <c r="Z1359" s="28">
        <v>0.11024419325867529</v>
      </c>
    </row>
    <row r="1360" spans="1:26" x14ac:dyDescent="0.2">
      <c r="A1360" s="1">
        <v>1358</v>
      </c>
      <c r="B1360" s="2" t="s">
        <v>304</v>
      </c>
      <c r="C1360" s="17" t="str">
        <f>HYPERLINK(AB2 &amp; "/knife/sn_d3ba7967cea5550405f236096897d/rendering/00.obj", "1.26194965839")</f>
        <v>1.26194965839</v>
      </c>
      <c r="D1360" s="95" t="str">
        <f>HYPERLINK(AB2 &amp; "/knife/sn_d3ba7967cea5550405f236096897d/rendering/01.obj", "1.58581614494")</f>
        <v>1.58581614494</v>
      </c>
      <c r="E1360" s="34" t="str">
        <f>HYPERLINK(AB2 &amp; "/knife/sn_d3ba7967cea5550405f236096897d/rendering/02.obj", "1.29715275764")</f>
        <v>1.29715275764</v>
      </c>
      <c r="F1360" s="11" t="str">
        <f>HYPERLINK(AB2 &amp; "/knife/sn_d3ba7967cea5550405f236096897d/rendering/03.obj", "1.516887784")</f>
        <v>1.516887784</v>
      </c>
      <c r="G1360" s="51" t="str">
        <f>HYPERLINK(AB2 &amp; "/knife/sn_d3ba7967cea5550405f236096897d/rendering/04.obj", "1.33601379395")</f>
        <v>1.33601379395</v>
      </c>
      <c r="H1360" s="65" t="str">
        <f>HYPERLINK(AB2 &amp; "/knife/sn_d3ba7967cea5550405f236096897d/rendering/05.obj", "1.07357382774")</f>
        <v>1.07357382774</v>
      </c>
      <c r="I1360" s="33" t="str">
        <f>HYPERLINK(AB2 &amp; "/knife/sn_d3ba7967cea5550405f236096897d/rendering/06.obj", "1.37312233448")</f>
        <v>1.37312233448</v>
      </c>
      <c r="J1360" s="88" t="str">
        <f>HYPERLINK(AB2 &amp; "/knife/sn_d3ba7967cea5550405f236096897d/rendering/07.obj", "0.987944841385")</f>
        <v>0.987944841385</v>
      </c>
      <c r="K1360" s="6" t="str">
        <f>HYPERLINK(AB2 &amp; "/knife/sn_d3ba7967cea5550405f236096897d/rendering/08.obj", "1.18293762207")</f>
        <v>1.18293762207</v>
      </c>
      <c r="L1360" s="75" t="str">
        <f>HYPERLINK(AB2 &amp; "/knife/sn_d3ba7967cea5550405f236096897d/rendering/09.obj", "0.963463187218")</f>
        <v>0.963463187218</v>
      </c>
      <c r="M1360" s="76" t="str">
        <f>HYPERLINK(AB2 &amp; "/knife/sn_d3ba7967cea5550405f236096897d/rendering/10.obj", "1.0115070343")</f>
        <v>1.0115070343</v>
      </c>
      <c r="N1360" s="196" t="str">
        <f>HYPERLINK(AB2 &amp; "/knife/sn_d3ba7967cea5550405f236096897d/rendering/11.obj", "1.73072946072")</f>
        <v>1.73072946072</v>
      </c>
      <c r="O1360" s="32" t="str">
        <f>HYPERLINK(AB2 &amp; "/knife/sn_d3ba7967cea5550405f236096897d/rendering/12.obj", "1.36930394173")</f>
        <v>1.36930394173</v>
      </c>
      <c r="P1360" s="91" t="str">
        <f>HYPERLINK(AB2 &amp; "/knife/sn_d3ba7967cea5550405f236096897d/rendering/13.obj", "1.20482385159")</f>
        <v>1.20482385159</v>
      </c>
      <c r="Q1360" s="106" t="str">
        <f>HYPERLINK(AB2 &amp; "/knife/sn_d3ba7967cea5550405f236096897d/rendering/14.obj", "1.09503722191")</f>
        <v>1.09503722191</v>
      </c>
      <c r="R1360" s="39" t="str">
        <f>HYPERLINK(AB2 &amp; "/knife/sn_d3ba7967cea5550405f236096897d/rendering/15.obj", "1.13305807114")</f>
        <v>1.13305807114</v>
      </c>
      <c r="S1360" s="69" t="str">
        <f>HYPERLINK(AB2 &amp; "/knife/sn_d3ba7967cea5550405f236096897d/rendering/16.obj", "1.19927918911")</f>
        <v>1.19927918911</v>
      </c>
      <c r="T1360" s="26" t="str">
        <f>HYPERLINK(AB2 &amp; "/knife/sn_d3ba7967cea5550405f236096897d/rendering/17.obj", "1.15755629539")</f>
        <v>1.15755629539</v>
      </c>
      <c r="U1360" s="10" t="str">
        <f>HYPERLINK(AB2 &amp; "/knife/sn_d3ba7967cea5550405f236096897d/rendering/18.obj", "1.30669558048")</f>
        <v>1.30669558048</v>
      </c>
      <c r="V1360" s="36" t="str">
        <f>HYPERLINK(AB2 &amp; "/knife/sn_d3ba7967cea5550405f236096897d/rendering/19.obj", "0.972606182098")</f>
        <v>0.972606182098</v>
      </c>
      <c r="W1360" s="12" t="s">
        <v>32</v>
      </c>
      <c r="X1360" s="13">
        <v>1.2379729390144349</v>
      </c>
      <c r="Y1360" s="13">
        <v>0.20318158073372691</v>
      </c>
      <c r="Z1360" s="64">
        <v>0.16412441203721481</v>
      </c>
    </row>
    <row r="1361" spans="1:26" x14ac:dyDescent="0.2">
      <c r="A1361" s="1">
        <v>1359</v>
      </c>
      <c r="B1361" s="2" t="s">
        <v>304</v>
      </c>
      <c r="C1361" s="13" t="str">
        <f>HYPERLINK(AC2 &amp; "/knife/sn_d3ba7967cea5550405f236096897d/rendering/00.xyz", "0.0")</f>
        <v>0.0</v>
      </c>
      <c r="D1361" s="13" t="str">
        <f>HYPERLINK(AC2 &amp; "/knife/sn_d3ba7967cea5550405f236096897d/rendering/01.xyz", "0.0")</f>
        <v>0.0</v>
      </c>
      <c r="E1361" s="13" t="str">
        <f>HYPERLINK(AC2 &amp; "/knife/sn_d3ba7967cea5550405f236096897d/rendering/02.xyz", "0.0")</f>
        <v>0.0</v>
      </c>
      <c r="F1361" s="13" t="str">
        <f>HYPERLINK(AC2 &amp; "/knife/sn_d3ba7967cea5550405f236096897d/rendering/03.xyz", "0.0")</f>
        <v>0.0</v>
      </c>
      <c r="G1361" s="13" t="str">
        <f>HYPERLINK(AC2 &amp; "/knife/sn_d3ba7967cea5550405f236096897d/rendering/04.xyz", "0.0")</f>
        <v>0.0</v>
      </c>
      <c r="H1361" s="13" t="str">
        <f>HYPERLINK(AC2 &amp; "/knife/sn_d3ba7967cea5550405f236096897d/rendering/05.xyz", "0.0")</f>
        <v>0.0</v>
      </c>
      <c r="I1361" s="13" t="str">
        <f>HYPERLINK(AC2 &amp; "/knife/sn_d3ba7967cea5550405f236096897d/rendering/06.xyz", "0.0")</f>
        <v>0.0</v>
      </c>
      <c r="J1361" s="13" t="str">
        <f>HYPERLINK(AC2 &amp; "/knife/sn_d3ba7967cea5550405f236096897d/rendering/07.xyz", "0.0")</f>
        <v>0.0</v>
      </c>
      <c r="K1361" s="13" t="str">
        <f>HYPERLINK(AC2 &amp; "/knife/sn_d3ba7967cea5550405f236096897d/rendering/08.xyz", "0.0")</f>
        <v>0.0</v>
      </c>
      <c r="L1361" s="13" t="str">
        <f>HYPERLINK(AC2 &amp; "/knife/sn_d3ba7967cea5550405f236096897d/rendering/09.xyz", "0.0")</f>
        <v>0.0</v>
      </c>
      <c r="M1361" s="13" t="str">
        <f>HYPERLINK(AC2 &amp; "/knife/sn_d3ba7967cea5550405f236096897d/rendering/10.xyz", "0.0")</f>
        <v>0.0</v>
      </c>
      <c r="N1361" s="13" t="str">
        <f>HYPERLINK(AC2 &amp; "/knife/sn_d3ba7967cea5550405f236096897d/rendering/11.xyz", "0.0")</f>
        <v>0.0</v>
      </c>
      <c r="O1361" s="13" t="str">
        <f>HYPERLINK(AC2 &amp; "/knife/sn_d3ba7967cea5550405f236096897d/rendering/12.xyz", "0.0")</f>
        <v>0.0</v>
      </c>
      <c r="P1361" s="13" t="str">
        <f>HYPERLINK(AC2 &amp; "/knife/sn_d3ba7967cea5550405f236096897d/rendering/13.xyz", "0.0")</f>
        <v>0.0</v>
      </c>
      <c r="Q1361" s="13" t="str">
        <f>HYPERLINK(AC2 &amp; "/knife/sn_d3ba7967cea5550405f236096897d/rendering/14.xyz", "0.0")</f>
        <v>0.0</v>
      </c>
      <c r="R1361" s="13" t="str">
        <f>HYPERLINK(AC2 &amp; "/knife/sn_d3ba7967cea5550405f236096897d/rendering/15.xyz", "0.0")</f>
        <v>0.0</v>
      </c>
      <c r="S1361" s="13" t="str">
        <f>HYPERLINK(AC2 &amp; "/knife/sn_d3ba7967cea5550405f236096897d/rendering/16.xyz", "0.0")</f>
        <v>0.0</v>
      </c>
      <c r="T1361" s="13" t="str">
        <f>HYPERLINK(AC2 &amp; "/knife/sn_d3ba7967cea5550405f236096897d/rendering/17.xyz", "0.0")</f>
        <v>0.0</v>
      </c>
      <c r="U1361" s="13" t="str">
        <f>HYPERLINK(AC2 &amp; "/knife/sn_d3ba7967cea5550405f236096897d/rendering/18.xyz", "0.0")</f>
        <v>0.0</v>
      </c>
      <c r="V1361" s="13" t="str">
        <f>HYPERLINK(AC2 &amp; "/knife/sn_d3ba7967cea5550405f236096897d/rendering/19.xyz", "0.0")</f>
        <v>0.0</v>
      </c>
      <c r="W1361" s="12" t="s">
        <v>33</v>
      </c>
      <c r="X1361" s="13">
        <v>0</v>
      </c>
      <c r="Y1361" s="13">
        <v>0</v>
      </c>
      <c r="Z1361" s="13">
        <v>0</v>
      </c>
    </row>
    <row r="1362" spans="1:26" x14ac:dyDescent="0.2">
      <c r="A1362" s="1">
        <v>1360</v>
      </c>
      <c r="B1362" s="2" t="s">
        <v>305</v>
      </c>
      <c r="C1362" s="65" t="str">
        <f>HYPERLINK(AA2 &amp; "/knife/sn_d4be83e3062bfe9086bbb74f0f607cdd/rendering/00.obj", "2.61893585205")</f>
        <v>2.61893585205</v>
      </c>
      <c r="D1362" s="98" t="str">
        <f>HYPERLINK(AA2 &amp; "/knife/sn_d4be83e3062bfe9086bbb74f0f607cdd/rendering/01.obj", "2.32704986572")</f>
        <v>2.32704986572</v>
      </c>
      <c r="E1362" s="48" t="str">
        <f>HYPERLINK(AA2 &amp; "/knife/sn_d4be83e3062bfe9086bbb74f0f607cdd/rendering/02.obj", "2.94865844727")</f>
        <v>2.94865844727</v>
      </c>
      <c r="F1362" s="77" t="str">
        <f>HYPERLINK(AA2 &amp; "/knife/sn_d4be83e3062bfe9086bbb74f0f607cdd/rendering/03.obj", "2.45515960693")</f>
        <v>2.45515960693</v>
      </c>
      <c r="G1362" s="26" t="str">
        <f>HYPERLINK(AA2 &amp; "/knife/sn_d4be83e3062bfe9086bbb74f0f607cdd/rendering/04.obj", "3.21422912598")</f>
        <v>3.21422912598</v>
      </c>
      <c r="H1362" s="5" t="str">
        <f>HYPERLINK(AA2 &amp; "/knife/sn_d4be83e3062bfe9086bbb74f0f607cdd/rendering/05.obj", "2.79252868652")</f>
        <v>2.79252868652</v>
      </c>
      <c r="I1362" s="34" t="str">
        <f>HYPERLINK(AA2 &amp; "/knife/sn_d4be83e3062bfe9086bbb74f0f607cdd/rendering/06.obj", "3.17199829102")</f>
        <v>3.17199829102</v>
      </c>
      <c r="J1362" s="71" t="str">
        <f>HYPERLINK(AA2 &amp; "/knife/sn_d4be83e3062bfe9086bbb74f0f607cdd/rendering/07.obj", "2.66907714844")</f>
        <v>2.66907714844</v>
      </c>
      <c r="K1362" s="5" t="str">
        <f>HYPERLINK(AA2 &amp; "/knife/sn_d4be83e3062bfe9086bbb74f0f607cdd/rendering/08.obj", "2.79338531494")</f>
        <v>2.79338531494</v>
      </c>
      <c r="L1362" s="72" t="str">
        <f>HYPERLINK(AA2 &amp; "/knife/sn_d4be83e3062bfe9086bbb74f0f607cdd/rendering/09.obj", "3.12479949951")</f>
        <v>3.12479949951</v>
      </c>
      <c r="M1362" s="134" t="str">
        <f>HYPERLINK(AA2 &amp; "/knife/sn_d4be83e3062bfe9086bbb74f0f607cdd/rendering/10.obj", "2.47643829346")</f>
        <v>2.47643829346</v>
      </c>
      <c r="N1362" s="246" t="str">
        <f>HYPERLINK(AA2 &amp; "/knife/sn_d4be83e3062bfe9086bbb74f0f607cdd/rendering/11.obj", "4.86954681396")</f>
        <v>4.86954681396</v>
      </c>
      <c r="O1362" s="120" t="str">
        <f>HYPERLINK(AA2 &amp; "/knife/sn_d4be83e3062bfe9086bbb74f0f607cdd/rendering/12.obj", "2.38646438599")</f>
        <v>2.38646438599</v>
      </c>
      <c r="P1362" s="35" t="str">
        <f>HYPERLINK(AA2 &amp; "/knife/sn_d4be83e3062bfe9086bbb74f0f607cdd/rendering/13.obj", "2.85079223633")</f>
        <v>2.85079223633</v>
      </c>
      <c r="Q1362" s="103" t="str">
        <f>HYPERLINK(AA2 &amp; "/knife/sn_d4be83e3062bfe9086bbb74f0f607cdd/rendering/14.obj", "4.00089172363")</f>
        <v>4.00089172363</v>
      </c>
      <c r="R1362" s="64" t="str">
        <f>HYPERLINK(AA2 &amp; "/knife/sn_d4be83e3062bfe9086bbb74f0f607cdd/rendering/15.obj", "2.52030517578")</f>
        <v>2.52030517578</v>
      </c>
      <c r="S1362" s="81" t="str">
        <f>HYPERLINK(AA2 &amp; "/knife/sn_d4be83e3062bfe9086bbb74f0f607cdd/rendering/16.obj", "2.36615936279")</f>
        <v>2.36615936279</v>
      </c>
      <c r="T1362" s="76" t="str">
        <f>HYPERLINK(AA2 &amp; "/knife/sn_d4be83e3062bfe9086bbb74f0f607cdd/rendering/17.obj", "3.57805908203")</f>
        <v>3.57805908203</v>
      </c>
      <c r="U1362" s="77" t="str">
        <f>HYPERLINK(AA2 &amp; "/knife/sn_d4be83e3062bfe9086bbb74f0f607cdd/rendering/18.obj", "3.58977935791")</f>
        <v>3.58977935791</v>
      </c>
      <c r="V1362" s="81" t="str">
        <f>HYPERLINK(AA2 &amp; "/knife/sn_d4be83e3062bfe9086bbb74f0f607cdd/rendering/19.obj", "3.68221679688")</f>
        <v>3.68221679688</v>
      </c>
      <c r="W1362" s="12" t="s">
        <v>29</v>
      </c>
      <c r="X1362" s="13">
        <v>3.0218237533569341</v>
      </c>
      <c r="Y1362" s="13">
        <v>0.63731459006306279</v>
      </c>
      <c r="Z1362" s="120">
        <v>0.21090395803364509</v>
      </c>
    </row>
    <row r="1363" spans="1:26" x14ac:dyDescent="0.2">
      <c r="A1363" s="1">
        <v>1361</v>
      </c>
      <c r="B1363" s="2" t="s">
        <v>305</v>
      </c>
      <c r="C1363" s="153" t="str">
        <f>HYPERLINK(AA2 &amp; "/knife/sn_d4be83e3062bfe9086bbb74f0f607cdd/rendering/00.obj", "1.15650105476")</f>
        <v>1.15650105476</v>
      </c>
      <c r="D1363" s="158" t="str">
        <f>HYPERLINK(AA2 &amp; "/knife/sn_d4be83e3062bfe9086bbb74f0f607cdd/rendering/01.obj", "1.06055927277")</f>
        <v>1.06055927277</v>
      </c>
      <c r="E1363" s="80" t="str">
        <f>HYPERLINK(AA2 &amp; "/knife/sn_d4be83e3062bfe9086bbb74f0f607cdd/rendering/02.obj", "1.52737164497")</f>
        <v>1.52737164497</v>
      </c>
      <c r="F1363" s="116" t="str">
        <f>HYPERLINK(AA2 &amp; "/knife/sn_d4be83e3062bfe9086bbb74f0f607cdd/rendering/03.obj", "1.00867068768")</f>
        <v>1.00867068768</v>
      </c>
      <c r="G1363" s="5" t="str">
        <f>HYPERLINK(AA2 &amp; "/knife/sn_d4be83e3062bfe9086bbb74f0f607cdd/rendering/04.obj", "1.93648600578")</f>
        <v>1.93648600578</v>
      </c>
      <c r="H1363" s="187" t="str">
        <f>HYPERLINK(AA2 &amp; "/knife/sn_d4be83e3062bfe9086bbb74f0f607cdd/rendering/05.obj", "1.16938757896")</f>
        <v>1.16938757896</v>
      </c>
      <c r="I1363" s="29" t="str">
        <f>HYPERLINK(AA2 &amp; "/knife/sn_d4be83e3062bfe9086bbb74f0f607cdd/rendering/06.obj", "1.56458902359")</f>
        <v>1.56458902359</v>
      </c>
      <c r="J1363" s="169" t="str">
        <f>HYPERLINK(AA2 &amp; "/knife/sn_d4be83e3062bfe9086bbb74f0f607cdd/rendering/07.obj", "1.23457753658")</f>
        <v>1.23457753658</v>
      </c>
      <c r="K1363" s="166" t="str">
        <f>HYPERLINK(AA2 &amp; "/knife/sn_d4be83e3062bfe9086bbb74f0f607cdd/rendering/08.obj", "1.27805280685")</f>
        <v>1.27805280685</v>
      </c>
      <c r="L1363" s="35" t="str">
        <f>HYPERLINK(AA2 &amp; "/knife/sn_d4be83e3062bfe9086bbb74f0f607cdd/rendering/09.obj", "1.90286755562")</f>
        <v>1.90286755562</v>
      </c>
      <c r="M1363" s="61" t="str">
        <f>HYPERLINK(AA2 &amp; "/knife/sn_d4be83e3062bfe9086bbb74f0f607cdd/rendering/10.obj", "1.25146985054")</f>
        <v>1.25146985054</v>
      </c>
      <c r="N1363" s="20" t="str">
        <f>HYPERLINK(AA2 &amp; "/knife/sn_d4be83e3062bfe9086bbb74f0f607cdd/rendering/11.obj", "5.7767496109")</f>
        <v>5.7767496109</v>
      </c>
      <c r="O1363" s="52" t="str">
        <f>HYPERLINK(AA2 &amp; "/knife/sn_d4be83e3062bfe9086bbb74f0f607cdd/rendering/12.obj", "1.07894730568")</f>
        <v>1.07894730568</v>
      </c>
      <c r="P1363" s="40" t="str">
        <f>HYPERLINK(AA2 &amp; "/knife/sn_d4be83e3062bfe9086bbb74f0f607cdd/rendering/13.obj", "2.10231280327")</f>
        <v>2.10231280327</v>
      </c>
      <c r="Q1363" s="20" t="str">
        <f>HYPERLINK(AA2 &amp; "/knife/sn_d4be83e3062bfe9086bbb74f0f607cdd/rendering/14.obj", "3.60384178162")</f>
        <v>3.60384178162</v>
      </c>
      <c r="R1363" s="196" t="str">
        <f>HYPERLINK(AA2 &amp; "/knife/sn_d4be83e3062bfe9086bbb74f0f607cdd/rendering/15.obj", "1.08564722538")</f>
        <v>1.08564722538</v>
      </c>
      <c r="S1363" s="162" t="str">
        <f>HYPERLINK(AA2 &amp; "/knife/sn_d4be83e3062bfe9086bbb74f0f607cdd/rendering/16.obj", "1.03065979481")</f>
        <v>1.03065979481</v>
      </c>
      <c r="T1363" s="120" t="str">
        <f>HYPERLINK(AA2 &amp; "/knife/sn_d4be83e3062bfe9086bbb74f0f607cdd/rendering/17.obj", "2.17699551582")</f>
        <v>2.17699551582</v>
      </c>
      <c r="U1363" s="129" t="str">
        <f>HYPERLINK(AA2 &amp; "/knife/sn_d4be83e3062bfe9086bbb74f0f607cdd/rendering/18.obj", "1.350877285")</f>
        <v>1.350877285</v>
      </c>
      <c r="V1363" s="203" t="str">
        <f>HYPERLINK(AA2 &amp; "/knife/sn_d4be83e3062bfe9086bbb74f0f607cdd/rendering/19.obj", "2.63094067574")</f>
        <v>2.63094067574</v>
      </c>
      <c r="W1363" s="12" t="s">
        <v>30</v>
      </c>
      <c r="X1363" s="13">
        <v>1.7963752508163451</v>
      </c>
      <c r="Y1363" s="13">
        <v>1.1147336547150859</v>
      </c>
      <c r="Z1363" s="256">
        <v>0.62054609926768156</v>
      </c>
    </row>
    <row r="1364" spans="1:26" x14ac:dyDescent="0.2">
      <c r="A1364" s="1">
        <v>1362</v>
      </c>
      <c r="B1364" s="2" t="s">
        <v>305</v>
      </c>
      <c r="C1364" s="39" t="str">
        <f>HYPERLINK(AB2 &amp; "/knife/sn_d4be83e3062bfe9086bbb74f0f607cdd/rendering/00.obj", "3.82797698975")</f>
        <v>3.82797698975</v>
      </c>
      <c r="D1364" s="74" t="str">
        <f>HYPERLINK(AB2 &amp; "/knife/sn_d4be83e3062bfe9086bbb74f0f607cdd/rendering/01.obj", "3.47105834961")</f>
        <v>3.47105834961</v>
      </c>
      <c r="E1364" s="6" t="str">
        <f>HYPERLINK(AB2 &amp; "/knife/sn_d4be83e3062bfe9086bbb74f0f607cdd/rendering/02.obj", "3.67781494141")</f>
        <v>3.67781494141</v>
      </c>
      <c r="F1364" s="46" t="str">
        <f>HYPERLINK(AB2 &amp; "/knife/sn_d4be83e3062bfe9086bbb74f0f607cdd/rendering/03.obj", "3.58566894531")</f>
        <v>3.58566894531</v>
      </c>
      <c r="G1364" s="25" t="str">
        <f>HYPERLINK(AB2 &amp; "/knife/sn_d4be83e3062bfe9086bbb74f0f607cdd/rendering/04.obj", "3.48484527588")</f>
        <v>3.48484527588</v>
      </c>
      <c r="H1364" s="30" t="str">
        <f>HYPERLINK(AB2 &amp; "/knife/sn_d4be83e3062bfe9086bbb74f0f607cdd/rendering/05.obj", "3.50787506104")</f>
        <v>3.50787506104</v>
      </c>
      <c r="I1364" s="68" t="str">
        <f>HYPERLINK(AB2 &amp; "/knife/sn_d4be83e3062bfe9086bbb74f0f607cdd/rendering/06.obj", "3.37144470215")</f>
        <v>3.37144470215</v>
      </c>
      <c r="J1364" s="26" t="str">
        <f>HYPERLINK(AB2 &amp; "/knife/sn_d4be83e3062bfe9086bbb74f0f607cdd/rendering/07.obj", "3.2983013916")</f>
        <v>3.2983013916</v>
      </c>
      <c r="K1364" s="48" t="str">
        <f>HYPERLINK(AB2 &amp; "/knife/sn_d4be83e3062bfe9086bbb74f0f607cdd/rendering/08.obj", "3.59952880859")</f>
        <v>3.59952880859</v>
      </c>
      <c r="L1364" s="17" t="str">
        <f>HYPERLINK(AB2 &amp; "/knife/sn_d4be83e3062bfe9086bbb74f0f607cdd/rendering/09.obj", "3.59824462891")</f>
        <v>3.59824462891</v>
      </c>
      <c r="M1364" s="34" t="str">
        <f>HYPERLINK(AB2 &amp; "/knife/sn_d4be83e3062bfe9086bbb74f0f607cdd/rendering/10.obj", "3.68854980469")</f>
        <v>3.68854980469</v>
      </c>
      <c r="N1364" s="6" t="str">
        <f>HYPERLINK(AB2 &amp; "/knife/sn_d4be83e3062bfe9086bbb74f0f607cdd/rendering/11.obj", "3.3633404541")</f>
        <v>3.3633404541</v>
      </c>
      <c r="O1364" s="92" t="str">
        <f>HYPERLINK(AB2 &amp; "/knife/sn_d4be83e3062bfe9086bbb74f0f607cdd/rendering/12.obj", "3.08524536133")</f>
        <v>3.08524536133</v>
      </c>
      <c r="P1364" s="46" t="str">
        <f>HYPERLINK(AB2 &amp; "/knife/sn_d4be83e3062bfe9086bbb74f0f607cdd/rendering/13.obj", "3.58536102295")</f>
        <v>3.58536102295</v>
      </c>
      <c r="Q1364" s="38" t="str">
        <f>HYPERLINK(AB2 &amp; "/knife/sn_d4be83e3062bfe9086bbb74f0f607cdd/rendering/14.obj", "3.8332824707")</f>
        <v>3.8332824707</v>
      </c>
      <c r="R1364" s="13" t="str">
        <f>HYPERLINK(AB2 &amp; "/knife/sn_d4be83e3062bfe9086bbb74f0f607cdd/rendering/15.obj", "3.52856292725")</f>
        <v>3.52856292725</v>
      </c>
      <c r="S1364" s="13" t="str">
        <f>HYPERLINK(AB2 &amp; "/knife/sn_d4be83e3062bfe9086bbb74f0f607cdd/rendering/16.obj", "3.51413909912")</f>
        <v>3.51413909912</v>
      </c>
      <c r="T1364" s="74" t="str">
        <f>HYPERLINK(AB2 &amp; "/knife/sn_d4be83e3062bfe9086bbb74f0f607cdd/rendering/17.obj", "3.47027709961")</f>
        <v>3.47027709961</v>
      </c>
      <c r="U1364" s="6" t="str">
        <f>HYPERLINK(AB2 &amp; "/knife/sn_d4be83e3062bfe9086bbb74f0f607cdd/rendering/18.obj", "3.68641479492")</f>
        <v>3.68641479492</v>
      </c>
      <c r="V1364" s="94" t="str">
        <f>HYPERLINK(AB2 &amp; "/knife/sn_d4be83e3062bfe9086bbb74f0f607cdd/rendering/19.obj", "3.25787719727")</f>
        <v>3.25787719727</v>
      </c>
      <c r="W1364" s="12" t="s">
        <v>31</v>
      </c>
      <c r="X1364" s="13">
        <v>3.521790466308595</v>
      </c>
      <c r="Y1364" s="13">
        <v>0.1809434908566003</v>
      </c>
      <c r="Z1364" s="60">
        <v>5.1378266988796273E-2</v>
      </c>
    </row>
    <row r="1365" spans="1:26" x14ac:dyDescent="0.2">
      <c r="A1365" s="1">
        <v>1363</v>
      </c>
      <c r="B1365" s="2" t="s">
        <v>305</v>
      </c>
      <c r="C1365" s="109" t="str">
        <f>HYPERLINK(AB2 &amp; "/knife/sn_d4be83e3062bfe9086bbb74f0f607cdd/rendering/00.obj", "1.64805972576")</f>
        <v>1.64805972576</v>
      </c>
      <c r="D1365" s="29" t="str">
        <f>HYPERLINK(AB2 &amp; "/knife/sn_d4be83e3062bfe9086bbb74f0f607cdd/rendering/01.obj", "1.20705807209")</f>
        <v>1.20705807209</v>
      </c>
      <c r="E1365" s="25" t="str">
        <f>HYPERLINK(AB2 &amp; "/knife/sn_d4be83e3062bfe9086bbb74f0f607cdd/rendering/02.obj", "1.40375447273")</f>
        <v>1.40375447273</v>
      </c>
      <c r="F1365" s="106" t="str">
        <f>HYPERLINK(AB2 &amp; "/knife/sn_d4be83e3062bfe9086bbb74f0f607cdd/rendering/03.obj", "1.54411196709")</f>
        <v>1.54411196709</v>
      </c>
      <c r="G1365" s="5" t="str">
        <f>HYPERLINK(AB2 &amp; "/knife/sn_d4be83e3062bfe9086bbb74f0f607cdd/rendering/04.obj", "1.28034722805")</f>
        <v>1.28034722805</v>
      </c>
      <c r="H1365" s="88" t="str">
        <f>HYPERLINK(AB2 &amp; "/knife/sn_d4be83e3062bfe9086bbb74f0f607cdd/rendering/05.obj", "1.10569763184")</f>
        <v>1.10569763184</v>
      </c>
      <c r="I1365" s="46" t="str">
        <f>HYPERLINK(AB2 &amp; "/knife/sn_d4be83e3062bfe9086bbb74f0f607cdd/rendering/06.obj", "1.41163563728")</f>
        <v>1.41163563728</v>
      </c>
      <c r="J1365" s="38" t="str">
        <f>HYPERLINK(AB2 &amp; "/knife/sn_d4be83e3062bfe9086bbb74f0f607cdd/rendering/07.obj", "1.26196122169")</f>
        <v>1.26196122169</v>
      </c>
      <c r="K1365" s="48" t="str">
        <f>HYPERLINK(AB2 &amp; "/knife/sn_d4be83e3062bfe9086bbb74f0f607cdd/rendering/08.obj", "1.41885614395")</f>
        <v>1.41885614395</v>
      </c>
      <c r="L1365" s="48" t="str">
        <f>HYPERLINK(AB2 &amp; "/knife/sn_d4be83e3062bfe9086bbb74f0f607cdd/rendering/09.obj", "1.41991519928")</f>
        <v>1.41991519928</v>
      </c>
      <c r="M1365" s="113" t="str">
        <f>HYPERLINK(AB2 &amp; "/knife/sn_d4be83e3062bfe9086bbb74f0f607cdd/rendering/10.obj", "1.76642239094")</f>
        <v>1.76642239094</v>
      </c>
      <c r="N1365" s="69" t="str">
        <f>HYPERLINK(AB2 &amp; "/knife/sn_d4be83e3062bfe9086bbb74f0f607cdd/rendering/11.obj", "1.34508955479")</f>
        <v>1.34508955479</v>
      </c>
      <c r="O1365" s="175" t="str">
        <f>HYPERLINK(AB2 &amp; "/knife/sn_d4be83e3062bfe9086bbb74f0f607cdd/rendering/12.obj", "1.06403470039")</f>
        <v>1.06403470039</v>
      </c>
      <c r="P1365" s="81" t="str">
        <f>HYPERLINK(AB2 &amp; "/knife/sn_d4be83e3062bfe9086bbb74f0f607cdd/rendering/13.obj", "1.68926119804")</f>
        <v>1.68926119804</v>
      </c>
      <c r="Q1365" s="46" t="str">
        <f>HYPERLINK(AB2 &amp; "/knife/sn_d4be83e3062bfe9086bbb74f0f607cdd/rendering/14.obj", "1.36388719082")</f>
        <v>1.36388719082</v>
      </c>
      <c r="R1365" s="46" t="str">
        <f>HYPERLINK(AB2 &amp; "/knife/sn_d4be83e3062bfe9086bbb74f0f607cdd/rendering/15.obj", "1.40986466408")</f>
        <v>1.40986466408</v>
      </c>
      <c r="S1365" s="34" t="str">
        <f>HYPERLINK(AB2 &amp; "/knife/sn_d4be83e3062bfe9086bbb74f0f607cdd/rendering/16.obj", "1.31734132767")</f>
        <v>1.31734132767</v>
      </c>
      <c r="T1365" s="34" t="str">
        <f>HYPERLINK(AB2 &amp; "/knife/sn_d4be83e3062bfe9086bbb74f0f607cdd/rendering/17.obj", "1.31714487076")</f>
        <v>1.31714487076</v>
      </c>
      <c r="U1365" s="74" t="str">
        <f>HYPERLINK(AB2 &amp; "/knife/sn_d4be83e3062bfe9086bbb74f0f607cdd/rendering/18.obj", "1.36642313004")</f>
        <v>1.36642313004</v>
      </c>
      <c r="V1365" s="30" t="str">
        <f>HYPERLINK(AB2 &amp; "/knife/sn_d4be83e3062bfe9086bbb74f0f607cdd/rendering/19.obj", "1.39164710045")</f>
        <v>1.39164710045</v>
      </c>
      <c r="W1365" s="12" t="s">
        <v>32</v>
      </c>
      <c r="X1365" s="13">
        <v>1.3866256713867191</v>
      </c>
      <c r="Y1365" s="13">
        <v>0.17131248486456599</v>
      </c>
      <c r="Z1365" s="92">
        <v>0.1235463098654751</v>
      </c>
    </row>
    <row r="1366" spans="1:26" x14ac:dyDescent="0.2">
      <c r="A1366" s="1">
        <v>1364</v>
      </c>
      <c r="B1366" s="2" t="s">
        <v>305</v>
      </c>
      <c r="C1366" s="13" t="str">
        <f>HYPERLINK(AC2 &amp; "/knife/sn_d4be83e3062bfe9086bbb74f0f607cdd/rendering/00.xyz", "0.0")</f>
        <v>0.0</v>
      </c>
      <c r="D1366" s="13" t="str">
        <f>HYPERLINK(AC2 &amp; "/knife/sn_d4be83e3062bfe9086bbb74f0f607cdd/rendering/01.xyz", "0.0")</f>
        <v>0.0</v>
      </c>
      <c r="E1366" s="13" t="str">
        <f>HYPERLINK(AC2 &amp; "/knife/sn_d4be83e3062bfe9086bbb74f0f607cdd/rendering/02.xyz", "0.0")</f>
        <v>0.0</v>
      </c>
      <c r="F1366" s="13" t="str">
        <f>HYPERLINK(AC2 &amp; "/knife/sn_d4be83e3062bfe9086bbb74f0f607cdd/rendering/03.xyz", "0.0")</f>
        <v>0.0</v>
      </c>
      <c r="G1366" s="13" t="str">
        <f>HYPERLINK(AC2 &amp; "/knife/sn_d4be83e3062bfe9086bbb74f0f607cdd/rendering/04.xyz", "0.0")</f>
        <v>0.0</v>
      </c>
      <c r="H1366" s="13" t="str">
        <f>HYPERLINK(AC2 &amp; "/knife/sn_d4be83e3062bfe9086bbb74f0f607cdd/rendering/05.xyz", "0.0")</f>
        <v>0.0</v>
      </c>
      <c r="I1366" s="13" t="str">
        <f>HYPERLINK(AC2 &amp; "/knife/sn_d4be83e3062bfe9086bbb74f0f607cdd/rendering/06.xyz", "0.0")</f>
        <v>0.0</v>
      </c>
      <c r="J1366" s="13" t="str">
        <f>HYPERLINK(AC2 &amp; "/knife/sn_d4be83e3062bfe9086bbb74f0f607cdd/rendering/07.xyz", "0.0")</f>
        <v>0.0</v>
      </c>
      <c r="K1366" s="13" t="str">
        <f>HYPERLINK(AC2 &amp; "/knife/sn_d4be83e3062bfe9086bbb74f0f607cdd/rendering/08.xyz", "0.0")</f>
        <v>0.0</v>
      </c>
      <c r="L1366" s="13" t="str">
        <f>HYPERLINK(AC2 &amp; "/knife/sn_d4be83e3062bfe9086bbb74f0f607cdd/rendering/09.xyz", "0.0")</f>
        <v>0.0</v>
      </c>
      <c r="M1366" s="13" t="str">
        <f>HYPERLINK(AC2 &amp; "/knife/sn_d4be83e3062bfe9086bbb74f0f607cdd/rendering/10.xyz", "0.0")</f>
        <v>0.0</v>
      </c>
      <c r="N1366" s="13" t="str">
        <f>HYPERLINK(AC2 &amp; "/knife/sn_d4be83e3062bfe9086bbb74f0f607cdd/rendering/11.xyz", "0.0")</f>
        <v>0.0</v>
      </c>
      <c r="O1366" s="13" t="str">
        <f>HYPERLINK(AC2 &amp; "/knife/sn_d4be83e3062bfe9086bbb74f0f607cdd/rendering/12.xyz", "0.0")</f>
        <v>0.0</v>
      </c>
      <c r="P1366" s="13" t="str">
        <f>HYPERLINK(AC2 &amp; "/knife/sn_d4be83e3062bfe9086bbb74f0f607cdd/rendering/13.xyz", "0.0")</f>
        <v>0.0</v>
      </c>
      <c r="Q1366" s="13" t="str">
        <f>HYPERLINK(AC2 &amp; "/knife/sn_d4be83e3062bfe9086bbb74f0f607cdd/rendering/14.xyz", "0.0")</f>
        <v>0.0</v>
      </c>
      <c r="R1366" s="13" t="str">
        <f>HYPERLINK(AC2 &amp; "/knife/sn_d4be83e3062bfe9086bbb74f0f607cdd/rendering/15.xyz", "0.0")</f>
        <v>0.0</v>
      </c>
      <c r="S1366" s="13" t="str">
        <f>HYPERLINK(AC2 &amp; "/knife/sn_d4be83e3062bfe9086bbb74f0f607cdd/rendering/16.xyz", "0.0")</f>
        <v>0.0</v>
      </c>
      <c r="T1366" s="13" t="str">
        <f>HYPERLINK(AC2 &amp; "/knife/sn_d4be83e3062bfe9086bbb74f0f607cdd/rendering/17.xyz", "0.0")</f>
        <v>0.0</v>
      </c>
      <c r="U1366" s="13" t="str">
        <f>HYPERLINK(AC2 &amp; "/knife/sn_d4be83e3062bfe9086bbb74f0f607cdd/rendering/18.xyz", "0.0")</f>
        <v>0.0</v>
      </c>
      <c r="V1366" s="13" t="str">
        <f>HYPERLINK(AC2 &amp; "/knife/sn_d4be83e3062bfe9086bbb74f0f607cdd/rendering/19.xyz", "0.0")</f>
        <v>0.0</v>
      </c>
      <c r="W1366" s="12" t="s">
        <v>33</v>
      </c>
      <c r="X1366" s="13">
        <v>0</v>
      </c>
      <c r="Y1366" s="13">
        <v>0</v>
      </c>
      <c r="Z1366" s="13">
        <v>0</v>
      </c>
    </row>
    <row r="1367" spans="1:26" x14ac:dyDescent="0.2">
      <c r="A1367" s="1">
        <v>1365</v>
      </c>
      <c r="B1367" s="2" t="s">
        <v>306</v>
      </c>
      <c r="C1367" s="78" t="str">
        <f>HYPERLINK(AA2 &amp; "/knife/sn_d5f29a19d7523c8df1f105747d69ebcd/rendering/00.obj", "6.92079101563")</f>
        <v>6.92079101563</v>
      </c>
      <c r="D1367" s="185" t="str">
        <f>HYPERLINK(AA2 &amp; "/knife/sn_d5f29a19d7523c8df1f105747d69ebcd/rendering/01.obj", "8.76060180664")</f>
        <v>8.76060180664</v>
      </c>
      <c r="E1367" s="136" t="str">
        <f>HYPERLINK(AA2 &amp; "/knife/sn_d5f29a19d7523c8df1f105747d69ebcd/rendering/02.obj", "4.98158172607")</f>
        <v>4.98158172607</v>
      </c>
      <c r="F1367" s="70" t="str">
        <f>HYPERLINK(AA2 &amp; "/knife/sn_d5f29a19d7523c8df1f105747d69ebcd/rendering/03.obj", "5.69098083496")</f>
        <v>5.69098083496</v>
      </c>
      <c r="G1367" s="26" t="str">
        <f>HYPERLINK(AA2 &amp; "/knife/sn_d5f29a19d7523c8df1f105747d69ebcd/rendering/04.obj", "6.10334960937")</f>
        <v>6.10334960937</v>
      </c>
      <c r="H1367" s="33" t="str">
        <f>HYPERLINK(AA2 &amp; "/knife/sn_d5f29a19d7523c8df1f105747d69ebcd/rendering/05.obj", "7.23176574707")</f>
        <v>7.23176574707</v>
      </c>
      <c r="I1367" s="79" t="str">
        <f>HYPERLINK(AA2 &amp; "/knife/sn_d5f29a19d7523c8df1f105747d69ebcd/rendering/06.obj", "5.4982043457")</f>
        <v>5.4982043457</v>
      </c>
      <c r="J1367" s="29" t="str">
        <f>HYPERLINK(AA2 &amp; "/knife/sn_d5f29a19d7523c8df1f105747d69ebcd/rendering/07.obj", "5.68207946777")</f>
        <v>5.68207946777</v>
      </c>
      <c r="K1367" s="196" t="str">
        <f>HYPERLINK(AA2 &amp; "/knife/sn_d5f29a19d7523c8df1f105747d69ebcd/rendering/08.obj", "9.11704956055")</f>
        <v>9.11704956055</v>
      </c>
      <c r="L1367" s="31" t="str">
        <f>HYPERLINK(AA2 &amp; "/knife/sn_d5f29a19d7523c8df1f105747d69ebcd/rendering/09.obj", "5.51660583496")</f>
        <v>5.51660583496</v>
      </c>
      <c r="M1367" s="33" t="str">
        <f>HYPERLINK(AA2 &amp; "/knife/sn_d5f29a19d7523c8df1f105747d69ebcd/rendering/10.obj", "5.82139038086")</f>
        <v>5.82139038086</v>
      </c>
      <c r="N1367" s="160" t="str">
        <f>HYPERLINK(AA2 &amp; "/knife/sn_d5f29a19d7523c8df1f105747d69ebcd/rendering/11.obj", "9.97552978516")</f>
        <v>9.97552978516</v>
      </c>
      <c r="O1367" s="133" t="str">
        <f>HYPERLINK(AA2 &amp; "/knife/sn_d5f29a19d7523c8df1f105747d69ebcd/rendering/12.obj", "5.87207397461")</f>
        <v>5.87207397461</v>
      </c>
      <c r="P1367" s="35" t="str">
        <f>HYPERLINK(AA2 &amp; "/knife/sn_d5f29a19d7523c8df1f105747d69ebcd/rendering/13.obj", "6.14371032715")</f>
        <v>6.14371032715</v>
      </c>
      <c r="Q1367" s="50" t="str">
        <f>HYPERLINK(AA2 &amp; "/knife/sn_d5f29a19d7523c8df1f105747d69ebcd/rendering/14.obj", "5.2333190918")</f>
        <v>5.2333190918</v>
      </c>
      <c r="R1367" s="63" t="str">
        <f>HYPERLINK(AA2 &amp; "/knife/sn_d5f29a19d7523c8df1f105747d69ebcd/rendering/15.obj", "5.74530273438")</f>
        <v>5.74530273438</v>
      </c>
      <c r="S1367" s="29" t="str">
        <f>HYPERLINK(AA2 &amp; "/knife/sn_d5f29a19d7523c8df1f105747d69ebcd/rendering/16.obj", "5.67293823242")</f>
        <v>5.67293823242</v>
      </c>
      <c r="T1367" s="109" t="str">
        <f>HYPERLINK(AA2 &amp; "/knife/sn_d5f29a19d7523c8df1f105747d69ebcd/rendering/17.obj", "7.75809082031")</f>
        <v>7.75809082031</v>
      </c>
      <c r="U1367" s="27" t="str">
        <f>HYPERLINK(AA2 &amp; "/knife/sn_d5f29a19d7523c8df1f105747d69ebcd/rendering/18.obj", "6.98819763184")</f>
        <v>6.98819763184</v>
      </c>
      <c r="V1367" s="133" t="str">
        <f>HYPERLINK(AA2 &amp; "/knife/sn_d5f29a19d7523c8df1f105747d69ebcd/rendering/19.obj", "5.85860229492")</f>
        <v>5.85860229492</v>
      </c>
      <c r="W1367" s="12" t="s">
        <v>29</v>
      </c>
      <c r="X1367" s="13">
        <v>6.5286082611083982</v>
      </c>
      <c r="Y1367" s="13">
        <v>1.3521129485447301</v>
      </c>
      <c r="Z1367" s="49">
        <v>0.20710584775003391</v>
      </c>
    </row>
    <row r="1368" spans="1:26" x14ac:dyDescent="0.2">
      <c r="A1368" s="1">
        <v>1366</v>
      </c>
      <c r="B1368" s="2" t="s">
        <v>306</v>
      </c>
      <c r="C1368" s="146" t="str">
        <f>HYPERLINK(AA2 &amp; "/knife/sn_d5f29a19d7523c8df1f105747d69ebcd/rendering/00.obj", "6.75570487976")</f>
        <v>6.75570487976</v>
      </c>
      <c r="D1368" s="168" t="str">
        <f>HYPERLINK(AA2 &amp; "/knife/sn_d5f29a19d7523c8df1f105747d69ebcd/rendering/01.obj", "5.02896547318")</f>
        <v>5.02896547318</v>
      </c>
      <c r="E1368" s="159" t="str">
        <f>HYPERLINK(AA2 &amp; "/knife/sn_d5f29a19d7523c8df1f105747d69ebcd/rendering/02.obj", "2.0149166584")</f>
        <v>2.0149166584</v>
      </c>
      <c r="F1368" s="98" t="str">
        <f>HYPERLINK(AA2 &amp; "/knife/sn_d5f29a19d7523c8df1f105747d69ebcd/rendering/03.obj", "4.68243408203")</f>
        <v>4.68243408203</v>
      </c>
      <c r="G1368" s="103" t="str">
        <f>HYPERLINK(AA2 &amp; "/knife/sn_d5f29a19d7523c8df1f105747d69ebcd/rendering/04.obj", "2.57301449776")</f>
        <v>2.57301449776</v>
      </c>
      <c r="H1368" s="133" t="str">
        <f>HYPERLINK(AA2 &amp; "/knife/sn_d5f29a19d7523c8df1f105747d69ebcd/rendering/05.obj", "4.18882656097")</f>
        <v>4.18882656097</v>
      </c>
      <c r="I1368" s="89" t="str">
        <f>HYPERLINK(AA2 &amp; "/knife/sn_d5f29a19d7523c8df1f105747d69ebcd/rendering/06.obj", "2.81428146362")</f>
        <v>2.81428146362</v>
      </c>
      <c r="J1368" s="226" t="str">
        <f>HYPERLINK(AA2 &amp; "/knife/sn_d5f29a19d7523c8df1f105747d69ebcd/rendering/07.obj", "1.65897846222")</f>
        <v>1.65897846222</v>
      </c>
      <c r="K1368" s="203" t="str">
        <f>HYPERLINK(AA2 &amp; "/knife/sn_d5f29a19d7523c8df1f105747d69ebcd/rendering/08.obj", "5.58130598068")</f>
        <v>5.58130598068</v>
      </c>
      <c r="L1368" s="4" t="str">
        <f>HYPERLINK(AA2 &amp; "/knife/sn_d5f29a19d7523c8df1f105747d69ebcd/rendering/09.obj", "2.72871208191")</f>
        <v>2.72871208191</v>
      </c>
      <c r="M1368" s="102" t="str">
        <f>HYPERLINK(AA2 &amp; "/knife/sn_d5f29a19d7523c8df1f105747d69ebcd/rendering/10.obj", "1.91782844067")</f>
        <v>1.91782844067</v>
      </c>
      <c r="N1368" s="20" t="str">
        <f>HYPERLINK(AA2 &amp; "/knife/sn_d5f29a19d7523c8df1f105747d69ebcd/rendering/11.obj", "8.27441596985")</f>
        <v>8.27441596985</v>
      </c>
      <c r="O1368" s="227" t="str">
        <f>HYPERLINK(AA2 &amp; "/knife/sn_d5f29a19d7523c8df1f105747d69ebcd/rendering/12.obj", "1.8700325489")</f>
        <v>1.8700325489</v>
      </c>
      <c r="P1368" s="19" t="str">
        <f>HYPERLINK(AA2 &amp; "/knife/sn_d5f29a19d7523c8df1f105747d69ebcd/rendering/13.obj", "2.81107020378")</f>
        <v>2.81107020378</v>
      </c>
      <c r="Q1368" s="145" t="str">
        <f>HYPERLINK(AA2 &amp; "/knife/sn_d5f29a19d7523c8df1f105747d69ebcd/rendering/14.obj", "1.93857693672")</f>
        <v>1.93857693672</v>
      </c>
      <c r="R1368" s="166" t="str">
        <f>HYPERLINK(AA2 &amp; "/knife/sn_d5f29a19d7523c8df1f105747d69ebcd/rendering/15.obj", "2.70951652527")</f>
        <v>2.70951652527</v>
      </c>
      <c r="S1368" s="256" t="str">
        <f>HYPERLINK(AA2 &amp; "/knife/sn_d5f29a19d7523c8df1f105747d69ebcd/rendering/16.obj", "1.44961977005")</f>
        <v>1.44961977005</v>
      </c>
      <c r="T1368" s="20" t="str">
        <f>HYPERLINK(AA2 &amp; "/knife/sn_d5f29a19d7523c8df1f105747d69ebcd/rendering/17.obj", "11.0300588608")</f>
        <v>11.0300588608</v>
      </c>
      <c r="U1368" s="86" t="str">
        <f>HYPERLINK(AA2 &amp; "/knife/sn_d5f29a19d7523c8df1f105747d69ebcd/rendering/18.obj", "2.78426885605")</f>
        <v>2.78426885605</v>
      </c>
      <c r="V1368" s="8" t="str">
        <f>HYPERLINK(AA2 &amp; "/knife/sn_d5f29a19d7523c8df1f105747d69ebcd/rendering/19.obj", "3.26550102234")</f>
        <v>3.26550102234</v>
      </c>
      <c r="W1368" s="12" t="s">
        <v>30</v>
      </c>
      <c r="X1368" s="13">
        <v>3.803901463747025</v>
      </c>
      <c r="Y1368" s="13">
        <v>2.426722789239351</v>
      </c>
      <c r="Z1368" s="115">
        <v>0.63795626999467903</v>
      </c>
    </row>
    <row r="1369" spans="1:26" x14ac:dyDescent="0.2">
      <c r="A1369" s="1">
        <v>1367</v>
      </c>
      <c r="B1369" s="2" t="s">
        <v>306</v>
      </c>
      <c r="C1369" s="60" t="str">
        <f>HYPERLINK(AB2 &amp; "/knife/sn_d5f29a19d7523c8df1f105747d69ebcd/rendering/00.obj", "5.29083007813")</f>
        <v>5.29083007813</v>
      </c>
      <c r="D1369" s="13" t="str">
        <f>HYPERLINK(AB2 &amp; "/knife/sn_d5f29a19d7523c8df1f105747d69ebcd/rendering/01.obj", "5.03590637207")</f>
        <v>5.03590637207</v>
      </c>
      <c r="E1369" s="68" t="str">
        <f>HYPERLINK(AB2 &amp; "/knife/sn_d5f29a19d7523c8df1f105747d69ebcd/rendering/02.obj", "4.81704162598")</f>
        <v>4.81704162598</v>
      </c>
      <c r="F1369" s="17" t="str">
        <f>HYPERLINK(AB2 &amp; "/knife/sn_d5f29a19d7523c8df1f105747d69ebcd/rendering/03.obj", "4.91976379395")</f>
        <v>4.91976379395</v>
      </c>
      <c r="G1369" s="68" t="str">
        <f>HYPERLINK(AB2 &amp; "/knife/sn_d5f29a19d7523c8df1f105747d69ebcd/rendering/04.obj", "4.81863739014")</f>
        <v>4.81863739014</v>
      </c>
      <c r="H1369" s="17" t="str">
        <f>HYPERLINK(AB2 &amp; "/knife/sn_d5f29a19d7523c8df1f105747d69ebcd/rendering/05.obj", "5.11914916992")</f>
        <v>5.11914916992</v>
      </c>
      <c r="I1369" s="51" t="str">
        <f>HYPERLINK(AB2 &amp; "/knife/sn_d5f29a19d7523c8df1f105747d69ebcd/rendering/06.obj", "5.42722167969")</f>
        <v>5.42722167969</v>
      </c>
      <c r="J1369" s="51" t="str">
        <f>HYPERLINK(AB2 &amp; "/knife/sn_d5f29a19d7523c8df1f105747d69ebcd/rendering/07.obj", "5.41926147461")</f>
        <v>5.41926147461</v>
      </c>
      <c r="K1369" s="60" t="str">
        <f>HYPERLINK(AB2 &amp; "/knife/sn_d5f29a19d7523c8df1f105747d69ebcd/rendering/08.obj", "5.28721313477")</f>
        <v>5.28721313477</v>
      </c>
      <c r="L1369" s="60" t="str">
        <f>HYPERLINK(AB2 &amp; "/knife/sn_d5f29a19d7523c8df1f105747d69ebcd/rendering/09.obj", "4.76129943848")</f>
        <v>4.76129943848</v>
      </c>
      <c r="M1369" s="91" t="str">
        <f>HYPERLINK(AB2 &amp; "/knife/sn_d5f29a19d7523c8df1f105747d69ebcd/rendering/10.obj", "4.88899108887")</f>
        <v>4.88899108887</v>
      </c>
      <c r="N1369" s="73" t="str">
        <f>HYPERLINK(AB2 &amp; "/knife/sn_d5f29a19d7523c8df1f105747d69ebcd/rendering/11.obj", "5.19748413086")</f>
        <v>5.19748413086</v>
      </c>
      <c r="O1369" s="72" t="str">
        <f>HYPERLINK(AB2 &amp; "/knife/sn_d5f29a19d7523c8df1f105747d69ebcd/rendering/12.obj", "5.18809387207")</f>
        <v>5.18809387207</v>
      </c>
      <c r="P1369" s="68" t="str">
        <f>HYPERLINK(AB2 &amp; "/knife/sn_d5f29a19d7523c8df1f105747d69ebcd/rendering/13.obj", "4.81416503906")</f>
        <v>4.81416503906</v>
      </c>
      <c r="Q1369" s="23" t="str">
        <f>HYPERLINK(AB2 &amp; "/knife/sn_d5f29a19d7523c8df1f105747d69ebcd/rendering/14.obj", "4.82515075684")</f>
        <v>4.82515075684</v>
      </c>
      <c r="R1369" s="26" t="str">
        <f>HYPERLINK(AB2 &amp; "/knife/sn_d5f29a19d7523c8df1f105747d69ebcd/rendering/15.obj", "4.69373474121")</f>
        <v>4.69373474121</v>
      </c>
      <c r="S1369" s="46" t="str">
        <f>HYPERLINK(AB2 &amp; "/knife/sn_d5f29a19d7523c8df1f105747d69ebcd/rendering/16.obj", "5.11597473145")</f>
        <v>5.11597473145</v>
      </c>
      <c r="T1369" s="72" t="str">
        <f>HYPERLINK(AB2 &amp; "/knife/sn_d5f29a19d7523c8df1f105747d69ebcd/rendering/17.obj", "4.85425476074")</f>
        <v>4.85425476074</v>
      </c>
      <c r="U1369" s="30" t="str">
        <f>HYPERLINK(AB2 &amp; "/knife/sn_d5f29a19d7523c8df1f105747d69ebcd/rendering/18.obj", "4.99226623535")</f>
        <v>4.99226623535</v>
      </c>
      <c r="V1369" s="30" t="str">
        <f>HYPERLINK(AB2 &amp; "/knife/sn_d5f29a19d7523c8df1f105747d69ebcd/rendering/19.obj", "5.00658569336")</f>
        <v>5.00658569336</v>
      </c>
      <c r="W1369" s="12" t="s">
        <v>31</v>
      </c>
      <c r="X1369" s="13">
        <v>5.0236512603759769</v>
      </c>
      <c r="Y1369" s="13">
        <v>0.21677808310403171</v>
      </c>
      <c r="Z1369" s="68">
        <v>4.3151499152392941E-2</v>
      </c>
    </row>
    <row r="1370" spans="1:26" x14ac:dyDescent="0.2">
      <c r="A1370" s="1">
        <v>1368</v>
      </c>
      <c r="B1370" s="2" t="s">
        <v>306</v>
      </c>
      <c r="C1370" s="55" t="str">
        <f>HYPERLINK(AB2 &amp; "/knife/sn_d5f29a19d7523c8df1f105747d69ebcd/rendering/00.obj", "1.44899451733")</f>
        <v>1.44899451733</v>
      </c>
      <c r="D1370" s="110" t="str">
        <f>HYPERLINK(AB2 &amp; "/knife/sn_d5f29a19d7523c8df1f105747d69ebcd/rendering/01.obj", "1.62017083168")</f>
        <v>1.62017083168</v>
      </c>
      <c r="E1370" s="93" t="str">
        <f>HYPERLINK(AB2 &amp; "/knife/sn_d5f29a19d7523c8df1f105747d69ebcd/rendering/02.obj", "2.04638552666")</f>
        <v>2.04638552666</v>
      </c>
      <c r="F1370" s="38" t="str">
        <f>HYPERLINK(AB2 &amp; "/knife/sn_d5f29a19d7523c8df1f105747d69ebcd/rendering/03.obj", "1.9544672966")</f>
        <v>1.9544672966</v>
      </c>
      <c r="G1370" s="77" t="str">
        <f>HYPERLINK(AB2 &amp; "/knife/sn_d5f29a19d7523c8df1f105747d69ebcd/rendering/04.obj", "2.1301214695")</f>
        <v>2.1301214695</v>
      </c>
      <c r="H1370" s="73" t="str">
        <f>HYPERLINK(AB2 &amp; "/knife/sn_d5f29a19d7523c8df1f105747d69ebcd/rendering/05.obj", "1.85866475105")</f>
        <v>1.85866475105</v>
      </c>
      <c r="I1370" s="65" t="str">
        <f>HYPERLINK(AB2 &amp; "/knife/sn_d5f29a19d7523c8df1f105747d69ebcd/rendering/06.obj", "2.03811955452")</f>
        <v>2.03811955452</v>
      </c>
      <c r="J1370" s="66" t="str">
        <f>HYPERLINK(AB2 &amp; "/knife/sn_d5f29a19d7523c8df1f105747d69ebcd/rendering/07.obj", "1.50845384598")</f>
        <v>1.50845384598</v>
      </c>
      <c r="K1370" s="35" t="str">
        <f>HYPERLINK(AB2 &amp; "/knife/sn_d5f29a19d7523c8df1f105747d69ebcd/rendering/08.obj", "1.90114605427")</f>
        <v>1.90114605427</v>
      </c>
      <c r="L1370" s="50" t="str">
        <f>HYPERLINK(AB2 &amp; "/knife/sn_d5f29a19d7523c8df1f105747d69ebcd/rendering/09.obj", "1.43583381176")</f>
        <v>1.43583381176</v>
      </c>
      <c r="M1370" s="71" t="str">
        <f>HYPERLINK(AB2 &amp; "/knife/sn_d5f29a19d7523c8df1f105747d69ebcd/rendering/10.obj", "2.00741076469")</f>
        <v>2.00741076469</v>
      </c>
      <c r="N1370" s="29" t="str">
        <f>HYPERLINK(AB2 &amp; "/knife/sn_d5f29a19d7523c8df1f105747d69ebcd/rendering/11.obj", "1.56045734882")</f>
        <v>1.56045734882</v>
      </c>
      <c r="O1370" s="47" t="str">
        <f>HYPERLINK(AB2 &amp; "/knife/sn_d5f29a19d7523c8df1f105747d69ebcd/rendering/12.obj", "1.78036975861")</f>
        <v>1.78036975861</v>
      </c>
      <c r="P1370" s="28" t="str">
        <f>HYPERLINK(AB2 &amp; "/knife/sn_d5f29a19d7523c8df1f105747d69ebcd/rendering/13.obj", "1.59570610523")</f>
        <v>1.59570610523</v>
      </c>
      <c r="Q1370" s="8" t="str">
        <f>HYPERLINK(AB2 &amp; "/knife/sn_d5f29a19d7523c8df1f105747d69ebcd/rendering/14.obj", "1.53868103027")</f>
        <v>1.53868103027</v>
      </c>
      <c r="R1370" s="11" t="str">
        <f>HYPERLINK(AB2 &amp; "/knife/sn_d5f29a19d7523c8df1f105747d69ebcd/rendering/15.obj", "1.39147996902")</f>
        <v>1.39147996902</v>
      </c>
      <c r="S1370" s="39" t="str">
        <f>HYPERLINK(AB2 &amp; "/knife/sn_d5f29a19d7523c8df1f105747d69ebcd/rendering/16.obj", "1.64006400108")</f>
        <v>1.64006400108</v>
      </c>
      <c r="T1370" s="152" t="str">
        <f>HYPERLINK(AB2 &amp; "/knife/sn_d5f29a19d7523c8df1f105747d69ebcd/rendering/17.obj", "2.52402663231")</f>
        <v>2.52402663231</v>
      </c>
      <c r="U1370" s="175" t="str">
        <f>HYPERLINK(AB2 &amp; "/knife/sn_d5f29a19d7523c8df1f105747d69ebcd/rendering/18.obj", "1.37644124031")</f>
        <v>1.37644124031</v>
      </c>
      <c r="V1370" s="162" t="str">
        <f>HYPERLINK(AB2 &amp; "/knife/sn_d5f29a19d7523c8df1f105747d69ebcd/rendering/19.obj", "2.56064414978")</f>
        <v>2.56064414978</v>
      </c>
      <c r="W1370" s="12" t="s">
        <v>32</v>
      </c>
      <c r="X1370" s="13">
        <v>1.795881932973862</v>
      </c>
      <c r="Y1370" s="13">
        <v>0.3407501020839438</v>
      </c>
      <c r="Z1370" s="109">
        <v>0.18973970160704501</v>
      </c>
    </row>
    <row r="1371" spans="1:26" x14ac:dyDescent="0.2">
      <c r="A1371" s="1">
        <v>1369</v>
      </c>
      <c r="B1371" s="2" t="s">
        <v>306</v>
      </c>
      <c r="C1371" s="13" t="str">
        <f>HYPERLINK(AC2 &amp; "/knife/sn_d5f29a19d7523c8df1f105747d69ebcd/rendering/00.xyz", "0.0")</f>
        <v>0.0</v>
      </c>
      <c r="D1371" s="13" t="str">
        <f>HYPERLINK(AC2 &amp; "/knife/sn_d5f29a19d7523c8df1f105747d69ebcd/rendering/01.xyz", "0.0")</f>
        <v>0.0</v>
      </c>
      <c r="E1371" s="13" t="str">
        <f>HYPERLINK(AC2 &amp; "/knife/sn_d5f29a19d7523c8df1f105747d69ebcd/rendering/02.xyz", "0.0")</f>
        <v>0.0</v>
      </c>
      <c r="F1371" s="13" t="str">
        <f>HYPERLINK(AC2 &amp; "/knife/sn_d5f29a19d7523c8df1f105747d69ebcd/rendering/03.xyz", "0.0")</f>
        <v>0.0</v>
      </c>
      <c r="G1371" s="13" t="str">
        <f>HYPERLINK(AC2 &amp; "/knife/sn_d5f29a19d7523c8df1f105747d69ebcd/rendering/04.xyz", "0.0")</f>
        <v>0.0</v>
      </c>
      <c r="H1371" s="13" t="str">
        <f>HYPERLINK(AC2 &amp; "/knife/sn_d5f29a19d7523c8df1f105747d69ebcd/rendering/05.xyz", "0.0")</f>
        <v>0.0</v>
      </c>
      <c r="I1371" s="13" t="str">
        <f>HYPERLINK(AC2 &amp; "/knife/sn_d5f29a19d7523c8df1f105747d69ebcd/rendering/06.xyz", "0.0")</f>
        <v>0.0</v>
      </c>
      <c r="J1371" s="13" t="str">
        <f>HYPERLINK(AC2 &amp; "/knife/sn_d5f29a19d7523c8df1f105747d69ebcd/rendering/07.xyz", "0.0")</f>
        <v>0.0</v>
      </c>
      <c r="K1371" s="13" t="str">
        <f>HYPERLINK(AC2 &amp; "/knife/sn_d5f29a19d7523c8df1f105747d69ebcd/rendering/08.xyz", "0.0")</f>
        <v>0.0</v>
      </c>
      <c r="L1371" s="13" t="str">
        <f>HYPERLINK(AC2 &amp; "/knife/sn_d5f29a19d7523c8df1f105747d69ebcd/rendering/09.xyz", "0.0")</f>
        <v>0.0</v>
      </c>
      <c r="M1371" s="13" t="str">
        <f>HYPERLINK(AC2 &amp; "/knife/sn_d5f29a19d7523c8df1f105747d69ebcd/rendering/10.xyz", "0.0")</f>
        <v>0.0</v>
      </c>
      <c r="N1371" s="13" t="str">
        <f>HYPERLINK(AC2 &amp; "/knife/sn_d5f29a19d7523c8df1f105747d69ebcd/rendering/11.xyz", "0.0")</f>
        <v>0.0</v>
      </c>
      <c r="O1371" s="13" t="str">
        <f>HYPERLINK(AC2 &amp; "/knife/sn_d5f29a19d7523c8df1f105747d69ebcd/rendering/12.xyz", "0.0")</f>
        <v>0.0</v>
      </c>
      <c r="P1371" s="13" t="str">
        <f>HYPERLINK(AC2 &amp; "/knife/sn_d5f29a19d7523c8df1f105747d69ebcd/rendering/13.xyz", "0.0")</f>
        <v>0.0</v>
      </c>
      <c r="Q1371" s="13" t="str">
        <f>HYPERLINK(AC2 &amp; "/knife/sn_d5f29a19d7523c8df1f105747d69ebcd/rendering/14.xyz", "0.0")</f>
        <v>0.0</v>
      </c>
      <c r="R1371" s="13" t="str">
        <f>HYPERLINK(AC2 &amp; "/knife/sn_d5f29a19d7523c8df1f105747d69ebcd/rendering/15.xyz", "0.0")</f>
        <v>0.0</v>
      </c>
      <c r="S1371" s="13" t="str">
        <f>HYPERLINK(AC2 &amp; "/knife/sn_d5f29a19d7523c8df1f105747d69ebcd/rendering/16.xyz", "0.0")</f>
        <v>0.0</v>
      </c>
      <c r="T1371" s="13" t="str">
        <f>HYPERLINK(AC2 &amp; "/knife/sn_d5f29a19d7523c8df1f105747d69ebcd/rendering/17.xyz", "0.0")</f>
        <v>0.0</v>
      </c>
      <c r="U1371" s="13" t="str">
        <f>HYPERLINK(AC2 &amp; "/knife/sn_d5f29a19d7523c8df1f105747d69ebcd/rendering/18.xyz", "0.0")</f>
        <v>0.0</v>
      </c>
      <c r="V1371" s="13" t="str">
        <f>HYPERLINK(AC2 &amp; "/knife/sn_d5f29a19d7523c8df1f105747d69ebcd/rendering/19.xyz", "0.0")</f>
        <v>0.0</v>
      </c>
      <c r="W1371" s="12" t="s">
        <v>33</v>
      </c>
      <c r="X1371" s="13">
        <v>0</v>
      </c>
      <c r="Y1371" s="13">
        <v>0</v>
      </c>
      <c r="Z1371" s="13">
        <v>0</v>
      </c>
    </row>
    <row r="1372" spans="1:26" x14ac:dyDescent="0.2">
      <c r="A1372" s="1">
        <v>1370</v>
      </c>
      <c r="B1372" s="2" t="s">
        <v>307</v>
      </c>
      <c r="C1372" s="239" t="str">
        <f>HYPERLINK(AA2 &amp; "/knife/sn_d61a5fa6dc3f703613abf93d1c879c43/rendering/00.obj", "9.03653076172")</f>
        <v>9.03653076172</v>
      </c>
      <c r="D1372" s="76" t="str">
        <f>HYPERLINK(AA2 &amp; "/knife/sn_d61a5fa6dc3f703613abf93d1c879c43/rendering/01.obj", "6.65103881836")</f>
        <v>6.65103881836</v>
      </c>
      <c r="E1372" s="157" t="str">
        <f>HYPERLINK(AA2 &amp; "/knife/sn_d61a5fa6dc3f703613abf93d1c879c43/rendering/02.obj", "3.28325164795")</f>
        <v>3.28325164795</v>
      </c>
      <c r="F1372" s="212" t="str">
        <f>HYPERLINK(AA2 &amp; "/knife/sn_d61a5fa6dc3f703613abf93d1c879c43/rendering/03.obj", "3.19193115234")</f>
        <v>3.19193115234</v>
      </c>
      <c r="G1372" s="84" t="str">
        <f>HYPERLINK(AA2 &amp; "/knife/sn_d61a5fa6dc3f703613abf93d1c879c43/rendering/04.obj", "4.79436218262")</f>
        <v>4.79436218262</v>
      </c>
      <c r="H1372" s="63" t="str">
        <f>HYPERLINK(AA2 &amp; "/knife/sn_d61a5fa6dc3f703613abf93d1c879c43/rendering/05.obj", "6.30343078613")</f>
        <v>6.30343078613</v>
      </c>
      <c r="I1372" s="61" t="str">
        <f>HYPERLINK(AA2 &amp; "/knife/sn_d61a5fa6dc3f703613abf93d1c879c43/rendering/06.obj", "3.91730194092")</f>
        <v>3.91730194092</v>
      </c>
      <c r="J1372" s="128" t="str">
        <f>HYPERLINK(AA2 &amp; "/knife/sn_d61a5fa6dc3f703613abf93d1c879c43/rendering/07.obj", "3.43315429688")</f>
        <v>3.43315429688</v>
      </c>
      <c r="K1372" s="20" t="str">
        <f>HYPERLINK(AA2 &amp; "/knife/sn_d61a5fa6dc3f703613abf93d1c879c43/rendering/08.obj", "13.985949707")</f>
        <v>13.985949707</v>
      </c>
      <c r="L1372" s="124" t="str">
        <f>HYPERLINK(AA2 &amp; "/knife/sn_d61a5fa6dc3f703613abf93d1c879c43/rendering/09.obj", "3.47479522705")</f>
        <v>3.47479522705</v>
      </c>
      <c r="M1372" s="128" t="str">
        <f>HYPERLINK(AA2 &amp; "/knife/sn_d61a5fa6dc3f703613abf93d1c879c43/rendering/10.obj", "3.42511566162")</f>
        <v>3.42511566162</v>
      </c>
      <c r="N1372" s="20" t="str">
        <f>HYPERLINK(AA2 &amp; "/knife/sn_d61a5fa6dc3f703613abf93d1c879c43/rendering/11.obj", "16.3146972656")</f>
        <v>16.3146972656</v>
      </c>
      <c r="O1372" s="52" t="str">
        <f>HYPERLINK(AA2 &amp; "/knife/sn_d61a5fa6dc3f703613abf93d1c879c43/rendering/12.obj", "3.371534729")</f>
        <v>3.371534729</v>
      </c>
      <c r="P1372" s="64" t="str">
        <f>HYPERLINK(AA2 &amp; "/knife/sn_d61a5fa6dc3f703613abf93d1c879c43/rendering/13.obj", "4.68744720459")</f>
        <v>4.68744720459</v>
      </c>
      <c r="Q1372" s="53" t="str">
        <f>HYPERLINK(AA2 &amp; "/knife/sn_d61a5fa6dc3f703613abf93d1c879c43/rendering/14.obj", "3.29603210449")</f>
        <v>3.29603210449</v>
      </c>
      <c r="R1372" s="85" t="str">
        <f>HYPERLINK(AA2 &amp; "/knife/sn_d61a5fa6dc3f703613abf93d1c879c43/rendering/15.obj", "3.95759918213")</f>
        <v>3.95759918213</v>
      </c>
      <c r="S1372" s="182" t="str">
        <f>HYPERLINK(AA2 &amp; "/knife/sn_d61a5fa6dc3f703613abf93d1c879c43/rendering/16.obj", "3.73994018555")</f>
        <v>3.73994018555</v>
      </c>
      <c r="T1372" s="37" t="str">
        <f>HYPERLINK(AA2 &amp; "/knife/sn_d61a5fa6dc3f703613abf93d1c879c43/rendering/17.obj", "6.60391357422")</f>
        <v>6.60391357422</v>
      </c>
      <c r="U1372" s="47" t="str">
        <f>HYPERLINK(AA2 &amp; "/knife/sn_d61a5fa6dc3f703613abf93d1c879c43/rendering/18.obj", "5.57538024902")</f>
        <v>5.57538024902</v>
      </c>
      <c r="V1372" s="52" t="str">
        <f>HYPERLINK(AA2 &amp; "/knife/sn_d61a5fa6dc3f703613abf93d1c879c43/rendering/19.obj", "3.3710369873")</f>
        <v>3.3710369873</v>
      </c>
      <c r="W1372" s="12" t="s">
        <v>29</v>
      </c>
      <c r="X1372" s="13">
        <v>5.6207221832275387</v>
      </c>
      <c r="Y1372" s="13">
        <v>3.5380724258884282</v>
      </c>
      <c r="Z1372" s="202">
        <v>0.62946936542179199</v>
      </c>
    </row>
    <row r="1373" spans="1:26" x14ac:dyDescent="0.2">
      <c r="A1373" s="1">
        <v>1371</v>
      </c>
      <c r="B1373" s="2" t="s">
        <v>307</v>
      </c>
      <c r="C1373" s="167" t="str">
        <f>HYPERLINK(AA2 &amp; "/knife/sn_d61a5fa6dc3f703613abf93d1c879c43/rendering/00.obj", "7.84143781662")</f>
        <v>7.84143781662</v>
      </c>
      <c r="D1373" s="166" t="str">
        <f>HYPERLINK(AA2 &amp; "/knife/sn_d61a5fa6dc3f703613abf93d1c879c43/rendering/01.obj", "3.48459601402")</f>
        <v>3.48459601402</v>
      </c>
      <c r="E1373" s="20" t="str">
        <f>HYPERLINK(AA2 &amp; "/knife/sn_d61a5fa6dc3f703613abf93d1c879c43/rendering/02.obj", "0.980360865593")</f>
        <v>0.980360865593</v>
      </c>
      <c r="F1373" s="232" t="str">
        <f>HYPERLINK(AA2 &amp; "/knife/sn_d61a5fa6dc3f703613abf93d1c879c43/rendering/03.obj", "1.05928349495")</f>
        <v>1.05928349495</v>
      </c>
      <c r="G1373" s="145" t="str">
        <f>HYPERLINK(AA2 &amp; "/knife/sn_d61a5fa6dc3f703613abf93d1c879c43/rendering/04.obj", "2.48777341843")</f>
        <v>2.48777341843</v>
      </c>
      <c r="H1373" s="57" t="str">
        <f>HYPERLINK(AA2 &amp; "/knife/sn_d61a5fa6dc3f703613abf93d1c879c43/rendering/05.obj", "6.42146730423")</f>
        <v>6.42146730423</v>
      </c>
      <c r="I1373" s="225" t="str">
        <f>HYPERLINK(AA2 &amp; "/knife/sn_d61a5fa6dc3f703613abf93d1c879c43/rendering/06.obj", "2.10301828384")</f>
        <v>2.10301828384</v>
      </c>
      <c r="J1373" s="20" t="str">
        <f>HYPERLINK(AA2 &amp; "/knife/sn_d61a5fa6dc3f703613abf93d1c879c43/rendering/07.obj", "0.92134386301")</f>
        <v>0.92134386301</v>
      </c>
      <c r="K1373" s="20" t="str">
        <f>HYPERLINK(AA2 &amp; "/knife/sn_d61a5fa6dc3f703613abf93d1c879c43/rendering/08.obj", "21.2539482117")</f>
        <v>21.2539482117</v>
      </c>
      <c r="L1373" s="188" t="str">
        <f>HYPERLINK(AA2 &amp; "/knife/sn_d61a5fa6dc3f703613abf93d1c879c43/rendering/09.obj", "1.39013957977")</f>
        <v>1.39013957977</v>
      </c>
      <c r="M1373" s="236" t="str">
        <f>HYPERLINK(AA2 &amp; "/knife/sn_d61a5fa6dc3f703613abf93d1c879c43/rendering/10.obj", "1.27118730545")</f>
        <v>1.27118730545</v>
      </c>
      <c r="N1373" s="20" t="str">
        <f>HYPERLINK(AA2 &amp; "/knife/sn_d61a5fa6dc3f703613abf93d1c879c43/rendering/11.obj", "30.8226451874")</f>
        <v>30.8226451874</v>
      </c>
      <c r="O1373" s="154" t="str">
        <f>HYPERLINK(AA2 &amp; "/knife/sn_d61a5fa6dc3f703613abf93d1c879c43/rendering/12.obj", "1.25057840347")</f>
        <v>1.25057840347</v>
      </c>
      <c r="P1373" s="108" t="str">
        <f>HYPERLINK(AA2 &amp; "/knife/sn_d61a5fa6dc3f703613abf93d1c879c43/rendering/13.obj", "3.68948578835")</f>
        <v>3.68948578835</v>
      </c>
      <c r="Q1373" s="242" t="str">
        <f>HYPERLINK(AA2 &amp; "/knife/sn_d61a5fa6dc3f703613abf93d1c879c43/rendering/14.obj", "1.30843305588")</f>
        <v>1.30843305588</v>
      </c>
      <c r="R1373" s="219" t="str">
        <f>HYPERLINK(AA2 &amp; "/knife/sn_d61a5fa6dc3f703613abf93d1c879c43/rendering/15.obj", "1.47842764854")</f>
        <v>1.47842764854</v>
      </c>
      <c r="S1373" s="165" t="str">
        <f>HYPERLINK(AA2 &amp; "/knife/sn_d61a5fa6dc3f703613abf93d1c879c43/rendering/16.obj", "1.49975216389")</f>
        <v>1.49975216389</v>
      </c>
      <c r="T1373" s="86" t="str">
        <f>HYPERLINK(AA2 &amp; "/knife/sn_d61a5fa6dc3f703613abf93d1c879c43/rendering/17.obj", "3.57229661942")</f>
        <v>3.57229661942</v>
      </c>
      <c r="U1373" s="19" t="str">
        <f>HYPERLINK(AA2 &amp; "/knife/sn_d61a5fa6dc3f703613abf93d1c879c43/rendering/18.obj", "3.60969948769")</f>
        <v>3.60969948769</v>
      </c>
      <c r="V1373" s="242" t="str">
        <f>HYPERLINK(AA2 &amp; "/knife/sn_d61a5fa6dc3f703613abf93d1c879c43/rendering/19.obj", "1.30562412739")</f>
        <v>1.30562412739</v>
      </c>
      <c r="W1373" s="12" t="s">
        <v>30</v>
      </c>
      <c r="X1373" s="13">
        <v>4.887574931979179</v>
      </c>
      <c r="Y1373" s="13">
        <v>7.4322779417751494</v>
      </c>
      <c r="Z1373" s="20">
        <v>1.5206473650452079</v>
      </c>
    </row>
    <row r="1374" spans="1:26" x14ac:dyDescent="0.2">
      <c r="A1374" s="1">
        <v>1372</v>
      </c>
      <c r="B1374" s="2" t="s">
        <v>307</v>
      </c>
      <c r="C1374" s="72" t="str">
        <f>HYPERLINK(AB2 &amp; "/knife/sn_d61a5fa6dc3f703613abf93d1c879c43/rendering/00.obj", "3.42954345703")</f>
        <v>3.42954345703</v>
      </c>
      <c r="D1374" s="23" t="str">
        <f>HYPERLINK(AB2 &amp; "/knife/sn_d61a5fa6dc3f703613abf93d1c879c43/rendering/01.obj", "3.44085906982")</f>
        <v>3.44085906982</v>
      </c>
      <c r="E1374" s="27" t="str">
        <f>HYPERLINK(AB2 &amp; "/knife/sn_d61a5fa6dc3f703613abf93d1c879c43/rendering/02.obj", "3.08577514648")</f>
        <v>3.08577514648</v>
      </c>
      <c r="F1374" s="82" t="str">
        <f>HYPERLINK(AB2 &amp; "/knife/sn_d61a5fa6dc3f703613abf93d1c879c43/rendering/03.obj", "2.63092559814")</f>
        <v>2.63092559814</v>
      </c>
      <c r="G1374" s="33" t="str">
        <f>HYPERLINK(AB2 &amp; "/knife/sn_d61a5fa6dc3f703613abf93d1c879c43/rendering/04.obj", "3.66959533691")</f>
        <v>3.66959533691</v>
      </c>
      <c r="H1374" s="31" t="str">
        <f>HYPERLINK(AB2 &amp; "/knife/sn_d61a5fa6dc3f703613abf93d1c879c43/rendering/05.obj", "3.82986938477")</f>
        <v>3.82986938477</v>
      </c>
      <c r="I1374" s="170" t="str">
        <f>HYPERLINK(AB2 &amp; "/knife/sn_d61a5fa6dc3f703613abf93d1c879c43/rendering/06.obj", "4.15698608398")</f>
        <v>4.15698608398</v>
      </c>
      <c r="J1374" s="23" t="str">
        <f>HYPERLINK(AB2 &amp; "/knife/sn_d61a5fa6dc3f703613abf93d1c879c43/rendering/07.obj", "3.18579223633")</f>
        <v>3.18579223633</v>
      </c>
      <c r="K1374" s="74" t="str">
        <f>HYPERLINK(AB2 &amp; "/knife/sn_d61a5fa6dc3f703613abf93d1c879c43/rendering/08.obj", "3.26751159668")</f>
        <v>3.26751159668</v>
      </c>
      <c r="L1374" s="13" t="str">
        <f>HYPERLINK(AB2 &amp; "/knife/sn_d61a5fa6dc3f703613abf93d1c879c43/rendering/09.obj", "3.31311004639")</f>
        <v>3.31311004639</v>
      </c>
      <c r="M1374" s="41" t="str">
        <f>HYPERLINK(AB2 &amp; "/knife/sn_d61a5fa6dc3f703613abf93d1c879c43/rendering/10.obj", "3.08990905762")</f>
        <v>3.08990905762</v>
      </c>
      <c r="N1374" s="42" t="str">
        <f>HYPERLINK(AB2 &amp; "/knife/sn_d61a5fa6dc3f703613abf93d1c879c43/rendering/11.obj", "3.77026672363")</f>
        <v>3.77026672363</v>
      </c>
      <c r="O1374" s="73" t="str">
        <f>HYPERLINK(AB2 &amp; "/knife/sn_d61a5fa6dc3f703613abf93d1c879c43/rendering/12.obj", "3.19573913574")</f>
        <v>3.19573913574</v>
      </c>
      <c r="P1374" s="47" t="str">
        <f>HYPERLINK(AB2 &amp; "/knife/sn_d61a5fa6dc3f703613abf93d1c879c43/rendering/13.obj", "3.3412210083")</f>
        <v>3.3412210083</v>
      </c>
      <c r="Q1374" s="38" t="str">
        <f>HYPERLINK(AB2 &amp; "/knife/sn_d61a5fa6dc3f703613abf93d1c879c43/rendering/14.obj", "3.01658935547")</f>
        <v>3.01658935547</v>
      </c>
      <c r="R1374" s="107" t="str">
        <f>HYPERLINK(AB2 &amp; "/knife/sn_d61a5fa6dc3f703613abf93d1c879c43/rendering/15.obj", "3.03756469727")</f>
        <v>3.03756469727</v>
      </c>
      <c r="S1374" s="110" t="str">
        <f>HYPERLINK(AB2 &amp; "/knife/sn_d61a5fa6dc3f703613abf93d1c879c43/rendering/16.obj", "2.98565734863")</f>
        <v>2.98565734863</v>
      </c>
      <c r="T1374" s="35" t="str">
        <f>HYPERLINK(AB2 &amp; "/knife/sn_d61a5fa6dc3f703613abf93d1c879c43/rendering/17.obj", "3.50629272461")</f>
        <v>3.50629272461</v>
      </c>
      <c r="U1374" s="47" t="str">
        <f>HYPERLINK(AB2 &amp; "/knife/sn_d61a5fa6dc3f703613abf93d1c879c43/rendering/18.obj", "3.28856719971")</f>
        <v>3.28856719971</v>
      </c>
      <c r="V1374" s="5" t="str">
        <f>HYPERLINK(AB2 &amp; "/knife/sn_d61a5fa6dc3f703613abf93d1c879c43/rendering/19.obj", "3.06258880615")</f>
        <v>3.06258880615</v>
      </c>
      <c r="W1374" s="12" t="s">
        <v>31</v>
      </c>
      <c r="X1374" s="13">
        <v>3.315218200683594</v>
      </c>
      <c r="Y1374" s="13">
        <v>0.34033197875244142</v>
      </c>
      <c r="Z1374" s="133">
        <v>0.10265748983951201</v>
      </c>
    </row>
    <row r="1375" spans="1:26" x14ac:dyDescent="0.2">
      <c r="A1375" s="1">
        <v>1373</v>
      </c>
      <c r="B1375" s="2" t="s">
        <v>307</v>
      </c>
      <c r="C1375" s="177" t="str">
        <f>HYPERLINK(AB2 &amp; "/knife/sn_d61a5fa6dc3f703613abf93d1c879c43/rendering/00.obj", "1.56307888031")</f>
        <v>1.56307888031</v>
      </c>
      <c r="D1375" s="72" t="str">
        <f>HYPERLINK(AB2 &amp; "/knife/sn_d61a5fa6dc3f703613abf93d1c879c43/rendering/01.obj", "1.04947257042")</f>
        <v>1.04947257042</v>
      </c>
      <c r="E1375" s="98" t="str">
        <f>HYPERLINK(AB2 &amp; "/knife/sn_d61a5fa6dc3f703613abf93d1c879c43/rendering/02.obj", "0.783898234367")</f>
        <v>0.783898234367</v>
      </c>
      <c r="F1375" s="84" t="str">
        <f>HYPERLINK(AB2 &amp; "/knife/sn_d61a5fa6dc3f703613abf93d1c879c43/rendering/03.obj", "0.869905650616")</f>
        <v>0.869905650616</v>
      </c>
      <c r="G1375" s="72" t="str">
        <f>HYPERLINK(AB2 &amp; "/knife/sn_d61a5fa6dc3f703613abf93d1c879c43/rendering/04.obj", "1.05034124851")</f>
        <v>1.05034124851</v>
      </c>
      <c r="H1375" s="55" t="str">
        <f>HYPERLINK(AB2 &amp; "/knife/sn_d61a5fa6dc3f703613abf93d1c879c43/rendering/05.obj", "1.21413493156")</f>
        <v>1.21413493156</v>
      </c>
      <c r="I1375" s="40" t="str">
        <f>HYPERLINK(AB2 &amp; "/knife/sn_d61a5fa6dc3f703613abf93d1c879c43/rendering/06.obj", "1.18979883194")</f>
        <v>1.18979883194</v>
      </c>
      <c r="J1375" s="87" t="str">
        <f>HYPERLINK(AB2 &amp; "/knife/sn_d61a5fa6dc3f703613abf93d1c879c43/rendering/07.obj", "0.784967064857")</f>
        <v>0.784967064857</v>
      </c>
      <c r="K1375" s="142" t="str">
        <f>HYPERLINK(AB2 &amp; "/knife/sn_d61a5fa6dc3f703613abf93d1c879c43/rendering/08.obj", "1.41783678532")</f>
        <v>1.41783678532</v>
      </c>
      <c r="L1375" s="13" t="str">
        <f>HYPERLINK(AB2 &amp; "/knife/sn_d61a5fa6dc3f703613abf93d1c879c43/rendering/09.obj", "1.0187625885")</f>
        <v>1.0187625885</v>
      </c>
      <c r="M1375" s="120" t="str">
        <f>HYPERLINK(AB2 &amp; "/knife/sn_d61a5fa6dc3f703613abf93d1c879c43/rendering/10.obj", "0.80232167244")</f>
        <v>0.80232167244</v>
      </c>
      <c r="N1375" s="46" t="str">
        <f>HYPERLINK(AB2 &amp; "/knife/sn_d61a5fa6dc3f703613abf93d1c879c43/rendering/11.obj", "1.03432250023")</f>
        <v>1.03432250023</v>
      </c>
      <c r="O1375" s="36" t="str">
        <f>HYPERLINK(AB2 &amp; "/knife/sn_d61a5fa6dc3f703613abf93d1c879c43/rendering/12.obj", "0.799793481827")</f>
        <v>0.799793481827</v>
      </c>
      <c r="P1375" s="23" t="str">
        <f>HYPERLINK(AB2 &amp; "/knife/sn_d61a5fa6dc3f703613abf93d1c879c43/rendering/13.obj", "1.05841755867")</f>
        <v>1.05841755867</v>
      </c>
      <c r="Q1375" s="24" t="str">
        <f>HYPERLINK(AB2 &amp; "/knife/sn_d61a5fa6dc3f703613abf93d1c879c43/rendering/14.obj", "0.846823573112")</f>
        <v>0.846823573112</v>
      </c>
      <c r="R1375" s="69" t="str">
        <f>HYPERLINK(AB2 &amp; "/knife/sn_d61a5fa6dc3f703613abf93d1c879c43/rendering/15.obj", "0.986101031303")</f>
        <v>0.986101031303</v>
      </c>
      <c r="S1375" s="134" t="str">
        <f>HYPERLINK(AB2 &amp; "/knife/sn_d61a5fa6dc3f703613abf93d1c879c43/rendering/16.obj", "0.833963930607")</f>
        <v>0.833963930607</v>
      </c>
      <c r="T1375" s="38" t="str">
        <f>HYPERLINK(AB2 &amp; "/knife/sn_d61a5fa6dc3f703613abf93d1c879c43/rendering/17.obj", "1.10971450806")</f>
        <v>1.10971450806</v>
      </c>
      <c r="U1375" s="23" t="str">
        <f>HYPERLINK(AB2 &amp; "/knife/sn_d61a5fa6dc3f703613abf93d1c879c43/rendering/18.obj", "0.976696074009")</f>
        <v>0.976696074009</v>
      </c>
      <c r="V1375" s="78" t="str">
        <f>HYPERLINK(AB2 &amp; "/knife/sn_d61a5fa6dc3f703613abf93d1c879c43/rendering/19.obj", "0.956647694111")</f>
        <v>0.956647694111</v>
      </c>
      <c r="W1375" s="12" t="s">
        <v>32</v>
      </c>
      <c r="X1375" s="13">
        <v>1.0173499405384061</v>
      </c>
      <c r="Y1375" s="13">
        <v>0.20397718120994451</v>
      </c>
      <c r="Z1375" s="50">
        <v>0.20049854340385059</v>
      </c>
    </row>
    <row r="1376" spans="1:26" x14ac:dyDescent="0.2">
      <c r="A1376" s="1">
        <v>1374</v>
      </c>
      <c r="B1376" s="2" t="s">
        <v>307</v>
      </c>
      <c r="C1376" s="13" t="str">
        <f>HYPERLINK(AC2 &amp; "/knife/sn_d61a5fa6dc3f703613abf93d1c879c43/rendering/00.xyz", "0.0")</f>
        <v>0.0</v>
      </c>
      <c r="D1376" s="13" t="str">
        <f>HYPERLINK(AC2 &amp; "/knife/sn_d61a5fa6dc3f703613abf93d1c879c43/rendering/01.xyz", "0.0")</f>
        <v>0.0</v>
      </c>
      <c r="E1376" s="13" t="str">
        <f>HYPERLINK(AC2 &amp; "/knife/sn_d61a5fa6dc3f703613abf93d1c879c43/rendering/02.xyz", "0.0")</f>
        <v>0.0</v>
      </c>
      <c r="F1376" s="13" t="str">
        <f>HYPERLINK(AC2 &amp; "/knife/sn_d61a5fa6dc3f703613abf93d1c879c43/rendering/03.xyz", "0.0")</f>
        <v>0.0</v>
      </c>
      <c r="G1376" s="13" t="str">
        <f>HYPERLINK(AC2 &amp; "/knife/sn_d61a5fa6dc3f703613abf93d1c879c43/rendering/04.xyz", "0.0")</f>
        <v>0.0</v>
      </c>
      <c r="H1376" s="13" t="str">
        <f>HYPERLINK(AC2 &amp; "/knife/sn_d61a5fa6dc3f703613abf93d1c879c43/rendering/05.xyz", "0.0")</f>
        <v>0.0</v>
      </c>
      <c r="I1376" s="13" t="str">
        <f>HYPERLINK(AC2 &amp; "/knife/sn_d61a5fa6dc3f703613abf93d1c879c43/rendering/06.xyz", "0.0")</f>
        <v>0.0</v>
      </c>
      <c r="J1376" s="13" t="str">
        <f>HYPERLINK(AC2 &amp; "/knife/sn_d61a5fa6dc3f703613abf93d1c879c43/rendering/07.xyz", "0.0")</f>
        <v>0.0</v>
      </c>
      <c r="K1376" s="13" t="str">
        <f>HYPERLINK(AC2 &amp; "/knife/sn_d61a5fa6dc3f703613abf93d1c879c43/rendering/08.xyz", "0.0")</f>
        <v>0.0</v>
      </c>
      <c r="L1376" s="13" t="str">
        <f>HYPERLINK(AC2 &amp; "/knife/sn_d61a5fa6dc3f703613abf93d1c879c43/rendering/09.xyz", "0.0")</f>
        <v>0.0</v>
      </c>
      <c r="M1376" s="13" t="str">
        <f>HYPERLINK(AC2 &amp; "/knife/sn_d61a5fa6dc3f703613abf93d1c879c43/rendering/10.xyz", "0.0")</f>
        <v>0.0</v>
      </c>
      <c r="N1376" s="13" t="str">
        <f>HYPERLINK(AC2 &amp; "/knife/sn_d61a5fa6dc3f703613abf93d1c879c43/rendering/11.xyz", "0.0")</f>
        <v>0.0</v>
      </c>
      <c r="O1376" s="13" t="str">
        <f>HYPERLINK(AC2 &amp; "/knife/sn_d61a5fa6dc3f703613abf93d1c879c43/rendering/12.xyz", "0.0")</f>
        <v>0.0</v>
      </c>
      <c r="P1376" s="13" t="str">
        <f>HYPERLINK(AC2 &amp; "/knife/sn_d61a5fa6dc3f703613abf93d1c879c43/rendering/13.xyz", "0.0")</f>
        <v>0.0</v>
      </c>
      <c r="Q1376" s="13" t="str">
        <f>HYPERLINK(AC2 &amp; "/knife/sn_d61a5fa6dc3f703613abf93d1c879c43/rendering/14.xyz", "0.0")</f>
        <v>0.0</v>
      </c>
      <c r="R1376" s="13" t="str">
        <f>HYPERLINK(AC2 &amp; "/knife/sn_d61a5fa6dc3f703613abf93d1c879c43/rendering/15.xyz", "0.0")</f>
        <v>0.0</v>
      </c>
      <c r="S1376" s="13" t="str">
        <f>HYPERLINK(AC2 &amp; "/knife/sn_d61a5fa6dc3f703613abf93d1c879c43/rendering/16.xyz", "0.0")</f>
        <v>0.0</v>
      </c>
      <c r="T1376" s="13" t="str">
        <f>HYPERLINK(AC2 &amp; "/knife/sn_d61a5fa6dc3f703613abf93d1c879c43/rendering/17.xyz", "0.0")</f>
        <v>0.0</v>
      </c>
      <c r="U1376" s="13" t="str">
        <f>HYPERLINK(AC2 &amp; "/knife/sn_d61a5fa6dc3f703613abf93d1c879c43/rendering/18.xyz", "0.0")</f>
        <v>0.0</v>
      </c>
      <c r="V1376" s="13" t="str">
        <f>HYPERLINK(AC2 &amp; "/knife/sn_d61a5fa6dc3f703613abf93d1c879c43/rendering/19.xyz", "0.0")</f>
        <v>0.0</v>
      </c>
      <c r="W1376" s="12" t="s">
        <v>33</v>
      </c>
      <c r="X1376" s="13">
        <v>0</v>
      </c>
      <c r="Y1376" s="13">
        <v>0</v>
      </c>
      <c r="Z1376" s="13">
        <v>0</v>
      </c>
    </row>
    <row r="1377" spans="1:26" x14ac:dyDescent="0.2">
      <c r="A1377" s="1">
        <v>1375</v>
      </c>
      <c r="B1377" s="2" t="s">
        <v>308</v>
      </c>
      <c r="C1377" s="29" t="str">
        <f>HYPERLINK(AA2 &amp; "/knife/sn_d63521a0dfac9c1f342494fa6f09f376/rendering/00.obj", "3.14452728271")</f>
        <v>3.14452728271</v>
      </c>
      <c r="D1377" s="65" t="str">
        <f>HYPERLINK(AA2 &amp; "/knife/sn_d63521a0dfac9c1f342494fa6f09f376/rendering/01.obj", "3.13395843506")</f>
        <v>3.13395843506</v>
      </c>
      <c r="E1377" s="61" t="str">
        <f>HYPERLINK(AA2 &amp; "/knife/sn_d63521a0dfac9c1f342494fa6f09f376/rendering/02.obj", "2.52357131958")</f>
        <v>2.52357131958</v>
      </c>
      <c r="F1377" s="166" t="str">
        <f>HYPERLINK(AA2 &amp; "/knife/sn_d63521a0dfac9c1f342494fa6f09f376/rendering/03.obj", "2.57301513672")</f>
        <v>2.57301513672</v>
      </c>
      <c r="G1377" s="20" t="str">
        <f>HYPERLINK(AA2 &amp; "/knife/sn_d63521a0dfac9c1f342494fa6f09f376/rendering/04.obj", "8.31935424805")</f>
        <v>8.31935424805</v>
      </c>
      <c r="H1377" s="119" t="str">
        <f>HYPERLINK(AA2 &amp; "/knife/sn_d63521a0dfac9c1f342494fa6f09f376/rendering/05.obj", "2.65733459473")</f>
        <v>2.65733459473</v>
      </c>
      <c r="I1377" s="62" t="str">
        <f>HYPERLINK(AA2 &amp; "/knife/sn_d63521a0dfac9c1f342494fa6f09f376/rendering/06.obj", "5.77372802734")</f>
        <v>5.77372802734</v>
      </c>
      <c r="J1377" s="17" t="str">
        <f>HYPERLINK(AA2 &amp; "/knife/sn_d63521a0dfac9c1f342494fa6f09f376/rendering/07.obj", "3.54223724365")</f>
        <v>3.54223724365</v>
      </c>
      <c r="K1377" s="34" t="str">
        <f>HYPERLINK(AA2 &amp; "/knife/sn_d63521a0dfac9c1f342494fa6f09f376/rendering/08.obj", "3.79075012207")</f>
        <v>3.79075012207</v>
      </c>
      <c r="L1377" s="5" t="str">
        <f>HYPERLINK(AA2 &amp; "/knife/sn_d63521a0dfac9c1f342494fa6f09f376/rendering/09.obj", "3.33370117188")</f>
        <v>3.33370117188</v>
      </c>
      <c r="M1377" s="71" t="str">
        <f>HYPERLINK(AA2 &amp; "/knife/sn_d63521a0dfac9c1f342494fa6f09f376/rendering/10.obj", "4.03583435059")</f>
        <v>4.03583435059</v>
      </c>
      <c r="N1377" s="40" t="str">
        <f>HYPERLINK(AA2 &amp; "/knife/sn_d63521a0dfac9c1f342494fa6f09f376/rendering/11.obj", "2.99964050293")</f>
        <v>2.99964050293</v>
      </c>
      <c r="O1377" s="37" t="str">
        <f>HYPERLINK(AA2 &amp; "/knife/sn_d63521a0dfac9c1f342494fa6f09f376/rendering/12.obj", "4.24349182129")</f>
        <v>4.24349182129</v>
      </c>
      <c r="P1377" s="175" t="str">
        <f>HYPERLINK(AA2 &amp; "/knife/sn_d63521a0dfac9c1f342494fa6f09f376/rendering/13.obj", "4.45931793213")</f>
        <v>4.45931793213</v>
      </c>
      <c r="Q1377" s="113" t="str">
        <f>HYPERLINK(AA2 &amp; "/knife/sn_d63521a0dfac9c1f342494fa6f09f376/rendering/14.obj", "2.61697570801")</f>
        <v>2.61697570801</v>
      </c>
      <c r="R1377" s="89" t="str">
        <f>HYPERLINK(AA2 &amp; "/knife/sn_d63521a0dfac9c1f342494fa6f09f376/rendering/15.obj", "2.6829397583")</f>
        <v>2.6829397583</v>
      </c>
      <c r="S1377" s="89" t="str">
        <f>HYPERLINK(AA2 &amp; "/knife/sn_d63521a0dfac9c1f342494fa6f09f376/rendering/16.obj", "2.67728271484")</f>
        <v>2.67728271484</v>
      </c>
      <c r="T1377" s="55" t="str">
        <f>HYPERLINK(AA2 &amp; "/knife/sn_d63521a0dfac9c1f342494fa6f09f376/rendering/17.obj", "2.91339630127")</f>
        <v>2.91339630127</v>
      </c>
      <c r="U1377" s="68" t="str">
        <f>HYPERLINK(AA2 &amp; "/knife/sn_d63521a0dfac9c1f342494fa6f09f376/rendering/18.obj", "3.76256530762")</f>
        <v>3.76256530762</v>
      </c>
      <c r="V1377" s="93" t="str">
        <f>HYPERLINK(AA2 &amp; "/knife/sn_d63521a0dfac9c1f342494fa6f09f376/rendering/19.obj", "3.10613525391")</f>
        <v>3.10613525391</v>
      </c>
      <c r="W1377" s="12" t="s">
        <v>29</v>
      </c>
      <c r="X1377" s="13">
        <v>3.6144878616332998</v>
      </c>
      <c r="Y1377" s="13">
        <v>1.3366729629744709</v>
      </c>
      <c r="Z1377" s="123">
        <v>0.36980978056749109</v>
      </c>
    </row>
    <row r="1378" spans="1:26" x14ac:dyDescent="0.2">
      <c r="A1378" s="1">
        <v>1376</v>
      </c>
      <c r="B1378" s="2" t="s">
        <v>308</v>
      </c>
      <c r="C1378" s="49" t="str">
        <f>HYPERLINK(AA2 &amp; "/knife/sn_d63521a0dfac9c1f342494fa6f09f376/rendering/00.obj", "2.35133051872")</f>
        <v>2.35133051872</v>
      </c>
      <c r="D1378" s="157" t="str">
        <f>HYPERLINK(AA2 &amp; "/knife/sn_d63521a0dfac9c1f342494fa6f09f376/rendering/01.obj", "1.73798072338")</f>
        <v>1.73798072338</v>
      </c>
      <c r="E1378" s="105" t="str">
        <f>HYPERLINK(AA2 &amp; "/knife/sn_d63521a0dfac9c1f342494fa6f09f376/rendering/02.obj", "1.45122206211")</f>
        <v>1.45122206211</v>
      </c>
      <c r="F1378" s="130" t="str">
        <f>HYPERLINK(AA2 &amp; "/knife/sn_d63521a0dfac9c1f342494fa6f09f376/rendering/03.obj", "1.63987576962")</f>
        <v>1.63987576962</v>
      </c>
      <c r="G1378" s="20" t="str">
        <f>HYPERLINK(AA2 &amp; "/knife/sn_d63521a0dfac9c1f342494fa6f09f376/rendering/04.obj", "10.3475732803")</f>
        <v>10.3475732803</v>
      </c>
      <c r="H1378" s="144" t="str">
        <f>HYPERLINK(AA2 &amp; "/knife/sn_d63521a0dfac9c1f342494fa6f09f376/rendering/05.obj", "1.48168170452")</f>
        <v>1.48168170452</v>
      </c>
      <c r="I1378" s="55" t="str">
        <f>HYPERLINK(AA2 &amp; "/knife/sn_d63521a0dfac9c1f342494fa6f09f376/rendering/06.obj", "3.55123972893")</f>
        <v>3.55123972893</v>
      </c>
      <c r="J1378" s="91" t="str">
        <f>HYPERLINK(AA2 &amp; "/knife/sn_d63521a0dfac9c1f342494fa6f09f376/rendering/07.obj", "3.05374360085")</f>
        <v>3.05374360085</v>
      </c>
      <c r="K1378" s="17" t="str">
        <f>HYPERLINK(AA2 &amp; "/knife/sn_d63521a0dfac9c1f342494fa6f09f376/rendering/08.obj", "3.0392537117")</f>
        <v>3.0392537117</v>
      </c>
      <c r="L1378" s="32" t="str">
        <f>HYPERLINK(AA2 &amp; "/knife/sn_d63521a0dfac9c1f342494fa6f09f376/rendering/09.obj", "2.65975046158")</f>
        <v>2.65975046158</v>
      </c>
      <c r="M1378" s="20" t="str">
        <f>HYPERLINK(AA2 &amp; "/knife/sn_d63521a0dfac9c1f342494fa6f09f376/rendering/10.obj", "5.67929124832")</f>
        <v>5.67929124832</v>
      </c>
      <c r="N1378" s="122" t="str">
        <f>HYPERLINK(AA2 &amp; "/knife/sn_d63521a0dfac9c1f342494fa6f09f376/rendering/11.obj", "1.77296888828")</f>
        <v>1.77296888828</v>
      </c>
      <c r="O1378" s="103" t="str">
        <f>HYPERLINK(AA2 &amp; "/knife/sn_d63521a0dfac9c1f342494fa6f09f376/rendering/12.obj", "3.93869400024")</f>
        <v>3.93869400024</v>
      </c>
      <c r="P1378" s="162" t="str">
        <f>HYPERLINK(AA2 &amp; "/knife/sn_d63521a0dfac9c1f342494fa6f09f376/rendering/13.obj", "4.23825454712")</f>
        <v>4.23825454712</v>
      </c>
      <c r="Q1378" s="22" t="str">
        <f>HYPERLINK(AA2 &amp; "/knife/sn_d63521a0dfac9c1f342494fa6f09f376/rendering/14.obj", "1.42078566551")</f>
        <v>1.42078566551</v>
      </c>
      <c r="R1378" s="141" t="str">
        <f>HYPERLINK(AA2 &amp; "/knife/sn_d63521a0dfac9c1f342494fa6f09f376/rendering/15.obj", "1.33885145187")</f>
        <v>1.33885145187</v>
      </c>
      <c r="S1378" s="104" t="str">
        <f>HYPERLINK(AA2 &amp; "/knife/sn_d63521a0dfac9c1f342494fa6f09f376/rendering/16.obj", "1.56518507004")</f>
        <v>1.56518507004</v>
      </c>
      <c r="T1378" s="57" t="str">
        <f>HYPERLINK(AA2 &amp; "/knife/sn_d63521a0dfac9c1f342494fa6f09f376/rendering/17.obj", "2.03817367554")</f>
        <v>2.03817367554</v>
      </c>
      <c r="U1378" s="123" t="str">
        <f>HYPERLINK(AA2 &amp; "/knife/sn_d63521a0dfac9c1f342494fa6f09f376/rendering/18.obj", "4.07029914856")</f>
        <v>4.07029914856</v>
      </c>
      <c r="V1378" s="4" t="str">
        <f>HYPERLINK(AA2 &amp; "/knife/sn_d63521a0dfac9c1f342494fa6f09f376/rendering/19.obj", "2.13437056541")</f>
        <v>2.13437056541</v>
      </c>
      <c r="W1378" s="12" t="s">
        <v>30</v>
      </c>
      <c r="X1378" s="13">
        <v>2.9755262911319731</v>
      </c>
      <c r="Y1378" s="13">
        <v>2.0517912022083151</v>
      </c>
      <c r="Z1378" s="173">
        <v>0.68955572945979804</v>
      </c>
    </row>
    <row r="1379" spans="1:26" x14ac:dyDescent="0.2">
      <c r="A1379" s="1">
        <v>1377</v>
      </c>
      <c r="B1379" s="2" t="s">
        <v>308</v>
      </c>
      <c r="C1379" s="67" t="str">
        <f>HYPERLINK(AB2 &amp; "/knife/sn_d63521a0dfac9c1f342494fa6f09f376/rendering/00.obj", "2.48286254883")</f>
        <v>2.48286254883</v>
      </c>
      <c r="D1379" s="107" t="str">
        <f>HYPERLINK(AB2 &amp; "/knife/sn_d63521a0dfac9c1f342494fa6f09f376/rendering/01.obj", "2.50961166382")</f>
        <v>2.50961166382</v>
      </c>
      <c r="E1379" s="24" t="str">
        <f>HYPERLINK(AB2 &amp; "/knife/sn_d63521a0dfac9c1f342494fa6f09f376/rendering/02.obj", "2.28377441406")</f>
        <v>2.28377441406</v>
      </c>
      <c r="F1379" s="51" t="str">
        <f>HYPERLINK(AB2 &amp; "/knife/sn_d63521a0dfac9c1f342494fa6f09f376/rendering/03.obj", "2.96282440186")</f>
        <v>2.96282440186</v>
      </c>
      <c r="G1379" s="47" t="str">
        <f>HYPERLINK(AB2 &amp; "/knife/sn_d63521a0dfac9c1f342494fa6f09f376/rendering/04.obj", "2.71557189941")</f>
        <v>2.71557189941</v>
      </c>
      <c r="H1379" s="33" t="str">
        <f>HYPERLINK(AB2 &amp; "/knife/sn_d63521a0dfac9c1f342494fa6f09f376/rendering/05.obj", "2.44220123291")</f>
        <v>2.44220123291</v>
      </c>
      <c r="I1379" s="91" t="str">
        <f>HYPERLINK(AB2 &amp; "/knife/sn_d63521a0dfac9c1f342494fa6f09f376/rendering/06.obj", "2.81005126953")</f>
        <v>2.81005126953</v>
      </c>
      <c r="J1379" s="135" t="str">
        <f>HYPERLINK(AB2 &amp; "/knife/sn_d63521a0dfac9c1f342494fa6f09f376/rendering/07.obj", "3.4402923584")</f>
        <v>3.4402923584</v>
      </c>
      <c r="K1379" s="117" t="str">
        <f>HYPERLINK(AB2 &amp; "/knife/sn_d63521a0dfac9c1f342494fa6f09f376/rendering/08.obj", "3.2232598877")</f>
        <v>3.2232598877</v>
      </c>
      <c r="L1379" s="63" t="str">
        <f>HYPERLINK(AB2 &amp; "/knife/sn_d63521a0dfac9c1f342494fa6f09f376/rendering/09.obj", "2.40978729248")</f>
        <v>2.40978729248</v>
      </c>
      <c r="M1379" s="80" t="str">
        <f>HYPERLINK(AB2 &amp; "/knife/sn_d63521a0dfac9c1f342494fa6f09f376/rendering/10.obj", "2.33293319702")</f>
        <v>2.33293319702</v>
      </c>
      <c r="N1379" s="25" t="str">
        <f>HYPERLINK(AB2 &amp; "/knife/sn_d63521a0dfac9c1f342494fa6f09f376/rendering/11.obj", "2.76865661621")</f>
        <v>2.76865661621</v>
      </c>
      <c r="O1379" s="106" t="str">
        <f>HYPERLINK(AB2 &amp; "/knife/sn_d63521a0dfac9c1f342494fa6f09f376/rendering/12.obj", "2.42886459351")</f>
        <v>2.42886459351</v>
      </c>
      <c r="P1379" s="109" t="str">
        <f>HYPERLINK(AB2 &amp; "/knife/sn_d63521a0dfac9c1f342494fa6f09f376/rendering/13.obj", "3.26083709717")</f>
        <v>3.26083709717</v>
      </c>
      <c r="Q1379" s="30" t="str">
        <f>HYPERLINK(AB2 &amp; "/knife/sn_d63521a0dfac9c1f342494fa6f09f376/rendering/14.obj", "2.730390625")</f>
        <v>2.730390625</v>
      </c>
      <c r="R1379" s="82" t="str">
        <f>HYPERLINK(AB2 &amp; "/knife/sn_d63521a0dfac9c1f342494fa6f09f376/rendering/15.obj", "2.17895996094")</f>
        <v>2.17895996094</v>
      </c>
      <c r="S1379" s="32" t="str">
        <f>HYPERLINK(AB2 &amp; "/knife/sn_d63521a0dfac9c1f342494fa6f09f376/rendering/16.obj", "3.02832550049")</f>
        <v>3.02832550049</v>
      </c>
      <c r="T1379" s="40" t="str">
        <f>HYPERLINK(AB2 &amp; "/knife/sn_d63521a0dfac9c1f342494fa6f09f376/rendering/17.obj", "3.20799530029")</f>
        <v>3.20799530029</v>
      </c>
      <c r="U1379" s="6" t="str">
        <f>HYPERLINK(AB2 &amp; "/knife/sn_d63521a0dfac9c1f342494fa6f09f376/rendering/18.obj", "2.86283203125")</f>
        <v>2.86283203125</v>
      </c>
      <c r="V1379" s="30" t="str">
        <f>HYPERLINK(AB2 &amp; "/knife/sn_d63521a0dfac9c1f342494fa6f09f376/rendering/19.obj", "2.72306274414")</f>
        <v>2.72306274414</v>
      </c>
      <c r="W1379" s="12" t="s">
        <v>31</v>
      </c>
      <c r="X1379" s="13">
        <v>2.7401547317504891</v>
      </c>
      <c r="Y1379" s="13">
        <v>0.35150772235128452</v>
      </c>
      <c r="Z1379" s="70">
        <v>0.12828024573879859</v>
      </c>
    </row>
    <row r="1380" spans="1:26" x14ac:dyDescent="0.2">
      <c r="A1380" s="1">
        <v>1378</v>
      </c>
      <c r="B1380" s="2" t="s">
        <v>308</v>
      </c>
      <c r="C1380" s="47" t="str">
        <f>HYPERLINK(AB2 &amp; "/knife/sn_d63521a0dfac9c1f342494fa6f09f376/rendering/00.obj", "1.20476257801")</f>
        <v>1.20476257801</v>
      </c>
      <c r="D1380" s="30" t="str">
        <f>HYPERLINK(AB2 &amp; "/knife/sn_d63521a0dfac9c1f342494fa6f09f376/rendering/01.obj", "1.22197532654")</f>
        <v>1.22197532654</v>
      </c>
      <c r="E1380" s="39" t="str">
        <f>HYPERLINK(AB2 &amp; "/knife/sn_d63521a0dfac9c1f342494fa6f09f376/rendering/02.obj", "1.11276459694")</f>
        <v>1.11276459694</v>
      </c>
      <c r="F1380" s="13" t="str">
        <f>HYPERLINK(AB2 &amp; "/knife/sn_d63521a0dfac9c1f342494fa6f09f376/rendering/03.obj", "1.21387994289")</f>
        <v>1.21387994289</v>
      </c>
      <c r="G1380" s="48" t="str">
        <f>HYPERLINK(AB2 &amp; "/knife/sn_d63521a0dfac9c1f342494fa6f09f376/rendering/04.obj", "1.24382972717")</f>
        <v>1.24382972717</v>
      </c>
      <c r="H1380" s="74" t="str">
        <f>HYPERLINK(AB2 &amp; "/knife/sn_d63521a0dfac9c1f342494fa6f09f376/rendering/05.obj", "1.20038592815")</f>
        <v>1.20038592815</v>
      </c>
      <c r="I1380" s="67" t="str">
        <f>HYPERLINK(AB2 &amp; "/knife/sn_d63521a0dfac9c1f342494fa6f09f376/rendering/06.obj", "1.32996726036")</f>
        <v>1.32996726036</v>
      </c>
      <c r="J1380" s="26" t="str">
        <f>HYPERLINK(AB2 &amp; "/knife/sn_d63521a0dfac9c1f342494fa6f09f376/rendering/07.obj", "1.13657283783")</f>
        <v>1.13657283783</v>
      </c>
      <c r="K1380" s="69" t="str">
        <f>HYPERLINK(AB2 &amp; "/knife/sn_d63521a0dfac9c1f342494fa6f09f376/rendering/08.obj", "1.17937898636")</f>
        <v>1.17937898636</v>
      </c>
      <c r="L1380" s="60" t="str">
        <f>HYPERLINK(AB2 &amp; "/knife/sn_d63521a0dfac9c1f342494fa6f09f376/rendering/09.obj", "1.152328372")</f>
        <v>1.152328372</v>
      </c>
      <c r="M1380" s="68" t="str">
        <f>HYPERLINK(AB2 &amp; "/knife/sn_d63521a0dfac9c1f342494fa6f09f376/rendering/10.obj", "1.16587924957")</f>
        <v>1.16587924957</v>
      </c>
      <c r="N1380" s="17" t="str">
        <f>HYPERLINK(AB2 &amp; "/knife/sn_d63521a0dfac9c1f342494fa6f09f376/rendering/11.obj", "1.23948132992")</f>
        <v>1.23948132992</v>
      </c>
      <c r="O1380" s="30" t="str">
        <f>HYPERLINK(AB2 &amp; "/knife/sn_d63521a0dfac9c1f342494fa6f09f376/rendering/12.obj", "1.2227640152")</f>
        <v>1.2227640152</v>
      </c>
      <c r="P1380" s="10" t="str">
        <f>HYPERLINK(AB2 &amp; "/knife/sn_d63521a0dfac9c1f342494fa6f09f376/rendering/13.obj", "1.14831614494")</f>
        <v>1.14831614494</v>
      </c>
      <c r="Q1380" s="91" t="str">
        <f>HYPERLINK(AB2 &amp; "/knife/sn_d63521a0dfac9c1f342494fa6f09f376/rendering/14.obj", "1.24979305267")</f>
        <v>1.24979305267</v>
      </c>
      <c r="R1380" s="73" t="str">
        <f>HYPERLINK(AB2 &amp; "/knife/sn_d63521a0dfac9c1f342494fa6f09f376/rendering/15.obj", "1.17279553413")</f>
        <v>1.17279553413</v>
      </c>
      <c r="S1380" s="59" t="str">
        <f>HYPERLINK(AB2 &amp; "/knife/sn_d63521a0dfac9c1f342494fa6f09f376/rendering/16.obj", "1.50988411903")</f>
        <v>1.50988411903</v>
      </c>
      <c r="T1380" s="25" t="str">
        <f>HYPERLINK(AB2 &amp; "/knife/sn_d63521a0dfac9c1f342494fa6f09f376/rendering/17.obj", "1.2038860321")</f>
        <v>1.2038860321</v>
      </c>
      <c r="U1380" s="74" t="str">
        <f>HYPERLINK(AB2 &amp; "/knife/sn_d63521a0dfac9c1f342494fa6f09f376/rendering/18.obj", "1.19865322113")</f>
        <v>1.19865322113</v>
      </c>
      <c r="V1380" s="13" t="str">
        <f>HYPERLINK(AB2 &amp; "/knife/sn_d63521a0dfac9c1f342494fa6f09f376/rendering/19.obj", "1.21518349648")</f>
        <v>1.21518349648</v>
      </c>
      <c r="W1380" s="12" t="s">
        <v>32</v>
      </c>
      <c r="X1380" s="13">
        <v>1.216124087572098</v>
      </c>
      <c r="Y1380" s="13">
        <v>8.1868648942122729E-2</v>
      </c>
      <c r="Z1380" s="41">
        <v>6.7319321916867431E-2</v>
      </c>
    </row>
    <row r="1381" spans="1:26" x14ac:dyDescent="0.2">
      <c r="A1381" s="1">
        <v>1379</v>
      </c>
      <c r="B1381" s="2" t="s">
        <v>308</v>
      </c>
      <c r="C1381" s="13" t="str">
        <f>HYPERLINK(AC2 &amp; "/knife/sn_d63521a0dfac9c1f342494fa6f09f376/rendering/00.xyz", "0.0")</f>
        <v>0.0</v>
      </c>
      <c r="D1381" s="13" t="str">
        <f>HYPERLINK(AC2 &amp; "/knife/sn_d63521a0dfac9c1f342494fa6f09f376/rendering/01.xyz", "0.0")</f>
        <v>0.0</v>
      </c>
      <c r="E1381" s="13" t="str">
        <f>HYPERLINK(AC2 &amp; "/knife/sn_d63521a0dfac9c1f342494fa6f09f376/rendering/02.xyz", "0.0")</f>
        <v>0.0</v>
      </c>
      <c r="F1381" s="13" t="str">
        <f>HYPERLINK(AC2 &amp; "/knife/sn_d63521a0dfac9c1f342494fa6f09f376/rendering/03.xyz", "0.0")</f>
        <v>0.0</v>
      </c>
      <c r="G1381" s="13" t="str">
        <f>HYPERLINK(AC2 &amp; "/knife/sn_d63521a0dfac9c1f342494fa6f09f376/rendering/04.xyz", "0.0")</f>
        <v>0.0</v>
      </c>
      <c r="H1381" s="13" t="str">
        <f>HYPERLINK(AC2 &amp; "/knife/sn_d63521a0dfac9c1f342494fa6f09f376/rendering/05.xyz", "0.0")</f>
        <v>0.0</v>
      </c>
      <c r="I1381" s="13" t="str">
        <f>HYPERLINK(AC2 &amp; "/knife/sn_d63521a0dfac9c1f342494fa6f09f376/rendering/06.xyz", "0.0")</f>
        <v>0.0</v>
      </c>
      <c r="J1381" s="13" t="str">
        <f>HYPERLINK(AC2 &amp; "/knife/sn_d63521a0dfac9c1f342494fa6f09f376/rendering/07.xyz", "0.0")</f>
        <v>0.0</v>
      </c>
      <c r="K1381" s="13" t="str">
        <f>HYPERLINK(AC2 &amp; "/knife/sn_d63521a0dfac9c1f342494fa6f09f376/rendering/08.xyz", "0.0")</f>
        <v>0.0</v>
      </c>
      <c r="L1381" s="13" t="str">
        <f>HYPERLINK(AC2 &amp; "/knife/sn_d63521a0dfac9c1f342494fa6f09f376/rendering/09.xyz", "0.0")</f>
        <v>0.0</v>
      </c>
      <c r="M1381" s="13" t="str">
        <f>HYPERLINK(AC2 &amp; "/knife/sn_d63521a0dfac9c1f342494fa6f09f376/rendering/10.xyz", "0.0")</f>
        <v>0.0</v>
      </c>
      <c r="N1381" s="13" t="str">
        <f>HYPERLINK(AC2 &amp; "/knife/sn_d63521a0dfac9c1f342494fa6f09f376/rendering/11.xyz", "0.0")</f>
        <v>0.0</v>
      </c>
      <c r="O1381" s="13" t="str">
        <f>HYPERLINK(AC2 &amp; "/knife/sn_d63521a0dfac9c1f342494fa6f09f376/rendering/12.xyz", "0.0")</f>
        <v>0.0</v>
      </c>
      <c r="P1381" s="13" t="str">
        <f>HYPERLINK(AC2 &amp; "/knife/sn_d63521a0dfac9c1f342494fa6f09f376/rendering/13.xyz", "0.0")</f>
        <v>0.0</v>
      </c>
      <c r="Q1381" s="13" t="str">
        <f>HYPERLINK(AC2 &amp; "/knife/sn_d63521a0dfac9c1f342494fa6f09f376/rendering/14.xyz", "0.0")</f>
        <v>0.0</v>
      </c>
      <c r="R1381" s="13" t="str">
        <f>HYPERLINK(AC2 &amp; "/knife/sn_d63521a0dfac9c1f342494fa6f09f376/rendering/15.xyz", "0.0")</f>
        <v>0.0</v>
      </c>
      <c r="S1381" s="13" t="str">
        <f>HYPERLINK(AC2 &amp; "/knife/sn_d63521a0dfac9c1f342494fa6f09f376/rendering/16.xyz", "0.0")</f>
        <v>0.0</v>
      </c>
      <c r="T1381" s="13" t="str">
        <f>HYPERLINK(AC2 &amp; "/knife/sn_d63521a0dfac9c1f342494fa6f09f376/rendering/17.xyz", "0.0")</f>
        <v>0.0</v>
      </c>
      <c r="U1381" s="13" t="str">
        <f>HYPERLINK(AC2 &amp; "/knife/sn_d63521a0dfac9c1f342494fa6f09f376/rendering/18.xyz", "0.0")</f>
        <v>0.0</v>
      </c>
      <c r="V1381" s="13" t="str">
        <f>HYPERLINK(AC2 &amp; "/knife/sn_d63521a0dfac9c1f342494fa6f09f376/rendering/19.xyz", "0.0")</f>
        <v>0.0</v>
      </c>
      <c r="W1381" s="12" t="s">
        <v>33</v>
      </c>
      <c r="X1381" s="13">
        <v>0</v>
      </c>
      <c r="Y1381" s="13">
        <v>0</v>
      </c>
      <c r="Z1381" s="13">
        <v>0</v>
      </c>
    </row>
    <row r="1382" spans="1:26" x14ac:dyDescent="0.2">
      <c r="A1382" s="1">
        <v>1380</v>
      </c>
      <c r="B1382" s="2" t="s">
        <v>309</v>
      </c>
      <c r="C1382" s="192" t="str">
        <f>HYPERLINK(AA2 &amp; "/knife/sn_d69e028056c9291069654277b747a908/rendering/00.obj", "6.19395507813")</f>
        <v>6.19395507813</v>
      </c>
      <c r="D1382" s="143" t="str">
        <f>HYPERLINK(AA2 &amp; "/knife/sn_d69e028056c9291069654277b747a908/rendering/01.obj", "2.38224884033")</f>
        <v>2.38224884033</v>
      </c>
      <c r="E1382" s="185" t="str">
        <f>HYPERLINK(AA2 &amp; "/knife/sn_d69e028056c9291069654277b747a908/rendering/02.obj", "2.97684417725")</f>
        <v>2.97684417725</v>
      </c>
      <c r="F1382" s="226" t="str">
        <f>HYPERLINK(AA2 &amp; "/knife/sn_d69e028056c9291069654277b747a908/rendering/03.obj", "1.97392852783")</f>
        <v>1.97392852783</v>
      </c>
      <c r="G1382" s="127" t="str">
        <f>HYPERLINK(AA2 &amp; "/knife/sn_d69e028056c9291069654277b747a908/rendering/04.obj", "2.16777770996")</f>
        <v>2.16777770996</v>
      </c>
      <c r="H1382" s="235" t="str">
        <f>HYPERLINK(AA2 &amp; "/knife/sn_d69e028056c9291069654277b747a908/rendering/05.obj", "6.96429931641")</f>
        <v>6.96429931641</v>
      </c>
      <c r="I1382" s="166" t="str">
        <f>HYPERLINK(AA2 &amp; "/knife/sn_d69e028056c9291069654277b747a908/rendering/06.obj", "3.21486846924")</f>
        <v>3.21486846924</v>
      </c>
      <c r="J1382" s="150" t="str">
        <f>HYPERLINK(AA2 &amp; "/knife/sn_d69e028056c9291069654277b747a908/rendering/07.obj", "2.08095977783")</f>
        <v>2.08095977783</v>
      </c>
      <c r="K1382" s="252" t="str">
        <f>HYPERLINK(AA2 &amp; "/knife/sn_d69e028056c9291069654277b747a908/rendering/08.obj", "7.4315637207")</f>
        <v>7.4315637207</v>
      </c>
      <c r="L1382" s="19" t="str">
        <f>HYPERLINK(AA2 &amp; "/knife/sn_d69e028056c9291069654277b747a908/rendering/09.obj", "3.33023498535")</f>
        <v>3.33023498535</v>
      </c>
      <c r="M1382" s="158" t="str">
        <f>HYPERLINK(AA2 &amp; "/knife/sn_d69e028056c9291069654277b747a908/rendering/10.obj", "6.36624938965")</f>
        <v>6.36624938965</v>
      </c>
      <c r="N1382" s="230" t="str">
        <f>HYPERLINK(AA2 &amp; "/knife/sn_d69e028056c9291069654277b747a908/rendering/11.obj", "2.44704330444")</f>
        <v>2.44704330444</v>
      </c>
      <c r="O1382" s="119" t="str">
        <f>HYPERLINK(AA2 &amp; "/knife/sn_d69e028056c9291069654277b747a908/rendering/12.obj", "3.31235595703")</f>
        <v>3.31235595703</v>
      </c>
      <c r="P1382" s="227" t="str">
        <f>HYPERLINK(AA2 &amp; "/knife/sn_d69e028056c9291069654277b747a908/rendering/13.obj", "2.21145202637")</f>
        <v>2.21145202637</v>
      </c>
      <c r="Q1382" s="192" t="str">
        <f>HYPERLINK(AA2 &amp; "/knife/sn_d69e028056c9291069654277b747a908/rendering/14.obj", "2.83760772705")</f>
        <v>2.83760772705</v>
      </c>
      <c r="R1382" s="20" t="str">
        <f>HYPERLINK(AA2 &amp; "/knife/sn_d69e028056c9291069654277b747a908/rendering/15.obj", "16.3097387695")</f>
        <v>16.3097387695</v>
      </c>
      <c r="S1382" s="218" t="str">
        <f>HYPERLINK(AA2 &amp; "/knife/sn_d69e028056c9291069654277b747a908/rendering/16.obj", "2.19009140015")</f>
        <v>2.19009140015</v>
      </c>
      <c r="T1382" s="20" t="str">
        <f>HYPERLINK(AA2 &amp; "/knife/sn_d69e028056c9291069654277b747a908/rendering/17.obj", "9.41296081543")</f>
        <v>9.41296081543</v>
      </c>
      <c r="U1382" s="48" t="str">
        <f>HYPERLINK(AA2 &amp; "/knife/sn_d69e028056c9291069654277b747a908/rendering/18.obj", "4.40812408447")</f>
        <v>4.40812408447</v>
      </c>
      <c r="V1382" s="235" t="str">
        <f>HYPERLINK(AA2 &amp; "/knife/sn_d69e028056c9291069654277b747a908/rendering/19.obj", "2.07557189941")</f>
        <v>2.07557189941</v>
      </c>
      <c r="W1382" s="12" t="s">
        <v>29</v>
      </c>
      <c r="X1382" s="13">
        <v>4.5143937988281246</v>
      </c>
      <c r="Y1382" s="13">
        <v>3.4421440852800358</v>
      </c>
      <c r="Z1382" s="208">
        <v>0.762482016117772</v>
      </c>
    </row>
    <row r="1383" spans="1:26" x14ac:dyDescent="0.2">
      <c r="A1383" s="1">
        <v>1381</v>
      </c>
      <c r="B1383" s="2" t="s">
        <v>309</v>
      </c>
      <c r="C1383" s="27" t="str">
        <f>HYPERLINK(AA2 &amp; "/knife/sn_d69e028056c9291069654277b747a908/rendering/00.obj", "2.87685847282")</f>
        <v>2.87685847282</v>
      </c>
      <c r="D1383" s="203" t="str">
        <f>HYPERLINK(AA2 &amp; "/knife/sn_d69e028056c9291069654277b747a908/rendering/01.obj", "1.65748023987")</f>
        <v>1.65748023987</v>
      </c>
      <c r="E1383" s="249" t="str">
        <f>HYPERLINK(AA2 &amp; "/knife/sn_d69e028056c9291069654277b747a908/rendering/02.obj", "1.32344675064")</f>
        <v>1.32344675064</v>
      </c>
      <c r="F1383" s="246" t="str">
        <f>HYPERLINK(AA2 &amp; "/knife/sn_d69e028056c9291069654277b747a908/rendering/03.obj", "1.20806097984")</f>
        <v>1.20806097984</v>
      </c>
      <c r="G1383" s="145" t="str">
        <f>HYPERLINK(AA2 &amp; "/knife/sn_d69e028056c9291069654277b747a908/rendering/04.obj", "1.57458806038")</f>
        <v>1.57458806038</v>
      </c>
      <c r="H1383" s="233" t="str">
        <f>HYPERLINK(AA2 &amp; "/knife/sn_d69e028056c9291069654277b747a908/rendering/05.obj", "5.26931428909")</f>
        <v>5.26931428909</v>
      </c>
      <c r="I1383" s="90" t="str">
        <f>HYPERLINK(AA2 &amp; "/knife/sn_d69e028056c9291069654277b747a908/rendering/06.obj", "2.79744768143")</f>
        <v>2.79744768143</v>
      </c>
      <c r="J1383" s="186" t="str">
        <f>HYPERLINK(AA2 &amp; "/knife/sn_d69e028056c9291069654277b747a908/rendering/07.obj", "1.23652637005")</f>
        <v>1.23652637005</v>
      </c>
      <c r="K1383" s="28" t="str">
        <f>HYPERLINK(AA2 &amp; "/knife/sn_d69e028056c9291069654277b747a908/rendering/08.obj", "3.4436340332")</f>
        <v>3.4436340332</v>
      </c>
      <c r="L1383" s="213" t="str">
        <f>HYPERLINK(AA2 &amp; "/knife/sn_d69e028056c9291069654277b747a908/rendering/09.obj", "1.5708489418")</f>
        <v>1.5708489418</v>
      </c>
      <c r="M1383" s="182" t="str">
        <f>HYPERLINK(AA2 &amp; "/knife/sn_d69e028056c9291069654277b747a908/rendering/10.obj", "4.13608407974")</f>
        <v>4.13608407974</v>
      </c>
      <c r="N1383" s="53" t="str">
        <f>HYPERLINK(AA2 &amp; "/knife/sn_d69e028056c9291069654277b747a908/rendering/11.obj", "1.82292807102")</f>
        <v>1.82292807102</v>
      </c>
      <c r="O1383" s="143" t="str">
        <f>HYPERLINK(AA2 &amp; "/knife/sn_d69e028056c9291069654277b747a908/rendering/12.obj", "1.63548660278")</f>
        <v>1.63548660278</v>
      </c>
      <c r="P1383" s="174" t="str">
        <f>HYPERLINK(AA2 &amp; "/knife/sn_d69e028056c9291069654277b747a908/rendering/13.obj", "1.4717707634")</f>
        <v>1.4717707634</v>
      </c>
      <c r="Q1383" s="226" t="str">
        <f>HYPERLINK(AA2 &amp; "/knife/sn_d69e028056c9291069654277b747a908/rendering/14.obj", "1.35719335079")</f>
        <v>1.35719335079</v>
      </c>
      <c r="R1383" s="20" t="str">
        <f>HYPERLINK(AA2 &amp; "/knife/sn_d69e028056c9291069654277b747a908/rendering/15.obj", "19.1805877686")</f>
        <v>19.1805877686</v>
      </c>
      <c r="S1383" s="213" t="str">
        <f>HYPERLINK(AA2 &amp; "/knife/sn_d69e028056c9291069654277b747a908/rendering/16.obj", "1.56875133514")</f>
        <v>1.56875133514</v>
      </c>
      <c r="T1383" s="218" t="str">
        <f>HYPERLINK(AA2 &amp; "/knife/sn_d69e028056c9291069654277b747a908/rendering/17.obj", "4.69536447525")</f>
        <v>4.69536447525</v>
      </c>
      <c r="U1383" s="181" t="str">
        <f>HYPERLINK(AA2 &amp; "/knife/sn_d69e028056c9291069654277b747a908/rendering/18.obj", "1.72497701645")</f>
        <v>1.72497701645</v>
      </c>
      <c r="V1383" s="195" t="str">
        <f>HYPERLINK(AA2 &amp; "/knife/sn_d69e028056c9291069654277b747a908/rendering/19.obj", "1.40011143684")</f>
        <v>1.40011143684</v>
      </c>
      <c r="W1383" s="12" t="s">
        <v>30</v>
      </c>
      <c r="X1383" s="13">
        <v>3.097573035955429</v>
      </c>
      <c r="Y1383" s="13">
        <v>3.8775803540126552</v>
      </c>
      <c r="Z1383" s="20">
        <v>1.251812405713506</v>
      </c>
    </row>
    <row r="1384" spans="1:26" x14ac:dyDescent="0.2">
      <c r="A1384" s="1">
        <v>1382</v>
      </c>
      <c r="B1384" s="2" t="s">
        <v>309</v>
      </c>
      <c r="C1384" s="46" t="str">
        <f>HYPERLINK(AB2 &amp; "/knife/sn_d69e028056c9291069654277b747a908/rendering/00.obj", "2.85913604736")</f>
        <v>2.85913604736</v>
      </c>
      <c r="D1384" s="13" t="str">
        <f>HYPERLINK(AB2 &amp; "/knife/sn_d69e028056c9291069654277b747a908/rendering/01.obj", "2.90866119385")</f>
        <v>2.90866119385</v>
      </c>
      <c r="E1384" s="47" t="str">
        <f>HYPERLINK(AB2 &amp; "/knife/sn_d69e028056c9291069654277b747a908/rendering/02.obj", "2.88840881348")</f>
        <v>2.88840881348</v>
      </c>
      <c r="F1384" s="138" t="str">
        <f>HYPERLINK(AB2 &amp; "/knife/sn_d69e028056c9291069654277b747a908/rendering/03.obj", "1.93223892212")</f>
        <v>1.93223892212</v>
      </c>
      <c r="G1384" s="35" t="str">
        <f>HYPERLINK(AB2 &amp; "/knife/sn_d69e028056c9291069654277b747a908/rendering/04.obj", "2.74326599121")</f>
        <v>2.74326599121</v>
      </c>
      <c r="H1384" s="94" t="str">
        <f>HYPERLINK(AB2 &amp; "/knife/sn_d69e028056c9291069654277b747a908/rendering/05.obj", "2.69289337158")</f>
        <v>2.69289337158</v>
      </c>
      <c r="I1384" s="140" t="str">
        <f>HYPERLINK(AB2 &amp; "/knife/sn_d69e028056c9291069654277b747a908/rendering/06.obj", "1.9001071167")</f>
        <v>1.9001071167</v>
      </c>
      <c r="J1384" s="138" t="str">
        <f>HYPERLINK(AB2 &amp; "/knife/sn_d69e028056c9291069654277b747a908/rendering/07.obj", "1.92902191162")</f>
        <v>1.92902191162</v>
      </c>
      <c r="K1384" s="18" t="str">
        <f>HYPERLINK(AB2 &amp; "/knife/sn_d69e028056c9291069654277b747a908/rendering/08.obj", "4.59191131592")</f>
        <v>4.59191131592</v>
      </c>
      <c r="L1384" s="98" t="str">
        <f>HYPERLINK(AB2 &amp; "/knife/sn_d69e028056c9291069654277b747a908/rendering/09.obj", "3.5811630249")</f>
        <v>3.5811630249</v>
      </c>
      <c r="M1384" s="28" t="str">
        <f>HYPERLINK(AB2 &amp; "/knife/sn_d69e028056c9291069654277b747a908/rendering/10.obj", "3.23478271484")</f>
        <v>3.23478271484</v>
      </c>
      <c r="N1384" s="192" t="str">
        <f>HYPERLINK(AB2 &amp; "/knife/sn_d69e028056c9291069654277b747a908/rendering/11.obj", "1.82787811279")</f>
        <v>1.82787811279</v>
      </c>
      <c r="O1384" s="170" t="str">
        <f>HYPERLINK(AB2 &amp; "/knife/sn_d69e028056c9291069654277b747a908/rendering/12.obj", "3.64292114258")</f>
        <v>3.64292114258</v>
      </c>
      <c r="P1384" s="47" t="str">
        <f>HYPERLINK(AB2 &amp; "/knife/sn_d69e028056c9291069654277b747a908/rendering/13.obj", "2.88707519531")</f>
        <v>2.88707519531</v>
      </c>
      <c r="Q1384" s="28" t="str">
        <f>HYPERLINK(AB2 &amp; "/knife/sn_d69e028056c9291069654277b747a908/rendering/14.obj", "3.23657440186")</f>
        <v>3.23657440186</v>
      </c>
      <c r="R1384" s="252" t="str">
        <f>HYPERLINK(AB2 &amp; "/knife/sn_d69e028056c9291069654277b747a908/rendering/15.obj", "4.78241363525")</f>
        <v>4.78241363525</v>
      </c>
      <c r="S1384" s="89" t="str">
        <f>HYPERLINK(AB2 &amp; "/knife/sn_d69e028056c9291069654277b747a908/rendering/16.obj", "2.15515304565")</f>
        <v>2.15515304565</v>
      </c>
      <c r="T1384" s="31" t="str">
        <f>HYPERLINK(AB2 &amp; "/knife/sn_d69e028056c9291069654277b747a908/rendering/17.obj", "3.35977233887")</f>
        <v>3.35977233887</v>
      </c>
      <c r="U1384" s="73" t="str">
        <f>HYPERLINK(AB2 &amp; "/knife/sn_d69e028056c9291069654277b747a908/rendering/18.obj", "3.01051025391")</f>
        <v>3.01051025391</v>
      </c>
      <c r="V1384" s="171" t="str">
        <f>HYPERLINK(AB2 &amp; "/knife/sn_d69e028056c9291069654277b747a908/rendering/19.obj", "2.02336151123")</f>
        <v>2.02336151123</v>
      </c>
      <c r="W1384" s="12" t="s">
        <v>31</v>
      </c>
      <c r="X1384" s="13">
        <v>2.9093625030517569</v>
      </c>
      <c r="Y1384" s="13">
        <v>0.81518586092324341</v>
      </c>
      <c r="Z1384" s="95">
        <v>0.28019398066351631</v>
      </c>
    </row>
    <row r="1385" spans="1:26" x14ac:dyDescent="0.2">
      <c r="A1385" s="1">
        <v>1383</v>
      </c>
      <c r="B1385" s="2" t="s">
        <v>309</v>
      </c>
      <c r="C1385" s="94" t="str">
        <f>HYPERLINK(AB2 &amp; "/knife/sn_d69e028056c9291069654277b747a908/rendering/00.obj", "1.32445430756")</f>
        <v>1.32445430756</v>
      </c>
      <c r="D1385" s="107" t="str">
        <f>HYPERLINK(AB2 &amp; "/knife/sn_d69e028056c9291069654277b747a908/rendering/01.obj", "1.13036847115")</f>
        <v>1.13036847115</v>
      </c>
      <c r="E1385" s="68" t="str">
        <f>HYPERLINK(AB2 &amp; "/knife/sn_d69e028056c9291069654277b747a908/rendering/02.obj", "1.28392827511")</f>
        <v>1.28392827511</v>
      </c>
      <c r="F1385" s="63" t="str">
        <f>HYPERLINK(AB2 &amp; "/knife/sn_d69e028056c9291069654277b747a908/rendering/03.obj", "1.08234095573")</f>
        <v>1.08234095573</v>
      </c>
      <c r="G1385" s="70" t="str">
        <f>HYPERLINK(AB2 &amp; "/knife/sn_d69e028056c9291069654277b747a908/rendering/04.obj", "1.07657003403")</f>
        <v>1.07657003403</v>
      </c>
      <c r="H1385" s="47" t="str">
        <f>HYPERLINK(AB2 &amp; "/knife/sn_d69e028056c9291069654277b747a908/rendering/05.obj", "1.2433180809")</f>
        <v>1.2433180809</v>
      </c>
      <c r="I1385" s="92" t="str">
        <f>HYPERLINK(AB2 &amp; "/knife/sn_d69e028056c9291069654277b747a908/rendering/06.obj", "1.07989430428")</f>
        <v>1.07989430428</v>
      </c>
      <c r="J1385" s="29" t="str">
        <f>HYPERLINK(AB2 &amp; "/knife/sn_d69e028056c9291069654277b747a908/rendering/07.obj", "1.07312250137")</f>
        <v>1.07312250137</v>
      </c>
      <c r="K1385" s="99" t="str">
        <f>HYPERLINK(AB2 &amp; "/knife/sn_d69e028056c9291069654277b747a908/rendering/08.obj", "1.56849265099")</f>
        <v>1.56849265099</v>
      </c>
      <c r="L1385" s="23" t="str">
        <f>HYPERLINK(AB2 &amp; "/knife/sn_d69e028056c9291069654277b747a908/rendering/09.obj", "1.27986395359")</f>
        <v>1.27986395359</v>
      </c>
      <c r="M1385" s="71" t="str">
        <f>HYPERLINK(AB2 &amp; "/knife/sn_d69e028056c9291069654277b747a908/rendering/10.obj", "1.08569693565")</f>
        <v>1.08569693565</v>
      </c>
      <c r="N1385" s="134" t="str">
        <f>HYPERLINK(AB2 &amp; "/knife/sn_d69e028056c9291069654277b747a908/rendering/11.obj", "1.00836455822")</f>
        <v>1.00836455822</v>
      </c>
      <c r="O1385" s="71" t="str">
        <f>HYPERLINK(AB2 &amp; "/knife/sn_d69e028056c9291069654277b747a908/rendering/12.obj", "1.08701717854")</f>
        <v>1.08701717854</v>
      </c>
      <c r="P1385" s="91" t="str">
        <f>HYPERLINK(AB2 &amp; "/knife/sn_d69e028056c9291069654277b747a908/rendering/13.obj", "1.26427257061")</f>
        <v>1.26427257061</v>
      </c>
      <c r="Q1385" s="67" t="str">
        <f>HYPERLINK(AB2 &amp; "/knife/sn_d69e028056c9291069654277b747a908/rendering/14.obj", "1.12013292313")</f>
        <v>1.12013292313</v>
      </c>
      <c r="R1385" s="212" t="str">
        <f>HYPERLINK(AB2 &amp; "/knife/sn_d69e028056c9291069654277b747a908/rendering/15.obj", "1.76497924328")</f>
        <v>1.76497924328</v>
      </c>
      <c r="S1385" s="72" t="str">
        <f>HYPERLINK(AB2 &amp; "/knife/sn_d69e028056c9291069654277b747a908/rendering/16.obj", "1.19115447998")</f>
        <v>1.19115447998</v>
      </c>
      <c r="T1385" s="42" t="str">
        <f>HYPERLINK(AB2 &amp; "/knife/sn_d69e028056c9291069654277b747a908/rendering/17.obj", "1.39883947372")</f>
        <v>1.39883947372</v>
      </c>
      <c r="U1385" s="93" t="str">
        <f>HYPERLINK(AB2 &amp; "/knife/sn_d69e028056c9291069654277b747a908/rendering/18.obj", "1.40435242653")</f>
        <v>1.40435242653</v>
      </c>
      <c r="V1385" s="68" t="str">
        <f>HYPERLINK(AB2 &amp; "/knife/sn_d69e028056c9291069654277b747a908/rendering/19.obj", "1.17926359177")</f>
        <v>1.17926359177</v>
      </c>
      <c r="W1385" s="12" t="s">
        <v>32</v>
      </c>
      <c r="X1385" s="13">
        <v>1.232321345806122</v>
      </c>
      <c r="Y1385" s="13">
        <v>0.1849597821194828</v>
      </c>
      <c r="Z1385" s="80">
        <v>0.1500905447665451</v>
      </c>
    </row>
    <row r="1386" spans="1:26" x14ac:dyDescent="0.2">
      <c r="A1386" s="1">
        <v>1384</v>
      </c>
      <c r="B1386" s="2" t="s">
        <v>309</v>
      </c>
      <c r="C1386" s="13" t="str">
        <f>HYPERLINK(AC2 &amp; "/knife/sn_d69e028056c9291069654277b747a908/rendering/00.xyz", "0.0")</f>
        <v>0.0</v>
      </c>
      <c r="D1386" s="13" t="str">
        <f>HYPERLINK(AC2 &amp; "/knife/sn_d69e028056c9291069654277b747a908/rendering/01.xyz", "0.0")</f>
        <v>0.0</v>
      </c>
      <c r="E1386" s="13" t="str">
        <f>HYPERLINK(AC2 &amp; "/knife/sn_d69e028056c9291069654277b747a908/rendering/02.xyz", "0.0")</f>
        <v>0.0</v>
      </c>
      <c r="F1386" s="13" t="str">
        <f>HYPERLINK(AC2 &amp; "/knife/sn_d69e028056c9291069654277b747a908/rendering/03.xyz", "0.0")</f>
        <v>0.0</v>
      </c>
      <c r="G1386" s="13" t="str">
        <f>HYPERLINK(AC2 &amp; "/knife/sn_d69e028056c9291069654277b747a908/rendering/04.xyz", "0.0")</f>
        <v>0.0</v>
      </c>
      <c r="H1386" s="13" t="str">
        <f>HYPERLINK(AC2 &amp; "/knife/sn_d69e028056c9291069654277b747a908/rendering/05.xyz", "0.0")</f>
        <v>0.0</v>
      </c>
      <c r="I1386" s="13" t="str">
        <f>HYPERLINK(AC2 &amp; "/knife/sn_d69e028056c9291069654277b747a908/rendering/06.xyz", "0.0")</f>
        <v>0.0</v>
      </c>
      <c r="J1386" s="13" t="str">
        <f>HYPERLINK(AC2 &amp; "/knife/sn_d69e028056c9291069654277b747a908/rendering/07.xyz", "0.0")</f>
        <v>0.0</v>
      </c>
      <c r="K1386" s="13" t="str">
        <f>HYPERLINK(AC2 &amp; "/knife/sn_d69e028056c9291069654277b747a908/rendering/08.xyz", "0.0")</f>
        <v>0.0</v>
      </c>
      <c r="L1386" s="13" t="str">
        <f>HYPERLINK(AC2 &amp; "/knife/sn_d69e028056c9291069654277b747a908/rendering/09.xyz", "0.0")</f>
        <v>0.0</v>
      </c>
      <c r="M1386" s="13" t="str">
        <f>HYPERLINK(AC2 &amp; "/knife/sn_d69e028056c9291069654277b747a908/rendering/10.xyz", "0.0")</f>
        <v>0.0</v>
      </c>
      <c r="N1386" s="13" t="str">
        <f>HYPERLINK(AC2 &amp; "/knife/sn_d69e028056c9291069654277b747a908/rendering/11.xyz", "0.0")</f>
        <v>0.0</v>
      </c>
      <c r="O1386" s="13" t="str">
        <f>HYPERLINK(AC2 &amp; "/knife/sn_d69e028056c9291069654277b747a908/rendering/12.xyz", "0.0")</f>
        <v>0.0</v>
      </c>
      <c r="P1386" s="13" t="str">
        <f>HYPERLINK(AC2 &amp; "/knife/sn_d69e028056c9291069654277b747a908/rendering/13.xyz", "0.0")</f>
        <v>0.0</v>
      </c>
      <c r="Q1386" s="13" t="str">
        <f>HYPERLINK(AC2 &amp; "/knife/sn_d69e028056c9291069654277b747a908/rendering/14.xyz", "0.0")</f>
        <v>0.0</v>
      </c>
      <c r="R1386" s="13" t="str">
        <f>HYPERLINK(AC2 &amp; "/knife/sn_d69e028056c9291069654277b747a908/rendering/15.xyz", "0.0")</f>
        <v>0.0</v>
      </c>
      <c r="S1386" s="13" t="str">
        <f>HYPERLINK(AC2 &amp; "/knife/sn_d69e028056c9291069654277b747a908/rendering/16.xyz", "0.0")</f>
        <v>0.0</v>
      </c>
      <c r="T1386" s="13" t="str">
        <f>HYPERLINK(AC2 &amp; "/knife/sn_d69e028056c9291069654277b747a908/rendering/17.xyz", "0.0")</f>
        <v>0.0</v>
      </c>
      <c r="U1386" s="13" t="str">
        <f>HYPERLINK(AC2 &amp; "/knife/sn_d69e028056c9291069654277b747a908/rendering/18.xyz", "0.0")</f>
        <v>0.0</v>
      </c>
      <c r="V1386" s="13" t="str">
        <f>HYPERLINK(AC2 &amp; "/knife/sn_d69e028056c9291069654277b747a908/rendering/19.xyz", "0.0")</f>
        <v>0.0</v>
      </c>
      <c r="W1386" s="12" t="s">
        <v>33</v>
      </c>
      <c r="X1386" s="13">
        <v>0</v>
      </c>
      <c r="Y1386" s="13">
        <v>0</v>
      </c>
      <c r="Z1386" s="13">
        <v>0</v>
      </c>
    </row>
    <row r="1387" spans="1:26" x14ac:dyDescent="0.2">
      <c r="A1387" s="1">
        <v>1385</v>
      </c>
      <c r="B1387" s="2" t="s">
        <v>310</v>
      </c>
      <c r="C1387" s="248" t="str">
        <f>HYPERLINK(AA2 &amp; "/knife/sn_d6e9e4e07bafca0fa37f3fc191551700/rendering/00.obj", "6.84931884766")</f>
        <v>6.84931884766</v>
      </c>
      <c r="D1387" s="61" t="str">
        <f>HYPERLINK(AA2 &amp; "/knife/sn_d6e9e4e07bafca0fa37f3fc191551700/rendering/01.obj", "26.3422900391")</f>
        <v>26.3422900391</v>
      </c>
      <c r="E1387" s="152" t="str">
        <f>HYPERLINK(AA2 &amp; "/knife/sn_d6e9e4e07bafca0fa37f3fc191551700/rendering/02.obj", "11.9803930664")</f>
        <v>11.9803930664</v>
      </c>
      <c r="F1387" s="116" t="str">
        <f>HYPERLINK(AA2 &amp; "/knife/sn_d6e9e4e07bafca0fa37f3fc191551700/rendering/03.obj", "29.0504199219")</f>
        <v>29.0504199219</v>
      </c>
      <c r="G1387" s="150" t="str">
        <f>HYPERLINK(AA2 &amp; "/knife/sn_d6e9e4e07bafca0fa37f3fc191551700/rendering/04.obj", "31.0725683594")</f>
        <v>31.0725683594</v>
      </c>
      <c r="H1387" s="110" t="str">
        <f>HYPERLINK(AA2 &amp; "/knife/sn_d6e9e4e07bafca0fa37f3fc191551700/rendering/05.obj", "22.1876855469")</f>
        <v>22.1876855469</v>
      </c>
      <c r="I1387" s="244" t="str">
        <f>HYPERLINK(AA2 &amp; "/knife/sn_d6e9e4e07bafca0fa37f3fc191551700/rendering/06.obj", "7.80566833496")</f>
        <v>7.80566833496</v>
      </c>
      <c r="J1387" s="35" t="str">
        <f>HYPERLINK(AA2 &amp; "/knife/sn_d6e9e4e07bafca0fa37f3fc191551700/rendering/07.obj", "21.3487158203")</f>
        <v>21.3487158203</v>
      </c>
      <c r="K1387" s="88" t="str">
        <f>HYPERLINK(AA2 &amp; "/knife/sn_d6e9e4e07bafca0fa37f3fc191551700/rendering/08.obj", "24.2593383789")</f>
        <v>24.2593383789</v>
      </c>
      <c r="L1387" s="206" t="str">
        <f>HYPERLINK(AA2 &amp; "/knife/sn_d6e9e4e07bafca0fa37f3fc191551700/rendering/09.obj", "8.22471496582")</f>
        <v>8.22471496582</v>
      </c>
      <c r="M1387" s="145" t="str">
        <f>HYPERLINK(AA2 &amp; "/knife/sn_d6e9e4e07bafca0fa37f3fc191551700/rendering/10.obj", "30.1176220703")</f>
        <v>30.1176220703</v>
      </c>
      <c r="N1387" s="135" t="str">
        <f>HYPERLINK(AA2 &amp; "/knife/sn_d6e9e4e07bafca0fa37f3fc191551700/rendering/11.obj", "25.3574072266")</f>
        <v>25.3574072266</v>
      </c>
      <c r="O1387" s="88" t="str">
        <f>HYPERLINK(AA2 &amp; "/knife/sn_d6e9e4e07bafca0fa37f3fc191551700/rendering/12.obj", "16.0839501953")</f>
        <v>16.0839501953</v>
      </c>
      <c r="P1387" s="152" t="str">
        <f>HYPERLINK(AA2 &amp; "/knife/sn_d6e9e4e07bafca0fa37f3fc191551700/rendering/13.obj", "28.3951000977")</f>
        <v>28.3951000977</v>
      </c>
      <c r="Q1387" s="132" t="str">
        <f>HYPERLINK(AA2 &amp; "/knife/sn_d6e9e4e07bafca0fa37f3fc191551700/rendering/14.obj", "28.6488232422")</f>
        <v>28.6488232422</v>
      </c>
      <c r="R1387" s="10" t="str">
        <f>HYPERLINK(AA2 &amp; "/knife/sn_d6e9e4e07bafca0fa37f3fc191551700/rendering/15.obj", "21.3364624023")</f>
        <v>21.3364624023</v>
      </c>
      <c r="S1387" s="27" t="str">
        <f>HYPERLINK(AA2 &amp; "/knife/sn_d6e9e4e07bafca0fa37f3fc191551700/rendering/16.obj", "18.7655737305")</f>
        <v>18.7655737305</v>
      </c>
      <c r="T1387" s="130" t="str">
        <f>HYPERLINK(AA2 &amp; "/knife/sn_d6e9e4e07bafca0fa37f3fc191551700/rendering/17.obj", "11.083503418")</f>
        <v>11.083503418</v>
      </c>
      <c r="U1387" s="170" t="str">
        <f>HYPERLINK(AA2 &amp; "/knife/sn_d6e9e4e07bafca0fa37f3fc191551700/rendering/18.obj", "15.0944055176")</f>
        <v>15.0944055176</v>
      </c>
      <c r="V1387" s="25" t="str">
        <f>HYPERLINK(AA2 &amp; "/knife/sn_d6e9e4e07bafca0fa37f3fc191551700/rendering/19.obj", "19.9519067383")</f>
        <v>19.9519067383</v>
      </c>
      <c r="W1387" s="12" t="s">
        <v>29</v>
      </c>
      <c r="X1387" s="13">
        <v>20.197793395996101</v>
      </c>
      <c r="Y1387" s="13">
        <v>7.7197118236334212</v>
      </c>
      <c r="Z1387" s="124">
        <v>0.38220570298356132</v>
      </c>
    </row>
    <row r="1388" spans="1:26" x14ac:dyDescent="0.2">
      <c r="A1388" s="1">
        <v>1386</v>
      </c>
      <c r="B1388" s="2" t="s">
        <v>310</v>
      </c>
      <c r="C1388" s="20" t="str">
        <f>HYPERLINK(AA2 &amp; "/knife/sn_d6e9e4e07bafca0fa37f3fc191551700/rendering/00.obj", "5.70461988449")</f>
        <v>5.70461988449</v>
      </c>
      <c r="D1388" s="30" t="str">
        <f>HYPERLINK(AA2 &amp; "/knife/sn_d6e9e4e07bafca0fa37f3fc191551700/rendering/01.obj", "119.660987854")</f>
        <v>119.660987854</v>
      </c>
      <c r="E1388" s="245" t="str">
        <f>HYPERLINK(AA2 &amp; "/knife/sn_d6e9e4e07bafca0fa37f3fc191551700/rendering/02.obj", "33.5033073425")</f>
        <v>33.5033073425</v>
      </c>
      <c r="F1388" s="20" t="str">
        <f>HYPERLINK(AA2 &amp; "/knife/sn_d6e9e4e07bafca0fa37f3fc191551700/rendering/03.obj", "258.030487061")</f>
        <v>258.030487061</v>
      </c>
      <c r="G1388" s="256" t="str">
        <f>HYPERLINK(AA2 &amp; "/knife/sn_d6e9e4e07bafca0fa37f3fc191551700/rendering/04.obj", "192.883392334")</f>
        <v>192.883392334</v>
      </c>
      <c r="H1388" s="85" t="str">
        <f>HYPERLINK(AA2 &amp; "/knife/sn_d6e9e4e07bafca0fa37f3fc191551700/rendering/05.obj", "83.8698577881")</f>
        <v>83.8698577881</v>
      </c>
      <c r="I1388" s="20" t="str">
        <f>HYPERLINK(AA2 &amp; "/knife/sn_d6e9e4e07bafca0fa37f3fc191551700/rendering/06.obj", "8.52135658264")</f>
        <v>8.52135658264</v>
      </c>
      <c r="J1388" s="127" t="str">
        <f>HYPERLINK(AA2 &amp; "/knife/sn_d6e9e4e07bafca0fa37f3fc191551700/rendering/07.obj", "180.845809937")</f>
        <v>180.845809937</v>
      </c>
      <c r="K1388" s="20" t="str">
        <f>HYPERLINK(AA2 &amp; "/knife/sn_d6e9e4e07bafca0fa37f3fc191551700/rendering/08.obj", "247.444152832")</f>
        <v>247.444152832</v>
      </c>
      <c r="L1388" s="20" t="str">
        <f>HYPERLINK(AA2 &amp; "/knife/sn_d6e9e4e07bafca0fa37f3fc191551700/rendering/09.obj", "13.1174345016")</f>
        <v>13.1174345016</v>
      </c>
      <c r="M1388" s="20" t="str">
        <f>HYPERLINK(AA2 &amp; "/knife/sn_d6e9e4e07bafca0fa37f3fc191551700/rendering/10.obj", "216.366943359")</f>
        <v>216.366943359</v>
      </c>
      <c r="N1388" s="20" t="str">
        <f>HYPERLINK(AA2 &amp; "/knife/sn_d6e9e4e07bafca0fa37f3fc191551700/rendering/11.obj", "281.607452393")</f>
        <v>281.607452393</v>
      </c>
      <c r="O1388" s="216" t="str">
        <f>HYPERLINK(AA2 &amp; "/knife/sn_d6e9e4e07bafca0fa37f3fc191551700/rendering/12.obj", "41.4527053833")</f>
        <v>41.4527053833</v>
      </c>
      <c r="P1388" s="121" t="str">
        <f>HYPERLINK(AA2 &amp; "/knife/sn_d6e9e4e07bafca0fa37f3fc191551700/rendering/13.obj", "161.064178467")</f>
        <v>161.064178467</v>
      </c>
      <c r="Q1388" s="235" t="str">
        <f>HYPERLINK(AA2 &amp; "/knife/sn_d6e9e4e07bafca0fa37f3fc191551700/rendering/14.obj", "183.7943573")</f>
        <v>183.7943573</v>
      </c>
      <c r="R1388" s="157" t="str">
        <f>HYPERLINK(AA2 &amp; "/knife/sn_d6e9e4e07bafca0fa37f3fc191551700/rendering/15.obj", "69.5199356079")</f>
        <v>69.5199356079</v>
      </c>
      <c r="S1388" s="131" t="str">
        <f>HYPERLINK(AA2 &amp; "/knife/sn_d6e9e4e07bafca0fa37f3fc191551700/rendering/16.obj", "64.0224914551")</f>
        <v>64.0224914551</v>
      </c>
      <c r="T1388" s="20" t="str">
        <f>HYPERLINK(AA2 &amp; "/knife/sn_d6e9e4e07bafca0fa37f3fc191551700/rendering/17.obj", "18.0989112854")</f>
        <v>18.0989112854</v>
      </c>
      <c r="U1388" s="114" t="str">
        <f>HYPERLINK(AA2 &amp; "/knife/sn_d6e9e4e07bafca0fa37f3fc191551700/rendering/18.obj", "64.5445785522")</f>
        <v>64.5445785522</v>
      </c>
      <c r="V1388" s="24" t="str">
        <f>HYPERLINK(AA2 &amp; "/knife/sn_d6e9e4e07bafca0fa37f3fc191551700/rendering/19.obj", "139.057907104")</f>
        <v>139.057907104</v>
      </c>
      <c r="W1388" s="12" t="s">
        <v>30</v>
      </c>
      <c r="X1388" s="13">
        <v>119.15554335117341</v>
      </c>
      <c r="Y1388" s="13">
        <v>88.552139987340666</v>
      </c>
      <c r="Z1388" s="234">
        <v>0.74316424982731311</v>
      </c>
    </row>
    <row r="1389" spans="1:26" x14ac:dyDescent="0.2">
      <c r="A1389" s="1">
        <v>1387</v>
      </c>
      <c r="B1389" s="2" t="s">
        <v>310</v>
      </c>
      <c r="C1389" s="51" t="str">
        <f>HYPERLINK(AB2 &amp; "/knife/sn_d6e9e4e07bafca0fa37f3fc191551700/rendering/00.obj", "4.03886901855")</f>
        <v>4.03886901855</v>
      </c>
      <c r="D1389" s="11" t="str">
        <f>HYPERLINK(AB2 &amp; "/knife/sn_d6e9e4e07bafca0fa37f3fc191551700/rendering/01.obj", "5.38056274414")</f>
        <v>5.38056274414</v>
      </c>
      <c r="E1389" s="34" t="str">
        <f>HYPERLINK(AB2 &amp; "/knife/sn_d6e9e4e07bafca0fa37f3fc191551700/rendering/02.obj", "4.18321014404")</f>
        <v>4.18321014404</v>
      </c>
      <c r="F1389" s="5" t="str">
        <f>HYPERLINK(AB2 &amp; "/knife/sn_d6e9e4e07bafca0fa37f3fc191551700/rendering/03.obj", "4.05740264893")</f>
        <v>4.05740264893</v>
      </c>
      <c r="G1389" s="72" t="str">
        <f>HYPERLINK(AB2 &amp; "/knife/sn_d6e9e4e07bafca0fa37f3fc191551700/rendering/04.obj", "4.53256744385")</f>
        <v>4.53256744385</v>
      </c>
      <c r="H1389" s="67" t="str">
        <f>HYPERLINK(AB2 &amp; "/knife/sn_d6e9e4e07bafca0fa37f3fc191551700/rendering/05.obj", "3.98834350586")</f>
        <v>3.98834350586</v>
      </c>
      <c r="I1389" s="82" t="str">
        <f>HYPERLINK(AB2 &amp; "/knife/sn_d6e9e4e07bafca0fa37f3fc191551700/rendering/06.obj", "3.48955322266")</f>
        <v>3.48955322266</v>
      </c>
      <c r="J1389" s="17" t="str">
        <f>HYPERLINK(AB2 &amp; "/knife/sn_d6e9e4e07bafca0fa37f3fc191551700/rendering/07.obj", "4.29521362305")</f>
        <v>4.29521362305</v>
      </c>
      <c r="K1389" s="51" t="str">
        <f>HYPERLINK(AB2 &amp; "/knife/sn_d6e9e4e07bafca0fa37f3fc191551700/rendering/08.obj", "4.73927520752")</f>
        <v>4.73927520752</v>
      </c>
      <c r="L1389" s="170" t="str">
        <f>HYPERLINK(AB2 &amp; "/knife/sn_d6e9e4e07bafca0fa37f3fc191551700/rendering/09.obj", "5.4953125")</f>
        <v>5.4953125</v>
      </c>
      <c r="M1389" s="30" t="str">
        <f>HYPERLINK(AB2 &amp; "/knife/sn_d6e9e4e07bafca0fa37f3fc191551700/rendering/10.obj", "4.40895446777")</f>
        <v>4.40895446777</v>
      </c>
      <c r="N1389" s="92" t="str">
        <f>HYPERLINK(AB2 &amp; "/knife/sn_d6e9e4e07bafca0fa37f3fc191551700/rendering/11.obj", "3.84201538086")</f>
        <v>3.84201538086</v>
      </c>
      <c r="O1389" s="33" t="str">
        <f>HYPERLINK(AB2 &amp; "/knife/sn_d6e9e4e07bafca0fa37f3fc191551700/rendering/12.obj", "4.86867553711")</f>
        <v>4.86867553711</v>
      </c>
      <c r="P1389" s="90" t="str">
        <f>HYPERLINK(AB2 &amp; "/knife/sn_d6e9e4e07bafca0fa37f3fc191551700/rendering/13.obj", "4.81665649414")</f>
        <v>4.81665649414</v>
      </c>
      <c r="Q1389" s="48" t="str">
        <f>HYPERLINK(AB2 &amp; "/knife/sn_d6e9e4e07bafca0fa37f3fc191551700/rendering/14.obj", "4.28531738281")</f>
        <v>4.28531738281</v>
      </c>
      <c r="R1389" s="78" t="str">
        <f>HYPERLINK(AB2 &amp; "/knife/sn_d6e9e4e07bafca0fa37f3fc191551700/rendering/15.obj", "4.65893554688")</f>
        <v>4.65893554688</v>
      </c>
      <c r="S1389" s="90" t="str">
        <f>HYPERLINK(AB2 &amp; "/knife/sn_d6e9e4e07bafca0fa37f3fc191551700/rendering/16.obj", "4.8138079834")</f>
        <v>4.8138079834</v>
      </c>
      <c r="T1389" s="23" t="str">
        <f>HYPERLINK(AB2 &amp; "/knife/sn_d6e9e4e07bafca0fa37f3fc191551700/rendering/17.obj", "4.22495056152")</f>
        <v>4.22495056152</v>
      </c>
      <c r="U1389" s="93" t="str">
        <f>HYPERLINK(AB2 &amp; "/knife/sn_d6e9e4e07bafca0fa37f3fc191551700/rendering/18.obj", "3.78286010742")</f>
        <v>3.78286010742</v>
      </c>
      <c r="V1389" s="32" t="str">
        <f>HYPERLINK(AB2 &amp; "/knife/sn_d6e9e4e07bafca0fa37f3fc191551700/rendering/19.obj", "3.92705383301")</f>
        <v>3.92705383301</v>
      </c>
      <c r="W1389" s="12" t="s">
        <v>31</v>
      </c>
      <c r="X1389" s="13">
        <v>4.3914768676757818</v>
      </c>
      <c r="Y1389" s="13">
        <v>0.50930775835432329</v>
      </c>
      <c r="Z1389" s="106">
        <v>0.1159764183441726</v>
      </c>
    </row>
    <row r="1390" spans="1:26" x14ac:dyDescent="0.2">
      <c r="A1390" s="1">
        <v>1388</v>
      </c>
      <c r="B1390" s="2" t="s">
        <v>310</v>
      </c>
      <c r="C1390" s="78" t="str">
        <f>HYPERLINK(AB2 &amp; "/knife/sn_d6e9e4e07bafca0fa37f3fc191551700/rendering/00.obj", "1.19267725945")</f>
        <v>1.19267725945</v>
      </c>
      <c r="D1390" s="168" t="str">
        <f>HYPERLINK(AB2 &amp; "/knife/sn_d6e9e4e07bafca0fa37f3fc191551700/rendering/01.obj", "1.67781114578")</f>
        <v>1.67781114578</v>
      </c>
      <c r="E1390" s="8" t="str">
        <f>HYPERLINK(AB2 &amp; "/knife/sn_d6e9e4e07bafca0fa37f3fc191551700/rendering/02.obj", "1.08771371841")</f>
        <v>1.08771371841</v>
      </c>
      <c r="F1390" s="66" t="str">
        <f>HYPERLINK(AB2 &amp; "/knife/sn_d6e9e4e07bafca0fa37f3fc191551700/rendering/03.obj", "1.06335401535")</f>
        <v>1.06335401535</v>
      </c>
      <c r="G1390" s="23" t="str">
        <f>HYPERLINK(AB2 &amp; "/knife/sn_d6e9e4e07bafca0fa37f3fc191551700/rendering/04.obj", "1.22113037109")</f>
        <v>1.22113037109</v>
      </c>
      <c r="H1390" s="72" t="str">
        <f>HYPERLINK(AB2 &amp; "/knife/sn_d6e9e4e07bafca0fa37f3fc191551700/rendering/05.obj", "1.23043203354")</f>
        <v>1.23043203354</v>
      </c>
      <c r="I1390" s="5" t="str">
        <f>HYPERLINK(AB2 &amp; "/knife/sn_d6e9e4e07bafca0fa37f3fc191551700/rendering/06.obj", "1.17478597164")</f>
        <v>1.17478597164</v>
      </c>
      <c r="J1390" s="44" t="str">
        <f>HYPERLINK(AB2 &amp; "/knife/sn_d6e9e4e07bafca0fa37f3fc191551700/rendering/07.obj", "1.02286016941")</f>
        <v>1.02286016941</v>
      </c>
      <c r="K1390" s="5" t="str">
        <f>HYPERLINK(AB2 &amp; "/knife/sn_d6e9e4e07bafca0fa37f3fc191551700/rendering/08.obj", "1.17448723316")</f>
        <v>1.17448723316</v>
      </c>
      <c r="L1390" s="134" t="str">
        <f>HYPERLINK(AB2 &amp; "/knife/sn_d6e9e4e07bafca0fa37f3fc191551700/rendering/09.obj", "1.49871206284")</f>
        <v>1.49871206284</v>
      </c>
      <c r="M1390" s="26" t="str">
        <f>HYPERLINK(AB2 &amp; "/knife/sn_d6e9e4e07bafca0fa37f3fc191551700/rendering/10.obj", "1.18844735622")</f>
        <v>1.18844735622</v>
      </c>
      <c r="N1390" s="24" t="str">
        <f>HYPERLINK(AB2 &amp; "/knife/sn_d6e9e4e07bafca0fa37f3fc191551700/rendering/11.obj", "1.05544781685")</f>
        <v>1.05544781685</v>
      </c>
      <c r="O1390" s="58" t="str">
        <f>HYPERLINK(AB2 &amp; "/knife/sn_d6e9e4e07bafca0fa37f3fc191551700/rendering/12.obj", "1.57838141918")</f>
        <v>1.57838141918</v>
      </c>
      <c r="P1390" s="107" t="str">
        <f>HYPERLINK(AB2 &amp; "/knife/sn_d6e9e4e07bafca0fa37f3fc191551700/rendering/13.obj", "1.37446296215")</f>
        <v>1.37446296215</v>
      </c>
      <c r="Q1390" s="10" t="str">
        <f>HYPERLINK(AB2 &amp; "/knife/sn_d6e9e4e07bafca0fa37f3fc191551700/rendering/14.obj", "1.34102129936")</f>
        <v>1.34102129936</v>
      </c>
      <c r="R1390" s="23" t="str">
        <f>HYPERLINK(AB2 &amp; "/knife/sn_d6e9e4e07bafca0fa37f3fc191551700/rendering/15.obj", "1.32018661499")</f>
        <v>1.32018661499</v>
      </c>
      <c r="S1390" s="61" t="str">
        <f>HYPERLINK(AB2 &amp; "/knife/sn_d6e9e4e07bafca0fa37f3fc191551700/rendering/16.obj", "1.65586936474")</f>
        <v>1.65586936474</v>
      </c>
      <c r="T1390" s="47" t="str">
        <f>HYPERLINK(AB2 &amp; "/knife/sn_d6e9e4e07bafca0fa37f3fc191551700/rendering/17.obj", "1.27932953835")</f>
        <v>1.27932953835</v>
      </c>
      <c r="U1390" s="70" t="str">
        <f>HYPERLINK(AB2 &amp; "/knife/sn_d6e9e4e07bafca0fa37f3fc191551700/rendering/18.obj", "1.10801744461")</f>
        <v>1.10801744461</v>
      </c>
      <c r="V1390" s="107" t="str">
        <f>HYPERLINK(AB2 &amp; "/knife/sn_d6e9e4e07bafca0fa37f3fc191551700/rendering/19.obj", "1.16610753536")</f>
        <v>1.16610753536</v>
      </c>
      <c r="W1390" s="12" t="s">
        <v>32</v>
      </c>
      <c r="X1390" s="13">
        <v>1.2705617666244511</v>
      </c>
      <c r="Y1390" s="13">
        <v>0.19183519599292759</v>
      </c>
      <c r="Z1390" s="83">
        <v>0.1509845495371574</v>
      </c>
    </row>
    <row r="1391" spans="1:26" x14ac:dyDescent="0.2">
      <c r="A1391" s="1">
        <v>1389</v>
      </c>
      <c r="B1391" s="2" t="s">
        <v>310</v>
      </c>
      <c r="C1391" s="13" t="str">
        <f>HYPERLINK(AC2 &amp; "/knife/sn_d6e9e4e07bafca0fa37f3fc191551700/rendering/00.xyz", "0.0")</f>
        <v>0.0</v>
      </c>
      <c r="D1391" s="13" t="str">
        <f>HYPERLINK(AC2 &amp; "/knife/sn_d6e9e4e07bafca0fa37f3fc191551700/rendering/01.xyz", "0.0")</f>
        <v>0.0</v>
      </c>
      <c r="E1391" s="13" t="str">
        <f>HYPERLINK(AC2 &amp; "/knife/sn_d6e9e4e07bafca0fa37f3fc191551700/rendering/02.xyz", "0.0")</f>
        <v>0.0</v>
      </c>
      <c r="F1391" s="13" t="str">
        <f>HYPERLINK(AC2 &amp; "/knife/sn_d6e9e4e07bafca0fa37f3fc191551700/rendering/03.xyz", "0.0")</f>
        <v>0.0</v>
      </c>
      <c r="G1391" s="13" t="str">
        <f>HYPERLINK(AC2 &amp; "/knife/sn_d6e9e4e07bafca0fa37f3fc191551700/rendering/04.xyz", "0.0")</f>
        <v>0.0</v>
      </c>
      <c r="H1391" s="13" t="str">
        <f>HYPERLINK(AC2 &amp; "/knife/sn_d6e9e4e07bafca0fa37f3fc191551700/rendering/05.xyz", "0.0")</f>
        <v>0.0</v>
      </c>
      <c r="I1391" s="13" t="str">
        <f>HYPERLINK(AC2 &amp; "/knife/sn_d6e9e4e07bafca0fa37f3fc191551700/rendering/06.xyz", "0.0")</f>
        <v>0.0</v>
      </c>
      <c r="J1391" s="13" t="str">
        <f>HYPERLINK(AC2 &amp; "/knife/sn_d6e9e4e07bafca0fa37f3fc191551700/rendering/07.xyz", "0.0")</f>
        <v>0.0</v>
      </c>
      <c r="K1391" s="13" t="str">
        <f>HYPERLINK(AC2 &amp; "/knife/sn_d6e9e4e07bafca0fa37f3fc191551700/rendering/08.xyz", "0.0")</f>
        <v>0.0</v>
      </c>
      <c r="L1391" s="13" t="str">
        <f>HYPERLINK(AC2 &amp; "/knife/sn_d6e9e4e07bafca0fa37f3fc191551700/rendering/09.xyz", "0.0")</f>
        <v>0.0</v>
      </c>
      <c r="M1391" s="13" t="str">
        <f>HYPERLINK(AC2 &amp; "/knife/sn_d6e9e4e07bafca0fa37f3fc191551700/rendering/10.xyz", "0.0")</f>
        <v>0.0</v>
      </c>
      <c r="N1391" s="13" t="str">
        <f>HYPERLINK(AC2 &amp; "/knife/sn_d6e9e4e07bafca0fa37f3fc191551700/rendering/11.xyz", "0.0")</f>
        <v>0.0</v>
      </c>
      <c r="O1391" s="13" t="str">
        <f>HYPERLINK(AC2 &amp; "/knife/sn_d6e9e4e07bafca0fa37f3fc191551700/rendering/12.xyz", "0.0")</f>
        <v>0.0</v>
      </c>
      <c r="P1391" s="13" t="str">
        <f>HYPERLINK(AC2 &amp; "/knife/sn_d6e9e4e07bafca0fa37f3fc191551700/rendering/13.xyz", "0.0")</f>
        <v>0.0</v>
      </c>
      <c r="Q1391" s="13" t="str">
        <f>HYPERLINK(AC2 &amp; "/knife/sn_d6e9e4e07bafca0fa37f3fc191551700/rendering/14.xyz", "0.0")</f>
        <v>0.0</v>
      </c>
      <c r="R1391" s="13" t="str">
        <f>HYPERLINK(AC2 &amp; "/knife/sn_d6e9e4e07bafca0fa37f3fc191551700/rendering/15.xyz", "0.0")</f>
        <v>0.0</v>
      </c>
      <c r="S1391" s="13" t="str">
        <f>HYPERLINK(AC2 &amp; "/knife/sn_d6e9e4e07bafca0fa37f3fc191551700/rendering/16.xyz", "0.0")</f>
        <v>0.0</v>
      </c>
      <c r="T1391" s="13" t="str">
        <f>HYPERLINK(AC2 &amp; "/knife/sn_d6e9e4e07bafca0fa37f3fc191551700/rendering/17.xyz", "0.0")</f>
        <v>0.0</v>
      </c>
      <c r="U1391" s="13" t="str">
        <f>HYPERLINK(AC2 &amp; "/knife/sn_d6e9e4e07bafca0fa37f3fc191551700/rendering/18.xyz", "0.0")</f>
        <v>0.0</v>
      </c>
      <c r="V1391" s="13" t="str">
        <f>HYPERLINK(AC2 &amp; "/knife/sn_d6e9e4e07bafca0fa37f3fc191551700/rendering/19.xyz", "0.0")</f>
        <v>0.0</v>
      </c>
      <c r="W1391" s="12" t="s">
        <v>33</v>
      </c>
      <c r="X1391" s="13">
        <v>0</v>
      </c>
      <c r="Y1391" s="13">
        <v>0</v>
      </c>
      <c r="Z1391" s="13">
        <v>0</v>
      </c>
    </row>
    <row r="1392" spans="1:26" x14ac:dyDescent="0.2">
      <c r="A1392" s="1">
        <v>1390</v>
      </c>
      <c r="B1392" s="2" t="s">
        <v>311</v>
      </c>
      <c r="C1392" s="85" t="str">
        <f>HYPERLINK(AA2 &amp; "/knife/sn_d78c656d1847b92ddadc002e53eaf226/rendering/00.obj", "4.46928039551")</f>
        <v>4.46928039551</v>
      </c>
      <c r="D1392" s="57" t="str">
        <f>HYPERLINK(AA2 &amp; "/knife/sn_d78c656d1847b92ddadc002e53eaf226/rendering/01.obj", "4.35865142822")</f>
        <v>4.35865142822</v>
      </c>
      <c r="E1392" s="75" t="str">
        <f>HYPERLINK(AA2 &amp; "/knife/sn_d78c656d1847b92ddadc002e53eaf226/rendering/02.obj", "7.75234680176")</f>
        <v>7.75234680176</v>
      </c>
      <c r="F1392" s="172" t="str">
        <f>HYPERLINK(AA2 &amp; "/knife/sn_d78c656d1847b92ddadc002e53eaf226/rendering/03.obj", "3.91030029297")</f>
        <v>3.91030029297</v>
      </c>
      <c r="G1392" s="41" t="str">
        <f>HYPERLINK(AA2 &amp; "/knife/sn_d78c656d1847b92ddadc002e53eaf226/rendering/04.obj", "6.78579956055")</f>
        <v>6.78579956055</v>
      </c>
      <c r="H1392" s="152" t="str">
        <f>HYPERLINK(AA2 &amp; "/knife/sn_d78c656d1847b92ddadc002e53eaf226/rendering/05.obj", "3.77790893555")</f>
        <v>3.77790893555</v>
      </c>
      <c r="I1392" s="28" t="str">
        <f>HYPERLINK(AA2 &amp; "/knife/sn_d78c656d1847b92ddadc002e53eaf226/rendering/06.obj", "7.06567138672")</f>
        <v>7.06567138672</v>
      </c>
      <c r="J1392" s="218" t="str">
        <f>HYPERLINK(AA2 &amp; "/knife/sn_d78c656d1847b92ddadc002e53eaf226/rendering/07.obj", "3.06840026855")</f>
        <v>3.06840026855</v>
      </c>
      <c r="K1392" s="53" t="str">
        <f>HYPERLINK(AA2 &amp; "/knife/sn_d78c656d1847b92ddadc002e53eaf226/rendering/08.obj", "3.73299499512")</f>
        <v>3.73299499512</v>
      </c>
      <c r="L1392" s="153" t="str">
        <f>HYPERLINK(AA2 &amp; "/knife/sn_d78c656d1847b92ddadc002e53eaf226/rendering/09.obj", "8.6116796875")</f>
        <v>8.6116796875</v>
      </c>
      <c r="M1392" s="96" t="str">
        <f>HYPERLINK(AA2 &amp; "/knife/sn_d78c656d1847b92ddadc002e53eaf226/rendering/10.obj", "4.05794189453")</f>
        <v>4.05794189453</v>
      </c>
      <c r="N1392" s="20" t="str">
        <f>HYPERLINK(AA2 &amp; "/knife/sn_d78c656d1847b92ddadc002e53eaf226/rendering/11.obj", "11.9078393555")</f>
        <v>11.9078393555</v>
      </c>
      <c r="O1392" s="111" t="str">
        <f>HYPERLINK(AA2 &amp; "/knife/sn_d78c656d1847b92ddadc002e53eaf226/rendering/12.obj", "3.66875305176")</f>
        <v>3.66875305176</v>
      </c>
      <c r="P1392" s="163" t="str">
        <f>HYPERLINK(AA2 &amp; "/knife/sn_d78c656d1847b92ddadc002e53eaf226/rendering/13.obj", "3.54369384766")</f>
        <v>3.54369384766</v>
      </c>
      <c r="Q1392" s="144" t="str">
        <f>HYPERLINK(AA2 &amp; "/knife/sn_d78c656d1847b92ddadc002e53eaf226/rendering/14.obj", "3.15850616455")</f>
        <v>3.15850616455</v>
      </c>
      <c r="R1392" s="20" t="str">
        <f>HYPERLINK(AA2 &amp; "/knife/sn_d78c656d1847b92ddadc002e53eaf226/rendering/15.obj", "23.4157324219")</f>
        <v>23.4157324219</v>
      </c>
      <c r="S1392" s="20" t="str">
        <f>HYPERLINK(AA2 &amp; "/knife/sn_d78c656d1847b92ddadc002e53eaf226/rendering/16.obj", "11.9852453613")</f>
        <v>11.9852453613</v>
      </c>
      <c r="T1392" s="142" t="str">
        <f>HYPERLINK(AA2 &amp; "/knife/sn_d78c656d1847b92ddadc002e53eaf226/rendering/17.obj", "3.84792236328")</f>
        <v>3.84792236328</v>
      </c>
      <c r="U1392" s="116" t="str">
        <f>HYPERLINK(AA2 &amp; "/knife/sn_d78c656d1847b92ddadc002e53eaf226/rendering/18.obj", "3.56412841797")</f>
        <v>3.56412841797</v>
      </c>
      <c r="V1392" s="57" t="str">
        <f>HYPERLINK(AA2 &amp; "/knife/sn_d78c656d1847b92ddadc002e53eaf226/rendering/19.obj", "4.35066497803")</f>
        <v>4.35066497803</v>
      </c>
      <c r="W1392" s="12" t="s">
        <v>29</v>
      </c>
      <c r="X1392" s="13">
        <v>6.3516730804443364</v>
      </c>
      <c r="Y1392" s="13">
        <v>4.7322246601863842</v>
      </c>
      <c r="Z1392" s="154">
        <v>0.74503592994356971</v>
      </c>
    </row>
    <row r="1393" spans="1:26" x14ac:dyDescent="0.2">
      <c r="A1393" s="1">
        <v>1391</v>
      </c>
      <c r="B1393" s="2" t="s">
        <v>311</v>
      </c>
      <c r="C1393" s="160" t="str">
        <f>HYPERLINK(AA2 &amp; "/knife/sn_d78c656d1847b92ddadc002e53eaf226/rendering/00.obj", "3.138484478")</f>
        <v>3.138484478</v>
      </c>
      <c r="D1393" s="233" t="str">
        <f>HYPERLINK(AA2 &amp; "/knife/sn_d78c656d1847b92ddadc002e53eaf226/rendering/01.obj", "1.98415434361")</f>
        <v>1.98415434361</v>
      </c>
      <c r="E1393" s="59" t="str">
        <f>HYPERLINK(AA2 &amp; "/knife/sn_d78c656d1847b92ddadc002e53eaf226/rendering/02.obj", "5.04040575027")</f>
        <v>5.04040575027</v>
      </c>
      <c r="F1393" s="183" t="str">
        <f>HYPERLINK(AA2 &amp; "/knife/sn_d78c656d1847b92ddadc002e53eaf226/rendering/03.obj", "1.65745913982")</f>
        <v>1.65745913982</v>
      </c>
      <c r="G1393" s="75" t="str">
        <f>HYPERLINK(AA2 &amp; "/knife/sn_d78c656d1847b92ddadc002e53eaf226/rendering/04.obj", "5.18099784851")</f>
        <v>5.18099784851</v>
      </c>
      <c r="H1393" s="232" t="str">
        <f>HYPERLINK(AA2 &amp; "/knife/sn_d78c656d1847b92ddadc002e53eaf226/rendering/05.obj", "1.44917786121")</f>
        <v>1.44917786121</v>
      </c>
      <c r="I1393" s="89" t="str">
        <f>HYPERLINK(AA2 &amp; "/knife/sn_d78c656d1847b92ddadc002e53eaf226/rendering/06.obj", "4.93522310257")</f>
        <v>4.93522310257</v>
      </c>
      <c r="J1393" s="259" t="str">
        <f>HYPERLINK(AA2 &amp; "/knife/sn_d78c656d1847b92ddadc002e53eaf226/rendering/07.obj", "1.38506531715")</f>
        <v>1.38506531715</v>
      </c>
      <c r="K1393" s="232" t="str">
        <f>HYPERLINK(AA2 &amp; "/knife/sn_d78c656d1847b92ddadc002e53eaf226/rendering/08.obj", "1.45090293884")</f>
        <v>1.45090293884</v>
      </c>
      <c r="L1393" s="76" t="str">
        <f>HYPERLINK(AA2 &amp; "/knife/sn_d78c656d1847b92ddadc002e53eaf226/rendering/09.obj", "7.8676609993")</f>
        <v>7.8676609993</v>
      </c>
      <c r="M1393" s="257" t="str">
        <f>HYPERLINK(AA2 &amp; "/knife/sn_d78c656d1847b92ddadc002e53eaf226/rendering/10.obj", "1.89797413349")</f>
        <v>1.89797413349</v>
      </c>
      <c r="N1393" s="20" t="str">
        <f>HYPERLINK(AA2 &amp; "/knife/sn_d78c656d1847b92ddadc002e53eaf226/rendering/11.obj", "18.2540302277")</f>
        <v>18.2540302277</v>
      </c>
      <c r="O1393" s="190" t="str">
        <f>HYPERLINK(AA2 &amp; "/knife/sn_d78c656d1847b92ddadc002e53eaf226/rendering/12.obj", "2.02764344215")</f>
        <v>2.02764344215</v>
      </c>
      <c r="P1393" s="209" t="str">
        <f>HYPERLINK(AA2 &amp; "/knife/sn_d78c656d1847b92ddadc002e53eaf226/rendering/13.obj", "1.60069012642")</f>
        <v>1.60069012642</v>
      </c>
      <c r="Q1393" s="20" t="str">
        <f>HYPERLINK(AA2 &amp; "/knife/sn_d78c656d1847b92ddadc002e53eaf226/rendering/14.obj", "0.934668004513")</f>
        <v>0.934668004513</v>
      </c>
      <c r="R1393" s="20" t="str">
        <f>HYPERLINK(AA2 &amp; "/knife/sn_d78c656d1847b92ddadc002e53eaf226/rendering/15.obj", "55.7698135376")</f>
        <v>55.7698135376</v>
      </c>
      <c r="S1393" s="20" t="str">
        <f>HYPERLINK(AA2 &amp; "/knife/sn_d78c656d1847b92ddadc002e53eaf226/rendering/16.obj", "12.4154720306")</f>
        <v>12.4154720306</v>
      </c>
      <c r="T1393" s="236" t="str">
        <f>HYPERLINK(AA2 &amp; "/knife/sn_d78c656d1847b92ddadc002e53eaf226/rendering/17.obj", "1.72918307781")</f>
        <v>1.72918307781</v>
      </c>
      <c r="U1393" s="20" t="str">
        <f>HYPERLINK(AA2 &amp; "/knife/sn_d78c656d1847b92ddadc002e53eaf226/rendering/18.obj", "1.17895698547")</f>
        <v>1.17895698547</v>
      </c>
      <c r="V1393" s="195" t="str">
        <f>HYPERLINK(AA2 &amp; "/knife/sn_d78c656d1847b92ddadc002e53eaf226/rendering/19.obj", "3.01366734505")</f>
        <v>3.01366734505</v>
      </c>
      <c r="W1393" s="12" t="s">
        <v>30</v>
      </c>
      <c r="X1393" s="13">
        <v>6.6455815345048901</v>
      </c>
      <c r="Y1393" s="13">
        <v>12.041854013114859</v>
      </c>
      <c r="Z1393" s="20">
        <v>1.8120090695737741</v>
      </c>
    </row>
    <row r="1394" spans="1:26" x14ac:dyDescent="0.2">
      <c r="A1394" s="1">
        <v>1392</v>
      </c>
      <c r="B1394" s="2" t="s">
        <v>311</v>
      </c>
      <c r="C1394" s="35" t="str">
        <f>HYPERLINK(AB2 &amp; "/knife/sn_d78c656d1847b92ddadc002e53eaf226/rendering/00.obj", "2.95151031494")</f>
        <v>2.95151031494</v>
      </c>
      <c r="D1394" s="6" t="str">
        <f>HYPERLINK(AB2 &amp; "/knife/sn_d78c656d1847b92ddadc002e53eaf226/rendering/01.obj", "2.99380065918")</f>
        <v>2.99380065918</v>
      </c>
      <c r="E1394" s="47" t="str">
        <f>HYPERLINK(AB2 &amp; "/knife/sn_d78c656d1847b92ddadc002e53eaf226/rendering/02.obj", "3.15834472656")</f>
        <v>3.15834472656</v>
      </c>
      <c r="F1394" s="110" t="str">
        <f>HYPERLINK(AB2 &amp; "/knife/sn_d78c656d1847b92ddadc002e53eaf226/rendering/03.obj", "3.44226074219")</f>
        <v>3.44226074219</v>
      </c>
      <c r="G1394" s="46" t="str">
        <f>HYPERLINK(AB2 &amp; "/knife/sn_d78c656d1847b92ddadc002e53eaf226/rendering/04.obj", "3.08330291748")</f>
        <v>3.08330291748</v>
      </c>
      <c r="H1394" s="79" t="str">
        <f>HYPERLINK(AB2 &amp; "/knife/sn_d78c656d1847b92ddadc002e53eaf226/rendering/05.obj", "3.62871520996")</f>
        <v>3.62871520996</v>
      </c>
      <c r="I1394" s="71" t="str">
        <f>HYPERLINK(AB2 &amp; "/knife/sn_d78c656d1847b92ddadc002e53eaf226/rendering/06.obj", "2.76866271973")</f>
        <v>2.76866271973</v>
      </c>
      <c r="J1394" s="25" t="str">
        <f>HYPERLINK(AB2 &amp; "/knife/sn_d78c656d1847b92ddadc002e53eaf226/rendering/07.obj", "3.10166168213")</f>
        <v>3.10166168213</v>
      </c>
      <c r="K1394" s="41" t="str">
        <f>HYPERLINK(AB2 &amp; "/knife/sn_d78c656d1847b92ddadc002e53eaf226/rendering/08.obj", "3.3445715332")</f>
        <v>3.3445715332</v>
      </c>
      <c r="L1394" s="74" t="str">
        <f>HYPERLINK(AB2 &amp; "/knife/sn_d78c656d1847b92ddadc002e53eaf226/rendering/09.obj", "3.18428771973")</f>
        <v>3.18428771973</v>
      </c>
      <c r="M1394" s="13" t="str">
        <f>HYPERLINK(AB2 &amp; "/knife/sn_d78c656d1847b92ddadc002e53eaf226/rendering/10.obj", "3.13117614746")</f>
        <v>3.13117614746</v>
      </c>
      <c r="N1394" s="90" t="str">
        <f>HYPERLINK(AB2 &amp; "/knife/sn_d78c656d1847b92ddadc002e53eaf226/rendering/11.obj", "2.83844299316")</f>
        <v>2.83844299316</v>
      </c>
      <c r="O1394" s="60" t="str">
        <f>HYPERLINK(AB2 &amp; "/knife/sn_d78c656d1847b92ddadc002e53eaf226/rendering/12.obj", "2.97274505615")</f>
        <v>2.97274505615</v>
      </c>
      <c r="P1394" s="69" t="str">
        <f>HYPERLINK(AB2 &amp; "/knife/sn_d78c656d1847b92ddadc002e53eaf226/rendering/13.obj", "3.23106536865")</f>
        <v>3.23106536865</v>
      </c>
      <c r="Q1394" s="38" t="str">
        <f>HYPERLINK(AB2 &amp; "/knife/sn_d78c656d1847b92ddadc002e53eaf226/rendering/14.obj", "2.85819824219")</f>
        <v>2.85819824219</v>
      </c>
      <c r="R1394" s="92" t="str">
        <f>HYPERLINK(AB2 &amp; "/knife/sn_d78c656d1847b92ddadc002e53eaf226/rendering/15.obj", "3.52098693848")</f>
        <v>3.52098693848</v>
      </c>
      <c r="S1394" s="23" t="str">
        <f>HYPERLINK(AB2 &amp; "/knife/sn_d78c656d1847b92ddadc002e53eaf226/rendering/16.obj", "3.01160430908")</f>
        <v>3.01160430908</v>
      </c>
      <c r="T1394" s="30" t="str">
        <f>HYPERLINK(AB2 &amp; "/knife/sn_d78c656d1847b92ddadc002e53eaf226/rendering/17.obj", "3.14732849121")</f>
        <v>3.14732849121</v>
      </c>
      <c r="U1394" s="23" t="str">
        <f>HYPERLINK(AB2 &amp; "/knife/sn_d78c656d1847b92ddadc002e53eaf226/rendering/18.obj", "3.2632208252")</f>
        <v>3.2632208252</v>
      </c>
      <c r="V1394" s="25" t="str">
        <f>HYPERLINK(AB2 &amp; "/knife/sn_d78c656d1847b92ddadc002e53eaf226/rendering/19.obj", "3.09831054688")</f>
        <v>3.09831054688</v>
      </c>
      <c r="W1394" s="12" t="s">
        <v>31</v>
      </c>
      <c r="X1394" s="13">
        <v>3.1365098571777339</v>
      </c>
      <c r="Y1394" s="13">
        <v>0.21896252317040429</v>
      </c>
      <c r="Z1394" s="27">
        <v>6.9810883160249068E-2</v>
      </c>
    </row>
    <row r="1395" spans="1:26" x14ac:dyDescent="0.2">
      <c r="A1395" s="1">
        <v>1393</v>
      </c>
      <c r="B1395" s="2" t="s">
        <v>311</v>
      </c>
      <c r="C1395" s="26" t="str">
        <f>HYPERLINK(AB2 &amp; "/knife/sn_d78c656d1847b92ddadc002e53eaf226/rendering/00.obj", "0.838066399097")</f>
        <v>0.838066399097</v>
      </c>
      <c r="D1395" s="25" t="str">
        <f>HYPERLINK(AB2 &amp; "/knife/sn_d78c656d1847b92ddadc002e53eaf226/rendering/01.obj", "0.907323718071")</f>
        <v>0.907323718071</v>
      </c>
      <c r="E1395" s="63" t="str">
        <f>HYPERLINK(AB2 &amp; "/knife/sn_d78c656d1847b92ddadc002e53eaf226/rendering/02.obj", "1.00483763218")</f>
        <v>1.00483763218</v>
      </c>
      <c r="F1395" s="73" t="str">
        <f>HYPERLINK(AB2 &amp; "/knife/sn_d78c656d1847b92ddadc002e53eaf226/rendering/03.obj", "0.865008473396")</f>
        <v>0.865008473396</v>
      </c>
      <c r="G1395" s="68" t="str">
        <f>HYPERLINK(AB2 &amp; "/knife/sn_d78c656d1847b92ddadc002e53eaf226/rendering/04.obj", "0.858102679253")</f>
        <v>0.858102679253</v>
      </c>
      <c r="H1395" s="30" t="str">
        <f>HYPERLINK(AB2 &amp; "/knife/sn_d78c656d1847b92ddadc002e53eaf226/rendering/05.obj", "0.900275826454")</f>
        <v>0.900275826454</v>
      </c>
      <c r="I1395" s="78" t="str">
        <f>HYPERLINK(AB2 &amp; "/knife/sn_d78c656d1847b92ddadc002e53eaf226/rendering/06.obj", "0.950926601887")</f>
        <v>0.950926601887</v>
      </c>
      <c r="J1395" s="68" t="str">
        <f>HYPERLINK(AB2 &amp; "/knife/sn_d78c656d1847b92ddadc002e53eaf226/rendering/07.obj", "0.860324501991")</f>
        <v>0.860324501991</v>
      </c>
      <c r="K1395" s="35" t="str">
        <f>HYPERLINK(AB2 &amp; "/knife/sn_d78c656d1847b92ddadc002e53eaf226/rendering/08.obj", "0.948986113071")</f>
        <v>0.948986113071</v>
      </c>
      <c r="L1395" s="46" t="str">
        <f>HYPERLINK(AB2 &amp; "/knife/sn_d78c656d1847b92ddadc002e53eaf226/rendering/09.obj", "0.88282763958")</f>
        <v>0.88282763958</v>
      </c>
      <c r="M1395" s="73" t="str">
        <f>HYPERLINK(AB2 &amp; "/knife/sn_d78c656d1847b92ddadc002e53eaf226/rendering/10.obj", "0.863920629025")</f>
        <v>0.863920629025</v>
      </c>
      <c r="N1395" s="38" t="str">
        <f>HYPERLINK(AB2 &amp; "/knife/sn_d78c656d1847b92ddadc002e53eaf226/rendering/11.obj", "0.81769657135")</f>
        <v>0.81769657135</v>
      </c>
      <c r="O1395" s="90" t="str">
        <f>HYPERLINK(AB2 &amp; "/knife/sn_d78c656d1847b92ddadc002e53eaf226/rendering/12.obj", "0.811394870281")</f>
        <v>0.811394870281</v>
      </c>
      <c r="P1395" s="51" t="str">
        <f>HYPERLINK(AB2 &amp; "/knife/sn_d78c656d1847b92ddadc002e53eaf226/rendering/13.obj", "0.970219492912")</f>
        <v>0.970219492912</v>
      </c>
      <c r="Q1395" s="73" t="str">
        <f>HYPERLINK(AB2 &amp; "/knife/sn_d78c656d1847b92ddadc002e53eaf226/rendering/14.obj", "0.865765333176")</f>
        <v>0.865765333176</v>
      </c>
      <c r="R1395" s="77" t="str">
        <f>HYPERLINK(AB2 &amp; "/knife/sn_d78c656d1847b92ddadc002e53eaf226/rendering/15.obj", "1.06499016285")</f>
        <v>1.06499016285</v>
      </c>
      <c r="S1395" s="68" t="str">
        <f>HYPERLINK(AB2 &amp; "/knife/sn_d78c656d1847b92ddadc002e53eaf226/rendering/16.obj", "0.933812499046")</f>
        <v>0.933812499046</v>
      </c>
      <c r="T1395" s="73" t="str">
        <f>HYPERLINK(AB2 &amp; "/knife/sn_d78c656d1847b92ddadc002e53eaf226/rendering/17.obj", "0.864969909191")</f>
        <v>0.864969909191</v>
      </c>
      <c r="U1395" s="30" t="str">
        <f>HYPERLINK(AB2 &amp; "/knife/sn_d78c656d1847b92ddadc002e53eaf226/rendering/18.obj", "0.900116205215")</f>
        <v>0.900116205215</v>
      </c>
      <c r="V1395" s="27" t="str">
        <f>HYPERLINK(AB2 &amp; "/knife/sn_d78c656d1847b92ddadc002e53eaf226/rendering/19.obj", "0.832995474339")</f>
        <v>0.832995474339</v>
      </c>
      <c r="W1395" s="12" t="s">
        <v>32</v>
      </c>
      <c r="X1395" s="13">
        <v>0.8971280366182327</v>
      </c>
      <c r="Y1395" s="13">
        <v>6.3509225792088286E-2</v>
      </c>
      <c r="Z1395" s="27">
        <v>7.0791707760566008E-2</v>
      </c>
    </row>
    <row r="1396" spans="1:26" x14ac:dyDescent="0.2">
      <c r="A1396" s="1">
        <v>1394</v>
      </c>
      <c r="B1396" s="2" t="s">
        <v>311</v>
      </c>
      <c r="C1396" s="13" t="str">
        <f>HYPERLINK(AC2 &amp; "/knife/sn_d78c656d1847b92ddadc002e53eaf226/rendering/00.xyz", "0.0")</f>
        <v>0.0</v>
      </c>
      <c r="D1396" s="13" t="str">
        <f>HYPERLINK(AC2 &amp; "/knife/sn_d78c656d1847b92ddadc002e53eaf226/rendering/01.xyz", "0.0")</f>
        <v>0.0</v>
      </c>
      <c r="E1396" s="13" t="str">
        <f>HYPERLINK(AC2 &amp; "/knife/sn_d78c656d1847b92ddadc002e53eaf226/rendering/02.xyz", "0.0")</f>
        <v>0.0</v>
      </c>
      <c r="F1396" s="13" t="str">
        <f>HYPERLINK(AC2 &amp; "/knife/sn_d78c656d1847b92ddadc002e53eaf226/rendering/03.xyz", "0.0")</f>
        <v>0.0</v>
      </c>
      <c r="G1396" s="13" t="str">
        <f>HYPERLINK(AC2 &amp; "/knife/sn_d78c656d1847b92ddadc002e53eaf226/rendering/04.xyz", "0.0")</f>
        <v>0.0</v>
      </c>
      <c r="H1396" s="13" t="str">
        <f>HYPERLINK(AC2 &amp; "/knife/sn_d78c656d1847b92ddadc002e53eaf226/rendering/05.xyz", "0.0")</f>
        <v>0.0</v>
      </c>
      <c r="I1396" s="13" t="str">
        <f>HYPERLINK(AC2 &amp; "/knife/sn_d78c656d1847b92ddadc002e53eaf226/rendering/06.xyz", "0.0")</f>
        <v>0.0</v>
      </c>
      <c r="J1396" s="13" t="str">
        <f>HYPERLINK(AC2 &amp; "/knife/sn_d78c656d1847b92ddadc002e53eaf226/rendering/07.xyz", "0.0")</f>
        <v>0.0</v>
      </c>
      <c r="K1396" s="13" t="str">
        <f>HYPERLINK(AC2 &amp; "/knife/sn_d78c656d1847b92ddadc002e53eaf226/rendering/08.xyz", "0.0")</f>
        <v>0.0</v>
      </c>
      <c r="L1396" s="13" t="str">
        <f>HYPERLINK(AC2 &amp; "/knife/sn_d78c656d1847b92ddadc002e53eaf226/rendering/09.xyz", "0.0")</f>
        <v>0.0</v>
      </c>
      <c r="M1396" s="13" t="str">
        <f>HYPERLINK(AC2 &amp; "/knife/sn_d78c656d1847b92ddadc002e53eaf226/rendering/10.xyz", "0.0")</f>
        <v>0.0</v>
      </c>
      <c r="N1396" s="13" t="str">
        <f>HYPERLINK(AC2 &amp; "/knife/sn_d78c656d1847b92ddadc002e53eaf226/rendering/11.xyz", "0.0")</f>
        <v>0.0</v>
      </c>
      <c r="O1396" s="13" t="str">
        <f>HYPERLINK(AC2 &amp; "/knife/sn_d78c656d1847b92ddadc002e53eaf226/rendering/12.xyz", "0.0")</f>
        <v>0.0</v>
      </c>
      <c r="P1396" s="13" t="str">
        <f>HYPERLINK(AC2 &amp; "/knife/sn_d78c656d1847b92ddadc002e53eaf226/rendering/13.xyz", "0.0")</f>
        <v>0.0</v>
      </c>
      <c r="Q1396" s="13" t="str">
        <f>HYPERLINK(AC2 &amp; "/knife/sn_d78c656d1847b92ddadc002e53eaf226/rendering/14.xyz", "0.0")</f>
        <v>0.0</v>
      </c>
      <c r="R1396" s="13" t="str">
        <f>HYPERLINK(AC2 &amp; "/knife/sn_d78c656d1847b92ddadc002e53eaf226/rendering/15.xyz", "0.0")</f>
        <v>0.0</v>
      </c>
      <c r="S1396" s="13" t="str">
        <f>HYPERLINK(AC2 &amp; "/knife/sn_d78c656d1847b92ddadc002e53eaf226/rendering/16.xyz", "0.0")</f>
        <v>0.0</v>
      </c>
      <c r="T1396" s="13" t="str">
        <f>HYPERLINK(AC2 &amp; "/knife/sn_d78c656d1847b92ddadc002e53eaf226/rendering/17.xyz", "0.0")</f>
        <v>0.0</v>
      </c>
      <c r="U1396" s="13" t="str">
        <f>HYPERLINK(AC2 &amp; "/knife/sn_d78c656d1847b92ddadc002e53eaf226/rendering/18.xyz", "0.0")</f>
        <v>0.0</v>
      </c>
      <c r="V1396" s="13" t="str">
        <f>HYPERLINK(AC2 &amp; "/knife/sn_d78c656d1847b92ddadc002e53eaf226/rendering/19.xyz", "0.0")</f>
        <v>0.0</v>
      </c>
      <c r="W1396" s="12" t="s">
        <v>33</v>
      </c>
      <c r="X1396" s="13">
        <v>0</v>
      </c>
      <c r="Y1396" s="13">
        <v>0</v>
      </c>
      <c r="Z1396" s="13">
        <v>0</v>
      </c>
    </row>
    <row r="1397" spans="1:26" x14ac:dyDescent="0.2">
      <c r="A1397" s="1">
        <v>1395</v>
      </c>
      <c r="B1397" s="2" t="s">
        <v>312</v>
      </c>
      <c r="C1397" s="59" t="str">
        <f>HYPERLINK(AA2 &amp; "/knife/sn_daf2098f026e292c152b5e07600b5ea7/rendering/00.obj", "3.21284515381")</f>
        <v>3.21284515381</v>
      </c>
      <c r="D1397" s="76" t="str">
        <f>HYPERLINK(AA2 &amp; "/knife/sn_daf2098f026e292c152b5e07600b5ea7/rendering/01.obj", "3.45009033203")</f>
        <v>3.45009033203</v>
      </c>
      <c r="E1397" s="119" t="str">
        <f>HYPERLINK(AA2 &amp; "/knife/sn_daf2098f026e292c152b5e07600b5ea7/rendering/02.obj", "3.10872741699")</f>
        <v>3.10872741699</v>
      </c>
      <c r="F1397" s="131" t="str">
        <f>HYPERLINK(AA2 &amp; "/knife/sn_daf2098f026e292c152b5e07600b5ea7/rendering/03.obj", "6.18710510254")</f>
        <v>6.18710510254</v>
      </c>
      <c r="G1397" s="47" t="str">
        <f>HYPERLINK(AA2 &amp; "/knife/sn_daf2098f026e292c152b5e07600b5ea7/rendering/04.obj", "4.26431304932")</f>
        <v>4.26431304932</v>
      </c>
      <c r="H1397" s="162" t="str">
        <f>HYPERLINK(AA2 &amp; "/knife/sn_daf2098f026e292c152b5e07600b5ea7/rendering/05.obj", "6.02564941406")</f>
        <v>6.02564941406</v>
      </c>
      <c r="I1397" s="84" t="str">
        <f>HYPERLINK(AA2 &amp; "/knife/sn_daf2098f026e292c152b5e07600b5ea7/rendering/06.obj", "4.84598083496")</f>
        <v>4.84598083496</v>
      </c>
      <c r="J1397" s="82" t="str">
        <f>HYPERLINK(AA2 &amp; "/knife/sn_daf2098f026e292c152b5e07600b5ea7/rendering/07.obj", "3.35733917236")</f>
        <v>3.35733917236</v>
      </c>
      <c r="K1397" s="151" t="str">
        <f>HYPERLINK(AA2 &amp; "/knife/sn_daf2098f026e292c152b5e07600b5ea7/rendering/08.obj", "5.74906494141")</f>
        <v>5.74906494141</v>
      </c>
      <c r="L1397" s="10" t="str">
        <f>HYPERLINK(AA2 &amp; "/knife/sn_daf2098f026e292c152b5e07600b5ea7/rendering/09.obj", "4.4605255127")</f>
        <v>4.4605255127</v>
      </c>
      <c r="M1397" s="84" t="str">
        <f>HYPERLINK(AA2 &amp; "/knife/sn_daf2098f026e292c152b5e07600b5ea7/rendering/10.obj", "3.61525848389")</f>
        <v>3.61525848389</v>
      </c>
      <c r="N1397" s="30" t="str">
        <f>HYPERLINK(AA2 &amp; "/knife/sn_daf2098f026e292c152b5e07600b5ea7/rendering/11.obj", "4.24275848389")</f>
        <v>4.24275848389</v>
      </c>
      <c r="O1397" s="74" t="str">
        <f>HYPERLINK(AA2 &amp; "/knife/sn_daf2098f026e292c152b5e07600b5ea7/rendering/12.obj", "4.16249694824")</f>
        <v>4.16249694824</v>
      </c>
      <c r="P1397" s="33" t="str">
        <f>HYPERLINK(AA2 &amp; "/knife/sn_daf2098f026e292c152b5e07600b5ea7/rendering/13.obj", "3.77514068604")</f>
        <v>3.77514068604</v>
      </c>
      <c r="Q1397" s="100" t="str">
        <f>HYPERLINK(AA2 &amp; "/knife/sn_daf2098f026e292c152b5e07600b5ea7/rendering/14.obj", "2.95679748535")</f>
        <v>2.95679748535</v>
      </c>
      <c r="R1397" s="35" t="str">
        <f>HYPERLINK(AA2 &amp; "/knife/sn_daf2098f026e292c152b5e07600b5ea7/rendering/15.obj", "4.47946411133")</f>
        <v>4.47946411133</v>
      </c>
      <c r="S1397" s="151" t="str">
        <f>HYPERLINK(AA2 &amp; "/knife/sn_daf2098f026e292c152b5e07600b5ea7/rendering/16.obj", "5.74349121094")</f>
        <v>5.74349121094</v>
      </c>
      <c r="T1397" s="76" t="str">
        <f>HYPERLINK(AA2 &amp; "/knife/sn_daf2098f026e292c152b5e07600b5ea7/rendering/17.obj", "3.44680664063")</f>
        <v>3.44680664063</v>
      </c>
      <c r="U1397" s="133" t="str">
        <f>HYPERLINK(AA2 &amp; "/knife/sn_daf2098f026e292c152b5e07600b5ea7/rendering/18.obj", "3.79879974365")</f>
        <v>3.79879974365</v>
      </c>
      <c r="V1397" s="29" t="str">
        <f>HYPERLINK(AA2 &amp; "/knife/sn_daf2098f026e292c152b5e07600b5ea7/rendering/19.obj", "3.67851318359")</f>
        <v>3.67851318359</v>
      </c>
      <c r="W1397" s="12" t="s">
        <v>29</v>
      </c>
      <c r="X1397" s="13">
        <v>4.2280583953857427</v>
      </c>
      <c r="Y1397" s="13">
        <v>0.97786562193252202</v>
      </c>
      <c r="Z1397" s="98">
        <v>0.23128006533677681</v>
      </c>
    </row>
    <row r="1398" spans="1:26" x14ac:dyDescent="0.2">
      <c r="A1398" s="1">
        <v>1396</v>
      </c>
      <c r="B1398" s="2" t="s">
        <v>312</v>
      </c>
      <c r="C1398" s="111" t="str">
        <f>HYPERLINK(AA2 &amp; "/knife/sn_daf2098f026e292c152b5e07600b5ea7/rendering/00.obj", "1.28185617924")</f>
        <v>1.28185617924</v>
      </c>
      <c r="D1398" s="127" t="str">
        <f>HYPERLINK(AA2 &amp; "/knife/sn_daf2098f026e292c152b5e07600b5ea7/rendering/01.obj", "1.06607151031")</f>
        <v>1.06607151031</v>
      </c>
      <c r="E1398" s="158" t="str">
        <f>HYPERLINK(AA2 &amp; "/knife/sn_daf2098f026e292c152b5e07600b5ea7/rendering/02.obj", "1.31572830677")</f>
        <v>1.31572830677</v>
      </c>
      <c r="F1398" s="123" t="str">
        <f>HYPERLINK(AA2 &amp; "/knife/sn_daf2098f026e292c152b5e07600b5ea7/rendering/03.obj", "3.03952240944")</f>
        <v>3.03952240944</v>
      </c>
      <c r="G1398" s="44" t="str">
        <f>HYPERLINK(AA2 &amp; "/knife/sn_daf2098f026e292c152b5e07600b5ea7/rendering/04.obj", "2.66077780724")</f>
        <v>2.66077780724</v>
      </c>
      <c r="H1398" s="20" t="str">
        <f>HYPERLINK(AA2 &amp; "/knife/sn_daf2098f026e292c152b5e07600b5ea7/rendering/05.obj", "4.51669597626")</f>
        <v>4.51669597626</v>
      </c>
      <c r="I1398" s="20" t="str">
        <f>HYPERLINK(AA2 &amp; "/knife/sn_daf2098f026e292c152b5e07600b5ea7/rendering/06.obj", "5.09669351578")</f>
        <v>5.09669351578</v>
      </c>
      <c r="J1398" s="97" t="str">
        <f>HYPERLINK(AA2 &amp; "/knife/sn_daf2098f026e292c152b5e07600b5ea7/rendering/07.obj", "1.25716161728")</f>
        <v>1.25716161728</v>
      </c>
      <c r="K1398" s="59" t="str">
        <f>HYPERLINK(AA2 &amp; "/knife/sn_daf2098f026e292c152b5e07600b5ea7/rendering/08.obj", "2.75953245163")</f>
        <v>2.75953245163</v>
      </c>
      <c r="L1398" s="53" t="str">
        <f>HYPERLINK(AA2 &amp; "/knife/sn_daf2098f026e292c152b5e07600b5ea7/rendering/09.obj", "3.14007019997")</f>
        <v>3.14007019997</v>
      </c>
      <c r="M1398" s="168" t="str">
        <f>HYPERLINK(AA2 &amp; "/knife/sn_daf2098f026e292c152b5e07600b5ea7/rendering/10.obj", "1.50715720654")</f>
        <v>1.50715720654</v>
      </c>
      <c r="N1398" s="200" t="str">
        <f>HYPERLINK(AA2 &amp; "/knife/sn_daf2098f026e292c152b5e07600b5ea7/rendering/11.obj", "3.28528690338")</f>
        <v>3.28528690338</v>
      </c>
      <c r="O1398" s="24" t="str">
        <f>HYPERLINK(AA2 &amp; "/knife/sn_daf2098f026e292c152b5e07600b5ea7/rendering/12.obj", "1.850451231")</f>
        <v>1.850451231</v>
      </c>
      <c r="P1398" s="149" t="str">
        <f>HYPERLINK(AA2 &amp; "/knife/sn_daf2098f026e292c152b5e07600b5ea7/rendering/13.obj", "1.45848500729")</f>
        <v>1.45848500729</v>
      </c>
      <c r="Q1398" s="163" t="str">
        <f>HYPERLINK(AA2 &amp; "/knife/sn_daf2098f026e292c152b5e07600b5ea7/rendering/14.obj", "1.24218583107")</f>
        <v>1.24218583107</v>
      </c>
      <c r="R1398" s="55" t="str">
        <f>HYPERLINK(AA2 &amp; "/knife/sn_daf2098f026e292c152b5e07600b5ea7/rendering/15.obj", "1.79186463356")</f>
        <v>1.79186463356</v>
      </c>
      <c r="S1398" s="89" t="str">
        <f>HYPERLINK(AA2 &amp; "/knife/sn_daf2098f026e292c152b5e07600b5ea7/rendering/16.obj", "2.79838681221")</f>
        <v>2.79838681221</v>
      </c>
      <c r="T1398" s="4" t="str">
        <f>HYPERLINK(AA2 &amp; "/knife/sn_daf2098f026e292c152b5e07600b5ea7/rendering/17.obj", "1.59451079369")</f>
        <v>1.59451079369</v>
      </c>
      <c r="U1398" s="59" t="str">
        <f>HYPERLINK(AA2 &amp; "/knife/sn_daf2098f026e292c152b5e07600b5ea7/rendering/18.obj", "1.68829655647")</f>
        <v>1.68829655647</v>
      </c>
      <c r="V1398" s="126" t="str">
        <f>HYPERLINK(AA2 &amp; "/knife/sn_daf2098f026e292c152b5e07600b5ea7/rendering/19.obj", "1.11143183708")</f>
        <v>1.11143183708</v>
      </c>
      <c r="W1398" s="12" t="s">
        <v>30</v>
      </c>
      <c r="X1398" s="13">
        <v>2.2231083393096922</v>
      </c>
      <c r="Y1398" s="13">
        <v>1.1235260101980351</v>
      </c>
      <c r="Z1398" s="15">
        <v>0.50538518088907292</v>
      </c>
    </row>
    <row r="1399" spans="1:26" x14ac:dyDescent="0.2">
      <c r="A1399" s="1">
        <v>1397</v>
      </c>
      <c r="B1399" s="2" t="s">
        <v>312</v>
      </c>
      <c r="C1399" s="73" t="str">
        <f>HYPERLINK(AB2 &amp; "/knife/sn_daf2098f026e292c152b5e07600b5ea7/rendering/00.obj", "3.23381713867")</f>
        <v>3.23381713867</v>
      </c>
      <c r="D1399" s="133" t="str">
        <f>HYPERLINK(AB2 &amp; "/knife/sn_daf2098f026e292c152b5e07600b5ea7/rendering/01.obj", "2.80428375244")</f>
        <v>2.80428375244</v>
      </c>
      <c r="E1399" s="51" t="str">
        <f>HYPERLINK(AB2 &amp; "/knife/sn_daf2098f026e292c152b5e07600b5ea7/rendering/02.obj", "3.36676483154")</f>
        <v>3.36676483154</v>
      </c>
      <c r="F1399" s="94" t="str">
        <f>HYPERLINK(AB2 &amp; "/knife/sn_daf2098f026e292c152b5e07600b5ea7/rendering/03.obj", "2.8853012085")</f>
        <v>2.8853012085</v>
      </c>
      <c r="G1399" s="67" t="str">
        <f>HYPERLINK(AB2 &amp; "/knife/sn_daf2098f026e292c152b5e07600b5ea7/rendering/04.obj", "3.41019226074")</f>
        <v>3.41019226074</v>
      </c>
      <c r="H1399" s="39" t="str">
        <f>HYPERLINK(AB2 &amp; "/knife/sn_daf2098f026e292c152b5e07600b5ea7/rendering/05.obj", "2.85132873535")</f>
        <v>2.85132873535</v>
      </c>
      <c r="I1399" s="10" t="str">
        <f>HYPERLINK(AB2 &amp; "/knife/sn_daf2098f026e292c152b5e07600b5ea7/rendering/06.obj", "2.94274597168")</f>
        <v>2.94274597168</v>
      </c>
      <c r="J1399" s="78" t="str">
        <f>HYPERLINK(AB2 &amp; "/knife/sn_daf2098f026e292c152b5e07600b5ea7/rendering/07.obj", "3.30414672852")</f>
        <v>3.30414672852</v>
      </c>
      <c r="K1399" s="72" t="str">
        <f>HYPERLINK(AB2 &amp; "/knife/sn_daf2098f026e292c152b5e07600b5ea7/rendering/08.obj", "3.21778747559")</f>
        <v>3.21778747559</v>
      </c>
      <c r="L1399" s="44" t="str">
        <f>HYPERLINK(AB2 &amp; "/knife/sn_daf2098f026e292c152b5e07600b5ea7/rendering/09.obj", "3.73349060059")</f>
        <v>3.73349060059</v>
      </c>
      <c r="M1399" s="41" t="str">
        <f>HYPERLINK(AB2 &amp; "/knife/sn_daf2098f026e292c152b5e07600b5ea7/rendering/10.obj", "3.32561462402")</f>
        <v>3.32561462402</v>
      </c>
      <c r="N1399" s="23" t="str">
        <f>HYPERLINK(AB2 &amp; "/knife/sn_daf2098f026e292c152b5e07600b5ea7/rendering/11.obj", "2.99188293457")</f>
        <v>2.99188293457</v>
      </c>
      <c r="O1399" s="32" t="str">
        <f>HYPERLINK(AB2 &amp; "/knife/sn_daf2098f026e292c152b5e07600b5ea7/rendering/12.obj", "2.78614257813")</f>
        <v>2.78614257813</v>
      </c>
      <c r="P1399" s="76" t="str">
        <f>HYPERLINK(AB2 &amp; "/knife/sn_daf2098f026e292c152b5e07600b5ea7/rendering/13.obj", "2.54633453369")</f>
        <v>2.54633453369</v>
      </c>
      <c r="Q1399" s="69" t="str">
        <f>HYPERLINK(AB2 &amp; "/knife/sn_daf2098f026e292c152b5e07600b5ea7/rendering/14.obj", "3.20907836914")</f>
        <v>3.20907836914</v>
      </c>
      <c r="R1399" s="69" t="str">
        <f>HYPERLINK(AB2 &amp; "/knife/sn_daf2098f026e292c152b5e07600b5ea7/rendering/15.obj", "3.025078125")</f>
        <v>3.025078125</v>
      </c>
      <c r="S1399" s="10" t="str">
        <f>HYPERLINK(AB2 &amp; "/knife/sn_daf2098f026e292c152b5e07600b5ea7/rendering/16.obj", "2.94514160156")</f>
        <v>2.94514160156</v>
      </c>
      <c r="T1399" s="17" t="str">
        <f>HYPERLINK(AB2 &amp; "/knife/sn_daf2098f026e292c152b5e07600b5ea7/rendering/17.obj", "3.17801574707")</f>
        <v>3.17801574707</v>
      </c>
      <c r="U1399" s="17" t="str">
        <f>HYPERLINK(AB2 &amp; "/knife/sn_daf2098f026e292c152b5e07600b5ea7/rendering/18.obj", "3.18043304443")</f>
        <v>3.18043304443</v>
      </c>
      <c r="V1399" s="90" t="str">
        <f>HYPERLINK(AB2 &amp; "/knife/sn_daf2098f026e292c152b5e07600b5ea7/rendering/19.obj", "3.41724487305")</f>
        <v>3.41724487305</v>
      </c>
      <c r="W1399" s="12" t="s">
        <v>31</v>
      </c>
      <c r="X1399" s="13">
        <v>3.1177412567138671</v>
      </c>
      <c r="Y1399" s="13">
        <v>0.27187319122179793</v>
      </c>
      <c r="Z1399" s="39">
        <v>8.7201973748249784E-2</v>
      </c>
    </row>
    <row r="1400" spans="1:26" x14ac:dyDescent="0.2">
      <c r="A1400" s="1">
        <v>1398</v>
      </c>
      <c r="B1400" s="2" t="s">
        <v>312</v>
      </c>
      <c r="C1400" s="46" t="str">
        <f>HYPERLINK(AB2 &amp; "/knife/sn_daf2098f026e292c152b5e07600b5ea7/rendering/00.obj", "0.99185436964")</f>
        <v>0.99185436964</v>
      </c>
      <c r="D1400" s="47" t="str">
        <f>HYPERLINK(AB2 &amp; "/knife/sn_daf2098f026e292c152b5e07600b5ea7/rendering/01.obj", "0.981684029102")</f>
        <v>0.981684029102</v>
      </c>
      <c r="E1400" s="73" t="str">
        <f>HYPERLINK(AB2 &amp; "/knife/sn_daf2098f026e292c152b5e07600b5ea7/rendering/02.obj", "1.00970888138")</f>
        <v>1.00970888138</v>
      </c>
      <c r="F1400" s="83" t="str">
        <f>HYPERLINK(AB2 &amp; "/knife/sn_daf2098f026e292c152b5e07600b5ea7/rendering/03.obj", "0.825872302055")</f>
        <v>0.825872302055</v>
      </c>
      <c r="G1400" s="33" t="str">
        <f>HYPERLINK(AB2 &amp; "/knife/sn_daf2098f026e292c152b5e07600b5ea7/rendering/04.obj", "1.07884299755")</f>
        <v>1.07884299755</v>
      </c>
      <c r="H1400" s="27" t="str">
        <f>HYPERLINK(AB2 &amp; "/knife/sn_daf2098f026e292c152b5e07600b5ea7/rendering/05.obj", "1.04395759106")</f>
        <v>1.04395759106</v>
      </c>
      <c r="I1400" s="10" t="str">
        <f>HYPERLINK(AB2 &amp; "/knife/sn_daf2098f026e292c152b5e07600b5ea7/rendering/06.obj", "0.921335279942")</f>
        <v>0.921335279942</v>
      </c>
      <c r="J1400" s="35" t="str">
        <f>HYPERLINK(AB2 &amp; "/knife/sn_daf2098f026e292c152b5e07600b5ea7/rendering/07.obj", "0.916324436665")</f>
        <v>0.916324436665</v>
      </c>
      <c r="K1400" s="13" t="str">
        <f>HYPERLINK(AB2 &amp; "/knife/sn_daf2098f026e292c152b5e07600b5ea7/rendering/08.obj", "0.974742531776")</f>
        <v>0.974742531776</v>
      </c>
      <c r="L1400" s="6" t="str">
        <f>HYPERLINK(AB2 &amp; "/knife/sn_daf2098f026e292c152b5e07600b5ea7/rendering/09.obj", "0.931052625179")</f>
        <v>0.931052625179</v>
      </c>
      <c r="M1400" s="27" t="str">
        <f>HYPERLINK(AB2 &amp; "/knife/sn_daf2098f026e292c152b5e07600b5ea7/rendering/10.obj", "0.905915439129")</f>
        <v>0.905915439129</v>
      </c>
      <c r="N1400" s="26" t="str">
        <f>HYPERLINK(AB2 &amp; "/knife/sn_daf2098f026e292c152b5e07600b5ea7/rendering/11.obj", "0.911637544632")</f>
        <v>0.911637544632</v>
      </c>
      <c r="O1400" s="5" t="str">
        <f>HYPERLINK(AB2 &amp; "/knife/sn_daf2098f026e292c152b5e07600b5ea7/rendering/12.obj", "0.898740530014")</f>
        <v>0.898740530014</v>
      </c>
      <c r="P1400" s="37" t="str">
        <f>HYPERLINK(AB2 &amp; "/knife/sn_daf2098f026e292c152b5e07600b5ea7/rendering/13.obj", "1.14260303974")</f>
        <v>1.14260303974</v>
      </c>
      <c r="Q1400" s="25" t="str">
        <f>HYPERLINK(AB2 &amp; "/knife/sn_daf2098f026e292c152b5e07600b5ea7/rendering/14.obj", "0.98443877697")</f>
        <v>0.98443877697</v>
      </c>
      <c r="R1400" s="68" t="str">
        <f>HYPERLINK(AB2 &amp; "/knife/sn_daf2098f026e292c152b5e07600b5ea7/rendering/15.obj", "0.933028578758")</f>
        <v>0.933028578758</v>
      </c>
      <c r="S1400" s="109" t="str">
        <f>HYPERLINK(AB2 &amp; "/knife/sn_daf2098f026e292c152b5e07600b5ea7/rendering/16.obj", "0.787965834141")</f>
        <v>0.787965834141</v>
      </c>
      <c r="T1400" s="182" t="str">
        <f>HYPERLINK(AB2 &amp; "/knife/sn_daf2098f026e292c152b5e07600b5ea7/rendering/17.obj", "1.29995918274")</f>
        <v>1.29995918274</v>
      </c>
      <c r="U1400" s="46" t="str">
        <f>HYPERLINK(AB2 &amp; "/knife/sn_daf2098f026e292c152b5e07600b5ea7/rendering/18.obj", "0.989858210087")</f>
        <v>0.989858210087</v>
      </c>
      <c r="V1400" s="46" t="str">
        <f>HYPERLINK(AB2 &amp; "/knife/sn_daf2098f026e292c152b5e07600b5ea7/rendering/19.obj", "0.958533942699")</f>
        <v>0.958533942699</v>
      </c>
      <c r="W1400" s="12" t="s">
        <v>32</v>
      </c>
      <c r="X1400" s="13">
        <v>0.97440280616283415</v>
      </c>
      <c r="Y1400" s="13">
        <v>0.1079756153520975</v>
      </c>
      <c r="Z1400" s="28">
        <v>0.1108120940017629</v>
      </c>
    </row>
    <row r="1401" spans="1:26" x14ac:dyDescent="0.2">
      <c r="A1401" s="1">
        <v>1399</v>
      </c>
      <c r="B1401" s="2" t="s">
        <v>312</v>
      </c>
      <c r="C1401" s="13" t="str">
        <f>HYPERLINK(AC2 &amp; "/knife/sn_daf2098f026e292c152b5e07600b5ea7/rendering/00.xyz", "0.0")</f>
        <v>0.0</v>
      </c>
      <c r="D1401" s="13" t="str">
        <f>HYPERLINK(AC2 &amp; "/knife/sn_daf2098f026e292c152b5e07600b5ea7/rendering/01.xyz", "0.0")</f>
        <v>0.0</v>
      </c>
      <c r="E1401" s="13" t="str">
        <f>HYPERLINK(AC2 &amp; "/knife/sn_daf2098f026e292c152b5e07600b5ea7/rendering/02.xyz", "0.0")</f>
        <v>0.0</v>
      </c>
      <c r="F1401" s="13" t="str">
        <f>HYPERLINK(AC2 &amp; "/knife/sn_daf2098f026e292c152b5e07600b5ea7/rendering/03.xyz", "0.0")</f>
        <v>0.0</v>
      </c>
      <c r="G1401" s="13" t="str">
        <f>HYPERLINK(AC2 &amp; "/knife/sn_daf2098f026e292c152b5e07600b5ea7/rendering/04.xyz", "0.0")</f>
        <v>0.0</v>
      </c>
      <c r="H1401" s="13" t="str">
        <f>HYPERLINK(AC2 &amp; "/knife/sn_daf2098f026e292c152b5e07600b5ea7/rendering/05.xyz", "0.0")</f>
        <v>0.0</v>
      </c>
      <c r="I1401" s="13" t="str">
        <f>HYPERLINK(AC2 &amp; "/knife/sn_daf2098f026e292c152b5e07600b5ea7/rendering/06.xyz", "0.0")</f>
        <v>0.0</v>
      </c>
      <c r="J1401" s="13" t="str">
        <f>HYPERLINK(AC2 &amp; "/knife/sn_daf2098f026e292c152b5e07600b5ea7/rendering/07.xyz", "0.0")</f>
        <v>0.0</v>
      </c>
      <c r="K1401" s="13" t="str">
        <f>HYPERLINK(AC2 &amp; "/knife/sn_daf2098f026e292c152b5e07600b5ea7/rendering/08.xyz", "0.0")</f>
        <v>0.0</v>
      </c>
      <c r="L1401" s="13" t="str">
        <f>HYPERLINK(AC2 &amp; "/knife/sn_daf2098f026e292c152b5e07600b5ea7/rendering/09.xyz", "0.0")</f>
        <v>0.0</v>
      </c>
      <c r="M1401" s="13" t="str">
        <f>HYPERLINK(AC2 &amp; "/knife/sn_daf2098f026e292c152b5e07600b5ea7/rendering/10.xyz", "0.0")</f>
        <v>0.0</v>
      </c>
      <c r="N1401" s="13" t="str">
        <f>HYPERLINK(AC2 &amp; "/knife/sn_daf2098f026e292c152b5e07600b5ea7/rendering/11.xyz", "0.0")</f>
        <v>0.0</v>
      </c>
      <c r="O1401" s="13" t="str">
        <f>HYPERLINK(AC2 &amp; "/knife/sn_daf2098f026e292c152b5e07600b5ea7/rendering/12.xyz", "0.0")</f>
        <v>0.0</v>
      </c>
      <c r="P1401" s="13" t="str">
        <f>HYPERLINK(AC2 &amp; "/knife/sn_daf2098f026e292c152b5e07600b5ea7/rendering/13.xyz", "0.0")</f>
        <v>0.0</v>
      </c>
      <c r="Q1401" s="13" t="str">
        <f>HYPERLINK(AC2 &amp; "/knife/sn_daf2098f026e292c152b5e07600b5ea7/rendering/14.xyz", "0.0")</f>
        <v>0.0</v>
      </c>
      <c r="R1401" s="13" t="str">
        <f>HYPERLINK(AC2 &amp; "/knife/sn_daf2098f026e292c152b5e07600b5ea7/rendering/15.xyz", "0.0")</f>
        <v>0.0</v>
      </c>
      <c r="S1401" s="13" t="str">
        <f>HYPERLINK(AC2 &amp; "/knife/sn_daf2098f026e292c152b5e07600b5ea7/rendering/16.xyz", "0.0")</f>
        <v>0.0</v>
      </c>
      <c r="T1401" s="13" t="str">
        <f>HYPERLINK(AC2 &amp; "/knife/sn_daf2098f026e292c152b5e07600b5ea7/rendering/17.xyz", "0.0")</f>
        <v>0.0</v>
      </c>
      <c r="U1401" s="13" t="str">
        <f>HYPERLINK(AC2 &amp; "/knife/sn_daf2098f026e292c152b5e07600b5ea7/rendering/18.xyz", "0.0")</f>
        <v>0.0</v>
      </c>
      <c r="V1401" s="13" t="str">
        <f>HYPERLINK(AC2 &amp; "/knife/sn_daf2098f026e292c152b5e07600b5ea7/rendering/19.xyz", "0.0")</f>
        <v>0.0</v>
      </c>
      <c r="W1401" s="12" t="s">
        <v>33</v>
      </c>
      <c r="X1401" s="13">
        <v>0</v>
      </c>
      <c r="Y1401" s="13">
        <v>0</v>
      </c>
      <c r="Z1401" s="13">
        <v>0</v>
      </c>
    </row>
    <row r="1402" spans="1:26" x14ac:dyDescent="0.2">
      <c r="A1402" s="1">
        <v>1400</v>
      </c>
      <c r="B1402" s="2" t="s">
        <v>313</v>
      </c>
      <c r="C1402" s="67" t="str">
        <f>HYPERLINK(AA2 &amp; "/knife/sn_db33d647c8e9c8f9aa19ff1f7032d4a0/rendering/00.obj", "9.17169677734")</f>
        <v>9.17169677734</v>
      </c>
      <c r="D1402" s="157" t="str">
        <f>HYPERLINK(AA2 &amp; "/knife/sn_db33d647c8e9c8f9aa19ff1f7032d4a0/rendering/01.obj", "5.91176269531")</f>
        <v>5.91176269531</v>
      </c>
      <c r="E1402" s="113" t="str">
        <f>HYPERLINK(AA2 &amp; "/knife/sn_db33d647c8e9c8f9aa19ff1f7032d4a0/rendering/02.obj", "12.8974291992")</f>
        <v>12.8974291992</v>
      </c>
      <c r="F1402" s="210" t="str">
        <f>HYPERLINK(AA2 &amp; "/knife/sn_db33d647c8e9c8f9aa19ff1f7032d4a0/rendering/03.obj", "17.8850830078")</f>
        <v>17.8850830078</v>
      </c>
      <c r="G1402" s="116" t="str">
        <f>HYPERLINK(AA2 &amp; "/knife/sn_db33d647c8e9c8f9aa19ff1f7032d4a0/rendering/04.obj", "5.67554321289")</f>
        <v>5.67554321289</v>
      </c>
      <c r="H1402" s="44" t="str">
        <f>HYPERLINK(AA2 &amp; "/knife/sn_db33d647c8e9c8f9aa19ff1f7032d4a0/rendering/05.obj", "8.13812744141")</f>
        <v>8.13812744141</v>
      </c>
      <c r="I1402" s="20" t="str">
        <f>HYPERLINK(AA2 &amp; "/knife/sn_db33d647c8e9c8f9aa19ff1f7032d4a0/rendering/06.obj", "23.3405053711")</f>
        <v>23.3405053711</v>
      </c>
      <c r="J1402" s="54" t="str">
        <f>HYPERLINK(AA2 &amp; "/knife/sn_db33d647c8e9c8f9aa19ff1f7032d4a0/rendering/07.obj", "6.80409179688")</f>
        <v>6.80409179688</v>
      </c>
      <c r="K1402" s="89" t="str">
        <f>HYPERLINK(AA2 &amp; "/knife/sn_db33d647c8e9c8f9aa19ff1f7032d4a0/rendering/08.obj", "12.7220263672")</f>
        <v>12.7220263672</v>
      </c>
      <c r="L1402" s="52" t="str">
        <f>HYPERLINK(AA2 &amp; "/knife/sn_db33d647c8e9c8f9aa19ff1f7032d4a0/rendering/09.obj", "6.05459228516")</f>
        <v>6.05459228516</v>
      </c>
      <c r="M1402" s="50" t="str">
        <f>HYPERLINK(AA2 &amp; "/knife/sn_db33d647c8e9c8f9aa19ff1f7032d4a0/rendering/10.obj", "8.10373779297")</f>
        <v>8.10373779297</v>
      </c>
      <c r="N1402" s="108" t="str">
        <f>HYPERLINK(AA2 &amp; "/knife/sn_db33d647c8e9c8f9aa19ff1f7032d4a0/rendering/11.obj", "7.63007568359")</f>
        <v>7.63007568359</v>
      </c>
      <c r="O1402" s="191" t="str">
        <f>HYPERLINK(AA2 &amp; "/knife/sn_db33d647c8e9c8f9aa19ff1f7032d4a0/rendering/12.obj", "5.54027038574")</f>
        <v>5.54027038574</v>
      </c>
      <c r="P1402" s="78" t="str">
        <f>HYPERLINK(AA2 &amp; "/knife/sn_db33d647c8e9c8f9aa19ff1f7032d4a0/rendering/13.obj", "9.47572143555")</f>
        <v>9.47572143555</v>
      </c>
      <c r="Q1402" s="5" t="str">
        <f>HYPERLINK(AA2 &amp; "/knife/sn_db33d647c8e9c8f9aa19ff1f7032d4a0/rendering/14.obj", "10.8890759277")</f>
        <v>10.8890759277</v>
      </c>
      <c r="R1402" s="20" t="str">
        <f>HYPERLINK(AA2 &amp; "/knife/sn_db33d647c8e9c8f9aa19ff1f7032d4a0/rendering/15.obj", "18.4522241211")</f>
        <v>18.4522241211</v>
      </c>
      <c r="S1402" s="104" t="str">
        <f>HYPERLINK(AA2 &amp; "/knife/sn_db33d647c8e9c8f9aa19ff1f7032d4a0/rendering/16.obj", "5.31037841797")</f>
        <v>5.31037841797</v>
      </c>
      <c r="T1402" s="90" t="str">
        <f>HYPERLINK(AA2 &amp; "/knife/sn_db33d647c8e9c8f9aa19ff1f7032d4a0/rendering/17.obj", "9.13887756348")</f>
        <v>9.13887756348</v>
      </c>
      <c r="U1402" s="92" t="str">
        <f>HYPERLINK(AA2 &amp; "/knife/sn_db33d647c8e9c8f9aa19ff1f7032d4a0/rendering/18.obj", "8.85568725586")</f>
        <v>8.85568725586</v>
      </c>
      <c r="V1402" s="30" t="str">
        <f>HYPERLINK(AA2 &amp; "/knife/sn_db33d647c8e9c8f9aa19ff1f7032d4a0/rendering/19.obj", "10.16690979")</f>
        <v>10.16690979</v>
      </c>
      <c r="W1402" s="12" t="s">
        <v>29</v>
      </c>
      <c r="X1402" s="13">
        <v>10.108190826416021</v>
      </c>
      <c r="Y1402" s="13">
        <v>4.7262020859049878</v>
      </c>
      <c r="Z1402" s="159">
        <v>0.46756162077528968</v>
      </c>
    </row>
    <row r="1403" spans="1:26" x14ac:dyDescent="0.2">
      <c r="A1403" s="1">
        <v>1401</v>
      </c>
      <c r="B1403" s="2" t="s">
        <v>313</v>
      </c>
      <c r="C1403" s="177" t="str">
        <f>HYPERLINK(AA2 &amp; "/knife/sn_db33d647c8e9c8f9aa19ff1f7032d4a0/rendering/00.obj", "10.6211357117")</f>
        <v>10.6211357117</v>
      </c>
      <c r="D1403" s="155" t="str">
        <f>HYPERLINK(AA2 &amp; "/knife/sn_db33d647c8e9c8f9aa19ff1f7032d4a0/rendering/01.obj", "7.3815870285")</f>
        <v>7.3815870285</v>
      </c>
      <c r="E1403" s="11" t="str">
        <f>HYPERLINK(AA2 &amp; "/knife/sn_db33d647c8e9c8f9aa19ff1f7032d4a0/rendering/02.obj", "17.7078762054")</f>
        <v>17.7078762054</v>
      </c>
      <c r="F1403" s="152" t="str">
        <f>HYPERLINK(AA2 &amp; "/knife/sn_db33d647c8e9c8f9aa19ff1f7032d4a0/rendering/03.obj", "32.1119804382")</f>
        <v>32.1119804382</v>
      </c>
      <c r="G1403" s="222" t="str">
        <f>HYPERLINK(AA2 &amp; "/knife/sn_db33d647c8e9c8f9aa19ff1f7032d4a0/rendering/04.obj", "5.73465919495")</f>
        <v>5.73465919495</v>
      </c>
      <c r="H1403" s="20" t="str">
        <f>HYPERLINK(AA2 &amp; "/knife/sn_db33d647c8e9c8f9aa19ff1f7032d4a0/rendering/05.obj", "4.20580291748")</f>
        <v>4.20580291748</v>
      </c>
      <c r="I1403" s="20" t="str">
        <f>HYPERLINK(AA2 &amp; "/knife/sn_db33d647c8e9c8f9aa19ff1f7032d4a0/rendering/06.obj", "106.120391846")</f>
        <v>106.120391846</v>
      </c>
      <c r="J1403" s="178" t="str">
        <f>HYPERLINK(AA2 &amp; "/knife/sn_db33d647c8e9c8f9aa19ff1f7032d4a0/rendering/07.obj", "8.04181861877")</f>
        <v>8.04181861877</v>
      </c>
      <c r="K1403" s="20" t="str">
        <f>HYPERLINK(AA2 &amp; "/knife/sn_db33d647c8e9c8f9aa19ff1f7032d4a0/rendering/08.obj", "44.6051712036")</f>
        <v>44.6051712036</v>
      </c>
      <c r="L1403" s="204" t="str">
        <f>HYPERLINK(AA2 &amp; "/knife/sn_db33d647c8e9c8f9aa19ff1f7032d4a0/rendering/09.obj", "4.69845962524")</f>
        <v>4.69845962524</v>
      </c>
      <c r="M1403" s="241" t="str">
        <f>HYPERLINK(AA2 &amp; "/knife/sn_db33d647c8e9c8f9aa19ff1f7032d4a0/rendering/10.obj", "8.17818260193")</f>
        <v>8.17818260193</v>
      </c>
      <c r="N1403" s="177" t="str">
        <f>HYPERLINK(AA2 &amp; "/knife/sn_db33d647c8e9c8f9aa19ff1f7032d4a0/rendering/11.obj", "10.6518659592")</f>
        <v>10.6518659592</v>
      </c>
      <c r="O1403" s="204" t="str">
        <f>HYPERLINK(AA2 &amp; "/knife/sn_db33d647c8e9c8f9aa19ff1f7032d4a0/rendering/12.obj", "4.66023445129")</f>
        <v>4.66023445129</v>
      </c>
      <c r="P1403" s="92" t="str">
        <f>HYPERLINK(AA2 &amp; "/knife/sn_db33d647c8e9c8f9aa19ff1f7032d4a0/rendering/13.obj", "20.0140171051")</f>
        <v>20.0140171051</v>
      </c>
      <c r="Q1403" s="20" t="str">
        <f>HYPERLINK(AA2 &amp; "/knife/sn_db33d647c8e9c8f9aa19ff1f7032d4a0/rendering/14.obj", "43.4067268372")</f>
        <v>43.4067268372</v>
      </c>
      <c r="R1403" s="20" t="str">
        <f>HYPERLINK(AA2 &amp; "/knife/sn_db33d647c8e9c8f9aa19ff1f7032d4a0/rendering/15.obj", "78.5383148193")</f>
        <v>78.5383148193</v>
      </c>
      <c r="S1403" s="211" t="str">
        <f>HYPERLINK(AA2 &amp; "/knife/sn_db33d647c8e9c8f9aa19ff1f7032d4a0/rendering/16.obj", "5.3493771553")</f>
        <v>5.3493771553</v>
      </c>
      <c r="T1403" s="68" t="str">
        <f>HYPERLINK(AA2 &amp; "/knife/sn_db33d647c8e9c8f9aa19ff1f7032d4a0/rendering/17.obj", "21.8419570923")</f>
        <v>21.8419570923</v>
      </c>
      <c r="U1403" s="200" t="str">
        <f>HYPERLINK(AA2 &amp; "/knife/sn_db33d647c8e9c8f9aa19ff1f7032d4a0/rendering/18.obj", "11.9355783463")</f>
        <v>11.9355783463</v>
      </c>
      <c r="V1403" s="174" t="str">
        <f>HYPERLINK(AA2 &amp; "/knife/sn_db33d647c8e9c8f9aa19ff1f7032d4a0/rendering/19.obj", "10.8657531738")</f>
        <v>10.8657531738</v>
      </c>
      <c r="W1403" s="12" t="s">
        <v>30</v>
      </c>
      <c r="X1403" s="13">
        <v>22.833544516563411</v>
      </c>
      <c r="Y1403" s="13">
        <v>26.357497703868159</v>
      </c>
      <c r="Z1403" s="20">
        <v>1.1543322888283281</v>
      </c>
    </row>
    <row r="1404" spans="1:26" x14ac:dyDescent="0.2">
      <c r="A1404" s="1">
        <v>1402</v>
      </c>
      <c r="B1404" s="2" t="s">
        <v>313</v>
      </c>
      <c r="C1404" s="50" t="str">
        <f>HYPERLINK(AB2 &amp; "/knife/sn_db33d647c8e9c8f9aa19ff1f7032d4a0/rendering/00.obj", "7.16730957031")</f>
        <v>7.16730957031</v>
      </c>
      <c r="D1404" s="60" t="str">
        <f>HYPERLINK(AB2 &amp; "/knife/sn_db33d647c8e9c8f9aa19ff1f7032d4a0/rendering/01.obj", "6.28467956543")</f>
        <v>6.28467956543</v>
      </c>
      <c r="E1404" s="121" t="str">
        <f>HYPERLINK(AB2 &amp; "/knife/sn_db33d647c8e9c8f9aa19ff1f7032d4a0/rendering/02.obj", "8.07811523437")</f>
        <v>8.07811523437</v>
      </c>
      <c r="F1404" s="49" t="str">
        <f>HYPERLINK(AB2 &amp; "/knife/sn_db33d647c8e9c8f9aa19ff1f7032d4a0/rendering/03.obj", "7.22313110352")</f>
        <v>7.22313110352</v>
      </c>
      <c r="G1404" s="39" t="str">
        <f>HYPERLINK(AB2 &amp; "/knife/sn_db33d647c8e9c8f9aa19ff1f7032d4a0/rendering/04.obj", "5.46788146973")</f>
        <v>5.46788146973</v>
      </c>
      <c r="H1404" s="177" t="str">
        <f>HYPERLINK(AB2 &amp; "/knife/sn_db33d647c8e9c8f9aa19ff1f7032d4a0/rendering/05.obj", "9.16511535645")</f>
        <v>9.16511535645</v>
      </c>
      <c r="I1404" s="142" t="str">
        <f>HYPERLINK(AB2 &amp; "/knife/sn_db33d647c8e9c8f9aa19ff1f7032d4a0/rendering/06.obj", "8.32998779297")</f>
        <v>8.32998779297</v>
      </c>
      <c r="J1404" s="46" t="str">
        <f>HYPERLINK(AB2 &amp; "/knife/sn_db33d647c8e9c8f9aa19ff1f7032d4a0/rendering/07.obj", "5.87300170898")</f>
        <v>5.87300170898</v>
      </c>
      <c r="K1404" s="8" t="str">
        <f>HYPERLINK(AB2 &amp; "/knife/sn_db33d647c8e9c8f9aa19ff1f7032d4a0/rendering/08.obj", "5.11880706787")</f>
        <v>5.11880706787</v>
      </c>
      <c r="L1404" s="133" t="str">
        <f>HYPERLINK(AB2 &amp; "/knife/sn_db33d647c8e9c8f9aa19ff1f7032d4a0/rendering/09.obj", "5.35993286133")</f>
        <v>5.35993286133</v>
      </c>
      <c r="M1404" s="14" t="str">
        <f>HYPERLINK(AB2 &amp; "/knife/sn_db33d647c8e9c8f9aa19ff1f7032d4a0/rendering/10.obj", "4.23863952637")</f>
        <v>4.23863952637</v>
      </c>
      <c r="N1404" s="133" t="str">
        <f>HYPERLINK(AB2 &amp; "/knife/sn_db33d647c8e9c8f9aa19ff1f7032d4a0/rendering/11.obj", "5.36048461914")</f>
        <v>5.36048461914</v>
      </c>
      <c r="O1404" s="192" t="str">
        <f>HYPERLINK(AB2 &amp; "/knife/sn_db33d647c8e9c8f9aa19ff1f7032d4a0/rendering/12.obj", "3.74469604492")</f>
        <v>3.74469604492</v>
      </c>
      <c r="P1404" s="24" t="str">
        <f>HYPERLINK(AB2 &amp; "/knife/sn_db33d647c8e9c8f9aa19ff1f7032d4a0/rendering/13.obj", "4.96671691895")</f>
        <v>4.96671691895</v>
      </c>
      <c r="Q1404" s="98" t="str">
        <f>HYPERLINK(AB2 &amp; "/knife/sn_db33d647c8e9c8f9aa19ff1f7032d4a0/rendering/14.obj", "7.34996826172")</f>
        <v>7.34996826172</v>
      </c>
      <c r="R1404" s="78" t="str">
        <f>HYPERLINK(AB2 &amp; "/knife/sn_db33d647c8e9c8f9aa19ff1f7032d4a0/rendering/15.obj", "5.60528076172")</f>
        <v>5.60528076172</v>
      </c>
      <c r="S1404" s="158" t="str">
        <f>HYPERLINK(AB2 &amp; "/knife/sn_db33d647c8e9c8f9aa19ff1f7032d4a0/rendering/16.obj", "3.53820037842")</f>
        <v>3.53820037842</v>
      </c>
      <c r="T1404" s="59" t="str">
        <f>HYPERLINK(AB2 &amp; "/knife/sn_db33d647c8e9c8f9aa19ff1f7032d4a0/rendering/17.obj", "4.53485198975")</f>
        <v>4.53485198975</v>
      </c>
      <c r="U1404" s="37" t="str">
        <f>HYPERLINK(AB2 &amp; "/knife/sn_db33d647c8e9c8f9aa19ff1f7032d4a0/rendering/18.obj", "4.93490081787")</f>
        <v>4.93490081787</v>
      </c>
      <c r="V1404" s="50" t="str">
        <f>HYPERLINK(AB2 &amp; "/knife/sn_db33d647c8e9c8f9aa19ff1f7032d4a0/rendering/19.obj", "7.16218200684")</f>
        <v>7.16218200684</v>
      </c>
      <c r="W1404" s="12" t="s">
        <v>31</v>
      </c>
      <c r="X1404" s="13">
        <v>5.9751941528320307</v>
      </c>
      <c r="Y1404" s="13">
        <v>1.5250262538965369</v>
      </c>
      <c r="Z1404" s="135">
        <v>0.25522622610910939</v>
      </c>
    </row>
    <row r="1405" spans="1:26" x14ac:dyDescent="0.2">
      <c r="A1405" s="1">
        <v>1403</v>
      </c>
      <c r="B1405" s="2" t="s">
        <v>313</v>
      </c>
      <c r="C1405" s="90" t="str">
        <f>HYPERLINK(AB2 &amp; "/knife/sn_db33d647c8e9c8f9aa19ff1f7032d4a0/rendering/00.obj", "4.70204973221")</f>
        <v>4.70204973221</v>
      </c>
      <c r="D1405" s="20" t="str">
        <f>HYPERLINK(AB2 &amp; "/knife/sn_db33d647c8e9c8f9aa19ff1f7032d4a0/rendering/01.obj", "8.03155040741")</f>
        <v>8.03155040741</v>
      </c>
      <c r="E1405" s="203" t="str">
        <f>HYPERLINK(AB2 &amp; "/knife/sn_db33d647c8e9c8f9aa19ff1f7032d4a0/rendering/02.obj", "6.28270149231")</f>
        <v>6.28270149231</v>
      </c>
      <c r="F1405" s="26" t="str">
        <f>HYPERLINK(AB2 &amp; "/knife/sn_db33d647c8e9c8f9aa19ff1f7032d4a0/rendering/03.obj", "4.56755304337")</f>
        <v>4.56755304337</v>
      </c>
      <c r="G1405" s="52" t="str">
        <f>HYPERLINK(AB2 &amp; "/knife/sn_db33d647c8e9c8f9aa19ff1f7032d4a0/rendering/04.obj", "2.57313585281")</f>
        <v>2.57313585281</v>
      </c>
      <c r="H1405" s="175" t="str">
        <f>HYPERLINK(AB2 &amp; "/knife/sn_db33d647c8e9c8f9aa19ff1f7032d4a0/rendering/05.obj", "3.27764153481")</f>
        <v>3.27764153481</v>
      </c>
      <c r="I1405" s="67" t="str">
        <f>HYPERLINK(AB2 &amp; "/knife/sn_db33d647c8e9c8f9aa19ff1f7032d4a0/rendering/06.obj", "4.68310499191")</f>
        <v>4.68310499191</v>
      </c>
      <c r="J1405" s="115" t="str">
        <f>HYPERLINK(AB2 &amp; "/knife/sn_db33d647c8e9c8f9aa19ff1f7032d4a0/rendering/07.obj", "7.02208614349")</f>
        <v>7.02208614349</v>
      </c>
      <c r="K1405" s="54" t="str">
        <f>HYPERLINK(AB2 &amp; "/knife/sn_db33d647c8e9c8f9aa19ff1f7032d4a0/rendering/08.obj", "2.88020801544")</f>
        <v>2.88020801544</v>
      </c>
      <c r="L1405" s="175" t="str">
        <f>HYPERLINK(AB2 &amp; "/knife/sn_db33d647c8e9c8f9aa19ff1f7032d4a0/rendering/09.obj", "5.28267478943")</f>
        <v>5.28267478943</v>
      </c>
      <c r="M1405" s="102" t="str">
        <f>HYPERLINK(AB2 &amp; "/knife/sn_db33d647c8e9c8f9aa19ff1f7032d4a0/rendering/10.obj", "2.15421414375")</f>
        <v>2.15421414375</v>
      </c>
      <c r="N1405" s="193" t="str">
        <f>HYPERLINK(AB2 &amp; "/knife/sn_db33d647c8e9c8f9aa19ff1f7032d4a0/rendering/11.obj", "2.86580777168")</f>
        <v>2.86580777168</v>
      </c>
      <c r="O1405" s="96" t="str">
        <f>HYPERLINK(AB2 &amp; "/knife/sn_db33d647c8e9c8f9aa19ff1f7032d4a0/rendering/12.obj", "2.72744131088")</f>
        <v>2.72744131088</v>
      </c>
      <c r="P1405" s="223" t="str">
        <f>HYPERLINK(AB2 &amp; "/knife/sn_db33d647c8e9c8f9aa19ff1f7032d4a0/rendering/13.obj", "1.88136684895")</f>
        <v>1.88136684895</v>
      </c>
      <c r="Q1405" s="20" t="str">
        <f>HYPERLINK(AB2 &amp; "/knife/sn_db33d647c8e9c8f9aa19ff1f7032d4a0/rendering/14.obj", "8.03345584869")</f>
        <v>8.03345584869</v>
      </c>
      <c r="R1405" s="196" t="str">
        <f>HYPERLINK(AB2 &amp; "/knife/sn_db33d647c8e9c8f9aa19ff1f7032d4a0/rendering/15.obj", "5.98010540009")</f>
        <v>5.98010540009</v>
      </c>
      <c r="S1405" s="114" t="str">
        <f>HYPERLINK(AB2 &amp; "/knife/sn_db33d647c8e9c8f9aa19ff1f7032d4a0/rendering/16.obj", "2.31221532822")</f>
        <v>2.31221532822</v>
      </c>
      <c r="T1405" s="99" t="str">
        <f>HYPERLINK(AB2 &amp; "/knife/sn_db33d647c8e9c8f9aa19ff1f7032d4a0/rendering/17.obj", "3.12628149986")</f>
        <v>3.12628149986</v>
      </c>
      <c r="U1405" s="89" t="str">
        <f>HYPERLINK(AB2 &amp; "/knife/sn_db33d647c8e9c8f9aa19ff1f7032d4a0/rendering/18.obj", "3.17579436302")</f>
        <v>3.17579436302</v>
      </c>
      <c r="V1405" s="69" t="str">
        <f>HYPERLINK(AB2 &amp; "/knife/sn_db33d647c8e9c8f9aa19ff1f7032d4a0/rendering/19.obj", "4.15573787689")</f>
        <v>4.15573787689</v>
      </c>
      <c r="W1405" s="12" t="s">
        <v>32</v>
      </c>
      <c r="X1405" s="13">
        <v>4.2857563197612762</v>
      </c>
      <c r="Y1405" s="13">
        <v>1.8842642294103009</v>
      </c>
      <c r="Z1405" s="163">
        <v>0.43965734139435581</v>
      </c>
    </row>
    <row r="1406" spans="1:26" x14ac:dyDescent="0.2">
      <c r="A1406" s="1">
        <v>1404</v>
      </c>
      <c r="B1406" s="2" t="s">
        <v>313</v>
      </c>
      <c r="C1406" s="13" t="str">
        <f>HYPERLINK(AC2 &amp; "/knife/sn_db33d647c8e9c8f9aa19ff1f7032d4a0/rendering/00.xyz", "0.0")</f>
        <v>0.0</v>
      </c>
      <c r="D1406" s="13" t="str">
        <f>HYPERLINK(AC2 &amp; "/knife/sn_db33d647c8e9c8f9aa19ff1f7032d4a0/rendering/01.xyz", "0.0")</f>
        <v>0.0</v>
      </c>
      <c r="E1406" s="13" t="str">
        <f>HYPERLINK(AC2 &amp; "/knife/sn_db33d647c8e9c8f9aa19ff1f7032d4a0/rendering/02.xyz", "0.0")</f>
        <v>0.0</v>
      </c>
      <c r="F1406" s="13" t="str">
        <f>HYPERLINK(AC2 &amp; "/knife/sn_db33d647c8e9c8f9aa19ff1f7032d4a0/rendering/03.xyz", "0.0")</f>
        <v>0.0</v>
      </c>
      <c r="G1406" s="13" t="str">
        <f>HYPERLINK(AC2 &amp; "/knife/sn_db33d647c8e9c8f9aa19ff1f7032d4a0/rendering/04.xyz", "0.0")</f>
        <v>0.0</v>
      </c>
      <c r="H1406" s="13" t="str">
        <f>HYPERLINK(AC2 &amp; "/knife/sn_db33d647c8e9c8f9aa19ff1f7032d4a0/rendering/05.xyz", "0.0")</f>
        <v>0.0</v>
      </c>
      <c r="I1406" s="13" t="str">
        <f>HYPERLINK(AC2 &amp; "/knife/sn_db33d647c8e9c8f9aa19ff1f7032d4a0/rendering/06.xyz", "0.0")</f>
        <v>0.0</v>
      </c>
      <c r="J1406" s="13" t="str">
        <f>HYPERLINK(AC2 &amp; "/knife/sn_db33d647c8e9c8f9aa19ff1f7032d4a0/rendering/07.xyz", "0.0")</f>
        <v>0.0</v>
      </c>
      <c r="K1406" s="13" t="str">
        <f>HYPERLINK(AC2 &amp; "/knife/sn_db33d647c8e9c8f9aa19ff1f7032d4a0/rendering/08.xyz", "0.0")</f>
        <v>0.0</v>
      </c>
      <c r="L1406" s="13" t="str">
        <f>HYPERLINK(AC2 &amp; "/knife/sn_db33d647c8e9c8f9aa19ff1f7032d4a0/rendering/09.xyz", "0.0")</f>
        <v>0.0</v>
      </c>
      <c r="M1406" s="13" t="str">
        <f>HYPERLINK(AC2 &amp; "/knife/sn_db33d647c8e9c8f9aa19ff1f7032d4a0/rendering/10.xyz", "0.0")</f>
        <v>0.0</v>
      </c>
      <c r="N1406" s="13" t="str">
        <f>HYPERLINK(AC2 &amp; "/knife/sn_db33d647c8e9c8f9aa19ff1f7032d4a0/rendering/11.xyz", "0.0")</f>
        <v>0.0</v>
      </c>
      <c r="O1406" s="13" t="str">
        <f>HYPERLINK(AC2 &amp; "/knife/sn_db33d647c8e9c8f9aa19ff1f7032d4a0/rendering/12.xyz", "0.0")</f>
        <v>0.0</v>
      </c>
      <c r="P1406" s="13" t="str">
        <f>HYPERLINK(AC2 &amp; "/knife/sn_db33d647c8e9c8f9aa19ff1f7032d4a0/rendering/13.xyz", "0.0")</f>
        <v>0.0</v>
      </c>
      <c r="Q1406" s="13" t="str">
        <f>HYPERLINK(AC2 &amp; "/knife/sn_db33d647c8e9c8f9aa19ff1f7032d4a0/rendering/14.xyz", "0.0")</f>
        <v>0.0</v>
      </c>
      <c r="R1406" s="13" t="str">
        <f>HYPERLINK(AC2 &amp; "/knife/sn_db33d647c8e9c8f9aa19ff1f7032d4a0/rendering/15.xyz", "0.0")</f>
        <v>0.0</v>
      </c>
      <c r="S1406" s="13" t="str">
        <f>HYPERLINK(AC2 &amp; "/knife/sn_db33d647c8e9c8f9aa19ff1f7032d4a0/rendering/16.xyz", "0.0")</f>
        <v>0.0</v>
      </c>
      <c r="T1406" s="13" t="str">
        <f>HYPERLINK(AC2 &amp; "/knife/sn_db33d647c8e9c8f9aa19ff1f7032d4a0/rendering/17.xyz", "0.0")</f>
        <v>0.0</v>
      </c>
      <c r="U1406" s="13" t="str">
        <f>HYPERLINK(AC2 &amp; "/knife/sn_db33d647c8e9c8f9aa19ff1f7032d4a0/rendering/18.xyz", "0.0")</f>
        <v>0.0</v>
      </c>
      <c r="V1406" s="13" t="str">
        <f>HYPERLINK(AC2 &amp; "/knife/sn_db33d647c8e9c8f9aa19ff1f7032d4a0/rendering/19.xyz", "0.0")</f>
        <v>0.0</v>
      </c>
      <c r="W1406" s="12" t="s">
        <v>33</v>
      </c>
      <c r="X1406" s="13">
        <v>0</v>
      </c>
      <c r="Y1406" s="13">
        <v>0</v>
      </c>
      <c r="Z1406" s="13">
        <v>0</v>
      </c>
    </row>
    <row r="1407" spans="1:26" x14ac:dyDescent="0.2">
      <c r="A1407" s="1">
        <v>1405</v>
      </c>
      <c r="B1407" s="2" t="s">
        <v>314</v>
      </c>
      <c r="C1407" s="20" t="str">
        <f>HYPERLINK(AA2 &amp; "/knife/sn_dce941899bcb752dfe474f09e3f3ac9a/rendering/00.obj", "16.8838000488")</f>
        <v>16.8838000488</v>
      </c>
      <c r="D1407" s="131" t="str">
        <f>HYPERLINK(AA2 &amp; "/knife/sn_dce941899bcb752dfe474f09e3f3ac9a/rendering/01.obj", "3.47356445313")</f>
        <v>3.47356445313</v>
      </c>
      <c r="E1407" s="150" t="str">
        <f>HYPERLINK(AA2 &amp; "/knife/sn_dce941899bcb752dfe474f09e3f3ac9a/rendering/02.obj", "2.98361907959")</f>
        <v>2.98361907959</v>
      </c>
      <c r="F1407" s="127" t="str">
        <f>HYPERLINK(AA2 &amp; "/knife/sn_dce941899bcb752dfe474f09e3f3ac9a/rendering/03.obj", "3.10805786133")</f>
        <v>3.10805786133</v>
      </c>
      <c r="G1407" s="79" t="str">
        <f>HYPERLINK(AA2 &amp; "/knife/sn_dce941899bcb752dfe474f09e3f3ac9a/rendering/04.obj", "7.49871948242")</f>
        <v>7.49871948242</v>
      </c>
      <c r="H1407" s="121" t="str">
        <f>HYPERLINK(AA2 &amp; "/knife/sn_dce941899bcb752dfe474f09e3f3ac9a/rendering/05.obj", "4.19000091553")</f>
        <v>4.19000091553</v>
      </c>
      <c r="I1407" s="20" t="str">
        <f>HYPERLINK(AA2 &amp; "/knife/sn_dce941899bcb752dfe474f09e3f3ac9a/rendering/06.obj", "22.0701831055")</f>
        <v>22.0701831055</v>
      </c>
      <c r="J1407" s="157" t="str">
        <f>HYPERLINK(AA2 &amp; "/knife/sn_dce941899bcb752dfe474f09e3f3ac9a/rendering/07.obj", "3.77249145508")</f>
        <v>3.77249145508</v>
      </c>
      <c r="K1407" s="20" t="str">
        <f>HYPERLINK(AA2 &amp; "/knife/sn_dce941899bcb752dfe474f09e3f3ac9a/rendering/08.obj", "15.0417077637")</f>
        <v>15.0417077637</v>
      </c>
      <c r="L1407" s="166" t="str">
        <f>HYPERLINK(AA2 &amp; "/knife/sn_dce941899bcb752dfe474f09e3f3ac9a/rendering/09.obj", "8.34111694336")</f>
        <v>8.34111694336</v>
      </c>
      <c r="M1407" s="103" t="str">
        <f>HYPERLINK(AA2 &amp; "/knife/sn_dce941899bcb752dfe474f09e3f3ac9a/rendering/10.obj", "4.36684692383")</f>
        <v>4.36684692383</v>
      </c>
      <c r="N1407" s="102" t="str">
        <f>HYPERLINK(AA2 &amp; "/knife/sn_dce941899bcb752dfe474f09e3f3ac9a/rendering/11.obj", "3.25126434326")</f>
        <v>3.25126434326</v>
      </c>
      <c r="O1407" s="14" t="str">
        <f>HYPERLINK(AA2 &amp; "/knife/sn_dce941899bcb752dfe474f09e3f3ac9a/rendering/12.obj", "4.5909262085")</f>
        <v>4.5909262085</v>
      </c>
      <c r="P1407" s="79" t="str">
        <f>HYPERLINK(AA2 &amp; "/knife/sn_dce941899bcb752dfe474f09e3f3ac9a/rendering/13.obj", "5.45266113281")</f>
        <v>5.45266113281</v>
      </c>
      <c r="Q1407" s="196" t="str">
        <f>HYPERLINK(AA2 &amp; "/knife/sn_dce941899bcb752dfe474f09e3f3ac9a/rendering/14.obj", "3.89870910645")</f>
        <v>3.89870910645</v>
      </c>
      <c r="R1407" s="166" t="str">
        <f>HYPERLINK(AA2 &amp; "/knife/sn_dce941899bcb752dfe474f09e3f3ac9a/rendering/15.obj", "4.61409088135")</f>
        <v>4.61409088135</v>
      </c>
      <c r="S1407" s="176" t="str">
        <f>HYPERLINK(AA2 &amp; "/knife/sn_dce941899bcb752dfe474f09e3f3ac9a/rendering/16.obj", "4.41091033936")</f>
        <v>4.41091033936</v>
      </c>
      <c r="T1407" s="149" t="str">
        <f>HYPERLINK(AA2 &amp; "/knife/sn_dce941899bcb752dfe474f09e3f3ac9a/rendering/17.obj", "4.25865966797")</f>
        <v>4.25865966797</v>
      </c>
      <c r="U1407" s="100" t="str">
        <f>HYPERLINK(AA2 &amp; "/knife/sn_dce941899bcb752dfe474f09e3f3ac9a/rendering/18.obj", "4.53859375")</f>
        <v>4.53859375</v>
      </c>
      <c r="V1407" s="18" t="str">
        <f>HYPERLINK(AA2 &amp; "/knife/sn_dce941899bcb752dfe474f09e3f3ac9a/rendering/19.obj", "2.71698242188")</f>
        <v>2.71698242188</v>
      </c>
      <c r="W1407" s="12" t="s">
        <v>29</v>
      </c>
      <c r="X1407" s="13">
        <v>6.4731452941894529</v>
      </c>
      <c r="Y1407" s="13">
        <v>5.1531933573055992</v>
      </c>
      <c r="Z1407" s="204">
        <v>0.79608801024925335</v>
      </c>
    </row>
    <row r="1408" spans="1:26" x14ac:dyDescent="0.2">
      <c r="A1408" s="1">
        <v>1406</v>
      </c>
      <c r="B1408" s="2" t="s">
        <v>314</v>
      </c>
      <c r="C1408" s="20" t="str">
        <f>HYPERLINK(AA2 &amp; "/knife/sn_dce941899bcb752dfe474f09e3f3ac9a/rendering/00.obj", "26.608127594")</f>
        <v>26.608127594</v>
      </c>
      <c r="D1408" s="20" t="str">
        <f>HYPERLINK(AA2 &amp; "/knife/sn_dce941899bcb752dfe474f09e3f3ac9a/rendering/01.obj", "1.54927039146")</f>
        <v>1.54927039146</v>
      </c>
      <c r="E1408" s="20" t="str">
        <f>HYPERLINK(AA2 &amp; "/knife/sn_dce941899bcb752dfe474f09e3f3ac9a/rendering/02.obj", "1.06507492065")</f>
        <v>1.06507492065</v>
      </c>
      <c r="F1408" s="20" t="str">
        <f>HYPERLINK(AA2 &amp; "/knife/sn_dce941899bcb752dfe474f09e3f3ac9a/rendering/03.obj", "1.2095553875")</f>
        <v>1.2095553875</v>
      </c>
      <c r="G1408" s="227" t="str">
        <f>HYPERLINK(AA2 &amp; "/knife/sn_dce941899bcb752dfe474f09e3f3ac9a/rendering/04.obj", "4.18527126312")</f>
        <v>4.18527126312</v>
      </c>
      <c r="H1408" s="20" t="str">
        <f>HYPERLINK(AA2 &amp; "/knife/sn_dce941899bcb752dfe474f09e3f3ac9a/rendering/05.obj", "1.43819749355")</f>
        <v>1.43819749355</v>
      </c>
      <c r="I1408" s="20" t="str">
        <f>HYPERLINK(AA2 &amp; "/knife/sn_dce941899bcb752dfe474f09e3f3ac9a/rendering/06.obj", "66.3007202148")</f>
        <v>66.3007202148</v>
      </c>
      <c r="J1408" s="188" t="str">
        <f>HYPERLINK(AA2 &amp; "/knife/sn_dce941899bcb752dfe474f09e3f3ac9a/rendering/07.obj", "2.43045949936")</f>
        <v>2.43045949936</v>
      </c>
      <c r="K1408" s="20" t="str">
        <f>HYPERLINK(AA2 &amp; "/knife/sn_dce941899bcb752dfe474f09e3f3ac9a/rendering/08.obj", "34.3947753906")</f>
        <v>34.3947753906</v>
      </c>
      <c r="L1408" s="16" t="str">
        <f>HYPERLINK(AA2 &amp; "/knife/sn_dce941899bcb752dfe474f09e3f3ac9a/rendering/09.obj", "3.91092705727")</f>
        <v>3.91092705727</v>
      </c>
      <c r="M1408" s="242" t="str">
        <f>HYPERLINK(AA2 &amp; "/knife/sn_dce941899bcb752dfe474f09e3f3ac9a/rendering/10.obj", "2.29430365562")</f>
        <v>2.29430365562</v>
      </c>
      <c r="N1408" s="210" t="str">
        <f>HYPERLINK(AA2 &amp; "/knife/sn_dce941899bcb752dfe474f09e3f3ac9a/rendering/11.obj", "1.97173154354")</f>
        <v>1.97173154354</v>
      </c>
      <c r="O1408" s="192" t="str">
        <f>HYPERLINK(AA2 &amp; "/knife/sn_dce941899bcb752dfe474f09e3f3ac9a/rendering/12.obj", "5.36796331406")</f>
        <v>5.36796331406</v>
      </c>
      <c r="P1408" s="247" t="str">
        <f>HYPERLINK(AA2 &amp; "/knife/sn_dce941899bcb752dfe474f09e3f3ac9a/rendering/13.obj", "2.09665226936")</f>
        <v>2.09665226936</v>
      </c>
      <c r="Q1408" s="9" t="str">
        <f>HYPERLINK(AA2 &amp; "/knife/sn_dce941899bcb752dfe474f09e3f3ac9a/rendering/14.obj", "2.92256116867")</f>
        <v>2.92256116867</v>
      </c>
      <c r="R1408" s="125" t="str">
        <f>HYPERLINK(AA2 &amp; "/knife/sn_dce941899bcb752dfe474f09e3f3ac9a/rendering/15.obj", "2.46374869347")</f>
        <v>2.46374869347</v>
      </c>
      <c r="S1408" s="225" t="str">
        <f>HYPERLINK(AA2 &amp; "/knife/sn_dce941899bcb752dfe474f09e3f3ac9a/rendering/16.obj", "3.68741297722")</f>
        <v>3.68741297722</v>
      </c>
      <c r="T1408" s="209" t="str">
        <f>HYPERLINK(AA2 &amp; "/knife/sn_dce941899bcb752dfe474f09e3f3ac9a/rendering/17.obj", "2.07630372047")</f>
        <v>2.07630372047</v>
      </c>
      <c r="U1408" s="160" t="str">
        <f>HYPERLINK(AA2 &amp; "/knife/sn_dce941899bcb752dfe474f09e3f3ac9a/rendering/18.obj", "4.03013515472")</f>
        <v>4.03013515472</v>
      </c>
      <c r="V1408" s="20" t="str">
        <f>HYPERLINK(AA2 &amp; "/knife/sn_dce941899bcb752dfe474f09e3f3ac9a/rendering/19.obj", "1.1734970808")</f>
        <v>1.1734970808</v>
      </c>
      <c r="W1408" s="12" t="s">
        <v>30</v>
      </c>
      <c r="X1408" s="13">
        <v>8.5588344395160671</v>
      </c>
      <c r="Y1408" s="13">
        <v>15.748002606912589</v>
      </c>
      <c r="Z1408" s="20">
        <v>1.8399704677314701</v>
      </c>
    </row>
    <row r="1409" spans="1:26" x14ac:dyDescent="0.2">
      <c r="A1409" s="1">
        <v>1407</v>
      </c>
      <c r="B1409" s="2" t="s">
        <v>314</v>
      </c>
      <c r="C1409" s="51" t="str">
        <f>HYPERLINK(AB2 &amp; "/knife/sn_dce941899bcb752dfe474f09e3f3ac9a/rendering/00.obj", "3.28323699951")</f>
        <v>3.28323699951</v>
      </c>
      <c r="D1409" s="117" t="str">
        <f>HYPERLINK(AB2 &amp; "/knife/sn_dce941899bcb752dfe474f09e3f3ac9a/rendering/01.obj", "2.93872192383")</f>
        <v>2.93872192383</v>
      </c>
      <c r="E1409" s="28" t="str">
        <f>HYPERLINK(AB2 &amp; "/knife/sn_dce941899bcb752dfe474f09e3f3ac9a/rendering/02.obj", "3.17745239258")</f>
        <v>3.17745239258</v>
      </c>
      <c r="F1409" s="55" t="str">
        <f>HYPERLINK(AB2 &amp; "/knife/sn_dce941899bcb752dfe474f09e3f3ac9a/rendering/03.obj", "2.8791015625")</f>
        <v>2.8791015625</v>
      </c>
      <c r="G1409" s="5" t="str">
        <f>HYPERLINK(AB2 &amp; "/knife/sn_dce941899bcb752dfe474f09e3f3ac9a/rendering/04.obj", "3.84403015137")</f>
        <v>3.84403015137</v>
      </c>
      <c r="H1409" s="48" t="str">
        <f>HYPERLINK(AB2 &amp; "/knife/sn_dce941899bcb752dfe474f09e3f3ac9a/rendering/05.obj", "3.48542236328")</f>
        <v>3.48542236328</v>
      </c>
      <c r="I1409" s="20" t="str">
        <f>HYPERLINK(AB2 &amp; "/knife/sn_dce941899bcb752dfe474f09e3f3ac9a/rendering/06.obj", "8.50507751465")</f>
        <v>8.50507751465</v>
      </c>
      <c r="J1409" s="120" t="str">
        <f>HYPERLINK(AB2 &amp; "/knife/sn_dce941899bcb752dfe474f09e3f3ac9a/rendering/07.obj", "2.82252563477")</f>
        <v>2.82252563477</v>
      </c>
      <c r="K1409" s="6" t="str">
        <f>HYPERLINK(AB2 &amp; "/knife/sn_dce941899bcb752dfe474f09e3f3ac9a/rendering/08.obj", "3.41059967041")</f>
        <v>3.41059967041</v>
      </c>
      <c r="L1409" s="91" t="str">
        <f>HYPERLINK(AB2 &amp; "/knife/sn_dce941899bcb752dfe474f09e3f3ac9a/rendering/09.obj", "3.48340118408")</f>
        <v>3.48340118408</v>
      </c>
      <c r="M1409" s="40" t="str">
        <f>HYPERLINK(AB2 &amp; "/knife/sn_dce941899bcb752dfe474f09e3f3ac9a/rendering/10.obj", "2.95821258545")</f>
        <v>2.95821258545</v>
      </c>
      <c r="N1409" s="60" t="str">
        <f>HYPERLINK(AB2 &amp; "/knife/sn_dce941899bcb752dfe474f09e3f3ac9a/rendering/11.obj", "3.39287475586")</f>
        <v>3.39287475586</v>
      </c>
      <c r="O1409" s="30" t="str">
        <f>HYPERLINK(AB2 &amp; "/knife/sn_dce941899bcb752dfe474f09e3f3ac9a/rendering/12.obj", "3.58982910156")</f>
        <v>3.58982910156</v>
      </c>
      <c r="P1409" s="69" t="str">
        <f>HYPERLINK(AB2 &amp; "/knife/sn_dce941899bcb752dfe474f09e3f3ac9a/rendering/13.obj", "3.68459136963")</f>
        <v>3.68459136963</v>
      </c>
      <c r="Q1409" s="41" t="str">
        <f>HYPERLINK(AB2 &amp; "/knife/sn_dce941899bcb752dfe474f09e3f3ac9a/rendering/14.obj", "3.3374206543")</f>
        <v>3.3374206543</v>
      </c>
      <c r="R1409" s="51" t="str">
        <f>HYPERLINK(AB2 &amp; "/knife/sn_dce941899bcb752dfe474f09e3f3ac9a/rendering/15.obj", "3.28503723145")</f>
        <v>3.28503723145</v>
      </c>
      <c r="S1409" s="47" t="str">
        <f>HYPERLINK(AB2 &amp; "/knife/sn_dce941899bcb752dfe474f09e3f3ac9a/rendering/16.obj", "3.597996521")</f>
        <v>3.597996521</v>
      </c>
      <c r="T1409" s="68" t="str">
        <f>HYPERLINK(AB2 &amp; "/knife/sn_dce941899bcb752dfe474f09e3f3ac9a/rendering/17.obj", "3.728828125")</f>
        <v>3.728828125</v>
      </c>
      <c r="U1409" s="79" t="str">
        <f>HYPERLINK(AB2 &amp; "/knife/sn_dce941899bcb752dfe474f09e3f3ac9a/rendering/18.obj", "3.00481750488")</f>
        <v>3.00481750488</v>
      </c>
      <c r="V1409" s="93" t="str">
        <f>HYPERLINK(AB2 &amp; "/knife/sn_dce941899bcb752dfe474f09e3f3ac9a/rendering/19.obj", "3.07023864746")</f>
        <v>3.07023864746</v>
      </c>
      <c r="W1409" s="12" t="s">
        <v>31</v>
      </c>
      <c r="X1409" s="13">
        <v>3.5739707946777339</v>
      </c>
      <c r="Y1409" s="13">
        <v>1.1681268557337401</v>
      </c>
      <c r="Z1409" s="54">
        <v>0.32684286549663039</v>
      </c>
    </row>
    <row r="1410" spans="1:26" x14ac:dyDescent="0.2">
      <c r="A1410" s="1">
        <v>1408</v>
      </c>
      <c r="B1410" s="2" t="s">
        <v>314</v>
      </c>
      <c r="C1410" s="32" t="str">
        <f>HYPERLINK(AB2 &amp; "/knife/sn_dce941899bcb752dfe474f09e3f3ac9a/rendering/00.obj", "1.13578689098")</f>
        <v>1.13578689098</v>
      </c>
      <c r="D1410" s="49" t="str">
        <f>HYPERLINK(AB2 &amp; "/knife/sn_dce941899bcb752dfe474f09e3f3ac9a/rendering/01.obj", "1.00651717186")</f>
        <v>1.00651717186</v>
      </c>
      <c r="E1410" s="168" t="str">
        <f>HYPERLINK(AB2 &amp; "/knife/sn_dce941899bcb752dfe474f09e3f3ac9a/rendering/02.obj", "1.67936396599")</f>
        <v>1.67936396599</v>
      </c>
      <c r="F1410" s="29" t="str">
        <f>HYPERLINK(AB2 &amp; "/knife/sn_dce941899bcb752dfe474f09e3f3ac9a/rendering/03.obj", "1.10463285446")</f>
        <v>1.10463285446</v>
      </c>
      <c r="G1410" s="66" t="str">
        <f>HYPERLINK(AB2 &amp; "/knife/sn_dce941899bcb752dfe474f09e3f3ac9a/rendering/04.obj", "1.47472941875")</f>
        <v>1.47472941875</v>
      </c>
      <c r="H1410" s="91" t="str">
        <f>HYPERLINK(AB2 &amp; "/knife/sn_dce941899bcb752dfe474f09e3f3ac9a/rendering/05.obj", "1.23835086823")</f>
        <v>1.23835086823</v>
      </c>
      <c r="I1410" s="184" t="str">
        <f>HYPERLINK(AB2 &amp; "/knife/sn_dce941899bcb752dfe474f09e3f3ac9a/rendering/06.obj", "2.20504403114")</f>
        <v>2.20504403114</v>
      </c>
      <c r="J1410" s="133" t="str">
        <f>HYPERLINK(AB2 &amp; "/knife/sn_dce941899bcb752dfe474f09e3f3ac9a/rendering/07.obj", "1.14325737953")</f>
        <v>1.14325737953</v>
      </c>
      <c r="K1410" s="91" t="str">
        <f>HYPERLINK(AB2 &amp; "/knife/sn_dce941899bcb752dfe474f09e3f3ac9a/rendering/08.obj", "1.30405151844")</f>
        <v>1.30405151844</v>
      </c>
      <c r="L1410" s="170" t="str">
        <f>HYPERLINK(AB2 &amp; "/knife/sn_dce941899bcb752dfe474f09e3f3ac9a/rendering/09.obj", "1.59374296665")</f>
        <v>1.59374296665</v>
      </c>
      <c r="M1410" s="77" t="str">
        <f>HYPERLINK(AB2 &amp; "/knife/sn_dce941899bcb752dfe474f09e3f3ac9a/rendering/10.obj", "1.0325731039")</f>
        <v>1.0325731039</v>
      </c>
      <c r="N1410" s="73" t="str">
        <f>HYPERLINK(AB2 &amp; "/knife/sn_dce941899bcb752dfe474f09e3f3ac9a/rendering/11.obj", "1.22383010387")</f>
        <v>1.22383010387</v>
      </c>
      <c r="O1410" s="35" t="str">
        <f>HYPERLINK(AB2 &amp; "/knife/sn_dce941899bcb752dfe474f09e3f3ac9a/rendering/12.obj", "1.19675827026")</f>
        <v>1.19675827026</v>
      </c>
      <c r="P1410" s="92" t="str">
        <f>HYPERLINK(AB2 &amp; "/knife/sn_dce941899bcb752dfe474f09e3f3ac9a/rendering/13.obj", "1.11385369301")</f>
        <v>1.11385369301</v>
      </c>
      <c r="Q1410" s="35" t="str">
        <f>HYPERLINK(AB2 &amp; "/knife/sn_dce941899bcb752dfe474f09e3f3ac9a/rendering/14.obj", "1.19810080528")</f>
        <v>1.19810080528</v>
      </c>
      <c r="R1410" s="44" t="str">
        <f>HYPERLINK(AB2 &amp; "/knife/sn_dce941899bcb752dfe474f09e3f3ac9a/rendering/15.obj", "1.02186870575")</f>
        <v>1.02186870575</v>
      </c>
      <c r="S1410" s="65" t="str">
        <f>HYPERLINK(AB2 &amp; "/knife/sn_dce941899bcb752dfe474f09e3f3ac9a/rendering/16.obj", "1.10226583481")</f>
        <v>1.10226583481</v>
      </c>
      <c r="T1410" s="41" t="str">
        <f>HYPERLINK(AB2 &amp; "/knife/sn_dce941899bcb752dfe474f09e3f3ac9a/rendering/17.obj", "1.18565750122")</f>
        <v>1.18565750122</v>
      </c>
      <c r="U1410" s="77" t="str">
        <f>HYPERLINK(AB2 &amp; "/knife/sn_dce941899bcb752dfe474f09e3f3ac9a/rendering/18.obj", "1.03353691101")</f>
        <v>1.03353691101</v>
      </c>
      <c r="V1410" s="92" t="str">
        <f>HYPERLINK(AB2 &amp; "/knife/sn_dce941899bcb752dfe474f09e3f3ac9a/rendering/19.obj", "1.429210186")</f>
        <v>1.429210186</v>
      </c>
      <c r="W1410" s="12" t="s">
        <v>32</v>
      </c>
      <c r="X1410" s="13">
        <v>1.2711566090583799</v>
      </c>
      <c r="Y1410" s="13">
        <v>0.28223124646920961</v>
      </c>
      <c r="Z1410" s="75">
        <v>0.22202712431969709</v>
      </c>
    </row>
    <row r="1411" spans="1:26" x14ac:dyDescent="0.2">
      <c r="A1411" s="1">
        <v>1409</v>
      </c>
      <c r="B1411" s="2" t="s">
        <v>314</v>
      </c>
      <c r="C1411" s="13" t="str">
        <f>HYPERLINK(AC2 &amp; "/knife/sn_dce941899bcb752dfe474f09e3f3ac9a/rendering/00.xyz", "0.0")</f>
        <v>0.0</v>
      </c>
      <c r="D1411" s="13" t="str">
        <f>HYPERLINK(AC2 &amp; "/knife/sn_dce941899bcb752dfe474f09e3f3ac9a/rendering/01.xyz", "0.0")</f>
        <v>0.0</v>
      </c>
      <c r="E1411" s="13" t="str">
        <f>HYPERLINK(AC2 &amp; "/knife/sn_dce941899bcb752dfe474f09e3f3ac9a/rendering/02.xyz", "0.0")</f>
        <v>0.0</v>
      </c>
      <c r="F1411" s="13" t="str">
        <f>HYPERLINK(AC2 &amp; "/knife/sn_dce941899bcb752dfe474f09e3f3ac9a/rendering/03.xyz", "0.0")</f>
        <v>0.0</v>
      </c>
      <c r="G1411" s="13" t="str">
        <f>HYPERLINK(AC2 &amp; "/knife/sn_dce941899bcb752dfe474f09e3f3ac9a/rendering/04.xyz", "0.0")</f>
        <v>0.0</v>
      </c>
      <c r="H1411" s="13" t="str">
        <f>HYPERLINK(AC2 &amp; "/knife/sn_dce941899bcb752dfe474f09e3f3ac9a/rendering/05.xyz", "0.0")</f>
        <v>0.0</v>
      </c>
      <c r="I1411" s="13" t="str">
        <f>HYPERLINK(AC2 &amp; "/knife/sn_dce941899bcb752dfe474f09e3f3ac9a/rendering/06.xyz", "0.0")</f>
        <v>0.0</v>
      </c>
      <c r="J1411" s="13" t="str">
        <f>HYPERLINK(AC2 &amp; "/knife/sn_dce941899bcb752dfe474f09e3f3ac9a/rendering/07.xyz", "0.0")</f>
        <v>0.0</v>
      </c>
      <c r="K1411" s="13" t="str">
        <f>HYPERLINK(AC2 &amp; "/knife/sn_dce941899bcb752dfe474f09e3f3ac9a/rendering/08.xyz", "0.0")</f>
        <v>0.0</v>
      </c>
      <c r="L1411" s="13" t="str">
        <f>HYPERLINK(AC2 &amp; "/knife/sn_dce941899bcb752dfe474f09e3f3ac9a/rendering/09.xyz", "0.0")</f>
        <v>0.0</v>
      </c>
      <c r="M1411" s="13" t="str">
        <f>HYPERLINK(AC2 &amp; "/knife/sn_dce941899bcb752dfe474f09e3f3ac9a/rendering/10.xyz", "0.0")</f>
        <v>0.0</v>
      </c>
      <c r="N1411" s="13" t="str">
        <f>HYPERLINK(AC2 &amp; "/knife/sn_dce941899bcb752dfe474f09e3f3ac9a/rendering/11.xyz", "0.0")</f>
        <v>0.0</v>
      </c>
      <c r="O1411" s="13" t="str">
        <f>HYPERLINK(AC2 &amp; "/knife/sn_dce941899bcb752dfe474f09e3f3ac9a/rendering/12.xyz", "0.0")</f>
        <v>0.0</v>
      </c>
      <c r="P1411" s="13" t="str">
        <f>HYPERLINK(AC2 &amp; "/knife/sn_dce941899bcb752dfe474f09e3f3ac9a/rendering/13.xyz", "0.0")</f>
        <v>0.0</v>
      </c>
      <c r="Q1411" s="13" t="str">
        <f>HYPERLINK(AC2 &amp; "/knife/sn_dce941899bcb752dfe474f09e3f3ac9a/rendering/14.xyz", "0.0")</f>
        <v>0.0</v>
      </c>
      <c r="R1411" s="13" t="str">
        <f>HYPERLINK(AC2 &amp; "/knife/sn_dce941899bcb752dfe474f09e3f3ac9a/rendering/15.xyz", "0.0")</f>
        <v>0.0</v>
      </c>
      <c r="S1411" s="13" t="str">
        <f>HYPERLINK(AC2 &amp; "/knife/sn_dce941899bcb752dfe474f09e3f3ac9a/rendering/16.xyz", "0.0")</f>
        <v>0.0</v>
      </c>
      <c r="T1411" s="13" t="str">
        <f>HYPERLINK(AC2 &amp; "/knife/sn_dce941899bcb752dfe474f09e3f3ac9a/rendering/17.xyz", "0.0")</f>
        <v>0.0</v>
      </c>
      <c r="U1411" s="13" t="str">
        <f>HYPERLINK(AC2 &amp; "/knife/sn_dce941899bcb752dfe474f09e3f3ac9a/rendering/18.xyz", "0.0")</f>
        <v>0.0</v>
      </c>
      <c r="V1411" s="13" t="str">
        <f>HYPERLINK(AC2 &amp; "/knife/sn_dce941899bcb752dfe474f09e3f3ac9a/rendering/19.xyz", "0.0")</f>
        <v>0.0</v>
      </c>
      <c r="W1411" s="12" t="s">
        <v>33</v>
      </c>
      <c r="X1411" s="13">
        <v>0</v>
      </c>
      <c r="Y1411" s="13">
        <v>0</v>
      </c>
      <c r="Z1411" s="13">
        <v>0</v>
      </c>
    </row>
    <row r="1412" spans="1:26" x14ac:dyDescent="0.2">
      <c r="A1412" s="1">
        <v>1410</v>
      </c>
      <c r="B1412" s="2" t="s">
        <v>315</v>
      </c>
      <c r="C1412" s="73" t="str">
        <f>HYPERLINK(AA2 &amp; "/knife/sn_de62211649b4cced49384f9741ad64d8/rendering/00.obj", "4.02163391113")</f>
        <v>4.02163391113</v>
      </c>
      <c r="D1412" s="69" t="str">
        <f>HYPERLINK(AA2 &amp; "/knife/sn_de62211649b4cced49384f9741ad64d8/rendering/01.obj", "4.29852966309")</f>
        <v>4.29852966309</v>
      </c>
      <c r="E1412" s="8" t="str">
        <f>HYPERLINK(AA2 &amp; "/knife/sn_de62211649b4cced49384f9741ad64d8/rendering/02.obj", "4.76835174561")</f>
        <v>4.76835174561</v>
      </c>
      <c r="F1412" s="44" t="str">
        <f>HYPERLINK(AA2 &amp; "/knife/sn_de62211649b4cced49384f9741ad64d8/rendering/03.obj", "3.3513092041")</f>
        <v>3.3513092041</v>
      </c>
      <c r="G1412" s="32" t="str">
        <f>HYPERLINK(AA2 &amp; "/knife/sn_de62211649b4cced49384f9741ad64d8/rendering/04.obj", "4.60916107178")</f>
        <v>4.60916107178</v>
      </c>
      <c r="H1412" s="129" t="str">
        <f>HYPERLINK(AA2 &amp; "/knife/sn_de62211649b4cced49384f9741ad64d8/rendering/05.obj", "5.21479064941")</f>
        <v>5.21479064941</v>
      </c>
      <c r="I1412" s="13" t="str">
        <f>HYPERLINK(AA2 &amp; "/knife/sn_de62211649b4cced49384f9741ad64d8/rendering/06.obj", "4.15843078613")</f>
        <v>4.15843078613</v>
      </c>
      <c r="J1412" s="47" t="str">
        <f>HYPERLINK(AA2 &amp; "/knife/sn_de62211649b4cced49384f9741ad64d8/rendering/07.obj", "4.13715484619")</f>
        <v>4.13715484619</v>
      </c>
      <c r="K1412" s="187" t="str">
        <f>HYPERLINK(AA2 &amp; "/knife/sn_de62211649b4cced49384f9741ad64d8/rendering/08.obj", "5.62709716797")</f>
        <v>5.62709716797</v>
      </c>
      <c r="L1412" s="99" t="str">
        <f>HYPERLINK(AA2 &amp; "/knife/sn_de62211649b4cced49384f9741ad64d8/rendering/09.obj", "5.30348449707")</f>
        <v>5.30348449707</v>
      </c>
      <c r="M1412" s="66" t="str">
        <f>HYPERLINK(AA2 &amp; "/knife/sn_de62211649b4cced49384f9741ad64d8/rendering/10.obj", "3.49359649658")</f>
        <v>3.49359649658</v>
      </c>
      <c r="N1412" s="109" t="str">
        <f>HYPERLINK(AA2 &amp; "/knife/sn_de62211649b4cced49384f9741ad64d8/rendering/11.obj", "3.38292816162")</f>
        <v>3.38292816162</v>
      </c>
      <c r="O1412" s="63" t="str">
        <f>HYPERLINK(AA2 &amp; "/knife/sn_de62211649b4cced49384f9741ad64d8/rendering/12.obj", "3.66816101074")</f>
        <v>3.66816101074</v>
      </c>
      <c r="P1412" s="6" t="str">
        <f>HYPERLINK(AA2 &amp; "/knife/sn_de62211649b4cced49384f9741ad64d8/rendering/13.obj", "3.9875769043")</f>
        <v>3.9875769043</v>
      </c>
      <c r="Q1412" s="6" t="str">
        <f>HYPERLINK(AA2 &amp; "/knife/sn_de62211649b4cced49384f9741ad64d8/rendering/14.obj", "3.98540527344")</f>
        <v>3.98540527344</v>
      </c>
      <c r="R1412" s="34" t="str">
        <f>HYPERLINK(AA2 &amp; "/knife/sn_de62211649b4cced49384f9741ad64d8/rendering/15.obj", "3.96355438232")</f>
        <v>3.96355438232</v>
      </c>
      <c r="S1412" s="31" t="str">
        <f>HYPERLINK(AA2 &amp; "/knife/sn_de62211649b4cced49384f9741ad64d8/rendering/16.obj", "3.5262109375")</f>
        <v>3.5262109375</v>
      </c>
      <c r="T1412" s="72" t="str">
        <f>HYPERLINK(AA2 &amp; "/knife/sn_de62211649b4cced49384f9741ad64d8/rendering/17.obj", "4.31309204102")</f>
        <v>4.31309204102</v>
      </c>
      <c r="U1412" s="29" t="str">
        <f>HYPERLINK(AA2 &amp; "/knife/sn_de62211649b4cced49384f9741ad64d8/rendering/18.obj", "3.62728118896")</f>
        <v>3.62728118896</v>
      </c>
      <c r="V1412" s="6" t="str">
        <f>HYPERLINK(AA2 &amp; "/knife/sn_de62211649b4cced49384f9741ad64d8/rendering/19.obj", "3.98197143555")</f>
        <v>3.98197143555</v>
      </c>
      <c r="W1412" s="12" t="s">
        <v>29</v>
      </c>
      <c r="X1412" s="13">
        <v>4.1709860687255862</v>
      </c>
      <c r="Y1412" s="13">
        <v>0.6310321582563867</v>
      </c>
      <c r="Z1412" s="83">
        <v>0.1512908813069217</v>
      </c>
    </row>
    <row r="1413" spans="1:26" x14ac:dyDescent="0.2">
      <c r="A1413" s="1">
        <v>1411</v>
      </c>
      <c r="B1413" s="2" t="s">
        <v>315</v>
      </c>
      <c r="C1413" s="175" t="str">
        <f>HYPERLINK(AA2 &amp; "/knife/sn_de62211649b4cced49384f9741ad64d8/rendering/00.obj", "1.52670657635")</f>
        <v>1.52670657635</v>
      </c>
      <c r="D1413" s="151" t="str">
        <f>HYPERLINK(AA2 &amp; "/knife/sn_de62211649b4cced49384f9741ad64d8/rendering/01.obj", "1.27454853058")</f>
        <v>1.27454853058</v>
      </c>
      <c r="E1413" s="137" t="str">
        <f>HYPERLINK(AA2 &amp; "/knife/sn_de62211649b4cced49384f9741ad64d8/rendering/02.obj", "2.71978402138")</f>
        <v>2.71978402138</v>
      </c>
      <c r="F1413" s="44" t="str">
        <f>HYPERLINK(AA2 &amp; "/knife/sn_de62211649b4cced49384f9741ad64d8/rendering/03.obj", "1.60060346127")</f>
        <v>1.60060346127</v>
      </c>
      <c r="G1413" s="130" t="str">
        <f>HYPERLINK(AA2 &amp; "/knife/sn_de62211649b4cced49384f9741ad64d8/rendering/04.obj", "2.88663315773")</f>
        <v>2.88663315773</v>
      </c>
      <c r="H1413" s="20" t="str">
        <f>HYPERLINK(AA2 &amp; "/knife/sn_de62211649b4cced49384f9741ad64d8/rendering/05.obj", "5.01886749268")</f>
        <v>5.01886749268</v>
      </c>
      <c r="I1413" s="39" t="str">
        <f>HYPERLINK(AA2 &amp; "/knife/sn_de62211649b4cced49384f9741ad64d8/rendering/06.obj", "2.16348171234")</f>
        <v>2.16348171234</v>
      </c>
      <c r="J1413" s="193" t="str">
        <f>HYPERLINK(AA2 &amp; "/knife/sn_de62211649b4cced49384f9741ad64d8/rendering/07.obj", "1.33274197578")</f>
        <v>1.33274197578</v>
      </c>
      <c r="K1413" s="108" t="str">
        <f>HYPERLINK(AA2 &amp; "/knife/sn_de62211649b4cced49384f9741ad64d8/rendering/08.obj", "2.48437643051")</f>
        <v>2.48437643051</v>
      </c>
      <c r="L1413" s="20" t="str">
        <f>HYPERLINK(AA2 &amp; "/knife/sn_de62211649b4cced49384f9741ad64d8/rendering/09.obj", "4.33887863159")</f>
        <v>4.33887863159</v>
      </c>
      <c r="M1413" s="14" t="str">
        <f>HYPERLINK(AA2 &amp; "/knife/sn_de62211649b4cced49384f9741ad64d8/rendering/10.obj", "1.41555762291")</f>
        <v>1.41555762291</v>
      </c>
      <c r="N1413" s="122" t="str">
        <f>HYPERLINK(AA2 &amp; "/knife/sn_de62211649b4cced49384f9741ad64d8/rendering/11.obj", "1.18743741512")</f>
        <v>1.18743741512</v>
      </c>
      <c r="O1413" s="47" t="str">
        <f>HYPERLINK(AA2 &amp; "/knife/sn_de62211649b4cced49384f9741ad64d8/rendering/12.obj", "1.9770232439")</f>
        <v>1.9770232439</v>
      </c>
      <c r="P1413" s="123" t="str">
        <f>HYPERLINK(AA2 &amp; "/knife/sn_de62211649b4cced49384f9741ad64d8/rendering/13.obj", "1.25534963608")</f>
        <v>1.25534963608</v>
      </c>
      <c r="Q1413" s="67" t="str">
        <f>HYPERLINK(AA2 &amp; "/knife/sn_de62211649b4cced49384f9741ad64d8/rendering/14.obj", "1.80625736713")</f>
        <v>1.80625736713</v>
      </c>
      <c r="R1413" s="111" t="str">
        <f>HYPERLINK(AA2 &amp; "/knife/sn_de62211649b4cced49384f9741ad64d8/rendering/15.obj", "1.15356457233")</f>
        <v>1.15356457233</v>
      </c>
      <c r="S1413" s="185" t="str">
        <f>HYPERLINK(AA2 &amp; "/knife/sn_de62211649b4cced49384f9741ad64d8/rendering/16.obj", "1.31272137165")</f>
        <v>1.31272137165</v>
      </c>
      <c r="T1413" s="7" t="str">
        <f>HYPERLINK(AA2 &amp; "/knife/sn_de62211649b4cced49384f9741ad64d8/rendering/17.obj", "1.43669652939")</f>
        <v>1.43669652939</v>
      </c>
      <c r="U1413" s="172" t="str">
        <f>HYPERLINK(AA2 &amp; "/knife/sn_de62211649b4cced49384f9741ad64d8/rendering/18.obj", "1.22541427612")</f>
        <v>1.22541427612</v>
      </c>
      <c r="V1413" s="29" t="str">
        <f>HYPERLINK(AA2 &amp; "/knife/sn_de62211649b4cced49384f9741ad64d8/rendering/19.obj", "1.73323082924")</f>
        <v>1.73323082924</v>
      </c>
      <c r="W1413" s="12" t="s">
        <v>30</v>
      </c>
      <c r="X1413" s="13">
        <v>1.9924937427043909</v>
      </c>
      <c r="Y1413" s="13">
        <v>1.031383597406252</v>
      </c>
      <c r="Z1413" s="218">
        <v>0.51763454775339235</v>
      </c>
    </row>
    <row r="1414" spans="1:26" x14ac:dyDescent="0.2">
      <c r="A1414" s="1">
        <v>1412</v>
      </c>
      <c r="B1414" s="2" t="s">
        <v>315</v>
      </c>
      <c r="C1414" s="27" t="str">
        <f>HYPERLINK(AB2 &amp; "/knife/sn_de62211649b4cced49384f9741ad64d8/rendering/00.obj", "3.54651977539")</f>
        <v>3.54651977539</v>
      </c>
      <c r="D1414" s="30" t="str">
        <f>HYPERLINK(AB2 &amp; "/knife/sn_de62211649b4cced49384f9741ad64d8/rendering/01.obj", "3.79341552734")</f>
        <v>3.79341552734</v>
      </c>
      <c r="E1414" s="8" t="str">
        <f>HYPERLINK(AB2 &amp; "/knife/sn_de62211649b4cced49384f9741ad64d8/rendering/02.obj", "3.26566131592")</f>
        <v>3.26566131592</v>
      </c>
      <c r="F1414" s="35" t="str">
        <f>HYPERLINK(AB2 &amp; "/knife/sn_de62211649b4cced49384f9741ad64d8/rendering/03.obj", "4.03866760254")</f>
        <v>4.03866760254</v>
      </c>
      <c r="G1414" s="33" t="str">
        <f>HYPERLINK(AB2 &amp; "/knife/sn_de62211649b4cced49384f9741ad64d8/rendering/04.obj", "3.40073242187")</f>
        <v>3.40073242187</v>
      </c>
      <c r="H1414" s="47" t="str">
        <f>HYPERLINK(AB2 &amp; "/knife/sn_de62211649b4cced49384f9741ad64d8/rendering/05.obj", "3.85020751953")</f>
        <v>3.85020751953</v>
      </c>
      <c r="I1414" s="72" t="str">
        <f>HYPERLINK(AB2 &amp; "/knife/sn_de62211649b4cced49384f9741ad64d8/rendering/06.obj", "3.6845501709")</f>
        <v>3.6845501709</v>
      </c>
      <c r="J1414" s="30" t="str">
        <f>HYPERLINK(AB2 &amp; "/knife/sn_de62211649b4cced49384f9741ad64d8/rendering/07.obj", "3.79914245605")</f>
        <v>3.79914245605</v>
      </c>
      <c r="K1414" s="158" t="str">
        <f>HYPERLINK(AB2 &amp; "/knife/sn_de62211649b4cced49384f9741ad64d8/rendering/08.obj", "5.37707641602")</f>
        <v>5.37707641602</v>
      </c>
      <c r="L1414" s="117" t="str">
        <f>HYPERLINK(AB2 &amp; "/knife/sn_de62211649b4cced49384f9741ad64d8/rendering/09.obj", "4.48685913086")</f>
        <v>4.48685913086</v>
      </c>
      <c r="M1414" s="91" t="str">
        <f>HYPERLINK(AB2 &amp; "/knife/sn_de62211649b4cced49384f9741ad64d8/rendering/10.obj", "3.71756835937")</f>
        <v>3.71756835937</v>
      </c>
      <c r="N1414" s="6" t="str">
        <f>HYPERLINK(AB2 &amp; "/knife/sn_de62211649b4cced49384f9741ad64d8/rendering/11.obj", "3.63734375")</f>
        <v>3.63734375</v>
      </c>
      <c r="O1414" s="41" t="str">
        <f>HYPERLINK(AB2 &amp; "/knife/sn_de62211649b4cced49384f9741ad64d8/rendering/12.obj", "4.07571838379")</f>
        <v>4.07571838379</v>
      </c>
      <c r="P1414" s="27" t="str">
        <f>HYPERLINK(AB2 &amp; "/knife/sn_de62211649b4cced49384f9741ad64d8/rendering/13.obj", "3.54451721191")</f>
        <v>3.54451721191</v>
      </c>
      <c r="Q1414" s="69" t="str">
        <f>HYPERLINK(AB2 &amp; "/knife/sn_de62211649b4cced49384f9741ad64d8/rendering/14.obj", "3.92713043213")</f>
        <v>3.92713043213</v>
      </c>
      <c r="R1414" s="51" t="str">
        <f>HYPERLINK(AB2 &amp; "/knife/sn_de62211649b4cced49384f9741ad64d8/rendering/15.obj", "3.50827362061")</f>
        <v>3.50827362061</v>
      </c>
      <c r="S1414" s="34" t="str">
        <f>HYPERLINK(AB2 &amp; "/knife/sn_de62211649b4cced49384f9741ad64d8/rendering/16.obj", "3.62955505371")</f>
        <v>3.62955505371</v>
      </c>
      <c r="T1414" s="17" t="str">
        <f>HYPERLINK(AB2 &amp; "/knife/sn_de62211649b4cced49384f9741ad64d8/rendering/17.obj", "3.89374267578")</f>
        <v>3.89374267578</v>
      </c>
      <c r="U1414" s="68" t="str">
        <f>HYPERLINK(AB2 &amp; "/knife/sn_de62211649b4cced49384f9741ad64d8/rendering/18.obj", "3.64783081055")</f>
        <v>3.64783081055</v>
      </c>
      <c r="V1414" s="38" t="str">
        <f>HYPERLINK(AB2 &amp; "/knife/sn_de62211649b4cced49384f9741ad64d8/rendering/19.obj", "3.4684286499")</f>
        <v>3.4684286499</v>
      </c>
      <c r="W1414" s="12" t="s">
        <v>31</v>
      </c>
      <c r="X1414" s="13">
        <v>3.8146470642089851</v>
      </c>
      <c r="Y1414" s="13">
        <v>0.44628689849432679</v>
      </c>
      <c r="Z1414" s="71">
        <v>0.1169929723464129</v>
      </c>
    </row>
    <row r="1415" spans="1:26" x14ac:dyDescent="0.2">
      <c r="A1415" s="1">
        <v>1413</v>
      </c>
      <c r="B1415" s="2" t="s">
        <v>315</v>
      </c>
      <c r="C1415" s="42" t="str">
        <f>HYPERLINK(AB2 &amp; "/knife/sn_de62211649b4cced49384f9741ad64d8/rendering/00.obj", "1.051633358")</f>
        <v>1.051633358</v>
      </c>
      <c r="D1415" s="63" t="str">
        <f>HYPERLINK(AB2 &amp; "/knife/sn_de62211649b4cced49384f9741ad64d8/rendering/01.obj", "1.36422944069")</f>
        <v>1.36422944069</v>
      </c>
      <c r="E1415" s="74" t="str">
        <f>HYPERLINK(AB2 &amp; "/knife/sn_de62211649b4cced49384f9741ad64d8/rendering/02.obj", "1.19893026352")</f>
        <v>1.19893026352</v>
      </c>
      <c r="F1415" s="23" t="str">
        <f>HYPERLINK(AB2 &amp; "/knife/sn_de62211649b4cced49384f9741ad64d8/rendering/03.obj", "1.16826546192")</f>
        <v>1.16826546192</v>
      </c>
      <c r="G1415" s="74" t="str">
        <f>HYPERLINK(AB2 &amp; "/knife/sn_de62211649b4cced49384f9741ad64d8/rendering/04.obj", "1.20057606697")</f>
        <v>1.20057606697</v>
      </c>
      <c r="H1415" s="13" t="str">
        <f>HYPERLINK(AB2 &amp; "/knife/sn_de62211649b4cced49384f9741ad64d8/rendering/05.obj", "1.21469902992")</f>
        <v>1.21469902992</v>
      </c>
      <c r="I1415" s="41" t="str">
        <f>HYPERLINK(AB2 &amp; "/knife/sn_de62211649b4cced49384f9741ad64d8/rendering/06.obj", "1.13365113735")</f>
        <v>1.13365113735</v>
      </c>
      <c r="J1415" s="17" t="str">
        <f>HYPERLINK(AB2 &amp; "/knife/sn_de62211649b4cced49384f9741ad64d8/rendering/07.obj", "1.24242413044")</f>
        <v>1.24242413044</v>
      </c>
      <c r="K1415" s="212" t="str">
        <f>HYPERLINK(AB2 &amp; "/knife/sn_de62211649b4cced49384f9741ad64d8/rendering/08.obj", "1.74010443687")</f>
        <v>1.74010443687</v>
      </c>
      <c r="L1415" s="60" t="str">
        <f>HYPERLINK(AB2 &amp; "/knife/sn_de62211649b4cced49384f9741ad64d8/rendering/09.obj", "1.2802426815")</f>
        <v>1.2802426815</v>
      </c>
      <c r="M1415" s="27" t="str">
        <f>HYPERLINK(AB2 &amp; "/knife/sn_de62211649b4cced49384f9741ad64d8/rendering/10.obj", "1.12875127792")</f>
        <v>1.12875127792</v>
      </c>
      <c r="N1415" s="27" t="str">
        <f>HYPERLINK(AB2 &amp; "/knife/sn_de62211649b4cced49384f9741ad64d8/rendering/11.obj", "1.30109846592")</f>
        <v>1.30109846592</v>
      </c>
      <c r="O1415" s="17" t="str">
        <f>HYPERLINK(AB2 &amp; "/knife/sn_de62211649b4cced49384f9741ad64d8/rendering/12.obj", "1.191447258")</f>
        <v>1.191447258</v>
      </c>
      <c r="P1415" s="64" t="str">
        <f>HYPERLINK(AB2 &amp; "/knife/sn_de62211649b4cced49384f9741ad64d8/rendering/13.obj", "1.01467645168")</f>
        <v>1.01467645168</v>
      </c>
      <c r="Q1415" s="13" t="str">
        <f>HYPERLINK(AB2 &amp; "/knife/sn_de62211649b4cced49384f9741ad64d8/rendering/14.obj", "1.21242558956")</f>
        <v>1.21242558956</v>
      </c>
      <c r="R1415" s="91" t="str">
        <f>HYPERLINK(AB2 &amp; "/knife/sn_de62211649b4cced49384f9741ad64d8/rendering/15.obj", "1.18320310116")</f>
        <v>1.18320310116</v>
      </c>
      <c r="S1415" s="32" t="str">
        <f>HYPERLINK(AB2 &amp; "/knife/sn_de62211649b4cced49384f9741ad64d8/rendering/16.obj", "1.08894920349")</f>
        <v>1.08894920349</v>
      </c>
      <c r="T1415" s="134" t="str">
        <f>HYPERLINK(AB2 &amp; "/knife/sn_de62211649b4cced49384f9741ad64d8/rendering/17.obj", "1.4346177578")</f>
        <v>1.4346177578</v>
      </c>
      <c r="U1415" s="41" t="str">
        <f>HYPERLINK(AB2 &amp; "/knife/sn_de62211649b4cced49384f9741ad64d8/rendering/18.obj", "1.13403868675")</f>
        <v>1.13403868675</v>
      </c>
      <c r="V1415" s="84" t="str">
        <f>HYPERLINK(AB2 &amp; "/knife/sn_de62211649b4cced49384f9741ad64d8/rendering/19.obj", "1.03859376907")</f>
        <v>1.03859376907</v>
      </c>
      <c r="W1415" s="12" t="s">
        <v>32</v>
      </c>
      <c r="X1415" s="13">
        <v>1.216127878427506</v>
      </c>
      <c r="Y1415" s="13">
        <v>0.15768520923271151</v>
      </c>
      <c r="Z1415" s="29">
        <v>0.12966170090320089</v>
      </c>
    </row>
    <row r="1416" spans="1:26" x14ac:dyDescent="0.2">
      <c r="A1416" s="1">
        <v>1414</v>
      </c>
      <c r="B1416" s="2" t="s">
        <v>315</v>
      </c>
      <c r="C1416" s="13" t="str">
        <f>HYPERLINK(AC2 &amp; "/knife/sn_de62211649b4cced49384f9741ad64d8/rendering/00.xyz", "0.0")</f>
        <v>0.0</v>
      </c>
      <c r="D1416" s="13" t="str">
        <f>HYPERLINK(AC2 &amp; "/knife/sn_de62211649b4cced49384f9741ad64d8/rendering/01.xyz", "0.0")</f>
        <v>0.0</v>
      </c>
      <c r="E1416" s="13" t="str">
        <f>HYPERLINK(AC2 &amp; "/knife/sn_de62211649b4cced49384f9741ad64d8/rendering/02.xyz", "0.0")</f>
        <v>0.0</v>
      </c>
      <c r="F1416" s="13" t="str">
        <f>HYPERLINK(AC2 &amp; "/knife/sn_de62211649b4cced49384f9741ad64d8/rendering/03.xyz", "0.0")</f>
        <v>0.0</v>
      </c>
      <c r="G1416" s="13" t="str">
        <f>HYPERLINK(AC2 &amp; "/knife/sn_de62211649b4cced49384f9741ad64d8/rendering/04.xyz", "0.0")</f>
        <v>0.0</v>
      </c>
      <c r="H1416" s="13" t="str">
        <f>HYPERLINK(AC2 &amp; "/knife/sn_de62211649b4cced49384f9741ad64d8/rendering/05.xyz", "0.0")</f>
        <v>0.0</v>
      </c>
      <c r="I1416" s="13" t="str">
        <f>HYPERLINK(AC2 &amp; "/knife/sn_de62211649b4cced49384f9741ad64d8/rendering/06.xyz", "0.0")</f>
        <v>0.0</v>
      </c>
      <c r="J1416" s="13" t="str">
        <f>HYPERLINK(AC2 &amp; "/knife/sn_de62211649b4cced49384f9741ad64d8/rendering/07.xyz", "0.0")</f>
        <v>0.0</v>
      </c>
      <c r="K1416" s="13" t="str">
        <f>HYPERLINK(AC2 &amp; "/knife/sn_de62211649b4cced49384f9741ad64d8/rendering/08.xyz", "0.0")</f>
        <v>0.0</v>
      </c>
      <c r="L1416" s="13" t="str">
        <f>HYPERLINK(AC2 &amp; "/knife/sn_de62211649b4cced49384f9741ad64d8/rendering/09.xyz", "0.0")</f>
        <v>0.0</v>
      </c>
      <c r="M1416" s="13" t="str">
        <f>HYPERLINK(AC2 &amp; "/knife/sn_de62211649b4cced49384f9741ad64d8/rendering/10.xyz", "0.0")</f>
        <v>0.0</v>
      </c>
      <c r="N1416" s="13" t="str">
        <f>HYPERLINK(AC2 &amp; "/knife/sn_de62211649b4cced49384f9741ad64d8/rendering/11.xyz", "0.0")</f>
        <v>0.0</v>
      </c>
      <c r="O1416" s="13" t="str">
        <f>HYPERLINK(AC2 &amp; "/knife/sn_de62211649b4cced49384f9741ad64d8/rendering/12.xyz", "0.0")</f>
        <v>0.0</v>
      </c>
      <c r="P1416" s="13" t="str">
        <f>HYPERLINK(AC2 &amp; "/knife/sn_de62211649b4cced49384f9741ad64d8/rendering/13.xyz", "0.0")</f>
        <v>0.0</v>
      </c>
      <c r="Q1416" s="13" t="str">
        <f>HYPERLINK(AC2 &amp; "/knife/sn_de62211649b4cced49384f9741ad64d8/rendering/14.xyz", "0.0")</f>
        <v>0.0</v>
      </c>
      <c r="R1416" s="13" t="str">
        <f>HYPERLINK(AC2 &amp; "/knife/sn_de62211649b4cced49384f9741ad64d8/rendering/15.xyz", "0.0")</f>
        <v>0.0</v>
      </c>
      <c r="S1416" s="13" t="str">
        <f>HYPERLINK(AC2 &amp; "/knife/sn_de62211649b4cced49384f9741ad64d8/rendering/16.xyz", "0.0")</f>
        <v>0.0</v>
      </c>
      <c r="T1416" s="13" t="str">
        <f>HYPERLINK(AC2 &amp; "/knife/sn_de62211649b4cced49384f9741ad64d8/rendering/17.xyz", "0.0")</f>
        <v>0.0</v>
      </c>
      <c r="U1416" s="13" t="str">
        <f>HYPERLINK(AC2 &amp; "/knife/sn_de62211649b4cced49384f9741ad64d8/rendering/18.xyz", "0.0")</f>
        <v>0.0</v>
      </c>
      <c r="V1416" s="13" t="str">
        <f>HYPERLINK(AC2 &amp; "/knife/sn_de62211649b4cced49384f9741ad64d8/rendering/19.xyz", "0.0")</f>
        <v>0.0</v>
      </c>
      <c r="W1416" s="12" t="s">
        <v>33</v>
      </c>
      <c r="X1416" s="13">
        <v>0</v>
      </c>
      <c r="Y1416" s="13">
        <v>0</v>
      </c>
      <c r="Z1416" s="13">
        <v>0</v>
      </c>
    </row>
    <row r="1417" spans="1:26" x14ac:dyDescent="0.2">
      <c r="A1417" s="1">
        <v>1415</v>
      </c>
      <c r="B1417" s="2" t="s">
        <v>316</v>
      </c>
      <c r="C1417" s="48" t="str">
        <f>HYPERLINK(AA2 &amp; "/knife/sn_de69d6441bbf8d39230a4d129580843a/rendering/00.obj", "2.90575439453")</f>
        <v>2.90575439453</v>
      </c>
      <c r="D1417" s="91" t="str">
        <f>HYPERLINK(AA2 &amp; "/knife/sn_de69d6441bbf8d39230a4d129580843a/rendering/01.obj", "2.89887878418")</f>
        <v>2.89887878418</v>
      </c>
      <c r="E1417" s="60" t="str">
        <f>HYPERLINK(AA2 &amp; "/knife/sn_de69d6441bbf8d39230a4d129580843a/rendering/02.obj", "2.82503326416")</f>
        <v>2.82503326416</v>
      </c>
      <c r="F1417" s="25" t="str">
        <f>HYPERLINK(AA2 &amp; "/knife/sn_de69d6441bbf8d39230a4d129580843a/rendering/03.obj", "2.94140625")</f>
        <v>2.94140625</v>
      </c>
      <c r="G1417" s="34" t="str">
        <f>HYPERLINK(AA2 &amp; "/knife/sn_de69d6441bbf8d39230a4d129580843a/rendering/04.obj", "3.12443603516")</f>
        <v>3.12443603516</v>
      </c>
      <c r="H1417" s="4" t="str">
        <f>HYPERLINK(AA2 &amp; "/knife/sn_de69d6441bbf8d39230a4d129580843a/rendering/05.obj", "2.13445831299")</f>
        <v>2.13445831299</v>
      </c>
      <c r="I1417" s="69" t="str">
        <f>HYPERLINK(AA2 &amp; "/knife/sn_de69d6441bbf8d39230a4d129580843a/rendering/06.obj", "3.06292724609")</f>
        <v>3.06292724609</v>
      </c>
      <c r="J1417" s="17" t="str">
        <f>HYPERLINK(AA2 &amp; "/knife/sn_de69d6441bbf8d39230a4d129580843a/rendering/07.obj", "2.91810974121")</f>
        <v>2.91810974121</v>
      </c>
      <c r="K1417" s="48" t="str">
        <f>HYPERLINK(AA2 &amp; "/knife/sn_de69d6441bbf8d39230a4d129580843a/rendering/08.obj", "3.04970214844")</f>
        <v>3.04970214844</v>
      </c>
      <c r="L1417" s="109" t="str">
        <f>HYPERLINK(AA2 &amp; "/knife/sn_de69d6441bbf8d39230a4d129580843a/rendering/09.obj", "3.5397833252")</f>
        <v>3.5397833252</v>
      </c>
      <c r="M1417" s="39" t="str">
        <f>HYPERLINK(AA2 &amp; "/knife/sn_de69d6441bbf8d39230a4d129580843a/rendering/10.obj", "2.71726257324")</f>
        <v>2.71726257324</v>
      </c>
      <c r="N1417" s="94" t="str">
        <f>HYPERLINK(AA2 &amp; "/knife/sn_de69d6441bbf8d39230a4d129580843a/rendering/11.obj", "3.19362670898")</f>
        <v>3.19362670898</v>
      </c>
      <c r="O1417" s="83" t="str">
        <f>HYPERLINK(AA2 &amp; "/knife/sn_de69d6441bbf8d39230a4d129580843a/rendering/12.obj", "3.43306121826")</f>
        <v>3.43306121826</v>
      </c>
      <c r="P1417" s="133" t="str">
        <f>HYPERLINK(AA2 &amp; "/knife/sn_de69d6441bbf8d39230a4d129580843a/rendering/13.obj", "3.28133483887")</f>
        <v>3.28133483887</v>
      </c>
      <c r="Q1417" s="80" t="str">
        <f>HYPERLINK(AA2 &amp; "/knife/sn_de69d6441bbf8d39230a4d129580843a/rendering/14.obj", "2.53213027954")</f>
        <v>2.53213027954</v>
      </c>
      <c r="R1417" s="30" t="str">
        <f>HYPERLINK(AA2 &amp; "/knife/sn_de69d6441bbf8d39230a4d129580843a/rendering/15.obj", "2.99236053467")</f>
        <v>2.99236053467</v>
      </c>
      <c r="S1417" s="30" t="str">
        <f>HYPERLINK(AA2 &amp; "/knife/sn_de69d6441bbf8d39230a4d129580843a/rendering/16.obj", "2.95933349609")</f>
        <v>2.95933349609</v>
      </c>
      <c r="T1417" s="67" t="str">
        <f>HYPERLINK(AA2 &amp; "/knife/sn_de69d6441bbf8d39230a4d129580843a/rendering/17.obj", "2.70002624512")</f>
        <v>2.70002624512</v>
      </c>
      <c r="U1417" s="72" t="str">
        <f>HYPERLINK(AA2 &amp; "/knife/sn_de69d6441bbf8d39230a4d129580843a/rendering/18.obj", "2.87753540039")</f>
        <v>2.87753540039</v>
      </c>
      <c r="V1417" s="79" t="str">
        <f>HYPERLINK(AA2 &amp; "/knife/sn_de69d6441bbf8d39230a4d129580843a/rendering/19.obj", "3.44823791504")</f>
        <v>3.44823791504</v>
      </c>
      <c r="W1417" s="12" t="s">
        <v>29</v>
      </c>
      <c r="X1417" s="13">
        <v>2.9767699356079098</v>
      </c>
      <c r="Y1417" s="13">
        <v>0.31797380889717719</v>
      </c>
      <c r="Z1417" s="33">
        <v>0.1068184024212275</v>
      </c>
    </row>
    <row r="1418" spans="1:26" x14ac:dyDescent="0.2">
      <c r="A1418" s="1">
        <v>1416</v>
      </c>
      <c r="B1418" s="2" t="s">
        <v>316</v>
      </c>
      <c r="C1418" s="120" t="str">
        <f>HYPERLINK(AA2 &amp; "/knife/sn_de69d6441bbf8d39230a4d129580843a/rendering/00.obj", "1.15201628208")</f>
        <v>1.15201628208</v>
      </c>
      <c r="D1418" s="166" t="str">
        <f>HYPERLINK(AA2 &amp; "/knife/sn_de69d6441bbf8d39230a4d129580843a/rendering/01.obj", "1.88012254238")</f>
        <v>1.88012254238</v>
      </c>
      <c r="E1418" s="70" t="str">
        <f>HYPERLINK(AA2 &amp; "/knife/sn_de69d6441bbf8d39230a4d129580843a/rendering/02.obj", "1.64876890182")</f>
        <v>1.64876890182</v>
      </c>
      <c r="F1418" s="19" t="str">
        <f>HYPERLINK(AA2 &amp; "/knife/sn_de69d6441bbf8d39230a4d129580843a/rendering/03.obj", "1.07997071743")</f>
        <v>1.07997071743</v>
      </c>
      <c r="G1418" s="66" t="str">
        <f>HYPERLINK(AA2 &amp; "/knife/sn_de69d6441bbf8d39230a4d129580843a/rendering/04.obj", "1.22522103786")</f>
        <v>1.22522103786</v>
      </c>
      <c r="H1418" s="84" t="str">
        <f>HYPERLINK(AA2 &amp; "/knife/sn_de69d6441bbf8d39230a4d129580843a/rendering/05.obj", "1.25055801868")</f>
        <v>1.25055801868</v>
      </c>
      <c r="I1418" s="58" t="str">
        <f>HYPERLINK(AA2 &amp; "/knife/sn_de69d6441bbf8d39230a4d129580843a/rendering/06.obj", "1.10479521751")</f>
        <v>1.10479521751</v>
      </c>
      <c r="J1418" s="91" t="str">
        <f>HYPERLINK(AA2 &amp; "/knife/sn_de69d6441bbf8d39230a4d129580843a/rendering/07.obj", "1.42303657532")</f>
        <v>1.42303657532</v>
      </c>
      <c r="K1418" s="81" t="str">
        <f>HYPERLINK(AA2 &amp; "/knife/sn_de69d6441bbf8d39230a4d129580843a/rendering/08.obj", "1.14250934124")</f>
        <v>1.14250934124</v>
      </c>
      <c r="L1418" s="120" t="str">
        <f>HYPERLINK(AA2 &amp; "/knife/sn_de69d6441bbf8d39230a4d129580843a/rendering/09.obj", "1.76993429661")</f>
        <v>1.76993429661</v>
      </c>
      <c r="M1418" s="106" t="str">
        <f>HYPERLINK(AA2 &amp; "/knife/sn_de69d6441bbf8d39230a4d129580843a/rendering/10.obj", "1.29676222801")</f>
        <v>1.29676222801</v>
      </c>
      <c r="N1418" s="79" t="str">
        <f>HYPERLINK(AA2 &amp; "/knife/sn_de69d6441bbf8d39230a4d129580843a/rendering/11.obj", "1.23092508316")</f>
        <v>1.23092508316</v>
      </c>
      <c r="O1418" s="141" t="str">
        <f>HYPERLINK(AA2 &amp; "/knife/sn_de69d6441bbf8d39230a4d129580843a/rendering/12.obj", "2.26688623428")</f>
        <v>2.26688623428</v>
      </c>
      <c r="P1418" s="118" t="str">
        <f>HYPERLINK(AA2 &amp; "/knife/sn_de69d6441bbf8d39230a4d129580843a/rendering/13.obj", "1.89056897163")</f>
        <v>1.89056897163</v>
      </c>
      <c r="Q1418" s="107" t="str">
        <f>HYPERLINK(AA2 &amp; "/knife/sn_de69d6441bbf8d39230a4d129580843a/rendering/14.obj", "1.58237171173")</f>
        <v>1.58237171173</v>
      </c>
      <c r="R1418" s="80" t="str">
        <f>HYPERLINK(AA2 &amp; "/knife/sn_de69d6441bbf8d39230a4d129580843a/rendering/15.obj", "1.24612045288")</f>
        <v>1.24612045288</v>
      </c>
      <c r="S1418" s="42" t="str">
        <f>HYPERLINK(AA2 &amp; "/knife/sn_de69d6441bbf8d39230a4d129580843a/rendering/16.obj", "1.26078808308")</f>
        <v>1.26078808308</v>
      </c>
      <c r="T1418" s="49" t="str">
        <f>HYPERLINK(AA2 &amp; "/knife/sn_de69d6441bbf8d39230a4d129580843a/rendering/17.obj", "1.15886902809")</f>
        <v>1.15886902809</v>
      </c>
      <c r="U1418" s="76" t="str">
        <f>HYPERLINK(AA2 &amp; "/knife/sn_de69d6441bbf8d39230a4d129580843a/rendering/18.obj", "1.7314697504")</f>
        <v>1.7314697504</v>
      </c>
      <c r="V1418" s="100" t="str">
        <f>HYPERLINK(AA2 &amp; "/knife/sn_de69d6441bbf8d39230a4d129580843a/rendering/19.obj", "1.90255773067")</f>
        <v>1.90255773067</v>
      </c>
      <c r="W1418" s="12" t="s">
        <v>30</v>
      </c>
      <c r="X1418" s="13">
        <v>1.462212610244751</v>
      </c>
      <c r="Y1418" s="13">
        <v>0.33547824256726089</v>
      </c>
      <c r="Z1418" s="98">
        <v>0.22943191723063261</v>
      </c>
    </row>
    <row r="1419" spans="1:26" x14ac:dyDescent="0.2">
      <c r="A1419" s="1">
        <v>1417</v>
      </c>
      <c r="B1419" s="2" t="s">
        <v>316</v>
      </c>
      <c r="C1419" s="23" t="str">
        <f>HYPERLINK(AB2 &amp; "/knife/sn_de69d6441bbf8d39230a4d129580843a/rendering/00.obj", "4.24291656494")</f>
        <v>4.24291656494</v>
      </c>
      <c r="D1419" s="72" t="str">
        <f>HYPERLINK(AB2 &amp; "/knife/sn_de69d6441bbf8d39230a4d129580843a/rendering/01.obj", "4.55682922363")</f>
        <v>4.55682922363</v>
      </c>
      <c r="E1419" s="41" t="str">
        <f>HYPERLINK(AB2 &amp; "/knife/sn_de69d6441bbf8d39230a4d129580843a/rendering/02.obj", "4.11954162598")</f>
        <v>4.11954162598</v>
      </c>
      <c r="F1419" s="74" t="str">
        <f>HYPERLINK(AB2 &amp; "/knife/sn_de69d6441bbf8d39230a4d129580843a/rendering/03.obj", "4.47128173828")</f>
        <v>4.47128173828</v>
      </c>
      <c r="G1419" s="47" t="str">
        <f>HYPERLINK(AB2 &amp; "/knife/sn_de69d6441bbf8d39230a4d129580843a/rendering/04.obj", "4.44985626221")</f>
        <v>4.44985626221</v>
      </c>
      <c r="H1419" s="133" t="str">
        <f>HYPERLINK(AB2 &amp; "/knife/sn_de69d6441bbf8d39230a4d129580843a/rendering/05.obj", "3.96651672363")</f>
        <v>3.96651672363</v>
      </c>
      <c r="I1419" s="34" t="str">
        <f>HYPERLINK(AB2 &amp; "/knife/sn_de69d6441bbf8d39230a4d129580843a/rendering/06.obj", "4.62369995117")</f>
        <v>4.62369995117</v>
      </c>
      <c r="J1419" s="35" t="str">
        <f>HYPERLINK(AB2 &amp; "/knife/sn_de69d6441bbf8d39230a4d129580843a/rendering/07.obj", "4.15970153809")</f>
        <v>4.15970153809</v>
      </c>
      <c r="K1419" s="74" t="str">
        <f>HYPERLINK(AB2 &amp; "/knife/sn_de69d6441bbf8d39230a4d129580843a/rendering/08.obj", "4.4754095459")</f>
        <v>4.4754095459</v>
      </c>
      <c r="L1419" s="67" t="str">
        <f>HYPERLINK(AB2 &amp; "/knife/sn_de69d6441bbf8d39230a4d129580843a/rendering/09.obj", "4.81553100586")</f>
        <v>4.81553100586</v>
      </c>
      <c r="M1419" s="60" t="str">
        <f>HYPERLINK(AB2 &amp; "/knife/sn_de69d6441bbf8d39230a4d129580843a/rendering/10.obj", "4.18812225342")</f>
        <v>4.18812225342</v>
      </c>
      <c r="N1419" s="60" t="str">
        <f>HYPERLINK(AB2 &amp; "/knife/sn_de69d6441bbf8d39230a4d129580843a/rendering/11.obj", "4.17961914063")</f>
        <v>4.17961914063</v>
      </c>
      <c r="O1419" s="69" t="str">
        <f>HYPERLINK(AB2 &amp; "/knife/sn_de69d6441bbf8d39230a4d129580843a/rendering/12.obj", "4.27920135498")</f>
        <v>4.27920135498</v>
      </c>
      <c r="P1419" s="33" t="str">
        <f>HYPERLINK(AB2 &amp; "/knife/sn_de69d6441bbf8d39230a4d129580843a/rendering/13.obj", "4.88488586426")</f>
        <v>4.88488586426</v>
      </c>
      <c r="Q1419" s="74" t="str">
        <f>HYPERLINK(AB2 &amp; "/knife/sn_de69d6441bbf8d39230a4d129580843a/rendering/14.obj", "4.34861694336")</f>
        <v>4.34861694336</v>
      </c>
      <c r="R1419" s="35" t="str">
        <f>HYPERLINK(AB2 &amp; "/knife/sn_de69d6441bbf8d39230a4d129580843a/rendering/15.obj", "4.66434997559")</f>
        <v>4.66434997559</v>
      </c>
      <c r="S1419" s="68" t="str">
        <f>HYPERLINK(AB2 &amp; "/knife/sn_de69d6441bbf8d39230a4d129580843a/rendering/16.obj", "4.59712371826")</f>
        <v>4.59712371826</v>
      </c>
      <c r="T1419" s="25" t="str">
        <f>HYPERLINK(AB2 &amp; "/knife/sn_de69d6441bbf8d39230a4d129580843a/rendering/17.obj", "4.36663421631")</f>
        <v>4.36663421631</v>
      </c>
      <c r="U1419" s="74" t="str">
        <f>HYPERLINK(AB2 &amp; "/knife/sn_de69d6441bbf8d39230a4d129580843a/rendering/18.obj", "4.35662811279")</f>
        <v>4.35662811279</v>
      </c>
      <c r="V1419" s="17" t="str">
        <f>HYPERLINK(AB2 &amp; "/knife/sn_de69d6441bbf8d39230a4d129580843a/rendering/19.obj", "4.50752685547")</f>
        <v>4.50752685547</v>
      </c>
      <c r="W1419" s="12" t="s">
        <v>31</v>
      </c>
      <c r="X1419" s="13">
        <v>4.4126996307373041</v>
      </c>
      <c r="Y1419" s="13">
        <v>0.23188529959009449</v>
      </c>
      <c r="Z1419" s="60">
        <v>5.2549531804717352E-2</v>
      </c>
    </row>
    <row r="1420" spans="1:26" x14ac:dyDescent="0.2">
      <c r="A1420" s="1">
        <v>1418</v>
      </c>
      <c r="B1420" s="2" t="s">
        <v>316</v>
      </c>
      <c r="C1420" s="86" t="str">
        <f>HYPERLINK(AB2 &amp; "/knife/sn_de69d6441bbf8d39230a4d129580843a/rendering/00.obj", "1.23787748814")</f>
        <v>1.23787748814</v>
      </c>
      <c r="D1420" s="171" t="str">
        <f>HYPERLINK(AB2 &amp; "/knife/sn_de69d6441bbf8d39230a4d129580843a/rendering/01.obj", "2.21291208267")</f>
        <v>2.21291208267</v>
      </c>
      <c r="E1420" s="10" t="str">
        <f>HYPERLINK(AB2 &amp; "/knife/sn_de69d6441bbf8d39230a4d129580843a/rendering/02.obj", "1.78875899315")</f>
        <v>1.78875899315</v>
      </c>
      <c r="F1420" s="89" t="str">
        <f>HYPERLINK(AB2 &amp; "/knife/sn_de69d6441bbf8d39230a4d129580843a/rendering/03.obj", "1.25702512264")</f>
        <v>1.25702512264</v>
      </c>
      <c r="G1420" s="90" t="str">
        <f>HYPERLINK(AB2 &amp; "/knife/sn_de69d6441bbf8d39230a4d129580843a/rendering/04.obj", "1.8549311161")</f>
        <v>1.8549311161</v>
      </c>
      <c r="H1420" s="37" t="str">
        <f>HYPERLINK(AB2 &amp; "/knife/sn_de69d6441bbf8d39230a4d129580843a/rendering/05.obj", "1.39970040321")</f>
        <v>1.39970040321</v>
      </c>
      <c r="I1420" s="107" t="str">
        <f>HYPERLINK(AB2 &amp; "/knife/sn_de69d6441bbf8d39230a4d129580843a/rendering/06.obj", "1.83506631851")</f>
        <v>1.83506631851</v>
      </c>
      <c r="J1420" s="99" t="str">
        <f>HYPERLINK(AB2 &amp; "/knife/sn_de69d6441bbf8d39230a4d129580843a/rendering/07.obj", "1.23611915112")</f>
        <v>1.23611915112</v>
      </c>
      <c r="K1420" s="66" t="str">
        <f>HYPERLINK(AB2 &amp; "/knife/sn_de69d6441bbf8d39230a4d129580843a/rendering/08.obj", "1.41843247414")</f>
        <v>1.41843247414</v>
      </c>
      <c r="L1420" s="25" t="str">
        <f>HYPERLINK(AB2 &amp; "/knife/sn_de69d6441bbf8d39230a4d129580843a/rendering/09.obj", "1.67472147942")</f>
        <v>1.67472147942</v>
      </c>
      <c r="M1420" s="42" t="str">
        <f>HYPERLINK(AB2 &amp; "/knife/sn_de69d6441bbf8d39230a4d129580843a/rendering/10.obj", "1.46004867554")</f>
        <v>1.46004867554</v>
      </c>
      <c r="N1420" s="83" t="str">
        <f>HYPERLINK(AB2 &amp; "/knife/sn_de69d6441bbf8d39230a4d129580843a/rendering/11.obj", "1.43556523323")</f>
        <v>1.43556523323</v>
      </c>
      <c r="O1420" s="137" t="str">
        <f>HYPERLINK(AB2 &amp; "/knife/sn_de69d6441bbf8d39230a4d129580843a/rendering/12.obj", "2.3137550354")</f>
        <v>2.3137550354</v>
      </c>
      <c r="P1420" s="43" t="str">
        <f>HYPERLINK(AB2 &amp; "/knife/sn_de69d6441bbf8d39230a4d129580843a/rendering/13.obj", "2.32723069191")</f>
        <v>2.32723069191</v>
      </c>
      <c r="Q1420" s="19" t="str">
        <f>HYPERLINK(AB2 &amp; "/knife/sn_de69d6441bbf8d39230a4d129580843a/rendering/14.obj", "2.13793683052")</f>
        <v>2.13793683052</v>
      </c>
      <c r="R1420" s="46" t="str">
        <f>HYPERLINK(AB2 &amp; "/knife/sn_de69d6441bbf8d39230a4d129580843a/rendering/15.obj", "1.72051501274")</f>
        <v>1.72051501274</v>
      </c>
      <c r="S1420" s="38" t="str">
        <f>HYPERLINK(AB2 &amp; "/knife/sn_de69d6441bbf8d39230a4d129580843a/rendering/16.obj", "1.54392337799")</f>
        <v>1.54392337799</v>
      </c>
      <c r="T1420" s="29" t="str">
        <f>HYPERLINK(AB2 &amp; "/knife/sn_de69d6441bbf8d39230a4d129580843a/rendering/17.obj", "1.47151613235")</f>
        <v>1.47151613235</v>
      </c>
      <c r="U1420" s="82" t="str">
        <f>HYPERLINK(AB2 &amp; "/knife/sn_de69d6441bbf8d39230a4d129580843a/rendering/18.obj", "2.04180502892")</f>
        <v>2.04180502892</v>
      </c>
      <c r="V1420" s="106" t="str">
        <f>HYPERLINK(AB2 &amp; "/knife/sn_de69d6441bbf8d39230a4d129580843a/rendering/19.obj", "1.49831461906")</f>
        <v>1.49831461906</v>
      </c>
      <c r="W1420" s="12" t="s">
        <v>32</v>
      </c>
      <c r="X1420" s="13">
        <v>1.6933077633380891</v>
      </c>
      <c r="Y1420" s="13">
        <v>0.34865988361709949</v>
      </c>
      <c r="Z1420" s="82">
        <v>0.20590461531326801</v>
      </c>
    </row>
    <row r="1421" spans="1:26" x14ac:dyDescent="0.2">
      <c r="A1421" s="1">
        <v>1419</v>
      </c>
      <c r="B1421" s="2" t="s">
        <v>316</v>
      </c>
      <c r="C1421" s="13" t="str">
        <f>HYPERLINK(AC2 &amp; "/knife/sn_de69d6441bbf8d39230a4d129580843a/rendering/00.xyz", "0.0")</f>
        <v>0.0</v>
      </c>
      <c r="D1421" s="13" t="str">
        <f>HYPERLINK(AC2 &amp; "/knife/sn_de69d6441bbf8d39230a4d129580843a/rendering/01.xyz", "0.0")</f>
        <v>0.0</v>
      </c>
      <c r="E1421" s="13" t="str">
        <f>HYPERLINK(AC2 &amp; "/knife/sn_de69d6441bbf8d39230a4d129580843a/rendering/02.xyz", "0.0")</f>
        <v>0.0</v>
      </c>
      <c r="F1421" s="13" t="str">
        <f>HYPERLINK(AC2 &amp; "/knife/sn_de69d6441bbf8d39230a4d129580843a/rendering/03.xyz", "0.0")</f>
        <v>0.0</v>
      </c>
      <c r="G1421" s="13" t="str">
        <f>HYPERLINK(AC2 &amp; "/knife/sn_de69d6441bbf8d39230a4d129580843a/rendering/04.xyz", "0.0")</f>
        <v>0.0</v>
      </c>
      <c r="H1421" s="13" t="str">
        <f>HYPERLINK(AC2 &amp; "/knife/sn_de69d6441bbf8d39230a4d129580843a/rendering/05.xyz", "0.0")</f>
        <v>0.0</v>
      </c>
      <c r="I1421" s="13" t="str">
        <f>HYPERLINK(AC2 &amp; "/knife/sn_de69d6441bbf8d39230a4d129580843a/rendering/06.xyz", "0.0")</f>
        <v>0.0</v>
      </c>
      <c r="J1421" s="13" t="str">
        <f>HYPERLINK(AC2 &amp; "/knife/sn_de69d6441bbf8d39230a4d129580843a/rendering/07.xyz", "0.0")</f>
        <v>0.0</v>
      </c>
      <c r="K1421" s="13" t="str">
        <f>HYPERLINK(AC2 &amp; "/knife/sn_de69d6441bbf8d39230a4d129580843a/rendering/08.xyz", "0.0")</f>
        <v>0.0</v>
      </c>
      <c r="L1421" s="13" t="str">
        <f>HYPERLINK(AC2 &amp; "/knife/sn_de69d6441bbf8d39230a4d129580843a/rendering/09.xyz", "0.0")</f>
        <v>0.0</v>
      </c>
      <c r="M1421" s="13" t="str">
        <f>HYPERLINK(AC2 &amp; "/knife/sn_de69d6441bbf8d39230a4d129580843a/rendering/10.xyz", "0.0")</f>
        <v>0.0</v>
      </c>
      <c r="N1421" s="13" t="str">
        <f>HYPERLINK(AC2 &amp; "/knife/sn_de69d6441bbf8d39230a4d129580843a/rendering/11.xyz", "0.0")</f>
        <v>0.0</v>
      </c>
      <c r="O1421" s="13" t="str">
        <f>HYPERLINK(AC2 &amp; "/knife/sn_de69d6441bbf8d39230a4d129580843a/rendering/12.xyz", "0.0")</f>
        <v>0.0</v>
      </c>
      <c r="P1421" s="13" t="str">
        <f>HYPERLINK(AC2 &amp; "/knife/sn_de69d6441bbf8d39230a4d129580843a/rendering/13.xyz", "0.0")</f>
        <v>0.0</v>
      </c>
      <c r="Q1421" s="13" t="str">
        <f>HYPERLINK(AC2 &amp; "/knife/sn_de69d6441bbf8d39230a4d129580843a/rendering/14.xyz", "0.0")</f>
        <v>0.0</v>
      </c>
      <c r="R1421" s="13" t="str">
        <f>HYPERLINK(AC2 &amp; "/knife/sn_de69d6441bbf8d39230a4d129580843a/rendering/15.xyz", "0.0")</f>
        <v>0.0</v>
      </c>
      <c r="S1421" s="13" t="str">
        <f>HYPERLINK(AC2 &amp; "/knife/sn_de69d6441bbf8d39230a4d129580843a/rendering/16.xyz", "0.0")</f>
        <v>0.0</v>
      </c>
      <c r="T1421" s="13" t="str">
        <f>HYPERLINK(AC2 &amp; "/knife/sn_de69d6441bbf8d39230a4d129580843a/rendering/17.xyz", "0.0")</f>
        <v>0.0</v>
      </c>
      <c r="U1421" s="13" t="str">
        <f>HYPERLINK(AC2 &amp; "/knife/sn_de69d6441bbf8d39230a4d129580843a/rendering/18.xyz", "0.0")</f>
        <v>0.0</v>
      </c>
      <c r="V1421" s="13" t="str">
        <f>HYPERLINK(AC2 &amp; "/knife/sn_de69d6441bbf8d39230a4d129580843a/rendering/19.xyz", "0.0")</f>
        <v>0.0</v>
      </c>
      <c r="W1421" s="12" t="s">
        <v>33</v>
      </c>
      <c r="X1421" s="13">
        <v>0</v>
      </c>
      <c r="Y1421" s="13">
        <v>0</v>
      </c>
      <c r="Z1421" s="13">
        <v>0</v>
      </c>
    </row>
    <row r="1422" spans="1:26" x14ac:dyDescent="0.2">
      <c r="A1422" s="1">
        <v>1420</v>
      </c>
      <c r="B1422" s="2" t="s">
        <v>317</v>
      </c>
      <c r="C1422" s="30" t="str">
        <f>HYPERLINK(AA2 &amp; "/knife/sn_debbbf239d59d8724662dc124dd336ed/rendering/00.obj", "3.15126098633")</f>
        <v>3.15126098633</v>
      </c>
      <c r="D1422" s="134" t="str">
        <f>HYPERLINK(AA2 &amp; "/knife/sn_debbbf239d59d8724662dc124dd336ed/rendering/01.obj", "3.70590454102")</f>
        <v>3.70590454102</v>
      </c>
      <c r="E1422" s="32" t="str">
        <f>HYPERLINK(AA2 &amp; "/knife/sn_debbbf239d59d8724662dc124dd336ed/rendering/02.obj", "2.80613891602")</f>
        <v>2.80613891602</v>
      </c>
      <c r="F1422" s="84" t="str">
        <f>HYPERLINK(AA2 &amp; "/knife/sn_debbbf239d59d8724662dc124dd336ed/rendering/03.obj", "2.68048950195")</f>
        <v>2.68048950195</v>
      </c>
      <c r="G1422" s="82" t="str">
        <f>HYPERLINK(AA2 &amp; "/knife/sn_debbbf239d59d8724662dc124dd336ed/rendering/04.obj", "2.49531143188")</f>
        <v>2.49531143188</v>
      </c>
      <c r="H1422" s="17" t="str">
        <f>HYPERLINK(AA2 &amp; "/knife/sn_debbbf239d59d8724662dc124dd336ed/rendering/05.obj", "3.2051361084")</f>
        <v>3.2051361084</v>
      </c>
      <c r="I1422" s="79" t="str">
        <f>HYPERLINK(AA2 &amp; "/knife/sn_debbbf239d59d8724662dc124dd336ed/rendering/06.obj", "3.63522369385")</f>
        <v>3.63522369385</v>
      </c>
      <c r="J1422" s="88" t="str">
        <f>HYPERLINK(AA2 &amp; "/knife/sn_debbbf239d59d8724662dc124dd336ed/rendering/07.obj", "3.77163543701")</f>
        <v>3.77163543701</v>
      </c>
      <c r="K1422" s="110" t="str">
        <f>HYPERLINK(AA2 &amp; "/knife/sn_debbbf239d59d8724662dc124dd336ed/rendering/08.obj", "2.82856903076")</f>
        <v>2.82856903076</v>
      </c>
      <c r="L1422" s="29" t="str">
        <f>HYPERLINK(AA2 &amp; "/knife/sn_debbbf239d59d8724662dc124dd336ed/rendering/09.obj", "2.72681396484")</f>
        <v>2.72681396484</v>
      </c>
      <c r="M1422" s="85" t="str">
        <f>HYPERLINK(AA2 &amp; "/knife/sn_debbbf239d59d8724662dc124dd336ed/rendering/10.obj", "4.06385284424")</f>
        <v>4.06385284424</v>
      </c>
      <c r="N1422" s="31" t="str">
        <f>HYPERLINK(AA2 &amp; "/knife/sn_debbbf239d59d8724662dc124dd336ed/rendering/11.obj", "2.65002838135")</f>
        <v>2.65002838135</v>
      </c>
      <c r="O1422" s="94" t="str">
        <f>HYPERLINK(AA2 &amp; "/knife/sn_debbbf239d59d8724662dc124dd336ed/rendering/12.obj", "2.90501708984")</f>
        <v>2.90501708984</v>
      </c>
      <c r="P1422" s="30" t="str">
        <f>HYPERLINK(AA2 &amp; "/knife/sn_debbbf239d59d8724662dc124dd336ed/rendering/13.obj", "3.14682312012")</f>
        <v>3.14682312012</v>
      </c>
      <c r="Q1422" s="93" t="str">
        <f>HYPERLINK(AA2 &amp; "/knife/sn_debbbf239d59d8724662dc124dd336ed/rendering/14.obj", "2.70278686523")</f>
        <v>2.70278686523</v>
      </c>
      <c r="R1422" s="93" t="str">
        <f>HYPERLINK(AA2 &amp; "/knife/sn_debbbf239d59d8724662dc124dd336ed/rendering/15.obj", "2.70182067871")</f>
        <v>2.70182067871</v>
      </c>
      <c r="S1422" s="68" t="str">
        <f>HYPERLINK(AA2 &amp; "/knife/sn_debbbf239d59d8724662dc124dd336ed/rendering/16.obj", "3.27238342285")</f>
        <v>3.27238342285</v>
      </c>
      <c r="T1422" s="55" t="str">
        <f>HYPERLINK(AA2 &amp; "/knife/sn_debbbf239d59d8724662dc124dd336ed/rendering/17.obj", "3.7368572998")</f>
        <v>3.7368572998</v>
      </c>
      <c r="U1422" s="32" t="str">
        <f>HYPERLINK(AA2 &amp; "/knife/sn_debbbf239d59d8724662dc124dd336ed/rendering/18.obj", "2.80216003418")</f>
        <v>2.80216003418</v>
      </c>
      <c r="V1422" s="55" t="str">
        <f>HYPERLINK(AA2 &amp; "/knife/sn_debbbf239d59d8724662dc124dd336ed/rendering/19.obj", "3.74178710938")</f>
        <v>3.74178710938</v>
      </c>
      <c r="W1422" s="12" t="s">
        <v>29</v>
      </c>
      <c r="X1422" s="13">
        <v>3.1365000228881832</v>
      </c>
      <c r="Y1422" s="13">
        <v>0.46672125149652682</v>
      </c>
      <c r="Z1422" s="80">
        <v>0.1488032035997742</v>
      </c>
    </row>
    <row r="1423" spans="1:26" x14ac:dyDescent="0.2">
      <c r="A1423" s="1">
        <v>1421</v>
      </c>
      <c r="B1423" s="2" t="s">
        <v>317</v>
      </c>
      <c r="C1423" s="35" t="str">
        <f>HYPERLINK(AA2 &amp; "/knife/sn_debbbf239d59d8724662dc124dd336ed/rendering/00.obj", "1.84876441956")</f>
        <v>1.84876441956</v>
      </c>
      <c r="D1423" s="214" t="str">
        <f>HYPERLINK(AA2 &amp; "/knife/sn_debbbf239d59d8724662dc124dd336ed/rendering/01.obj", "3.17659711838")</f>
        <v>3.17659711838</v>
      </c>
      <c r="E1423" s="170" t="str">
        <f>HYPERLINK(AA2 &amp; "/knife/sn_debbbf239d59d8724662dc124dd336ed/rendering/02.obj", "1.46666800976")</f>
        <v>1.46666800976</v>
      </c>
      <c r="F1423" s="171" t="str">
        <f>HYPERLINK(AA2 &amp; "/knife/sn_debbbf239d59d8724662dc124dd336ed/rendering/03.obj", "1.36197006702")</f>
        <v>1.36197006702</v>
      </c>
      <c r="G1423" s="95" t="str">
        <f>HYPERLINK(AA2 &amp; "/knife/sn_debbbf239d59d8724662dc124dd336ed/rendering/04.obj", "1.41203546524")</f>
        <v>1.41203546524</v>
      </c>
      <c r="H1423" s="89" t="str">
        <f>HYPERLINK(AA2 &amp; "/knife/sn_debbbf239d59d8724662dc124dd336ed/rendering/05.obj", "1.4560302496")</f>
        <v>1.4560302496</v>
      </c>
      <c r="I1423" s="102" t="str">
        <f>HYPERLINK(AA2 &amp; "/knife/sn_debbbf239d59d8724662dc124dd336ed/rendering/06.obj", "2.94073438644")</f>
        <v>2.94073438644</v>
      </c>
      <c r="J1423" s="20" t="str">
        <f>HYPERLINK(AA2 &amp; "/knife/sn_debbbf239d59d8724662dc124dd336ed/rendering/07.obj", "5.53477525711")</f>
        <v>5.53477525711</v>
      </c>
      <c r="K1423" s="117" t="str">
        <f>HYPERLINK(AA2 &amp; "/knife/sn_debbbf239d59d8724662dc124dd336ed/rendering/08.obj", "1.61800694466")</f>
        <v>1.61800694466</v>
      </c>
      <c r="L1423" s="58" t="str">
        <f>HYPERLINK(AA2 &amp; "/knife/sn_debbbf239d59d8724662dc124dd336ed/rendering/09.obj", "1.48920583725")</f>
        <v>1.48920583725</v>
      </c>
      <c r="M1423" s="50" t="str">
        <f>HYPERLINK(AA2 &amp; "/knife/sn_debbbf239d59d8724662dc124dd336ed/rendering/10.obj", "2.35655355453")</f>
        <v>2.35655355453</v>
      </c>
      <c r="N1423" s="98" t="str">
        <f>HYPERLINK(AA2 &amp; "/knife/sn_debbbf239d59d8724662dc124dd336ed/rendering/11.obj", "1.5083758831")</f>
        <v>1.5083758831</v>
      </c>
      <c r="O1423" s="24" t="str">
        <f>HYPERLINK(AA2 &amp; "/knife/sn_debbbf239d59d8724662dc124dd336ed/rendering/12.obj", "1.63532531261")</f>
        <v>1.63532531261</v>
      </c>
      <c r="P1423" s="89" t="str">
        <f>HYPERLINK(AA2 &amp; "/knife/sn_debbbf239d59d8724662dc124dd336ed/rendering/13.obj", "1.45626604557")</f>
        <v>1.45626604557</v>
      </c>
      <c r="Q1423" s="169" t="str">
        <f>HYPERLINK(AA2 &amp; "/knife/sn_debbbf239d59d8724662dc124dd336ed/rendering/14.obj", "1.34858775139")</f>
        <v>1.34858775139</v>
      </c>
      <c r="R1423" s="123" t="str">
        <f>HYPERLINK(AA2 &amp; "/knife/sn_debbbf239d59d8724662dc124dd336ed/rendering/15.obj", "1.2390692234")</f>
        <v>1.2390692234</v>
      </c>
      <c r="S1423" s="33" t="str">
        <f>HYPERLINK(AA2 &amp; "/knife/sn_debbbf239d59d8724662dc124dd336ed/rendering/16.obj", "1.75244367123")</f>
        <v>1.75244367123</v>
      </c>
      <c r="T1423" s="28" t="str">
        <f>HYPERLINK(AA2 &amp; "/knife/sn_debbbf239d59d8724662dc124dd336ed/rendering/17.obj", "1.74301970005")</f>
        <v>1.74301970005</v>
      </c>
      <c r="U1423" s="192" t="str">
        <f>HYPERLINK(AA2 &amp; "/knife/sn_debbbf239d59d8724662dc124dd336ed/rendering/18.obj", "1.23252391815")</f>
        <v>1.23252391815</v>
      </c>
      <c r="V1423" s="43" t="str">
        <f>HYPERLINK(AA2 &amp; "/knife/sn_debbbf239d59d8724662dc124dd336ed/rendering/19.obj", "2.69809699059")</f>
        <v>2.69809699059</v>
      </c>
      <c r="W1423" s="12" t="s">
        <v>30</v>
      </c>
      <c r="X1423" s="13">
        <v>1.9637524902820589</v>
      </c>
      <c r="Y1423" s="13">
        <v>0.98754865895636379</v>
      </c>
      <c r="Z1423" s="144">
        <v>0.50288855843259539</v>
      </c>
    </row>
    <row r="1424" spans="1:26" x14ac:dyDescent="0.2">
      <c r="A1424" s="1">
        <v>1422</v>
      </c>
      <c r="B1424" s="2" t="s">
        <v>317</v>
      </c>
      <c r="C1424" s="25" t="str">
        <f>HYPERLINK(AB2 &amp; "/knife/sn_debbbf239d59d8724662dc124dd336ed/rendering/00.obj", "3.13063659668")</f>
        <v>3.13063659668</v>
      </c>
      <c r="D1424" s="69" t="str">
        <f>HYPERLINK(AB2 &amp; "/knife/sn_debbbf239d59d8724662dc124dd336ed/rendering/01.obj", "2.99888916016")</f>
        <v>2.99888916016</v>
      </c>
      <c r="E1424" s="63" t="str">
        <f>HYPERLINK(AB2 &amp; "/knife/sn_debbbf239d59d8724662dc124dd336ed/rendering/02.obj", "2.71763580322")</f>
        <v>2.71763580322</v>
      </c>
      <c r="F1424" s="35" t="str">
        <f>HYPERLINK(AB2 &amp; "/knife/sn_debbbf239d59d8724662dc124dd336ed/rendering/03.obj", "3.27519042969")</f>
        <v>3.27519042969</v>
      </c>
      <c r="G1424" s="28" t="str">
        <f>HYPERLINK(AB2 &amp; "/knife/sn_debbbf239d59d8724662dc124dd336ed/rendering/04.obj", "2.74909362793")</f>
        <v>2.74909362793</v>
      </c>
      <c r="H1424" s="5" t="str">
        <f>HYPERLINK(AB2 &amp; "/knife/sn_debbbf239d59d8724662dc124dd336ed/rendering/05.obj", "3.33078552246")</f>
        <v>3.33078552246</v>
      </c>
      <c r="I1424" s="44" t="str">
        <f>HYPERLINK(AB2 &amp; "/knife/sn_debbbf239d59d8724662dc124dd336ed/rendering/06.obj", "3.69685028076")</f>
        <v>3.69685028076</v>
      </c>
      <c r="J1424" s="47" t="str">
        <f>HYPERLINK(AB2 &amp; "/knife/sn_debbbf239d59d8724662dc124dd336ed/rendering/07.obj", "3.07095397949")</f>
        <v>3.07095397949</v>
      </c>
      <c r="K1424" s="92" t="str">
        <f>HYPERLINK(AB2 &amp; "/knife/sn_debbbf239d59d8724662dc124dd336ed/rendering/08.obj", "2.7131262207")</f>
        <v>2.7131262207</v>
      </c>
      <c r="L1424" s="92" t="str">
        <f>HYPERLINK(AB2 &amp; "/knife/sn_debbbf239d59d8724662dc124dd336ed/rendering/09.obj", "2.7108682251")</f>
        <v>2.7108682251</v>
      </c>
      <c r="M1424" s="25" t="str">
        <f>HYPERLINK(AB2 &amp; "/knife/sn_debbbf239d59d8724662dc124dd336ed/rendering/10.obj", "3.05881896973")</f>
        <v>3.05881896973</v>
      </c>
      <c r="N1424" s="60" t="str">
        <f>HYPERLINK(AB2 &amp; "/knife/sn_debbbf239d59d8724662dc124dd336ed/rendering/11.obj", "2.93023498535")</f>
        <v>2.93023498535</v>
      </c>
      <c r="O1424" s="83" t="str">
        <f>HYPERLINK(AB2 &amp; "/knife/sn_debbbf239d59d8724662dc124dd336ed/rendering/12.obj", "2.62058380127")</f>
        <v>2.62058380127</v>
      </c>
      <c r="P1424" s="68" t="str">
        <f>HYPERLINK(AB2 &amp; "/knife/sn_debbbf239d59d8724662dc124dd336ed/rendering/13.obj", "2.95707458496")</f>
        <v>2.95707458496</v>
      </c>
      <c r="Q1424" s="6" t="str">
        <f>HYPERLINK(AB2 &amp; "/knife/sn_debbbf239d59d8724662dc124dd336ed/rendering/14.obj", "3.23305786133")</f>
        <v>3.23305786133</v>
      </c>
      <c r="R1424" s="88" t="str">
        <f>HYPERLINK(AB2 &amp; "/knife/sn_debbbf239d59d8724662dc124dd336ed/rendering/15.obj", "3.72165985107")</f>
        <v>3.72165985107</v>
      </c>
      <c r="S1424" s="71" t="str">
        <f>HYPERLINK(AB2 &amp; "/knife/sn_debbbf239d59d8724662dc124dd336ed/rendering/16.obj", "2.72921539307")</f>
        <v>2.72921539307</v>
      </c>
      <c r="T1424" s="23" t="str">
        <f>HYPERLINK(AB2 &amp; "/knife/sn_debbbf239d59d8724662dc124dd336ed/rendering/17.obj", "2.97433410645")</f>
        <v>2.97433410645</v>
      </c>
      <c r="U1424" s="37" t="str">
        <f>HYPERLINK(AB2 &amp; "/knife/sn_debbbf239d59d8724662dc124dd336ed/rendering/18.obj", "3.63344818115")</f>
        <v>3.63344818115</v>
      </c>
      <c r="V1424" s="66" t="str">
        <f>HYPERLINK(AB2 &amp; "/knife/sn_debbbf239d59d8724662dc124dd336ed/rendering/19.obj", "3.59067260742")</f>
        <v>3.59067260742</v>
      </c>
      <c r="W1424" s="12" t="s">
        <v>31</v>
      </c>
      <c r="X1424" s="13">
        <v>3.0921565093994139</v>
      </c>
      <c r="Y1424" s="13">
        <v>0.34532161594468308</v>
      </c>
      <c r="Z1424" s="28">
        <v>0.11167662920521269</v>
      </c>
    </row>
    <row r="1425" spans="1:26" x14ac:dyDescent="0.2">
      <c r="A1425" s="1">
        <v>1423</v>
      </c>
      <c r="B1425" s="2" t="s">
        <v>317</v>
      </c>
      <c r="C1425" s="30" t="str">
        <f>HYPERLINK(AB2 &amp; "/knife/sn_debbbf239d59d8724662dc124dd336ed/rendering/00.obj", "1.34003579617")</f>
        <v>1.34003579617</v>
      </c>
      <c r="D1425" s="117" t="str">
        <f>HYPERLINK(AB2 &amp; "/knife/sn_debbbf239d59d8724662dc124dd336ed/rendering/01.obj", "1.10522389412")</f>
        <v>1.10522389412</v>
      </c>
      <c r="E1425" s="63" t="str">
        <f>HYPERLINK(AB2 &amp; "/knife/sn_debbbf239d59d8724662dc124dd336ed/rendering/02.obj", "1.1820898056")</f>
        <v>1.1820898056</v>
      </c>
      <c r="F1425" s="31" t="str">
        <f>HYPERLINK(AB2 &amp; "/knife/sn_debbbf239d59d8724662dc124dd336ed/rendering/03.obj", "1.55313491821")</f>
        <v>1.55313491821</v>
      </c>
      <c r="G1425" s="13" t="str">
        <f>HYPERLINK(AB2 &amp; "/knife/sn_debbbf239d59d8724662dc124dd336ed/rendering/04.obj", "1.34380078316")</f>
        <v>1.34380078316</v>
      </c>
      <c r="H1425" s="91" t="str">
        <f>HYPERLINK(AB2 &amp; "/knife/sn_debbbf239d59d8724662dc124dd336ed/rendering/05.obj", "1.31054115295")</f>
        <v>1.31054115295</v>
      </c>
      <c r="I1425" s="77" t="str">
        <f>HYPERLINK(AB2 &amp; "/knife/sn_debbbf239d59d8724662dc124dd336ed/rendering/06.obj", "1.59783029556")</f>
        <v>1.59783029556</v>
      </c>
      <c r="J1425" s="69" t="str">
        <f>HYPERLINK(AB2 &amp; "/knife/sn_debbbf239d59d8724662dc124dd336ed/rendering/07.obj", "1.30495119095")</f>
        <v>1.30495119095</v>
      </c>
      <c r="K1425" s="133" t="str">
        <f>HYPERLINK(AB2 &amp; "/knife/sn_debbbf239d59d8724662dc124dd336ed/rendering/08.obj", "1.20847499371")</f>
        <v>1.20847499371</v>
      </c>
      <c r="L1425" s="30" t="str">
        <f>HYPERLINK(AB2 &amp; "/knife/sn_debbbf239d59d8724662dc124dd336ed/rendering/09.obj", "1.33899581432")</f>
        <v>1.33899581432</v>
      </c>
      <c r="M1425" s="13" t="str">
        <f>HYPERLINK(AB2 &amp; "/knife/sn_debbbf239d59d8724662dc124dd336ed/rendering/10.obj", "1.34162199497")</f>
        <v>1.34162199497</v>
      </c>
      <c r="N1425" s="17" t="str">
        <f>HYPERLINK(AB2 &amp; "/knife/sn_debbbf239d59d8724662dc124dd336ed/rendering/11.obj", "1.37153506279")</f>
        <v>1.37153506279</v>
      </c>
      <c r="O1425" s="13" t="str">
        <f>HYPERLINK(AB2 &amp; "/knife/sn_debbbf239d59d8724662dc124dd336ed/rendering/12.obj", "1.34430170059")</f>
        <v>1.34430170059</v>
      </c>
      <c r="P1425" s="26" t="str">
        <f>HYPERLINK(AB2 &amp; "/knife/sn_debbbf239d59d8724662dc124dd336ed/rendering/13.obj", "1.26107275486")</f>
        <v>1.26107275486</v>
      </c>
      <c r="Q1425" s="91" t="str">
        <f>HYPERLINK(AB2 &amp; "/knife/sn_debbbf239d59d8724662dc124dd336ed/rendering/14.obj", "1.38072359562")</f>
        <v>1.38072359562</v>
      </c>
      <c r="R1425" s="168" t="str">
        <f>HYPERLINK(AB2 &amp; "/knife/sn_debbbf239d59d8724662dc124dd336ed/rendering/15.obj", "1.77967476845")</f>
        <v>1.77967476845</v>
      </c>
      <c r="S1425" s="78" t="str">
        <f>HYPERLINK(AB2 &amp; "/knife/sn_debbbf239d59d8724662dc124dd336ed/rendering/16.obj", "1.26414752007")</f>
        <v>1.26414752007</v>
      </c>
      <c r="T1425" s="35" t="str">
        <f>HYPERLINK(AB2 &amp; "/knife/sn_debbbf239d59d8724662dc124dd336ed/rendering/17.obj", "1.26592409611")</f>
        <v>1.26592409611</v>
      </c>
      <c r="U1425" s="93" t="str">
        <f>HYPERLINK(AB2 &amp; "/knife/sn_debbbf239d59d8724662dc124dd336ed/rendering/18.obj", "1.53445792198")</f>
        <v>1.53445792198</v>
      </c>
      <c r="V1425" s="55" t="str">
        <f>HYPERLINK(AB2 &amp; "/knife/sn_debbbf239d59d8724662dc124dd336ed/rendering/19.obj", "1.08704948425")</f>
        <v>1.08704948425</v>
      </c>
      <c r="W1425" s="12" t="s">
        <v>32</v>
      </c>
      <c r="X1425" s="13">
        <v>1.345779377222061</v>
      </c>
      <c r="Y1425" s="13">
        <v>0.16216612002355399</v>
      </c>
      <c r="Z1425" s="63">
        <v>0.1204997808469134</v>
      </c>
    </row>
    <row r="1426" spans="1:26" x14ac:dyDescent="0.2">
      <c r="A1426" s="1">
        <v>1424</v>
      </c>
      <c r="B1426" s="2" t="s">
        <v>317</v>
      </c>
      <c r="C1426" s="13" t="str">
        <f>HYPERLINK(AC2 &amp; "/knife/sn_debbbf239d59d8724662dc124dd336ed/rendering/00.xyz", "0.0")</f>
        <v>0.0</v>
      </c>
      <c r="D1426" s="13" t="str">
        <f>HYPERLINK(AC2 &amp; "/knife/sn_debbbf239d59d8724662dc124dd336ed/rendering/01.xyz", "0.0")</f>
        <v>0.0</v>
      </c>
      <c r="E1426" s="13" t="str">
        <f>HYPERLINK(AC2 &amp; "/knife/sn_debbbf239d59d8724662dc124dd336ed/rendering/02.xyz", "0.0")</f>
        <v>0.0</v>
      </c>
      <c r="F1426" s="13" t="str">
        <f>HYPERLINK(AC2 &amp; "/knife/sn_debbbf239d59d8724662dc124dd336ed/rendering/03.xyz", "0.0")</f>
        <v>0.0</v>
      </c>
      <c r="G1426" s="13" t="str">
        <f>HYPERLINK(AC2 &amp; "/knife/sn_debbbf239d59d8724662dc124dd336ed/rendering/04.xyz", "0.0")</f>
        <v>0.0</v>
      </c>
      <c r="H1426" s="13" t="str">
        <f>HYPERLINK(AC2 &amp; "/knife/sn_debbbf239d59d8724662dc124dd336ed/rendering/05.xyz", "0.0")</f>
        <v>0.0</v>
      </c>
      <c r="I1426" s="13" t="str">
        <f>HYPERLINK(AC2 &amp; "/knife/sn_debbbf239d59d8724662dc124dd336ed/rendering/06.xyz", "0.0")</f>
        <v>0.0</v>
      </c>
      <c r="J1426" s="13" t="str">
        <f>HYPERLINK(AC2 &amp; "/knife/sn_debbbf239d59d8724662dc124dd336ed/rendering/07.xyz", "0.0")</f>
        <v>0.0</v>
      </c>
      <c r="K1426" s="13" t="str">
        <f>HYPERLINK(AC2 &amp; "/knife/sn_debbbf239d59d8724662dc124dd336ed/rendering/08.xyz", "0.0")</f>
        <v>0.0</v>
      </c>
      <c r="L1426" s="13" t="str">
        <f>HYPERLINK(AC2 &amp; "/knife/sn_debbbf239d59d8724662dc124dd336ed/rendering/09.xyz", "0.0")</f>
        <v>0.0</v>
      </c>
      <c r="M1426" s="13" t="str">
        <f>HYPERLINK(AC2 &amp; "/knife/sn_debbbf239d59d8724662dc124dd336ed/rendering/10.xyz", "0.0")</f>
        <v>0.0</v>
      </c>
      <c r="N1426" s="13" t="str">
        <f>HYPERLINK(AC2 &amp; "/knife/sn_debbbf239d59d8724662dc124dd336ed/rendering/11.xyz", "0.0")</f>
        <v>0.0</v>
      </c>
      <c r="O1426" s="13" t="str">
        <f>HYPERLINK(AC2 &amp; "/knife/sn_debbbf239d59d8724662dc124dd336ed/rendering/12.xyz", "0.0")</f>
        <v>0.0</v>
      </c>
      <c r="P1426" s="13" t="str">
        <f>HYPERLINK(AC2 &amp; "/knife/sn_debbbf239d59d8724662dc124dd336ed/rendering/13.xyz", "0.0")</f>
        <v>0.0</v>
      </c>
      <c r="Q1426" s="13" t="str">
        <f>HYPERLINK(AC2 &amp; "/knife/sn_debbbf239d59d8724662dc124dd336ed/rendering/14.xyz", "0.0")</f>
        <v>0.0</v>
      </c>
      <c r="R1426" s="13" t="str">
        <f>HYPERLINK(AC2 &amp; "/knife/sn_debbbf239d59d8724662dc124dd336ed/rendering/15.xyz", "0.0")</f>
        <v>0.0</v>
      </c>
      <c r="S1426" s="13" t="str">
        <f>HYPERLINK(AC2 &amp; "/knife/sn_debbbf239d59d8724662dc124dd336ed/rendering/16.xyz", "0.0")</f>
        <v>0.0</v>
      </c>
      <c r="T1426" s="13" t="str">
        <f>HYPERLINK(AC2 &amp; "/knife/sn_debbbf239d59d8724662dc124dd336ed/rendering/17.xyz", "0.0")</f>
        <v>0.0</v>
      </c>
      <c r="U1426" s="13" t="str">
        <f>HYPERLINK(AC2 &amp; "/knife/sn_debbbf239d59d8724662dc124dd336ed/rendering/18.xyz", "0.0")</f>
        <v>0.0</v>
      </c>
      <c r="V1426" s="13" t="str">
        <f>HYPERLINK(AC2 &amp; "/knife/sn_debbbf239d59d8724662dc124dd336ed/rendering/19.xyz", "0.0")</f>
        <v>0.0</v>
      </c>
      <c r="W1426" s="12" t="s">
        <v>33</v>
      </c>
      <c r="X1426" s="13">
        <v>0</v>
      </c>
      <c r="Y1426" s="13">
        <v>0</v>
      </c>
      <c r="Z1426" s="13">
        <v>0</v>
      </c>
    </row>
    <row r="1427" spans="1:26" x14ac:dyDescent="0.2">
      <c r="A1427" s="1">
        <v>1425</v>
      </c>
      <c r="B1427" s="2" t="s">
        <v>318</v>
      </c>
      <c r="C1427" s="41" t="str">
        <f>HYPERLINK(AA2 &amp; "/knife/sn_decf7a4989469d3289eec1cc60f7c002/rendering/00.obj", "5.4220300293")</f>
        <v>5.4220300293</v>
      </c>
      <c r="D1427" s="84" t="str">
        <f>HYPERLINK(AA2 &amp; "/knife/sn_decf7a4989469d3289eec1cc60f7c002/rendering/01.obj", "6.67671020508")</f>
        <v>6.67671020508</v>
      </c>
      <c r="E1427" s="29" t="str">
        <f>HYPERLINK(AA2 &amp; "/knife/sn_decf7a4989469d3289eec1cc60f7c002/rendering/02.obj", "5.06869262695")</f>
        <v>5.06869262695</v>
      </c>
      <c r="F1427" s="63" t="str">
        <f>HYPERLINK(AA2 &amp; "/knife/sn_decf7a4989469d3289eec1cc60f7c002/rendering/03.obj", "5.11136474609")</f>
        <v>5.11136474609</v>
      </c>
      <c r="G1427" s="122" t="str">
        <f>HYPERLINK(AA2 &amp; "/knife/sn_decf7a4989469d3289eec1cc60f7c002/rendering/04.obj", "8.17114868164")</f>
        <v>8.17114868164</v>
      </c>
      <c r="H1427" s="13" t="str">
        <f>HYPERLINK(AA2 &amp; "/knife/sn_decf7a4989469d3289eec1cc60f7c002/rendering/05.obj", "5.83501831055")</f>
        <v>5.83501831055</v>
      </c>
      <c r="I1427" s="127" t="str">
        <f>HYPERLINK(AA2 &amp; "/knife/sn_decf7a4989469d3289eec1cc60f7c002/rendering/06.obj", "8.84250244141")</f>
        <v>8.84250244141</v>
      </c>
      <c r="J1427" s="100" t="str">
        <f>HYPERLINK(AA2 &amp; "/knife/sn_decf7a4989469d3289eec1cc60f7c002/rendering/07.obj", "4.07053405762")</f>
        <v>4.07053405762</v>
      </c>
      <c r="K1427" s="46" t="str">
        <f>HYPERLINK(AA2 &amp; "/knife/sn_decf7a4989469d3289eec1cc60f7c002/rendering/08.obj", "5.92675354004")</f>
        <v>5.92675354004</v>
      </c>
      <c r="L1427" s="150" t="str">
        <f>HYPERLINK(AA2 &amp; "/knife/sn_decf7a4989469d3289eec1cc60f7c002/rendering/09.obj", "8.96243896484")</f>
        <v>8.96243896484</v>
      </c>
      <c r="M1427" s="72" t="str">
        <f>HYPERLINK(AA2 &amp; "/knife/sn_decf7a4989469d3289eec1cc60f7c002/rendering/10.obj", "5.62547119141")</f>
        <v>5.62547119141</v>
      </c>
      <c r="N1427" s="91" t="str">
        <f>HYPERLINK(AA2 &amp; "/knife/sn_decf7a4989469d3289eec1cc60f7c002/rendering/11.obj", "5.9721105957")</f>
        <v>5.9721105957</v>
      </c>
      <c r="O1427" s="30" t="str">
        <f>HYPERLINK(AA2 &amp; "/knife/sn_decf7a4989469d3289eec1cc60f7c002/rendering/12.obj", "5.8002722168")</f>
        <v>5.8002722168</v>
      </c>
      <c r="P1427" s="133" t="str">
        <f>HYPERLINK(AA2 &amp; "/knife/sn_decf7a4989469d3289eec1cc60f7c002/rendering/13.obj", "6.41362426758")</f>
        <v>6.41362426758</v>
      </c>
      <c r="Q1427" s="74" t="str">
        <f>HYPERLINK(AA2 &amp; "/knife/sn_decf7a4989469d3289eec1cc60f7c002/rendering/14.obj", "5.73855163574")</f>
        <v>5.73855163574</v>
      </c>
      <c r="R1427" s="49" t="str">
        <f>HYPERLINK(AA2 &amp; "/knife/sn_decf7a4989469d3289eec1cc60f7c002/rendering/15.obj", "4.60469238281")</f>
        <v>4.60469238281</v>
      </c>
      <c r="S1427" s="79" t="str">
        <f>HYPERLINK(AA2 &amp; "/knife/sn_decf7a4989469d3289eec1cc60f7c002/rendering/16.obj", "4.89675842285")</f>
        <v>4.89675842285</v>
      </c>
      <c r="T1427" s="98" t="str">
        <f>HYPERLINK(AA2 &amp; "/knife/sn_decf7a4989469d3289eec1cc60f7c002/rendering/17.obj", "4.47311157227")</f>
        <v>4.47311157227</v>
      </c>
      <c r="U1427" s="40" t="str">
        <f>HYPERLINK(AA2 &amp; "/knife/sn_decf7a4989469d3289eec1cc60f7c002/rendering/18.obj", "4.82485717773")</f>
        <v>4.82485717773</v>
      </c>
      <c r="V1427" s="56" t="str">
        <f>HYPERLINK(AA2 &amp; "/knife/sn_decf7a4989469d3289eec1cc60f7c002/rendering/19.obj", "4.03094940186")</f>
        <v>4.03094940186</v>
      </c>
      <c r="W1427" s="12" t="s">
        <v>29</v>
      </c>
      <c r="X1427" s="13">
        <v>5.8233796234130857</v>
      </c>
      <c r="Y1427" s="13">
        <v>1.384272131342233</v>
      </c>
      <c r="Z1427" s="136">
        <v>0.23770940945988181</v>
      </c>
    </row>
    <row r="1428" spans="1:26" x14ac:dyDescent="0.2">
      <c r="A1428" s="1">
        <v>1426</v>
      </c>
      <c r="B1428" s="2" t="s">
        <v>318</v>
      </c>
      <c r="C1428" s="213" t="str">
        <f>HYPERLINK(AA2 &amp; "/knife/sn_decf7a4989469d3289eec1cc60f7c002/rendering/00.obj", "2.22798323631")</f>
        <v>2.22798323631</v>
      </c>
      <c r="D1428" s="13" t="str">
        <f>HYPERLINK(AA2 &amp; "/knife/sn_decf7a4989469d3289eec1cc60f7c002/rendering/01.obj", "4.40732860565")</f>
        <v>4.40732860565</v>
      </c>
      <c r="E1428" s="139" t="str">
        <f>HYPERLINK(AA2 &amp; "/knife/sn_decf7a4989469d3289eec1cc60f7c002/rendering/02.obj", "2.28534817696")</f>
        <v>2.28534817696</v>
      </c>
      <c r="F1428" s="239" t="str">
        <f>HYPERLINK(AA2 &amp; "/knife/sn_decf7a4989469d3289eec1cc60f7c002/rendering/03.obj", "1.72259247303")</f>
        <v>1.72259247303</v>
      </c>
      <c r="G1428" s="184" t="str">
        <f>HYPERLINK(AA2 &amp; "/knife/sn_decf7a4989469d3289eec1cc60f7c002/rendering/04.obj", "7.62590265274")</f>
        <v>7.62590265274</v>
      </c>
      <c r="H1428" s="78" t="str">
        <f>HYPERLINK(AA2 &amp; "/knife/sn_decf7a4989469d3289eec1cc60f7c002/rendering/05.obj", "4.12621307373")</f>
        <v>4.12621307373</v>
      </c>
      <c r="I1428" s="20" t="str">
        <f>HYPERLINK(AA2 &amp; "/knife/sn_decf7a4989469d3289eec1cc60f7c002/rendering/06.obj", "17.4093704224")</f>
        <v>17.4093704224</v>
      </c>
      <c r="J1428" s="249" t="str">
        <f>HYPERLINK(AA2 &amp; "/knife/sn_decf7a4989469d3289eec1cc60f7c002/rendering/07.obj", "1.8794478178")</f>
        <v>1.8794478178</v>
      </c>
      <c r="K1428" s="81" t="str">
        <f>HYPERLINK(AA2 &amp; "/knife/sn_decf7a4989469d3289eec1cc60f7c002/rendering/08.obj", "3.44268631935")</f>
        <v>3.44268631935</v>
      </c>
      <c r="L1428" s="20" t="str">
        <f>HYPERLINK(AA2 &amp; "/knife/sn_decf7a4989469d3289eec1cc60f7c002/rendering/09.obj", "10.6211528778")</f>
        <v>10.6211528778</v>
      </c>
      <c r="M1428" s="81" t="str">
        <f>HYPERLINK(AA2 &amp; "/knife/sn_decf7a4989469d3289eec1cc60f7c002/rendering/10.obj", "3.433375597")</f>
        <v>3.433375597</v>
      </c>
      <c r="N1428" s="131" t="str">
        <f>HYPERLINK(AA2 &amp; "/knife/sn_decf7a4989469d3289eec1cc60f7c002/rendering/11.obj", "6.43404197693")</f>
        <v>6.43404197693</v>
      </c>
      <c r="O1428" s="175" t="str">
        <f>HYPERLINK(AA2 &amp; "/knife/sn_decf7a4989469d3289eec1cc60f7c002/rendering/12.obj", "3.36283254623")</f>
        <v>3.36283254623</v>
      </c>
      <c r="P1428" s="50" t="str">
        <f>HYPERLINK(AA2 &amp; "/knife/sn_decf7a4989469d3289eec1cc60f7c002/rendering/13.obj", "5.26978969574")</f>
        <v>5.26978969574</v>
      </c>
      <c r="Q1428" s="83" t="str">
        <f>HYPERLINK(AA2 &amp; "/knife/sn_decf7a4989469d3289eec1cc60f7c002/rendering/14.obj", "3.72318506241")</f>
        <v>3.72318506241</v>
      </c>
      <c r="R1428" s="161" t="str">
        <f>HYPERLINK(AA2 &amp; "/knife/sn_decf7a4989469d3289eec1cc60f7c002/rendering/15.obj", "1.82491374016")</f>
        <v>1.82491374016</v>
      </c>
      <c r="S1428" s="206" t="str">
        <f>HYPERLINK(AA2 &amp; "/knife/sn_decf7a4989469d3289eec1cc60f7c002/rendering/16.obj", "1.79332518578")</f>
        <v>1.79332518578</v>
      </c>
      <c r="T1428" s="200" t="str">
        <f>HYPERLINK(AA2 &amp; "/knife/sn_decf7a4989469d3289eec1cc60f7c002/rendering/17.obj", "2.29785513878")</f>
        <v>2.29785513878</v>
      </c>
      <c r="U1428" s="127" t="str">
        <f>HYPERLINK(AA2 &amp; "/knife/sn_decf7a4989469d3289eec1cc60f7c002/rendering/18.obj", "2.10954117775")</f>
        <v>2.10954117775</v>
      </c>
      <c r="V1428" s="221" t="str">
        <f>HYPERLINK(AA2 &amp; "/knife/sn_decf7a4989469d3289eec1cc60f7c002/rendering/19.obj", "1.94468152523")</f>
        <v>1.94468152523</v>
      </c>
      <c r="W1428" s="12" t="s">
        <v>30</v>
      </c>
      <c r="X1428" s="13">
        <v>4.3970783650875092</v>
      </c>
      <c r="Y1428" s="13">
        <v>3.7318691683815408</v>
      </c>
      <c r="Z1428" s="20">
        <v>0.84871563764073854</v>
      </c>
    </row>
    <row r="1429" spans="1:26" x14ac:dyDescent="0.2">
      <c r="A1429" s="1">
        <v>1427</v>
      </c>
      <c r="B1429" s="2" t="s">
        <v>318</v>
      </c>
      <c r="C1429" s="17" t="str">
        <f>HYPERLINK(AB2 &amp; "/knife/sn_decf7a4989469d3289eec1cc60f7c002/rendering/00.obj", "4.2028817749")</f>
        <v>4.2028817749</v>
      </c>
      <c r="D1429" s="35" t="str">
        <f>HYPERLINK(AB2 &amp; "/knife/sn_decf7a4989469d3289eec1cc60f7c002/rendering/01.obj", "4.53158477783")</f>
        <v>4.53158477783</v>
      </c>
      <c r="E1429" s="69" t="str">
        <f>HYPERLINK(AB2 &amp; "/knife/sn_decf7a4989469d3289eec1cc60f7c002/rendering/02.obj", "4.41556304932")</f>
        <v>4.41556304932</v>
      </c>
      <c r="F1429" s="72" t="str">
        <f>HYPERLINK(AB2 &amp; "/knife/sn_decf7a4989469d3289eec1cc60f7c002/rendering/03.obj", "4.43518981934")</f>
        <v>4.43518981934</v>
      </c>
      <c r="G1429" s="47" t="str">
        <f>HYPERLINK(AB2 &amp; "/knife/sn_decf7a4989469d3289eec1cc60f7c002/rendering/04.obj", "4.31995239258")</f>
        <v>4.31995239258</v>
      </c>
      <c r="H1429" s="63" t="str">
        <f>HYPERLINK(AB2 &amp; "/knife/sn_decf7a4989469d3289eec1cc60f7c002/rendering/05.obj", "3.77471130371")</f>
        <v>3.77471130371</v>
      </c>
      <c r="I1429" s="71" t="str">
        <f>HYPERLINK(AB2 &amp; "/knife/sn_decf7a4989469d3289eec1cc60f7c002/rendering/06.obj", "4.79669616699")</f>
        <v>4.79669616699</v>
      </c>
      <c r="J1429" s="26" t="str">
        <f>HYPERLINK(AB2 &amp; "/knife/sn_decf7a4989469d3289eec1cc60f7c002/rendering/07.obj", "4.01736999512")</f>
        <v>4.01736999512</v>
      </c>
      <c r="K1429" s="92" t="str">
        <f>HYPERLINK(AB2 &amp; "/knife/sn_decf7a4989469d3289eec1cc60f7c002/rendering/08.obj", "4.82078918457")</f>
        <v>4.82078918457</v>
      </c>
      <c r="L1429" s="91" t="str">
        <f>HYPERLINK(AB2 &amp; "/knife/sn_decf7a4989469d3289eec1cc60f7c002/rendering/09.obj", "4.16855834961")</f>
        <v>4.16855834961</v>
      </c>
      <c r="M1429" s="110" t="str">
        <f>HYPERLINK(AB2 &amp; "/knife/sn_decf7a4989469d3289eec1cc60f7c002/rendering/10.obj", "3.86501098633")</f>
        <v>3.86501098633</v>
      </c>
      <c r="N1429" s="71" t="str">
        <f>HYPERLINK(AB2 &amp; "/knife/sn_decf7a4989469d3289eec1cc60f7c002/rendering/11.obj", "3.79045684814")</f>
        <v>3.79045684814</v>
      </c>
      <c r="O1429" s="91" t="str">
        <f>HYPERLINK(AB2 &amp; "/knife/sn_decf7a4989469d3289eec1cc60f7c002/rendering/12.obj", "4.17097991943")</f>
        <v>4.17097991943</v>
      </c>
      <c r="P1429" s="17" t="str">
        <f>HYPERLINK(AB2 &amp; "/knife/sn_decf7a4989469d3289eec1cc60f7c002/rendering/13.obj", "4.37656311035")</f>
        <v>4.37656311035</v>
      </c>
      <c r="Q1429" s="23" t="str">
        <f>HYPERLINK(AB2 &amp; "/knife/sn_decf7a4989469d3289eec1cc60f7c002/rendering/14.obj", "4.11447296143")</f>
        <v>4.11447296143</v>
      </c>
      <c r="R1429" s="17" t="str">
        <f>HYPERLINK(AB2 &amp; "/knife/sn_decf7a4989469d3289eec1cc60f7c002/rendering/15.obj", "4.20379455566")</f>
        <v>4.20379455566</v>
      </c>
      <c r="S1429" s="25" t="str">
        <f>HYPERLINK(AB2 &amp; "/knife/sn_decf7a4989469d3289eec1cc60f7c002/rendering/16.obj", "4.3370703125")</f>
        <v>4.3370703125</v>
      </c>
      <c r="T1429" s="110" t="str">
        <f>HYPERLINK(AB2 &amp; "/knife/sn_decf7a4989469d3289eec1cc60f7c002/rendering/17.obj", "4.71313049316")</f>
        <v>4.71313049316</v>
      </c>
      <c r="U1429" s="92" t="str">
        <f>HYPERLINK(AB2 &amp; "/knife/sn_decf7a4989469d3289eec1cc60f7c002/rendering/18.obj", "3.75116577148")</f>
        <v>3.75116577148</v>
      </c>
      <c r="V1429" s="66" t="str">
        <f>HYPERLINK(AB2 &amp; "/knife/sn_decf7a4989469d3289eec1cc60f7c002/rendering/19.obj", "4.98108276367")</f>
        <v>4.98108276367</v>
      </c>
      <c r="W1429" s="12" t="s">
        <v>31</v>
      </c>
      <c r="X1429" s="13">
        <v>4.2893512268066418</v>
      </c>
      <c r="Y1429" s="13">
        <v>0.34899966431452351</v>
      </c>
      <c r="Z1429" s="51">
        <v>8.1364207746248973E-2</v>
      </c>
    </row>
    <row r="1430" spans="1:26" x14ac:dyDescent="0.2">
      <c r="A1430" s="1">
        <v>1428</v>
      </c>
      <c r="B1430" s="2" t="s">
        <v>318</v>
      </c>
      <c r="C1430" s="74" t="str">
        <f>HYPERLINK(AB2 &amp; "/knife/sn_decf7a4989469d3289eec1cc60f7c002/rendering/00.obj", "1.43758702278")</f>
        <v>1.43758702278</v>
      </c>
      <c r="D1430" s="71" t="str">
        <f>HYPERLINK(AB2 &amp; "/knife/sn_decf7a4989469d3289eec1cc60f7c002/rendering/01.obj", "1.2480199337")</f>
        <v>1.2480199337</v>
      </c>
      <c r="E1430" s="64" t="str">
        <f>HYPERLINK(AB2 &amp; "/knife/sn_decf7a4989469d3289eec1cc60f7c002/rendering/02.obj", "1.64801943302")</f>
        <v>1.64801943302</v>
      </c>
      <c r="F1430" s="23" t="str">
        <f>HYPERLINK(AB2 &amp; "/knife/sn_decf7a4989469d3289eec1cc60f7c002/rendering/03.obj", "1.35961151123")</f>
        <v>1.35961151123</v>
      </c>
      <c r="G1430" s="13" t="str">
        <f>HYPERLINK(AB2 &amp; "/knife/sn_decf7a4989469d3289eec1cc60f7c002/rendering/04.obj", "1.41278243065")</f>
        <v>1.41278243065</v>
      </c>
      <c r="H1430" s="80" t="str">
        <f>HYPERLINK(AB2 &amp; "/knife/sn_decf7a4989469d3289eec1cc60f7c002/rendering/05.obj", "1.20349049568")</f>
        <v>1.20349049568</v>
      </c>
      <c r="I1430" s="25" t="str">
        <f>HYPERLINK(AB2 &amp; "/knife/sn_decf7a4989469d3289eec1cc60f7c002/rendering/06.obj", "1.40132701397")</f>
        <v>1.40132701397</v>
      </c>
      <c r="J1430" s="30" t="str">
        <f>HYPERLINK(AB2 &amp; "/knife/sn_decf7a4989469d3289eec1cc60f7c002/rendering/07.obj", "1.42235398293")</f>
        <v>1.42235398293</v>
      </c>
      <c r="K1430" s="129" t="str">
        <f>HYPERLINK(AB2 &amp; "/knife/sn_decf7a4989469d3289eec1cc60f7c002/rendering/08.obj", "1.76808989048")</f>
        <v>1.76808989048</v>
      </c>
      <c r="L1430" s="47" t="str">
        <f>HYPERLINK(AB2 &amp; "/knife/sn_decf7a4989469d3289eec1cc60f7c002/rendering/09.obj", "1.40402936935")</f>
        <v>1.40402936935</v>
      </c>
      <c r="M1430" s="92" t="str">
        <f>HYPERLINK(AB2 &amp; "/knife/sn_decf7a4989469d3289eec1cc60f7c002/rendering/10.obj", "1.24238014221")</f>
        <v>1.24238014221</v>
      </c>
      <c r="N1430" s="94" t="str">
        <f>HYPERLINK(AB2 &amp; "/knife/sn_decf7a4989469d3289eec1cc60f7c002/rendering/11.obj", "1.31252551079")</f>
        <v>1.31252551079</v>
      </c>
      <c r="O1430" s="80" t="str">
        <f>HYPERLINK(AB2 &amp; "/knife/sn_decf7a4989469d3289eec1cc60f7c002/rendering/12.obj", "1.62867856026")</f>
        <v>1.62867856026</v>
      </c>
      <c r="P1430" s="74" t="str">
        <f>HYPERLINK(AB2 &amp; "/knife/sn_decf7a4989469d3289eec1cc60f7c002/rendering/13.obj", "1.43637800217")</f>
        <v>1.43637800217</v>
      </c>
      <c r="Q1430" s="48" t="str">
        <f>HYPERLINK(AB2 &amp; "/knife/sn_decf7a4989469d3289eec1cc60f7c002/rendering/14.obj", "1.45081233978")</f>
        <v>1.45081233978</v>
      </c>
      <c r="R1430" s="29" t="str">
        <f>HYPERLINK(AB2 &amp; "/knife/sn_decf7a4989469d3289eec1cc60f7c002/rendering/15.obj", "1.23335385323")</f>
        <v>1.23335385323</v>
      </c>
      <c r="S1430" s="42" t="str">
        <f>HYPERLINK(AB2 &amp; "/knife/sn_decf7a4989469d3289eec1cc60f7c002/rendering/16.obj", "1.22093832493")</f>
        <v>1.22093832493</v>
      </c>
      <c r="T1430" s="133" t="str">
        <f>HYPERLINK(AB2 &amp; "/knife/sn_decf7a4989469d3289eec1cc60f7c002/rendering/17.obj", "1.56119906902")</f>
        <v>1.56119906902</v>
      </c>
      <c r="U1430" s="69" t="str">
        <f>HYPERLINK(AB2 &amp; "/knife/sn_decf7a4989469d3289eec1cc60f7c002/rendering/18.obj", "1.37154245377")</f>
        <v>1.37154245377</v>
      </c>
      <c r="V1430" s="110" t="str">
        <f>HYPERLINK(AB2 &amp; "/knife/sn_decf7a4989469d3289eec1cc60f7c002/rendering/19.obj", "1.55559945107")</f>
        <v>1.55559945107</v>
      </c>
      <c r="W1430" s="12" t="s">
        <v>32</v>
      </c>
      <c r="X1430" s="13">
        <v>1.4159359395504001</v>
      </c>
      <c r="Y1430" s="13">
        <v>0.151145439330022</v>
      </c>
      <c r="Z1430" s="33">
        <v>0.1067459587034813</v>
      </c>
    </row>
    <row r="1431" spans="1:26" x14ac:dyDescent="0.2">
      <c r="A1431" s="1">
        <v>1429</v>
      </c>
      <c r="B1431" s="2" t="s">
        <v>318</v>
      </c>
      <c r="C1431" s="13" t="str">
        <f>HYPERLINK(AC2 &amp; "/knife/sn_decf7a4989469d3289eec1cc60f7c002/rendering/00.xyz", "0.0")</f>
        <v>0.0</v>
      </c>
      <c r="D1431" s="13" t="str">
        <f>HYPERLINK(AC2 &amp; "/knife/sn_decf7a4989469d3289eec1cc60f7c002/rendering/01.xyz", "0.0")</f>
        <v>0.0</v>
      </c>
      <c r="E1431" s="13" t="str">
        <f>HYPERLINK(AC2 &amp; "/knife/sn_decf7a4989469d3289eec1cc60f7c002/rendering/02.xyz", "0.0")</f>
        <v>0.0</v>
      </c>
      <c r="F1431" s="13" t="str">
        <f>HYPERLINK(AC2 &amp; "/knife/sn_decf7a4989469d3289eec1cc60f7c002/rendering/03.xyz", "0.0")</f>
        <v>0.0</v>
      </c>
      <c r="G1431" s="13" t="str">
        <f>HYPERLINK(AC2 &amp; "/knife/sn_decf7a4989469d3289eec1cc60f7c002/rendering/04.xyz", "0.0")</f>
        <v>0.0</v>
      </c>
      <c r="H1431" s="13" t="str">
        <f>HYPERLINK(AC2 &amp; "/knife/sn_decf7a4989469d3289eec1cc60f7c002/rendering/05.xyz", "0.0")</f>
        <v>0.0</v>
      </c>
      <c r="I1431" s="13" t="str">
        <f>HYPERLINK(AC2 &amp; "/knife/sn_decf7a4989469d3289eec1cc60f7c002/rendering/06.xyz", "0.0")</f>
        <v>0.0</v>
      </c>
      <c r="J1431" s="13" t="str">
        <f>HYPERLINK(AC2 &amp; "/knife/sn_decf7a4989469d3289eec1cc60f7c002/rendering/07.xyz", "0.0")</f>
        <v>0.0</v>
      </c>
      <c r="K1431" s="13" t="str">
        <f>HYPERLINK(AC2 &amp; "/knife/sn_decf7a4989469d3289eec1cc60f7c002/rendering/08.xyz", "0.0")</f>
        <v>0.0</v>
      </c>
      <c r="L1431" s="13" t="str">
        <f>HYPERLINK(AC2 &amp; "/knife/sn_decf7a4989469d3289eec1cc60f7c002/rendering/09.xyz", "0.0")</f>
        <v>0.0</v>
      </c>
      <c r="M1431" s="13" t="str">
        <f>HYPERLINK(AC2 &amp; "/knife/sn_decf7a4989469d3289eec1cc60f7c002/rendering/10.xyz", "0.0")</f>
        <v>0.0</v>
      </c>
      <c r="N1431" s="13" t="str">
        <f>HYPERLINK(AC2 &amp; "/knife/sn_decf7a4989469d3289eec1cc60f7c002/rendering/11.xyz", "0.0")</f>
        <v>0.0</v>
      </c>
      <c r="O1431" s="13" t="str">
        <f>HYPERLINK(AC2 &amp; "/knife/sn_decf7a4989469d3289eec1cc60f7c002/rendering/12.xyz", "0.0")</f>
        <v>0.0</v>
      </c>
      <c r="P1431" s="13" t="str">
        <f>HYPERLINK(AC2 &amp; "/knife/sn_decf7a4989469d3289eec1cc60f7c002/rendering/13.xyz", "0.0")</f>
        <v>0.0</v>
      </c>
      <c r="Q1431" s="13" t="str">
        <f>HYPERLINK(AC2 &amp; "/knife/sn_decf7a4989469d3289eec1cc60f7c002/rendering/14.xyz", "0.0")</f>
        <v>0.0</v>
      </c>
      <c r="R1431" s="13" t="str">
        <f>HYPERLINK(AC2 &amp; "/knife/sn_decf7a4989469d3289eec1cc60f7c002/rendering/15.xyz", "0.0")</f>
        <v>0.0</v>
      </c>
      <c r="S1431" s="13" t="str">
        <f>HYPERLINK(AC2 &amp; "/knife/sn_decf7a4989469d3289eec1cc60f7c002/rendering/16.xyz", "0.0")</f>
        <v>0.0</v>
      </c>
      <c r="T1431" s="13" t="str">
        <f>HYPERLINK(AC2 &amp; "/knife/sn_decf7a4989469d3289eec1cc60f7c002/rendering/17.xyz", "0.0")</f>
        <v>0.0</v>
      </c>
      <c r="U1431" s="13" t="str">
        <f>HYPERLINK(AC2 &amp; "/knife/sn_decf7a4989469d3289eec1cc60f7c002/rendering/18.xyz", "0.0")</f>
        <v>0.0</v>
      </c>
      <c r="V1431" s="13" t="str">
        <f>HYPERLINK(AC2 &amp; "/knife/sn_decf7a4989469d3289eec1cc60f7c002/rendering/19.xyz", "0.0")</f>
        <v>0.0</v>
      </c>
      <c r="W1431" s="12" t="s">
        <v>33</v>
      </c>
      <c r="X1431" s="13">
        <v>0</v>
      </c>
      <c r="Y1431" s="13">
        <v>0</v>
      </c>
      <c r="Z1431" s="13">
        <v>0</v>
      </c>
    </row>
    <row r="1432" spans="1:26" x14ac:dyDescent="0.2">
      <c r="A1432" s="1">
        <v>1430</v>
      </c>
      <c r="B1432" s="2" t="s">
        <v>319</v>
      </c>
      <c r="C1432" s="8" t="str">
        <f>HYPERLINK(AA2 &amp; "/knife/sn_df0a8c7d1629313915538488147db324/rendering/00.obj", "2.51820724487")</f>
        <v>2.51820724487</v>
      </c>
      <c r="D1432" s="83" t="str">
        <f>HYPERLINK(AA2 &amp; "/knife/sn_df0a8c7d1629313915538488147db324/rendering/01.obj", "2.49669464111")</f>
        <v>2.49669464111</v>
      </c>
      <c r="E1432" s="13" t="str">
        <f>HYPERLINK(AA2 &amp; "/knife/sn_df0a8c7d1629313915538488147db324/rendering/02.obj", "2.94311401367")</f>
        <v>2.94311401367</v>
      </c>
      <c r="F1432" s="196" t="str">
        <f>HYPERLINK(AA2 &amp; "/knife/sn_df0a8c7d1629313915538488147db324/rendering/03.obj", "4.10335754395")</f>
        <v>4.10335754395</v>
      </c>
      <c r="G1432" s="38" t="str">
        <f>HYPERLINK(AA2 &amp; "/knife/sn_df0a8c7d1629313915538488147db324/rendering/04.obj", "2.67430114746")</f>
        <v>2.67430114746</v>
      </c>
      <c r="H1432" s="185" t="str">
        <f>HYPERLINK(AA2 &amp; "/knife/sn_df0a8c7d1629313915538488147db324/rendering/05.obj", "3.94069458008")</f>
        <v>3.94069458008</v>
      </c>
      <c r="I1432" s="10" t="str">
        <f>HYPERLINK(AA2 &amp; "/knife/sn_df0a8c7d1629313915538488147db324/rendering/06.obj", "2.77668640137")</f>
        <v>2.77668640137</v>
      </c>
      <c r="J1432" s="88" t="str">
        <f>HYPERLINK(AA2 &amp; "/knife/sn_df0a8c7d1629313915538488147db324/rendering/07.obj", "2.34569244385")</f>
        <v>2.34569244385</v>
      </c>
      <c r="K1432" s="56" t="str">
        <f>HYPERLINK(AA2 &amp; "/knife/sn_df0a8c7d1629313915538488147db324/rendering/08.obj", "2.0285824585")</f>
        <v>2.0285824585</v>
      </c>
      <c r="L1432" s="74" t="str">
        <f>HYPERLINK(AA2 &amp; "/knife/sn_df0a8c7d1629313915538488147db324/rendering/09.obj", "2.98506713867")</f>
        <v>2.98506713867</v>
      </c>
      <c r="M1432" s="63" t="str">
        <f>HYPERLINK(AA2 &amp; "/knife/sn_df0a8c7d1629313915538488147db324/rendering/10.obj", "2.58022277832")</f>
        <v>2.58022277832</v>
      </c>
      <c r="N1432" s="11" t="str">
        <f>HYPERLINK(AA2 &amp; "/knife/sn_df0a8c7d1629313915538488147db324/rendering/11.obj", "3.59497772217")</f>
        <v>3.59497772217</v>
      </c>
      <c r="O1432" s="68" t="str">
        <f>HYPERLINK(AA2 &amp; "/knife/sn_df0a8c7d1629313915538488147db324/rendering/12.obj", "2.81453979492")</f>
        <v>2.81453979492</v>
      </c>
      <c r="P1432" s="89" t="str">
        <f>HYPERLINK(AA2 &amp; "/knife/sn_df0a8c7d1629313915538488147db324/rendering/13.obj", "3.70269042969")</f>
        <v>3.70269042969</v>
      </c>
      <c r="Q1432" s="39" t="str">
        <f>HYPERLINK(AA2 &amp; "/knife/sn_df0a8c7d1629313915538488147db324/rendering/14.obj", "3.19442138672")</f>
        <v>3.19442138672</v>
      </c>
      <c r="R1432" s="23" t="str">
        <f>HYPERLINK(AA2 &amp; "/knife/sn_df0a8c7d1629313915538488147db324/rendering/15.obj", "3.05334228516")</f>
        <v>3.05334228516</v>
      </c>
      <c r="S1432" s="40" t="str">
        <f>HYPERLINK(AA2 &amp; "/knife/sn_df0a8c7d1629313915538488147db324/rendering/16.obj", "3.44561767578")</f>
        <v>3.44561767578</v>
      </c>
      <c r="T1432" s="117" t="str">
        <f>HYPERLINK(AA2 &amp; "/knife/sn_df0a8c7d1629313915538488147db324/rendering/17.obj", "2.41911987305")</f>
        <v>2.41911987305</v>
      </c>
      <c r="U1432" s="32" t="str">
        <f>HYPERLINK(AA2 &amp; "/knife/sn_df0a8c7d1629313915538488147db324/rendering/18.obj", "2.62965698242")</f>
        <v>2.62965698242</v>
      </c>
      <c r="V1432" s="65" t="str">
        <f>HYPERLINK(AA2 &amp; "/knife/sn_df0a8c7d1629313915538488147db324/rendering/19.obj", "2.54648193359")</f>
        <v>2.54648193359</v>
      </c>
      <c r="W1432" s="12" t="s">
        <v>29</v>
      </c>
      <c r="X1432" s="13">
        <v>2.9396734237670898</v>
      </c>
      <c r="Y1432" s="13">
        <v>0.5488165517746284</v>
      </c>
      <c r="Z1432" s="77">
        <v>0.18669303444984001</v>
      </c>
    </row>
    <row r="1433" spans="1:26" x14ac:dyDescent="0.2">
      <c r="A1433" s="1">
        <v>1431</v>
      </c>
      <c r="B1433" s="2" t="s">
        <v>319</v>
      </c>
      <c r="C1433" s="172" t="str">
        <f>HYPERLINK(AA2 &amp; "/knife/sn_df0a8c7d1629313915538488147db324/rendering/00.obj", "1.18941736221")</f>
        <v>1.18941736221</v>
      </c>
      <c r="D1433" s="129" t="str">
        <f>HYPERLINK(AA2 &amp; "/knife/sn_df0a8c7d1629313915538488147db324/rendering/01.obj", "1.45170760155")</f>
        <v>1.45170760155</v>
      </c>
      <c r="E1433" s="110" t="str">
        <f>HYPERLINK(AA2 &amp; "/knife/sn_df0a8c7d1629313915538488147db324/rendering/02.obj", "2.1223654747")</f>
        <v>2.1223654747</v>
      </c>
      <c r="F1433" s="20" t="str">
        <f>HYPERLINK(AA2 &amp; "/knife/sn_df0a8c7d1629313915538488147db324/rendering/03.obj", "3.48961091042")</f>
        <v>3.48961091042</v>
      </c>
      <c r="G1433" s="95" t="str">
        <f>HYPERLINK(AA2 &amp; "/knife/sn_df0a8c7d1629313915538488147db324/rendering/04.obj", "1.38972008228")</f>
        <v>1.38972008228</v>
      </c>
      <c r="H1433" s="255" t="str">
        <f>HYPERLINK(AA2 &amp; "/knife/sn_df0a8c7d1629313915538488147db324/rendering/05.obj", "3.32570099831")</f>
        <v>3.32570099831</v>
      </c>
      <c r="I1433" s="51" t="str">
        <f>HYPERLINK(AA2 &amp; "/knife/sn_df0a8c7d1629313915538488147db324/rendering/06.obj", "1.77883005142")</f>
        <v>1.77883005142</v>
      </c>
      <c r="J1433" s="156" t="str">
        <f>HYPERLINK(AA2 &amp; "/knife/sn_df0a8c7d1629313915538488147db324/rendering/07.obj", "1.06784582138")</f>
        <v>1.06784582138</v>
      </c>
      <c r="K1433" s="157" t="str">
        <f>HYPERLINK(AA2 &amp; "/knife/sn_df0a8c7d1629313915538488147db324/rendering/08.obj", "1.12952411175")</f>
        <v>1.12952411175</v>
      </c>
      <c r="L1433" s="27" t="str">
        <f>HYPERLINK(AA2 &amp; "/knife/sn_df0a8c7d1629313915538488147db324/rendering/09.obj", "1.79762768745")</f>
        <v>1.79762768745</v>
      </c>
      <c r="M1433" s="55" t="str">
        <f>HYPERLINK(AA2 &amp; "/knife/sn_df0a8c7d1629313915538488147db324/rendering/10.obj", "1.55591702461")</f>
        <v>1.55591702461</v>
      </c>
      <c r="N1433" s="174" t="str">
        <f>HYPERLINK(AA2 &amp; "/knife/sn_df0a8c7d1629313915538488147db324/rendering/11.obj", "2.94748663902")</f>
        <v>2.94748663902</v>
      </c>
      <c r="O1433" s="107" t="str">
        <f>HYPERLINK(AA2 &amp; "/knife/sn_df0a8c7d1629313915538488147db324/rendering/12.obj", "2.092274189")</f>
        <v>2.092274189</v>
      </c>
      <c r="P1433" s="53" t="str">
        <f>HYPERLINK(AA2 &amp; "/knife/sn_df0a8c7d1629313915538488147db324/rendering/13.obj", "2.72907781601")</f>
        <v>2.72907781601</v>
      </c>
      <c r="Q1433" s="187" t="str">
        <f>HYPERLINK(AA2 &amp; "/knife/sn_df0a8c7d1629313915538488147db324/rendering/14.obj", "2.60436868668")</f>
        <v>2.60436868668</v>
      </c>
      <c r="R1433" s="41" t="str">
        <f>HYPERLINK(AA2 &amp; "/knife/sn_df0a8c7d1629313915538488147db324/rendering/15.obj", "1.80366134644")</f>
        <v>1.80366134644</v>
      </c>
      <c r="S1433" s="107" t="str">
        <f>HYPERLINK(AA2 &amp; "/knife/sn_df0a8c7d1629313915538488147db324/rendering/16.obj", "2.08964633942")</f>
        <v>2.08964633942</v>
      </c>
      <c r="T1433" s="96" t="str">
        <f>HYPERLINK(AA2 &amp; "/knife/sn_df0a8c7d1629313915538488147db324/rendering/17.obj", "1.23421752453")</f>
        <v>1.23421752453</v>
      </c>
      <c r="U1433" s="64" t="str">
        <f>HYPERLINK(AA2 &amp; "/knife/sn_df0a8c7d1629313915538488147db324/rendering/18.obj", "1.61183488369")</f>
        <v>1.61183488369</v>
      </c>
      <c r="V1433" s="192" t="str">
        <f>HYPERLINK(AA2 &amp; "/knife/sn_df0a8c7d1629313915538488147db324/rendering/19.obj", "1.21347486973")</f>
        <v>1.21347486973</v>
      </c>
      <c r="W1433" s="12" t="s">
        <v>30</v>
      </c>
      <c r="X1433" s="13">
        <v>1.9312154710292819</v>
      </c>
      <c r="Y1433" s="13">
        <v>0.71923448189952266</v>
      </c>
      <c r="Z1433" s="192">
        <v>0.37242580783396051</v>
      </c>
    </row>
    <row r="1434" spans="1:26" x14ac:dyDescent="0.2">
      <c r="A1434" s="1">
        <v>1432</v>
      </c>
      <c r="B1434" s="2" t="s">
        <v>319</v>
      </c>
      <c r="C1434" s="69" t="str">
        <f>HYPERLINK(AB2 &amp; "/knife/sn_df0a8c7d1629313915538488147db324/rendering/00.obj", "3.36496826172")</f>
        <v>3.36496826172</v>
      </c>
      <c r="D1434" s="133" t="str">
        <f>HYPERLINK(AB2 &amp; "/knife/sn_df0a8c7d1629313915538488147db324/rendering/01.obj", "2.93363037109")</f>
        <v>2.93363037109</v>
      </c>
      <c r="E1434" s="94" t="str">
        <f>HYPERLINK(AB2 &amp; "/knife/sn_df0a8c7d1629313915538488147db324/rendering/02.obj", "3.50989257813")</f>
        <v>3.50989257813</v>
      </c>
      <c r="F1434" s="30" t="str">
        <f>HYPERLINK(AB2 &amp; "/knife/sn_df0a8c7d1629313915538488147db324/rendering/03.obj", "3.28524475098")</f>
        <v>3.28524475098</v>
      </c>
      <c r="G1434" s="67" t="str">
        <f>HYPERLINK(AB2 &amp; "/knife/sn_df0a8c7d1629313915538488147db324/rendering/04.obj", "3.57122802734")</f>
        <v>3.57122802734</v>
      </c>
      <c r="H1434" s="51" t="str">
        <f>HYPERLINK(AB2 &amp; "/knife/sn_df0a8c7d1629313915538488147db324/rendering/05.obj", "3.00629119873")</f>
        <v>3.00629119873</v>
      </c>
      <c r="I1434" s="107" t="str">
        <f>HYPERLINK(AB2 &amp; "/knife/sn_df0a8c7d1629313915538488147db324/rendering/06.obj", "3.54324584961")</f>
        <v>3.54324584961</v>
      </c>
      <c r="J1434" s="48" t="str">
        <f>HYPERLINK(AB2 &amp; "/knife/sn_df0a8c7d1629313915538488147db324/rendering/07.obj", "3.34824371338")</f>
        <v>3.34824371338</v>
      </c>
      <c r="K1434" s="34" t="str">
        <f>HYPERLINK(AB2 &amp; "/knife/sn_df0a8c7d1629313915538488147db324/rendering/08.obj", "3.1113482666")</f>
        <v>3.1113482666</v>
      </c>
      <c r="L1434" s="6" t="str">
        <f>HYPERLINK(AB2 &amp; "/knife/sn_df0a8c7d1629313915538488147db324/rendering/09.obj", "3.12348205566")</f>
        <v>3.12348205566</v>
      </c>
      <c r="M1434" s="66" t="str">
        <f>HYPERLINK(AB2 &amp; "/knife/sn_df0a8c7d1629313915538488147db324/rendering/10.obj", "3.79574493408")</f>
        <v>3.79574493408</v>
      </c>
      <c r="N1434" s="68" t="str">
        <f>HYPERLINK(AB2 &amp; "/knife/sn_df0a8c7d1629313915538488147db324/rendering/11.obj", "3.13246643066")</f>
        <v>3.13246643066</v>
      </c>
      <c r="O1434" s="6" t="str">
        <f>HYPERLINK(AB2 &amp; "/knife/sn_df0a8c7d1629313915538488147db324/rendering/12.obj", "3.11880249023")</f>
        <v>3.11880249023</v>
      </c>
      <c r="P1434" s="13" t="str">
        <f>HYPERLINK(AB2 &amp; "/knife/sn_df0a8c7d1629313915538488147db324/rendering/13.obj", "3.27077148437")</f>
        <v>3.27077148437</v>
      </c>
      <c r="Q1434" s="17" t="str">
        <f>HYPERLINK(AB2 &amp; "/knife/sn_df0a8c7d1629313915538488147db324/rendering/14.obj", "3.19924194336")</f>
        <v>3.19924194336</v>
      </c>
      <c r="R1434" s="34" t="str">
        <f>HYPERLINK(AB2 &amp; "/knife/sn_df0a8c7d1629313915538488147db324/rendering/15.obj", "3.11100921631")</f>
        <v>3.11100921631</v>
      </c>
      <c r="S1434" s="47" t="str">
        <f>HYPERLINK(AB2 &amp; "/knife/sn_df0a8c7d1629313915538488147db324/rendering/16.obj", "3.24549804687")</f>
        <v>3.24549804687</v>
      </c>
      <c r="T1434" s="107" t="str">
        <f>HYPERLINK(AB2 &amp; "/knife/sn_df0a8c7d1629313915538488147db324/rendering/17.obj", "3.00098266602")</f>
        <v>3.00098266602</v>
      </c>
      <c r="U1434" s="34" t="str">
        <f>HYPERLINK(AB2 &amp; "/knife/sn_df0a8c7d1629313915538488147db324/rendering/18.obj", "3.10636749268")</f>
        <v>3.10636749268</v>
      </c>
      <c r="V1434" s="32" t="str">
        <f>HYPERLINK(AB2 &amp; "/knife/sn_df0a8c7d1629313915538488147db324/rendering/19.obj", "3.60888671875")</f>
        <v>3.60888671875</v>
      </c>
      <c r="W1434" s="12" t="s">
        <v>31</v>
      </c>
      <c r="X1434" s="13">
        <v>3.2693673248291009</v>
      </c>
      <c r="Y1434" s="13">
        <v>0.22701321585762399</v>
      </c>
      <c r="Z1434" s="27">
        <v>6.9436436258960468E-2</v>
      </c>
    </row>
    <row r="1435" spans="1:26" x14ac:dyDescent="0.2">
      <c r="A1435" s="1">
        <v>1433</v>
      </c>
      <c r="B1435" s="2" t="s">
        <v>319</v>
      </c>
      <c r="C1435" s="41" t="str">
        <f>HYPERLINK(AB2 &amp; "/knife/sn_df0a8c7d1629313915538488147db324/rendering/00.obj", "1.24876284599")</f>
        <v>1.24876284599</v>
      </c>
      <c r="D1435" s="44" t="str">
        <f>HYPERLINK(AB2 &amp; "/knife/sn_df0a8c7d1629313915538488147db324/rendering/01.obj", "1.07579171658")</f>
        <v>1.07579171658</v>
      </c>
      <c r="E1435" s="55" t="str">
        <f>HYPERLINK(AB2 &amp; "/knife/sn_df0a8c7d1629313915538488147db324/rendering/02.obj", "1.59981191158")</f>
        <v>1.59981191158</v>
      </c>
      <c r="F1435" s="99" t="str">
        <f>HYPERLINK(AB2 &amp; "/knife/sn_df0a8c7d1629313915538488147db324/rendering/03.obj", "1.70211052895")</f>
        <v>1.70211052895</v>
      </c>
      <c r="G1435" s="48" t="str">
        <f>HYPERLINK(AB2 &amp; "/knife/sn_df0a8c7d1629313915538488147db324/rendering/04.obj", "1.30745530128")</f>
        <v>1.30745530128</v>
      </c>
      <c r="H1435" s="84" t="str">
        <f>HYPERLINK(AB2 &amp; "/knife/sn_df0a8c7d1629313915538488147db324/rendering/05.obj", "1.14487612247")</f>
        <v>1.14487612247</v>
      </c>
      <c r="I1435" s="29" t="str">
        <f>HYPERLINK(AB2 &amp; "/knife/sn_df0a8c7d1629313915538488147db324/rendering/06.obj", "1.51592493057")</f>
        <v>1.51592493057</v>
      </c>
      <c r="J1435" s="68" t="str">
        <f>HYPERLINK(AB2 &amp; "/knife/sn_df0a8c7d1629313915538488147db324/rendering/07.obj", "1.28262257576")</f>
        <v>1.28262257576</v>
      </c>
      <c r="K1435" s="76" t="str">
        <f>HYPERLINK(AB2 &amp; "/knife/sn_df0a8c7d1629313915538488147db324/rendering/08.obj", "1.09440493584")</f>
        <v>1.09440493584</v>
      </c>
      <c r="L1435" s="108" t="str">
        <f>HYPERLINK(AB2 &amp; "/knife/sn_df0a8c7d1629313915538488147db324/rendering/09.obj", "1.01125574112")</f>
        <v>1.01125574112</v>
      </c>
      <c r="M1435" s="238" t="str">
        <f>HYPERLINK(AB2 &amp; "/knife/sn_df0a8c7d1629313915538488147db324/rendering/10.obj", "2.2835226059")</f>
        <v>2.2835226059</v>
      </c>
      <c r="N1435" s="23" t="str">
        <f>HYPERLINK(AB2 &amp; "/knife/sn_df0a8c7d1629313915538488147db324/rendering/11.obj", "1.3906878233")</f>
        <v>1.3906878233</v>
      </c>
      <c r="O1435" s="51" t="str">
        <f>HYPERLINK(AB2 &amp; "/knife/sn_df0a8c7d1629313915538488147db324/rendering/12.obj", "1.44571387768")</f>
        <v>1.44571387768</v>
      </c>
      <c r="P1435" s="72" t="str">
        <f>HYPERLINK(AB2 &amp; "/knife/sn_df0a8c7d1629313915538488147db324/rendering/13.obj", "1.29746484756")</f>
        <v>1.29746484756</v>
      </c>
      <c r="Q1435" s="107" t="str">
        <f>HYPERLINK(AB2 &amp; "/knife/sn_df0a8c7d1629313915538488147db324/rendering/14.obj", "1.22852551937")</f>
        <v>1.22852551937</v>
      </c>
      <c r="R1435" s="55" t="str">
        <f>HYPERLINK(AB2 &amp; "/knife/sn_df0a8c7d1629313915538488147db324/rendering/15.obj", "1.08119297028")</f>
        <v>1.08119297028</v>
      </c>
      <c r="S1435" s="133" t="str">
        <f>HYPERLINK(AB2 &amp; "/knife/sn_df0a8c7d1629313915538488147db324/rendering/16.obj", "1.20471656322")</f>
        <v>1.20471656322</v>
      </c>
      <c r="T1435" s="79" t="str">
        <f>HYPERLINK(AB2 &amp; "/knife/sn_df0a8c7d1629313915538488147db324/rendering/17.obj", "1.12924361229")</f>
        <v>1.12924361229</v>
      </c>
      <c r="U1435" s="39" t="str">
        <f>HYPERLINK(AB2 &amp; "/knife/sn_df0a8c7d1629313915538488147db324/rendering/18.obj", "1.22591376305")</f>
        <v>1.22591376305</v>
      </c>
      <c r="V1435" s="42" t="str">
        <f>HYPERLINK(AB2 &amp; "/knife/sn_df0a8c7d1629313915538488147db324/rendering/19.obj", "1.52338087559")</f>
        <v>1.52338087559</v>
      </c>
      <c r="W1435" s="12" t="s">
        <v>32</v>
      </c>
      <c r="X1435" s="13">
        <v>1.339668953418732</v>
      </c>
      <c r="Y1435" s="13">
        <v>0.28399637404470851</v>
      </c>
      <c r="Z1435" s="120">
        <v>0.2119899646251947</v>
      </c>
    </row>
    <row r="1436" spans="1:26" x14ac:dyDescent="0.2">
      <c r="A1436" s="1">
        <v>1434</v>
      </c>
      <c r="B1436" s="2" t="s">
        <v>319</v>
      </c>
      <c r="C1436" s="13" t="str">
        <f>HYPERLINK(AC2 &amp; "/knife/sn_df0a8c7d1629313915538488147db324/rendering/00.xyz", "0.0")</f>
        <v>0.0</v>
      </c>
      <c r="D1436" s="13" t="str">
        <f>HYPERLINK(AC2 &amp; "/knife/sn_df0a8c7d1629313915538488147db324/rendering/01.xyz", "0.0")</f>
        <v>0.0</v>
      </c>
      <c r="E1436" s="13" t="str">
        <f>HYPERLINK(AC2 &amp; "/knife/sn_df0a8c7d1629313915538488147db324/rendering/02.xyz", "0.0")</f>
        <v>0.0</v>
      </c>
      <c r="F1436" s="13" t="str">
        <f>HYPERLINK(AC2 &amp; "/knife/sn_df0a8c7d1629313915538488147db324/rendering/03.xyz", "0.0")</f>
        <v>0.0</v>
      </c>
      <c r="G1436" s="13" t="str">
        <f>HYPERLINK(AC2 &amp; "/knife/sn_df0a8c7d1629313915538488147db324/rendering/04.xyz", "0.0")</f>
        <v>0.0</v>
      </c>
      <c r="H1436" s="13" t="str">
        <f>HYPERLINK(AC2 &amp; "/knife/sn_df0a8c7d1629313915538488147db324/rendering/05.xyz", "0.0")</f>
        <v>0.0</v>
      </c>
      <c r="I1436" s="13" t="str">
        <f>HYPERLINK(AC2 &amp; "/knife/sn_df0a8c7d1629313915538488147db324/rendering/06.xyz", "0.0")</f>
        <v>0.0</v>
      </c>
      <c r="J1436" s="13" t="str">
        <f>HYPERLINK(AC2 &amp; "/knife/sn_df0a8c7d1629313915538488147db324/rendering/07.xyz", "0.0")</f>
        <v>0.0</v>
      </c>
      <c r="K1436" s="13" t="str">
        <f>HYPERLINK(AC2 &amp; "/knife/sn_df0a8c7d1629313915538488147db324/rendering/08.xyz", "0.0")</f>
        <v>0.0</v>
      </c>
      <c r="L1436" s="13" t="str">
        <f>HYPERLINK(AC2 &amp; "/knife/sn_df0a8c7d1629313915538488147db324/rendering/09.xyz", "0.0")</f>
        <v>0.0</v>
      </c>
      <c r="M1436" s="13" t="str">
        <f>HYPERLINK(AC2 &amp; "/knife/sn_df0a8c7d1629313915538488147db324/rendering/10.xyz", "0.0")</f>
        <v>0.0</v>
      </c>
      <c r="N1436" s="13" t="str">
        <f>HYPERLINK(AC2 &amp; "/knife/sn_df0a8c7d1629313915538488147db324/rendering/11.xyz", "0.0")</f>
        <v>0.0</v>
      </c>
      <c r="O1436" s="13" t="str">
        <f>HYPERLINK(AC2 &amp; "/knife/sn_df0a8c7d1629313915538488147db324/rendering/12.xyz", "0.0")</f>
        <v>0.0</v>
      </c>
      <c r="P1436" s="13" t="str">
        <f>HYPERLINK(AC2 &amp; "/knife/sn_df0a8c7d1629313915538488147db324/rendering/13.xyz", "0.0")</f>
        <v>0.0</v>
      </c>
      <c r="Q1436" s="13" t="str">
        <f>HYPERLINK(AC2 &amp; "/knife/sn_df0a8c7d1629313915538488147db324/rendering/14.xyz", "0.0")</f>
        <v>0.0</v>
      </c>
      <c r="R1436" s="13" t="str">
        <f>HYPERLINK(AC2 &amp; "/knife/sn_df0a8c7d1629313915538488147db324/rendering/15.xyz", "0.0")</f>
        <v>0.0</v>
      </c>
      <c r="S1436" s="13" t="str">
        <f>HYPERLINK(AC2 &amp; "/knife/sn_df0a8c7d1629313915538488147db324/rendering/16.xyz", "0.0")</f>
        <v>0.0</v>
      </c>
      <c r="T1436" s="13" t="str">
        <f>HYPERLINK(AC2 &amp; "/knife/sn_df0a8c7d1629313915538488147db324/rendering/17.xyz", "0.0")</f>
        <v>0.0</v>
      </c>
      <c r="U1436" s="13" t="str">
        <f>HYPERLINK(AC2 &amp; "/knife/sn_df0a8c7d1629313915538488147db324/rendering/18.xyz", "0.0")</f>
        <v>0.0</v>
      </c>
      <c r="V1436" s="13" t="str">
        <f>HYPERLINK(AC2 &amp; "/knife/sn_df0a8c7d1629313915538488147db324/rendering/19.xyz", "0.0")</f>
        <v>0.0</v>
      </c>
      <c r="W1436" s="12" t="s">
        <v>33</v>
      </c>
      <c r="X1436" s="13">
        <v>0</v>
      </c>
      <c r="Y1436" s="13">
        <v>0</v>
      </c>
      <c r="Z1436" s="13">
        <v>0</v>
      </c>
    </row>
    <row r="1437" spans="1:26" x14ac:dyDescent="0.2">
      <c r="A1437" s="1">
        <v>1435</v>
      </c>
      <c r="B1437" s="2" t="s">
        <v>320</v>
      </c>
      <c r="C1437" s="198" t="str">
        <f>HYPERLINK(AA2 &amp; "/knife/sn_df6ce028a9a0d8178bcec9d54ae64e9/rendering/00.obj", "5.43665222168")</f>
        <v>5.43665222168</v>
      </c>
      <c r="D1437" s="91" t="str">
        <f>HYPERLINK(AA2 &amp; "/knife/sn_df6ce028a9a0d8178bcec9d54ae64e9/rendering/01.obj", "4.02316986084")</f>
        <v>4.02316986084</v>
      </c>
      <c r="E1437" s="100" t="str">
        <f>HYPERLINK(AA2 &amp; "/knife/sn_df6ce028a9a0d8178bcec9d54ae64e9/rendering/02.obj", "5.09406616211")</f>
        <v>5.09406616211</v>
      </c>
      <c r="F1437" s="74" t="str">
        <f>HYPERLINK(AA2 &amp; "/knife/sn_df6ce028a9a0d8178bcec9d54ae64e9/rendering/03.obj", "3.97150238037")</f>
        <v>3.97150238037</v>
      </c>
      <c r="G1437" s="46" t="str">
        <f>HYPERLINK(AA2 &amp; "/knife/sn_df6ce028a9a0d8178bcec9d54ae64e9/rendering/04.obj", "3.85540863037")</f>
        <v>3.85540863037</v>
      </c>
      <c r="H1437" s="63" t="str">
        <f>HYPERLINK(AA2 &amp; "/knife/sn_df6ce028a9a0d8178bcec9d54ae64e9/rendering/05.obj", "3.44809020996")</f>
        <v>3.44809020996</v>
      </c>
      <c r="I1437" s="6" t="str">
        <f>HYPERLINK(AA2 &amp; "/knife/sn_df6ce028a9a0d8178bcec9d54ae64e9/rendering/06.obj", "3.74166473389")</f>
        <v>3.74166473389</v>
      </c>
      <c r="J1437" s="74" t="str">
        <f>HYPERLINK(AA2 &amp; "/knife/sn_df6ce028a9a0d8178bcec9d54ae64e9/rendering/07.obj", "3.96978240967")</f>
        <v>3.96978240967</v>
      </c>
      <c r="K1437" s="90" t="str">
        <f>HYPERLINK(AA2 &amp; "/knife/sn_df6ce028a9a0d8178bcec9d54ae64e9/rendering/08.obj", "3.53628753662")</f>
        <v>3.53628753662</v>
      </c>
      <c r="L1437" s="30" t="str">
        <f>HYPERLINK(AA2 &amp; "/knife/sn_df6ce028a9a0d8178bcec9d54ae64e9/rendering/09.obj", "3.93668060303")</f>
        <v>3.93668060303</v>
      </c>
      <c r="M1437" s="29" t="str">
        <f>HYPERLINK(AA2 &amp; "/knife/sn_df6ce028a9a0d8178bcec9d54ae64e9/rendering/10.obj", "3.41231658936")</f>
        <v>3.41231658936</v>
      </c>
      <c r="N1437" s="60" t="str">
        <f>HYPERLINK(AA2 &amp; "/knife/sn_df6ce028a9a0d8178bcec9d54ae64e9/rendering/11.obj", "3.71812683105")</f>
        <v>3.71812683105</v>
      </c>
      <c r="O1437" s="73" t="str">
        <f>HYPERLINK(AA2 &amp; "/knife/sn_df6ce028a9a0d8178bcec9d54ae64e9/rendering/12.obj", "3.76965637207")</f>
        <v>3.76965637207</v>
      </c>
      <c r="P1437" s="28" t="str">
        <f>HYPERLINK(AA2 &amp; "/knife/sn_df6ce028a9a0d8178bcec9d54ae64e9/rendering/13.obj", "4.35010406494")</f>
        <v>4.35010406494</v>
      </c>
      <c r="Q1437" s="47" t="str">
        <f>HYPERLINK(AA2 &amp; "/knife/sn_df6ce028a9a0d8178bcec9d54ae64e9/rendering/14.obj", "3.8806628418")</f>
        <v>3.8806628418</v>
      </c>
      <c r="R1437" s="25" t="str">
        <f>HYPERLINK(AA2 &amp; "/knife/sn_df6ce028a9a0d8178bcec9d54ae64e9/rendering/15.obj", "3.87817779541")</f>
        <v>3.87817779541</v>
      </c>
      <c r="S1437" s="23" t="str">
        <f>HYPERLINK(AA2 &amp; "/knife/sn_df6ce028a9a0d8178bcec9d54ae64e9/rendering/16.obj", "3.75942077637")</f>
        <v>3.75942077637</v>
      </c>
      <c r="T1437" s="133" t="str">
        <f>HYPERLINK(AA2 &amp; "/knife/sn_df6ce028a9a0d8178bcec9d54ae64e9/rendering/17.obj", "3.51729736328")</f>
        <v>3.51729736328</v>
      </c>
      <c r="U1437" s="27" t="str">
        <f>HYPERLINK(AA2 &amp; "/knife/sn_df6ce028a9a0d8178bcec9d54ae64e9/rendering/18.obj", "3.63749084473")</f>
        <v>3.63749084473</v>
      </c>
      <c r="V1437" s="29" t="str">
        <f>HYPERLINK(AA2 &amp; "/knife/sn_df6ce028a9a0d8178bcec9d54ae64e9/rendering/19.obj", "3.40301422119")</f>
        <v>3.40301422119</v>
      </c>
      <c r="W1437" s="12" t="s">
        <v>29</v>
      </c>
      <c r="X1437" s="13">
        <v>3.9169786224365231</v>
      </c>
      <c r="Y1437" s="13">
        <v>0.50719181113586698</v>
      </c>
      <c r="Z1437" s="29">
        <v>0.12948546827155591</v>
      </c>
    </row>
    <row r="1438" spans="1:26" x14ac:dyDescent="0.2">
      <c r="A1438" s="1">
        <v>1436</v>
      </c>
      <c r="B1438" s="2" t="s">
        <v>320</v>
      </c>
      <c r="C1438" s="159" t="str">
        <f>HYPERLINK(AA2 &amp; "/knife/sn_df6ce028a9a0d8178bcec9d54ae64e9/rendering/00.obj", "2.21332573891")</f>
        <v>2.21332573891</v>
      </c>
      <c r="D1438" s="5" t="str">
        <f>HYPERLINK(AA2 &amp; "/knife/sn_df6ce028a9a0d8178bcec9d54ae64e9/rendering/01.obj", "1.38972175121")</f>
        <v>1.38972175121</v>
      </c>
      <c r="E1438" s="44" t="str">
        <f>HYPERLINK(AA2 &amp; "/knife/sn_df6ce028a9a0d8178bcec9d54ae64e9/rendering/02.obj", "1.79943728447")</f>
        <v>1.79943728447</v>
      </c>
      <c r="F1438" s="108" t="str">
        <f>HYPERLINK(AA2 &amp; "/knife/sn_df6ce028a9a0d8178bcec9d54ae64e9/rendering/03.obj", "1.13664698601")</f>
        <v>1.13664698601</v>
      </c>
      <c r="G1438" s="101" t="str">
        <f>HYPERLINK(AA2 &amp; "/knife/sn_df6ce028a9a0d8178bcec9d54ae64e9/rendering/04.obj", "0.935873389244")</f>
        <v>0.935873389244</v>
      </c>
      <c r="H1438" s="107" t="str">
        <f>HYPERLINK(AA2 &amp; "/knife/sn_df6ce028a9a0d8178bcec9d54ae64e9/rendering/05.obj", "1.62955451012")</f>
        <v>1.62955451012</v>
      </c>
      <c r="I1438" s="55" t="str">
        <f>HYPERLINK(AA2 &amp; "/knife/sn_df6ce028a9a0d8178bcec9d54ae64e9/rendering/06.obj", "1.21503329277")</f>
        <v>1.21503329277</v>
      </c>
      <c r="J1438" s="136" t="str">
        <f>HYPERLINK(AA2 &amp; "/knife/sn_df6ce028a9a0d8178bcec9d54ae64e9/rendering/07.obj", "1.14716672897")</f>
        <v>1.14716672897</v>
      </c>
      <c r="K1438" s="113" t="str">
        <f>HYPERLINK(AA2 &amp; "/knife/sn_df6ce028a9a0d8178bcec9d54ae64e9/rendering/08.obj", "1.09302914143")</f>
        <v>1.09302914143</v>
      </c>
      <c r="L1438" s="34" t="str">
        <f>HYPERLINK(AA2 &amp; "/knife/sn_df6ce028a9a0d8178bcec9d54ae64e9/rendering/09.obj", "1.43245649338")</f>
        <v>1.43245649338</v>
      </c>
      <c r="M1438" s="25" t="str">
        <f>HYPERLINK(AA2 &amp; "/knife/sn_df6ce028a9a0d8178bcec9d54ae64e9/rendering/10.obj", "1.4899238348")</f>
        <v>1.4899238348</v>
      </c>
      <c r="N1438" s="157" t="str">
        <f>HYPERLINK(AA2 &amp; "/knife/sn_df6ce028a9a0d8178bcec9d54ae64e9/rendering/11.obj", "2.13119578362")</f>
        <v>2.13119578362</v>
      </c>
      <c r="O1438" s="16" t="str">
        <f>HYPERLINK(AA2 &amp; "/knife/sn_df6ce028a9a0d8178bcec9d54ae64e9/rendering/12.obj", "2.32545900345")</f>
        <v>2.32545900345</v>
      </c>
      <c r="P1438" s="59" t="str">
        <f>HYPERLINK(AA2 &amp; "/knife/sn_df6ce028a9a0d8178bcec9d54ae64e9/rendering/13.obj", "1.14228999615")</f>
        <v>1.14228999615</v>
      </c>
      <c r="Q1438" s="19" t="str">
        <f>HYPERLINK(AA2 &amp; "/knife/sn_df6ce028a9a0d8178bcec9d54ae64e9/rendering/14.obj", "1.10985088348")</f>
        <v>1.10985088348</v>
      </c>
      <c r="R1438" s="185" t="str">
        <f>HYPERLINK(AA2 &amp; "/knife/sn_df6ce028a9a0d8178bcec9d54ae64e9/rendering/15.obj", "2.01943063736")</f>
        <v>2.01943063736</v>
      </c>
      <c r="S1438" s="40" t="str">
        <f>HYPERLINK(AA2 &amp; "/knife/sn_df6ce028a9a0d8178bcec9d54ae64e9/rendering/16.obj", "1.24824953079")</f>
        <v>1.24824953079</v>
      </c>
      <c r="T1438" s="162" t="str">
        <f>HYPERLINK(AA2 &amp; "/knife/sn_df6ce028a9a0d8178bcec9d54ae64e9/rendering/17.obj", "2.14378452301")</f>
        <v>2.14378452301</v>
      </c>
      <c r="U1438" s="75" t="str">
        <f>HYPERLINK(AA2 &amp; "/knife/sn_df6ce028a9a0d8178bcec9d54ae64e9/rendering/18.obj", "1.17296278477")</f>
        <v>1.17296278477</v>
      </c>
      <c r="V1438" s="28" t="str">
        <f>HYPERLINK(AA2 &amp; "/knife/sn_df6ce028a9a0d8178bcec9d54ae64e9/rendering/19.obj", "1.34040606022")</f>
        <v>1.34040606022</v>
      </c>
      <c r="W1438" s="12" t="s">
        <v>30</v>
      </c>
      <c r="X1438" s="13">
        <v>1.505789917707443</v>
      </c>
      <c r="Y1438" s="13">
        <v>0.42971234831354682</v>
      </c>
      <c r="Z1438" s="4">
        <v>0.28537337331078788</v>
      </c>
    </row>
    <row r="1439" spans="1:26" x14ac:dyDescent="0.2">
      <c r="A1439" s="1">
        <v>1437</v>
      </c>
      <c r="B1439" s="2" t="s">
        <v>320</v>
      </c>
      <c r="C1439" s="109" t="str">
        <f>HYPERLINK(AB2 &amp; "/knife/sn_df6ce028a9a0d8178bcec9d54ae64e9/rendering/00.obj", "5.71246887207")</f>
        <v>5.71246887207</v>
      </c>
      <c r="D1439" s="91" t="str">
        <f>HYPERLINK(AB2 &amp; "/knife/sn_df6ce028a9a0d8178bcec9d54ae64e9/rendering/01.obj", "4.9375012207")</f>
        <v>4.9375012207</v>
      </c>
      <c r="E1439" s="10" t="str">
        <f>HYPERLINK(AB2 &amp; "/knife/sn_df6ce028a9a0d8178bcec9d54ae64e9/rendering/02.obj", "5.07524902344")</f>
        <v>5.07524902344</v>
      </c>
      <c r="F1439" s="17" t="str">
        <f>HYPERLINK(AB2 &amp; "/knife/sn_df6ce028a9a0d8178bcec9d54ae64e9/rendering/03.obj", "4.70261413574")</f>
        <v>4.70261413574</v>
      </c>
      <c r="G1439" s="106" t="str">
        <f>HYPERLINK(AB2 &amp; "/knife/sn_df6ce028a9a0d8178bcec9d54ae64e9/rendering/04.obj", "4.26028656006")</f>
        <v>4.26028656006</v>
      </c>
      <c r="H1439" s="34" t="str">
        <f>HYPERLINK(AB2 &amp; "/knife/sn_df6ce028a9a0d8178bcec9d54ae64e9/rendering/05.obj", "4.56899291992")</f>
        <v>4.56899291992</v>
      </c>
      <c r="I1439" s="74" t="str">
        <f>HYPERLINK(AB2 &amp; "/knife/sn_df6ce028a9a0d8178bcec9d54ae64e9/rendering/06.obj", "4.74561187744")</f>
        <v>4.74561187744</v>
      </c>
      <c r="J1439" s="71" t="str">
        <f>HYPERLINK(AB2 &amp; "/knife/sn_df6ce028a9a0d8178bcec9d54ae64e9/rendering/07.obj", "5.37423400879")</f>
        <v>5.37423400879</v>
      </c>
      <c r="K1439" s="23" t="str">
        <f>HYPERLINK(AB2 &amp; "/knife/sn_df6ce028a9a0d8178bcec9d54ae64e9/rendering/08.obj", "4.61202392578")</f>
        <v>4.61202392578</v>
      </c>
      <c r="L1439" s="69" t="str">
        <f>HYPERLINK(AB2 &amp; "/knife/sn_df6ce028a9a0d8178bcec9d54ae64e9/rendering/09.obj", "4.95784210205")</f>
        <v>4.95784210205</v>
      </c>
      <c r="M1439" s="48" t="str">
        <f>HYPERLINK(AB2 &amp; "/knife/sn_df6ce028a9a0d8178bcec9d54ae64e9/rendering/10.obj", "4.70041290283")</f>
        <v>4.70041290283</v>
      </c>
      <c r="N1439" s="41" t="str">
        <f>HYPERLINK(AB2 &amp; "/knife/sn_df6ce028a9a0d8178bcec9d54ae64e9/rendering/11.obj", "4.48328979492")</f>
        <v>4.48328979492</v>
      </c>
      <c r="O1439" s="17" t="str">
        <f>HYPERLINK(AB2 &amp; "/knife/sn_df6ce028a9a0d8178bcec9d54ae64e9/rendering/12.obj", "4.70507141113")</f>
        <v>4.70507141113</v>
      </c>
      <c r="P1439" s="63" t="str">
        <f>HYPERLINK(AB2 &amp; "/knife/sn_df6ce028a9a0d8178bcec9d54ae64e9/rendering/13.obj", "5.38722412109")</f>
        <v>5.38722412109</v>
      </c>
      <c r="Q1439" s="38" t="str">
        <f>HYPERLINK(AB2 &amp; "/knife/sn_df6ce028a9a0d8178bcec9d54ae64e9/rendering/14.obj", "5.23380615234")</f>
        <v>5.23380615234</v>
      </c>
      <c r="R1439" s="94" t="str">
        <f>HYPERLINK(AB2 &amp; "/knife/sn_df6ce028a9a0d8178bcec9d54ae64e9/rendering/15.obj", "4.45352294922")</f>
        <v>4.45352294922</v>
      </c>
      <c r="S1439" s="23" t="str">
        <f>HYPERLINK(AB2 &amp; "/knife/sn_df6ce028a9a0d8178bcec9d54ae64e9/rendering/16.obj", "4.99080871582")</f>
        <v>4.99080871582</v>
      </c>
      <c r="T1439" s="71" t="str">
        <f>HYPERLINK(AB2 &amp; "/knife/sn_df6ce028a9a0d8178bcec9d54ae64e9/rendering/17.obj", "4.24048065186")</f>
        <v>4.24048065186</v>
      </c>
      <c r="U1439" s="90" t="str">
        <f>HYPERLINK(AB2 &amp; "/knife/sn_df6ce028a9a0d8178bcec9d54ae64e9/rendering/18.obj", "4.35213500977")</f>
        <v>4.35213500977</v>
      </c>
      <c r="V1439" s="72" t="str">
        <f>HYPERLINK(AB2 &amp; "/knife/sn_df6ce028a9a0d8178bcec9d54ae64e9/rendering/19.obj", "4.6542956543")</f>
        <v>4.6542956543</v>
      </c>
      <c r="W1439" s="12" t="s">
        <v>31</v>
      </c>
      <c r="X1439" s="13">
        <v>4.8073936004638664</v>
      </c>
      <c r="Y1439" s="13">
        <v>0.38838440149072989</v>
      </c>
      <c r="Z1439" s="51">
        <v>8.0788975018241616E-2</v>
      </c>
    </row>
    <row r="1440" spans="1:26" x14ac:dyDescent="0.2">
      <c r="A1440" s="1">
        <v>1438</v>
      </c>
      <c r="B1440" s="2" t="s">
        <v>320</v>
      </c>
      <c r="C1440" s="95" t="str">
        <f>HYPERLINK(AB2 &amp; "/knife/sn_df6ce028a9a0d8178bcec9d54ae64e9/rendering/00.obj", "1.88221263885")</f>
        <v>1.88221263885</v>
      </c>
      <c r="D1440" s="10" t="str">
        <f>HYPERLINK(AB2 &amp; "/knife/sn_df6ce028a9a0d8178bcec9d54ae64e9/rendering/01.obj", "1.39014995098")</f>
        <v>1.39014995098</v>
      </c>
      <c r="E1440" s="5" t="str">
        <f>HYPERLINK(AB2 &amp; "/knife/sn_df6ce028a9a0d8178bcec9d54ae64e9/rendering/02.obj", "1.35637307167")</f>
        <v>1.35637307167</v>
      </c>
      <c r="F1440" s="117" t="str">
        <f>HYPERLINK(AB2 &amp; "/knife/sn_df6ce028a9a0d8178bcec9d54ae64e9/rendering/03.obj", "1.21127724648")</f>
        <v>1.21127724648</v>
      </c>
      <c r="G1440" s="119" t="str">
        <f>HYPERLINK(AB2 &amp; "/knife/sn_df6ce028a9a0d8178bcec9d54ae64e9/rendering/04.obj", "1.08202278614")</f>
        <v>1.08202278614</v>
      </c>
      <c r="H1440" s="35" t="str">
        <f>HYPERLINK(AB2 &amp; "/knife/sn_df6ce028a9a0d8178bcec9d54ae64e9/rendering/05.obj", "1.38498568535")</f>
        <v>1.38498568535</v>
      </c>
      <c r="I1440" s="72" t="str">
        <f>HYPERLINK(AB2 &amp; "/knife/sn_df6ce028a9a0d8178bcec9d54ae64e9/rendering/06.obj", "1.51713216305")</f>
        <v>1.51713216305</v>
      </c>
      <c r="J1440" s="51" t="str">
        <f>HYPERLINK(AB2 &amp; "/knife/sn_df6ce028a9a0d8178bcec9d54ae64e9/rendering/07.obj", "1.58601546288")</f>
        <v>1.58601546288</v>
      </c>
      <c r="K1440" s="76" t="str">
        <f>HYPERLINK(AB2 &amp; "/knife/sn_df6ce028a9a0d8178bcec9d54ae64e9/rendering/08.obj", "1.20038175583")</f>
        <v>1.20038175583</v>
      </c>
      <c r="L1440" s="72" t="str">
        <f>HYPERLINK(AB2 &amp; "/knife/sn_df6ce028a9a0d8178bcec9d54ae64e9/rendering/09.obj", "1.42238295078")</f>
        <v>1.42238295078</v>
      </c>
      <c r="M1440" s="91" t="str">
        <f>HYPERLINK(AB2 &amp; "/knife/sn_df6ce028a9a0d8178bcec9d54ae64e9/rendering/10.obj", "1.51145422459")</f>
        <v>1.51145422459</v>
      </c>
      <c r="N1440" s="5" t="str">
        <f>HYPERLINK(AB2 &amp; "/knife/sn_df6ce028a9a0d8178bcec9d54ae64e9/rendering/11.obj", "1.58108079433")</f>
        <v>1.58108079433</v>
      </c>
      <c r="O1440" s="119" t="str">
        <f>HYPERLINK(AB2 &amp; "/knife/sn_df6ce028a9a0d8178bcec9d54ae64e9/rendering/12.obj", "1.86051225662")</f>
        <v>1.86051225662</v>
      </c>
      <c r="P1440" s="41" t="str">
        <f>HYPERLINK(AB2 &amp; "/knife/sn_df6ce028a9a0d8178bcec9d54ae64e9/rendering/13.obj", "1.56718122959")</f>
        <v>1.56718122959</v>
      </c>
      <c r="Q1440" s="23" t="str">
        <f>HYPERLINK(AB2 &amp; "/knife/sn_df6ce028a9a0d8178bcec9d54ae64e9/rendering/14.obj", "1.52601790428")</f>
        <v>1.52601790428</v>
      </c>
      <c r="R1440" s="68" t="str">
        <f>HYPERLINK(AB2 &amp; "/knife/sn_df6ce028a9a0d8178bcec9d54ae64e9/rendering/15.obj", "1.53135418892")</f>
        <v>1.53135418892</v>
      </c>
      <c r="S1440" s="10" t="str">
        <f>HYPERLINK(AB2 &amp; "/knife/sn_df6ce028a9a0d8178bcec9d54ae64e9/rendering/16.obj", "1.38955593109")</f>
        <v>1.38955593109</v>
      </c>
      <c r="T1440" s="38" t="str">
        <f>HYPERLINK(AB2 &amp; "/knife/sn_df6ce028a9a0d8178bcec9d54ae64e9/rendering/17.obj", "1.6038094759")</f>
        <v>1.6038094759</v>
      </c>
      <c r="U1440" s="117" t="str">
        <f>HYPERLINK(AB2 &amp; "/knife/sn_df6ce028a9a0d8178bcec9d54ae64e9/rendering/18.obj", "1.21132540703")</f>
        <v>1.21132540703</v>
      </c>
      <c r="V1440" s="51" t="str">
        <f>HYPERLINK(AB2 &amp; "/knife/sn_df6ce028a9a0d8178bcec9d54ae64e9/rendering/19.obj", "1.58805680275")</f>
        <v>1.58805680275</v>
      </c>
      <c r="W1440" s="12" t="s">
        <v>32</v>
      </c>
      <c r="X1440" s="13">
        <v>1.4701640963554381</v>
      </c>
      <c r="Y1440" s="13">
        <v>0.1990815642450664</v>
      </c>
      <c r="Z1440" s="42">
        <v>0.13541451919455319</v>
      </c>
    </row>
    <row r="1441" spans="1:26" x14ac:dyDescent="0.2">
      <c r="A1441" s="1">
        <v>1439</v>
      </c>
      <c r="B1441" s="2" t="s">
        <v>320</v>
      </c>
      <c r="C1441" s="13" t="str">
        <f>HYPERLINK(AC2 &amp; "/knife/sn_df6ce028a9a0d8178bcec9d54ae64e9/rendering/00.xyz", "0.0")</f>
        <v>0.0</v>
      </c>
      <c r="D1441" s="13" t="str">
        <f>HYPERLINK(AC2 &amp; "/knife/sn_df6ce028a9a0d8178bcec9d54ae64e9/rendering/01.xyz", "0.0")</f>
        <v>0.0</v>
      </c>
      <c r="E1441" s="13" t="str">
        <f>HYPERLINK(AC2 &amp; "/knife/sn_df6ce028a9a0d8178bcec9d54ae64e9/rendering/02.xyz", "0.0")</f>
        <v>0.0</v>
      </c>
      <c r="F1441" s="13" t="str">
        <f>HYPERLINK(AC2 &amp; "/knife/sn_df6ce028a9a0d8178bcec9d54ae64e9/rendering/03.xyz", "0.0")</f>
        <v>0.0</v>
      </c>
      <c r="G1441" s="13" t="str">
        <f>HYPERLINK(AC2 &amp; "/knife/sn_df6ce028a9a0d8178bcec9d54ae64e9/rendering/04.xyz", "0.0")</f>
        <v>0.0</v>
      </c>
      <c r="H1441" s="13" t="str">
        <f>HYPERLINK(AC2 &amp; "/knife/sn_df6ce028a9a0d8178bcec9d54ae64e9/rendering/05.xyz", "0.0")</f>
        <v>0.0</v>
      </c>
      <c r="I1441" s="13" t="str">
        <f>HYPERLINK(AC2 &amp; "/knife/sn_df6ce028a9a0d8178bcec9d54ae64e9/rendering/06.xyz", "0.0")</f>
        <v>0.0</v>
      </c>
      <c r="J1441" s="13" t="str">
        <f>HYPERLINK(AC2 &amp; "/knife/sn_df6ce028a9a0d8178bcec9d54ae64e9/rendering/07.xyz", "0.0")</f>
        <v>0.0</v>
      </c>
      <c r="K1441" s="13" t="str">
        <f>HYPERLINK(AC2 &amp; "/knife/sn_df6ce028a9a0d8178bcec9d54ae64e9/rendering/08.xyz", "0.0")</f>
        <v>0.0</v>
      </c>
      <c r="L1441" s="13" t="str">
        <f>HYPERLINK(AC2 &amp; "/knife/sn_df6ce028a9a0d8178bcec9d54ae64e9/rendering/09.xyz", "0.0")</f>
        <v>0.0</v>
      </c>
      <c r="M1441" s="13" t="str">
        <f>HYPERLINK(AC2 &amp; "/knife/sn_df6ce028a9a0d8178bcec9d54ae64e9/rendering/10.xyz", "0.0")</f>
        <v>0.0</v>
      </c>
      <c r="N1441" s="13" t="str">
        <f>HYPERLINK(AC2 &amp; "/knife/sn_df6ce028a9a0d8178bcec9d54ae64e9/rendering/11.xyz", "0.0")</f>
        <v>0.0</v>
      </c>
      <c r="O1441" s="13" t="str">
        <f>HYPERLINK(AC2 &amp; "/knife/sn_df6ce028a9a0d8178bcec9d54ae64e9/rendering/12.xyz", "0.0")</f>
        <v>0.0</v>
      </c>
      <c r="P1441" s="13" t="str">
        <f>HYPERLINK(AC2 &amp; "/knife/sn_df6ce028a9a0d8178bcec9d54ae64e9/rendering/13.xyz", "0.0")</f>
        <v>0.0</v>
      </c>
      <c r="Q1441" s="13" t="str">
        <f>HYPERLINK(AC2 &amp; "/knife/sn_df6ce028a9a0d8178bcec9d54ae64e9/rendering/14.xyz", "0.0")</f>
        <v>0.0</v>
      </c>
      <c r="R1441" s="13" t="str">
        <f>HYPERLINK(AC2 &amp; "/knife/sn_df6ce028a9a0d8178bcec9d54ae64e9/rendering/15.xyz", "0.0")</f>
        <v>0.0</v>
      </c>
      <c r="S1441" s="13" t="str">
        <f>HYPERLINK(AC2 &amp; "/knife/sn_df6ce028a9a0d8178bcec9d54ae64e9/rendering/16.xyz", "0.0")</f>
        <v>0.0</v>
      </c>
      <c r="T1441" s="13" t="str">
        <f>HYPERLINK(AC2 &amp; "/knife/sn_df6ce028a9a0d8178bcec9d54ae64e9/rendering/17.xyz", "0.0")</f>
        <v>0.0</v>
      </c>
      <c r="U1441" s="13" t="str">
        <f>HYPERLINK(AC2 &amp; "/knife/sn_df6ce028a9a0d8178bcec9d54ae64e9/rendering/18.xyz", "0.0")</f>
        <v>0.0</v>
      </c>
      <c r="V1441" s="13" t="str">
        <f>HYPERLINK(AC2 &amp; "/knife/sn_df6ce028a9a0d8178bcec9d54ae64e9/rendering/19.xyz", "0.0")</f>
        <v>0.0</v>
      </c>
      <c r="W1441" s="12" t="s">
        <v>33</v>
      </c>
      <c r="X1441" s="13">
        <v>0</v>
      </c>
      <c r="Y1441" s="13">
        <v>0</v>
      </c>
      <c r="Z1441" s="13">
        <v>0</v>
      </c>
    </row>
    <row r="1442" spans="1:26" x14ac:dyDescent="0.2">
      <c r="A1442" s="1">
        <v>1440</v>
      </c>
      <c r="B1442" s="2" t="s">
        <v>321</v>
      </c>
      <c r="C1442" s="239" t="str">
        <f>HYPERLINK(AA2 &amp; "/knife/sn_dfabed4f151870eb4bd26ac3bc3791a7/rendering/00.obj", "8.56979003906")</f>
        <v>8.56979003906</v>
      </c>
      <c r="D1442" s="213" t="str">
        <f>HYPERLINK(AA2 &amp; "/knife/sn_dfabed4f151870eb4bd26ac3bc3791a7/rendering/01.obj", "2.7059463501")</f>
        <v>2.7059463501</v>
      </c>
      <c r="E1442" s="235" t="str">
        <f>HYPERLINK(AA2 &amp; "/knife/sn_dfabed4f151870eb4bd26ac3bc3791a7/rendering/02.obj", "2.45422073364")</f>
        <v>2.45422073364</v>
      </c>
      <c r="F1442" s="249" t="str">
        <f>HYPERLINK(AA2 &amp; "/knife/sn_dfabed4f151870eb4bd26ac3bc3791a7/rendering/03.obj", "2.28036590576")</f>
        <v>2.28036590576</v>
      </c>
      <c r="G1442" s="128" t="str">
        <f>HYPERLINK(AA2 &amp; "/knife/sn_dfabed4f151870eb4bd26ac3bc3791a7/rendering/04.obj", "3.25154296875")</f>
        <v>3.25154296875</v>
      </c>
      <c r="H1442" s="235" t="str">
        <f>HYPERLINK(AA2 &amp; "/knife/sn_dfabed4f151870eb4bd26ac3bc3791a7/rendering/05.obj", "2.4425982666")</f>
        <v>2.4425982666</v>
      </c>
      <c r="I1442" s="20" t="str">
        <f>HYPERLINK(AA2 &amp; "/knife/sn_dfabed4f151870eb4bd26ac3bc3791a7/rendering/06.obj", "14.3148339844")</f>
        <v>14.3148339844</v>
      </c>
      <c r="J1442" s="89" t="str">
        <f>HYPERLINK(AA2 &amp; "/knife/sn_dfabed4f151870eb4bd26ac3bc3791a7/rendering/07.obj", "3.94836730957")</f>
        <v>3.94836730957</v>
      </c>
      <c r="K1442" s="110" t="str">
        <f>HYPERLINK(AA2 &amp; "/knife/sn_dfabed4f151870eb4bd26ac3bc3791a7/rendering/08.obj", "4.80162109375")</f>
        <v>4.80162109375</v>
      </c>
      <c r="L1442" s="126" t="str">
        <f>HYPERLINK(AA2 &amp; "/knife/sn_dfabed4f151870eb4bd26ac3bc3791a7/rendering/09.obj", "2.66627319336")</f>
        <v>2.66627319336</v>
      </c>
      <c r="M1442" s="174" t="str">
        <f>HYPERLINK(AA2 &amp; "/knife/sn_dfabed4f151870eb4bd26ac3bc3791a7/rendering/10.obj", "2.52409255981")</f>
        <v>2.52409255981</v>
      </c>
      <c r="N1442" s="130" t="str">
        <f>HYPERLINK(AA2 &amp; "/knife/sn_dfabed4f151870eb4bd26ac3bc3791a7/rendering/11.obj", "2.9358392334")</f>
        <v>2.9358392334</v>
      </c>
      <c r="O1442" s="192" t="str">
        <f>HYPERLINK(AA2 &amp; "/knife/sn_dfabed4f151870eb4bd26ac3bc3791a7/rendering/12.obj", "7.31774047852")</f>
        <v>7.31774047852</v>
      </c>
      <c r="P1442" s="169" t="str">
        <f>HYPERLINK(AA2 &amp; "/knife/sn_dfabed4f151870eb4bd26ac3bc3791a7/rendering/13.obj", "3.66123779297")</f>
        <v>3.66123779297</v>
      </c>
      <c r="Q1442" s="127" t="str">
        <f>HYPERLINK(AA2 &amp; "/knife/sn_dfabed4f151870eb4bd26ac3bc3791a7/rendering/14.obj", "2.55760345459")</f>
        <v>2.55760345459</v>
      </c>
      <c r="R1442" s="134" t="str">
        <f>HYPERLINK(AA2 &amp; "/knife/sn_dfabed4f151870eb4bd26ac3bc3791a7/rendering/15.obj", "4.36406311035")</f>
        <v>4.36406311035</v>
      </c>
      <c r="S1442" s="116" t="str">
        <f>HYPERLINK(AA2 &amp; "/knife/sn_dfabed4f151870eb4bd26ac3bc3791a7/rendering/16.obj", "3.00120147705")</f>
        <v>3.00120147705</v>
      </c>
      <c r="T1442" s="20" t="str">
        <f>HYPERLINK(AA2 &amp; "/knife/sn_dfabed4f151870eb4bd26ac3bc3791a7/rendering/17.obj", "18.5090454102")</f>
        <v>18.5090454102</v>
      </c>
      <c r="U1442" s="21" t="str">
        <f>HYPERLINK(AA2 &amp; "/knife/sn_dfabed4f151870eb4bd26ac3bc3791a7/rendering/18.obj", "2.37499267578")</f>
        <v>2.37499267578</v>
      </c>
      <c r="V1442" s="20" t="str">
        <f>HYPERLINK(AA2 &amp; "/knife/sn_dfabed4f151870eb4bd26ac3bc3791a7/rendering/19.obj", "11.992532959")</f>
        <v>11.992532959</v>
      </c>
      <c r="W1442" s="12" t="s">
        <v>29</v>
      </c>
      <c r="X1442" s="13">
        <v>5.3336954498291007</v>
      </c>
      <c r="Y1442" s="13">
        <v>4.4654900008000036</v>
      </c>
      <c r="Z1442" s="20">
        <v>0.83722253038333583</v>
      </c>
    </row>
    <row r="1443" spans="1:26" x14ac:dyDescent="0.2">
      <c r="A1443" s="1">
        <v>1441</v>
      </c>
      <c r="B1443" s="2" t="s">
        <v>321</v>
      </c>
      <c r="C1443" s="124" t="str">
        <f>HYPERLINK(AA2 &amp; "/knife/sn_dfabed4f151870eb4bd26ac3bc3791a7/rendering/00.obj", "7.76792383194")</f>
        <v>7.76792383194</v>
      </c>
      <c r="D1443" s="209" t="str">
        <f>HYPERLINK(AA2 &amp; "/knife/sn_dfabed4f151870eb4bd26ac3bc3791a7/rendering/01.obj", "1.36121451855")</f>
        <v>1.36121451855</v>
      </c>
      <c r="E1443" s="243" t="str">
        <f>HYPERLINK(AA2 &amp; "/knife/sn_dfabed4f151870eb4bd26ac3bc3791a7/rendering/02.obj", "1.23748683929")</f>
        <v>1.23748683929</v>
      </c>
      <c r="F1443" s="204" t="str">
        <f>HYPERLINK(AA2 &amp; "/knife/sn_dfabed4f151870eb4bd26ac3bc3791a7/rendering/03.obj", "1.15937840939")</f>
        <v>1.15937840939</v>
      </c>
      <c r="G1443" s="217" t="str">
        <f>HYPERLINK(AA2 &amp; "/knife/sn_dfabed4f151870eb4bd26ac3bc3791a7/rendering/04.obj", "2.06918668747")</f>
        <v>2.06918668747</v>
      </c>
      <c r="H1443" s="204" t="str">
        <f>HYPERLINK(AA2 &amp; "/knife/sn_dfabed4f151870eb4bd26ac3bc3791a7/rendering/05.obj", "1.14518535137")</f>
        <v>1.14518535137</v>
      </c>
      <c r="I1443" s="20" t="str">
        <f>HYPERLINK(AA2 &amp; "/knife/sn_dfabed4f151870eb4bd26ac3bc3791a7/rendering/06.obj", "19.425075531")</f>
        <v>19.425075531</v>
      </c>
      <c r="J1443" s="157" t="str">
        <f>HYPERLINK(AA2 &amp; "/knife/sn_dfabed4f151870eb4bd26ac3bc3791a7/rendering/07.obj", "3.28174901009")</f>
        <v>3.28174901009</v>
      </c>
      <c r="K1443" s="244" t="str">
        <f>HYPERLINK(AA2 &amp; "/knife/sn_dfabed4f151870eb4bd26ac3bc3791a7/rendering/08.obj", "2.17259025574")</f>
        <v>2.17259025574</v>
      </c>
      <c r="L1443" s="211" t="str">
        <f>HYPERLINK(AA2 &amp; "/knife/sn_dfabed4f151870eb4bd26ac3bc3791a7/rendering/09.obj", "1.30871045589")</f>
        <v>1.30871045589</v>
      </c>
      <c r="M1443" s="146" t="str">
        <f>HYPERLINK(AA2 &amp; "/knife/sn_dfabed4f151870eb4bd26ac3bc3791a7/rendering/10.obj", "1.26012313366")</f>
        <v>1.26012313366</v>
      </c>
      <c r="N1443" s="220" t="str">
        <f>HYPERLINK(AA2 &amp; "/knife/sn_dfabed4f151870eb4bd26ac3bc3791a7/rendering/11.obj", "1.79973065853")</f>
        <v>1.79973065853</v>
      </c>
      <c r="O1443" s="35" t="str">
        <f>HYPERLINK(AA2 &amp; "/knife/sn_dfabed4f151870eb4bd26ac3bc3791a7/rendering/12.obj", "5.29015827179")</f>
        <v>5.29015827179</v>
      </c>
      <c r="P1443" s="215" t="str">
        <f>HYPERLINK(AA2 &amp; "/knife/sn_dfabed4f151870eb4bd26ac3bc3791a7/rendering/13.obj", "1.8607159853")</f>
        <v>1.8607159853</v>
      </c>
      <c r="Q1443" s="224" t="str">
        <f>HYPERLINK(AA2 &amp; "/knife/sn_dfabed4f151870eb4bd26ac3bc3791a7/rendering/14.obj", "1.63705778122")</f>
        <v>1.63705778122</v>
      </c>
      <c r="R1443" s="220" t="str">
        <f>HYPERLINK(AA2 &amp; "/knife/sn_dfabed4f151870eb4bd26ac3bc3791a7/rendering/15.obj", "1.81072700024")</f>
        <v>1.81072700024</v>
      </c>
      <c r="S1443" s="243" t="str">
        <f>HYPERLINK(AA2 &amp; "/knife/sn_dfabed4f151870eb4bd26ac3bc3791a7/rendering/16.obj", "1.24509906769")</f>
        <v>1.24509906769</v>
      </c>
      <c r="T1443" s="20" t="str">
        <f>HYPERLINK(AA2 &amp; "/knife/sn_dfabed4f151870eb4bd26ac3bc3791a7/rendering/17.obj", "40.2201957703")</f>
        <v>40.2201957703</v>
      </c>
      <c r="U1443" s="222" t="str">
        <f>HYPERLINK(AA2 &amp; "/knife/sn_dfabed4f151870eb4bd26ac3bc3791a7/rendering/18.obj", "1.42373907566")</f>
        <v>1.42373907566</v>
      </c>
      <c r="V1443" s="20" t="str">
        <f>HYPERLINK(AA2 &amp; "/knife/sn_dfabed4f151870eb4bd26ac3bc3791a7/rendering/19.obj", "14.9393320084")</f>
        <v>14.9393320084</v>
      </c>
      <c r="W1443" s="12" t="s">
        <v>30</v>
      </c>
      <c r="X1443" s="13">
        <v>5.6207689821720122</v>
      </c>
      <c r="Y1443" s="13">
        <v>9.2736083917298746</v>
      </c>
      <c r="Z1443" s="20">
        <v>1.6498825020462431</v>
      </c>
    </row>
    <row r="1444" spans="1:26" x14ac:dyDescent="0.2">
      <c r="A1444" s="1">
        <v>1442</v>
      </c>
      <c r="B1444" s="2" t="s">
        <v>321</v>
      </c>
      <c r="C1444" s="33" t="str">
        <f>HYPERLINK(AB2 &amp; "/knife/sn_dfabed4f151870eb4bd26ac3bc3791a7/rendering/00.obj", "2.61315795898")</f>
        <v>2.61315795898</v>
      </c>
      <c r="D1444" s="30" t="str">
        <f>HYPERLINK(AB2 &amp; "/knife/sn_dfabed4f151870eb4bd26ac3bc3791a7/rendering/01.obj", "2.94322967529")</f>
        <v>2.94322967529</v>
      </c>
      <c r="E1444" s="32" t="str">
        <f>HYPERLINK(AB2 &amp; "/knife/sn_dfabed4f151870eb4bd26ac3bc3791a7/rendering/02.obj", "2.61523406982")</f>
        <v>2.61523406982</v>
      </c>
      <c r="F1444" s="34" t="str">
        <f>HYPERLINK(AB2 &amp; "/knife/sn_dfabed4f151870eb4bd26ac3bc3791a7/rendering/03.obj", "2.78502075195")</f>
        <v>2.78502075195</v>
      </c>
      <c r="G1444" s="107" t="str">
        <f>HYPERLINK(AB2 &amp; "/knife/sn_dfabed4f151870eb4bd26ac3bc3791a7/rendering/04.obj", "2.68144775391")</f>
        <v>2.68144775391</v>
      </c>
      <c r="H1444" s="70" t="str">
        <f>HYPERLINK(AB2 &amp; "/knife/sn_dfabed4f151870eb4bd26ac3bc3791a7/rendering/05.obj", "2.54990524292")</f>
        <v>2.54990524292</v>
      </c>
      <c r="I1444" s="104" t="str">
        <f>HYPERLINK(AB2 &amp; "/knife/sn_dfabed4f151870eb4bd26ac3bc3791a7/rendering/06.obj", "4.31554901123")</f>
        <v>4.31554901123</v>
      </c>
      <c r="J1444" s="37" t="str">
        <f>HYPERLINK(AB2 &amp; "/knife/sn_dfabed4f151870eb4bd26ac3bc3791a7/rendering/07.obj", "2.41344421387")</f>
        <v>2.41344421387</v>
      </c>
      <c r="K1444" s="75" t="str">
        <f>HYPERLINK(AB2 &amp; "/knife/sn_dfabed4f151870eb4bd26ac3bc3791a7/rendering/08.obj", "2.2794128418")</f>
        <v>2.2794128418</v>
      </c>
      <c r="L1444" s="80" t="str">
        <f>HYPERLINK(AB2 &amp; "/knife/sn_dfabed4f151870eb4bd26ac3bc3791a7/rendering/09.obj", "3.3581072998")</f>
        <v>3.3581072998</v>
      </c>
      <c r="M1444" s="72" t="str">
        <f>HYPERLINK(AB2 &amp; "/knife/sn_dfabed4f151870eb4bd26ac3bc3791a7/rendering/10.obj", "2.82708404541")</f>
        <v>2.82708404541</v>
      </c>
      <c r="N1444" s="117" t="str">
        <f>HYPERLINK(AB2 &amp; "/knife/sn_dfabed4f151870eb4bd26ac3bc3791a7/rendering/11.obj", "2.40652038574")</f>
        <v>2.40652038574</v>
      </c>
      <c r="O1444" s="96" t="str">
        <f>HYPERLINK(AB2 &amp; "/knife/sn_dfabed4f151870eb4bd26ac3bc3791a7/rendering/12.obj", "3.98194763184")</f>
        <v>3.98194763184</v>
      </c>
      <c r="P1444" s="133" t="str">
        <f>HYPERLINK(AB2 &amp; "/knife/sn_dfabed4f151870eb4bd26ac3bc3791a7/rendering/13.obj", "2.63016662598")</f>
        <v>2.63016662598</v>
      </c>
      <c r="Q1444" s="64" t="str">
        <f>HYPERLINK(AB2 &amp; "/knife/sn_dfabed4f151870eb4bd26ac3bc3791a7/rendering/14.obj", "2.44078109741")</f>
        <v>2.44078109741</v>
      </c>
      <c r="R1444" s="13" t="str">
        <f>HYPERLINK(AB2 &amp; "/knife/sn_dfabed4f151870eb4bd26ac3bc3791a7/rendering/15.obj", "2.92418457031")</f>
        <v>2.92418457031</v>
      </c>
      <c r="S1444" s="107" t="str">
        <f>HYPERLINK(AB2 &amp; "/knife/sn_dfabed4f151870eb4bd26ac3bc3791a7/rendering/16.obj", "2.68000152588")</f>
        <v>2.68000152588</v>
      </c>
      <c r="T1444" s="102" t="str">
        <f>HYPERLINK(AB2 &amp; "/knife/sn_dfabed4f151870eb4bd26ac3bc3791a7/rendering/17.obj", "4.3789050293")</f>
        <v>4.3789050293</v>
      </c>
      <c r="U1444" s="24" t="str">
        <f>HYPERLINK(AB2 &amp; "/knife/sn_dfabed4f151870eb4bd26ac3bc3791a7/rendering/18.obj", "2.43839935303")</f>
        <v>2.43839935303</v>
      </c>
      <c r="V1444" s="28" t="str">
        <f>HYPERLINK(AB2 &amp; "/knife/sn_dfabed4f151870eb4bd26ac3bc3791a7/rendering/19.obj", "3.24819885254")</f>
        <v>3.24819885254</v>
      </c>
      <c r="W1444" s="12" t="s">
        <v>31</v>
      </c>
      <c r="X1444" s="13">
        <v>2.9255348968505861</v>
      </c>
      <c r="Y1444" s="13">
        <v>0.61011718478706412</v>
      </c>
      <c r="Z1444" s="49">
        <v>0.2085489342287016</v>
      </c>
    </row>
    <row r="1445" spans="1:26" x14ac:dyDescent="0.2">
      <c r="A1445" s="1">
        <v>1443</v>
      </c>
      <c r="B1445" s="2" t="s">
        <v>321</v>
      </c>
      <c r="C1445" s="70" t="str">
        <f>HYPERLINK(AB2 &amp; "/knife/sn_dfabed4f151870eb4bd26ac3bc3791a7/rendering/00.obj", "1.32726216316")</f>
        <v>1.32726216316</v>
      </c>
      <c r="D1445" s="28" t="str">
        <f>HYPERLINK(AB2 &amp; "/knife/sn_dfabed4f151870eb4bd26ac3bc3791a7/rendering/01.obj", "1.04392695427")</f>
        <v>1.04392695427</v>
      </c>
      <c r="E1445" s="88" t="str">
        <f>HYPERLINK(AB2 &amp; "/knife/sn_dfabed4f151870eb4bd26ac3bc3791a7/rendering/02.obj", "1.41323232651")</f>
        <v>1.41323232651</v>
      </c>
      <c r="F1445" s="110" t="str">
        <f>HYPERLINK(AB2 &amp; "/knife/sn_dfabed4f151870eb4bd26ac3bc3791a7/rendering/03.obj", "1.06003761292")</f>
        <v>1.06003761292</v>
      </c>
      <c r="G1445" s="110" t="str">
        <f>HYPERLINK(AB2 &amp; "/knife/sn_dfabed4f151870eb4bd26ac3bc3791a7/rendering/04.obj", "1.06211686134")</f>
        <v>1.06211686134</v>
      </c>
      <c r="H1445" s="84" t="str">
        <f>HYPERLINK(AB2 &amp; "/knife/sn_dfabed4f151870eb4bd26ac3bc3791a7/rendering/05.obj", "1.00531446934")</f>
        <v>1.00531446934</v>
      </c>
      <c r="I1445" s="83" t="str">
        <f>HYPERLINK(AB2 &amp; "/knife/sn_dfabed4f151870eb4bd26ac3bc3791a7/rendering/06.obj", "1.35514593124")</f>
        <v>1.35514593124</v>
      </c>
      <c r="J1445" s="74" t="str">
        <f>HYPERLINK(AB2 &amp; "/knife/sn_dfabed4f151870eb4bd26ac3bc3791a7/rendering/07.obj", "1.16176533699")</f>
        <v>1.16176533699</v>
      </c>
      <c r="K1445" s="133" t="str">
        <f>HYPERLINK(AB2 &amp; "/knife/sn_dfabed4f151870eb4bd26ac3bc3791a7/rendering/08.obj", "1.05637526512")</f>
        <v>1.05637526512</v>
      </c>
      <c r="L1445" s="92" t="str">
        <f>HYPERLINK(AB2 &amp; "/knife/sn_dfabed4f151870eb4bd26ac3bc3791a7/rendering/09.obj", "1.03157114983")</f>
        <v>1.03157114983</v>
      </c>
      <c r="M1445" s="35" t="str">
        <f>HYPERLINK(AB2 &amp; "/knife/sn_dfabed4f151870eb4bd26ac3bc3791a7/rendering/10.obj", "1.10985004902")</f>
        <v>1.10985004902</v>
      </c>
      <c r="N1445" s="41" t="str">
        <f>HYPERLINK(AB2 &amp; "/knife/sn_dfabed4f151870eb4bd26ac3bc3791a7/rendering/11.obj", "1.09765303135")</f>
        <v>1.09765303135</v>
      </c>
      <c r="O1445" s="135" t="str">
        <f>HYPERLINK(AB2 &amp; "/knife/sn_dfabed4f151870eb4bd26ac3bc3791a7/rendering/12.obj", "1.47567200661")</f>
        <v>1.47567200661</v>
      </c>
      <c r="P1445" s="133" t="str">
        <f>HYPERLINK(AB2 &amp; "/knife/sn_dfabed4f151870eb4bd26ac3bc3791a7/rendering/13.obj", "1.05831122398")</f>
        <v>1.05831122398</v>
      </c>
      <c r="Q1445" s="106" t="str">
        <f>HYPERLINK(AB2 &amp; "/knife/sn_dfabed4f151870eb4bd26ac3bc3791a7/rendering/14.obj", "1.04231154919")</f>
        <v>1.04231154919</v>
      </c>
      <c r="R1445" s="91" t="str">
        <f>HYPERLINK(AB2 &amp; "/knife/sn_dfabed4f151870eb4bd26ac3bc3791a7/rendering/15.obj", "1.14669525623")</f>
        <v>1.14669525623</v>
      </c>
      <c r="S1445" s="106" t="str">
        <f>HYPERLINK(AB2 &amp; "/knife/sn_dfabed4f151870eb4bd26ac3bc3791a7/rendering/16.obj", "1.0423514843")</f>
        <v>1.0423514843</v>
      </c>
      <c r="T1445" s="132" t="str">
        <f>HYPERLINK(AB2 &amp; "/knife/sn_dfabed4f151870eb4bd26ac3bc3791a7/rendering/17.obj", "1.66970169544")</f>
        <v>1.66970169544</v>
      </c>
      <c r="U1445" s="65" t="str">
        <f>HYPERLINK(AB2 &amp; "/knife/sn_dfabed4f151870eb4bd26ac3bc3791a7/rendering/18.obj", "1.0203294754")</f>
        <v>1.0203294754</v>
      </c>
      <c r="V1445" s="80" t="str">
        <f>HYPERLINK(AB2 &amp; "/knife/sn_dfabed4f151870eb4bd26ac3bc3791a7/rendering/19.obj", "1.35124647617")</f>
        <v>1.35124647617</v>
      </c>
      <c r="W1445" s="12" t="s">
        <v>32</v>
      </c>
      <c r="X1445" s="13">
        <v>1.176543515920639</v>
      </c>
      <c r="Y1445" s="13">
        <v>0.18290160982246451</v>
      </c>
      <c r="Z1445" s="31">
        <v>0.15545673181441569</v>
      </c>
    </row>
    <row r="1446" spans="1:26" x14ac:dyDescent="0.2">
      <c r="A1446" s="1">
        <v>1444</v>
      </c>
      <c r="B1446" s="2" t="s">
        <v>321</v>
      </c>
      <c r="C1446" s="13" t="str">
        <f>HYPERLINK(AC2 &amp; "/knife/sn_dfabed4f151870eb4bd26ac3bc3791a7/rendering/00.xyz", "0.0")</f>
        <v>0.0</v>
      </c>
      <c r="D1446" s="13" t="str">
        <f>HYPERLINK(AC2 &amp; "/knife/sn_dfabed4f151870eb4bd26ac3bc3791a7/rendering/01.xyz", "0.0")</f>
        <v>0.0</v>
      </c>
      <c r="E1446" s="13" t="str">
        <f>HYPERLINK(AC2 &amp; "/knife/sn_dfabed4f151870eb4bd26ac3bc3791a7/rendering/02.xyz", "0.0")</f>
        <v>0.0</v>
      </c>
      <c r="F1446" s="13" t="str">
        <f>HYPERLINK(AC2 &amp; "/knife/sn_dfabed4f151870eb4bd26ac3bc3791a7/rendering/03.xyz", "0.0")</f>
        <v>0.0</v>
      </c>
      <c r="G1446" s="13" t="str">
        <f>HYPERLINK(AC2 &amp; "/knife/sn_dfabed4f151870eb4bd26ac3bc3791a7/rendering/04.xyz", "0.0")</f>
        <v>0.0</v>
      </c>
      <c r="H1446" s="13" t="str">
        <f>HYPERLINK(AC2 &amp; "/knife/sn_dfabed4f151870eb4bd26ac3bc3791a7/rendering/05.xyz", "0.0")</f>
        <v>0.0</v>
      </c>
      <c r="I1446" s="13" t="str">
        <f>HYPERLINK(AC2 &amp; "/knife/sn_dfabed4f151870eb4bd26ac3bc3791a7/rendering/06.xyz", "0.0")</f>
        <v>0.0</v>
      </c>
      <c r="J1446" s="13" t="str">
        <f>HYPERLINK(AC2 &amp; "/knife/sn_dfabed4f151870eb4bd26ac3bc3791a7/rendering/07.xyz", "0.0")</f>
        <v>0.0</v>
      </c>
      <c r="K1446" s="13" t="str">
        <f>HYPERLINK(AC2 &amp; "/knife/sn_dfabed4f151870eb4bd26ac3bc3791a7/rendering/08.xyz", "0.0")</f>
        <v>0.0</v>
      </c>
      <c r="L1446" s="13" t="str">
        <f>HYPERLINK(AC2 &amp; "/knife/sn_dfabed4f151870eb4bd26ac3bc3791a7/rendering/09.xyz", "0.0")</f>
        <v>0.0</v>
      </c>
      <c r="M1446" s="13" t="str">
        <f>HYPERLINK(AC2 &amp; "/knife/sn_dfabed4f151870eb4bd26ac3bc3791a7/rendering/10.xyz", "0.0")</f>
        <v>0.0</v>
      </c>
      <c r="N1446" s="13" t="str">
        <f>HYPERLINK(AC2 &amp; "/knife/sn_dfabed4f151870eb4bd26ac3bc3791a7/rendering/11.xyz", "0.0")</f>
        <v>0.0</v>
      </c>
      <c r="O1446" s="13" t="str">
        <f>HYPERLINK(AC2 &amp; "/knife/sn_dfabed4f151870eb4bd26ac3bc3791a7/rendering/12.xyz", "0.0")</f>
        <v>0.0</v>
      </c>
      <c r="P1446" s="13" t="str">
        <f>HYPERLINK(AC2 &amp; "/knife/sn_dfabed4f151870eb4bd26ac3bc3791a7/rendering/13.xyz", "0.0")</f>
        <v>0.0</v>
      </c>
      <c r="Q1446" s="13" t="str">
        <f>HYPERLINK(AC2 &amp; "/knife/sn_dfabed4f151870eb4bd26ac3bc3791a7/rendering/14.xyz", "0.0")</f>
        <v>0.0</v>
      </c>
      <c r="R1446" s="13" t="str">
        <f>HYPERLINK(AC2 &amp; "/knife/sn_dfabed4f151870eb4bd26ac3bc3791a7/rendering/15.xyz", "0.0")</f>
        <v>0.0</v>
      </c>
      <c r="S1446" s="13" t="str">
        <f>HYPERLINK(AC2 &amp; "/knife/sn_dfabed4f151870eb4bd26ac3bc3791a7/rendering/16.xyz", "0.0")</f>
        <v>0.0</v>
      </c>
      <c r="T1446" s="13" t="str">
        <f>HYPERLINK(AC2 &amp; "/knife/sn_dfabed4f151870eb4bd26ac3bc3791a7/rendering/17.xyz", "0.0")</f>
        <v>0.0</v>
      </c>
      <c r="U1446" s="13" t="str">
        <f>HYPERLINK(AC2 &amp; "/knife/sn_dfabed4f151870eb4bd26ac3bc3791a7/rendering/18.xyz", "0.0")</f>
        <v>0.0</v>
      </c>
      <c r="V1446" s="13" t="str">
        <f>HYPERLINK(AC2 &amp; "/knife/sn_dfabed4f151870eb4bd26ac3bc3791a7/rendering/19.xyz", "0.0")</f>
        <v>0.0</v>
      </c>
      <c r="W1446" s="12" t="s">
        <v>33</v>
      </c>
      <c r="X1446" s="13">
        <v>0</v>
      </c>
      <c r="Y1446" s="13">
        <v>0</v>
      </c>
      <c r="Z1446" s="13">
        <v>0</v>
      </c>
    </row>
    <row r="1447" spans="1:26" x14ac:dyDescent="0.2">
      <c r="A1447" s="1">
        <v>1445</v>
      </c>
      <c r="B1447" s="2" t="s">
        <v>322</v>
      </c>
      <c r="C1447" s="54" t="str">
        <f>HYPERLINK(AA2 &amp; "/knife/sn_e003ed9863640e42c4ba6f712b8405c4/rendering/00.obj", "5.31902770996")</f>
        <v>5.31902770996</v>
      </c>
      <c r="D1447" s="174" t="str">
        <f>HYPERLINK(AA2 &amp; "/knife/sn_e003ed9863640e42c4ba6f712b8405c4/rendering/01.obj", "3.75479309082")</f>
        <v>3.75479309082</v>
      </c>
      <c r="E1447" s="20" t="str">
        <f>HYPERLINK(AA2 &amp; "/knife/sn_e003ed9863640e42c4ba6f712b8405c4/rendering/02.obj", "17.143067627")</f>
        <v>17.143067627</v>
      </c>
      <c r="F1447" s="126" t="str">
        <f>HYPERLINK(AA2 &amp; "/knife/sn_e003ed9863640e42c4ba6f712b8405c4/rendering/03.obj", "3.95101654053")</f>
        <v>3.95101654053</v>
      </c>
      <c r="G1447" s="95" t="str">
        <f>HYPERLINK(AA2 &amp; "/knife/sn_e003ed9863640e42c4ba6f712b8405c4/rendering/04.obj", "5.6785949707")</f>
        <v>5.6785949707</v>
      </c>
      <c r="H1447" s="104" t="str">
        <f>HYPERLINK(AA2 &amp; "/knife/sn_e003ed9863640e42c4ba6f712b8405c4/rendering/05.obj", "4.15401123047")</f>
        <v>4.15401123047</v>
      </c>
      <c r="I1447" s="218" t="str">
        <f>HYPERLINK(AA2 &amp; "/knife/sn_e003ed9863640e42c4ba6f712b8405c4/rendering/06.obj", "3.8218661499")</f>
        <v>3.8218661499</v>
      </c>
      <c r="J1447" s="180" t="str">
        <f>HYPERLINK(AA2 &amp; "/knife/sn_e003ed9863640e42c4ba6f712b8405c4/rendering/07.obj", "14.130065918")</f>
        <v>14.130065918</v>
      </c>
      <c r="K1447" s="76" t="str">
        <f>HYPERLINK(AA2 &amp; "/knife/sn_e003ed9863640e42c4ba6f712b8405c4/rendering/08.obj", "6.45657714844")</f>
        <v>6.45657714844</v>
      </c>
      <c r="L1447" s="38" t="str">
        <f>HYPERLINK(AA2 &amp; "/knife/sn_e003ed9863640e42c4ba6f712b8405c4/rendering/09.obj", "8.61361938477")</f>
        <v>8.61361938477</v>
      </c>
      <c r="M1447" s="79" t="str">
        <f>HYPERLINK(AA2 &amp; "/knife/sn_e003ed9863640e42c4ba6f712b8405c4/rendering/10.obj", "6.65710327148")</f>
        <v>6.65710327148</v>
      </c>
      <c r="N1447" s="20" t="str">
        <f>HYPERLINK(AA2 &amp; "/knife/sn_e003ed9863640e42c4ba6f712b8405c4/rendering/11.obj", "24.3241186523")</f>
        <v>24.3241186523</v>
      </c>
      <c r="O1447" s="179" t="str">
        <f>HYPERLINK(AA2 &amp; "/knife/sn_e003ed9863640e42c4ba6f712b8405c4/rendering/12.obj", "4.51277709961")</f>
        <v>4.51277709961</v>
      </c>
      <c r="P1447" s="169" t="str">
        <f>HYPERLINK(AA2 &amp; "/knife/sn_e003ed9863640e42c4ba6f712b8405c4/rendering/13.obj", "10.3619433594")</f>
        <v>10.3619433594</v>
      </c>
      <c r="Q1447" s="186" t="str">
        <f>HYPERLINK(AA2 &amp; "/knife/sn_e003ed9863640e42c4ba6f712b8405c4/rendering/14.obj", "3.14578430176")</f>
        <v>3.14578430176</v>
      </c>
      <c r="R1447" s="167" t="str">
        <f>HYPERLINK(AA2 &amp; "/knife/sn_e003ed9863640e42c4ba6f712b8405c4/rendering/15.obj", "3.1200402832")</f>
        <v>3.1200402832</v>
      </c>
      <c r="S1447" s="194" t="str">
        <f>HYPERLINK(AA2 &amp; "/knife/sn_e003ed9863640e42c4ba6f712b8405c4/rendering/16.obj", "2.97676025391")</f>
        <v>2.97676025391</v>
      </c>
      <c r="T1447" s="94" t="str">
        <f>HYPERLINK(AA2 &amp; "/knife/sn_e003ed9863640e42c4ba6f712b8405c4/rendering/17.obj", "7.31221191406")</f>
        <v>7.31221191406</v>
      </c>
      <c r="U1447" s="20" t="str">
        <f>HYPERLINK(AA2 &amp; "/knife/sn_e003ed9863640e42c4ba6f712b8405c4/rendering/18.obj", "18.5566943359")</f>
        <v>18.5566943359</v>
      </c>
      <c r="V1447" s="145" t="str">
        <f>HYPERLINK(AA2 &amp; "/knife/sn_e003ed9863640e42c4ba6f712b8405c4/rendering/19.obj", "4.02127441406")</f>
        <v>4.02127441406</v>
      </c>
      <c r="W1447" s="12" t="s">
        <v>29</v>
      </c>
      <c r="X1447" s="13">
        <v>7.9005673828124996</v>
      </c>
      <c r="Y1447" s="13">
        <v>5.8709136220964711</v>
      </c>
      <c r="Z1447" s="234">
        <v>0.74310025313732619</v>
      </c>
    </row>
    <row r="1448" spans="1:26" x14ac:dyDescent="0.2">
      <c r="A1448" s="1">
        <v>1446</v>
      </c>
      <c r="B1448" s="2" t="s">
        <v>322</v>
      </c>
      <c r="C1448" s="211" t="str">
        <f>HYPERLINK(AA2 &amp; "/knife/sn_e003ed9863640e42c4ba6f712b8405c4/rendering/00.obj", "3.02327990532")</f>
        <v>3.02327990532</v>
      </c>
      <c r="D1448" s="20" t="str">
        <f>HYPERLINK(AA2 &amp; "/knife/sn_e003ed9863640e42c4ba6f712b8405c4/rendering/01.obj", "1.85310840607")</f>
        <v>1.85310840607</v>
      </c>
      <c r="E1448" s="20" t="str">
        <f>HYPERLINK(AA2 &amp; "/knife/sn_e003ed9863640e42c4ba6f712b8405c4/rendering/02.obj", "46.5783958435")</f>
        <v>46.5783958435</v>
      </c>
      <c r="F1448" s="20" t="str">
        <f>HYPERLINK(AA2 &amp; "/knife/sn_e003ed9863640e42c4ba6f712b8405c4/rendering/03.obj", "2.48883914948")</f>
        <v>2.48883914948</v>
      </c>
      <c r="G1448" s="147" t="str">
        <f>HYPERLINK(AA2 &amp; "/knife/sn_e003ed9863640e42c4ba6f712b8405c4/rendering/04.obj", "6.66367292404")</f>
        <v>6.66367292404</v>
      </c>
      <c r="H1448" s="20" t="str">
        <f>HYPERLINK(AA2 &amp; "/knife/sn_e003ed9863640e42c4ba6f712b8405c4/rendering/05.obj", "1.96836352348")</f>
        <v>1.96836352348</v>
      </c>
      <c r="I1448" s="20" t="str">
        <f>HYPERLINK(AA2 &amp; "/knife/sn_e003ed9863640e42c4ba6f712b8405c4/rendering/06.obj", "1.13901758194")</f>
        <v>1.13901758194</v>
      </c>
      <c r="J1448" s="20" t="str">
        <f>HYPERLINK(AA2 &amp; "/knife/sn_e003ed9863640e42c4ba6f712b8405c4/rendering/07.obj", "27.2290267944")</f>
        <v>27.2290267944</v>
      </c>
      <c r="K1448" s="135" t="str">
        <f>HYPERLINK(AA2 &amp; "/knife/sn_e003ed9863640e42c4ba6f712b8405c4/rendering/08.obj", "9.69967842102")</f>
        <v>9.69967842102</v>
      </c>
      <c r="L1448" s="8" t="str">
        <f>HYPERLINK(AA2 &amp; "/knife/sn_e003ed9863640e42c4ba6f712b8405c4/rendering/09.obj", "14.9200496674")</f>
        <v>14.9200496674</v>
      </c>
      <c r="M1448" s="242" t="str">
        <f>HYPERLINK(AA2 &amp; "/knife/sn_e003ed9863640e42c4ba6f712b8405c4/rendering/10.obj", "3.49723672867")</f>
        <v>3.49723672867</v>
      </c>
      <c r="N1448" s="20" t="str">
        <f>HYPERLINK(AA2 &amp; "/knife/sn_e003ed9863640e42c4ba6f712b8405c4/rendering/11.obj", "65.72290802")</f>
        <v>65.72290802</v>
      </c>
      <c r="O1448" s="255" t="str">
        <f>HYPERLINK(AA2 &amp; "/knife/sn_e003ed9863640e42c4ba6f712b8405c4/rendering/12.obj", "3.60619235039")</f>
        <v>3.60619235039</v>
      </c>
      <c r="P1448" s="105" t="str">
        <f>HYPERLINK(AA2 &amp; "/knife/sn_e003ed9863640e42c4ba6f712b8405c4/rendering/13.obj", "19.7619075775")</f>
        <v>19.7619075775</v>
      </c>
      <c r="Q1448" s="20" t="str">
        <f>HYPERLINK(AA2 &amp; "/knife/sn_e003ed9863640e42c4ba6f712b8405c4/rendering/14.obj", "1.44124257565")</f>
        <v>1.44124257565</v>
      </c>
      <c r="R1448" s="20" t="str">
        <f>HYPERLINK(AA2 &amp; "/knife/sn_e003ed9863640e42c4ba6f712b8405c4/rendering/15.obj", "1.32176816463")</f>
        <v>1.32176816463</v>
      </c>
      <c r="S1448" s="20" t="str">
        <f>HYPERLINK(AA2 &amp; "/knife/sn_e003ed9863640e42c4ba6f712b8405c4/rendering/16.obj", "1.02248775959")</f>
        <v>1.02248775959</v>
      </c>
      <c r="T1448" s="23" t="str">
        <f>HYPERLINK(AA2 &amp; "/knife/sn_e003ed9863640e42c4ba6f712b8405c4/rendering/17.obj", "12.5560789108")</f>
        <v>12.5560789108</v>
      </c>
      <c r="U1448" s="20" t="str">
        <f>HYPERLINK(AA2 &amp; "/knife/sn_e003ed9863640e42c4ba6f712b8405c4/rendering/18.obj", "34.7012786865")</f>
        <v>34.7012786865</v>
      </c>
      <c r="V1448" s="20" t="str">
        <f>HYPERLINK(AA2 &amp; "/knife/sn_e003ed9863640e42c4ba6f712b8405c4/rendering/19.obj", "1.80745387077")</f>
        <v>1.80745387077</v>
      </c>
      <c r="W1448" s="12" t="s">
        <v>30</v>
      </c>
      <c r="X1448" s="13">
        <v>13.050099343061451</v>
      </c>
      <c r="Y1448" s="13">
        <v>17.31349322187431</v>
      </c>
      <c r="Z1448" s="20">
        <v>1.326694361991938</v>
      </c>
    </row>
    <row r="1449" spans="1:26" x14ac:dyDescent="0.2">
      <c r="A1449" s="1">
        <v>1447</v>
      </c>
      <c r="B1449" s="2" t="s">
        <v>322</v>
      </c>
      <c r="C1449" s="37" t="str">
        <f>HYPERLINK(AB2 &amp; "/knife/sn_e003ed9863640e42c4ba6f712b8405c4/rendering/00.obj", "2.52088607788")</f>
        <v>2.52088607788</v>
      </c>
      <c r="D1449" s="69" t="str">
        <f>HYPERLINK(AB2 &amp; "/knife/sn_e003ed9863640e42c4ba6f712b8405c4/rendering/01.obj", "3.14476531982")</f>
        <v>3.14476531982</v>
      </c>
      <c r="E1449" s="72" t="str">
        <f>HYPERLINK(AB2 &amp; "/knife/sn_e003ed9863640e42c4ba6f712b8405c4/rendering/02.obj", "2.95320159912")</f>
        <v>2.95320159912</v>
      </c>
      <c r="F1449" s="76" t="str">
        <f>HYPERLINK(AB2 &amp; "/knife/sn_e003ed9863640e42c4ba6f712b8405c4/rendering/03.obj", "2.49679504395")</f>
        <v>2.49679504395</v>
      </c>
      <c r="G1449" s="66" t="str">
        <f>HYPERLINK(AB2 &amp; "/knife/sn_e003ed9863640e42c4ba6f712b8405c4/rendering/04.obj", "3.54663696289")</f>
        <v>3.54663696289</v>
      </c>
      <c r="H1449" s="38" t="str">
        <f>HYPERLINK(AB2 &amp; "/knife/sn_e003ed9863640e42c4ba6f712b8405c4/rendering/05.obj", "2.77618408203")</f>
        <v>2.77618408203</v>
      </c>
      <c r="I1449" s="81" t="str">
        <f>HYPERLINK(AB2 &amp; "/knife/sn_e003ed9863640e42c4ba6f712b8405c4/rendering/06.obj", "2.38453704834")</f>
        <v>2.38453704834</v>
      </c>
      <c r="J1449" s="33" t="str">
        <f>HYPERLINK(AB2 &amp; "/knife/sn_e003ed9863640e42c4ba6f712b8405c4/rendering/07.obj", "3.3848425293")</f>
        <v>3.3848425293</v>
      </c>
      <c r="K1449" s="74" t="str">
        <f>HYPERLINK(AB2 &amp; "/knife/sn_e003ed9863640e42c4ba6f712b8405c4/rendering/08.obj", "3.00548217773")</f>
        <v>3.00548217773</v>
      </c>
      <c r="L1449" s="26" t="str">
        <f>HYPERLINK(AB2 &amp; "/knife/sn_e003ed9863640e42c4ba6f712b8405c4/rendering/09.obj", "3.2487097168")</f>
        <v>3.2487097168</v>
      </c>
      <c r="M1449" s="19" t="str">
        <f>HYPERLINK(AB2 &amp; "/knife/sn_e003ed9863640e42c4ba6f712b8405c4/rendering/10.obj", "3.84983673096")</f>
        <v>3.84983673096</v>
      </c>
      <c r="N1449" s="110" t="str">
        <f>HYPERLINK(AB2 &amp; "/knife/sn_e003ed9863640e42c4ba6f712b8405c4/rendering/11.obj", "3.35407928467")</f>
        <v>3.35407928467</v>
      </c>
      <c r="O1449" s="60" t="str">
        <f>HYPERLINK(AB2 &amp; "/knife/sn_e003ed9863640e42c4ba6f712b8405c4/rendering/12.obj", "3.20735687256")</f>
        <v>3.20735687256</v>
      </c>
      <c r="P1449" s="39" t="str">
        <f>HYPERLINK(AB2 &amp; "/knife/sn_e003ed9863640e42c4ba6f712b8405c4/rendering/13.obj", "3.31994628906")</f>
        <v>3.31994628906</v>
      </c>
      <c r="Q1449" s="68" t="str">
        <f>HYPERLINK(AB2 &amp; "/knife/sn_e003ed9863640e42c4ba6f712b8405c4/rendering/14.obj", "2.92414367676")</f>
        <v>2.92414367676</v>
      </c>
      <c r="R1449" s="33" t="str">
        <f>HYPERLINK(AB2 &amp; "/knife/sn_e003ed9863640e42c4ba6f712b8405c4/rendering/15.obj", "2.71794799805")</f>
        <v>2.71794799805</v>
      </c>
      <c r="S1449" s="73" t="str">
        <f>HYPERLINK(AB2 &amp; "/knife/sn_e003ed9863640e42c4ba6f712b8405c4/rendering/16.obj", "3.1674230957")</f>
        <v>3.1674230957</v>
      </c>
      <c r="T1449" s="5" t="str">
        <f>HYPERLINK(AB2 &amp; "/knife/sn_e003ed9863640e42c4ba6f712b8405c4/rendering/17.obj", "3.28590209961")</f>
        <v>3.28590209961</v>
      </c>
      <c r="U1449" s="5" t="str">
        <f>HYPERLINK(AB2 &amp; "/knife/sn_e003ed9863640e42c4ba6f712b8405c4/rendering/18.obj", "3.28321533203")</f>
        <v>3.28321533203</v>
      </c>
      <c r="V1449" s="77" t="str">
        <f>HYPERLINK(AB2 &amp; "/knife/sn_e003ed9863640e42c4ba6f712b8405c4/rendering/19.obj", "2.47960830688")</f>
        <v>2.47960830688</v>
      </c>
      <c r="W1449" s="12" t="s">
        <v>31</v>
      </c>
      <c r="X1449" s="13">
        <v>3.052575012207031</v>
      </c>
      <c r="Y1449" s="13">
        <v>0.3825816202117579</v>
      </c>
      <c r="Z1449" s="92">
        <v>0.12533078423358679</v>
      </c>
    </row>
    <row r="1450" spans="1:26" x14ac:dyDescent="0.2">
      <c r="A1450" s="1">
        <v>1448</v>
      </c>
      <c r="B1450" s="2" t="s">
        <v>322</v>
      </c>
      <c r="C1450" s="73" t="str">
        <f>HYPERLINK(AB2 &amp; "/knife/sn_e003ed9863640e42c4ba6f712b8405c4/rendering/00.obj", "1.14145994186")</f>
        <v>1.14145994186</v>
      </c>
      <c r="D1450" s="13" t="str">
        <f>HYPERLINK(AB2 &amp; "/knife/sn_e003ed9863640e42c4ba6f712b8405c4/rendering/01.obj", "1.1010684967")</f>
        <v>1.1010684967</v>
      </c>
      <c r="E1450" s="68" t="str">
        <f>HYPERLINK(AB2 &amp; "/knife/sn_e003ed9863640e42c4ba6f712b8405c4/rendering/02.obj", "1.05449998379")</f>
        <v>1.05449998379</v>
      </c>
      <c r="F1450" s="8" t="str">
        <f>HYPERLINK(AB2 &amp; "/knife/sn_e003ed9863640e42c4ba6f712b8405c4/rendering/03.obj", "0.944784164429")</f>
        <v>0.944784164429</v>
      </c>
      <c r="G1450" s="25" t="str">
        <f>HYPERLINK(AB2 &amp; "/knife/sn_e003ed9863640e42c4ba6f712b8405c4/rendering/04.obj", "1.08972418308")</f>
        <v>1.08972418308</v>
      </c>
      <c r="H1450" s="26" t="str">
        <f>HYPERLINK(AB2 &amp; "/knife/sn_e003ed9863640e42c4ba6f712b8405c4/rendering/05.obj", "1.0313038826")</f>
        <v>1.0313038826</v>
      </c>
      <c r="I1450" s="23" t="str">
        <f>HYPERLINK(AB2 &amp; "/knife/sn_e003ed9863640e42c4ba6f712b8405c4/rendering/06.obj", "1.14665174484")</f>
        <v>1.14665174484</v>
      </c>
      <c r="J1450" s="44" t="str">
        <f>HYPERLINK(AB2 &amp; "/knife/sn_e003ed9863640e42c4ba6f712b8405c4/rendering/07.obj", "1.31737756729")</f>
        <v>1.31737756729</v>
      </c>
      <c r="K1450" s="133" t="str">
        <f>HYPERLINK(AB2 &amp; "/knife/sn_e003ed9863640e42c4ba6f712b8405c4/rendering/08.obj", "0.988414406776")</f>
        <v>0.988414406776</v>
      </c>
      <c r="L1450" s="27" t="str">
        <f>HYPERLINK(AB2 &amp; "/knife/sn_e003ed9863640e42c4ba6f712b8405c4/rendering/09.obj", "1.02418923378")</f>
        <v>1.02418923378</v>
      </c>
      <c r="M1450" s="17" t="str">
        <f>HYPERLINK(AB2 &amp; "/knife/sn_e003ed9863640e42c4ba6f712b8405c4/rendering/10.obj", "1.12464010715")</f>
        <v>1.12464010715</v>
      </c>
      <c r="N1450" s="7" t="str">
        <f>HYPERLINK(AB2 &amp; "/knife/sn_e003ed9863640e42c4ba6f712b8405c4/rendering/11.obj", "1.40858960152")</f>
        <v>1.40858960152</v>
      </c>
      <c r="O1450" s="133" t="str">
        <f>HYPERLINK(AB2 &amp; "/knife/sn_e003ed9863640e42c4ba6f712b8405c4/rendering/12.obj", "0.988847494125")</f>
        <v>0.988847494125</v>
      </c>
      <c r="P1450" s="46" t="str">
        <f>HYPERLINK(AB2 &amp; "/knife/sn_e003ed9863640e42c4ba6f712b8405c4/rendering/13.obj", "1.08202552795")</f>
        <v>1.08202552795</v>
      </c>
      <c r="Q1450" s="84" t="str">
        <f>HYPERLINK(AB2 &amp; "/knife/sn_e003ed9863640e42c4ba6f712b8405c4/rendering/14.obj", "0.941029250622")</f>
        <v>0.941029250622</v>
      </c>
      <c r="R1450" s="83" t="str">
        <f>HYPERLINK(AB2 &amp; "/knife/sn_e003ed9863640e42c4ba6f712b8405c4/rendering/15.obj", "0.933496713638")</f>
        <v>0.933496713638</v>
      </c>
      <c r="S1450" s="90" t="str">
        <f>HYPERLINK(AB2 &amp; "/knife/sn_e003ed9863640e42c4ba6f712b8405c4/rendering/16.obj", "0.997931838036")</f>
        <v>0.997931838036</v>
      </c>
      <c r="T1450" s="30" t="str">
        <f>HYPERLINK(AB2 &amp; "/knife/sn_e003ed9863640e42c4ba6f712b8405c4/rendering/17.obj", "1.09715795517")</f>
        <v>1.09715795517</v>
      </c>
      <c r="U1450" s="176" t="str">
        <f>HYPERLINK(AB2 &amp; "/knife/sn_e003ed9863640e42c4ba6f712b8405c4/rendering/18.obj", "1.45477259159")</f>
        <v>1.45477259159</v>
      </c>
      <c r="V1450" s="41" t="str">
        <f>HYPERLINK(AB2 &amp; "/knife/sn_e003ed9863640e42c4ba6f712b8405c4/rendering/19.obj", "1.17529702187")</f>
        <v>1.17529702187</v>
      </c>
      <c r="W1450" s="12" t="s">
        <v>32</v>
      </c>
      <c r="X1450" s="13">
        <v>1.102163085341453</v>
      </c>
      <c r="Y1450" s="13">
        <v>0.14207539488362639</v>
      </c>
      <c r="Z1450" s="29">
        <v>0.12890596389336609</v>
      </c>
    </row>
    <row r="1451" spans="1:26" x14ac:dyDescent="0.2">
      <c r="A1451" s="1">
        <v>1449</v>
      </c>
      <c r="B1451" s="2" t="s">
        <v>322</v>
      </c>
      <c r="C1451" s="13" t="str">
        <f>HYPERLINK(AC2 &amp; "/knife/sn_e003ed9863640e42c4ba6f712b8405c4/rendering/00.xyz", "0.0")</f>
        <v>0.0</v>
      </c>
      <c r="D1451" s="13" t="str">
        <f>HYPERLINK(AC2 &amp; "/knife/sn_e003ed9863640e42c4ba6f712b8405c4/rendering/01.xyz", "0.0")</f>
        <v>0.0</v>
      </c>
      <c r="E1451" s="13" t="str">
        <f>HYPERLINK(AC2 &amp; "/knife/sn_e003ed9863640e42c4ba6f712b8405c4/rendering/02.xyz", "0.0")</f>
        <v>0.0</v>
      </c>
      <c r="F1451" s="13" t="str">
        <f>HYPERLINK(AC2 &amp; "/knife/sn_e003ed9863640e42c4ba6f712b8405c4/rendering/03.xyz", "0.0")</f>
        <v>0.0</v>
      </c>
      <c r="G1451" s="13" t="str">
        <f>HYPERLINK(AC2 &amp; "/knife/sn_e003ed9863640e42c4ba6f712b8405c4/rendering/04.xyz", "0.0")</f>
        <v>0.0</v>
      </c>
      <c r="H1451" s="13" t="str">
        <f>HYPERLINK(AC2 &amp; "/knife/sn_e003ed9863640e42c4ba6f712b8405c4/rendering/05.xyz", "0.0")</f>
        <v>0.0</v>
      </c>
      <c r="I1451" s="13" t="str">
        <f>HYPERLINK(AC2 &amp; "/knife/sn_e003ed9863640e42c4ba6f712b8405c4/rendering/06.xyz", "0.0")</f>
        <v>0.0</v>
      </c>
      <c r="J1451" s="13" t="str">
        <f>HYPERLINK(AC2 &amp; "/knife/sn_e003ed9863640e42c4ba6f712b8405c4/rendering/07.xyz", "0.0")</f>
        <v>0.0</v>
      </c>
      <c r="K1451" s="13" t="str">
        <f>HYPERLINK(AC2 &amp; "/knife/sn_e003ed9863640e42c4ba6f712b8405c4/rendering/08.xyz", "0.0")</f>
        <v>0.0</v>
      </c>
      <c r="L1451" s="13" t="str">
        <f>HYPERLINK(AC2 &amp; "/knife/sn_e003ed9863640e42c4ba6f712b8405c4/rendering/09.xyz", "0.0")</f>
        <v>0.0</v>
      </c>
      <c r="M1451" s="13" t="str">
        <f>HYPERLINK(AC2 &amp; "/knife/sn_e003ed9863640e42c4ba6f712b8405c4/rendering/10.xyz", "0.0")</f>
        <v>0.0</v>
      </c>
      <c r="N1451" s="13" t="str">
        <f>HYPERLINK(AC2 &amp; "/knife/sn_e003ed9863640e42c4ba6f712b8405c4/rendering/11.xyz", "0.0")</f>
        <v>0.0</v>
      </c>
      <c r="O1451" s="13" t="str">
        <f>HYPERLINK(AC2 &amp; "/knife/sn_e003ed9863640e42c4ba6f712b8405c4/rendering/12.xyz", "0.0")</f>
        <v>0.0</v>
      </c>
      <c r="P1451" s="13" t="str">
        <f>HYPERLINK(AC2 &amp; "/knife/sn_e003ed9863640e42c4ba6f712b8405c4/rendering/13.xyz", "0.0")</f>
        <v>0.0</v>
      </c>
      <c r="Q1451" s="13" t="str">
        <f>HYPERLINK(AC2 &amp; "/knife/sn_e003ed9863640e42c4ba6f712b8405c4/rendering/14.xyz", "0.0")</f>
        <v>0.0</v>
      </c>
      <c r="R1451" s="13" t="str">
        <f>HYPERLINK(AC2 &amp; "/knife/sn_e003ed9863640e42c4ba6f712b8405c4/rendering/15.xyz", "0.0")</f>
        <v>0.0</v>
      </c>
      <c r="S1451" s="13" t="str">
        <f>HYPERLINK(AC2 &amp; "/knife/sn_e003ed9863640e42c4ba6f712b8405c4/rendering/16.xyz", "0.0")</f>
        <v>0.0</v>
      </c>
      <c r="T1451" s="13" t="str">
        <f>HYPERLINK(AC2 &amp; "/knife/sn_e003ed9863640e42c4ba6f712b8405c4/rendering/17.xyz", "0.0")</f>
        <v>0.0</v>
      </c>
      <c r="U1451" s="13" t="str">
        <f>HYPERLINK(AC2 &amp; "/knife/sn_e003ed9863640e42c4ba6f712b8405c4/rendering/18.xyz", "0.0")</f>
        <v>0.0</v>
      </c>
      <c r="V1451" s="13" t="str">
        <f>HYPERLINK(AC2 &amp; "/knife/sn_e003ed9863640e42c4ba6f712b8405c4/rendering/19.xyz", "0.0")</f>
        <v>0.0</v>
      </c>
      <c r="W1451" s="12" t="s">
        <v>33</v>
      </c>
      <c r="X1451" s="13">
        <v>0</v>
      </c>
      <c r="Y1451" s="13">
        <v>0</v>
      </c>
      <c r="Z1451" s="13">
        <v>0</v>
      </c>
    </row>
    <row r="1452" spans="1:26" x14ac:dyDescent="0.2">
      <c r="A1452" s="1">
        <v>1450</v>
      </c>
      <c r="B1452" s="2" t="s">
        <v>323</v>
      </c>
      <c r="C1452" s="81" t="str">
        <f>HYPERLINK(AA2 &amp; "/knife/sn_e03a2ab2b6506ca0ef1f81f15fbe736c/rendering/00.obj", "7.11991210937")</f>
        <v>7.11991210937</v>
      </c>
      <c r="D1452" s="52" t="str">
        <f>HYPERLINK(AA2 &amp; "/knife/sn_e03a2ab2b6506ca0ef1f81f15fbe736c/rendering/01.obj", "12.7555102539")</f>
        <v>12.7555102539</v>
      </c>
      <c r="E1452" s="157" t="str">
        <f>HYPERLINK(AA2 &amp; "/knife/sn_e03a2ab2b6506ca0ef1f81f15fbe736c/rendering/02.obj", "5.32978149414")</f>
        <v>5.32978149414</v>
      </c>
      <c r="F1452" s="81" t="str">
        <f>HYPERLINK(AA2 &amp; "/knife/sn_e03a2ab2b6506ca0ef1f81f15fbe736c/rendering/03.obj", "11.1052307129")</f>
        <v>11.1052307129</v>
      </c>
      <c r="G1452" s="111" t="str">
        <f>HYPERLINK(AA2 &amp; "/knife/sn_e03a2ab2b6506ca0ef1f81f15fbe736c/rendering/04.obj", "5.26466369629")</f>
        <v>5.26466369629</v>
      </c>
      <c r="H1452" s="18" t="str">
        <f>HYPERLINK(AA2 &amp; "/knife/sn_e03a2ab2b6506ca0ef1f81f15fbe736c/rendering/05.obj", "14.3718432617")</f>
        <v>14.3718432617</v>
      </c>
      <c r="I1452" s="167" t="str">
        <f>HYPERLINK(AA2 &amp; "/knife/sn_e03a2ab2b6506ca0ef1f81f15fbe736c/rendering/06.obj", "14.6029980469")</f>
        <v>14.6029980469</v>
      </c>
      <c r="J1452" s="49" t="str">
        <f>HYPERLINK(AA2 &amp; "/knife/sn_e03a2ab2b6506ca0ef1f81f15fbe736c/rendering/07.obj", "11.0069335938")</f>
        <v>11.0069335938</v>
      </c>
      <c r="K1452" s="23" t="str">
        <f>HYPERLINK(AA2 &amp; "/knife/sn_e03a2ab2b6506ca0ef1f81f15fbe736c/rendering/08.obj", "9.47345947266")</f>
        <v>9.47345947266</v>
      </c>
      <c r="L1452" s="175" t="str">
        <f>HYPERLINK(AA2 &amp; "/knife/sn_e03a2ab2b6506ca0ef1f81f15fbe736c/rendering/09.obj", "6.9692779541")</f>
        <v>6.9692779541</v>
      </c>
      <c r="M1452" s="40" t="str">
        <f>HYPERLINK(AA2 &amp; "/knife/sn_e03a2ab2b6506ca0ef1f81f15fbe736c/rendering/10.obj", "7.55179321289")</f>
        <v>7.55179321289</v>
      </c>
      <c r="N1452" s="28" t="str">
        <f>HYPERLINK(AA2 &amp; "/knife/sn_e03a2ab2b6506ca0ef1f81f15fbe736c/rendering/11.obj", "10.1233789063")</f>
        <v>10.1233789063</v>
      </c>
      <c r="O1452" s="126" t="str">
        <f>HYPERLINK(AA2 &amp; "/knife/sn_e03a2ab2b6506ca0ef1f81f15fbe736c/rendering/12.obj", "4.55099365234")</f>
        <v>4.55099365234</v>
      </c>
      <c r="P1452" s="8" t="str">
        <f>HYPERLINK(AA2 &amp; "/knife/sn_e03a2ab2b6506ca0ef1f81f15fbe736c/rendering/13.obj", "7.80444335938")</f>
        <v>7.80444335938</v>
      </c>
      <c r="Q1452" s="131" t="str">
        <f>HYPERLINK(AA2 &amp; "/knife/sn_e03a2ab2b6506ca0ef1f81f15fbe736c/rendering/14.obj", "4.90715484619")</f>
        <v>4.90715484619</v>
      </c>
      <c r="R1452" s="75" t="str">
        <f>HYPERLINK(AA2 &amp; "/knife/sn_e03a2ab2b6506ca0ef1f81f15fbe736c/rendering/15.obj", "7.10288879395")</f>
        <v>7.10288879395</v>
      </c>
      <c r="S1452" s="91" t="str">
        <f>HYPERLINK(AA2 &amp; "/knife/sn_e03a2ab2b6506ca0ef1f81f15fbe736c/rendering/16.obj", "8.85518676758")</f>
        <v>8.85518676758</v>
      </c>
      <c r="T1452" s="150" t="str">
        <f>HYPERLINK(AA2 &amp; "/knife/sn_e03a2ab2b6506ca0ef1f81f15fbe736c/rendering/17.obj", "14.0163085938")</f>
        <v>14.0163085938</v>
      </c>
      <c r="U1452" s="87" t="str">
        <f>HYPERLINK(AA2 &amp; "/knife/sn_e03a2ab2b6506ca0ef1f81f15fbe736c/rendering/18.obj", "7.04013183594")</f>
        <v>7.04013183594</v>
      </c>
      <c r="V1452" s="149" t="str">
        <f>HYPERLINK(AA2 &amp; "/knife/sn_e03a2ab2b6506ca0ef1f81f15fbe736c/rendering/19.obj", "12.2427856445")</f>
        <v>12.2427856445</v>
      </c>
      <c r="W1452" s="12" t="s">
        <v>29</v>
      </c>
      <c r="X1452" s="13">
        <v>9.1097338104248031</v>
      </c>
      <c r="Y1452" s="13">
        <v>3.1808240593823869</v>
      </c>
      <c r="Z1452" s="187">
        <v>0.34916761845910183</v>
      </c>
    </row>
    <row r="1453" spans="1:26" x14ac:dyDescent="0.2">
      <c r="A1453" s="1">
        <v>1451</v>
      </c>
      <c r="B1453" s="2" t="s">
        <v>323</v>
      </c>
      <c r="C1453" s="21" t="str">
        <f>HYPERLINK(AA2 &amp; "/knife/sn_e03a2ab2b6506ca0ef1f81f15fbe736c/rendering/00.obj", "6.32185316086")</f>
        <v>6.32185316086</v>
      </c>
      <c r="D1453" s="20" t="str">
        <f>HYPERLINK(AA2 &amp; "/knife/sn_e03a2ab2b6506ca0ef1f81f15fbe736c/rendering/01.obj", "33.2459335327")</f>
        <v>33.2459335327</v>
      </c>
      <c r="E1453" s="9" t="str">
        <f>HYPERLINK(AA2 &amp; "/knife/sn_e03a2ab2b6506ca0ef1f81f15fbe736c/rendering/02.obj", "4.83700323105")</f>
        <v>4.83700323105</v>
      </c>
      <c r="F1453" s="73" t="str">
        <f>HYPERLINK(AA2 &amp; "/knife/sn_e03a2ab2b6506ca0ef1f81f15fbe736c/rendering/03.obj", "13.6406669617")</f>
        <v>13.6406669617</v>
      </c>
      <c r="G1453" s="237" t="str">
        <f>HYPERLINK(AA2 &amp; "/knife/sn_e03a2ab2b6506ca0ef1f81f15fbe736c/rendering/04.obj", "4.60841846466")</f>
        <v>4.60841846466</v>
      </c>
      <c r="H1453" s="20" t="str">
        <f>HYPERLINK(AA2 &amp; "/knife/sn_e03a2ab2b6506ca0ef1f81f15fbe736c/rendering/05.obj", "28.1573047638")</f>
        <v>28.1573047638</v>
      </c>
      <c r="I1453" s="20" t="str">
        <f>HYPERLINK(AA2 &amp; "/knife/sn_e03a2ab2b6506ca0ef1f81f15fbe736c/rendering/06.obj", "25.9206962585")</f>
        <v>25.9206962585</v>
      </c>
      <c r="J1453" s="120" t="str">
        <f>HYPERLINK(AA2 &amp; "/knife/sn_e03a2ab2b6506ca0ef1f81f15fbe736c/rendering/07.obj", "17.1165027618")</f>
        <v>17.1165027618</v>
      </c>
      <c r="K1453" s="66" t="str">
        <f>HYPERLINK(AA2 &amp; "/knife/sn_e03a2ab2b6506ca0ef1f81f15fbe736c/rendering/08.obj", "16.3954315186")</f>
        <v>16.3954315186</v>
      </c>
      <c r="L1453" s="225" t="str">
        <f>HYPERLINK(AA2 &amp; "/knife/sn_e03a2ab2b6506ca0ef1f81f15fbe736c/rendering/09.obj", "6.10496520996")</f>
        <v>6.10496520996</v>
      </c>
      <c r="M1453" s="119" t="str">
        <f>HYPERLINK(AA2 &amp; "/knife/sn_e03a2ab2b6506ca0ef1f81f15fbe736c/rendering/10.obj", "10.3869285583")</f>
        <v>10.3869285583</v>
      </c>
      <c r="N1453" s="172" t="str">
        <f>HYPERLINK(AA2 &amp; "/knife/sn_e03a2ab2b6506ca0ef1f81f15fbe736c/rendering/11.obj", "19.5560874939")</f>
        <v>19.5560874939</v>
      </c>
      <c r="O1453" s="20" t="str">
        <f>HYPERLINK(AA2 &amp; "/knife/sn_e03a2ab2b6506ca0ef1f81f15fbe736c/rendering/12.obj", "2.66540980339")</f>
        <v>2.66540980339</v>
      </c>
      <c r="P1453" s="158" t="str">
        <f>HYPERLINK(AA2 &amp; "/knife/sn_e03a2ab2b6506ca0ef1f81f15fbe736c/rendering/13.obj", "8.34531402588")</f>
        <v>8.34531402588</v>
      </c>
      <c r="Q1453" s="257" t="str">
        <f>HYPERLINK(AA2 &amp; "/knife/sn_e03a2ab2b6506ca0ef1f81f15fbe736c/rendering/14.obj", "4.05457639694")</f>
        <v>4.05457639694</v>
      </c>
      <c r="R1453" s="53" t="str">
        <f>HYPERLINK(AA2 &amp; "/knife/sn_e03a2ab2b6506ca0ef1f81f15fbe736c/rendering/15.obj", "8.30576896667")</f>
        <v>8.30576896667</v>
      </c>
      <c r="S1453" s="123" t="str">
        <f>HYPERLINK(AA2 &amp; "/knife/sn_e03a2ab2b6506ca0ef1f81f15fbe736c/rendering/16.obj", "8.91622447968")</f>
        <v>8.91622447968</v>
      </c>
      <c r="T1453" s="20" t="str">
        <f>HYPERLINK(AA2 &amp; "/knife/sn_e03a2ab2b6506ca0ef1f81f15fbe736c/rendering/17.obj", "34.4818229675")</f>
        <v>34.4818229675</v>
      </c>
      <c r="U1453" s="140" t="str">
        <f>HYPERLINK(AA2 &amp; "/knife/sn_e03a2ab2b6506ca0ef1f81f15fbe736c/rendering/18.obj", "9.22703075409")</f>
        <v>9.22703075409</v>
      </c>
      <c r="V1453" s="163" t="str">
        <f>HYPERLINK(AA2 &amp; "/knife/sn_e03a2ab2b6506ca0ef1f81f15fbe736c/rendering/19.obj", "20.3676815033")</f>
        <v>20.3676815033</v>
      </c>
      <c r="W1453" s="12" t="s">
        <v>30</v>
      </c>
      <c r="X1453" s="13">
        <v>14.13278104066849</v>
      </c>
      <c r="Y1453" s="13">
        <v>9.6591930715137764</v>
      </c>
      <c r="Z1453" s="229">
        <v>0.68346017982720353</v>
      </c>
    </row>
    <row r="1454" spans="1:26" x14ac:dyDescent="0.2">
      <c r="A1454" s="1">
        <v>1452</v>
      </c>
      <c r="B1454" s="2" t="s">
        <v>323</v>
      </c>
      <c r="C1454" s="69" t="str">
        <f>HYPERLINK(AB2 &amp; "/knife/sn_e03a2ab2b6506ca0ef1f81f15fbe736c/rendering/00.obj", "4.3493182373")</f>
        <v>4.3493182373</v>
      </c>
      <c r="D1454" s="110" t="str">
        <f>HYPERLINK(AB2 &amp; "/knife/sn_e03a2ab2b6506ca0ef1f81f15fbe736c/rendering/01.obj", "4.0445703125")</f>
        <v>4.0445703125</v>
      </c>
      <c r="E1454" s="69" t="str">
        <f>HYPERLINK(AB2 &amp; "/knife/sn_e03a2ab2b6506ca0ef1f81f15fbe736c/rendering/02.obj", "4.35418640137")</f>
        <v>4.35418640137</v>
      </c>
      <c r="F1454" s="80" t="str">
        <f>HYPERLINK(AB2 &amp; "/knife/sn_e03a2ab2b6506ca0ef1f81f15fbe736c/rendering/03.obj", "3.81796508789")</f>
        <v>3.81796508789</v>
      </c>
      <c r="G1454" s="63" t="str">
        <f>HYPERLINK(AB2 &amp; "/knife/sn_e03a2ab2b6506ca0ef1f81f15fbe736c/rendering/04.obj", "3.94964294434")</f>
        <v>3.94964294434</v>
      </c>
      <c r="H1454" s="6" t="str">
        <f>HYPERLINK(AB2 &amp; "/knife/sn_e03a2ab2b6506ca0ef1f81f15fbe736c/rendering/05.obj", "4.68707763672")</f>
        <v>4.68707763672</v>
      </c>
      <c r="I1454" s="8" t="str">
        <f>HYPERLINK(AB2 &amp; "/knife/sn_e03a2ab2b6506ca0ef1f81f15fbe736c/rendering/06.obj", "5.1242199707")</f>
        <v>5.1242199707</v>
      </c>
      <c r="J1454" s="10" t="str">
        <f>HYPERLINK(AB2 &amp; "/knife/sn_e03a2ab2b6506ca0ef1f81f15fbe736c/rendering/07.obj", "4.24197509766")</f>
        <v>4.24197509766</v>
      </c>
      <c r="K1454" s="6" t="str">
        <f>HYPERLINK(AB2 &amp; "/knife/sn_e03a2ab2b6506ca0ef1f81f15fbe736c/rendering/08.obj", "4.28933044434")</f>
        <v>4.28933044434</v>
      </c>
      <c r="L1454" s="148" t="str">
        <f>HYPERLINK(AB2 &amp; "/knife/sn_e03a2ab2b6506ca0ef1f81f15fbe736c/rendering/09.obj", "6.66549743652")</f>
        <v>6.66549743652</v>
      </c>
      <c r="M1454" s="41" t="str">
        <f>HYPERLINK(AB2 &amp; "/knife/sn_e03a2ab2b6506ca0ef1f81f15fbe736c/rendering/10.obj", "4.18324493408")</f>
        <v>4.18324493408</v>
      </c>
      <c r="N1454" s="94" t="str">
        <f>HYPERLINK(AB2 &amp; "/knife/sn_e03a2ab2b6506ca0ef1f81f15fbe736c/rendering/11.obj", "4.82322570801")</f>
        <v>4.82322570801</v>
      </c>
      <c r="O1454" s="136" t="str">
        <f>HYPERLINK(AB2 &amp; "/knife/sn_e03a2ab2b6506ca0ef1f81f15fbe736c/rendering/12.obj", "3.43150177002")</f>
        <v>3.43150177002</v>
      </c>
      <c r="P1454" s="64" t="str">
        <f>HYPERLINK(AB2 &amp; "/knife/sn_e03a2ab2b6506ca0ef1f81f15fbe736c/rendering/13.obj", "5.22234924316")</f>
        <v>5.22234924316</v>
      </c>
      <c r="Q1454" s="63" t="str">
        <f>HYPERLINK(AB2 &amp; "/knife/sn_e03a2ab2b6506ca0ef1f81f15fbe736c/rendering/14.obj", "3.94267547607")</f>
        <v>3.94267547607</v>
      </c>
      <c r="R1454" s="170" t="str">
        <f>HYPERLINK(AB2 &amp; "/knife/sn_e03a2ab2b6506ca0ef1f81f15fbe736c/rendering/15.obj", "5.62157104492")</f>
        <v>5.62157104492</v>
      </c>
      <c r="S1454" s="46" t="str">
        <f>HYPERLINK(AB2 &amp; "/knife/sn_e03a2ab2b6506ca0ef1f81f15fbe736c/rendering/16.obj", "4.41137329102")</f>
        <v>4.41137329102</v>
      </c>
      <c r="T1454" s="47" t="str">
        <f>HYPERLINK(AB2 &amp; "/knife/sn_e03a2ab2b6506ca0ef1f81f15fbe736c/rendering/17.obj", "4.45601837158")</f>
        <v>4.45601837158</v>
      </c>
      <c r="U1454" s="51" t="str">
        <f>HYPERLINK(AB2 &amp; "/knife/sn_e03a2ab2b6506ca0ef1f81f15fbe736c/rendering/18.obj", "4.12784454346")</f>
        <v>4.12784454346</v>
      </c>
      <c r="V1454" s="133" t="str">
        <f>HYPERLINK(AB2 &amp; "/knife/sn_e03a2ab2b6506ca0ef1f81f15fbe736c/rendering/19.obj", "4.03301391602")</f>
        <v>4.03301391602</v>
      </c>
      <c r="W1454" s="12" t="s">
        <v>31</v>
      </c>
      <c r="X1454" s="13">
        <v>4.4888300933837888</v>
      </c>
      <c r="Y1454" s="13">
        <v>0.70870024590022673</v>
      </c>
      <c r="Z1454" s="79">
        <v>0.15788083557557681</v>
      </c>
    </row>
    <row r="1455" spans="1:26" x14ac:dyDescent="0.2">
      <c r="A1455" s="1">
        <v>1453</v>
      </c>
      <c r="B1455" s="2" t="s">
        <v>323</v>
      </c>
      <c r="C1455" s="77" t="str">
        <f>HYPERLINK(AB2 &amp; "/knife/sn_e03a2ab2b6506ca0ef1f81f15fbe736c/rendering/00.obj", "1.53348231316")</f>
        <v>1.53348231316</v>
      </c>
      <c r="D1455" s="63" t="str">
        <f>HYPERLINK(AB2 &amp; "/knife/sn_e03a2ab2b6506ca0ef1f81f15fbe736c/rendering/01.obj", "2.11972856522")</f>
        <v>2.11972856522</v>
      </c>
      <c r="E1455" s="30" t="str">
        <f>HYPERLINK(AB2 &amp; "/knife/sn_e03a2ab2b6506ca0ef1f81f15fbe736c/rendering/02.obj", "1.87878751755")</f>
        <v>1.87878751755</v>
      </c>
      <c r="F1455" s="13" t="str">
        <f>HYPERLINK(AB2 &amp; "/knife/sn_e03a2ab2b6506ca0ef1f81f15fbe736c/rendering/03.obj", "1.8881098032")</f>
        <v>1.8881098032</v>
      </c>
      <c r="G1455" s="73" t="str">
        <f>HYPERLINK(AB2 &amp; "/knife/sn_e03a2ab2b6506ca0ef1f81f15fbe736c/rendering/04.obj", "1.82234573364")</f>
        <v>1.82234573364</v>
      </c>
      <c r="H1455" s="13" t="str">
        <f>HYPERLINK(AB2 &amp; "/knife/sn_e03a2ab2b6506ca0ef1f81f15fbe736c/rendering/05.obj", "1.88331222534")</f>
        <v>1.88331222534</v>
      </c>
      <c r="I1455" s="67" t="str">
        <f>HYPERLINK(AB2 &amp; "/knife/sn_e03a2ab2b6506ca0ef1f81f15fbe736c/rendering/06.obj", "1.71143043041")</f>
        <v>1.71143043041</v>
      </c>
      <c r="J1455" s="118" t="str">
        <f>HYPERLINK(AB2 &amp; "/knife/sn_e03a2ab2b6506ca0ef1f81f15fbe736c/rendering/07.obj", "1.33761322498")</f>
        <v>1.33761322498</v>
      </c>
      <c r="K1455" s="60" t="str">
        <f>HYPERLINK(AB2 &amp; "/knife/sn_e03a2ab2b6506ca0ef1f81f15fbe736c/rendering/08.obj", "1.79154753685")</f>
        <v>1.79154753685</v>
      </c>
      <c r="L1455" s="192" t="str">
        <f>HYPERLINK(AB2 &amp; "/knife/sn_e03a2ab2b6506ca0ef1f81f15fbe736c/rendering/09.obj", "2.58870267868")</f>
        <v>2.58870267868</v>
      </c>
      <c r="M1455" s="17" t="str">
        <f>HYPERLINK(AB2 &amp; "/knife/sn_e03a2ab2b6506ca0ef1f81f15fbe736c/rendering/10.obj", "1.92739224434")</f>
        <v>1.92739224434</v>
      </c>
      <c r="N1455" s="106" t="str">
        <f>HYPERLINK(AB2 &amp; "/knife/sn_e03a2ab2b6506ca0ef1f81f15fbe736c/rendering/11.obj", "1.67412054539")</f>
        <v>1.67412054539</v>
      </c>
      <c r="O1455" s="108" t="str">
        <f>HYPERLINK(AB2 &amp; "/knife/sn_e03a2ab2b6506ca0ef1f81f15fbe736c/rendering/12.obj", "1.42564129829")</f>
        <v>1.42564129829</v>
      </c>
      <c r="P1455" s="166" t="str">
        <f>HYPERLINK(AB2 &amp; "/knife/sn_e03a2ab2b6506ca0ef1f81f15fbe736c/rendering/13.obj", "2.42881989479")</f>
        <v>2.42881989479</v>
      </c>
      <c r="Q1455" s="84" t="str">
        <f>HYPERLINK(AB2 &amp; "/knife/sn_e03a2ab2b6506ca0ef1f81f15fbe736c/rendering/14.obj", "1.61380553246")</f>
        <v>1.61380553246</v>
      </c>
      <c r="R1455" s="20" t="str">
        <f>HYPERLINK(AB2 &amp; "/knife/sn_e03a2ab2b6506ca0ef1f81f15fbe736c/rendering/15.obj", "3.64789056778")</f>
        <v>3.64789056778</v>
      </c>
      <c r="S1455" s="24" t="str">
        <f>HYPERLINK(AB2 &amp; "/knife/sn_e03a2ab2b6506ca0ef1f81f15fbe736c/rendering/16.obj", "1.57366335392")</f>
        <v>1.57366335392</v>
      </c>
      <c r="T1455" s="29" t="str">
        <f>HYPERLINK(AB2 &amp; "/knife/sn_e03a2ab2b6506ca0ef1f81f15fbe736c/rendering/17.obj", "1.64363908768")</f>
        <v>1.64363908768</v>
      </c>
      <c r="U1455" s="84" t="str">
        <f>HYPERLINK(AB2 &amp; "/knife/sn_e03a2ab2b6506ca0ef1f81f15fbe736c/rendering/18.obj", "1.61595952511")</f>
        <v>1.61595952511</v>
      </c>
      <c r="V1455" s="106" t="str">
        <f>HYPERLINK(AB2 &amp; "/knife/sn_e03a2ab2b6506ca0ef1f81f15fbe736c/rendering/19.obj", "1.67539048195")</f>
        <v>1.67539048195</v>
      </c>
      <c r="W1455" s="12" t="s">
        <v>32</v>
      </c>
      <c r="X1455" s="13">
        <v>1.8890691280364991</v>
      </c>
      <c r="Y1455" s="13">
        <v>0.50109126203991972</v>
      </c>
      <c r="Z1455" s="119">
        <v>0.26525829817607288</v>
      </c>
    </row>
    <row r="1456" spans="1:26" x14ac:dyDescent="0.2">
      <c r="A1456" s="1">
        <v>1454</v>
      </c>
      <c r="B1456" s="2" t="s">
        <v>323</v>
      </c>
      <c r="C1456" s="13" t="str">
        <f>HYPERLINK(AC2 &amp; "/knife/sn_e03a2ab2b6506ca0ef1f81f15fbe736c/rendering/00.xyz", "0.0")</f>
        <v>0.0</v>
      </c>
      <c r="D1456" s="13" t="str">
        <f>HYPERLINK(AC2 &amp; "/knife/sn_e03a2ab2b6506ca0ef1f81f15fbe736c/rendering/01.xyz", "0.0")</f>
        <v>0.0</v>
      </c>
      <c r="E1456" s="13" t="str">
        <f>HYPERLINK(AC2 &amp; "/knife/sn_e03a2ab2b6506ca0ef1f81f15fbe736c/rendering/02.xyz", "0.0")</f>
        <v>0.0</v>
      </c>
      <c r="F1456" s="13" t="str">
        <f>HYPERLINK(AC2 &amp; "/knife/sn_e03a2ab2b6506ca0ef1f81f15fbe736c/rendering/03.xyz", "0.0")</f>
        <v>0.0</v>
      </c>
      <c r="G1456" s="13" t="str">
        <f>HYPERLINK(AC2 &amp; "/knife/sn_e03a2ab2b6506ca0ef1f81f15fbe736c/rendering/04.xyz", "0.0")</f>
        <v>0.0</v>
      </c>
      <c r="H1456" s="13" t="str">
        <f>HYPERLINK(AC2 &amp; "/knife/sn_e03a2ab2b6506ca0ef1f81f15fbe736c/rendering/05.xyz", "0.0")</f>
        <v>0.0</v>
      </c>
      <c r="I1456" s="13" t="str">
        <f>HYPERLINK(AC2 &amp; "/knife/sn_e03a2ab2b6506ca0ef1f81f15fbe736c/rendering/06.xyz", "0.0")</f>
        <v>0.0</v>
      </c>
      <c r="J1456" s="13" t="str">
        <f>HYPERLINK(AC2 &amp; "/knife/sn_e03a2ab2b6506ca0ef1f81f15fbe736c/rendering/07.xyz", "0.0")</f>
        <v>0.0</v>
      </c>
      <c r="K1456" s="13" t="str">
        <f>HYPERLINK(AC2 &amp; "/knife/sn_e03a2ab2b6506ca0ef1f81f15fbe736c/rendering/08.xyz", "0.0")</f>
        <v>0.0</v>
      </c>
      <c r="L1456" s="13" t="str">
        <f>HYPERLINK(AC2 &amp; "/knife/sn_e03a2ab2b6506ca0ef1f81f15fbe736c/rendering/09.xyz", "0.0")</f>
        <v>0.0</v>
      </c>
      <c r="M1456" s="13" t="str">
        <f>HYPERLINK(AC2 &amp; "/knife/sn_e03a2ab2b6506ca0ef1f81f15fbe736c/rendering/10.xyz", "0.0")</f>
        <v>0.0</v>
      </c>
      <c r="N1456" s="13" t="str">
        <f>HYPERLINK(AC2 &amp; "/knife/sn_e03a2ab2b6506ca0ef1f81f15fbe736c/rendering/11.xyz", "0.0")</f>
        <v>0.0</v>
      </c>
      <c r="O1456" s="13" t="str">
        <f>HYPERLINK(AC2 &amp; "/knife/sn_e03a2ab2b6506ca0ef1f81f15fbe736c/rendering/12.xyz", "0.0")</f>
        <v>0.0</v>
      </c>
      <c r="P1456" s="13" t="str">
        <f>HYPERLINK(AC2 &amp; "/knife/sn_e03a2ab2b6506ca0ef1f81f15fbe736c/rendering/13.xyz", "0.0")</f>
        <v>0.0</v>
      </c>
      <c r="Q1456" s="13" t="str">
        <f>HYPERLINK(AC2 &amp; "/knife/sn_e03a2ab2b6506ca0ef1f81f15fbe736c/rendering/14.xyz", "0.0")</f>
        <v>0.0</v>
      </c>
      <c r="R1456" s="13" t="str">
        <f>HYPERLINK(AC2 &amp; "/knife/sn_e03a2ab2b6506ca0ef1f81f15fbe736c/rendering/15.xyz", "0.0")</f>
        <v>0.0</v>
      </c>
      <c r="S1456" s="13" t="str">
        <f>HYPERLINK(AC2 &amp; "/knife/sn_e03a2ab2b6506ca0ef1f81f15fbe736c/rendering/16.xyz", "0.0")</f>
        <v>0.0</v>
      </c>
      <c r="T1456" s="13" t="str">
        <f>HYPERLINK(AC2 &amp; "/knife/sn_e03a2ab2b6506ca0ef1f81f15fbe736c/rendering/17.xyz", "0.0")</f>
        <v>0.0</v>
      </c>
      <c r="U1456" s="13" t="str">
        <f>HYPERLINK(AC2 &amp; "/knife/sn_e03a2ab2b6506ca0ef1f81f15fbe736c/rendering/18.xyz", "0.0")</f>
        <v>0.0</v>
      </c>
      <c r="V1456" s="13" t="str">
        <f>HYPERLINK(AC2 &amp; "/knife/sn_e03a2ab2b6506ca0ef1f81f15fbe736c/rendering/19.xyz", "0.0")</f>
        <v>0.0</v>
      </c>
      <c r="W1456" s="12" t="s">
        <v>33</v>
      </c>
      <c r="X1456" s="13">
        <v>0</v>
      </c>
      <c r="Y1456" s="13">
        <v>0</v>
      </c>
      <c r="Z1456" s="13">
        <v>0</v>
      </c>
    </row>
    <row r="1457" spans="1:26" x14ac:dyDescent="0.2">
      <c r="A1457" s="1">
        <v>1455</v>
      </c>
      <c r="B1457" s="2" t="s">
        <v>324</v>
      </c>
      <c r="C1457" s="169" t="str">
        <f>HYPERLINK(AA2 &amp; "/knife/sn_e0a78d771cfde145a5cea7e40e4d21ff/rendering/00.obj", "2.64397766113")</f>
        <v>2.64397766113</v>
      </c>
      <c r="D1457" s="25" t="str">
        <f>HYPERLINK(AA2 &amp; "/knife/sn_e0a78d771cfde145a5cea7e40e4d21ff/rendering/01.obj", "3.80231903076")</f>
        <v>3.80231903076</v>
      </c>
      <c r="E1457" s="89" t="str">
        <f>HYPERLINK(AA2 &amp; "/knife/sn_e0a78d771cfde145a5cea7e40e4d21ff/rendering/02.obj", "2.84903564453")</f>
        <v>2.84903564453</v>
      </c>
      <c r="F1457" s="69" t="str">
        <f>HYPERLINK(AA2 &amp; "/knife/sn_e0a78d771cfde145a5cea7e40e4d21ff/rendering/03.obj", "3.9520111084")</f>
        <v>3.9520111084</v>
      </c>
      <c r="G1457" s="129" t="str">
        <f>HYPERLINK(AA2 &amp; "/knife/sn_e0a78d771cfde145a5cea7e40e4d21ff/rendering/04.obj", "2.88298583984")</f>
        <v>2.88298583984</v>
      </c>
      <c r="H1457" s="5" t="str">
        <f>HYPERLINK(AA2 &amp; "/knife/sn_e0a78d771cfde145a5cea7e40e4d21ff/rendering/05.obj", "4.14044799805")</f>
        <v>4.14044799805</v>
      </c>
      <c r="I1457" s="187" t="str">
        <f>HYPERLINK(AA2 &amp; "/knife/sn_e0a78d771cfde145a5cea7e40e4d21ff/rendering/06.obj", "2.49845489502")</f>
        <v>2.49845489502</v>
      </c>
      <c r="J1457" s="20" t="str">
        <f>HYPERLINK(AA2 &amp; "/knife/sn_e0a78d771cfde145a5cea7e40e4d21ff/rendering/07.obj", "6.9627532959")</f>
        <v>6.9627532959</v>
      </c>
      <c r="K1457" s="132" t="str">
        <f>HYPERLINK(AA2 &amp; "/knife/sn_e0a78d771cfde145a5cea7e40e4d21ff/rendering/08.obj", "2.22995346069")</f>
        <v>2.22995346069</v>
      </c>
      <c r="L1457" s="57" t="str">
        <f>HYPERLINK(AA2 &amp; "/knife/sn_e0a78d771cfde145a5cea7e40e4d21ff/rendering/09.obj", "2.62945251465")</f>
        <v>2.62945251465</v>
      </c>
      <c r="M1457" s="159" t="str">
        <f>HYPERLINK(AA2 &amp; "/knife/sn_e0a78d771cfde145a5cea7e40e4d21ff/rendering/10.obj", "2.03904495239")</f>
        <v>2.03904495239</v>
      </c>
      <c r="N1457" s="193" t="str">
        <f>HYPERLINK(AA2 &amp; "/knife/sn_e0a78d771cfde145a5cea7e40e4d21ff/rendering/11.obj", "2.57076324463")</f>
        <v>2.57076324463</v>
      </c>
      <c r="O1457" s="169" t="str">
        <f>HYPERLINK(AA2 &amp; "/knife/sn_e0a78d771cfde145a5cea7e40e4d21ff/rendering/12.obj", "5.04002075195")</f>
        <v>5.04002075195</v>
      </c>
      <c r="P1457" s="14" t="str">
        <f>HYPERLINK(AA2 &amp; "/knife/sn_e0a78d771cfde145a5cea7e40e4d21ff/rendering/13.obj", "2.72110229492")</f>
        <v>2.72110229492</v>
      </c>
      <c r="Q1457" s="133" t="str">
        <f>HYPERLINK(AA2 &amp; "/knife/sn_e0a78d771cfde145a5cea7e40e4d21ff/rendering/14.obj", "3.44696594238")</f>
        <v>3.44696594238</v>
      </c>
      <c r="R1457" s="196" t="str">
        <f>HYPERLINK(AA2 &amp; "/knife/sn_e0a78d771cfde145a5cea7e40e4d21ff/rendering/15.obj", "5.36072387695")</f>
        <v>5.36072387695</v>
      </c>
      <c r="S1457" s="84" t="str">
        <f>HYPERLINK(AA2 &amp; "/knife/sn_e0a78d771cfde145a5cea7e40e4d21ff/rendering/16.obj", "3.28180603027")</f>
        <v>3.28180603027</v>
      </c>
      <c r="T1457" s="38" t="str">
        <f>HYPERLINK(AA2 &amp; "/knife/sn_e0a78d771cfde145a5cea7e40e4d21ff/rendering/17.obj", "3.49621765137")</f>
        <v>3.49621765137</v>
      </c>
      <c r="U1457" s="4" t="str">
        <f>HYPERLINK(AA2 &amp; "/knife/sn_e0a78d771cfde145a5cea7e40e4d21ff/rendering/18.obj", "2.75216430664")</f>
        <v>2.75216430664</v>
      </c>
      <c r="V1457" s="20" t="str">
        <f>HYPERLINK(AA2 &amp; "/knife/sn_e0a78d771cfde145a5cea7e40e4d21ff/rendering/19.obj", "11.523001709")</f>
        <v>11.523001709</v>
      </c>
      <c r="W1457" s="12" t="s">
        <v>29</v>
      </c>
      <c r="X1457" s="13">
        <v>3.8411601104736328</v>
      </c>
      <c r="Y1457" s="13">
        <v>2.1177428923068922</v>
      </c>
      <c r="Z1457" s="141">
        <v>0.551328981713747</v>
      </c>
    </row>
    <row r="1458" spans="1:26" x14ac:dyDescent="0.2">
      <c r="A1458" s="1">
        <v>1456</v>
      </c>
      <c r="B1458" s="2" t="s">
        <v>324</v>
      </c>
      <c r="C1458" s="251" t="str">
        <f>HYPERLINK(AA2 &amp; "/knife/sn_e0a78d771cfde145a5cea7e40e4d21ff/rendering/00.obj", "1.14892232418")</f>
        <v>1.14892232418</v>
      </c>
      <c r="D1458" s="70" t="str">
        <f>HYPERLINK(AA2 &amp; "/knife/sn_e0a78d771cfde145a5cea7e40e4d21ff/rendering/01.obj", "3.14711093903")</f>
        <v>3.14711093903</v>
      </c>
      <c r="E1458" s="100" t="str">
        <f>HYPERLINK(AA2 &amp; "/knife/sn_e0a78d771cfde145a5cea7e40e4d21ff/rendering/02.obj", "1.95983934402")</f>
        <v>1.95983934402</v>
      </c>
      <c r="F1458" s="129" t="str">
        <f>HYPERLINK(AA2 &amp; "/knife/sn_e0a78d771cfde145a5cea7e40e4d21ff/rendering/03.obj", "3.49113512039")</f>
        <v>3.49113512039</v>
      </c>
      <c r="G1458" s="223" t="str">
        <f>HYPERLINK(AA2 &amp; "/knife/sn_e0a78d771cfde145a5cea7e40e4d21ff/rendering/04.obj", "1.22817659378")</f>
        <v>1.22817659378</v>
      </c>
      <c r="H1458" s="119" t="str">
        <f>HYPERLINK(AA2 &amp; "/knife/sn_e0a78d771cfde145a5cea7e40e4d21ff/rendering/05.obj", "2.05469822884")</f>
        <v>2.05469822884</v>
      </c>
      <c r="I1458" s="177" t="str">
        <f>HYPERLINK(AA2 &amp; "/knife/sn_e0a78d771cfde145a5cea7e40e4d21ff/rendering/06.obj", "1.29968225956")</f>
        <v>1.29968225956</v>
      </c>
      <c r="J1458" s="118" t="str">
        <f>HYPERLINK(AA2 &amp; "/knife/sn_e0a78d771cfde145a5cea7e40e4d21ff/rendering/07.obj", "3.61237406731")</f>
        <v>3.61237406731</v>
      </c>
      <c r="K1458" s="112" t="str">
        <f>HYPERLINK(AA2 &amp; "/knife/sn_e0a78d771cfde145a5cea7e40e4d21ff/rendering/08.obj", "1.13453602791")</f>
        <v>1.13453602791</v>
      </c>
      <c r="L1458" s="159" t="str">
        <f>HYPERLINK(AA2 &amp; "/knife/sn_e0a78d771cfde145a5cea7e40e4d21ff/rendering/09.obj", "1.48084568977")</f>
        <v>1.48084568977</v>
      </c>
      <c r="M1458" s="223" t="str">
        <f>HYPERLINK(AA2 &amp; "/knife/sn_e0a78d771cfde145a5cea7e40e4d21ff/rendering/10.obj", "1.22852528095")</f>
        <v>1.22852528095</v>
      </c>
      <c r="N1458" s="230" t="str">
        <f>HYPERLINK(AA2 &amp; "/knife/sn_e0a78d771cfde145a5cea7e40e4d21ff/rendering/11.obj", "1.52297639847")</f>
        <v>1.52297639847</v>
      </c>
      <c r="O1458" s="20" t="str">
        <f>HYPERLINK(AA2 &amp; "/knife/sn_e0a78d771cfde145a5cea7e40e4d21ff/rendering/12.obj", "5.05028820038")</f>
        <v>5.05028820038</v>
      </c>
      <c r="P1458" s="218" t="str">
        <f>HYPERLINK(AA2 &amp; "/knife/sn_e0a78d771cfde145a5cea7e40e4d21ff/rendering/13.obj", "1.34987950325")</f>
        <v>1.34987950325</v>
      </c>
      <c r="Q1458" s="37" t="str">
        <f>HYPERLINK(AA2 &amp; "/knife/sn_e0a78d771cfde145a5cea7e40e4d21ff/rendering/14.obj", "3.28187203407")</f>
        <v>3.28187203407</v>
      </c>
      <c r="R1458" s="137" t="str">
        <f>HYPERLINK(AA2 &amp; "/knife/sn_e0a78d771cfde145a5cea7e40e4d21ff/rendering/15.obj", "3.81115794182")</f>
        <v>3.81115794182</v>
      </c>
      <c r="S1458" s="196" t="str">
        <f>HYPERLINK(AA2 &amp; "/knife/sn_e0a78d771cfde145a5cea7e40e4d21ff/rendering/16.obj", "1.68854629993")</f>
        <v>1.68854629993</v>
      </c>
      <c r="T1458" s="64" t="str">
        <f>HYPERLINK(AA2 &amp; "/knife/sn_e0a78d771cfde145a5cea7e40e4d21ff/rendering/17.obj", "2.33099794388")</f>
        <v>2.33099794388</v>
      </c>
      <c r="U1458" s="113" t="str">
        <f>HYPERLINK(AA2 &amp; "/knife/sn_e0a78d771cfde145a5cea7e40e4d21ff/rendering/18.obj", "2.02950119972")</f>
        <v>2.02950119972</v>
      </c>
      <c r="V1458" s="20" t="str">
        <f>HYPERLINK(AA2 &amp; "/knife/sn_e0a78d771cfde145a5cea7e40e4d21ff/rendering/19.obj", "13.0282907486")</f>
        <v>13.0282907486</v>
      </c>
      <c r="W1458" s="12" t="s">
        <v>30</v>
      </c>
      <c r="X1458" s="13">
        <v>2.7939678072929381</v>
      </c>
      <c r="Y1458" s="13">
        <v>2.5852350194180289</v>
      </c>
      <c r="Z1458" s="20">
        <v>0.92529162743748683</v>
      </c>
    </row>
    <row r="1459" spans="1:26" x14ac:dyDescent="0.2">
      <c r="A1459" s="1">
        <v>1457</v>
      </c>
      <c r="B1459" s="2" t="s">
        <v>324</v>
      </c>
      <c r="C1459" s="27" t="str">
        <f>HYPERLINK(AB2 &amp; "/knife/sn_e0a78d771cfde145a5cea7e40e4d21ff/rendering/00.obj", "2.23798431396")</f>
        <v>2.23798431396</v>
      </c>
      <c r="D1459" s="222" t="str">
        <f>HYPERLINK(AB2 &amp; "/knife/sn_e0a78d771cfde145a5cea7e40e4d21ff/rendering/01.obj", "4.2131137085")</f>
        <v>4.2131137085</v>
      </c>
      <c r="E1459" s="29" t="str">
        <f>HYPERLINK(AB2 &amp; "/knife/sn_e0a78d771cfde145a5cea7e40e4d21ff/rendering/02.obj", "2.72187011719")</f>
        <v>2.72187011719</v>
      </c>
      <c r="F1459" s="49" t="str">
        <f>HYPERLINK(AB2 &amp; "/knife/sn_e0a78d771cfde145a5cea7e40e4d21ff/rendering/03.obj", "2.91082092285")</f>
        <v>2.91082092285</v>
      </c>
      <c r="G1459" s="26" t="str">
        <f>HYPERLINK(AB2 &amp; "/knife/sn_e0a78d771cfde145a5cea7e40e4d21ff/rendering/04.obj", "2.25818725586")</f>
        <v>2.25818725586</v>
      </c>
      <c r="H1459" s="39" t="str">
        <f>HYPERLINK(AB2 &amp; "/knife/sn_e0a78d771cfde145a5cea7e40e4d21ff/rendering/05.obj", "2.62074157715")</f>
        <v>2.62074157715</v>
      </c>
      <c r="I1459" s="110" t="str">
        <f>HYPERLINK(AB2 &amp; "/knife/sn_e0a78d771cfde145a5cea7e40e4d21ff/rendering/06.obj", "2.16915527344")</f>
        <v>2.16915527344</v>
      </c>
      <c r="J1459" s="60" t="str">
        <f>HYPERLINK(AB2 &amp; "/knife/sn_e0a78d771cfde145a5cea7e40e4d21ff/rendering/07.obj", "2.53449768066")</f>
        <v>2.53449768066</v>
      </c>
      <c r="K1459" s="71" t="str">
        <f>HYPERLINK(AB2 &amp; "/knife/sn_e0a78d771cfde145a5cea7e40e4d21ff/rendering/08.obj", "2.69190185547")</f>
        <v>2.69190185547</v>
      </c>
      <c r="L1459" s="51" t="str">
        <f>HYPERLINK(AB2 &amp; "/knife/sn_e0a78d771cfde145a5cea7e40e4d21ff/rendering/09.obj", "2.60626953125")</f>
        <v>2.60626953125</v>
      </c>
      <c r="M1459" s="17" t="str">
        <f>HYPERLINK(AB2 &amp; "/knife/sn_e0a78d771cfde145a5cea7e40e4d21ff/rendering/10.obj", "2.35833724976")</f>
        <v>2.35833724976</v>
      </c>
      <c r="N1459" s="76" t="str">
        <f>HYPERLINK(AB2 &amp; "/knife/sn_e0a78d771cfde145a5cea7e40e4d21ff/rendering/11.obj", "1.968878479")</f>
        <v>1.968878479</v>
      </c>
      <c r="O1459" s="91" t="str">
        <f>HYPERLINK(AB2 &amp; "/knife/sn_e0a78d771cfde145a5cea7e40e4d21ff/rendering/12.obj", "2.34696502686")</f>
        <v>2.34696502686</v>
      </c>
      <c r="P1459" s="193" t="str">
        <f>HYPERLINK(AB2 &amp; "/knife/sn_e0a78d771cfde145a5cea7e40e4d21ff/rendering/13.obj", "1.6135609436")</f>
        <v>1.6135609436</v>
      </c>
      <c r="Q1459" s="107" t="str">
        <f>HYPERLINK(AB2 &amp; "/knife/sn_e0a78d771cfde145a5cea7e40e4d21ff/rendering/14.obj", "2.61332519531")</f>
        <v>2.61332519531</v>
      </c>
      <c r="R1459" s="110" t="str">
        <f>HYPERLINK(AB2 &amp; "/knife/sn_e0a78d771cfde145a5cea7e40e4d21ff/rendering/15.obj", "2.17006225586")</f>
        <v>2.17006225586</v>
      </c>
      <c r="S1459" s="103" t="str">
        <f>HYPERLINK(AB2 &amp; "/knife/sn_e0a78d771cfde145a5cea7e40e4d21ff/rendering/16.obj", "1.62838165283")</f>
        <v>1.62838165283</v>
      </c>
      <c r="T1459" s="34" t="str">
        <f>HYPERLINK(AB2 &amp; "/knife/sn_e0a78d771cfde145a5cea7e40e4d21ff/rendering/17.obj", "2.52621490479")</f>
        <v>2.52621490479</v>
      </c>
      <c r="U1459" s="11" t="str">
        <f>HYPERLINK(AB2 &amp; "/knife/sn_e0a78d771cfde145a5cea7e40e4d21ff/rendering/18.obj", "1.87104721069")</f>
        <v>1.87104721069</v>
      </c>
      <c r="V1459" s="28" t="str">
        <f>HYPERLINK(AB2 &amp; "/knife/sn_e0a78d771cfde145a5cea7e40e4d21ff/rendering/19.obj", "2.14421554565")</f>
        <v>2.14421554565</v>
      </c>
      <c r="W1459" s="12" t="s">
        <v>31</v>
      </c>
      <c r="X1459" s="13">
        <v>2.4102765350341802</v>
      </c>
      <c r="Y1459" s="13">
        <v>0.53888071691829986</v>
      </c>
      <c r="Z1459" s="11">
        <v>0.223576303003198</v>
      </c>
    </row>
    <row r="1460" spans="1:26" x14ac:dyDescent="0.2">
      <c r="A1460" s="1">
        <v>1458</v>
      </c>
      <c r="B1460" s="2" t="s">
        <v>324</v>
      </c>
      <c r="C1460" s="98" t="str">
        <f>HYPERLINK(AB2 &amp; "/knife/sn_e0a78d771cfde145a5cea7e40e4d21ff/rendering/00.obj", "0.753542780876")</f>
        <v>0.753542780876</v>
      </c>
      <c r="D1460" s="199" t="str">
        <f>HYPERLINK(AB2 &amp; "/knife/sn_e0a78d771cfde145a5cea7e40e4d21ff/rendering/01.obj", "1.74690246582")</f>
        <v>1.74690246582</v>
      </c>
      <c r="E1460" s="94" t="str">
        <f>HYPERLINK(AB2 &amp; "/knife/sn_e0a78d771cfde145a5cea7e40e4d21ff/rendering/02.obj", "0.906412422657")</f>
        <v>0.906412422657</v>
      </c>
      <c r="F1460" s="135" t="str">
        <f>HYPERLINK(AB2 &amp; "/knife/sn_e0a78d771cfde145a5cea7e40e4d21ff/rendering/03.obj", "1.23012804985")</f>
        <v>1.23012804985</v>
      </c>
      <c r="G1460" s="117" t="str">
        <f>HYPERLINK(AB2 &amp; "/knife/sn_e0a78d771cfde145a5cea7e40e4d21ff/rendering/04.obj", "0.806307435036")</f>
        <v>0.806307435036</v>
      </c>
      <c r="H1460" s="8" t="str">
        <f>HYPERLINK(AB2 &amp; "/knife/sn_e0a78d771cfde145a5cea7e40e4d21ff/rendering/05.obj", "0.8397128582")</f>
        <v>0.8397128582</v>
      </c>
      <c r="I1460" s="134" t="str">
        <f>HYPERLINK(AB2 &amp; "/knife/sn_e0a78d771cfde145a5cea7e40e4d21ff/rendering/06.obj", "0.802882015705")</f>
        <v>0.802882015705</v>
      </c>
      <c r="J1460" s="63" t="str">
        <f>HYPERLINK(AB2 &amp; "/knife/sn_e0a78d771cfde145a5cea7e40e4d21ff/rendering/07.obj", "0.861097037792")</f>
        <v>0.861097037792</v>
      </c>
      <c r="K1460" s="25" t="str">
        <f>HYPERLINK(AB2 &amp; "/knife/sn_e0a78d771cfde145a5cea7e40e4d21ff/rendering/08.obj", "0.967338442802")</f>
        <v>0.967338442802</v>
      </c>
      <c r="L1460" s="4" t="str">
        <f>HYPERLINK(AB2 &amp; "/knife/sn_e0a78d771cfde145a5cea7e40e4d21ff/rendering/09.obj", "0.70222222805")</f>
        <v>0.70222222805</v>
      </c>
      <c r="M1460" s="133" t="str">
        <f>HYPERLINK(AB2 &amp; "/knife/sn_e0a78d771cfde145a5cea7e40e4d21ff/rendering/10.obj", "1.07791650295")</f>
        <v>1.07791650295</v>
      </c>
      <c r="N1460" s="93" t="str">
        <f>HYPERLINK(AB2 &amp; "/knife/sn_e0a78d771cfde145a5cea7e40e4d21ff/rendering/11.obj", "0.842681288719")</f>
        <v>0.842681288719</v>
      </c>
      <c r="O1460" s="132" t="str">
        <f>HYPERLINK(AB2 &amp; "/knife/sn_e0a78d771cfde145a5cea7e40e4d21ff/rendering/12.obj", "1.38911616802")</f>
        <v>1.38911616802</v>
      </c>
      <c r="P1460" s="37" t="str">
        <f>HYPERLINK(AB2 &amp; "/knife/sn_e0a78d771cfde145a5cea7e40e4d21ff/rendering/13.obj", "0.808933854103")</f>
        <v>0.808933854103</v>
      </c>
      <c r="Q1460" s="94" t="str">
        <f>HYPERLINK(AB2 &amp; "/knife/sn_e0a78d771cfde145a5cea7e40e4d21ff/rendering/14.obj", "0.907426893711")</f>
        <v>0.907426893711</v>
      </c>
      <c r="R1460" s="129" t="str">
        <f>HYPERLINK(AB2 &amp; "/knife/sn_e0a78d771cfde145a5cea7e40e4d21ff/rendering/15.obj", "0.735945940018")</f>
        <v>0.735945940018</v>
      </c>
      <c r="S1460" s="75" t="str">
        <f>HYPERLINK(AB2 &amp; "/knife/sn_e0a78d771cfde145a5cea7e40e4d21ff/rendering/16.obj", "0.762070059776")</f>
        <v>0.762070059776</v>
      </c>
      <c r="T1460" s="91" t="str">
        <f>HYPERLINK(AB2 &amp; "/knife/sn_e0a78d771cfde145a5cea7e40e4d21ff/rendering/17.obj", "0.952636003494")</f>
        <v>0.952636003494</v>
      </c>
      <c r="U1460" s="92" t="str">
        <f>HYPERLINK(AB2 &amp; "/knife/sn_e0a78d771cfde145a5cea7e40e4d21ff/rendering/18.obj", "0.857381939888")</f>
        <v>0.857381939888</v>
      </c>
      <c r="V1460" s="45" t="str">
        <f>HYPERLINK(AB2 &amp; "/knife/sn_e0a78d771cfde145a5cea7e40e4d21ff/rendering/19.obj", "1.62800729275")</f>
        <v>1.62800729275</v>
      </c>
      <c r="W1460" s="12" t="s">
        <v>32</v>
      </c>
      <c r="X1460" s="13">
        <v>0.97893308401107793</v>
      </c>
      <c r="Y1460" s="13">
        <v>0.28750318458844698</v>
      </c>
      <c r="Z1460" s="118">
        <v>0.29369033418549118</v>
      </c>
    </row>
    <row r="1461" spans="1:26" x14ac:dyDescent="0.2">
      <c r="A1461" s="1">
        <v>1459</v>
      </c>
      <c r="B1461" s="2" t="s">
        <v>324</v>
      </c>
      <c r="C1461" s="13" t="str">
        <f>HYPERLINK(AC2 &amp; "/knife/sn_e0a78d771cfde145a5cea7e40e4d21ff/rendering/00.xyz", "0.0")</f>
        <v>0.0</v>
      </c>
      <c r="D1461" s="13" t="str">
        <f>HYPERLINK(AC2 &amp; "/knife/sn_e0a78d771cfde145a5cea7e40e4d21ff/rendering/01.xyz", "0.0")</f>
        <v>0.0</v>
      </c>
      <c r="E1461" s="13" t="str">
        <f>HYPERLINK(AC2 &amp; "/knife/sn_e0a78d771cfde145a5cea7e40e4d21ff/rendering/02.xyz", "0.0")</f>
        <v>0.0</v>
      </c>
      <c r="F1461" s="13" t="str">
        <f>HYPERLINK(AC2 &amp; "/knife/sn_e0a78d771cfde145a5cea7e40e4d21ff/rendering/03.xyz", "0.0")</f>
        <v>0.0</v>
      </c>
      <c r="G1461" s="13" t="str">
        <f>HYPERLINK(AC2 &amp; "/knife/sn_e0a78d771cfde145a5cea7e40e4d21ff/rendering/04.xyz", "0.0")</f>
        <v>0.0</v>
      </c>
      <c r="H1461" s="13" t="str">
        <f>HYPERLINK(AC2 &amp; "/knife/sn_e0a78d771cfde145a5cea7e40e4d21ff/rendering/05.xyz", "0.0")</f>
        <v>0.0</v>
      </c>
      <c r="I1461" s="13" t="str">
        <f>HYPERLINK(AC2 &amp; "/knife/sn_e0a78d771cfde145a5cea7e40e4d21ff/rendering/06.xyz", "0.0")</f>
        <v>0.0</v>
      </c>
      <c r="J1461" s="13" t="str">
        <f>HYPERLINK(AC2 &amp; "/knife/sn_e0a78d771cfde145a5cea7e40e4d21ff/rendering/07.xyz", "0.0")</f>
        <v>0.0</v>
      </c>
      <c r="K1461" s="13" t="str">
        <f>HYPERLINK(AC2 &amp; "/knife/sn_e0a78d771cfde145a5cea7e40e4d21ff/rendering/08.xyz", "0.0")</f>
        <v>0.0</v>
      </c>
      <c r="L1461" s="13" t="str">
        <f>HYPERLINK(AC2 &amp; "/knife/sn_e0a78d771cfde145a5cea7e40e4d21ff/rendering/09.xyz", "0.0")</f>
        <v>0.0</v>
      </c>
      <c r="M1461" s="13" t="str">
        <f>HYPERLINK(AC2 &amp; "/knife/sn_e0a78d771cfde145a5cea7e40e4d21ff/rendering/10.xyz", "0.0")</f>
        <v>0.0</v>
      </c>
      <c r="N1461" s="13" t="str">
        <f>HYPERLINK(AC2 &amp; "/knife/sn_e0a78d771cfde145a5cea7e40e4d21ff/rendering/11.xyz", "0.0")</f>
        <v>0.0</v>
      </c>
      <c r="O1461" s="13" t="str">
        <f>HYPERLINK(AC2 &amp; "/knife/sn_e0a78d771cfde145a5cea7e40e4d21ff/rendering/12.xyz", "0.0")</f>
        <v>0.0</v>
      </c>
      <c r="P1461" s="13" t="str">
        <f>HYPERLINK(AC2 &amp; "/knife/sn_e0a78d771cfde145a5cea7e40e4d21ff/rendering/13.xyz", "0.0")</f>
        <v>0.0</v>
      </c>
      <c r="Q1461" s="13" t="str">
        <f>HYPERLINK(AC2 &amp; "/knife/sn_e0a78d771cfde145a5cea7e40e4d21ff/rendering/14.xyz", "0.0")</f>
        <v>0.0</v>
      </c>
      <c r="R1461" s="13" t="str">
        <f>HYPERLINK(AC2 &amp; "/knife/sn_e0a78d771cfde145a5cea7e40e4d21ff/rendering/15.xyz", "0.0")</f>
        <v>0.0</v>
      </c>
      <c r="S1461" s="13" t="str">
        <f>HYPERLINK(AC2 &amp; "/knife/sn_e0a78d771cfde145a5cea7e40e4d21ff/rendering/16.xyz", "0.0")</f>
        <v>0.0</v>
      </c>
      <c r="T1461" s="13" t="str">
        <f>HYPERLINK(AC2 &amp; "/knife/sn_e0a78d771cfde145a5cea7e40e4d21ff/rendering/17.xyz", "0.0")</f>
        <v>0.0</v>
      </c>
      <c r="U1461" s="13" t="str">
        <f>HYPERLINK(AC2 &amp; "/knife/sn_e0a78d771cfde145a5cea7e40e4d21ff/rendering/18.xyz", "0.0")</f>
        <v>0.0</v>
      </c>
      <c r="V1461" s="13" t="str">
        <f>HYPERLINK(AC2 &amp; "/knife/sn_e0a78d771cfde145a5cea7e40e4d21ff/rendering/19.xyz", "0.0")</f>
        <v>0.0</v>
      </c>
      <c r="W1461" s="12" t="s">
        <v>33</v>
      </c>
      <c r="X1461" s="13">
        <v>0</v>
      </c>
      <c r="Y1461" s="13">
        <v>0</v>
      </c>
      <c r="Z1461" s="13">
        <v>0</v>
      </c>
    </row>
    <row r="1462" spans="1:26" x14ac:dyDescent="0.2">
      <c r="A1462" s="1">
        <v>1460</v>
      </c>
      <c r="B1462" s="2" t="s">
        <v>325</v>
      </c>
      <c r="C1462" s="132" t="str">
        <f>HYPERLINK(AA2 &amp; "/knife/sn_e199629e24c10052ed9c5b25fef60d04/rendering/00.obj", "5.77314208984")</f>
        <v>5.77314208984</v>
      </c>
      <c r="D1462" s="171" t="str">
        <f>HYPERLINK(AA2 &amp; "/knife/sn_e199629e24c10052ed9c5b25fef60d04/rendering/01.obj", "2.81816986084")</f>
        <v>2.81816986084</v>
      </c>
      <c r="E1462" s="124" t="str">
        <f>HYPERLINK(AA2 &amp; "/knife/sn_e199629e24c10052ed9c5b25fef60d04/rendering/02.obj", "2.51062530518")</f>
        <v>2.51062530518</v>
      </c>
      <c r="F1462" s="35" t="str">
        <f>HYPERLINK(AA2 &amp; "/knife/sn_e199629e24c10052ed9c5b25fef60d04/rendering/03.obj", "3.8283807373")</f>
        <v>3.8283807373</v>
      </c>
      <c r="G1462" s="175" t="str">
        <f>HYPERLINK(AA2 &amp; "/knife/sn_e199629e24c10052ed9c5b25fef60d04/rendering/04.obj", "3.11867675781")</f>
        <v>3.11867675781</v>
      </c>
      <c r="H1462" s="20" t="str">
        <f>HYPERLINK(AA2 &amp; "/knife/sn_e199629e24c10052ed9c5b25fef60d04/rendering/05.obj", "7.64094055176")</f>
        <v>7.64094055176</v>
      </c>
      <c r="I1462" s="99" t="str">
        <f>HYPERLINK(AA2 &amp; "/knife/sn_e199629e24c10052ed9c5b25fef60d04/rendering/06.obj", "2.96368499756")</f>
        <v>2.96368499756</v>
      </c>
      <c r="J1462" s="193" t="str">
        <f>HYPERLINK(AA2 &amp; "/knife/sn_e199629e24c10052ed9c5b25fef60d04/rendering/07.obj", "2.72341186523")</f>
        <v>2.72341186523</v>
      </c>
      <c r="K1462" s="72" t="str">
        <f>HYPERLINK(AA2 &amp; "/knife/sn_e199629e24c10052ed9c5b25fef60d04/rendering/08.obj", "3.93781402588")</f>
        <v>3.93781402588</v>
      </c>
      <c r="L1462" s="98" t="str">
        <f>HYPERLINK(AA2 &amp; "/knife/sn_e199629e24c10052ed9c5b25fef60d04/rendering/09.obj", "3.12727478027")</f>
        <v>3.12727478027</v>
      </c>
      <c r="M1462" s="203" t="str">
        <f>HYPERLINK(AA2 &amp; "/knife/sn_e199629e24c10052ed9c5b25fef60d04/rendering/10.obj", "2.16797698975")</f>
        <v>2.16797698975</v>
      </c>
      <c r="N1462" s="239" t="str">
        <f>HYPERLINK(AA2 &amp; "/knife/sn_e199629e24c10052ed9c5b25fef60d04/rendering/11.obj", "6.52870849609")</f>
        <v>6.52870849609</v>
      </c>
      <c r="O1462" s="140" t="str">
        <f>HYPERLINK(AA2 &amp; "/knife/sn_e199629e24c10052ed9c5b25fef60d04/rendering/12.obj", "2.65056152344")</f>
        <v>2.65056152344</v>
      </c>
      <c r="P1462" s="108" t="str">
        <f>HYPERLINK(AA2 &amp; "/knife/sn_e199629e24c10052ed9c5b25fef60d04/rendering/13.obj", "3.06816711426")</f>
        <v>3.06816711426</v>
      </c>
      <c r="Q1462" s="136" t="str">
        <f>HYPERLINK(AA2 &amp; "/knife/sn_e199629e24c10052ed9c5b25fef60d04/rendering/14.obj", "3.09867553711")</f>
        <v>3.09867553711</v>
      </c>
      <c r="R1462" s="20" t="str">
        <f>HYPERLINK(AA2 &amp; "/knife/sn_e199629e24c10052ed9c5b25fef60d04/rendering/15.obj", "13.1355541992")</f>
        <v>13.1355541992</v>
      </c>
      <c r="S1462" s="128" t="str">
        <f>HYPERLINK(AA2 &amp; "/knife/sn_e199629e24c10052ed9c5b25fef60d04/rendering/16.obj", "2.48181182861")</f>
        <v>2.48181182861</v>
      </c>
      <c r="T1462" s="4" t="str">
        <f>HYPERLINK(AA2 &amp; "/knife/sn_e199629e24c10052ed9c5b25fef60d04/rendering/17.obj", "2.91072235107")</f>
        <v>2.91072235107</v>
      </c>
      <c r="U1462" s="170" t="str">
        <f>HYPERLINK(AA2 &amp; "/knife/sn_e199629e24c10052ed9c5b25fef60d04/rendering/18.obj", "3.04339019775")</f>
        <v>3.04339019775</v>
      </c>
      <c r="V1462" s="41" t="str">
        <f>HYPERLINK(AA2 &amp; "/knife/sn_e199629e24c10052ed9c5b25fef60d04/rendering/19.obj", "3.79119232178")</f>
        <v>3.79119232178</v>
      </c>
      <c r="W1462" s="12" t="s">
        <v>29</v>
      </c>
      <c r="X1462" s="13">
        <v>4.0659440765380861</v>
      </c>
      <c r="Y1462" s="13">
        <v>2.50364360864502</v>
      </c>
      <c r="Z1462" s="214">
        <v>0.61575947959833388</v>
      </c>
    </row>
    <row r="1463" spans="1:26" x14ac:dyDescent="0.2">
      <c r="A1463" s="1">
        <v>1461</v>
      </c>
      <c r="B1463" s="2" t="s">
        <v>325</v>
      </c>
      <c r="C1463" s="7" t="str">
        <f>HYPERLINK(AA2 &amp; "/knife/sn_e199629e24c10052ed9c5b25fef60d04/rendering/00.obj", "4.43783950806")</f>
        <v>4.43783950806</v>
      </c>
      <c r="D1463" s="250" t="str">
        <f>HYPERLINK(AA2 &amp; "/knife/sn_e199629e24c10052ed9c5b25fef60d04/rendering/01.obj", "1.09123444557")</f>
        <v>1.09123444557</v>
      </c>
      <c r="E1463" s="215" t="str">
        <f>HYPERLINK(AA2 &amp; "/knife/sn_e199629e24c10052ed9c5b25fef60d04/rendering/02.obj", "1.14619600773")</f>
        <v>1.14619600773</v>
      </c>
      <c r="F1463" s="101" t="str">
        <f>HYPERLINK(AA2 &amp; "/knife/sn_e199629e24c10052ed9c5b25fef60d04/rendering/03.obj", "2.16371631622")</f>
        <v>2.16371631622</v>
      </c>
      <c r="G1463" s="246" t="str">
        <f>HYPERLINK(AA2 &amp; "/knife/sn_e199629e24c10052ed9c5b25fef60d04/rendering/04.obj", "1.35104346275")</f>
        <v>1.35104346275</v>
      </c>
      <c r="H1463" s="20" t="str">
        <f>HYPERLINK(AA2 &amp; "/knife/sn_e199629e24c10052ed9c5b25fef60d04/rendering/05.obj", "8.49939060211")</f>
        <v>8.49939060211</v>
      </c>
      <c r="I1463" s="182" t="str">
        <f>HYPERLINK(AA2 &amp; "/knife/sn_e199629e24c10052ed9c5b25fef60d04/rendering/06.obj", "2.3175201416")</f>
        <v>2.3175201416</v>
      </c>
      <c r="J1463" s="249" t="str">
        <f>HYPERLINK(AA2 &amp; "/knife/sn_e199629e24c10052ed9c5b25fef60d04/rendering/07.obj", "1.48488426208")</f>
        <v>1.48488426208</v>
      </c>
      <c r="K1463" s="105" t="str">
        <f>HYPERLINK(AA2 &amp; "/knife/sn_e199629e24c10052ed9c5b25fef60d04/rendering/08.obj", "1.69552719593")</f>
        <v>1.69552719593</v>
      </c>
      <c r="L1463" s="249" t="str">
        <f>HYPERLINK(AA2 &amp; "/knife/sn_e199629e24c10052ed9c5b25fef60d04/rendering/09.obj", "1.48229622841")</f>
        <v>1.48229622841</v>
      </c>
      <c r="M1463" s="201" t="str">
        <f>HYPERLINK(AA2 &amp; "/knife/sn_e199629e24c10052ed9c5b25fef60d04/rendering/10.obj", "1.45148825645")</f>
        <v>1.45148825645</v>
      </c>
      <c r="N1463" s="174" t="str">
        <f>HYPERLINK(AA2 &amp; "/knife/sn_e199629e24c10052ed9c5b25fef60d04/rendering/11.obj", "5.30272102356")</f>
        <v>5.30272102356</v>
      </c>
      <c r="O1463" s="216" t="str">
        <f>HYPERLINK(AA2 &amp; "/knife/sn_e199629e24c10052ed9c5b25fef60d04/rendering/12.obj", "1.21442806721")</f>
        <v>1.21442806721</v>
      </c>
      <c r="P1463" s="205" t="str">
        <f>HYPERLINK(AA2 &amp; "/knife/sn_e199629e24c10052ed9c5b25fef60d04/rendering/13.obj", "1.15605223179")</f>
        <v>1.15605223179</v>
      </c>
      <c r="Q1463" s="18" t="str">
        <f>HYPERLINK(AA2 &amp; "/knife/sn_e199629e24c10052ed9c5b25fef60d04/rendering/14.obj", "1.46474742889")</f>
        <v>1.46474742889</v>
      </c>
      <c r="R1463" s="20" t="str">
        <f>HYPERLINK(AA2 &amp; "/knife/sn_e199629e24c10052ed9c5b25fef60d04/rendering/15.obj", "26.8381881714")</f>
        <v>26.8381881714</v>
      </c>
      <c r="S1463" s="224" t="str">
        <f>HYPERLINK(AA2 &amp; "/knife/sn_e199629e24c10052ed9c5b25fef60d04/rendering/16.obj", "1.01265490055")</f>
        <v>1.01265490055</v>
      </c>
      <c r="T1463" s="189" t="str">
        <f>HYPERLINK(AA2 &amp; "/knife/sn_e199629e24c10052ed9c5b25fef60d04/rendering/17.obj", "1.30407857895")</f>
        <v>1.30407857895</v>
      </c>
      <c r="U1463" s="244" t="str">
        <f>HYPERLINK(AA2 &amp; "/knife/sn_e199629e24c10052ed9c5b25fef60d04/rendering/18.obj", "1.33912682533")</f>
        <v>1.33912682533</v>
      </c>
      <c r="V1463" s="81" t="str">
        <f>HYPERLINK(AA2 &amp; "/knife/sn_e199629e24c10052ed9c5b25fef60d04/rendering/19.obj", "2.72135281563")</f>
        <v>2.72135281563</v>
      </c>
      <c r="W1463" s="12" t="s">
        <v>30</v>
      </c>
      <c r="X1463" s="13">
        <v>3.473724323511123</v>
      </c>
      <c r="Y1463" s="13">
        <v>5.6553253197198288</v>
      </c>
      <c r="Z1463" s="20">
        <v>1.6280293981428029</v>
      </c>
    </row>
    <row r="1464" spans="1:26" x14ac:dyDescent="0.2">
      <c r="A1464" s="1">
        <v>1462</v>
      </c>
      <c r="B1464" s="2" t="s">
        <v>325</v>
      </c>
      <c r="C1464" s="42" t="str">
        <f>HYPERLINK(AB2 &amp; "/knife/sn_e199629e24c10052ed9c5b25fef60d04/rendering/00.obj", "2.84349365234")</f>
        <v>2.84349365234</v>
      </c>
      <c r="D1464" s="67" t="str">
        <f>HYPERLINK(AB2 &amp; "/knife/sn_e199629e24c10052ed9c5b25fef60d04/rendering/01.obj", "2.98002105713")</f>
        <v>2.98002105713</v>
      </c>
      <c r="E1464" s="187" t="str">
        <f>HYPERLINK(AB2 &amp; "/knife/sn_e199629e24c10052ed9c5b25fef60d04/rendering/02.obj", "2.13750823975")</f>
        <v>2.13750823975</v>
      </c>
      <c r="F1464" s="71" t="str">
        <f>HYPERLINK(AB2 &amp; "/knife/sn_e199629e24c10052ed9c5b25fef60d04/rendering/03.obj", "3.67298248291")</f>
        <v>3.67298248291</v>
      </c>
      <c r="G1464" s="31" t="str">
        <f>HYPERLINK(AB2 &amp; "/knife/sn_e199629e24c10052ed9c5b25fef60d04/rendering/04.obj", "3.79583312988")</f>
        <v>3.79583312988</v>
      </c>
      <c r="H1464" s="79" t="str">
        <f>HYPERLINK(AB2 &amp; "/knife/sn_e199629e24c10052ed9c5b25fef60d04/rendering/05.obj", "3.80619445801")</f>
        <v>3.80619445801</v>
      </c>
      <c r="I1464" s="110" t="str">
        <f>HYPERLINK(AB2 &amp; "/knife/sn_e199629e24c10052ed9c5b25fef60d04/rendering/06.obj", "3.61424865723")</f>
        <v>3.61424865723</v>
      </c>
      <c r="J1464" s="99" t="str">
        <f>HYPERLINK(AB2 &amp; "/knife/sn_e199629e24c10052ed9c5b25fef60d04/rendering/07.obj", "2.39821014404")</f>
        <v>2.39821014404</v>
      </c>
      <c r="K1464" s="107" t="str">
        <f>HYPERLINK(AB2 &amp; "/knife/sn_e199629e24c10052ed9c5b25fef60d04/rendering/08.obj", "3.55845275879")</f>
        <v>3.55845275879</v>
      </c>
      <c r="L1464" s="38" t="str">
        <f>HYPERLINK(AB2 &amp; "/knife/sn_e199629e24c10052ed9c5b25fef60d04/rendering/09.obj", "2.9963470459")</f>
        <v>2.9963470459</v>
      </c>
      <c r="M1464" s="93" t="str">
        <f>HYPERLINK(AB2 &amp; "/knife/sn_e199629e24c10052ed9c5b25fef60d04/rendering/10.obj", "3.75161987305")</f>
        <v>3.75161987305</v>
      </c>
      <c r="N1464" s="60" t="str">
        <f>HYPERLINK(AB2 &amp; "/knife/sn_e199629e24c10052ed9c5b25fef60d04/rendering/11.obj", "3.45618164063")</f>
        <v>3.45618164063</v>
      </c>
      <c r="O1464" s="59" t="str">
        <f>HYPERLINK(AB2 &amp; "/knife/sn_e199629e24c10052ed9c5b25fef60d04/rendering/12.obj", "2.50462280273")</f>
        <v>2.50462280273</v>
      </c>
      <c r="P1464" s="113" t="str">
        <f>HYPERLINK(AB2 &amp; "/knife/sn_e199629e24c10052ed9c5b25fef60d04/rendering/13.obj", "4.19290679932")</f>
        <v>4.19290679932</v>
      </c>
      <c r="Q1464" s="78" t="str">
        <f>HYPERLINK(AB2 &amp; "/knife/sn_e199629e24c10052ed9c5b25fef60d04/rendering/14.obj", "3.0906463623")</f>
        <v>3.0906463623</v>
      </c>
      <c r="R1464" s="193" t="str">
        <f>HYPERLINK(AB2 &amp; "/knife/sn_e199629e24c10052ed9c5b25fef60d04/rendering/15.obj", "4.37529296875")</f>
        <v>4.37529296875</v>
      </c>
      <c r="S1464" s="106" t="str">
        <f>HYPERLINK(AB2 &amp; "/knife/sn_e199629e24c10052ed9c5b25fef60d04/rendering/16.obj", "2.91716430664")</f>
        <v>2.91716430664</v>
      </c>
      <c r="T1464" s="13" t="str">
        <f>HYPERLINK(AB2 &amp; "/knife/sn_e199629e24c10052ed9c5b25fef60d04/rendering/17.obj", "3.28032501221")</f>
        <v>3.28032501221</v>
      </c>
      <c r="U1464" s="37" t="str">
        <f>HYPERLINK(AB2 &amp; "/knife/sn_e199629e24c10052ed9c5b25fef60d04/rendering/18.obj", "2.71447998047")</f>
        <v>2.71447998047</v>
      </c>
      <c r="V1464" s="92" t="str">
        <f>HYPERLINK(AB2 &amp; "/knife/sn_e199629e24c10052ed9c5b25fef60d04/rendering/19.obj", "3.70024902344")</f>
        <v>3.70024902344</v>
      </c>
      <c r="W1464" s="12" t="s">
        <v>31</v>
      </c>
      <c r="X1464" s="13">
        <v>3.2893390197753898</v>
      </c>
      <c r="Y1464" s="13">
        <v>0.58653242488574286</v>
      </c>
      <c r="Z1464" s="117">
        <v>0.17831315694719541</v>
      </c>
    </row>
    <row r="1465" spans="1:26" x14ac:dyDescent="0.2">
      <c r="A1465" s="1">
        <v>1463</v>
      </c>
      <c r="B1465" s="2" t="s">
        <v>325</v>
      </c>
      <c r="C1465" s="120" t="str">
        <f>HYPERLINK(AB2 &amp; "/knife/sn_e199629e24c10052ed9c5b25fef60d04/rendering/00.obj", "1.67577266693")</f>
        <v>1.67577266693</v>
      </c>
      <c r="D1465" s="96" t="str">
        <f>HYPERLINK(AB2 &amp; "/knife/sn_e199629e24c10052ed9c5b25fef60d04/rendering/01.obj", "0.880200088024")</f>
        <v>0.880200088024</v>
      </c>
      <c r="E1465" s="176" t="str">
        <f>HYPERLINK(AB2 &amp; "/knife/sn_e199629e24c10052ed9c5b25fef60d04/rendering/02.obj", "0.943377614021")</f>
        <v>0.943377614021</v>
      </c>
      <c r="F1465" s="123" t="str">
        <f>HYPERLINK(AB2 &amp; "/knife/sn_e199629e24c10052ed9c5b25fef60d04/rendering/03.obj", "1.89334583282")</f>
        <v>1.89334583282</v>
      </c>
      <c r="G1465" s="34" t="str">
        <f>HYPERLINK(AB2 &amp; "/knife/sn_e199629e24c10052ed9c5b25fef60d04/rendering/04.obj", "1.44923210144")</f>
        <v>1.44923210144</v>
      </c>
      <c r="H1465" s="91" t="str">
        <f>HYPERLINK(AB2 &amp; "/knife/sn_e199629e24c10052ed9c5b25fef60d04/rendering/05.obj", "1.42159485817")</f>
        <v>1.42159485817</v>
      </c>
      <c r="I1465" s="71" t="str">
        <f>HYPERLINK(AB2 &amp; "/knife/sn_e199629e24c10052ed9c5b25fef60d04/rendering/06.obj", "1.22083199024")</f>
        <v>1.22083199024</v>
      </c>
      <c r="J1465" s="140" t="str">
        <f>HYPERLINK(AB2 &amp; "/knife/sn_e199629e24c10052ed9c5b25fef60d04/rendering/07.obj", "0.904789566994")</f>
        <v>0.904789566994</v>
      </c>
      <c r="K1465" s="55" t="str">
        <f>HYPERLINK(AB2 &amp; "/knife/sn_e199629e24c10052ed9c5b25fef60d04/rendering/08.obj", "1.64842295647")</f>
        <v>1.64842295647</v>
      </c>
      <c r="L1465" s="140" t="str">
        <f>HYPERLINK(AB2 &amp; "/knife/sn_e199629e24c10052ed9c5b25fef60d04/rendering/09.obj", "0.902592360973")</f>
        <v>0.902592360973</v>
      </c>
      <c r="M1465" s="42" t="str">
        <f>HYPERLINK(AB2 &amp; "/knife/sn_e199629e24c10052ed9c5b25fef60d04/rendering/10.obj", "1.19596982002")</f>
        <v>1.19596982002</v>
      </c>
      <c r="N1465" s="93" t="str">
        <f>HYPERLINK(AB2 &amp; "/knife/sn_e199629e24c10052ed9c5b25fef60d04/rendering/11.obj", "1.5771702528")</f>
        <v>1.5771702528</v>
      </c>
      <c r="O1465" s="96" t="str">
        <f>HYPERLINK(AB2 &amp; "/knife/sn_e199629e24c10052ed9c5b25fef60d04/rendering/12.obj", "0.882316768169")</f>
        <v>0.882316768169</v>
      </c>
      <c r="P1465" s="192" t="str">
        <f>HYPERLINK(AB2 &amp; "/knife/sn_e199629e24c10052ed9c5b25fef60d04/rendering/13.obj", "1.89568674564")</f>
        <v>1.89568674564</v>
      </c>
      <c r="Q1465" s="56" t="str">
        <f>HYPERLINK(AB2 &amp; "/knife/sn_e199629e24c10052ed9c5b25fef60d04/rendering/14.obj", "0.954332113266")</f>
        <v>0.954332113266</v>
      </c>
      <c r="R1465" s="148" t="str">
        <f>HYPERLINK(AB2 &amp; "/knife/sn_e199629e24c10052ed9c5b25fef60d04/rendering/15.obj", "2.05221581459")</f>
        <v>2.05221581459</v>
      </c>
      <c r="S1465" s="113" t="str">
        <f>HYPERLINK(AB2 &amp; "/knife/sn_e199629e24c10052ed9c5b25fef60d04/rendering/16.obj", "1.76058459282")</f>
        <v>1.76058459282</v>
      </c>
      <c r="T1465" s="55" t="str">
        <f>HYPERLINK(AB2 &amp; "/knife/sn_e199629e24c10052ed9c5b25fef60d04/rendering/17.obj", "1.11768341064")</f>
        <v>1.11768341064</v>
      </c>
      <c r="U1465" s="42" t="str">
        <f>HYPERLINK(AB2 &amp; "/knife/sn_e199629e24c10052ed9c5b25fef60d04/rendering/18.obj", "1.19329285622")</f>
        <v>1.19329285622</v>
      </c>
      <c r="V1465" s="105" t="str">
        <f>HYPERLINK(AB2 &amp; "/knife/sn_e199629e24c10052ed9c5b25fef60d04/rendering/19.obj", "2.09042334557")</f>
        <v>2.09042334557</v>
      </c>
      <c r="W1465" s="12" t="s">
        <v>32</v>
      </c>
      <c r="X1465" s="13">
        <v>1.3829917877912521</v>
      </c>
      <c r="Y1465" s="13">
        <v>0.40752695749297468</v>
      </c>
      <c r="Z1465" s="118">
        <v>0.29467055487280058</v>
      </c>
    </row>
    <row r="1466" spans="1:26" x14ac:dyDescent="0.2">
      <c r="A1466" s="1">
        <v>1464</v>
      </c>
      <c r="B1466" s="2" t="s">
        <v>325</v>
      </c>
      <c r="C1466" s="13" t="str">
        <f>HYPERLINK(AC2 &amp; "/knife/sn_e199629e24c10052ed9c5b25fef60d04/rendering/00.xyz", "0.0")</f>
        <v>0.0</v>
      </c>
      <c r="D1466" s="13" t="str">
        <f>HYPERLINK(AC2 &amp; "/knife/sn_e199629e24c10052ed9c5b25fef60d04/rendering/01.xyz", "0.0")</f>
        <v>0.0</v>
      </c>
      <c r="E1466" s="13" t="str">
        <f>HYPERLINK(AC2 &amp; "/knife/sn_e199629e24c10052ed9c5b25fef60d04/rendering/02.xyz", "0.0")</f>
        <v>0.0</v>
      </c>
      <c r="F1466" s="13" t="str">
        <f>HYPERLINK(AC2 &amp; "/knife/sn_e199629e24c10052ed9c5b25fef60d04/rendering/03.xyz", "0.0")</f>
        <v>0.0</v>
      </c>
      <c r="G1466" s="13" t="str">
        <f>HYPERLINK(AC2 &amp; "/knife/sn_e199629e24c10052ed9c5b25fef60d04/rendering/04.xyz", "0.0")</f>
        <v>0.0</v>
      </c>
      <c r="H1466" s="13" t="str">
        <f>HYPERLINK(AC2 &amp; "/knife/sn_e199629e24c10052ed9c5b25fef60d04/rendering/05.xyz", "0.0")</f>
        <v>0.0</v>
      </c>
      <c r="I1466" s="13" t="str">
        <f>HYPERLINK(AC2 &amp; "/knife/sn_e199629e24c10052ed9c5b25fef60d04/rendering/06.xyz", "0.0")</f>
        <v>0.0</v>
      </c>
      <c r="J1466" s="13" t="str">
        <f>HYPERLINK(AC2 &amp; "/knife/sn_e199629e24c10052ed9c5b25fef60d04/rendering/07.xyz", "0.0")</f>
        <v>0.0</v>
      </c>
      <c r="K1466" s="13" t="str">
        <f>HYPERLINK(AC2 &amp; "/knife/sn_e199629e24c10052ed9c5b25fef60d04/rendering/08.xyz", "0.0")</f>
        <v>0.0</v>
      </c>
      <c r="L1466" s="13" t="str">
        <f>HYPERLINK(AC2 &amp; "/knife/sn_e199629e24c10052ed9c5b25fef60d04/rendering/09.xyz", "0.0")</f>
        <v>0.0</v>
      </c>
      <c r="M1466" s="13" t="str">
        <f>HYPERLINK(AC2 &amp; "/knife/sn_e199629e24c10052ed9c5b25fef60d04/rendering/10.xyz", "0.0")</f>
        <v>0.0</v>
      </c>
      <c r="N1466" s="13" t="str">
        <f>HYPERLINK(AC2 &amp; "/knife/sn_e199629e24c10052ed9c5b25fef60d04/rendering/11.xyz", "0.0")</f>
        <v>0.0</v>
      </c>
      <c r="O1466" s="13" t="str">
        <f>HYPERLINK(AC2 &amp; "/knife/sn_e199629e24c10052ed9c5b25fef60d04/rendering/12.xyz", "0.0")</f>
        <v>0.0</v>
      </c>
      <c r="P1466" s="13" t="str">
        <f>HYPERLINK(AC2 &amp; "/knife/sn_e199629e24c10052ed9c5b25fef60d04/rendering/13.xyz", "0.0")</f>
        <v>0.0</v>
      </c>
      <c r="Q1466" s="13" t="str">
        <f>HYPERLINK(AC2 &amp; "/knife/sn_e199629e24c10052ed9c5b25fef60d04/rendering/14.xyz", "0.0")</f>
        <v>0.0</v>
      </c>
      <c r="R1466" s="13" t="str">
        <f>HYPERLINK(AC2 &amp; "/knife/sn_e199629e24c10052ed9c5b25fef60d04/rendering/15.xyz", "0.0")</f>
        <v>0.0</v>
      </c>
      <c r="S1466" s="13" t="str">
        <f>HYPERLINK(AC2 &amp; "/knife/sn_e199629e24c10052ed9c5b25fef60d04/rendering/16.xyz", "0.0")</f>
        <v>0.0</v>
      </c>
      <c r="T1466" s="13" t="str">
        <f>HYPERLINK(AC2 &amp; "/knife/sn_e199629e24c10052ed9c5b25fef60d04/rendering/17.xyz", "0.0")</f>
        <v>0.0</v>
      </c>
      <c r="U1466" s="13" t="str">
        <f>HYPERLINK(AC2 &amp; "/knife/sn_e199629e24c10052ed9c5b25fef60d04/rendering/18.xyz", "0.0")</f>
        <v>0.0</v>
      </c>
      <c r="V1466" s="13" t="str">
        <f>HYPERLINK(AC2 &amp; "/knife/sn_e199629e24c10052ed9c5b25fef60d04/rendering/19.xyz", "0.0")</f>
        <v>0.0</v>
      </c>
      <c r="W1466" s="12" t="s">
        <v>33</v>
      </c>
      <c r="X1466" s="13">
        <v>0</v>
      </c>
      <c r="Y1466" s="13">
        <v>0</v>
      </c>
      <c r="Z1466" s="13">
        <v>0</v>
      </c>
    </row>
    <row r="1467" spans="1:26" x14ac:dyDescent="0.2">
      <c r="A1467" s="1">
        <v>1465</v>
      </c>
      <c r="B1467" s="2" t="s">
        <v>326</v>
      </c>
      <c r="C1467" s="94" t="str">
        <f>HYPERLINK(AA2 &amp; "/knife/sn_e2cd287563f26e3eef1f81f15fbe736c/rendering/00.obj", "3.78678436279")</f>
        <v>3.78678436279</v>
      </c>
      <c r="D1467" s="46" t="str">
        <f>HYPERLINK(AA2 &amp; "/knife/sn_e2cd287563f26e3eef1f81f15fbe736c/rendering/01.obj", "4.16322814941")</f>
        <v>4.16322814941</v>
      </c>
      <c r="E1467" s="30" t="str">
        <f>HYPERLINK(AA2 &amp; "/knife/sn_e2cd287563f26e3eef1f81f15fbe736c/rendering/02.obj", "4.06724243164")</f>
        <v>4.06724243164</v>
      </c>
      <c r="F1467" s="83" t="str">
        <f>HYPERLINK(AA2 &amp; "/knife/sn_e2cd287563f26e3eef1f81f15fbe736c/rendering/03.obj", "3.46615386963")</f>
        <v>3.46615386963</v>
      </c>
      <c r="G1467" s="40" t="str">
        <f>HYPERLINK(AA2 &amp; "/knife/sn_e2cd287563f26e3eef1f81f15fbe736c/rendering/04.obj", "4.79217712402")</f>
        <v>4.79217712402</v>
      </c>
      <c r="H1467" s="185" t="str">
        <f>HYPERLINK(AA2 &amp; "/knife/sn_e2cd287563f26e3eef1f81f15fbe736c/rendering/05.obj", "5.47640136719")</f>
        <v>5.47640136719</v>
      </c>
      <c r="I1467" s="134" t="str">
        <f>HYPERLINK(AA2 &amp; "/knife/sn_e2cd287563f26e3eef1f81f15fbe736c/rendering/06.obj", "3.35579223633")</f>
        <v>3.35579223633</v>
      </c>
      <c r="J1467" s="30" t="str">
        <f>HYPERLINK(AA2 &amp; "/knife/sn_e2cd287563f26e3eef1f81f15fbe736c/rendering/07.obj", "4.07469787598")</f>
        <v>4.07469787598</v>
      </c>
      <c r="K1467" s="58" t="str">
        <f>HYPERLINK(AA2 &amp; "/knife/sn_e2cd287563f26e3eef1f81f15fbe736c/rendering/08.obj", "3.0901449585")</f>
        <v>3.0901449585</v>
      </c>
      <c r="L1467" s="92" t="str">
        <f>HYPERLINK(AA2 &amp; "/knife/sn_e2cd287563f26e3eef1f81f15fbe736c/rendering/09.obj", "3.58104064941")</f>
        <v>3.58104064941</v>
      </c>
      <c r="M1467" s="94" t="str">
        <f>HYPERLINK(AA2 &amp; "/knife/sn_e2cd287563f26e3eef1f81f15fbe736c/rendering/10.obj", "4.38906311035")</f>
        <v>4.38906311035</v>
      </c>
      <c r="N1467" s="66" t="str">
        <f>HYPERLINK(AA2 &amp; "/knife/sn_e2cd287563f26e3eef1f81f15fbe736c/rendering/11.obj", "3.42734130859")</f>
        <v>3.42734130859</v>
      </c>
      <c r="O1467" s="55" t="str">
        <f>HYPERLINK(AA2 &amp; "/knife/sn_e2cd287563f26e3eef1f81f15fbe736c/rendering/12.obj", "3.30711486816")</f>
        <v>3.30711486816</v>
      </c>
      <c r="P1467" s="109" t="str">
        <f>HYPERLINK(AA2 &amp; "/knife/sn_e2cd287563f26e3eef1f81f15fbe736c/rendering/13.obj", "4.86530517578")</f>
        <v>4.86530517578</v>
      </c>
      <c r="Q1467" s="43" t="str">
        <f>HYPERLINK(AA2 &amp; "/knife/sn_e2cd287563f26e3eef1f81f15fbe736c/rendering/14.obj", "5.6191809082")</f>
        <v>5.6191809082</v>
      </c>
      <c r="R1467" s="83" t="str">
        <f>HYPERLINK(AA2 &amp; "/knife/sn_e2cd287563f26e3eef1f81f15fbe736c/rendering/15.obj", "3.47034973145")</f>
        <v>3.47034973145</v>
      </c>
      <c r="S1467" s="134" t="str">
        <f>HYPERLINK(AA2 &amp; "/knife/sn_e2cd287563f26e3eef1f81f15fbe736c/rendering/16.obj", "4.83280700684")</f>
        <v>4.83280700684</v>
      </c>
      <c r="T1467" s="51" t="str">
        <f>HYPERLINK(AA2 &amp; "/knife/sn_e2cd287563f26e3eef1f81f15fbe736c/rendering/17.obj", "3.76502685547")</f>
        <v>3.76502685547</v>
      </c>
      <c r="U1467" s="73" t="str">
        <f>HYPERLINK(AA2 &amp; "/knife/sn_e2cd287563f26e3eef1f81f15fbe736c/rendering/18.obj", "3.93723693848")</f>
        <v>3.93723693848</v>
      </c>
      <c r="V1467" s="35" t="str">
        <f>HYPERLINK(AA2 &amp; "/knife/sn_e2cd287563f26e3eef1f81f15fbe736c/rendering/19.obj", "4.33133178711")</f>
        <v>4.33133178711</v>
      </c>
      <c r="W1467" s="12" t="s">
        <v>29</v>
      </c>
      <c r="X1467" s="13">
        <v>4.0899210357666016</v>
      </c>
      <c r="Y1467" s="13">
        <v>0.70370735606860435</v>
      </c>
      <c r="Z1467" s="40">
        <v>0.1720589101634584</v>
      </c>
    </row>
    <row r="1468" spans="1:26" x14ac:dyDescent="0.2">
      <c r="A1468" s="1">
        <v>1466</v>
      </c>
      <c r="B1468" s="2" t="s">
        <v>326</v>
      </c>
      <c r="C1468" s="82" t="str">
        <f>HYPERLINK(AA2 &amp; "/knife/sn_e2cd287563f26e3eef1f81f15fbe736c/rendering/00.obj", "1.84903049469")</f>
        <v>1.84903049469</v>
      </c>
      <c r="D1468" s="171" t="str">
        <f>HYPERLINK(AA2 &amp; "/knife/sn_e2cd287563f26e3eef1f81f15fbe736c/rendering/01.obj", "1.61516714096")</f>
        <v>1.61516714096</v>
      </c>
      <c r="E1468" s="119" t="str">
        <f>HYPERLINK(AA2 &amp; "/knife/sn_e2cd287563f26e3eef1f81f15fbe736c/rendering/02.obj", "1.71326732635")</f>
        <v>1.71326732635</v>
      </c>
      <c r="F1468" s="15" t="str">
        <f>HYPERLINK(AA2 &amp; "/knife/sn_e2cd287563f26e3eef1f81f15fbe736c/rendering/03.obj", "1.15173983574")</f>
        <v>1.15173983574</v>
      </c>
      <c r="G1468" s="115" t="str">
        <f>HYPERLINK(AA2 &amp; "/knife/sn_e2cd287563f26e3eef1f81f15fbe736c/rendering/04.obj", "3.81646704674")</f>
        <v>3.81646704674</v>
      </c>
      <c r="H1468" s="20" t="str">
        <f>HYPERLINK(AA2 &amp; "/knife/sn_e2cd287563f26e3eef1f81f15fbe736c/rendering/05.obj", "5.67818450928")</f>
        <v>5.67818450928</v>
      </c>
      <c r="I1468" s="130" t="str">
        <f>HYPERLINK(AA2 &amp; "/knife/sn_e2cd287563f26e3eef1f81f15fbe736c/rendering/06.obj", "1.28208267689")</f>
        <v>1.28208267689</v>
      </c>
      <c r="J1468" s="29" t="str">
        <f>HYPERLINK(AA2 &amp; "/knife/sn_e2cd287563f26e3eef1f81f15fbe736c/rendering/07.obj", "2.63637566566")</f>
        <v>2.63637566566</v>
      </c>
      <c r="K1468" s="16" t="str">
        <f>HYPERLINK(AA2 &amp; "/knife/sn_e2cd287563f26e3eef1f81f15fbe736c/rendering/08.obj", "1.05848872662")</f>
        <v>1.05848872662</v>
      </c>
      <c r="L1468" s="192" t="str">
        <f>HYPERLINK(AA2 &amp; "/knife/sn_e2cd287563f26e3eef1f81f15fbe736c/rendering/09.obj", "1.46139621735")</f>
        <v>1.46139621735</v>
      </c>
      <c r="M1468" s="6" t="str">
        <f>HYPERLINK(AA2 &amp; "/knife/sn_e2cd287563f26e3eef1f81f15fbe736c/rendering/10.obj", "2.43875741959")</f>
        <v>2.43875741959</v>
      </c>
      <c r="N1468" s="168" t="str">
        <f>HYPERLINK(AA2 &amp; "/knife/sn_e2cd287563f26e3eef1f81f15fbe736c/rendering/11.obj", "1.57845699787")</f>
        <v>1.57845699787</v>
      </c>
      <c r="O1468" s="251" t="str">
        <f>HYPERLINK(AA2 &amp; "/knife/sn_e2cd287563f26e3eef1f81f15fbe736c/rendering/12.obj", "0.960061311722")</f>
        <v>0.960061311722</v>
      </c>
      <c r="P1468" s="250" t="str">
        <f>HYPERLINK(AA2 &amp; "/knife/sn_e2cd287563f26e3eef1f81f15fbe736c/rendering/13.obj", "3.92536616325")</f>
        <v>3.92536616325</v>
      </c>
      <c r="Q1468" s="20" t="str">
        <f>HYPERLINK(AA2 &amp; "/knife/sn_e2cd287563f26e3eef1f81f15fbe736c/rendering/14.obj", "5.25556516647")</f>
        <v>5.25556516647</v>
      </c>
      <c r="R1468" s="187" t="str">
        <f>HYPERLINK(AA2 &amp; "/knife/sn_e2cd287563f26e3eef1f81f15fbe736c/rendering/15.obj", "1.51558423042")</f>
        <v>1.51558423042</v>
      </c>
      <c r="S1468" s="60" t="str">
        <f>HYPERLINK(AA2 &amp; "/knife/sn_e2cd287563f26e3eef1f81f15fbe736c/rendering/16.obj", "2.44886064529")</f>
        <v>2.44886064529</v>
      </c>
      <c r="T1468" s="163" t="str">
        <f>HYPERLINK(AA2 &amp; "/knife/sn_e2cd287563f26e3eef1f81f15fbe736c/rendering/17.obj", "1.3063710928")</f>
        <v>1.3063710928</v>
      </c>
      <c r="U1468" s="23" t="str">
        <f>HYPERLINK(AA2 &amp; "/knife/sn_e2cd287563f26e3eef1f81f15fbe736c/rendering/18.obj", "2.23951053619")</f>
        <v>2.23951053619</v>
      </c>
      <c r="V1468" s="83" t="str">
        <f>HYPERLINK(AA2 &amp; "/knife/sn_e2cd287563f26e3eef1f81f15fbe736c/rendering/19.obj", "2.68316531181")</f>
        <v>2.68316531181</v>
      </c>
      <c r="W1468" s="12" t="s">
        <v>30</v>
      </c>
      <c r="X1468" s="13">
        <v>2.3306949257850649</v>
      </c>
      <c r="Y1468" s="13">
        <v>1.3211686334233399</v>
      </c>
      <c r="Z1468" s="197">
        <v>0.56685609892865785</v>
      </c>
    </row>
    <row r="1469" spans="1:26" x14ac:dyDescent="0.2">
      <c r="A1469" s="1">
        <v>1467</v>
      </c>
      <c r="B1469" s="2" t="s">
        <v>326</v>
      </c>
      <c r="C1469" s="30" t="str">
        <f>HYPERLINK(AB2 &amp; "/knife/sn_e2cd287563f26e3eef1f81f15fbe736c/rendering/00.obj", "3.22091674805")</f>
        <v>3.22091674805</v>
      </c>
      <c r="D1469" s="28" t="str">
        <f>HYPERLINK(AB2 &amp; "/knife/sn_e2cd287563f26e3eef1f81f15fbe736c/rendering/01.obj", "3.56456542969")</f>
        <v>3.56456542969</v>
      </c>
      <c r="E1469" s="135" t="str">
        <f>HYPERLINK(AB2 &amp; "/knife/sn_e2cd287563f26e3eef1f81f15fbe736c/rendering/02.obj", "2.39230209351")</f>
        <v>2.39230209351</v>
      </c>
      <c r="F1469" s="60" t="str">
        <f>HYPERLINK(AB2 &amp; "/knife/sn_e2cd287563f26e3eef1f81f15fbe736c/rendering/03.obj", "3.37330993652")</f>
        <v>3.37330993652</v>
      </c>
      <c r="G1469" s="48" t="str">
        <f>HYPERLINK(AB2 &amp; "/knife/sn_e2cd287563f26e3eef1f81f15fbe736c/rendering/04.obj", "3.2786517334")</f>
        <v>3.2786517334</v>
      </c>
      <c r="H1469" s="72" t="str">
        <f>HYPERLINK(AB2 &amp; "/knife/sn_e2cd287563f26e3eef1f81f15fbe736c/rendering/05.obj", "3.31077636719")</f>
        <v>3.31077636719</v>
      </c>
      <c r="I1469" s="83" t="str">
        <f>HYPERLINK(AB2 &amp; "/knife/sn_e2cd287563f26e3eef1f81f15fbe736c/rendering/06.obj", "2.71746276855")</f>
        <v>2.71746276855</v>
      </c>
      <c r="J1469" s="25" t="str">
        <f>HYPERLINK(AB2 &amp; "/knife/sn_e2cd287563f26e3eef1f81f15fbe736c/rendering/07.obj", "3.2420993042")</f>
        <v>3.2420993042</v>
      </c>
      <c r="K1469" s="70" t="str">
        <f>HYPERLINK(AB2 &amp; "/knife/sn_e2cd287563f26e3eef1f81f15fbe736c/rendering/08.obj", "3.6154699707")</f>
        <v>3.6154699707</v>
      </c>
      <c r="L1469" s="67" t="str">
        <f>HYPERLINK(AB2 &amp; "/knife/sn_e2cd287563f26e3eef1f81f15fbe736c/rendering/09.obj", "2.91382171631")</f>
        <v>2.91382171631</v>
      </c>
      <c r="M1469" s="91" t="str">
        <f>HYPERLINK(AB2 &amp; "/knife/sn_e2cd287563f26e3eef1f81f15fbe736c/rendering/10.obj", "3.29568634033")</f>
        <v>3.29568634033</v>
      </c>
      <c r="N1469" s="38" t="str">
        <f>HYPERLINK(AB2 &amp; "/knife/sn_e2cd287563f26e3eef1f81f15fbe736c/rendering/11.obj", "2.92286132813")</f>
        <v>2.92286132813</v>
      </c>
      <c r="O1469" s="32" t="str">
        <f>HYPERLINK(AB2 &amp; "/knife/sn_e2cd287563f26e3eef1f81f15fbe736c/rendering/12.obj", "3.5404876709")</f>
        <v>3.5404876709</v>
      </c>
      <c r="P1469" s="74" t="str">
        <f>HYPERLINK(AB2 &amp; "/knife/sn_e2cd287563f26e3eef1f81f15fbe736c/rendering/13.obj", "3.16681976318")</f>
        <v>3.16681976318</v>
      </c>
      <c r="Q1469" s="46" t="str">
        <f>HYPERLINK(AB2 &amp; "/knife/sn_e2cd287563f26e3eef1f81f15fbe736c/rendering/14.obj", "3.26411254883")</f>
        <v>3.26411254883</v>
      </c>
      <c r="R1469" s="32" t="str">
        <f>HYPERLINK(AB2 &amp; "/knife/sn_e2cd287563f26e3eef1f81f15fbe736c/rendering/15.obj", "3.54083618164")</f>
        <v>3.54083618164</v>
      </c>
      <c r="S1469" s="17" t="str">
        <f>HYPERLINK(AB2 &amp; "/knife/sn_e2cd287563f26e3eef1f81f15fbe736c/rendering/16.obj", "3.13737976074")</f>
        <v>3.13737976074</v>
      </c>
      <c r="T1469" s="47" t="str">
        <f>HYPERLINK(AB2 &amp; "/knife/sn_e2cd287563f26e3eef1f81f15fbe736c/rendering/17.obj", "3.2279083252")</f>
        <v>3.2279083252</v>
      </c>
      <c r="U1469" s="60" t="str">
        <f>HYPERLINK(AB2 &amp; "/knife/sn_e2cd287563f26e3eef1f81f15fbe736c/rendering/18.obj", "3.0417276001")</f>
        <v>3.0417276001</v>
      </c>
      <c r="V1469" s="10" t="str">
        <f>HYPERLINK(AB2 &amp; "/knife/sn_e2cd287563f26e3eef1f81f15fbe736c/rendering/19.obj", "3.38119934082")</f>
        <v>3.38119934082</v>
      </c>
      <c r="W1469" s="12" t="s">
        <v>31</v>
      </c>
      <c r="X1469" s="13">
        <v>3.207419746398926</v>
      </c>
      <c r="Y1469" s="13">
        <v>0.29224131590730651</v>
      </c>
      <c r="Z1469" s="67">
        <v>9.1114147512315863E-2</v>
      </c>
    </row>
    <row r="1470" spans="1:26" x14ac:dyDescent="0.2">
      <c r="A1470" s="1">
        <v>1468</v>
      </c>
      <c r="B1470" s="2" t="s">
        <v>326</v>
      </c>
      <c r="C1470" s="51" t="str">
        <f>HYPERLINK(AB2 &amp; "/knife/sn_e2cd287563f26e3eef1f81f15fbe736c/rendering/00.obj", "0.998075723648")</f>
        <v>0.998075723648</v>
      </c>
      <c r="D1470" s="82" t="str">
        <f>HYPERLINK(AB2 &amp; "/knife/sn_e2cd287563f26e3eef1f81f15fbe736c/rendering/01.obj", "1.30834496021")</f>
        <v>1.30834496021</v>
      </c>
      <c r="E1470" s="42" t="str">
        <f>HYPERLINK(AB2 &amp; "/knife/sn_e2cd287563f26e3eef1f81f15fbe736c/rendering/02.obj", "0.934547483921")</f>
        <v>0.934547483921</v>
      </c>
      <c r="F1470" s="194" t="str">
        <f>HYPERLINK(AB2 &amp; "/knife/sn_e2cd287563f26e3eef1f81f15fbe736c/rendering/03.obj", "1.76052320004")</f>
        <v>1.76052320004</v>
      </c>
      <c r="G1470" s="60" t="str">
        <f>HYPERLINK(AB2 &amp; "/knife/sn_e2cd287563f26e3eef1f81f15fbe736c/rendering/04.obj", "1.02798759937")</f>
        <v>1.02798759937</v>
      </c>
      <c r="H1470" s="39" t="str">
        <f>HYPERLINK(AB2 &amp; "/knife/sn_e2cd287563f26e3eef1f81f15fbe736c/rendering/05.obj", "0.98975777626")</f>
        <v>0.98975777626</v>
      </c>
      <c r="I1470" s="40" t="str">
        <f>HYPERLINK(AB2 &amp; "/knife/sn_e2cd287563f26e3eef1f81f15fbe736c/rendering/06.obj", "0.897696971893")</f>
        <v>0.897696971893</v>
      </c>
      <c r="J1470" s="35" t="str">
        <f>HYPERLINK(AB2 &amp; "/knife/sn_e2cd287563f26e3eef1f81f15fbe736c/rendering/07.obj", "1.02222645283")</f>
        <v>1.02222645283</v>
      </c>
      <c r="K1470" s="26" t="str">
        <f>HYPERLINK(AB2 &amp; "/knife/sn_e2cd287563f26e3eef1f81f15fbe736c/rendering/08.obj", "1.0150578022")</f>
        <v>1.0150578022</v>
      </c>
      <c r="L1470" s="64" t="str">
        <f>HYPERLINK(AB2 &amp; "/knife/sn_e2cd287563f26e3eef1f81f15fbe736c/rendering/09.obj", "0.905513226986")</f>
        <v>0.905513226986</v>
      </c>
      <c r="M1470" s="94" t="str">
        <f>HYPERLINK(AB2 &amp; "/knife/sn_e2cd287563f26e3eef1f81f15fbe736c/rendering/10.obj", "1.16259610653")</f>
        <v>1.16259610653</v>
      </c>
      <c r="N1470" s="29" t="str">
        <f>HYPERLINK(AB2 &amp; "/knife/sn_e2cd287563f26e3eef1f81f15fbe736c/rendering/11.obj", "1.22599482536")</f>
        <v>1.22599482536</v>
      </c>
      <c r="O1470" s="34" t="str">
        <f>HYPERLINK(AB2 &amp; "/knife/sn_e2cd287563f26e3eef1f81f15fbe736c/rendering/12.obj", "1.13558220863")</f>
        <v>1.13558220863</v>
      </c>
      <c r="P1470" s="94" t="str">
        <f>HYPERLINK(AB2 &amp; "/knife/sn_e2cd287563f26e3eef1f81f15fbe736c/rendering/13.obj", "1.00374388695")</f>
        <v>1.00374388695</v>
      </c>
      <c r="Q1470" s="37" t="str">
        <f>HYPERLINK(AB2 &amp; "/knife/sn_e2cd287563f26e3eef1f81f15fbe736c/rendering/14.obj", "0.895723879337")</f>
        <v>0.895723879337</v>
      </c>
      <c r="R1470" s="67" t="str">
        <f>HYPERLINK(AB2 &amp; "/knife/sn_e2cd287563f26e3eef1f81f15fbe736c/rendering/15.obj", "0.982540547848")</f>
        <v>0.982540547848</v>
      </c>
      <c r="S1470" s="81" t="str">
        <f>HYPERLINK(AB2 &amp; "/knife/sn_e2cd287563f26e3eef1f81f15fbe736c/rendering/16.obj", "1.31950557232")</f>
        <v>1.31950557232</v>
      </c>
      <c r="T1470" s="67" t="str">
        <f>HYPERLINK(AB2 &amp; "/knife/sn_e2cd287563f26e3eef1f81f15fbe736c/rendering/17.obj", "1.18488037586")</f>
        <v>1.18488037586</v>
      </c>
      <c r="U1470" s="76" t="str">
        <f>HYPERLINK(AB2 &amp; "/knife/sn_e2cd287563f26e3eef1f81f15fbe736c/rendering/18.obj", "0.884971857071")</f>
        <v>0.884971857071</v>
      </c>
      <c r="V1470" s="10" t="str">
        <f>HYPERLINK(AB2 &amp; "/knife/sn_e2cd287563f26e3eef1f81f15fbe736c/rendering/19.obj", "1.02467525005")</f>
        <v>1.02467525005</v>
      </c>
      <c r="W1470" s="12" t="s">
        <v>32</v>
      </c>
      <c r="X1470" s="13">
        <v>1.083997285366058</v>
      </c>
      <c r="Y1470" s="13">
        <v>0.20184679633517061</v>
      </c>
      <c r="Z1470" s="77">
        <v>0.18620599798550999</v>
      </c>
    </row>
    <row r="1471" spans="1:26" x14ac:dyDescent="0.2">
      <c r="A1471" s="1">
        <v>1469</v>
      </c>
      <c r="B1471" s="2" t="s">
        <v>326</v>
      </c>
      <c r="C1471" s="13" t="str">
        <f>HYPERLINK(AC2 &amp; "/knife/sn_e2cd287563f26e3eef1f81f15fbe736c/rendering/00.xyz", "0.0")</f>
        <v>0.0</v>
      </c>
      <c r="D1471" s="13" t="str">
        <f>HYPERLINK(AC2 &amp; "/knife/sn_e2cd287563f26e3eef1f81f15fbe736c/rendering/01.xyz", "0.0")</f>
        <v>0.0</v>
      </c>
      <c r="E1471" s="13" t="str">
        <f>HYPERLINK(AC2 &amp; "/knife/sn_e2cd287563f26e3eef1f81f15fbe736c/rendering/02.xyz", "0.0")</f>
        <v>0.0</v>
      </c>
      <c r="F1471" s="13" t="str">
        <f>HYPERLINK(AC2 &amp; "/knife/sn_e2cd287563f26e3eef1f81f15fbe736c/rendering/03.xyz", "0.0")</f>
        <v>0.0</v>
      </c>
      <c r="G1471" s="13" t="str">
        <f>HYPERLINK(AC2 &amp; "/knife/sn_e2cd287563f26e3eef1f81f15fbe736c/rendering/04.xyz", "0.0")</f>
        <v>0.0</v>
      </c>
      <c r="H1471" s="13" t="str">
        <f>HYPERLINK(AC2 &amp; "/knife/sn_e2cd287563f26e3eef1f81f15fbe736c/rendering/05.xyz", "0.0")</f>
        <v>0.0</v>
      </c>
      <c r="I1471" s="13" t="str">
        <f>HYPERLINK(AC2 &amp; "/knife/sn_e2cd287563f26e3eef1f81f15fbe736c/rendering/06.xyz", "0.0")</f>
        <v>0.0</v>
      </c>
      <c r="J1471" s="13" t="str">
        <f>HYPERLINK(AC2 &amp; "/knife/sn_e2cd287563f26e3eef1f81f15fbe736c/rendering/07.xyz", "0.0")</f>
        <v>0.0</v>
      </c>
      <c r="K1471" s="13" t="str">
        <f>HYPERLINK(AC2 &amp; "/knife/sn_e2cd287563f26e3eef1f81f15fbe736c/rendering/08.xyz", "0.0")</f>
        <v>0.0</v>
      </c>
      <c r="L1471" s="13" t="str">
        <f>HYPERLINK(AC2 &amp; "/knife/sn_e2cd287563f26e3eef1f81f15fbe736c/rendering/09.xyz", "0.0")</f>
        <v>0.0</v>
      </c>
      <c r="M1471" s="13" t="str">
        <f>HYPERLINK(AC2 &amp; "/knife/sn_e2cd287563f26e3eef1f81f15fbe736c/rendering/10.xyz", "0.0")</f>
        <v>0.0</v>
      </c>
      <c r="N1471" s="13" t="str">
        <f>HYPERLINK(AC2 &amp; "/knife/sn_e2cd287563f26e3eef1f81f15fbe736c/rendering/11.xyz", "0.0")</f>
        <v>0.0</v>
      </c>
      <c r="O1471" s="13" t="str">
        <f>HYPERLINK(AC2 &amp; "/knife/sn_e2cd287563f26e3eef1f81f15fbe736c/rendering/12.xyz", "0.0")</f>
        <v>0.0</v>
      </c>
      <c r="P1471" s="13" t="str">
        <f>HYPERLINK(AC2 &amp; "/knife/sn_e2cd287563f26e3eef1f81f15fbe736c/rendering/13.xyz", "0.0")</f>
        <v>0.0</v>
      </c>
      <c r="Q1471" s="13" t="str">
        <f>HYPERLINK(AC2 &amp; "/knife/sn_e2cd287563f26e3eef1f81f15fbe736c/rendering/14.xyz", "0.0")</f>
        <v>0.0</v>
      </c>
      <c r="R1471" s="13" t="str">
        <f>HYPERLINK(AC2 &amp; "/knife/sn_e2cd287563f26e3eef1f81f15fbe736c/rendering/15.xyz", "0.0")</f>
        <v>0.0</v>
      </c>
      <c r="S1471" s="13" t="str">
        <f>HYPERLINK(AC2 &amp; "/knife/sn_e2cd287563f26e3eef1f81f15fbe736c/rendering/16.xyz", "0.0")</f>
        <v>0.0</v>
      </c>
      <c r="T1471" s="13" t="str">
        <f>HYPERLINK(AC2 &amp; "/knife/sn_e2cd287563f26e3eef1f81f15fbe736c/rendering/17.xyz", "0.0")</f>
        <v>0.0</v>
      </c>
      <c r="U1471" s="13" t="str">
        <f>HYPERLINK(AC2 &amp; "/knife/sn_e2cd287563f26e3eef1f81f15fbe736c/rendering/18.xyz", "0.0")</f>
        <v>0.0</v>
      </c>
      <c r="V1471" s="13" t="str">
        <f>HYPERLINK(AC2 &amp; "/knife/sn_e2cd287563f26e3eef1f81f15fbe736c/rendering/19.xyz", "0.0")</f>
        <v>0.0</v>
      </c>
      <c r="W1471" s="12" t="s">
        <v>33</v>
      </c>
      <c r="X1471" s="13">
        <v>0</v>
      </c>
      <c r="Y1471" s="13">
        <v>0</v>
      </c>
      <c r="Z1471" s="13">
        <v>0</v>
      </c>
    </row>
    <row r="1472" spans="1:26" x14ac:dyDescent="0.2">
      <c r="A1472" s="1">
        <v>1470</v>
      </c>
      <c r="B1472" s="2" t="s">
        <v>327</v>
      </c>
      <c r="C1472" s="78" t="str">
        <f>HYPERLINK(AA2 &amp; "/knife/sn_e31978ce34a288461b22d29e47ec3f2/rendering/00.obj", "2.77455871582")</f>
        <v>2.77455871582</v>
      </c>
      <c r="D1472" s="5" t="str">
        <f>HYPERLINK(AA2 &amp; "/knife/sn_e31978ce34a288461b22d29e47ec3f2/rendering/01.obj", "2.72422210693")</f>
        <v>2.72422210693</v>
      </c>
      <c r="E1472" s="47" t="str">
        <f>HYPERLINK(AA2 &amp; "/knife/sn_e31978ce34a288461b22d29e47ec3f2/rendering/02.obj", "2.93273712158")</f>
        <v>2.93273712158</v>
      </c>
      <c r="F1472" s="46" t="str">
        <f>HYPERLINK(AA2 &amp; "/knife/sn_e31978ce34a288461b22d29e47ec3f2/rendering/03.obj", "3.00484558105")</f>
        <v>3.00484558105</v>
      </c>
      <c r="G1472" s="35" t="str">
        <f>HYPERLINK(AA2 &amp; "/knife/sn_e31978ce34a288461b22d29e47ec3f2/rendering/04.obj", "2.77702667236")</f>
        <v>2.77702667236</v>
      </c>
      <c r="H1472" s="107" t="str">
        <f>HYPERLINK(AA2 &amp; "/knife/sn_e31978ce34a288461b22d29e47ec3f2/rendering/05.obj", "2.7099395752")</f>
        <v>2.7099395752</v>
      </c>
      <c r="I1472" s="107" t="str">
        <f>HYPERLINK(AA2 &amp; "/knife/sn_e31978ce34a288461b22d29e47ec3f2/rendering/06.obj", "3.19366699219")</f>
        <v>3.19366699219</v>
      </c>
      <c r="J1472" s="120" t="str">
        <f>HYPERLINK(AA2 &amp; "/knife/sn_e31978ce34a288461b22d29e47ec3f2/rendering/07.obj", "3.57809875488")</f>
        <v>3.57809875488</v>
      </c>
      <c r="K1472" s="8" t="str">
        <f>HYPERLINK(AA2 &amp; "/knife/sn_e31978ce34a288461b22d29e47ec3f2/rendering/08.obj", "3.37759796143")</f>
        <v>3.37759796143</v>
      </c>
      <c r="L1472" s="25" t="str">
        <f>HYPERLINK(AA2 &amp; "/knife/sn_e31978ce34a288461b22d29e47ec3f2/rendering/09.obj", "2.98137023926")</f>
        <v>2.98137023926</v>
      </c>
      <c r="M1472" s="80" t="str">
        <f>HYPERLINK(AA2 &amp; "/knife/sn_e31978ce34a288461b22d29e47ec3f2/rendering/10.obj", "3.38833465576")</f>
        <v>3.38833465576</v>
      </c>
      <c r="N1472" s="29" t="str">
        <f>HYPERLINK(AA2 &amp; "/knife/sn_e31978ce34a288461b22d29e47ec3f2/rendering/11.obj", "2.56650512695")</f>
        <v>2.56650512695</v>
      </c>
      <c r="O1472" s="34" t="str">
        <f>HYPERLINK(AA2 &amp; "/knife/sn_e31978ce34a288461b22d29e47ec3f2/rendering/12.obj", "2.80544677734")</f>
        <v>2.80544677734</v>
      </c>
      <c r="P1472" s="65" t="str">
        <f>HYPERLINK(AA2 &amp; "/knife/sn_e31978ce34a288461b22d29e47ec3f2/rendering/13.obj", "2.56145172119")</f>
        <v>2.56145172119</v>
      </c>
      <c r="Q1472" s="106" t="str">
        <f>HYPERLINK(AA2 &amp; "/knife/sn_e31978ce34a288461b22d29e47ec3f2/rendering/14.obj", "2.61024902344")</f>
        <v>2.61024902344</v>
      </c>
      <c r="R1472" s="94" t="str">
        <f>HYPERLINK(AA2 &amp; "/knife/sn_e31978ce34a288461b22d29e47ec3f2/rendering/15.obj", "3.16652099609")</f>
        <v>3.16652099609</v>
      </c>
      <c r="S1472" s="75" t="str">
        <f>HYPERLINK(AA2 &amp; "/knife/sn_e31978ce34a288461b22d29e47ec3f2/rendering/16.obj", "3.60473052979")</f>
        <v>3.60473052979</v>
      </c>
      <c r="T1472" s="107" t="str">
        <f>HYPERLINK(AA2 &amp; "/knife/sn_e31978ce34a288461b22d29e47ec3f2/rendering/17.obj", "2.70928588867")</f>
        <v>2.70928588867</v>
      </c>
      <c r="U1472" s="78" t="str">
        <f>HYPERLINK(AA2 &amp; "/knife/sn_e31978ce34a288461b22d29e47ec3f2/rendering/18.obj", "2.77009277344")</f>
        <v>2.77009277344</v>
      </c>
      <c r="V1472" s="60" t="str">
        <f>HYPERLINK(AA2 &amp; "/knife/sn_e31978ce34a288461b22d29e47ec3f2/rendering/19.obj", "2.79803466797")</f>
        <v>2.79803466797</v>
      </c>
      <c r="W1472" s="12" t="s">
        <v>29</v>
      </c>
      <c r="X1472" s="13">
        <v>2.9517357940673832</v>
      </c>
      <c r="Y1472" s="13">
        <v>0.31825415164829463</v>
      </c>
      <c r="Z1472" s="33">
        <v>0.1078193218674738</v>
      </c>
    </row>
    <row r="1473" spans="1:26" x14ac:dyDescent="0.2">
      <c r="A1473" s="1">
        <v>1471</v>
      </c>
      <c r="B1473" s="2" t="s">
        <v>327</v>
      </c>
      <c r="C1473" s="26" t="str">
        <f>HYPERLINK(AA2 &amp; "/knife/sn_e31978ce34a288461b22d29e47ec3f2/rendering/00.obj", "1.58881986141")</f>
        <v>1.58881986141</v>
      </c>
      <c r="D1473" s="51" t="str">
        <f>HYPERLINK(AA2 &amp; "/knife/sn_e31978ce34a288461b22d29e47ec3f2/rendering/01.obj", "1.83476269245")</f>
        <v>1.83476269245</v>
      </c>
      <c r="E1473" s="25" t="str">
        <f>HYPERLINK(AA2 &amp; "/knife/sn_e31978ce34a288461b22d29e47ec3f2/rendering/02.obj", "1.71626508236")</f>
        <v>1.71626508236</v>
      </c>
      <c r="F1473" s="23" t="str">
        <f>HYPERLINK(AA2 &amp; "/knife/sn_e31978ce34a288461b22d29e47ec3f2/rendering/03.obj", "1.76567649841")</f>
        <v>1.76567649841</v>
      </c>
      <c r="G1473" s="72" t="str">
        <f>HYPERLINK(AA2 &amp; "/knife/sn_e31978ce34a288461b22d29e47ec3f2/rendering/04.obj", "1.75002264977")</f>
        <v>1.75002264977</v>
      </c>
      <c r="H1473" s="81" t="str">
        <f>HYPERLINK(AA2 &amp; "/knife/sn_e31978ce34a288461b22d29e47ec3f2/rendering/05.obj", "1.32852935791")</f>
        <v>1.32852935791</v>
      </c>
      <c r="I1473" s="27" t="str">
        <f>HYPERLINK(AA2 &amp; "/knife/sn_e31978ce34a288461b22d29e47ec3f2/rendering/06.obj", "1.57860708237")</f>
        <v>1.57860708237</v>
      </c>
      <c r="J1473" s="41" t="str">
        <f>HYPERLINK(AA2 &amp; "/knife/sn_e31978ce34a288461b22d29e47ec3f2/rendering/07.obj", "1.80906903744")</f>
        <v>1.80906903744</v>
      </c>
      <c r="K1473" s="75" t="str">
        <f>HYPERLINK(AA2 &amp; "/knife/sn_e31978ce34a288461b22d29e47ec3f2/rendering/08.obj", "2.07295060158")</f>
        <v>2.07295060158</v>
      </c>
      <c r="L1473" s="46" t="str">
        <f>HYPERLINK(AA2 &amp; "/knife/sn_e31978ce34a288461b22d29e47ec3f2/rendering/09.obj", "1.72700452805")</f>
        <v>1.72700452805</v>
      </c>
      <c r="M1473" s="68" t="str">
        <f>HYPERLINK(AA2 &amp; "/knife/sn_e31978ce34a288461b22d29e47ec3f2/rendering/10.obj", "1.76751959324")</f>
        <v>1.76751959324</v>
      </c>
      <c r="N1473" s="151" t="str">
        <f>HYPERLINK(AA2 &amp; "/knife/sn_e31978ce34a288461b22d29e47ec3f2/rendering/11.obj", "1.08586454391")</f>
        <v>1.08586454391</v>
      </c>
      <c r="O1473" s="170" t="str">
        <f>HYPERLINK(AA2 &amp; "/knife/sn_e31978ce34a288461b22d29e47ec3f2/rendering/12.obj", "1.26748740673")</f>
        <v>1.26748740673</v>
      </c>
      <c r="P1473" s="49" t="str">
        <f>HYPERLINK(AA2 &amp; "/knife/sn_e31978ce34a288461b22d29e47ec3f2/rendering/13.obj", "1.34443771839")</f>
        <v>1.34443771839</v>
      </c>
      <c r="Q1473" s="10" t="str">
        <f>HYPERLINK(AA2 &amp; "/knife/sn_e31978ce34a288461b22d29e47ec3f2/rendering/14.obj", "1.60132849216")</f>
        <v>1.60132849216</v>
      </c>
      <c r="R1473" s="5" t="str">
        <f>HYPERLINK(AA2 &amp; "/knife/sn_e31978ce34a288461b22d29e47ec3f2/rendering/15.obj", "1.8277105093")</f>
        <v>1.8277105093</v>
      </c>
      <c r="S1473" s="20" t="str">
        <f>HYPERLINK(AA2 &amp; "/knife/sn_e31978ce34a288461b22d29e47ec3f2/rendering/16.obj", "3.46560239792")</f>
        <v>3.46560239792</v>
      </c>
      <c r="T1473" s="63" t="str">
        <f>HYPERLINK(AA2 &amp; "/knife/sn_e31978ce34a288461b22d29e47ec3f2/rendering/17.obj", "1.49288022518")</f>
        <v>1.49288022518</v>
      </c>
      <c r="U1473" s="94" t="str">
        <f>HYPERLINK(AA2 &amp; "/knife/sn_e31978ce34a288461b22d29e47ec3f2/rendering/18.obj", "1.57398641109")</f>
        <v>1.57398641109</v>
      </c>
      <c r="V1473" s="36" t="str">
        <f>HYPERLINK(AA2 &amp; "/knife/sn_e31978ce34a288461b22d29e47ec3f2/rendering/19.obj", "1.33381271362")</f>
        <v>1.33381271362</v>
      </c>
      <c r="W1473" s="12" t="s">
        <v>30</v>
      </c>
      <c r="X1473" s="13">
        <v>1.6966168701648709</v>
      </c>
      <c r="Y1473" s="13">
        <v>0.46761626366993059</v>
      </c>
      <c r="Z1473" s="113">
        <v>0.27561688905314807</v>
      </c>
    </row>
    <row r="1474" spans="1:26" x14ac:dyDescent="0.2">
      <c r="A1474" s="1">
        <v>1472</v>
      </c>
      <c r="B1474" s="2" t="s">
        <v>327</v>
      </c>
      <c r="C1474" s="13" t="str">
        <f>HYPERLINK(AB2 &amp; "/knife/sn_e31978ce34a288461b22d29e47ec3f2/rendering/00.obj", "2.79394195557")</f>
        <v>2.79394195557</v>
      </c>
      <c r="D1474" s="68" t="str">
        <f>HYPERLINK(AB2 &amp; "/knife/sn_e31978ce34a288461b22d29e47ec3f2/rendering/01.obj", "2.67718505859")</f>
        <v>2.67718505859</v>
      </c>
      <c r="E1474" s="69" t="str">
        <f>HYPERLINK(AB2 &amp; "/knife/sn_e31978ce34a288461b22d29e47ec3f2/rendering/02.obj", "2.88256713867")</f>
        <v>2.88256713867</v>
      </c>
      <c r="F1474" s="17" t="str">
        <f>HYPERLINK(AB2 &amp; "/knife/sn_e31978ce34a288461b22d29e47ec3f2/rendering/03.obj", "2.85205322266")</f>
        <v>2.85205322266</v>
      </c>
      <c r="G1474" s="93" t="str">
        <f>HYPERLINK(AB2 &amp; "/knife/sn_e31978ce34a288461b22d29e47ec3f2/rendering/04.obj", "3.18419555664")</f>
        <v>3.18419555664</v>
      </c>
      <c r="H1474" s="51" t="str">
        <f>HYPERLINK(AB2 &amp; "/knife/sn_e31978ce34a288461b22d29e47ec3f2/rendering/05.obj", "2.57327636719")</f>
        <v>2.57327636719</v>
      </c>
      <c r="I1474" s="6" t="str">
        <f>HYPERLINK(AB2 &amp; "/knife/sn_e31978ce34a288461b22d29e47ec3f2/rendering/06.obj", "2.66480926514")</f>
        <v>2.66480926514</v>
      </c>
      <c r="J1474" s="110" t="str">
        <f>HYPERLINK(AB2 &amp; "/knife/sn_e31978ce34a288461b22d29e47ec3f2/rendering/07.obj", "3.06712219238")</f>
        <v>3.06712219238</v>
      </c>
      <c r="K1474" s="63" t="str">
        <f>HYPERLINK(AB2 &amp; "/knife/sn_e31978ce34a288461b22d29e47ec3f2/rendering/08.obj", "2.46010848999")</f>
        <v>2.46010848999</v>
      </c>
      <c r="L1474" s="120" t="str">
        <f>HYPERLINK(AB2 &amp; "/knife/sn_e31978ce34a288461b22d29e47ec3f2/rendering/09.obj", "2.20708633423")</f>
        <v>2.20708633423</v>
      </c>
      <c r="M1474" s="13" t="str">
        <f>HYPERLINK(AB2 &amp; "/knife/sn_e31978ce34a288461b22d29e47ec3f2/rendering/10.obj", "2.79509429932")</f>
        <v>2.79509429932</v>
      </c>
      <c r="N1474" s="51" t="str">
        <f>HYPERLINK(AB2 &amp; "/knife/sn_e31978ce34a288461b22d29e47ec3f2/rendering/11.obj", "2.57386749268")</f>
        <v>2.57386749268</v>
      </c>
      <c r="O1474" s="48" t="str">
        <f>HYPERLINK(AB2 &amp; "/knife/sn_e31978ce34a288461b22d29e47ec3f2/rendering/12.obj", "2.86523986816")</f>
        <v>2.86523986816</v>
      </c>
      <c r="P1474" s="93" t="str">
        <f>HYPERLINK(AB2 &amp; "/knife/sn_e31978ce34a288461b22d29e47ec3f2/rendering/13.obj", "2.40104141235")</f>
        <v>2.40104141235</v>
      </c>
      <c r="Q1474" s="74" t="str">
        <f>HYPERLINK(AB2 &amp; "/knife/sn_e31978ce34a288461b22d29e47ec3f2/rendering/14.obj", "2.75274749756")</f>
        <v>2.75274749756</v>
      </c>
      <c r="R1474" s="78" t="str">
        <f>HYPERLINK(AB2 &amp; "/knife/sn_e31978ce34a288461b22d29e47ec3f2/rendering/15.obj", "2.96984741211")</f>
        <v>2.96984741211</v>
      </c>
      <c r="S1474" s="69" t="str">
        <f>HYPERLINK(AB2 &amp; "/knife/sn_e31978ce34a288461b22d29e47ec3f2/rendering/16.obj", "2.71030944824")</f>
        <v>2.71030944824</v>
      </c>
      <c r="T1474" s="88" t="str">
        <f>HYPERLINK(AB2 &amp; "/knife/sn_e31978ce34a288461b22d29e47ec3f2/rendering/17.obj", "3.36034393311")</f>
        <v>3.36034393311</v>
      </c>
      <c r="U1474" s="87" t="str">
        <f>HYPERLINK(AB2 &amp; "/knife/sn_e31978ce34a288461b22d29e47ec3f2/rendering/18.obj", "3.42829223633")</f>
        <v>3.42829223633</v>
      </c>
      <c r="V1474" s="23" t="str">
        <f>HYPERLINK(AB2 &amp; "/knife/sn_e31978ce34a288461b22d29e47ec3f2/rendering/19.obj", "2.68585906982")</f>
        <v>2.68585906982</v>
      </c>
      <c r="W1474" s="12" t="s">
        <v>31</v>
      </c>
      <c r="X1474" s="13">
        <v>2.795249412536621</v>
      </c>
      <c r="Y1474" s="13">
        <v>0.29625861361498729</v>
      </c>
      <c r="Z1474" s="32">
        <v>0.10598646842971329</v>
      </c>
    </row>
    <row r="1475" spans="1:26" x14ac:dyDescent="0.2">
      <c r="A1475" s="1">
        <v>1473</v>
      </c>
      <c r="B1475" s="2" t="s">
        <v>327</v>
      </c>
      <c r="C1475" s="134" t="str">
        <f>HYPERLINK(AB2 &amp; "/knife/sn_e31978ce34a288461b22d29e47ec3f2/rendering/00.obj", "1.28903973103")</f>
        <v>1.28903973103</v>
      </c>
      <c r="D1475" s="55" t="str">
        <f>HYPERLINK(AB2 &amp; "/knife/sn_e31978ce34a288461b22d29e47ec3f2/rendering/01.obj", "1.26718211174")</f>
        <v>1.26718211174</v>
      </c>
      <c r="E1475" s="149" t="str">
        <f>HYPERLINK(AB2 &amp; "/knife/sn_e31978ce34a288461b22d29e47ec3f2/rendering/02.obj", "2.112667799")</f>
        <v>2.112667799</v>
      </c>
      <c r="F1475" s="14" t="str">
        <f>HYPERLINK(AB2 &amp; "/knife/sn_e31978ce34a288461b22d29e47ec3f2/rendering/03.obj", "2.02704453468")</f>
        <v>2.02704453468</v>
      </c>
      <c r="G1475" s="83" t="str">
        <f>HYPERLINK(AB2 &amp; "/knife/sn_e31978ce34a288461b22d29e47ec3f2/rendering/04.obj", "1.81105017662")</f>
        <v>1.81105017662</v>
      </c>
      <c r="H1475" s="34" t="str">
        <f>HYPERLINK(AB2 &amp; "/knife/sn_e31978ce34a288461b22d29e47ec3f2/rendering/05.obj", "1.49538064003")</f>
        <v>1.49538064003</v>
      </c>
      <c r="I1475" s="63" t="str">
        <f>HYPERLINK(AB2 &amp; "/knife/sn_e31978ce34a288461b22d29e47ec3f2/rendering/06.obj", "1.38296484947")</f>
        <v>1.38296484947</v>
      </c>
      <c r="J1475" s="44" t="str">
        <f>HYPERLINK(AB2 &amp; "/knife/sn_e31978ce34a288461b22d29e47ec3f2/rendering/07.obj", "1.26671648026")</f>
        <v>1.26671648026</v>
      </c>
      <c r="K1475" s="81" t="str">
        <f>HYPERLINK(AB2 &amp; "/knife/sn_e31978ce34a288461b22d29e47ec3f2/rendering/08.obj", "1.22884249687")</f>
        <v>1.22884249687</v>
      </c>
      <c r="L1475" s="75" t="str">
        <f>HYPERLINK(AB2 &amp; "/knife/sn_e31978ce34a288461b22d29e47ec3f2/rendering/09.obj", "1.22451519966")</f>
        <v>1.22451519966</v>
      </c>
      <c r="M1475" s="27" t="str">
        <f>HYPERLINK(AB2 &amp; "/knife/sn_e31978ce34a288461b22d29e47ec3f2/rendering/10.obj", "1.4616522789")</f>
        <v>1.4616522789</v>
      </c>
      <c r="N1475" s="134" t="str">
        <f>HYPERLINK(AB2 &amp; "/knife/sn_e31978ce34a288461b22d29e47ec3f2/rendering/11.obj", "1.29012322426")</f>
        <v>1.29012322426</v>
      </c>
      <c r="O1475" s="133" t="str">
        <f>HYPERLINK(AB2 &amp; "/knife/sn_e31978ce34a288461b22d29e47ec3f2/rendering/12.obj", "1.4137980938")</f>
        <v>1.4137980938</v>
      </c>
      <c r="P1475" s="51" t="str">
        <f>HYPERLINK(AB2 &amp; "/knife/sn_e31978ce34a288461b22d29e47ec3f2/rendering/13.obj", "1.44925677776")</f>
        <v>1.44925677776</v>
      </c>
      <c r="Q1475" s="31" t="str">
        <f>HYPERLINK(AB2 &amp; "/knife/sn_e31978ce34a288461b22d29e47ec3f2/rendering/14.obj", "1.81665897369")</f>
        <v>1.81665897369</v>
      </c>
      <c r="R1475" s="10" t="str">
        <f>HYPERLINK(AB2 &amp; "/knife/sn_e31978ce34a288461b22d29e47ec3f2/rendering/15.obj", "1.48762691021")</f>
        <v>1.48762691021</v>
      </c>
      <c r="S1475" s="39" t="str">
        <f>HYPERLINK(AB2 &amp; "/knife/sn_e31978ce34a288461b22d29e47ec3f2/rendering/16.obj", "1.71004915237")</f>
        <v>1.71004915237</v>
      </c>
      <c r="T1475" s="151" t="str">
        <f>HYPERLINK(AB2 &amp; "/knife/sn_e31978ce34a288461b22d29e47ec3f2/rendering/17.obj", "2.13968467712")</f>
        <v>2.13968467712</v>
      </c>
      <c r="U1475" s="168" t="str">
        <f>HYPERLINK(AB2 &amp; "/knife/sn_e31978ce34a288461b22d29e47ec3f2/rendering/18.obj", "2.07688570023")</f>
        <v>2.07688570023</v>
      </c>
      <c r="V1475" s="68" t="str">
        <f>HYPERLINK(AB2 &amp; "/knife/sn_e31978ce34a288461b22d29e47ec3f2/rendering/19.obj", "1.50809895992")</f>
        <v>1.50809895992</v>
      </c>
      <c r="W1475" s="12" t="s">
        <v>32</v>
      </c>
      <c r="X1475" s="13">
        <v>1.572961938381195</v>
      </c>
      <c r="Y1475" s="13">
        <v>0.30836810964976358</v>
      </c>
      <c r="Z1475" s="44">
        <v>0.19604295700067539</v>
      </c>
    </row>
    <row r="1476" spans="1:26" x14ac:dyDescent="0.2">
      <c r="A1476" s="1">
        <v>1474</v>
      </c>
      <c r="B1476" s="2" t="s">
        <v>327</v>
      </c>
      <c r="C1476" s="13" t="str">
        <f>HYPERLINK(AC2 &amp; "/knife/sn_e31978ce34a288461b22d29e47ec3f2/rendering/00.xyz", "0.0")</f>
        <v>0.0</v>
      </c>
      <c r="D1476" s="13" t="str">
        <f>HYPERLINK(AC2 &amp; "/knife/sn_e31978ce34a288461b22d29e47ec3f2/rendering/01.xyz", "0.0")</f>
        <v>0.0</v>
      </c>
      <c r="E1476" s="13" t="str">
        <f>HYPERLINK(AC2 &amp; "/knife/sn_e31978ce34a288461b22d29e47ec3f2/rendering/02.xyz", "0.0")</f>
        <v>0.0</v>
      </c>
      <c r="F1476" s="13" t="str">
        <f>HYPERLINK(AC2 &amp; "/knife/sn_e31978ce34a288461b22d29e47ec3f2/rendering/03.xyz", "0.0")</f>
        <v>0.0</v>
      </c>
      <c r="G1476" s="13" t="str">
        <f>HYPERLINK(AC2 &amp; "/knife/sn_e31978ce34a288461b22d29e47ec3f2/rendering/04.xyz", "0.0")</f>
        <v>0.0</v>
      </c>
      <c r="H1476" s="13" t="str">
        <f>HYPERLINK(AC2 &amp; "/knife/sn_e31978ce34a288461b22d29e47ec3f2/rendering/05.xyz", "0.0")</f>
        <v>0.0</v>
      </c>
      <c r="I1476" s="13" t="str">
        <f>HYPERLINK(AC2 &amp; "/knife/sn_e31978ce34a288461b22d29e47ec3f2/rendering/06.xyz", "0.0")</f>
        <v>0.0</v>
      </c>
      <c r="J1476" s="13" t="str">
        <f>HYPERLINK(AC2 &amp; "/knife/sn_e31978ce34a288461b22d29e47ec3f2/rendering/07.xyz", "0.0")</f>
        <v>0.0</v>
      </c>
      <c r="K1476" s="13" t="str">
        <f>HYPERLINK(AC2 &amp; "/knife/sn_e31978ce34a288461b22d29e47ec3f2/rendering/08.xyz", "0.0")</f>
        <v>0.0</v>
      </c>
      <c r="L1476" s="13" t="str">
        <f>HYPERLINK(AC2 &amp; "/knife/sn_e31978ce34a288461b22d29e47ec3f2/rendering/09.xyz", "0.0")</f>
        <v>0.0</v>
      </c>
      <c r="M1476" s="13" t="str">
        <f>HYPERLINK(AC2 &amp; "/knife/sn_e31978ce34a288461b22d29e47ec3f2/rendering/10.xyz", "0.0")</f>
        <v>0.0</v>
      </c>
      <c r="N1476" s="13" t="str">
        <f>HYPERLINK(AC2 &amp; "/knife/sn_e31978ce34a288461b22d29e47ec3f2/rendering/11.xyz", "0.0")</f>
        <v>0.0</v>
      </c>
      <c r="O1476" s="13" t="str">
        <f>HYPERLINK(AC2 &amp; "/knife/sn_e31978ce34a288461b22d29e47ec3f2/rendering/12.xyz", "0.0")</f>
        <v>0.0</v>
      </c>
      <c r="P1476" s="13" t="str">
        <f>HYPERLINK(AC2 &amp; "/knife/sn_e31978ce34a288461b22d29e47ec3f2/rendering/13.xyz", "0.0")</f>
        <v>0.0</v>
      </c>
      <c r="Q1476" s="13" t="str">
        <f>HYPERLINK(AC2 &amp; "/knife/sn_e31978ce34a288461b22d29e47ec3f2/rendering/14.xyz", "0.0")</f>
        <v>0.0</v>
      </c>
      <c r="R1476" s="13" t="str">
        <f>HYPERLINK(AC2 &amp; "/knife/sn_e31978ce34a288461b22d29e47ec3f2/rendering/15.xyz", "0.0")</f>
        <v>0.0</v>
      </c>
      <c r="S1476" s="13" t="str">
        <f>HYPERLINK(AC2 &amp; "/knife/sn_e31978ce34a288461b22d29e47ec3f2/rendering/16.xyz", "0.0")</f>
        <v>0.0</v>
      </c>
      <c r="T1476" s="13" t="str">
        <f>HYPERLINK(AC2 &amp; "/knife/sn_e31978ce34a288461b22d29e47ec3f2/rendering/17.xyz", "0.0")</f>
        <v>0.0</v>
      </c>
      <c r="U1476" s="13" t="str">
        <f>HYPERLINK(AC2 &amp; "/knife/sn_e31978ce34a288461b22d29e47ec3f2/rendering/18.xyz", "0.0")</f>
        <v>0.0</v>
      </c>
      <c r="V1476" s="13" t="str">
        <f>HYPERLINK(AC2 &amp; "/knife/sn_e31978ce34a288461b22d29e47ec3f2/rendering/19.xyz", "0.0")</f>
        <v>0.0</v>
      </c>
      <c r="W1476" s="12" t="s">
        <v>33</v>
      </c>
      <c r="X1476" s="13">
        <v>0</v>
      </c>
      <c r="Y1476" s="13">
        <v>0</v>
      </c>
      <c r="Z1476" s="13">
        <v>0</v>
      </c>
    </row>
    <row r="1477" spans="1:26" x14ac:dyDescent="0.2">
      <c r="A1477" s="1">
        <v>1475</v>
      </c>
      <c r="B1477" s="2" t="s">
        <v>328</v>
      </c>
      <c r="C1477" s="51" t="str">
        <f>HYPERLINK(AA2 &amp; "/knife/sn_e43c5d6241344913c40c6b891c4913bd/rendering/00.obj", "3.29612060547")</f>
        <v>3.29612060547</v>
      </c>
      <c r="D1477" s="84" t="str">
        <f>HYPERLINK(AA2 &amp; "/knife/sn_e43c5d6241344913c40c6b891c4913bd/rendering/01.obj", "2.61244567871")</f>
        <v>2.61244567871</v>
      </c>
      <c r="E1477" s="63" t="str">
        <f>HYPERLINK(AA2 &amp; "/knife/sn_e43c5d6241344913c40c6b891c4913bd/rendering/02.obj", "2.69068115234")</f>
        <v>2.69068115234</v>
      </c>
      <c r="F1477" s="33" t="str">
        <f>HYPERLINK(AA2 &amp; "/knife/sn_e43c5d6241344913c40c6b891c4913bd/rendering/03.obj", "2.72738677979")</f>
        <v>2.72738677979</v>
      </c>
      <c r="G1477" s="39" t="str">
        <f>HYPERLINK(AA2 &amp; "/knife/sn_e43c5d6241344913c40c6b891c4913bd/rendering/04.obj", "3.32267211914")</f>
        <v>3.32267211914</v>
      </c>
      <c r="H1477" s="69" t="str">
        <f>HYPERLINK(AA2 &amp; "/knife/sn_e43c5d6241344913c40c6b891c4913bd/rendering/05.obj", "2.9602835083")</f>
        <v>2.9602835083</v>
      </c>
      <c r="I1477" s="5" t="str">
        <f>HYPERLINK(AA2 &amp; "/knife/sn_e43c5d6241344913c40c6b891c4913bd/rendering/06.obj", "3.28780487061")</f>
        <v>3.28780487061</v>
      </c>
      <c r="J1477" s="40" t="str">
        <f>HYPERLINK(AA2 &amp; "/knife/sn_e43c5d6241344913c40c6b891c4913bd/rendering/07.obj", "3.57716766357")</f>
        <v>3.57716766357</v>
      </c>
      <c r="K1477" s="10" t="str">
        <f>HYPERLINK(AA2 &amp; "/knife/sn_e43c5d6241344913c40c6b891c4913bd/rendering/08.obj", "2.88845733643")</f>
        <v>2.88845733643</v>
      </c>
      <c r="L1477" s="74" t="str">
        <f>HYPERLINK(AA2 &amp; "/knife/sn_e43c5d6241344913c40c6b891c4913bd/rendering/09.obj", "3.00819824219")</f>
        <v>3.00819824219</v>
      </c>
      <c r="M1477" s="72" t="str">
        <f>HYPERLINK(AA2 &amp; "/knife/sn_e43c5d6241344913c40c6b891c4913bd/rendering/10.obj", "2.95902648926")</f>
        <v>2.95902648926</v>
      </c>
      <c r="N1477" s="17" t="str">
        <f>HYPERLINK(AA2 &amp; "/knife/sn_e43c5d6241344913c40c6b891c4913bd/rendering/11.obj", "2.99388061523")</f>
        <v>2.99388061523</v>
      </c>
      <c r="O1477" s="94" t="str">
        <f>HYPERLINK(AA2 &amp; "/knife/sn_e43c5d6241344913c40c6b891c4913bd/rendering/12.obj", "3.27617431641")</f>
        <v>3.27617431641</v>
      </c>
      <c r="P1477" s="48" t="str">
        <f>HYPERLINK(AA2 &amp; "/knife/sn_e43c5d6241344913c40c6b891c4913bd/rendering/13.obj", "2.98512359619")</f>
        <v>2.98512359619</v>
      </c>
      <c r="Q1477" s="72" t="str">
        <f>HYPERLINK(AA2 &amp; "/knife/sn_e43c5d6241344913c40c6b891c4913bd/rendering/14.obj", "2.95583953857")</f>
        <v>2.95583953857</v>
      </c>
      <c r="R1477" s="41" t="str">
        <f>HYPERLINK(AA2 &amp; "/knife/sn_e43c5d6241344913c40c6b891c4913bd/rendering/15.obj", "2.84646972656")</f>
        <v>2.84646972656</v>
      </c>
      <c r="S1477" s="7" t="str">
        <f>HYPERLINK(AA2 &amp; "/knife/sn_e43c5d6241344913c40c6b891c4913bd/rendering/16.obj", "3.90549041748")</f>
        <v>3.90549041748</v>
      </c>
      <c r="T1477" s="65" t="str">
        <f>HYPERLINK(AA2 &amp; "/knife/sn_e43c5d6241344913c40c6b891c4913bd/rendering/17.obj", "2.64351531982")</f>
        <v>2.64351531982</v>
      </c>
      <c r="U1477" s="46" t="str">
        <f>HYPERLINK(AA2 &amp; "/knife/sn_e43c5d6241344913c40c6b891c4913bd/rendering/18.obj", "3.11005310059")</f>
        <v>3.11005310059</v>
      </c>
      <c r="V1477" s="13" t="str">
        <f>HYPERLINK(AA2 &amp; "/knife/sn_e43c5d6241344913c40c6b891c4913bd/rendering/19.obj", "3.05788635254")</f>
        <v>3.05788635254</v>
      </c>
      <c r="W1477" s="12" t="s">
        <v>29</v>
      </c>
      <c r="X1477" s="13">
        <v>3.0552338714599609</v>
      </c>
      <c r="Y1477" s="13">
        <v>0.31202663066949049</v>
      </c>
      <c r="Z1477" s="133">
        <v>0.1021285583353352</v>
      </c>
    </row>
    <row r="1478" spans="1:26" x14ac:dyDescent="0.2">
      <c r="A1478" s="1">
        <v>1476</v>
      </c>
      <c r="B1478" s="2" t="s">
        <v>328</v>
      </c>
      <c r="C1478" s="109" t="str">
        <f>HYPERLINK(AA2 &amp; "/knife/sn_e43c5d6241344913c40c6b891c4913bd/rendering/00.obj", "2.10339951515")</f>
        <v>2.10339951515</v>
      </c>
      <c r="D1478" s="110" t="str">
        <f>HYPERLINK(AA2 &amp; "/knife/sn_e43c5d6241344913c40c6b891c4913bd/rendering/01.obj", "1.59588754177")</f>
        <v>1.59588754177</v>
      </c>
      <c r="E1478" s="11" t="str">
        <f>HYPERLINK(AA2 &amp; "/knife/sn_e43c5d6241344913c40c6b891c4913bd/rendering/02.obj", "1.37106287479")</f>
        <v>1.37106287479</v>
      </c>
      <c r="F1478" s="49" t="str">
        <f>HYPERLINK(AA2 &amp; "/knife/sn_e43c5d6241344913c40c6b891c4913bd/rendering/03.obj", "1.39898562431")</f>
        <v>1.39898562431</v>
      </c>
      <c r="G1478" s="89" t="str">
        <f>HYPERLINK(AA2 &amp; "/knife/sn_e43c5d6241344913c40c6b891c4913bd/rendering/04.obj", "2.22915387154")</f>
        <v>2.22915387154</v>
      </c>
      <c r="H1478" s="68" t="str">
        <f>HYPERLINK(AA2 &amp; "/knife/sn_e43c5d6241344913c40c6b891c4913bd/rendering/05.obj", "1.69685924053")</f>
        <v>1.69685924053</v>
      </c>
      <c r="I1478" s="29" t="str">
        <f>HYPERLINK(AA2 &amp; "/knife/sn_e43c5d6241344913c40c6b891c4913bd/rendering/06.obj", "1.53749990463")</f>
        <v>1.53749990463</v>
      </c>
      <c r="J1478" s="44" t="str">
        <f>HYPERLINK(AA2 &amp; "/knife/sn_e43c5d6241344913c40c6b891c4913bd/rendering/07.obj", "2.11749839783")</f>
        <v>2.11749839783</v>
      </c>
      <c r="K1478" s="48" t="str">
        <f>HYPERLINK(AA2 &amp; "/knife/sn_e43c5d6241344913c40c6b891c4913bd/rendering/08.obj", "1.72541677952")</f>
        <v>1.72541677952</v>
      </c>
      <c r="L1478" s="66" t="str">
        <f>HYPERLINK(AA2 &amp; "/knife/sn_e43c5d6241344913c40c6b891c4913bd/rendering/09.obj", "1.48507487774")</f>
        <v>1.48507487774</v>
      </c>
      <c r="M1478" s="5" t="str">
        <f>HYPERLINK(AA2 &amp; "/knife/sn_e43c5d6241344913c40c6b891c4913bd/rendering/10.obj", "1.6342331171")</f>
        <v>1.6342331171</v>
      </c>
      <c r="N1478" s="90" t="str">
        <f>HYPERLINK(AA2 &amp; "/knife/sn_e43c5d6241344913c40c6b891c4913bd/rendering/11.obj", "1.59930551052")</f>
        <v>1.59930551052</v>
      </c>
      <c r="O1478" s="23" t="str">
        <f>HYPERLINK(AA2 &amp; "/knife/sn_e43c5d6241344913c40c6b891c4913bd/rendering/12.obj", "1.83760786057")</f>
        <v>1.83760786057</v>
      </c>
      <c r="P1478" s="84" t="str">
        <f>HYPERLINK(AA2 &amp; "/knife/sn_e43c5d6241344913c40c6b891c4913bd/rendering/13.obj", "1.51285779476")</f>
        <v>1.51285779476</v>
      </c>
      <c r="Q1478" s="29" t="str">
        <f>HYPERLINK(AA2 &amp; "/knife/sn_e43c5d6241344913c40c6b891c4913bd/rendering/14.obj", "1.53991162777")</f>
        <v>1.53991162777</v>
      </c>
      <c r="R1478" s="6" t="str">
        <f>HYPERLINK(AA2 &amp; "/knife/sn_e43c5d6241344913c40c6b891c4913bd/rendering/15.obj", "1.68708384037")</f>
        <v>1.68708384037</v>
      </c>
      <c r="S1478" s="20" t="str">
        <f>HYPERLINK(AA2 &amp; "/knife/sn_e43c5d6241344913c40c6b891c4913bd/rendering/16.obj", "3.46960544586")</f>
        <v>3.46960544586</v>
      </c>
      <c r="T1478" s="119" t="str">
        <f>HYPERLINK(AA2 &amp; "/knife/sn_e43c5d6241344913c40c6b891c4913bd/rendering/17.obj", "1.30067324638")</f>
        <v>1.30067324638</v>
      </c>
      <c r="U1478" s="17" t="str">
        <f>HYPERLINK(AA2 &amp; "/knife/sn_e43c5d6241344913c40c6b891c4913bd/rendering/18.obj", "1.73208880424")</f>
        <v>1.73208880424</v>
      </c>
      <c r="V1478" s="69" t="str">
        <f>HYPERLINK(AA2 &amp; "/knife/sn_e43c5d6241344913c40c6b891c4913bd/rendering/19.obj", "1.821793437")</f>
        <v>1.821793437</v>
      </c>
      <c r="W1478" s="12" t="s">
        <v>30</v>
      </c>
      <c r="X1478" s="13">
        <v>1.7697999656200409</v>
      </c>
      <c r="Y1478" s="13">
        <v>0.45845116326383889</v>
      </c>
      <c r="Z1478" s="89">
        <v>0.25904123187346928</v>
      </c>
    </row>
    <row r="1479" spans="1:26" x14ac:dyDescent="0.2">
      <c r="A1479" s="1">
        <v>1477</v>
      </c>
      <c r="B1479" s="2" t="s">
        <v>328</v>
      </c>
      <c r="C1479" s="25" t="str">
        <f>HYPERLINK(AB2 &amp; "/knife/sn_e43c5d6241344913c40c6b891c4913bd/rendering/00.obj", "4.28565673828")</f>
        <v>4.28565673828</v>
      </c>
      <c r="D1479" s="30" t="str">
        <f>HYPERLINK(AB2 &amp; "/knife/sn_e43c5d6241344913c40c6b891c4913bd/rendering/01.obj", "4.30841918945")</f>
        <v>4.30841918945</v>
      </c>
      <c r="E1479" s="25" t="str">
        <f>HYPERLINK(AB2 &amp; "/knife/sn_e43c5d6241344913c40c6b891c4913bd/rendering/02.obj", "4.37752197266")</f>
        <v>4.37752197266</v>
      </c>
      <c r="F1479" s="47" t="str">
        <f>HYPERLINK(AB2 &amp; "/knife/sn_e43c5d6241344913c40c6b891c4913bd/rendering/03.obj", "4.29302368164")</f>
        <v>4.29302368164</v>
      </c>
      <c r="G1479" s="13" t="str">
        <f>HYPERLINK(AB2 &amp; "/knife/sn_e43c5d6241344913c40c6b891c4913bd/rendering/04.obj", "4.31865447998")</f>
        <v>4.31865447998</v>
      </c>
      <c r="H1479" s="17" t="str">
        <f>HYPERLINK(AB2 &amp; "/knife/sn_e43c5d6241344913c40c6b891c4913bd/rendering/05.obj", "4.23907836914")</f>
        <v>4.23907836914</v>
      </c>
      <c r="I1479" s="30" t="str">
        <f>HYPERLINK(AB2 &amp; "/knife/sn_e43c5d6241344913c40c6b891c4913bd/rendering/06.obj", "4.34824890137")</f>
        <v>4.34824890137</v>
      </c>
      <c r="J1479" s="46" t="str">
        <f>HYPERLINK(AB2 &amp; "/knife/sn_e43c5d6241344913c40c6b891c4913bd/rendering/07.obj", "4.40640197754")</f>
        <v>4.40640197754</v>
      </c>
      <c r="K1479" s="30" t="str">
        <f>HYPERLINK(AB2 &amp; "/knife/sn_e43c5d6241344913c40c6b891c4913bd/rendering/08.obj", "4.3564465332")</f>
        <v>4.3564465332</v>
      </c>
      <c r="L1479" s="91" t="str">
        <f>HYPERLINK(AB2 &amp; "/knife/sn_e43c5d6241344913c40c6b891c4913bd/rendering/09.obj", "4.21923400879")</f>
        <v>4.21923400879</v>
      </c>
      <c r="M1479" s="17" t="str">
        <f>HYPERLINK(AB2 &amp; "/knife/sn_e43c5d6241344913c40c6b891c4913bd/rendering/10.obj", "4.23690002441")</f>
        <v>4.23690002441</v>
      </c>
      <c r="N1479" s="48" t="str">
        <f>HYPERLINK(AB2 &amp; "/knife/sn_e43c5d6241344913c40c6b891c4913bd/rendering/11.obj", "4.43516662598")</f>
        <v>4.43516662598</v>
      </c>
      <c r="O1479" s="23" t="str">
        <f>HYPERLINK(AB2 &amp; "/knife/sn_e43c5d6241344913c40c6b891c4913bd/rendering/12.obj", "4.15368347168")</f>
        <v>4.15368347168</v>
      </c>
      <c r="P1479" s="91" t="str">
        <f>HYPERLINK(AB2 &amp; "/knife/sn_e43c5d6241344913c40c6b891c4913bd/rendering/13.obj", "4.44918334961")</f>
        <v>4.44918334961</v>
      </c>
      <c r="Q1479" s="6" t="str">
        <f>HYPERLINK(AB2 &amp; "/knife/sn_e43c5d6241344913c40c6b891c4913bd/rendering/14.obj", "4.52184143066")</f>
        <v>4.52184143066</v>
      </c>
      <c r="R1479" s="6" t="str">
        <f>HYPERLINK(AB2 &amp; "/knife/sn_e43c5d6241344913c40c6b891c4913bd/rendering/15.obj", "4.53346069336")</f>
        <v>4.53346069336</v>
      </c>
      <c r="S1479" s="17" t="str">
        <f>HYPERLINK(AB2 &amp; "/knife/sn_e43c5d6241344913c40c6b891c4913bd/rendering/16.obj", "4.41688232422")</f>
        <v>4.41688232422</v>
      </c>
      <c r="T1479" s="107" t="str">
        <f>HYPERLINK(AB2 &amp; "/knife/sn_e43c5d6241344913c40c6b891c4913bd/rendering/17.obj", "3.96873718262")</f>
        <v>3.96873718262</v>
      </c>
      <c r="U1479" s="48" t="str">
        <f>HYPERLINK(AB2 &amp; "/knife/sn_e43c5d6241344913c40c6b891c4913bd/rendering/18.obj", "4.42994750977")</f>
        <v>4.42994750977</v>
      </c>
      <c r="V1479" s="47" t="str">
        <f>HYPERLINK(AB2 &amp; "/knife/sn_e43c5d6241344913c40c6b891c4913bd/rendering/19.obj", "4.3022366333")</f>
        <v>4.3022366333</v>
      </c>
      <c r="W1479" s="12" t="s">
        <v>31</v>
      </c>
      <c r="X1479" s="13">
        <v>4.3300362548828124</v>
      </c>
      <c r="Y1479" s="13">
        <v>0.12759913026442801</v>
      </c>
      <c r="Z1479" s="69">
        <v>2.946837457089176E-2</v>
      </c>
    </row>
    <row r="1480" spans="1:26" x14ac:dyDescent="0.2">
      <c r="A1480" s="1">
        <v>1478</v>
      </c>
      <c r="B1480" s="2" t="s">
        <v>328</v>
      </c>
      <c r="C1480" s="47" t="str">
        <f>HYPERLINK(AB2 &amp; "/knife/sn_e43c5d6241344913c40c6b891c4913bd/rendering/00.obj", "1.85868990421")</f>
        <v>1.85868990421</v>
      </c>
      <c r="D1480" s="46" t="str">
        <f>HYPERLINK(AB2 &amp; "/knife/sn_e43c5d6241344913c40c6b891c4913bd/rendering/01.obj", "1.90404760838")</f>
        <v>1.90404760838</v>
      </c>
      <c r="E1480" s="60" t="str">
        <f>HYPERLINK(AB2 &amp; "/knife/sn_e43c5d6241344913c40c6b891c4913bd/rendering/02.obj", "1.96996688843")</f>
        <v>1.96996688843</v>
      </c>
      <c r="F1480" s="7" t="str">
        <f>HYPERLINK(AB2 &amp; "/knife/sn_e43c5d6241344913c40c6b891c4913bd/rendering/03.obj", "2.38797020912")</f>
        <v>2.38797020912</v>
      </c>
      <c r="G1480" s="110" t="str">
        <f>HYPERLINK(AB2 &amp; "/knife/sn_e43c5d6241344913c40c6b891c4913bd/rendering/04.obj", "1.68438601494")</f>
        <v>1.68438601494</v>
      </c>
      <c r="H1480" s="68" t="str">
        <f>HYPERLINK(AB2 &amp; "/knife/sn_e43c5d6241344913c40c6b891c4913bd/rendering/05.obj", "1.79420101643")</f>
        <v>1.79420101643</v>
      </c>
      <c r="I1480" s="37" t="str">
        <f>HYPERLINK(AB2 &amp; "/knife/sn_e43c5d6241344913c40c6b891c4913bd/rendering/06.obj", "1.54647350311")</f>
        <v>1.54647350311</v>
      </c>
      <c r="J1480" s="51" t="str">
        <f>HYPERLINK(AB2 &amp; "/knife/sn_e43c5d6241344913c40c6b891c4913bd/rendering/07.obj", "1.72408890724")</f>
        <v>1.72408890724</v>
      </c>
      <c r="K1480" s="29" t="str">
        <f>HYPERLINK(AB2 &amp; "/knife/sn_e43c5d6241344913c40c6b891c4913bd/rendering/08.obj", "1.62800598145")</f>
        <v>1.62800598145</v>
      </c>
      <c r="L1480" s="107" t="str">
        <f>HYPERLINK(AB2 &amp; "/knife/sn_e43c5d6241344913c40c6b891c4913bd/rendering/09.obj", "2.02926874161")</f>
        <v>2.02926874161</v>
      </c>
      <c r="M1480" s="23" t="str">
        <f>HYPERLINK(AB2 &amp; "/knife/sn_e43c5d6241344913c40c6b891c4913bd/rendering/10.obj", "1.80039060116")</f>
        <v>1.80039060116</v>
      </c>
      <c r="N1480" s="82" t="str">
        <f>HYPERLINK(AB2 &amp; "/knife/sn_e43c5d6241344913c40c6b891c4913bd/rendering/11.obj", "1.48935127258")</f>
        <v>1.48935127258</v>
      </c>
      <c r="O1480" s="65" t="str">
        <f>HYPERLINK(AB2 &amp; "/knife/sn_e43c5d6241344913c40c6b891c4913bd/rendering/12.obj", "1.62381863594")</f>
        <v>1.62381863594</v>
      </c>
      <c r="P1480" s="41" t="str">
        <f>HYPERLINK(AB2 &amp; "/knife/sn_e43c5d6241344913c40c6b891c4913bd/rendering/13.obj", "1.74599206448")</f>
        <v>1.74599206448</v>
      </c>
      <c r="Q1480" s="176" t="str">
        <f>HYPERLINK(AB2 &amp; "/knife/sn_e43c5d6241344913c40c6b891c4913bd/rendering/14.obj", "2.46898698807")</f>
        <v>2.46898698807</v>
      </c>
      <c r="R1480" s="80" t="str">
        <f>HYPERLINK(AB2 &amp; "/knife/sn_e43c5d6241344913c40c6b891c4913bd/rendering/15.obj", "1.59234035015")</f>
        <v>1.59234035015</v>
      </c>
      <c r="S1480" s="79" t="str">
        <f>HYPERLINK(AB2 &amp; "/knife/sn_e43c5d6241344913c40c6b891c4913bd/rendering/16.obj", "2.16511869431")</f>
        <v>2.16511869431</v>
      </c>
      <c r="T1480" s="80" t="str">
        <f>HYPERLINK(AB2 &amp; "/knife/sn_e43c5d6241344913c40c6b891c4913bd/rendering/17.obj", "1.59114766121")</f>
        <v>1.59114766121</v>
      </c>
      <c r="U1480" s="103" t="str">
        <f>HYPERLINK(AB2 &amp; "/knife/sn_e43c5d6241344913c40c6b891c4913bd/rendering/18.obj", "2.47938394547")</f>
        <v>2.47938394547</v>
      </c>
      <c r="V1480" s="73" t="str">
        <f>HYPERLINK(AB2 &amp; "/knife/sn_e43c5d6241344913c40c6b891c4913bd/rendering/19.obj", "1.93641114235")</f>
        <v>1.93641114235</v>
      </c>
      <c r="W1480" s="12" t="s">
        <v>32</v>
      </c>
      <c r="X1480" s="13">
        <v>1.871002006530762</v>
      </c>
      <c r="Y1480" s="13">
        <v>0.29426638102990638</v>
      </c>
      <c r="Z1480" s="79">
        <v>0.1572774267492846</v>
      </c>
    </row>
    <row r="1481" spans="1:26" x14ac:dyDescent="0.2">
      <c r="A1481" s="1">
        <v>1479</v>
      </c>
      <c r="B1481" s="2" t="s">
        <v>328</v>
      </c>
      <c r="C1481" s="13" t="str">
        <f>HYPERLINK(AC2 &amp; "/knife/sn_e43c5d6241344913c40c6b891c4913bd/rendering/00.xyz", "0.0")</f>
        <v>0.0</v>
      </c>
      <c r="D1481" s="13" t="str">
        <f>HYPERLINK(AC2 &amp; "/knife/sn_e43c5d6241344913c40c6b891c4913bd/rendering/01.xyz", "0.0")</f>
        <v>0.0</v>
      </c>
      <c r="E1481" s="13" t="str">
        <f>HYPERLINK(AC2 &amp; "/knife/sn_e43c5d6241344913c40c6b891c4913bd/rendering/02.xyz", "0.0")</f>
        <v>0.0</v>
      </c>
      <c r="F1481" s="13" t="str">
        <f>HYPERLINK(AC2 &amp; "/knife/sn_e43c5d6241344913c40c6b891c4913bd/rendering/03.xyz", "0.0")</f>
        <v>0.0</v>
      </c>
      <c r="G1481" s="13" t="str">
        <f>HYPERLINK(AC2 &amp; "/knife/sn_e43c5d6241344913c40c6b891c4913bd/rendering/04.xyz", "0.0")</f>
        <v>0.0</v>
      </c>
      <c r="H1481" s="13" t="str">
        <f>HYPERLINK(AC2 &amp; "/knife/sn_e43c5d6241344913c40c6b891c4913bd/rendering/05.xyz", "0.0")</f>
        <v>0.0</v>
      </c>
      <c r="I1481" s="13" t="str">
        <f>HYPERLINK(AC2 &amp; "/knife/sn_e43c5d6241344913c40c6b891c4913bd/rendering/06.xyz", "0.0")</f>
        <v>0.0</v>
      </c>
      <c r="J1481" s="13" t="str">
        <f>HYPERLINK(AC2 &amp; "/knife/sn_e43c5d6241344913c40c6b891c4913bd/rendering/07.xyz", "0.0")</f>
        <v>0.0</v>
      </c>
      <c r="K1481" s="13" t="str">
        <f>HYPERLINK(AC2 &amp; "/knife/sn_e43c5d6241344913c40c6b891c4913bd/rendering/08.xyz", "0.0")</f>
        <v>0.0</v>
      </c>
      <c r="L1481" s="13" t="str">
        <f>HYPERLINK(AC2 &amp; "/knife/sn_e43c5d6241344913c40c6b891c4913bd/rendering/09.xyz", "0.0")</f>
        <v>0.0</v>
      </c>
      <c r="M1481" s="13" t="str">
        <f>HYPERLINK(AC2 &amp; "/knife/sn_e43c5d6241344913c40c6b891c4913bd/rendering/10.xyz", "0.0")</f>
        <v>0.0</v>
      </c>
      <c r="N1481" s="13" t="str">
        <f>HYPERLINK(AC2 &amp; "/knife/sn_e43c5d6241344913c40c6b891c4913bd/rendering/11.xyz", "0.0")</f>
        <v>0.0</v>
      </c>
      <c r="O1481" s="13" t="str">
        <f>HYPERLINK(AC2 &amp; "/knife/sn_e43c5d6241344913c40c6b891c4913bd/rendering/12.xyz", "0.0")</f>
        <v>0.0</v>
      </c>
      <c r="P1481" s="13" t="str">
        <f>HYPERLINK(AC2 &amp; "/knife/sn_e43c5d6241344913c40c6b891c4913bd/rendering/13.xyz", "0.0")</f>
        <v>0.0</v>
      </c>
      <c r="Q1481" s="13" t="str">
        <f>HYPERLINK(AC2 &amp; "/knife/sn_e43c5d6241344913c40c6b891c4913bd/rendering/14.xyz", "0.0")</f>
        <v>0.0</v>
      </c>
      <c r="R1481" s="13" t="str">
        <f>HYPERLINK(AC2 &amp; "/knife/sn_e43c5d6241344913c40c6b891c4913bd/rendering/15.xyz", "0.0")</f>
        <v>0.0</v>
      </c>
      <c r="S1481" s="13" t="str">
        <f>HYPERLINK(AC2 &amp; "/knife/sn_e43c5d6241344913c40c6b891c4913bd/rendering/16.xyz", "0.0")</f>
        <v>0.0</v>
      </c>
      <c r="T1481" s="13" t="str">
        <f>HYPERLINK(AC2 &amp; "/knife/sn_e43c5d6241344913c40c6b891c4913bd/rendering/17.xyz", "0.0")</f>
        <v>0.0</v>
      </c>
      <c r="U1481" s="13" t="str">
        <f>HYPERLINK(AC2 &amp; "/knife/sn_e43c5d6241344913c40c6b891c4913bd/rendering/18.xyz", "0.0")</f>
        <v>0.0</v>
      </c>
      <c r="V1481" s="13" t="str">
        <f>HYPERLINK(AC2 &amp; "/knife/sn_e43c5d6241344913c40c6b891c4913bd/rendering/19.xyz", "0.0")</f>
        <v>0.0</v>
      </c>
      <c r="W1481" s="12" t="s">
        <v>33</v>
      </c>
      <c r="X1481" s="13">
        <v>0</v>
      </c>
      <c r="Y1481" s="13">
        <v>0</v>
      </c>
      <c r="Z1481" s="13">
        <v>0</v>
      </c>
    </row>
    <row r="1482" spans="1:26" x14ac:dyDescent="0.2">
      <c r="A1482" s="1">
        <v>1480</v>
      </c>
      <c r="B1482" s="2" t="s">
        <v>329</v>
      </c>
      <c r="C1482" s="221" t="str">
        <f>HYPERLINK(AA2 &amp; "/knife/sn_e4f610f36ba3c6f69246ea0301684d80/rendering/00.obj", "6.13872314453")</f>
        <v>6.13872314453</v>
      </c>
      <c r="D1482" s="157" t="str">
        <f>HYPERLINK(AA2 &amp; "/knife/sn_e4f610f36ba3c6f69246ea0301684d80/rendering/01.obj", "19.5455493164")</f>
        <v>19.5455493164</v>
      </c>
      <c r="E1482" s="185" t="str">
        <f>HYPERLINK(AA2 &amp; "/knife/sn_e4f610f36ba3c6f69246ea0301684d80/rendering/02.obj", "9.11626708984")</f>
        <v>9.11626708984</v>
      </c>
      <c r="F1482" s="19" t="str">
        <f>HYPERLINK(AA2 &amp; "/knife/sn_e4f610f36ba3c6f69246ea0301684d80/rendering/03.obj", "10.1881799316")</f>
        <v>10.1881799316</v>
      </c>
      <c r="G1482" s="161" t="str">
        <f>HYPERLINK(AA2 &amp; "/knife/sn_e4f610f36ba3c6f69246ea0301684d80/rendering/04.obj", "21.8886035156")</f>
        <v>21.8886035156</v>
      </c>
      <c r="H1482" s="161" t="str">
        <f>HYPERLINK(AA2 &amp; "/knife/sn_e4f610f36ba3c6f69246ea0301684d80/rendering/05.obj", "5.74533569336")</f>
        <v>5.74533569336</v>
      </c>
      <c r="I1482" s="86" t="str">
        <f>HYPERLINK(AA2 &amp; "/knife/sn_e4f610f36ba3c6f69246ea0301684d80/rendering/06.obj", "17.527833252")</f>
        <v>17.527833252</v>
      </c>
      <c r="J1482" s="92" t="str">
        <f>HYPERLINK(AA2 &amp; "/knife/sn_e4f610f36ba3c6f69246ea0301684d80/rendering/07.obj", "12.0908288574")</f>
        <v>12.0908288574</v>
      </c>
      <c r="K1482" s="239" t="str">
        <f>HYPERLINK(AA2 &amp; "/knife/sn_e4f610f36ba3c6f69246ea0301684d80/rendering/08.obj", "5.42286315918")</f>
        <v>5.42286315918</v>
      </c>
      <c r="L1482" s="225" t="str">
        <f>HYPERLINK(AA2 &amp; "/knife/sn_e4f610f36ba3c6f69246ea0301684d80/rendering/09.obj", "21.6991552734")</f>
        <v>21.6991552734</v>
      </c>
      <c r="M1482" s="20" t="str">
        <f>HYPERLINK(AA2 &amp; "/knife/sn_e4f610f36ba3c6f69246ea0301684d80/rendering/10.obj", "30.2928808594")</f>
        <v>30.2928808594</v>
      </c>
      <c r="N1482" s="134" t="str">
        <f>HYPERLINK(AA2 &amp; "/knife/sn_e4f610f36ba3c6f69246ea0301684d80/rendering/11.obj", "11.3032617188")</f>
        <v>11.3032617188</v>
      </c>
      <c r="O1482" s="38" t="str">
        <f>HYPERLINK(AA2 &amp; "/knife/sn_e4f610f36ba3c6f69246ea0301684d80/rendering/12.obj", "15.0315405273")</f>
        <v>15.0315405273</v>
      </c>
      <c r="P1482" s="28" t="str">
        <f>HYPERLINK(AA2 &amp; "/knife/sn_e4f610f36ba3c6f69246ea0301684d80/rendering/13.obj", "15.3397790527")</f>
        <v>15.3397790527</v>
      </c>
      <c r="Q1482" s="106" t="str">
        <f>HYPERLINK(AA2 &amp; "/knife/sn_e4f610f36ba3c6f69246ea0301684d80/rendering/14.obj", "15.3856347656")</f>
        <v>15.3856347656</v>
      </c>
      <c r="R1482" s="258" t="str">
        <f>HYPERLINK(AA2 &amp; "/knife/sn_e4f610f36ba3c6f69246ea0301684d80/rendering/15.obj", "24.3064697266")</f>
        <v>24.3064697266</v>
      </c>
      <c r="S1482" s="189" t="str">
        <f>HYPERLINK(AA2 &amp; "/knife/sn_e4f610f36ba3c6f69246ea0301684d80/rendering/16.obj", "5.18892089844")</f>
        <v>5.18892089844</v>
      </c>
      <c r="T1482" s="189" t="str">
        <f>HYPERLINK(AA2 &amp; "/knife/sn_e4f610f36ba3c6f69246ea0301684d80/rendering/17.obj", "5.1474609375")</f>
        <v>5.1474609375</v>
      </c>
      <c r="U1482" s="66" t="str">
        <f>HYPERLINK(AA2 &amp; "/knife/sn_e4f610f36ba3c6f69246ea0301684d80/rendering/18.obj", "11.570480957")</f>
        <v>11.570480957</v>
      </c>
      <c r="V1482" s="69" t="str">
        <f>HYPERLINK(AA2 &amp; "/knife/sn_e4f610f36ba3c6f69246ea0301684d80/rendering/19.obj", "13.3995263672")</f>
        <v>13.3995263672</v>
      </c>
      <c r="W1482" s="12" t="s">
        <v>29</v>
      </c>
      <c r="X1482" s="13">
        <v>13.81646475219727</v>
      </c>
      <c r="Y1482" s="13">
        <v>6.9121729904885258</v>
      </c>
      <c r="Z1482" s="126">
        <v>0.50028521148213878</v>
      </c>
    </row>
    <row r="1483" spans="1:26" x14ac:dyDescent="0.2">
      <c r="A1483" s="1">
        <v>1481</v>
      </c>
      <c r="B1483" s="2" t="s">
        <v>329</v>
      </c>
      <c r="C1483" s="20" t="str">
        <f>HYPERLINK(AA2 &amp; "/knife/sn_e4f610f36ba3c6f69246ea0301684d80/rendering/00.obj", "2.89541506767")</f>
        <v>2.89541506767</v>
      </c>
      <c r="D1483" s="72" t="str">
        <f>HYPERLINK(AA2 &amp; "/knife/sn_e4f610f36ba3c6f69246ea0301684d80/rendering/01.obj", "58.4306335449")</f>
        <v>58.4306335449</v>
      </c>
      <c r="E1483" s="210" t="str">
        <f>HYPERLINK(AA2 &amp; "/knife/sn_e4f610f36ba3c6f69246ea0301684d80/rendering/02.obj", "13.8307418823")</f>
        <v>13.8307418823</v>
      </c>
      <c r="F1483" s="241" t="str">
        <f>HYPERLINK(AA2 &amp; "/knife/sn_e4f610f36ba3c6f69246ea0301684d80/rendering/03.obj", "21.6344871521")</f>
        <v>21.6344871521</v>
      </c>
      <c r="G1483" s="20" t="str">
        <f>HYPERLINK(AA2 &amp; "/knife/sn_e4f610f36ba3c6f69246ea0301684d80/rendering/04.obj", "184.974655151")</f>
        <v>184.974655151</v>
      </c>
      <c r="H1483" s="20" t="str">
        <f>HYPERLINK(AA2 &amp; "/knife/sn_e4f610f36ba3c6f69246ea0301684d80/rendering/05.obj", "2.06145000458")</f>
        <v>2.06145000458</v>
      </c>
      <c r="I1483" s="242" t="str">
        <f>HYPERLINK(AA2 &amp; "/knife/sn_e4f610f36ba3c6f69246ea0301684d80/rendering/06.obj", "104.822746277")</f>
        <v>104.822746277</v>
      </c>
      <c r="J1483" s="256" t="str">
        <f>HYPERLINK(AA2 &amp; "/knife/sn_e4f610f36ba3c6f69246ea0301684d80/rendering/07.obj", "23.0969982147")</f>
        <v>23.0969982147</v>
      </c>
      <c r="K1483" s="20" t="str">
        <f>HYPERLINK(AA2 &amp; "/knife/sn_e4f610f36ba3c6f69246ea0301684d80/rendering/08.obj", "4.05913829803")</f>
        <v>4.05913829803</v>
      </c>
      <c r="L1483" s="20" t="str">
        <f>HYPERLINK(AA2 &amp; "/knife/sn_e4f610f36ba3c6f69246ea0301684d80/rendering/09.obj", "201.999435425")</f>
        <v>201.999435425</v>
      </c>
      <c r="M1483" s="20" t="str">
        <f>HYPERLINK(AA2 &amp; "/knife/sn_e4f610f36ba3c6f69246ea0301684d80/rendering/10.obj", "139.427734375")</f>
        <v>139.427734375</v>
      </c>
      <c r="N1483" s="115" t="str">
        <f>HYPERLINK(AA2 &amp; "/knife/sn_e4f610f36ba3c6f69246ea0301684d80/rendering/11.obj", "21.8434886932")</f>
        <v>21.8434886932</v>
      </c>
      <c r="O1483" s="68" t="str">
        <f>HYPERLINK(AA2 &amp; "/knife/sn_e4f610f36ba3c6f69246ea0301684d80/rendering/12.obj", "62.9839172363")</f>
        <v>62.9839172363</v>
      </c>
      <c r="P1483" s="71" t="str">
        <f>HYPERLINK(AA2 &amp; "/knife/sn_e4f610f36ba3c6f69246ea0301684d80/rendering/13.obj", "67.6696395874")</f>
        <v>67.6696395874</v>
      </c>
      <c r="Q1483" s="58" t="str">
        <f>HYPERLINK(AA2 &amp; "/knife/sn_e4f610f36ba3c6f69246ea0301684d80/rendering/14.obj", "75.2181472778")</f>
        <v>75.2181472778</v>
      </c>
      <c r="R1483" s="20" t="str">
        <f>HYPERLINK(AA2 &amp; "/knife/sn_e4f610f36ba3c6f69246ea0301684d80/rendering/15.obj", "173.846984863")</f>
        <v>173.846984863</v>
      </c>
      <c r="S1483" s="20" t="str">
        <f>HYPERLINK(AA2 &amp; "/knife/sn_e4f610f36ba3c6f69246ea0301684d80/rendering/16.obj", "2.53686857224")</f>
        <v>2.53686857224</v>
      </c>
      <c r="T1483" s="20" t="str">
        <f>HYPERLINK(AA2 &amp; "/knife/sn_e4f610f36ba3c6f69246ea0301684d80/rendering/17.obj", "1.74135649204")</f>
        <v>1.74135649204</v>
      </c>
      <c r="U1483" s="238" t="str">
        <f>HYPERLINK(AA2 &amp; "/knife/sn_e4f610f36ba3c6f69246ea0301684d80/rendering/18.obj", "17.9616203308")</f>
        <v>17.9616203308</v>
      </c>
      <c r="V1483" s="22" t="str">
        <f>HYPERLINK(AA2 &amp; "/knife/sn_e4f610f36ba3c6f69246ea0301684d80/rendering/19.obj", "28.9659805298")</f>
        <v>28.9659805298</v>
      </c>
      <c r="W1483" s="12" t="s">
        <v>30</v>
      </c>
      <c r="X1483" s="13">
        <v>60.50007194876671</v>
      </c>
      <c r="Y1483" s="13">
        <v>64.402303551533507</v>
      </c>
      <c r="Z1483" s="20">
        <v>1.0644996192082441</v>
      </c>
    </row>
    <row r="1484" spans="1:26" x14ac:dyDescent="0.2">
      <c r="A1484" s="1">
        <v>1482</v>
      </c>
      <c r="B1484" s="2" t="s">
        <v>329</v>
      </c>
      <c r="C1484" s="34" t="str">
        <f>HYPERLINK(AB2 &amp; "/knife/sn_e4f610f36ba3c6f69246ea0301684d80/rendering/00.obj", "4.98496795654")</f>
        <v>4.98496795654</v>
      </c>
      <c r="D1484" s="94" t="str">
        <f>HYPERLINK(AB2 &amp; "/knife/sn_e4f610f36ba3c6f69246ea0301684d80/rendering/01.obj", "5.10134521484")</f>
        <v>5.10134521484</v>
      </c>
      <c r="E1484" s="78" t="str">
        <f>HYPERLINK(AB2 &amp; "/knife/sn_e4f610f36ba3c6f69246ea0301684d80/rendering/02.obj", "4.46931182861")</f>
        <v>4.46931182861</v>
      </c>
      <c r="F1484" s="90" t="str">
        <f>HYPERLINK(AB2 &amp; "/knife/sn_e4f610f36ba3c6f69246ea0301684d80/rendering/03.obj", "4.30286712646")</f>
        <v>4.30286712646</v>
      </c>
      <c r="G1484" s="94" t="str">
        <f>HYPERLINK(AB2 &amp; "/knife/sn_e4f610f36ba3c6f69246ea0301684d80/rendering/04.obj", "4.39991943359")</f>
        <v>4.39991943359</v>
      </c>
      <c r="H1484" s="10" t="str">
        <f>HYPERLINK(AB2 &amp; "/knife/sn_e4f610f36ba3c6f69246ea0301684d80/rendering/05.obj", "5.01564025879")</f>
        <v>5.01564025879</v>
      </c>
      <c r="I1484" s="23" t="str">
        <f>HYPERLINK(AB2 &amp; "/knife/sn_e4f610f36ba3c6f69246ea0301684d80/rendering/06.obj", "4.5768371582")</f>
        <v>4.5768371582</v>
      </c>
      <c r="J1484" s="17" t="str">
        <f>HYPERLINK(AB2 &amp; "/knife/sn_e4f610f36ba3c6f69246ea0301684d80/rendering/07.obj", "4.65532562256")</f>
        <v>4.65532562256</v>
      </c>
      <c r="K1484" s="84" t="str">
        <f>HYPERLINK(AB2 &amp; "/knife/sn_e4f610f36ba3c6f69246ea0301684d80/rendering/08.obj", "4.06245697021")</f>
        <v>4.06245697021</v>
      </c>
      <c r="L1484" s="23" t="str">
        <f>HYPERLINK(AB2 &amp; "/knife/sn_e4f610f36ba3c6f69246ea0301684d80/rendering/09.obj", "4.94964233398")</f>
        <v>4.94964233398</v>
      </c>
      <c r="M1484" s="168" t="str">
        <f>HYPERLINK(AB2 &amp; "/knife/sn_e4f610f36ba3c6f69246ea0301684d80/rendering/10.obj", "6.29391235352")</f>
        <v>6.29391235352</v>
      </c>
      <c r="N1484" s="26" t="str">
        <f>HYPERLINK(AB2 &amp; "/knife/sn_e4f610f36ba3c6f69246ea0301684d80/rendering/11.obj", "4.4582901001")</f>
        <v>4.4582901001</v>
      </c>
      <c r="O1484" s="91" t="str">
        <f>HYPERLINK(AB2 &amp; "/knife/sn_e4f610f36ba3c6f69246ea0301684d80/rendering/12.obj", "4.63429321289")</f>
        <v>4.63429321289</v>
      </c>
      <c r="P1484" s="94" t="str">
        <f>HYPERLINK(AB2 &amp; "/knife/sn_e4f610f36ba3c6f69246ea0301684d80/rendering/13.obj", "4.40621887207")</f>
        <v>4.40621887207</v>
      </c>
      <c r="Q1484" s="41" t="str">
        <f>HYPERLINK(AB2 &amp; "/knife/sn_e4f610f36ba3c6f69246ea0301684d80/rendering/14.obj", "4.43729797363")</f>
        <v>4.43729797363</v>
      </c>
      <c r="R1484" s="23" t="str">
        <f>HYPERLINK(AB2 &amp; "/knife/sn_e4f610f36ba3c6f69246ea0301684d80/rendering/15.obj", "4.93976196289")</f>
        <v>4.93976196289</v>
      </c>
      <c r="S1484" s="32" t="str">
        <f>HYPERLINK(AB2 &amp; "/knife/sn_e4f610f36ba3c6f69246ea0301684d80/rendering/16.obj", "5.25242126465")</f>
        <v>5.25242126465</v>
      </c>
      <c r="T1484" s="65" t="str">
        <f>HYPERLINK(AB2 &amp; "/knife/sn_e4f610f36ba3c6f69246ea0301684d80/rendering/17.obj", "4.11787261963")</f>
        <v>4.11787261963</v>
      </c>
      <c r="U1484" s="51" t="str">
        <f>HYPERLINK(AB2 &amp; "/knife/sn_e4f610f36ba3c6f69246ea0301684d80/rendering/18.obj", "5.13244262695")</f>
        <v>5.13244262695</v>
      </c>
      <c r="V1484" s="23" t="str">
        <f>HYPERLINK(AB2 &amp; "/knife/sn_e4f610f36ba3c6f69246ea0301684d80/rendering/19.obj", "4.94846008301")</f>
        <v>4.94846008301</v>
      </c>
      <c r="W1484" s="12" t="s">
        <v>31</v>
      </c>
      <c r="X1484" s="13">
        <v>4.7569642486572263</v>
      </c>
      <c r="Y1484" s="13">
        <v>0.48850925802458822</v>
      </c>
      <c r="Z1484" s="133">
        <v>0.1026934894796576</v>
      </c>
    </row>
    <row r="1485" spans="1:26" x14ac:dyDescent="0.2">
      <c r="A1485" s="1">
        <v>1483</v>
      </c>
      <c r="B1485" s="2" t="s">
        <v>329</v>
      </c>
      <c r="C1485" s="106" t="str">
        <f>HYPERLINK(AB2 &amp; "/knife/sn_e4f610f36ba3c6f69246ea0301684d80/rendering/00.obj", "1.09611809254")</f>
        <v>1.09611809254</v>
      </c>
      <c r="D1485" s="80" t="str">
        <f>HYPERLINK(AB2 &amp; "/knife/sn_e4f610f36ba3c6f69246ea0301684d80/rendering/01.obj", "1.42091858387")</f>
        <v>1.42091858387</v>
      </c>
      <c r="E1485" s="69" t="str">
        <f>HYPERLINK(AB2 &amp; "/knife/sn_e4f610f36ba3c6f69246ea0301684d80/rendering/02.obj", "1.27219557762")</f>
        <v>1.27219557762</v>
      </c>
      <c r="F1485" s="51" t="str">
        <f>HYPERLINK(AB2 &amp; "/knife/sn_e4f610f36ba3c6f69246ea0301684d80/rendering/03.obj", "1.1371114254")</f>
        <v>1.1371114254</v>
      </c>
      <c r="G1485" s="82" t="str">
        <f>HYPERLINK(AB2 &amp; "/knife/sn_e4f610f36ba3c6f69246ea0301684d80/rendering/04.obj", "0.9831148386")</f>
        <v>0.9831148386</v>
      </c>
      <c r="H1485" s="40" t="str">
        <f>HYPERLINK(AB2 &amp; "/knife/sn_e4f610f36ba3c6f69246ea0301684d80/rendering/05.obj", "1.02429461479")</f>
        <v>1.02429461479</v>
      </c>
      <c r="I1485" s="119" t="str">
        <f>HYPERLINK(AB2 &amp; "/knife/sn_e4f610f36ba3c6f69246ea0301684d80/rendering/06.obj", "0.909398853779")</f>
        <v>0.909398853779</v>
      </c>
      <c r="J1485" s="27" t="str">
        <f>HYPERLINK(AB2 &amp; "/knife/sn_e4f610f36ba3c6f69246ea0301684d80/rendering/07.obj", "1.32239377499")</f>
        <v>1.32239377499</v>
      </c>
      <c r="K1485" s="34" t="str">
        <f>HYPERLINK(AB2 &amp; "/knife/sn_e4f610f36ba3c6f69246ea0301684d80/rendering/08.obj", "1.29489016533")</f>
        <v>1.29489016533</v>
      </c>
      <c r="L1485" s="8" t="str">
        <f>HYPERLINK(AB2 &amp; "/knife/sn_e4f610f36ba3c6f69246ea0301684d80/rendering/09.obj", "1.05917620659")</f>
        <v>1.05917620659</v>
      </c>
      <c r="M1485" s="80" t="str">
        <f>HYPERLINK(AB2 &amp; "/knife/sn_e4f610f36ba3c6f69246ea0301684d80/rendering/10.obj", "1.42156112194")</f>
        <v>1.42156112194</v>
      </c>
      <c r="N1485" s="24" t="str">
        <f>HYPERLINK(AB2 &amp; "/knife/sn_e4f610f36ba3c6f69246ea0301684d80/rendering/11.obj", "1.02903389931")</f>
        <v>1.02903389931</v>
      </c>
      <c r="O1485" s="85" t="str">
        <f>HYPERLINK(AB2 &amp; "/knife/sn_e4f610f36ba3c6f69246ea0301684d80/rendering/12.obj", "0.871110379696")</f>
        <v>0.871110379696</v>
      </c>
      <c r="P1485" s="171" t="str">
        <f>HYPERLINK(AB2 &amp; "/knife/sn_e4f610f36ba3c6f69246ea0301684d80/rendering/13.obj", "0.858641564846")</f>
        <v>0.858641564846</v>
      </c>
      <c r="Q1485" s="106" t="str">
        <f>HYPERLINK(AB2 &amp; "/knife/sn_e4f610f36ba3c6f69246ea0301684d80/rendering/14.obj", "1.09528446198")</f>
        <v>1.09528446198</v>
      </c>
      <c r="R1485" s="60" t="str">
        <f>HYPERLINK(AB2 &amp; "/knife/sn_e4f610f36ba3c6f69246ea0301684d80/rendering/15.obj", "1.29891586304")</f>
        <v>1.29891586304</v>
      </c>
      <c r="S1485" s="110" t="str">
        <f>HYPERLINK(AB2 &amp; "/knife/sn_e4f610f36ba3c6f69246ea0301684d80/rendering/16.obj", "1.11456334591")</f>
        <v>1.11456334591</v>
      </c>
      <c r="T1485" s="185" t="str">
        <f>HYPERLINK(AB2 &amp; "/knife/sn_e4f610f36ba3c6f69246ea0301684d80/rendering/17.obj", "1.6573703289")</f>
        <v>1.6573703289</v>
      </c>
      <c r="U1485" s="20" t="str">
        <f>HYPERLINK(AB2 &amp; "/knife/sn_e4f610f36ba3c6f69246ea0301684d80/rendering/18.obj", "2.79282188416")</f>
        <v>2.79282188416</v>
      </c>
      <c r="V1485" s="84" t="str">
        <f>HYPERLINK(AB2 &amp; "/knife/sn_e4f610f36ba3c6f69246ea0301684d80/rendering/19.obj", "1.05734157562")</f>
        <v>1.05734157562</v>
      </c>
      <c r="W1485" s="12" t="s">
        <v>32</v>
      </c>
      <c r="X1485" s="13">
        <v>1.235812827944756</v>
      </c>
      <c r="Y1485" s="13">
        <v>0.40908258268227499</v>
      </c>
      <c r="Z1485" s="193">
        <v>0.33102309138723568</v>
      </c>
    </row>
    <row r="1486" spans="1:26" x14ac:dyDescent="0.2">
      <c r="A1486" s="1">
        <v>1484</v>
      </c>
      <c r="B1486" s="2" t="s">
        <v>329</v>
      </c>
      <c r="C1486" s="13" t="str">
        <f>HYPERLINK(AC2 &amp; "/knife/sn_e4f610f36ba3c6f69246ea0301684d80/rendering/00.xyz", "0.0")</f>
        <v>0.0</v>
      </c>
      <c r="D1486" s="13" t="str">
        <f>HYPERLINK(AC2 &amp; "/knife/sn_e4f610f36ba3c6f69246ea0301684d80/rendering/01.xyz", "0.0")</f>
        <v>0.0</v>
      </c>
      <c r="E1486" s="13" t="str">
        <f>HYPERLINK(AC2 &amp; "/knife/sn_e4f610f36ba3c6f69246ea0301684d80/rendering/02.xyz", "0.0")</f>
        <v>0.0</v>
      </c>
      <c r="F1486" s="13" t="str">
        <f>HYPERLINK(AC2 &amp; "/knife/sn_e4f610f36ba3c6f69246ea0301684d80/rendering/03.xyz", "0.0")</f>
        <v>0.0</v>
      </c>
      <c r="G1486" s="13" t="str">
        <f>HYPERLINK(AC2 &amp; "/knife/sn_e4f610f36ba3c6f69246ea0301684d80/rendering/04.xyz", "0.0")</f>
        <v>0.0</v>
      </c>
      <c r="H1486" s="13" t="str">
        <f>HYPERLINK(AC2 &amp; "/knife/sn_e4f610f36ba3c6f69246ea0301684d80/rendering/05.xyz", "0.0")</f>
        <v>0.0</v>
      </c>
      <c r="I1486" s="13" t="str">
        <f>HYPERLINK(AC2 &amp; "/knife/sn_e4f610f36ba3c6f69246ea0301684d80/rendering/06.xyz", "0.0")</f>
        <v>0.0</v>
      </c>
      <c r="J1486" s="13" t="str">
        <f>HYPERLINK(AC2 &amp; "/knife/sn_e4f610f36ba3c6f69246ea0301684d80/rendering/07.xyz", "0.0")</f>
        <v>0.0</v>
      </c>
      <c r="K1486" s="13" t="str">
        <f>HYPERLINK(AC2 &amp; "/knife/sn_e4f610f36ba3c6f69246ea0301684d80/rendering/08.xyz", "0.0")</f>
        <v>0.0</v>
      </c>
      <c r="L1486" s="13" t="str">
        <f>HYPERLINK(AC2 &amp; "/knife/sn_e4f610f36ba3c6f69246ea0301684d80/rendering/09.xyz", "0.0")</f>
        <v>0.0</v>
      </c>
      <c r="M1486" s="13" t="str">
        <f>HYPERLINK(AC2 &amp; "/knife/sn_e4f610f36ba3c6f69246ea0301684d80/rendering/10.xyz", "0.0")</f>
        <v>0.0</v>
      </c>
      <c r="N1486" s="13" t="str">
        <f>HYPERLINK(AC2 &amp; "/knife/sn_e4f610f36ba3c6f69246ea0301684d80/rendering/11.xyz", "0.0")</f>
        <v>0.0</v>
      </c>
      <c r="O1486" s="13" t="str">
        <f>HYPERLINK(AC2 &amp; "/knife/sn_e4f610f36ba3c6f69246ea0301684d80/rendering/12.xyz", "0.0")</f>
        <v>0.0</v>
      </c>
      <c r="P1486" s="13" t="str">
        <f>HYPERLINK(AC2 &amp; "/knife/sn_e4f610f36ba3c6f69246ea0301684d80/rendering/13.xyz", "0.0")</f>
        <v>0.0</v>
      </c>
      <c r="Q1486" s="13" t="str">
        <f>HYPERLINK(AC2 &amp; "/knife/sn_e4f610f36ba3c6f69246ea0301684d80/rendering/14.xyz", "0.0")</f>
        <v>0.0</v>
      </c>
      <c r="R1486" s="13" t="str">
        <f>HYPERLINK(AC2 &amp; "/knife/sn_e4f610f36ba3c6f69246ea0301684d80/rendering/15.xyz", "0.0")</f>
        <v>0.0</v>
      </c>
      <c r="S1486" s="13" t="str">
        <f>HYPERLINK(AC2 &amp; "/knife/sn_e4f610f36ba3c6f69246ea0301684d80/rendering/16.xyz", "0.0")</f>
        <v>0.0</v>
      </c>
      <c r="T1486" s="13" t="str">
        <f>HYPERLINK(AC2 &amp; "/knife/sn_e4f610f36ba3c6f69246ea0301684d80/rendering/17.xyz", "0.0")</f>
        <v>0.0</v>
      </c>
      <c r="U1486" s="13" t="str">
        <f>HYPERLINK(AC2 &amp; "/knife/sn_e4f610f36ba3c6f69246ea0301684d80/rendering/18.xyz", "0.0")</f>
        <v>0.0</v>
      </c>
      <c r="V1486" s="13" t="str">
        <f>HYPERLINK(AC2 &amp; "/knife/sn_e4f610f36ba3c6f69246ea0301684d80/rendering/19.xyz", "0.0")</f>
        <v>0.0</v>
      </c>
      <c r="W1486" s="12" t="s">
        <v>33</v>
      </c>
      <c r="X1486" s="13">
        <v>0</v>
      </c>
      <c r="Y1486" s="13">
        <v>0</v>
      </c>
      <c r="Z1486" s="13">
        <v>0</v>
      </c>
    </row>
    <row r="1487" spans="1:26" x14ac:dyDescent="0.2">
      <c r="A1487" s="1">
        <v>1485</v>
      </c>
      <c r="B1487" s="2" t="s">
        <v>330</v>
      </c>
      <c r="C1487" s="71" t="str">
        <f>HYPERLINK(AA2 &amp; "/knife/sn_e688f0697b9a970c6402b8f491cd92c7/rendering/00.obj", "5.73448730469")</f>
        <v>5.73448730469</v>
      </c>
      <c r="D1487" s="26" t="str">
        <f>HYPERLINK(AA2 &amp; "/knife/sn_e688f0697b9a970c6402b8f491cd92c7/rendering/01.obj", "4.79713134766")</f>
        <v>4.79713134766</v>
      </c>
      <c r="E1487" s="92" t="str">
        <f>HYPERLINK(AA2 &amp; "/knife/sn_e688f0697b9a970c6402b8f491cd92c7/rendering/02.obj", "4.48663513184")</f>
        <v>4.48663513184</v>
      </c>
      <c r="F1487" s="33" t="str">
        <f>HYPERLINK(AA2 &amp; "/knife/sn_e688f0697b9a970c6402b8f491cd92c7/rendering/03.obj", "4.57263977051")</f>
        <v>4.57263977051</v>
      </c>
      <c r="G1487" s="77" t="str">
        <f>HYPERLINK(AA2 &amp; "/knife/sn_e688f0697b9a970c6402b8f491cd92c7/rendering/04.obj", "6.09193969727")</f>
        <v>6.09193969727</v>
      </c>
      <c r="H1487" s="39" t="str">
        <f>HYPERLINK(AA2 &amp; "/knife/sn_e688f0697b9a970c6402b8f491cd92c7/rendering/05.obj", "4.67924835205")</f>
        <v>4.67924835205</v>
      </c>
      <c r="I1487" s="51" t="str">
        <f>HYPERLINK(AA2 &amp; "/knife/sn_e688f0697b9a970c6402b8f491cd92c7/rendering/06.obj", "4.72598327637")</f>
        <v>4.72598327637</v>
      </c>
      <c r="J1487" s="5" t="str">
        <f>HYPERLINK(AA2 &amp; "/knife/sn_e688f0697b9a970c6402b8f491cd92c7/rendering/07.obj", "4.72712646484")</f>
        <v>4.72712646484</v>
      </c>
      <c r="K1487" s="11" t="str">
        <f>HYPERLINK(AA2 &amp; "/knife/sn_e688f0697b9a970c6402b8f491cd92c7/rendering/08.obj", "6.2764440918")</f>
        <v>6.2764440918</v>
      </c>
      <c r="L1487" s="83" t="str">
        <f>HYPERLINK(AA2 &amp; "/knife/sn_e688f0697b9a970c6402b8f491cd92c7/rendering/09.obj", "4.34289978027")</f>
        <v>4.34289978027</v>
      </c>
      <c r="M1487" s="30" t="str">
        <f>HYPERLINK(AA2 &amp; "/knife/sn_e688f0697b9a970c6402b8f491cd92c7/rendering/10.obj", "5.09838256836")</f>
        <v>5.09838256836</v>
      </c>
      <c r="N1487" s="46" t="str">
        <f>HYPERLINK(AA2 &amp; "/knife/sn_e688f0697b9a970c6402b8f491cd92c7/rendering/11.obj", "5.22275878906")</f>
        <v>5.22275878906</v>
      </c>
      <c r="O1487" s="162" t="str">
        <f>HYPERLINK(AA2 &amp; "/knife/sn_e688f0697b9a970c6402b8f491cd92c7/rendering/12.obj", "7.3107800293")</f>
        <v>7.3107800293</v>
      </c>
      <c r="P1487" s="90" t="str">
        <f>HYPERLINK(AA2 &amp; "/knife/sn_e688f0697b9a970c6402b8f491cd92c7/rendering/13.obj", "5.61991821289")</f>
        <v>5.61991821289</v>
      </c>
      <c r="Q1487" s="40" t="str">
        <f>HYPERLINK(AA2 &amp; "/knife/sn_e688f0697b9a970c6402b8f491cd92c7/rendering/14.obj", "4.24594726563")</f>
        <v>4.24594726563</v>
      </c>
      <c r="R1487" s="67" t="str">
        <f>HYPERLINK(AA2 &amp; "/knife/sn_e688f0697b9a970c6402b8f491cd92c7/rendering/15.obj", "4.64588256836")</f>
        <v>4.64588256836</v>
      </c>
      <c r="S1487" s="110" t="str">
        <f>HYPERLINK(AA2 &amp; "/knife/sn_e688f0697b9a970c6402b8f491cd92c7/rendering/16.obj", "4.62190246582")</f>
        <v>4.62190246582</v>
      </c>
      <c r="T1487" s="11" t="str">
        <f>HYPERLINK(AA2 &amp; "/knife/sn_e688f0697b9a970c6402b8f491cd92c7/rendering/17.obj", "6.27835449219")</f>
        <v>6.27835449219</v>
      </c>
      <c r="U1487" s="80" t="str">
        <f>HYPERLINK(AA2 &amp; "/knife/sn_e688f0697b9a970c6402b8f491cd92c7/rendering/18.obj", "4.36203826904")</f>
        <v>4.36203826904</v>
      </c>
      <c r="V1487" s="5" t="str">
        <f>HYPERLINK(AA2 &amp; "/knife/sn_e688f0697b9a970c6402b8f491cd92c7/rendering/19.obj", "4.73041137695")</f>
        <v>4.73041137695</v>
      </c>
      <c r="W1487" s="12" t="s">
        <v>29</v>
      </c>
      <c r="X1487" s="13">
        <v>5.1285455627441419</v>
      </c>
      <c r="Y1487" s="13">
        <v>0.8042480013860881</v>
      </c>
      <c r="Z1487" s="31">
        <v>0.15681794995221951</v>
      </c>
    </row>
    <row r="1488" spans="1:26" x14ac:dyDescent="0.2">
      <c r="A1488" s="1">
        <v>1486</v>
      </c>
      <c r="B1488" s="2" t="s">
        <v>330</v>
      </c>
      <c r="C1488" s="78" t="str">
        <f>HYPERLINK(AA2 &amp; "/knife/sn_e688f0697b9a970c6402b8f491cd92c7/rendering/00.obj", "1.84968984127")</f>
        <v>1.84968984127</v>
      </c>
      <c r="D1488" s="6" t="str">
        <f>HYPERLINK(AA2 &amp; "/knife/sn_e688f0697b9a970c6402b8f491cd92c7/rendering/01.obj", "1.88027071953")</f>
        <v>1.88027071953</v>
      </c>
      <c r="E1488" s="182" t="str">
        <f>HYPERLINK(AA2 &amp; "/knife/sn_e688f0697b9a970c6402b8f491cd92c7/rendering/02.obj", "1.31265842915")</f>
        <v>1.31265842915</v>
      </c>
      <c r="F1488" s="64" t="str">
        <f>HYPERLINK(AA2 &amp; "/knife/sn_e688f0697b9a970c6402b8f491cd92c7/rendering/03.obj", "1.64539456367")</f>
        <v>1.64539456367</v>
      </c>
      <c r="G1488" s="72" t="str">
        <f>HYPERLINK(AA2 &amp; "/knife/sn_e688f0697b9a970c6402b8f491cd92c7/rendering/04.obj", "2.0366435051")</f>
        <v>2.0366435051</v>
      </c>
      <c r="H1488" s="41" t="str">
        <f>HYPERLINK(AA2 &amp; "/knife/sn_e688f0697b9a970c6402b8f491cd92c7/rendering/05.obj", "1.83722364902")</f>
        <v>1.83722364902</v>
      </c>
      <c r="I1488" s="34" t="str">
        <f>HYPERLINK(AA2 &amp; "/knife/sn_e688f0697b9a970c6402b8f491cd92c7/rendering/06.obj", "1.87065804005")</f>
        <v>1.87065804005</v>
      </c>
      <c r="J1488" s="84" t="str">
        <f>HYPERLINK(AA2 &amp; "/knife/sn_e688f0697b9a970c6402b8f491cd92c7/rendering/07.obj", "1.67903220654")</f>
        <v>1.67903220654</v>
      </c>
      <c r="K1488" s="191" t="str">
        <f>HYPERLINK(AA2 &amp; "/knife/sn_e688f0697b9a970c6402b8f491cd92c7/rendering/08.obj", "2.86284852028")</f>
        <v>2.86284852028</v>
      </c>
      <c r="L1488" s="140" t="str">
        <f>HYPERLINK(AA2 &amp; "/knife/sn_e688f0697b9a970c6402b8f491cd92c7/rendering/09.obj", "1.287083745")</f>
        <v>1.287083745</v>
      </c>
      <c r="M1488" s="41" t="str">
        <f>HYPERLINK(AA2 &amp; "/knife/sn_e688f0697b9a970c6402b8f491cd92c7/rendering/10.obj", "1.83545851707")</f>
        <v>1.83545851707</v>
      </c>
      <c r="N1488" s="37" t="str">
        <f>HYPERLINK(AA2 &amp; "/knife/sn_e688f0697b9a970c6402b8f491cd92c7/rendering/11.obj", "1.62761127949")</f>
        <v>1.62761127949</v>
      </c>
      <c r="O1488" s="20" t="str">
        <f>HYPERLINK(AA2 &amp; "/knife/sn_e688f0697b9a970c6402b8f491cd92c7/rendering/12.obj", "4.41487169266")</f>
        <v>4.41487169266</v>
      </c>
      <c r="P1488" s="71" t="str">
        <f>HYPERLINK(AA2 &amp; "/knife/sn_e688f0697b9a970c6402b8f491cd92c7/rendering/13.obj", "2.20228552818")</f>
        <v>2.20228552818</v>
      </c>
      <c r="Q1488" s="30" t="str">
        <f>HYPERLINK(AA2 &amp; "/knife/sn_e688f0697b9a970c6402b8f491cd92c7/rendering/14.obj", "1.98025381565")</f>
        <v>1.98025381565</v>
      </c>
      <c r="R1488" s="40" t="str">
        <f>HYPERLINK(AA2 &amp; "/knife/sn_e688f0697b9a970c6402b8f491cd92c7/rendering/15.obj", "1.6330627203")</f>
        <v>1.6330627203</v>
      </c>
      <c r="S1488" s="75" t="str">
        <f>HYPERLINK(AA2 &amp; "/knife/sn_e688f0697b9a970c6402b8f491cd92c7/rendering/16.obj", "2.40564537048")</f>
        <v>2.40564537048</v>
      </c>
      <c r="T1488" s="120" t="str">
        <f>HYPERLINK(AA2 &amp; "/knife/sn_e688f0697b9a970c6402b8f491cd92c7/rendering/17.obj", "2.38383030891")</f>
        <v>2.38383030891</v>
      </c>
      <c r="U1488" s="193" t="str">
        <f>HYPERLINK(AA2 &amp; "/knife/sn_e688f0697b9a970c6402b8f491cd92c7/rendering/18.obj", "1.32002747059")</f>
        <v>1.32002747059</v>
      </c>
      <c r="V1488" s="54" t="str">
        <f>HYPERLINK(AA2 &amp; "/knife/sn_e688f0697b9a970c6402b8f491cd92c7/rendering/19.obj", "1.32301008701")</f>
        <v>1.32301008701</v>
      </c>
      <c r="W1488" s="12" t="s">
        <v>30</v>
      </c>
      <c r="X1488" s="13">
        <v>1.9693780004978181</v>
      </c>
      <c r="Y1488" s="13">
        <v>0.68638764513085915</v>
      </c>
      <c r="Z1488" s="187">
        <v>0.34853016787907382</v>
      </c>
    </row>
    <row r="1489" spans="1:26" x14ac:dyDescent="0.2">
      <c r="A1489" s="1">
        <v>1487</v>
      </c>
      <c r="B1489" s="2" t="s">
        <v>330</v>
      </c>
      <c r="C1489" s="35" t="str">
        <f>HYPERLINK(AB2 &amp; "/knife/sn_e688f0697b9a970c6402b8f491cd92c7/rendering/00.obj", "4.58958740234")</f>
        <v>4.58958740234</v>
      </c>
      <c r="D1489" s="35" t="str">
        <f>HYPERLINK(AB2 &amp; "/knife/sn_e688f0697b9a970c6402b8f491cd92c7/rendering/01.obj", "4.59352294922")</f>
        <v>4.59352294922</v>
      </c>
      <c r="E1489" s="27" t="str">
        <f>HYPERLINK(AB2 &amp; "/knife/sn_e688f0697b9a970c6402b8f491cd92c7/rendering/02.obj", "5.21301025391")</f>
        <v>5.21301025391</v>
      </c>
      <c r="F1489" s="107" t="str">
        <f>HYPERLINK(AB2 &amp; "/knife/sn_e688f0697b9a970c6402b8f491cd92c7/rendering/03.obj", "4.47100067139")</f>
        <v>4.47100067139</v>
      </c>
      <c r="G1489" s="5" t="str">
        <f>HYPERLINK(AB2 &amp; "/knife/sn_e688f0697b9a970c6402b8f491cd92c7/rendering/04.obj", "4.50457824707")</f>
        <v>4.50457824707</v>
      </c>
      <c r="H1489" s="60" t="str">
        <f>HYPERLINK(AB2 &amp; "/knife/sn_e688f0697b9a970c6402b8f491cd92c7/rendering/05.obj", "4.62842803955")</f>
        <v>4.62842803955</v>
      </c>
      <c r="I1489" s="13" t="str">
        <f>HYPERLINK(AB2 &amp; "/knife/sn_e688f0697b9a970c6402b8f491cd92c7/rendering/06.obj", "4.86333221436")</f>
        <v>4.86333221436</v>
      </c>
      <c r="J1489" s="69" t="str">
        <f>HYPERLINK(AB2 &amp; "/knife/sn_e688f0697b9a970c6402b8f491cd92c7/rendering/07.obj", "5.01892059326")</f>
        <v>5.01892059326</v>
      </c>
      <c r="K1489" s="88" t="str">
        <f>HYPERLINK(AB2 &amp; "/knife/sn_e688f0697b9a970c6402b8f491cd92c7/rendering/08.obj", "3.88932769775")</f>
        <v>3.88932769775</v>
      </c>
      <c r="L1489" s="48" t="str">
        <f>HYPERLINK(AB2 &amp; "/knife/sn_e688f0697b9a970c6402b8f491cd92c7/rendering/09.obj", "4.76018035889")</f>
        <v>4.76018035889</v>
      </c>
      <c r="M1489" s="17" t="str">
        <f>HYPERLINK(AB2 &amp; "/knife/sn_e688f0697b9a970c6402b8f491cd92c7/rendering/10.obj", "4.97909484863")</f>
        <v>4.97909484863</v>
      </c>
      <c r="N1489" s="74" t="str">
        <f>HYPERLINK(AB2 &amp; "/knife/sn_e688f0697b9a970c6402b8f491cd92c7/rendering/11.obj", "4.80875549316")</f>
        <v>4.80875549316</v>
      </c>
      <c r="O1489" s="17" t="str">
        <f>HYPERLINK(AB2 &amp; "/knife/sn_e688f0697b9a970c6402b8f491cd92c7/rendering/12.obj", "4.97041625977")</f>
        <v>4.97041625977</v>
      </c>
      <c r="P1489" s="47" t="str">
        <f>HYPERLINK(AB2 &amp; "/knife/sn_e688f0697b9a970c6402b8f491cd92c7/rendering/13.obj", "4.84078887939")</f>
        <v>4.84078887939</v>
      </c>
      <c r="Q1489" s="69" t="str">
        <f>HYPERLINK(AB2 &amp; "/knife/sn_e688f0697b9a970c6402b8f491cd92c7/rendering/14.obj", "4.72345275879")</f>
        <v>4.72345275879</v>
      </c>
      <c r="R1489" s="91" t="str">
        <f>HYPERLINK(AB2 &amp; "/knife/sn_e688f0697b9a970c6402b8f491cd92c7/rendering/15.obj", "4.75221221924")</f>
        <v>4.75221221924</v>
      </c>
      <c r="S1489" s="109" t="str">
        <f>HYPERLINK(AB2 &amp; "/knife/sn_e688f0697b9a970c6402b8f491cd92c7/rendering/16.obj", "5.80794128418")</f>
        <v>5.80794128418</v>
      </c>
      <c r="T1489" s="99" t="str">
        <f>HYPERLINK(AB2 &amp; "/knife/sn_e688f0697b9a970c6402b8f491cd92c7/rendering/17.obj", "6.19198547363")</f>
        <v>6.19198547363</v>
      </c>
      <c r="U1489" s="69" t="str">
        <f>HYPERLINK(AB2 &amp; "/knife/sn_e688f0697b9a970c6402b8f491cd92c7/rendering/18.obj", "4.73361480713")</f>
        <v>4.73361480713</v>
      </c>
      <c r="V1489" s="78" t="str">
        <f>HYPERLINK(AB2 &amp; "/knife/sn_e688f0697b9a970c6402b8f491cd92c7/rendering/19.obj", "5.16908935547")</f>
        <v>5.16908935547</v>
      </c>
      <c r="W1489" s="12" t="s">
        <v>31</v>
      </c>
      <c r="X1489" s="13">
        <v>4.8754619903564453</v>
      </c>
      <c r="Y1489" s="13">
        <v>0.46992526854614308</v>
      </c>
      <c r="Z1489" s="90">
        <v>9.6385792664499231E-2</v>
      </c>
    </row>
    <row r="1490" spans="1:26" x14ac:dyDescent="0.2">
      <c r="A1490" s="1">
        <v>1488</v>
      </c>
      <c r="B1490" s="2" t="s">
        <v>330</v>
      </c>
      <c r="C1490" s="87" t="str">
        <f>HYPERLINK(AB2 &amp; "/knife/sn_e688f0697b9a970c6402b8f491cd92c7/rendering/00.obj", "1.14638781548")</f>
        <v>1.14638781548</v>
      </c>
      <c r="D1490" s="117" t="str">
        <f>HYPERLINK(AB2 &amp; "/knife/sn_e688f0697b9a970c6402b8f491cd92c7/rendering/01.obj", "1.2204887867")</f>
        <v>1.2204887867</v>
      </c>
      <c r="E1490" s="58" t="str">
        <f>HYPERLINK(AB2 &amp; "/knife/sn_e688f0697b9a970c6402b8f491cd92c7/rendering/02.obj", "1.12156975269")</f>
        <v>1.12156975269</v>
      </c>
      <c r="F1490" s="25" t="str">
        <f>HYPERLINK(AB2 &amp; "/knife/sn_e688f0697b9a970c6402b8f491cd92c7/rendering/03.obj", "1.49787211418")</f>
        <v>1.49787211418</v>
      </c>
      <c r="G1490" s="77" t="str">
        <f>HYPERLINK(AB2 &amp; "/knife/sn_e688f0697b9a970c6402b8f491cd92c7/rendering/04.obj", "1.20439839363")</f>
        <v>1.20439839363</v>
      </c>
      <c r="H1490" s="73" t="str">
        <f>HYPERLINK(AB2 &amp; "/knife/sn_e688f0697b9a970c6402b8f491cd92c7/rendering/05.obj", "1.42905402184")</f>
        <v>1.42905402184</v>
      </c>
      <c r="I1490" s="131" t="str">
        <f>HYPERLINK(AB2 &amp; "/knife/sn_e688f0697b9a970c6402b8f491cd92c7/rendering/06.obj", "2.1715657711")</f>
        <v>2.1715657711</v>
      </c>
      <c r="J1490" s="82" t="str">
        <f>HYPERLINK(AB2 &amp; "/knife/sn_e688f0697b9a970c6402b8f491cd92c7/rendering/07.obj", "1.78955030441")</f>
        <v>1.78955030441</v>
      </c>
      <c r="K1490" s="64" t="str">
        <f>HYPERLINK(AB2 &amp; "/knife/sn_e688f0697b9a970c6402b8f491cd92c7/rendering/08.obj", "1.24068880081")</f>
        <v>1.24068880081</v>
      </c>
      <c r="L1490" s="86" t="str">
        <f>HYPERLINK(AB2 &amp; "/knife/sn_e688f0697b9a970c6402b8f491cd92c7/rendering/09.obj", "1.08735990524")</f>
        <v>1.08735990524</v>
      </c>
      <c r="M1490" s="67" t="str">
        <f>HYPERLINK(AB2 &amp; "/knife/sn_e688f0697b9a970c6402b8f491cd92c7/rendering/10.obj", "1.34827888012")</f>
        <v>1.34827888012</v>
      </c>
      <c r="N1490" s="170" t="str">
        <f>HYPERLINK(AB2 &amp; "/knife/sn_e688f0697b9a970c6402b8f491cd92c7/rendering/11.obj", "1.11102592945")</f>
        <v>1.11102592945</v>
      </c>
      <c r="O1490" s="235" t="str">
        <f>HYPERLINK(AB2 &amp; "/knife/sn_e688f0697b9a970c6402b8f491cd92c7/rendering/12.obj", "2.28676104546")</f>
        <v>2.28676104546</v>
      </c>
      <c r="P1490" s="117" t="str">
        <f>HYPERLINK(AB2 &amp; "/knife/sn_e688f0697b9a970c6402b8f491cd92c7/rendering/13.obj", "1.74731636047")</f>
        <v>1.74731636047</v>
      </c>
      <c r="Q1490" s="63" t="str">
        <f>HYPERLINK(AB2 &amp; "/knife/sn_e688f0697b9a970c6402b8f491cd92c7/rendering/14.obj", "1.30562114716")</f>
        <v>1.30562114716</v>
      </c>
      <c r="R1490" s="64" t="str">
        <f>HYPERLINK(AB2 &amp; "/knife/sn_e688f0697b9a970c6402b8f491cd92c7/rendering/15.obj", "1.23982274532")</f>
        <v>1.23982274532</v>
      </c>
      <c r="S1490" s="20" t="str">
        <f>HYPERLINK(AB2 &amp; "/knife/sn_e688f0697b9a970c6402b8f491cd92c7/rendering/16.obj", "3.11550068855")</f>
        <v>3.11550068855</v>
      </c>
      <c r="T1490" s="46" t="str">
        <f>HYPERLINK(AB2 &amp; "/knife/sn_e688f0697b9a970c6402b8f491cd92c7/rendering/17.obj", "1.50737798214")</f>
        <v>1.50737798214</v>
      </c>
      <c r="U1490" s="7" t="str">
        <f>HYPERLINK(AB2 &amp; "/knife/sn_e688f0697b9a970c6402b8f491cd92c7/rendering/18.obj", "1.06970179081")</f>
        <v>1.06970179081</v>
      </c>
      <c r="V1490" s="56" t="str">
        <f>HYPERLINK(AB2 &amp; "/knife/sn_e688f0697b9a970c6402b8f491cd92c7/rendering/19.obj", "1.02638304234")</f>
        <v>1.02638304234</v>
      </c>
      <c r="W1490" s="12" t="s">
        <v>32</v>
      </c>
      <c r="X1490" s="13">
        <v>1.4833362638950349</v>
      </c>
      <c r="Y1490" s="13">
        <v>0.50916188476832158</v>
      </c>
      <c r="Z1490" s="149">
        <v>0.34325452506051007</v>
      </c>
    </row>
    <row r="1491" spans="1:26" x14ac:dyDescent="0.2">
      <c r="A1491" s="1">
        <v>1489</v>
      </c>
      <c r="B1491" s="2" t="s">
        <v>330</v>
      </c>
      <c r="C1491" s="13" t="str">
        <f>HYPERLINK(AC2 &amp; "/knife/sn_e688f0697b9a970c6402b8f491cd92c7/rendering/00.xyz", "0.0")</f>
        <v>0.0</v>
      </c>
      <c r="D1491" s="13" t="str">
        <f>HYPERLINK(AC2 &amp; "/knife/sn_e688f0697b9a970c6402b8f491cd92c7/rendering/01.xyz", "0.0")</f>
        <v>0.0</v>
      </c>
      <c r="E1491" s="13" t="str">
        <f>HYPERLINK(AC2 &amp; "/knife/sn_e688f0697b9a970c6402b8f491cd92c7/rendering/02.xyz", "0.0")</f>
        <v>0.0</v>
      </c>
      <c r="F1491" s="13" t="str">
        <f>HYPERLINK(AC2 &amp; "/knife/sn_e688f0697b9a970c6402b8f491cd92c7/rendering/03.xyz", "0.0")</f>
        <v>0.0</v>
      </c>
      <c r="G1491" s="13" t="str">
        <f>HYPERLINK(AC2 &amp; "/knife/sn_e688f0697b9a970c6402b8f491cd92c7/rendering/04.xyz", "0.0")</f>
        <v>0.0</v>
      </c>
      <c r="H1491" s="13" t="str">
        <f>HYPERLINK(AC2 &amp; "/knife/sn_e688f0697b9a970c6402b8f491cd92c7/rendering/05.xyz", "0.0")</f>
        <v>0.0</v>
      </c>
      <c r="I1491" s="13" t="str">
        <f>HYPERLINK(AC2 &amp; "/knife/sn_e688f0697b9a970c6402b8f491cd92c7/rendering/06.xyz", "0.0")</f>
        <v>0.0</v>
      </c>
      <c r="J1491" s="13" t="str">
        <f>HYPERLINK(AC2 &amp; "/knife/sn_e688f0697b9a970c6402b8f491cd92c7/rendering/07.xyz", "0.0")</f>
        <v>0.0</v>
      </c>
      <c r="K1491" s="13" t="str">
        <f>HYPERLINK(AC2 &amp; "/knife/sn_e688f0697b9a970c6402b8f491cd92c7/rendering/08.xyz", "0.0")</f>
        <v>0.0</v>
      </c>
      <c r="L1491" s="13" t="str">
        <f>HYPERLINK(AC2 &amp; "/knife/sn_e688f0697b9a970c6402b8f491cd92c7/rendering/09.xyz", "0.0")</f>
        <v>0.0</v>
      </c>
      <c r="M1491" s="13" t="str">
        <f>HYPERLINK(AC2 &amp; "/knife/sn_e688f0697b9a970c6402b8f491cd92c7/rendering/10.xyz", "0.0")</f>
        <v>0.0</v>
      </c>
      <c r="N1491" s="13" t="str">
        <f>HYPERLINK(AC2 &amp; "/knife/sn_e688f0697b9a970c6402b8f491cd92c7/rendering/11.xyz", "0.0")</f>
        <v>0.0</v>
      </c>
      <c r="O1491" s="13" t="str">
        <f>HYPERLINK(AC2 &amp; "/knife/sn_e688f0697b9a970c6402b8f491cd92c7/rendering/12.xyz", "0.0")</f>
        <v>0.0</v>
      </c>
      <c r="P1491" s="13" t="str">
        <f>HYPERLINK(AC2 &amp; "/knife/sn_e688f0697b9a970c6402b8f491cd92c7/rendering/13.xyz", "0.0")</f>
        <v>0.0</v>
      </c>
      <c r="Q1491" s="13" t="str">
        <f>HYPERLINK(AC2 &amp; "/knife/sn_e688f0697b9a970c6402b8f491cd92c7/rendering/14.xyz", "0.0")</f>
        <v>0.0</v>
      </c>
      <c r="R1491" s="13" t="str">
        <f>HYPERLINK(AC2 &amp; "/knife/sn_e688f0697b9a970c6402b8f491cd92c7/rendering/15.xyz", "0.0")</f>
        <v>0.0</v>
      </c>
      <c r="S1491" s="13" t="str">
        <f>HYPERLINK(AC2 &amp; "/knife/sn_e688f0697b9a970c6402b8f491cd92c7/rendering/16.xyz", "0.0")</f>
        <v>0.0</v>
      </c>
      <c r="T1491" s="13" t="str">
        <f>HYPERLINK(AC2 &amp; "/knife/sn_e688f0697b9a970c6402b8f491cd92c7/rendering/17.xyz", "0.0")</f>
        <v>0.0</v>
      </c>
      <c r="U1491" s="13" t="str">
        <f>HYPERLINK(AC2 &amp; "/knife/sn_e688f0697b9a970c6402b8f491cd92c7/rendering/18.xyz", "0.0")</f>
        <v>0.0</v>
      </c>
      <c r="V1491" s="13" t="str">
        <f>HYPERLINK(AC2 &amp; "/knife/sn_e688f0697b9a970c6402b8f491cd92c7/rendering/19.xyz", "0.0")</f>
        <v>0.0</v>
      </c>
      <c r="W1491" s="12" t="s">
        <v>33</v>
      </c>
      <c r="X1491" s="13">
        <v>0</v>
      </c>
      <c r="Y1491" s="13">
        <v>0</v>
      </c>
      <c r="Z1491" s="13">
        <v>0</v>
      </c>
    </row>
    <row r="1492" spans="1:26" x14ac:dyDescent="0.2">
      <c r="A1492" s="1">
        <v>1490</v>
      </c>
      <c r="B1492" s="2" t="s">
        <v>331</v>
      </c>
      <c r="C1492" s="77" t="str">
        <f>HYPERLINK(AA2 &amp; "/knife/sn_e6b32b3c927a7fbeae29387f6eb32067/rendering/00.obj", "3.62797698975")</f>
        <v>3.62797698975</v>
      </c>
      <c r="D1492" s="39" t="str">
        <f>HYPERLINK(AA2 &amp; "/knife/sn_e6b32b3c927a7fbeae29387f6eb32067/rendering/01.obj", "4.08128479004")</f>
        <v>4.08128479004</v>
      </c>
      <c r="E1492" s="77" t="str">
        <f>HYPERLINK(AA2 &amp; "/knife/sn_e6b32b3c927a7fbeae29387f6eb32067/rendering/02.obj", "5.3002722168")</f>
        <v>5.3002722168</v>
      </c>
      <c r="F1492" s="60" t="str">
        <f>HYPERLINK(AA2 &amp; "/knife/sn_e6b32b3c927a7fbeae29387f6eb32067/rendering/03.obj", "4.23150634766")</f>
        <v>4.23150634766</v>
      </c>
      <c r="G1492" s="6" t="str">
        <f>HYPERLINK(AA2 &amp; "/knife/sn_e6b32b3c927a7fbeae29387f6eb32067/rendering/04.obj", "4.66620300293")</f>
        <v>4.66620300293</v>
      </c>
      <c r="H1492" s="17" t="str">
        <f>HYPERLINK(AA2 &amp; "/knife/sn_e6b32b3c927a7fbeae29387f6eb32067/rendering/05.obj", "4.55451751709")</f>
        <v>4.55451751709</v>
      </c>
      <c r="I1492" s="91" t="str">
        <f>HYPERLINK(AA2 &amp; "/knife/sn_e6b32b3c927a7fbeae29387f6eb32067/rendering/06.obj", "4.58578369141")</f>
        <v>4.58578369141</v>
      </c>
      <c r="J1492" s="110" t="str">
        <f>HYPERLINK(AA2 &amp; "/knife/sn_e6b32b3c927a7fbeae29387f6eb32067/rendering/07.obj", "4.8984564209")</f>
        <v>4.8984564209</v>
      </c>
      <c r="K1492" s="170" t="str">
        <f>HYPERLINK(AA2 &amp; "/knife/sn_e6b32b3c927a7fbeae29387f6eb32067/rendering/08.obj", "5.58423156738")</f>
        <v>5.58423156738</v>
      </c>
      <c r="L1492" s="23" t="str">
        <f>HYPERLINK(AA2 &amp; "/knife/sn_e6b32b3c927a7fbeae29387f6eb32067/rendering/09.obj", "4.6428515625")</f>
        <v>4.6428515625</v>
      </c>
      <c r="M1492" s="120" t="str">
        <f>HYPERLINK(AA2 &amp; "/knife/sn_e6b32b3c927a7fbeae29387f6eb32067/rendering/10.obj", "3.52228942871")</f>
        <v>3.52228942871</v>
      </c>
      <c r="N1492" s="81" t="str">
        <f>HYPERLINK(AA2 &amp; "/knife/sn_e6b32b3c927a7fbeae29387f6eb32067/rendering/11.obj", "5.43796875")</f>
        <v>5.43796875</v>
      </c>
      <c r="O1492" s="26" t="str">
        <f>HYPERLINK(AA2 &amp; "/knife/sn_e6b32b3c927a7fbeae29387f6eb32067/rendering/12.obj", "4.18121520996")</f>
        <v>4.18121520996</v>
      </c>
      <c r="P1492" s="17" t="str">
        <f>HYPERLINK(AA2 &amp; "/knife/sn_e6b32b3c927a7fbeae29387f6eb32067/rendering/13.obj", "4.55728637695")</f>
        <v>4.55728637695</v>
      </c>
      <c r="Q1492" s="74" t="str">
        <f>HYPERLINK(AA2 &amp; "/knife/sn_e6b32b3c927a7fbeae29387f6eb32067/rendering/14.obj", "4.52987487793")</f>
        <v>4.52987487793</v>
      </c>
      <c r="R1492" s="87" t="str">
        <f>HYPERLINK(AA2 &amp; "/knife/sn_e6b32b3c927a7fbeae29387f6eb32067/rendering/15.obj", "3.45223419189")</f>
        <v>3.45223419189</v>
      </c>
      <c r="S1492" s="37" t="str">
        <f>HYPERLINK(AA2 &amp; "/knife/sn_e6b32b3c927a7fbeae29387f6eb32067/rendering/16.obj", "5.23678710938")</f>
        <v>5.23678710938</v>
      </c>
      <c r="T1492" s="72" t="str">
        <f>HYPERLINK(AA2 &amp; "/knife/sn_e6b32b3c927a7fbeae29387f6eb32067/rendering/17.obj", "4.31573883057")</f>
        <v>4.31573883057</v>
      </c>
      <c r="U1492" s="133" t="str">
        <f>HYPERLINK(AA2 &amp; "/knife/sn_e6b32b3c927a7fbeae29387f6eb32067/rendering/18.obj", "4.00315673828")</f>
        <v>4.00315673828</v>
      </c>
      <c r="V1492" s="42" t="str">
        <f>HYPERLINK(AA2 &amp; "/knife/sn_e6b32b3c927a7fbeae29387f6eb32067/rendering/19.obj", "3.85206939697")</f>
        <v>3.85206939697</v>
      </c>
      <c r="W1492" s="12" t="s">
        <v>29</v>
      </c>
      <c r="X1492" s="13">
        <v>4.4630852508544923</v>
      </c>
      <c r="Y1492" s="13">
        <v>0.60400715587205822</v>
      </c>
      <c r="Z1492" s="42">
        <v>0.1353339947419594</v>
      </c>
    </row>
    <row r="1493" spans="1:26" x14ac:dyDescent="0.2">
      <c r="A1493" s="1">
        <v>1491</v>
      </c>
      <c r="B1493" s="2" t="s">
        <v>331</v>
      </c>
      <c r="C1493" s="192" t="str">
        <f>HYPERLINK(AA2 &amp; "/knife/sn_e6b32b3c927a7fbeae29387f6eb32067/rendering/00.obj", "1.85431194305")</f>
        <v>1.85431194305</v>
      </c>
      <c r="D1493" s="27" t="str">
        <f>HYPERLINK(AA2 &amp; "/knife/sn_e6b32b3c927a7fbeae29387f6eb32067/rendering/01.obj", "3.16184306145")</f>
        <v>3.16184306145</v>
      </c>
      <c r="E1493" s="215" t="str">
        <f>HYPERLINK(AA2 &amp; "/knife/sn_e6b32b3c927a7fbeae29387f6eb32067/rendering/02.obj", "4.9351682663")</f>
        <v>4.9351682663</v>
      </c>
      <c r="F1493" s="51" t="str">
        <f>HYPERLINK(AA2 &amp; "/knife/sn_e6b32b3c927a7fbeae29387f6eb32067/rendering/03.obj", "3.19337487221")</f>
        <v>3.19337487221</v>
      </c>
      <c r="G1493" s="36" t="str">
        <f>HYPERLINK(AA2 &amp; "/knife/sn_e6b32b3c927a7fbeae29387f6eb32067/rendering/04.obj", "2.31971788406")</f>
        <v>2.31971788406</v>
      </c>
      <c r="H1493" s="48" t="str">
        <f>HYPERLINK(AA2 &amp; "/knife/sn_e6b32b3c927a7fbeae29387f6eb32067/rendering/05.obj", "2.89075779915")</f>
        <v>2.89075779915</v>
      </c>
      <c r="I1493" s="41" t="str">
        <f>HYPERLINK(AA2 &amp; "/knife/sn_e6b32b3c927a7fbeae29387f6eb32067/rendering/06.obj", "2.75309562683")</f>
        <v>2.75309562683</v>
      </c>
      <c r="J1493" s="24" t="str">
        <f>HYPERLINK(AA2 &amp; "/knife/sn_e6b32b3c927a7fbeae29387f6eb32067/rendering/07.obj", "3.4545943737")</f>
        <v>3.4545943737</v>
      </c>
      <c r="K1493" s="7" t="str">
        <f>HYPERLINK(AA2 &amp; "/knife/sn_e6b32b3c927a7fbeae29387f6eb32067/rendering/08.obj", "3.77425217628")</f>
        <v>3.77425217628</v>
      </c>
      <c r="L1493" s="13" t="str">
        <f>HYPERLINK(AA2 &amp; "/knife/sn_e6b32b3c927a7fbeae29387f6eb32067/rendering/09.obj", "2.95977282524")</f>
        <v>2.95977282524</v>
      </c>
      <c r="M1493" s="149" t="str">
        <f>HYPERLINK(AA2 &amp; "/knife/sn_e6b32b3c927a7fbeae29387f6eb32067/rendering/10.obj", "1.94149231911")</f>
        <v>1.94149231911</v>
      </c>
      <c r="N1493" s="20" t="str">
        <f>HYPERLINK(AA2 &amp; "/knife/sn_e6b32b3c927a7fbeae29387f6eb32067/rendering/11.obj", "5.91134214401")</f>
        <v>5.91134214401</v>
      </c>
      <c r="O1493" s="15" t="str">
        <f>HYPERLINK(AA2 &amp; "/knife/sn_e6b32b3c927a7fbeae29387f6eb32067/rendering/12.obj", "1.46256196499")</f>
        <v>1.46256196499</v>
      </c>
      <c r="P1493" s="47" t="str">
        <f>HYPERLINK(AA2 &amp; "/knife/sn_e6b32b3c927a7fbeae29387f6eb32067/rendering/13.obj", "2.93137288094")</f>
        <v>2.93137288094</v>
      </c>
      <c r="Q1493" s="32" t="str">
        <f>HYPERLINK(AA2 &amp; "/knife/sn_e6b32b3c927a7fbeae29387f6eb32067/rendering/14.obj", "3.27225995064")</f>
        <v>3.27225995064</v>
      </c>
      <c r="R1493" s="179" t="str">
        <f>HYPERLINK(AA2 &amp; "/knife/sn_e6b32b3c927a7fbeae29387f6eb32067/rendering/15.obj", "1.69136416912")</f>
        <v>1.69136416912</v>
      </c>
      <c r="S1493" s="209" t="str">
        <f>HYPERLINK(AA2 &amp; "/knife/sn_e6b32b3c927a7fbeae29387f6eb32067/rendering/16.obj", "5.19334554672")</f>
        <v>5.19334554672</v>
      </c>
      <c r="T1493" s="151" t="str">
        <f>HYPERLINK(AA2 &amp; "/knife/sn_e6b32b3c927a7fbeae29387f6eb32067/rendering/17.obj", "1.89671337605")</f>
        <v>1.89671337605</v>
      </c>
      <c r="U1493" s="19" t="str">
        <f>HYPERLINK(AA2 &amp; "/knife/sn_e6b32b3c927a7fbeae29387f6eb32067/rendering/18.obj", "2.17883777618")</f>
        <v>2.17883777618</v>
      </c>
      <c r="V1493" s="150" t="str">
        <f>HYPERLINK(AA2 &amp; "/knife/sn_e6b32b3c927a7fbeae29387f6eb32067/rendering/19.obj", "1.36150741577")</f>
        <v>1.36150741577</v>
      </c>
      <c r="W1493" s="12" t="s">
        <v>30</v>
      </c>
      <c r="X1493" s="13">
        <v>2.9568843185901641</v>
      </c>
      <c r="Y1493" s="13">
        <v>1.2158475812892131</v>
      </c>
      <c r="Z1493" s="53">
        <v>0.41119213681951761</v>
      </c>
    </row>
    <row r="1494" spans="1:26" x14ac:dyDescent="0.2">
      <c r="A1494" s="1">
        <v>1492</v>
      </c>
      <c r="B1494" s="2" t="s">
        <v>331</v>
      </c>
      <c r="C1494" s="47" t="str">
        <f>HYPERLINK(AB2 &amp; "/knife/sn_e6b32b3c927a7fbeae29387f6eb32067/rendering/00.obj", "5.00299194336")</f>
        <v>5.00299194336</v>
      </c>
      <c r="D1494" s="65" t="str">
        <f>HYPERLINK(AB2 &amp; "/knife/sn_e6b32b3c927a7fbeae29387f6eb32067/rendering/01.obj", "4.37007141113")</f>
        <v>4.37007141113</v>
      </c>
      <c r="E1494" s="47" t="str">
        <f>HYPERLINK(AB2 &amp; "/knife/sn_e6b32b3c927a7fbeae29387f6eb32067/rendering/02.obj", "5.09323486328")</f>
        <v>5.09323486328</v>
      </c>
      <c r="F1494" s="74" t="str">
        <f>HYPERLINK(AB2 &amp; "/knife/sn_e6b32b3c927a7fbeae29387f6eb32067/rendering/03.obj", "5.12226013184")</f>
        <v>5.12226013184</v>
      </c>
      <c r="G1494" s="120" t="str">
        <f>HYPERLINK(AB2 &amp; "/knife/sn_e6b32b3c927a7fbeae29387f6eb32067/rendering/04.obj", "6.11666870117")</f>
        <v>6.11666870117</v>
      </c>
      <c r="H1494" s="17" t="str">
        <f>HYPERLINK(AB2 &amp; "/knife/sn_e6b32b3c927a7fbeae29387f6eb32067/rendering/05.obj", "4.948359375")</f>
        <v>4.948359375</v>
      </c>
      <c r="I1494" s="107" t="str">
        <f>HYPERLINK(AB2 &amp; "/knife/sn_e6b32b3c927a7fbeae29387f6eb32067/rendering/06.obj", "4.62760437012")</f>
        <v>4.62760437012</v>
      </c>
      <c r="J1494" s="46" t="str">
        <f>HYPERLINK(AB2 &amp; "/knife/sn_e6b32b3c927a7fbeae29387f6eb32067/rendering/07.obj", "5.13923217773")</f>
        <v>5.13923217773</v>
      </c>
      <c r="K1494" s="46" t="str">
        <f>HYPERLINK(AB2 &amp; "/knife/sn_e6b32b3c927a7fbeae29387f6eb32067/rendering/08.obj", "4.9643560791")</f>
        <v>4.9643560791</v>
      </c>
      <c r="L1494" s="5" t="str">
        <f>HYPERLINK(AB2 &amp; "/knife/sn_e6b32b3c927a7fbeae29387f6eb32067/rendering/09.obj", "5.44059814453")</f>
        <v>5.44059814453</v>
      </c>
      <c r="M1494" s="5" t="str">
        <f>HYPERLINK(AB2 &amp; "/knife/sn_e6b32b3c927a7fbeae29387f6eb32067/rendering/10.obj", "4.65685546875")</f>
        <v>4.65685546875</v>
      </c>
      <c r="N1494" s="28" t="str">
        <f>HYPERLINK(AB2 &amp; "/knife/sn_e6b32b3c927a7fbeae29387f6eb32067/rendering/11.obj", "4.4845916748")</f>
        <v>4.4845916748</v>
      </c>
      <c r="O1494" s="92" t="str">
        <f>HYPERLINK(AB2 &amp; "/knife/sn_e6b32b3c927a7fbeae29387f6eb32067/rendering/12.obj", "5.67432678223")</f>
        <v>5.67432678223</v>
      </c>
      <c r="P1494" s="13" t="str">
        <f>HYPERLINK(AB2 &amp; "/knife/sn_e6b32b3c927a7fbeae29387f6eb32067/rendering/13.obj", "5.06226715088")</f>
        <v>5.06226715088</v>
      </c>
      <c r="Q1494" s="26" t="str">
        <f>HYPERLINK(AB2 &amp; "/knife/sn_e6b32b3c927a7fbeae29387f6eb32067/rendering/14.obj", "4.71684326172")</f>
        <v>4.71684326172</v>
      </c>
      <c r="R1494" s="74" t="str">
        <f>HYPERLINK(AB2 &amp; "/knife/sn_e6b32b3c927a7fbeae29387f6eb32067/rendering/15.obj", "4.98380432129")</f>
        <v>4.98380432129</v>
      </c>
      <c r="S1494" s="66" t="str">
        <f>HYPERLINK(AB2 &amp; "/knife/sn_e6b32b3c927a7fbeae29387f6eb32067/rendering/16.obj", "4.23676422119")</f>
        <v>4.23676422119</v>
      </c>
      <c r="T1494" s="36" t="str">
        <f>HYPERLINK(AB2 &amp; "/knife/sn_e6b32b3c927a7fbeae29387f6eb32067/rendering/17.obj", "6.12929199219")</f>
        <v>6.12929199219</v>
      </c>
      <c r="U1494" s="25" t="str">
        <f>HYPERLINK(AB2 &amp; "/knife/sn_e6b32b3c927a7fbeae29387f6eb32067/rendering/18.obj", "5.09633178711")</f>
        <v>5.09633178711</v>
      </c>
      <c r="V1494" s="25" t="str">
        <f>HYPERLINK(AB2 &amp; "/knife/sn_e6b32b3c927a7fbeae29387f6eb32067/rendering/19.obj", "5.10102905273")</f>
        <v>5.10102905273</v>
      </c>
      <c r="W1494" s="12" t="s">
        <v>31</v>
      </c>
      <c r="X1494" s="13">
        <v>5.0483741455078128</v>
      </c>
      <c r="Y1494" s="13">
        <v>0.48869616620591988</v>
      </c>
      <c r="Z1494" s="90">
        <v>9.6802683818665788E-2</v>
      </c>
    </row>
    <row r="1495" spans="1:26" x14ac:dyDescent="0.2">
      <c r="A1495" s="1">
        <v>1493</v>
      </c>
      <c r="B1495" s="2" t="s">
        <v>331</v>
      </c>
      <c r="C1495" s="24" t="str">
        <f>HYPERLINK(AB2 &amp; "/knife/sn_e6b32b3c927a7fbeae29387f6eb32067/rendering/00.obj", "1.55296444893")</f>
        <v>1.55296444893</v>
      </c>
      <c r="D1495" s="51" t="str">
        <f>HYPERLINK(AB2 &amp; "/knife/sn_e6b32b3c927a7fbeae29387f6eb32067/rendering/01.obj", "1.71827697754")</f>
        <v>1.71827697754</v>
      </c>
      <c r="E1495" s="96" t="str">
        <f>HYPERLINK(AB2 &amp; "/knife/sn_e6b32b3c927a7fbeae29387f6eb32067/rendering/02.obj", "1.19170665741")</f>
        <v>1.19170665741</v>
      </c>
      <c r="F1495" s="119" t="str">
        <f>HYPERLINK(AB2 &amp; "/knife/sn_e6b32b3c927a7fbeae29387f6eb32067/rendering/03.obj", "2.36111664772")</f>
        <v>2.36111664772</v>
      </c>
      <c r="G1495" s="177" t="str">
        <f>HYPERLINK(AB2 &amp; "/knife/sn_e6b32b3c927a7fbeae29387f6eb32067/rendering/04.obj", "2.86489367485")</f>
        <v>2.86489367485</v>
      </c>
      <c r="H1495" s="74" t="str">
        <f>HYPERLINK(AB2 &amp; "/knife/sn_e6b32b3c927a7fbeae29387f6eb32067/rendering/05.obj", "1.89373278618")</f>
        <v>1.89373278618</v>
      </c>
      <c r="I1495" s="106" t="str">
        <f>HYPERLINK(AB2 &amp; "/knife/sn_e6b32b3c927a7fbeae29387f6eb32067/rendering/06.obj", "1.64887738228")</f>
        <v>1.64887738228</v>
      </c>
      <c r="J1495" s="27" t="str">
        <f>HYPERLINK(AB2 &amp; "/knife/sn_e6b32b3c927a7fbeae29387f6eb32067/rendering/07.obj", "1.73563349247")</f>
        <v>1.73563349247</v>
      </c>
      <c r="K1495" s="78" t="str">
        <f>HYPERLINK(AB2 &amp; "/knife/sn_e6b32b3c927a7fbeae29387f6eb32067/rendering/08.obj", "1.98183608055")</f>
        <v>1.98183608055</v>
      </c>
      <c r="L1495" s="151" t="str">
        <f>HYPERLINK(AB2 &amp; "/knife/sn_e6b32b3c927a7fbeae29387f6eb32067/rendering/09.obj", "2.53222346306")</f>
        <v>2.53222346306</v>
      </c>
      <c r="M1495" s="107" t="str">
        <f>HYPERLINK(AB2 &amp; "/knife/sn_e6b32b3c927a7fbeae29387f6eb32067/rendering/10.obj", "2.01711034775")</f>
        <v>2.01711034775</v>
      </c>
      <c r="N1495" s="38" t="str">
        <f>HYPERLINK(AB2 &amp; "/knife/sn_e6b32b3c927a7fbeae29387f6eb32067/rendering/11.obj", "2.03032541275")</f>
        <v>2.03032541275</v>
      </c>
      <c r="O1495" s="59" t="str">
        <f>HYPERLINK(AB2 &amp; "/knife/sn_e6b32b3c927a7fbeae29387f6eb32067/rendering/12.obj", "2.31124544144")</f>
        <v>2.31124544144</v>
      </c>
      <c r="P1495" s="93" t="str">
        <f>HYPERLINK(AB2 &amp; "/knife/sn_e6b32b3c927a7fbeae29387f6eb32067/rendering/13.obj", "2.12567830086")</f>
        <v>2.12567830086</v>
      </c>
      <c r="Q1495" s="6" t="str">
        <f>HYPERLINK(AB2 &amp; "/knife/sn_e6b32b3c927a7fbeae29387f6eb32067/rendering/14.obj", "1.94990503788")</f>
        <v>1.94990503788</v>
      </c>
      <c r="R1495" s="43" t="str">
        <f>HYPERLINK(AB2 &amp; "/knife/sn_e6b32b3c927a7fbeae29387f6eb32067/rendering/15.obj", "1.16723203659")</f>
        <v>1.16723203659</v>
      </c>
      <c r="S1495" s="76" t="str">
        <f>HYPERLINK(AB2 &amp; "/knife/sn_e6b32b3c927a7fbeae29387f6eb32067/rendering/16.obj", "1.52233886719")</f>
        <v>1.52233886719</v>
      </c>
      <c r="T1495" s="71" t="str">
        <f>HYPERLINK(AB2 &amp; "/knife/sn_e6b32b3c927a7fbeae29387f6eb32067/rendering/17.obj", "2.08222579956")</f>
        <v>2.08222579956</v>
      </c>
      <c r="U1495" s="123" t="str">
        <f>HYPERLINK(AB2 &amp; "/knife/sn_e6b32b3c927a7fbeae29387f6eb32067/rendering/18.obj", "1.17867922783")</f>
        <v>1.17867922783</v>
      </c>
      <c r="V1495" s="175" t="str">
        <f>HYPERLINK(AB2 &amp; "/knife/sn_e6b32b3c927a7fbeae29387f6eb32067/rendering/19.obj", "1.43101453781")</f>
        <v>1.43101453781</v>
      </c>
      <c r="W1495" s="12" t="s">
        <v>32</v>
      </c>
      <c r="X1495" s="13">
        <v>1.864850831031799</v>
      </c>
      <c r="Y1495" s="13">
        <v>0.44591899329818507</v>
      </c>
      <c r="Z1495" s="59">
        <v>0.23911778136778031</v>
      </c>
    </row>
    <row r="1496" spans="1:26" x14ac:dyDescent="0.2">
      <c r="A1496" s="1">
        <v>1494</v>
      </c>
      <c r="B1496" s="2" t="s">
        <v>331</v>
      </c>
      <c r="C1496" s="13" t="str">
        <f>HYPERLINK(AC2 &amp; "/knife/sn_e6b32b3c927a7fbeae29387f6eb32067/rendering/00.xyz", "0.0")</f>
        <v>0.0</v>
      </c>
      <c r="D1496" s="13" t="str">
        <f>HYPERLINK(AC2 &amp; "/knife/sn_e6b32b3c927a7fbeae29387f6eb32067/rendering/01.xyz", "0.0")</f>
        <v>0.0</v>
      </c>
      <c r="E1496" s="13" t="str">
        <f>HYPERLINK(AC2 &amp; "/knife/sn_e6b32b3c927a7fbeae29387f6eb32067/rendering/02.xyz", "0.0")</f>
        <v>0.0</v>
      </c>
      <c r="F1496" s="13" t="str">
        <f>HYPERLINK(AC2 &amp; "/knife/sn_e6b32b3c927a7fbeae29387f6eb32067/rendering/03.xyz", "0.0")</f>
        <v>0.0</v>
      </c>
      <c r="G1496" s="13" t="str">
        <f>HYPERLINK(AC2 &amp; "/knife/sn_e6b32b3c927a7fbeae29387f6eb32067/rendering/04.xyz", "0.0")</f>
        <v>0.0</v>
      </c>
      <c r="H1496" s="13" t="str">
        <f>HYPERLINK(AC2 &amp; "/knife/sn_e6b32b3c927a7fbeae29387f6eb32067/rendering/05.xyz", "0.0")</f>
        <v>0.0</v>
      </c>
      <c r="I1496" s="13" t="str">
        <f>HYPERLINK(AC2 &amp; "/knife/sn_e6b32b3c927a7fbeae29387f6eb32067/rendering/06.xyz", "0.0")</f>
        <v>0.0</v>
      </c>
      <c r="J1496" s="13" t="str">
        <f>HYPERLINK(AC2 &amp; "/knife/sn_e6b32b3c927a7fbeae29387f6eb32067/rendering/07.xyz", "0.0")</f>
        <v>0.0</v>
      </c>
      <c r="K1496" s="13" t="str">
        <f>HYPERLINK(AC2 &amp; "/knife/sn_e6b32b3c927a7fbeae29387f6eb32067/rendering/08.xyz", "0.0")</f>
        <v>0.0</v>
      </c>
      <c r="L1496" s="13" t="str">
        <f>HYPERLINK(AC2 &amp; "/knife/sn_e6b32b3c927a7fbeae29387f6eb32067/rendering/09.xyz", "0.0")</f>
        <v>0.0</v>
      </c>
      <c r="M1496" s="13" t="str">
        <f>HYPERLINK(AC2 &amp; "/knife/sn_e6b32b3c927a7fbeae29387f6eb32067/rendering/10.xyz", "0.0")</f>
        <v>0.0</v>
      </c>
      <c r="N1496" s="13" t="str">
        <f>HYPERLINK(AC2 &amp; "/knife/sn_e6b32b3c927a7fbeae29387f6eb32067/rendering/11.xyz", "0.0")</f>
        <v>0.0</v>
      </c>
      <c r="O1496" s="13" t="str">
        <f>HYPERLINK(AC2 &amp; "/knife/sn_e6b32b3c927a7fbeae29387f6eb32067/rendering/12.xyz", "0.0")</f>
        <v>0.0</v>
      </c>
      <c r="P1496" s="13" t="str">
        <f>HYPERLINK(AC2 &amp; "/knife/sn_e6b32b3c927a7fbeae29387f6eb32067/rendering/13.xyz", "0.0")</f>
        <v>0.0</v>
      </c>
      <c r="Q1496" s="13" t="str">
        <f>HYPERLINK(AC2 &amp; "/knife/sn_e6b32b3c927a7fbeae29387f6eb32067/rendering/14.xyz", "0.0")</f>
        <v>0.0</v>
      </c>
      <c r="R1496" s="13" t="str">
        <f>HYPERLINK(AC2 &amp; "/knife/sn_e6b32b3c927a7fbeae29387f6eb32067/rendering/15.xyz", "0.0")</f>
        <v>0.0</v>
      </c>
      <c r="S1496" s="13" t="str">
        <f>HYPERLINK(AC2 &amp; "/knife/sn_e6b32b3c927a7fbeae29387f6eb32067/rendering/16.xyz", "0.0")</f>
        <v>0.0</v>
      </c>
      <c r="T1496" s="13" t="str">
        <f>HYPERLINK(AC2 &amp; "/knife/sn_e6b32b3c927a7fbeae29387f6eb32067/rendering/17.xyz", "0.0")</f>
        <v>0.0</v>
      </c>
      <c r="U1496" s="13" t="str">
        <f>HYPERLINK(AC2 &amp; "/knife/sn_e6b32b3c927a7fbeae29387f6eb32067/rendering/18.xyz", "0.0")</f>
        <v>0.0</v>
      </c>
      <c r="V1496" s="13" t="str">
        <f>HYPERLINK(AC2 &amp; "/knife/sn_e6b32b3c927a7fbeae29387f6eb32067/rendering/19.xyz", "0.0")</f>
        <v>0.0</v>
      </c>
      <c r="W1496" s="12" t="s">
        <v>33</v>
      </c>
      <c r="X1496" s="13">
        <v>0</v>
      </c>
      <c r="Y1496" s="13">
        <v>0</v>
      </c>
      <c r="Z1496" s="13">
        <v>0</v>
      </c>
    </row>
    <row r="1497" spans="1:26" x14ac:dyDescent="0.2">
      <c r="A1497" s="1">
        <v>1495</v>
      </c>
      <c r="B1497" s="2" t="s">
        <v>332</v>
      </c>
      <c r="C1497" s="159" t="str">
        <f>HYPERLINK(AA2 &amp; "/knife/sn_e6d18d45abd40a22e5ae31c6c631a39/rendering/00.obj", "2.06926086426")</f>
        <v>2.06926086426</v>
      </c>
      <c r="D1497" s="97" t="str">
        <f>HYPERLINK(AA2 &amp; "/knife/sn_e6d18d45abd40a22e5ae31c6c631a39/rendering/01.obj", "2.20133682251")</f>
        <v>2.20133682251</v>
      </c>
      <c r="E1497" s="152" t="str">
        <f>HYPERLINK(AA2 &amp; "/knife/sn_e6d18d45abd40a22e5ae31c6c631a39/rendering/02.obj", "2.31761566162")</f>
        <v>2.31761566162</v>
      </c>
      <c r="F1497" s="68" t="str">
        <f>HYPERLINK(AA2 &amp; "/knife/sn_e6d18d45abd40a22e5ae31c6c631a39/rendering/03.obj", "4.06230499268")</f>
        <v>4.06230499268</v>
      </c>
      <c r="G1497" s="60" t="str">
        <f>HYPERLINK(AA2 &amp; "/knife/sn_e6d18d45abd40a22e5ae31c6c631a39/rendering/04.obj", "4.09989532471")</f>
        <v>4.09989532471</v>
      </c>
      <c r="H1497" s="64" t="str">
        <f>HYPERLINK(AA2 &amp; "/knife/sn_e6d18d45abd40a22e5ae31c6c631a39/rendering/05.obj", "4.54536865234")</f>
        <v>4.54536865234</v>
      </c>
      <c r="I1497" s="14" t="str">
        <f>HYPERLINK(AA2 &amp; "/knife/sn_e6d18d45abd40a22e5ae31c6c631a39/rendering/06.obj", "2.76853057861")</f>
        <v>2.76853057861</v>
      </c>
      <c r="J1497" s="178" t="str">
        <f>HYPERLINK(AA2 &amp; "/knife/sn_e6d18d45abd40a22e5ae31c6c631a39/rendering/07.obj", "6.41889465332")</f>
        <v>6.41889465332</v>
      </c>
      <c r="K1497" s="20" t="str">
        <f>HYPERLINK(AA2 &amp; "/knife/sn_e6d18d45abd40a22e5ae31c6c631a39/rendering/08.obj", "9.17621948242")</f>
        <v>9.17621948242</v>
      </c>
      <c r="L1497" s="83" t="str">
        <f>HYPERLINK(AA2 &amp; "/knife/sn_e6d18d45abd40a22e5ae31c6c631a39/rendering/09.obj", "3.3021472168")</f>
        <v>3.3021472168</v>
      </c>
      <c r="M1497" s="128" t="str">
        <f>HYPERLINK(AA2 &amp; "/knife/sn_e6d18d45abd40a22e5ae31c6c631a39/rendering/10.obj", "2.37122070313")</f>
        <v>2.37122070313</v>
      </c>
      <c r="N1497" s="98" t="str">
        <f>HYPERLINK(AA2 &amp; "/knife/sn_e6d18d45abd40a22e5ae31c6c631a39/rendering/11.obj", "4.79306274414")</f>
        <v>4.79306274414</v>
      </c>
      <c r="O1497" s="20" t="str">
        <f>HYPERLINK(AA2 &amp; "/knife/sn_e6d18d45abd40a22e5ae31c6c631a39/rendering/12.obj", "9.87285949707")</f>
        <v>9.87285949707</v>
      </c>
      <c r="P1497" s="181" t="str">
        <f>HYPERLINK(AA2 &amp; "/knife/sn_e6d18d45abd40a22e5ae31c6c631a39/rendering/13.obj", "2.16170501709")</f>
        <v>2.16170501709</v>
      </c>
      <c r="Q1497" s="53" t="str">
        <f>HYPERLINK(AA2 &amp; "/knife/sn_e6d18d45abd40a22e5ae31c6c631a39/rendering/14.obj", "2.2858883667")</f>
        <v>2.2858883667</v>
      </c>
      <c r="R1497" s="71" t="str">
        <f>HYPERLINK(AA2 &amp; "/knife/sn_e6d18d45abd40a22e5ae31c6c631a39/rendering/15.obj", "3.43984924316")</f>
        <v>3.43984924316</v>
      </c>
      <c r="S1497" s="51" t="str">
        <f>HYPERLINK(AA2 &amp; "/knife/sn_e6d18d45abd40a22e5ae31c6c631a39/rendering/16.obj", "3.58906097412")</f>
        <v>3.58906097412</v>
      </c>
      <c r="T1497" s="7" t="str">
        <f>HYPERLINK(AA2 &amp; "/knife/sn_e6d18d45abd40a22e5ae31c6c631a39/rendering/17.obj", "2.81097869873")</f>
        <v>2.81097869873</v>
      </c>
      <c r="U1497" s="124" t="str">
        <f>HYPERLINK(AA2 &amp; "/knife/sn_e6d18d45abd40a22e5ae31c6c631a39/rendering/18.obj", "2.41189605713")</f>
        <v>2.41189605713</v>
      </c>
      <c r="V1497" s="66" t="str">
        <f>HYPERLINK(AA2 &amp; "/knife/sn_e6d18d45abd40a22e5ae31c6c631a39/rendering/19.obj", "3.26609741211")</f>
        <v>3.26609741211</v>
      </c>
      <c r="W1497" s="12" t="s">
        <v>29</v>
      </c>
      <c r="X1497" s="13">
        <v>3.8982096481323252</v>
      </c>
      <c r="Y1497" s="13">
        <v>2.1632405336405029</v>
      </c>
      <c r="Z1497" s="21">
        <v>0.5549318094466611</v>
      </c>
    </row>
    <row r="1498" spans="1:26" x14ac:dyDescent="0.2">
      <c r="A1498" s="1">
        <v>1496</v>
      </c>
      <c r="B1498" s="2" t="s">
        <v>332</v>
      </c>
      <c r="C1498" s="246" t="str">
        <f>HYPERLINK(AA2 &amp; "/knife/sn_e6d18d45abd40a22e5ae31c6c631a39/rendering/00.obj", "1.06195068359")</f>
        <v>1.06195068359</v>
      </c>
      <c r="D1498" s="197" t="str">
        <f>HYPERLINK(AA2 &amp; "/knife/sn_e6d18d45abd40a22e5ae31c6c631a39/rendering/01.obj", "1.18301069736")</f>
        <v>1.18301069736</v>
      </c>
      <c r="E1498" s="226" t="str">
        <f>HYPERLINK(AA2 &amp; "/knife/sn_e6d18d45abd40a22e5ae31c6c631a39/rendering/02.obj", "1.18551135063")</f>
        <v>1.18551135063</v>
      </c>
      <c r="F1498" s="89" t="str">
        <f>HYPERLINK(AA2 &amp; "/knife/sn_e6d18d45abd40a22e5ae31c6c631a39/rendering/03.obj", "3.42922735214")</f>
        <v>3.42922735214</v>
      </c>
      <c r="G1498" s="42" t="str">
        <f>HYPERLINK(AA2 &amp; "/knife/sn_e6d18d45abd40a22e5ae31c6c631a39/rendering/04.obj", "3.09292864799")</f>
        <v>3.09292864799</v>
      </c>
      <c r="H1498" s="17" t="str">
        <f>HYPERLINK(AA2 &amp; "/knife/sn_e6d18d45abd40a22e5ae31c6c631a39/rendering/05.obj", "2.78039526939")</f>
        <v>2.78039526939</v>
      </c>
      <c r="I1498" s="212" t="str">
        <f>HYPERLINK(AA2 &amp; "/knife/sn_e6d18d45abd40a22e5ae31c6c631a39/rendering/06.obj", "1.54635357857")</f>
        <v>1.54635357857</v>
      </c>
      <c r="J1498" s="20" t="str">
        <f>HYPERLINK(AA2 &amp; "/knife/sn_e6d18d45abd40a22e5ae31c6c631a39/rendering/07.obj", "5.59430932999")</f>
        <v>5.59430932999</v>
      </c>
      <c r="K1498" s="20" t="str">
        <f>HYPERLINK(AA2 &amp; "/knife/sn_e6d18d45abd40a22e5ae31c6c631a39/rendering/08.obj", "4.9586482048")</f>
        <v>4.9586482048</v>
      </c>
      <c r="L1498" s="160" t="str">
        <f>HYPERLINK(AA2 &amp; "/knife/sn_e6d18d45abd40a22e5ae31c6c631a39/rendering/09.obj", "1.28621149063")</f>
        <v>1.28621149063</v>
      </c>
      <c r="M1498" s="227" t="str">
        <f>HYPERLINK(AA2 &amp; "/knife/sn_e6d18d45abd40a22e5ae31c6c631a39/rendering/10.obj", "1.33316385746")</f>
        <v>1.33316385746</v>
      </c>
      <c r="N1498" s="20" t="str">
        <f>HYPERLINK(AA2 &amp; "/knife/sn_e6d18d45abd40a22e5ae31c6c631a39/rendering/11.obj", "5.60848379135")</f>
        <v>5.60848379135</v>
      </c>
      <c r="O1498" s="20" t="str">
        <f>HYPERLINK(AA2 &amp; "/knife/sn_e6d18d45abd40a22e5ae31c6c631a39/rendering/12.obj", "8.39776611328")</f>
        <v>8.39776611328</v>
      </c>
      <c r="P1498" s="206" t="str">
        <f>HYPERLINK(AA2 &amp; "/knife/sn_e6d18d45abd40a22e5ae31c6c631a39/rendering/13.obj", "1.10929536819")</f>
        <v>1.10929536819</v>
      </c>
      <c r="Q1498" s="241" t="str">
        <f>HYPERLINK(AA2 &amp; "/knife/sn_e6d18d45abd40a22e5ae31c6c631a39/rendering/14.obj", "0.97937142849")</f>
        <v>0.97937142849</v>
      </c>
      <c r="R1498" s="27" t="str">
        <f>HYPERLINK(AA2 &amp; "/knife/sn_e6d18d45abd40a22e5ae31c6c631a39/rendering/15.obj", "2.53370404243")</f>
        <v>2.53370404243</v>
      </c>
      <c r="S1498" s="110" t="str">
        <f>HYPERLINK(AA2 &amp; "/knife/sn_e6d18d45abd40a22e5ae31c6c631a39/rendering/16.obj", "2.99169874191")</f>
        <v>2.99169874191</v>
      </c>
      <c r="T1498" s="170" t="str">
        <f>HYPERLINK(AA2 &amp; "/knife/sn_e6d18d45abd40a22e5ae31c6c631a39/rendering/17.obj", "2.03536891937")</f>
        <v>2.03536891937</v>
      </c>
      <c r="U1498" s="160" t="str">
        <f>HYPERLINK(AA2 &amp; "/knife/sn_e6d18d45abd40a22e5ae31c6c631a39/rendering/18.obj", "1.28462159634")</f>
        <v>1.28462159634</v>
      </c>
      <c r="V1498" s="129" t="str">
        <f>HYPERLINK(AA2 &amp; "/knife/sn_e6d18d45abd40a22e5ae31c6c631a39/rendering/19.obj", "2.04198527336")</f>
        <v>2.04198527336</v>
      </c>
      <c r="W1498" s="12" t="s">
        <v>30</v>
      </c>
      <c r="X1498" s="13">
        <v>2.721700286865234</v>
      </c>
      <c r="Y1498" s="13">
        <v>1.9499138824605771</v>
      </c>
      <c r="Z1498" s="188">
        <v>0.71643225812582911</v>
      </c>
    </row>
    <row r="1499" spans="1:26" x14ac:dyDescent="0.2">
      <c r="A1499" s="1">
        <v>1497</v>
      </c>
      <c r="B1499" s="2" t="s">
        <v>332</v>
      </c>
      <c r="C1499" s="84" t="str">
        <f>HYPERLINK(AB2 &amp; "/knife/sn_e6d18d45abd40a22e5ae31c6c631a39/rendering/00.obj", "3.0373223877")</f>
        <v>3.0373223877</v>
      </c>
      <c r="D1499" s="74" t="str">
        <f>HYPERLINK(AB2 &amp; "/knife/sn_e6d18d45abd40a22e5ae31c6c631a39/rendering/01.obj", "3.49921875")</f>
        <v>3.49921875</v>
      </c>
      <c r="E1499" s="88" t="str">
        <f>HYPERLINK(AB2 &amp; "/knife/sn_e6d18d45abd40a22e5ae31c6c631a39/rendering/02.obj", "2.83174621582")</f>
        <v>2.83174621582</v>
      </c>
      <c r="F1499" s="5" t="str">
        <f>HYPERLINK(AB2 &amp; "/knife/sn_e6d18d45abd40a22e5ae31c6c631a39/rendering/03.obj", "3.83204406738")</f>
        <v>3.83204406738</v>
      </c>
      <c r="G1499" s="182" t="str">
        <f>HYPERLINK(AB2 &amp; "/knife/sn_e6d18d45abd40a22e5ae31c6c631a39/rendering/04.obj", "4.74484924316")</f>
        <v>4.74484924316</v>
      </c>
      <c r="H1499" s="48" t="str">
        <f>HYPERLINK(AB2 &amp; "/knife/sn_e6d18d45abd40a22e5ae31c6c631a39/rendering/05.obj", "3.64050720215")</f>
        <v>3.64050720215</v>
      </c>
      <c r="I1499" s="6" t="str">
        <f>HYPERLINK(AB2 &amp; "/knife/sn_e6d18d45abd40a22e5ae31c6c631a39/rendering/06.obj", "3.71304351807")</f>
        <v>3.71304351807</v>
      </c>
      <c r="J1499" s="10" t="str">
        <f>HYPERLINK(AB2 &amp; "/knife/sn_e6d18d45abd40a22e5ae31c6c631a39/rendering/07.obj", "3.36007751465")</f>
        <v>3.36007751465</v>
      </c>
      <c r="K1499" s="203" t="str">
        <f>HYPERLINK(AB2 &amp; "/knife/sn_e6d18d45abd40a22e5ae31c6c631a39/rendering/08.obj", "5.21223999023")</f>
        <v>5.21223999023</v>
      </c>
      <c r="L1499" s="27" t="str">
        <f>HYPERLINK(AB2 &amp; "/knife/sn_e6d18d45abd40a22e5ae31c6c631a39/rendering/09.obj", "3.80903045654")</f>
        <v>3.80903045654</v>
      </c>
      <c r="M1499" s="30" t="str">
        <f>HYPERLINK(AB2 &amp; "/knife/sn_e6d18d45abd40a22e5ae31c6c631a39/rendering/10.obj", "3.5384564209")</f>
        <v>3.5384564209</v>
      </c>
      <c r="N1499" s="119" t="str">
        <f>HYPERLINK(AB2 &amp; "/knife/sn_e6d18d45abd40a22e5ae31c6c631a39/rendering/11.obj", "2.61393463135")</f>
        <v>2.61393463135</v>
      </c>
      <c r="O1499" s="126" t="str">
        <f>HYPERLINK(AB2 &amp; "/knife/sn_e6d18d45abd40a22e5ae31c6c631a39/rendering/12.obj", "5.33346923828")</f>
        <v>5.33346923828</v>
      </c>
      <c r="P1499" s="110" t="str">
        <f>HYPERLINK(AB2 &amp; "/knife/sn_e6d18d45abd40a22e5ae31c6c631a39/rendering/13.obj", "3.20672363281")</f>
        <v>3.20672363281</v>
      </c>
      <c r="Q1499" s="34" t="str">
        <f>HYPERLINK(AB2 &amp; "/knife/sn_e6d18d45abd40a22e5ae31c6c631a39/rendering/14.obj", "3.72098571777")</f>
        <v>3.72098571777</v>
      </c>
      <c r="R1499" s="76" t="str">
        <f>HYPERLINK(AB2 &amp; "/knife/sn_e6d18d45abd40a22e5ae31c6c631a39/rendering/15.obj", "2.89754333496")</f>
        <v>2.89754333496</v>
      </c>
      <c r="S1499" s="5" t="str">
        <f>HYPERLINK(AB2 &amp; "/knife/sn_e6d18d45abd40a22e5ae31c6c631a39/rendering/16.obj", "3.82944854736")</f>
        <v>3.82944854736</v>
      </c>
      <c r="T1499" s="181" t="str">
        <f>HYPERLINK(AB2 &amp; "/knife/sn_e6d18d45abd40a22e5ae31c6c631a39/rendering/17.obj", "1.97471160889")</f>
        <v>1.97471160889</v>
      </c>
      <c r="U1499" s="107" t="str">
        <f>HYPERLINK(AB2 &amp; "/knife/sn_e6d18d45abd40a22e5ae31c6c631a39/rendering/18.obj", "3.25935180664")</f>
        <v>3.25935180664</v>
      </c>
      <c r="V1499" s="83" t="str">
        <f>HYPERLINK(AB2 &amp; "/knife/sn_e6d18d45abd40a22e5ae31c6c631a39/rendering/19.obj", "3.01570037842")</f>
        <v>3.01570037842</v>
      </c>
      <c r="W1499" s="12" t="s">
        <v>31</v>
      </c>
      <c r="X1499" s="13">
        <v>3.553520233154297</v>
      </c>
      <c r="Y1499" s="13">
        <v>0.79839593086256122</v>
      </c>
      <c r="Z1499" s="11">
        <v>0.224677468672765</v>
      </c>
    </row>
    <row r="1500" spans="1:26" x14ac:dyDescent="0.2">
      <c r="A1500" s="1">
        <v>1498</v>
      </c>
      <c r="B1500" s="2" t="s">
        <v>332</v>
      </c>
      <c r="C1500" s="126" t="str">
        <f>HYPERLINK(AB2 &amp; "/knife/sn_e6d18d45abd40a22e5ae31c6c631a39/rendering/00.obj", "0.817032158375")</f>
        <v>0.817032158375</v>
      </c>
      <c r="D1500" s="170" t="str">
        <f>HYPERLINK(AB2 &amp; "/knife/sn_e6d18d45abd40a22e5ae31c6c631a39/rendering/01.obj", "2.04818582535")</f>
        <v>2.04818582535</v>
      </c>
      <c r="E1500" s="87" t="str">
        <f>HYPERLINK(AB2 &amp; "/knife/sn_e6d18d45abd40a22e5ae31c6c631a39/rendering/02.obj", "1.26328361034")</f>
        <v>1.26328361034</v>
      </c>
      <c r="F1500" s="62" t="str">
        <f>HYPERLINK(AB2 &amp; "/knife/sn_e6d18d45abd40a22e5ae31c6c631a39/rendering/03.obj", "2.61521148682")</f>
        <v>2.61521148682</v>
      </c>
      <c r="G1500" s="164" t="str">
        <f>HYPERLINK(AB2 &amp; "/knife/sn_e6d18d45abd40a22e5ae31c6c631a39/rendering/04.obj", "2.67464900017")</f>
        <v>2.67464900017</v>
      </c>
      <c r="H1500" s="90" t="str">
        <f>HYPERLINK(AB2 &amp; "/knife/sn_e6d18d45abd40a22e5ae31c6c631a39/rendering/05.obj", "1.7916110754")</f>
        <v>1.7916110754</v>
      </c>
      <c r="I1500" s="104" t="str">
        <f>HYPERLINK(AB2 &amp; "/knife/sn_e6d18d45abd40a22e5ae31c6c631a39/rendering/06.obj", "2.41659545898")</f>
        <v>2.41659545898</v>
      </c>
      <c r="J1500" s="55" t="str">
        <f>HYPERLINK(AB2 &amp; "/knife/sn_e6d18d45abd40a22e5ae31c6c631a39/rendering/07.obj", "1.95133638382")</f>
        <v>1.95133638382</v>
      </c>
      <c r="K1500" s="25" t="str">
        <f>HYPERLINK(AB2 &amp; "/knife/sn_e6d18d45abd40a22e5ae31c6c631a39/rendering/08.obj", "1.61909389496")</f>
        <v>1.61909389496</v>
      </c>
      <c r="L1500" s="130" t="str">
        <f>HYPERLINK(AB2 &amp; "/knife/sn_e6d18d45abd40a22e5ae31c6c631a39/rendering/09.obj", "0.901010990143")</f>
        <v>0.901010990143</v>
      </c>
      <c r="M1500" s="47" t="str">
        <f>HYPERLINK(AB2 &amp; "/knife/sn_e6d18d45abd40a22e5ae31c6c631a39/rendering/10.obj", "1.65010285378")</f>
        <v>1.65010285378</v>
      </c>
      <c r="N1500" s="37" t="str">
        <f>HYPERLINK(AB2 &amp; "/knife/sn_e6d18d45abd40a22e5ae31c6c631a39/rendering/11.obj", "1.35132873058")</f>
        <v>1.35132873058</v>
      </c>
      <c r="O1500" s="30" t="str">
        <f>HYPERLINK(AB2 &amp; "/knife/sn_e6d18d45abd40a22e5ae31c6c631a39/rendering/12.obj", "1.64649510384")</f>
        <v>1.64649510384</v>
      </c>
      <c r="P1500" s="119" t="str">
        <f>HYPERLINK(AB2 &amp; "/knife/sn_e6d18d45abd40a22e5ae31c6c631a39/rendering/13.obj", "1.20350217819")</f>
        <v>1.20350217819</v>
      </c>
      <c r="Q1500" s="145" t="str">
        <f>HYPERLINK(AB2 &amp; "/knife/sn_e6d18d45abd40a22e5ae31c6c631a39/rendering/14.obj", "2.44213175774")</f>
        <v>2.44213175774</v>
      </c>
      <c r="R1500" s="77" t="str">
        <f>HYPERLINK(AB2 &amp; "/knife/sn_e6d18d45abd40a22e5ae31c6c631a39/rendering/15.obj", "1.33184766769")</f>
        <v>1.33184766769</v>
      </c>
      <c r="S1500" s="52" t="str">
        <f>HYPERLINK(AB2 &amp; "/knife/sn_e6d18d45abd40a22e5ae31c6c631a39/rendering/16.obj", "0.98426759243")</f>
        <v>0.98426759243</v>
      </c>
      <c r="T1500" s="148" t="str">
        <f>HYPERLINK(AB2 &amp; "/knife/sn_e6d18d45abd40a22e5ae31c6c631a39/rendering/17.obj", "0.845082104206")</f>
        <v>0.845082104206</v>
      </c>
      <c r="U1500" s="65" t="str">
        <f>HYPERLINK(AB2 &amp; "/knife/sn_e6d18d45abd40a22e5ae31c6c631a39/rendering/18.obj", "1.85544657707")</f>
        <v>1.85544657707</v>
      </c>
      <c r="V1500" s="77" t="str">
        <f>HYPERLINK(AB2 &amp; "/knife/sn_e6d18d45abd40a22e5ae31c6c631a39/rendering/19.obj", "1.33250451088")</f>
        <v>1.33250451088</v>
      </c>
      <c r="W1500" s="12" t="s">
        <v>32</v>
      </c>
      <c r="X1500" s="13">
        <v>1.6370359480381009</v>
      </c>
      <c r="Y1500" s="13">
        <v>0.56973480351466876</v>
      </c>
      <c r="Z1500" s="140">
        <v>0.34802827891315707</v>
      </c>
    </row>
    <row r="1501" spans="1:26" x14ac:dyDescent="0.2">
      <c r="A1501" s="1">
        <v>1499</v>
      </c>
      <c r="B1501" s="2" t="s">
        <v>332</v>
      </c>
      <c r="C1501" s="13" t="str">
        <f>HYPERLINK(AC2 &amp; "/knife/sn_e6d18d45abd40a22e5ae31c6c631a39/rendering/00.xyz", "0.0")</f>
        <v>0.0</v>
      </c>
      <c r="D1501" s="13" t="str">
        <f>HYPERLINK(AC2 &amp; "/knife/sn_e6d18d45abd40a22e5ae31c6c631a39/rendering/01.xyz", "0.0")</f>
        <v>0.0</v>
      </c>
      <c r="E1501" s="13" t="str">
        <f>HYPERLINK(AC2 &amp; "/knife/sn_e6d18d45abd40a22e5ae31c6c631a39/rendering/02.xyz", "0.0")</f>
        <v>0.0</v>
      </c>
      <c r="F1501" s="13" t="str">
        <f>HYPERLINK(AC2 &amp; "/knife/sn_e6d18d45abd40a22e5ae31c6c631a39/rendering/03.xyz", "0.0")</f>
        <v>0.0</v>
      </c>
      <c r="G1501" s="13" t="str">
        <f>HYPERLINK(AC2 &amp; "/knife/sn_e6d18d45abd40a22e5ae31c6c631a39/rendering/04.xyz", "0.0")</f>
        <v>0.0</v>
      </c>
      <c r="H1501" s="13" t="str">
        <f>HYPERLINK(AC2 &amp; "/knife/sn_e6d18d45abd40a22e5ae31c6c631a39/rendering/05.xyz", "0.0")</f>
        <v>0.0</v>
      </c>
      <c r="I1501" s="13" t="str">
        <f>HYPERLINK(AC2 &amp; "/knife/sn_e6d18d45abd40a22e5ae31c6c631a39/rendering/06.xyz", "0.0")</f>
        <v>0.0</v>
      </c>
      <c r="J1501" s="13" t="str">
        <f>HYPERLINK(AC2 &amp; "/knife/sn_e6d18d45abd40a22e5ae31c6c631a39/rendering/07.xyz", "0.0")</f>
        <v>0.0</v>
      </c>
      <c r="K1501" s="13" t="str">
        <f>HYPERLINK(AC2 &amp; "/knife/sn_e6d18d45abd40a22e5ae31c6c631a39/rendering/08.xyz", "0.0")</f>
        <v>0.0</v>
      </c>
      <c r="L1501" s="13" t="str">
        <f>HYPERLINK(AC2 &amp; "/knife/sn_e6d18d45abd40a22e5ae31c6c631a39/rendering/09.xyz", "0.0")</f>
        <v>0.0</v>
      </c>
      <c r="M1501" s="13" t="str">
        <f>HYPERLINK(AC2 &amp; "/knife/sn_e6d18d45abd40a22e5ae31c6c631a39/rendering/10.xyz", "0.0")</f>
        <v>0.0</v>
      </c>
      <c r="N1501" s="13" t="str">
        <f>HYPERLINK(AC2 &amp; "/knife/sn_e6d18d45abd40a22e5ae31c6c631a39/rendering/11.xyz", "0.0")</f>
        <v>0.0</v>
      </c>
      <c r="O1501" s="13" t="str">
        <f>HYPERLINK(AC2 &amp; "/knife/sn_e6d18d45abd40a22e5ae31c6c631a39/rendering/12.xyz", "0.0")</f>
        <v>0.0</v>
      </c>
      <c r="P1501" s="13" t="str">
        <f>HYPERLINK(AC2 &amp; "/knife/sn_e6d18d45abd40a22e5ae31c6c631a39/rendering/13.xyz", "0.0")</f>
        <v>0.0</v>
      </c>
      <c r="Q1501" s="13" t="str">
        <f>HYPERLINK(AC2 &amp; "/knife/sn_e6d18d45abd40a22e5ae31c6c631a39/rendering/14.xyz", "0.0")</f>
        <v>0.0</v>
      </c>
      <c r="R1501" s="13" t="str">
        <f>HYPERLINK(AC2 &amp; "/knife/sn_e6d18d45abd40a22e5ae31c6c631a39/rendering/15.xyz", "0.0")</f>
        <v>0.0</v>
      </c>
      <c r="S1501" s="13" t="str">
        <f>HYPERLINK(AC2 &amp; "/knife/sn_e6d18d45abd40a22e5ae31c6c631a39/rendering/16.xyz", "0.0")</f>
        <v>0.0</v>
      </c>
      <c r="T1501" s="13" t="str">
        <f>HYPERLINK(AC2 &amp; "/knife/sn_e6d18d45abd40a22e5ae31c6c631a39/rendering/17.xyz", "0.0")</f>
        <v>0.0</v>
      </c>
      <c r="U1501" s="13" t="str">
        <f>HYPERLINK(AC2 &amp; "/knife/sn_e6d18d45abd40a22e5ae31c6c631a39/rendering/18.xyz", "0.0")</f>
        <v>0.0</v>
      </c>
      <c r="V1501" s="13" t="str">
        <f>HYPERLINK(AC2 &amp; "/knife/sn_e6d18d45abd40a22e5ae31c6c631a39/rendering/19.xyz", "0.0")</f>
        <v>0.0</v>
      </c>
      <c r="W1501" s="12" t="s">
        <v>33</v>
      </c>
      <c r="X1501" s="13">
        <v>0</v>
      </c>
      <c r="Y1501" s="13">
        <v>0</v>
      </c>
      <c r="Z1501" s="13">
        <v>0</v>
      </c>
    </row>
    <row r="1502" spans="1:26" x14ac:dyDescent="0.2">
      <c r="A1502" s="1">
        <v>1500</v>
      </c>
      <c r="B1502" s="2" t="s">
        <v>333</v>
      </c>
      <c r="C1502" s="60" t="str">
        <f>HYPERLINK(AA2 &amp; "/knife/sn_e79481b2fde3a3ab340fbf70397ab69a/rendering/00.obj", "4.13069091797")</f>
        <v>4.13069091797</v>
      </c>
      <c r="D1502" s="49" t="str">
        <f>HYPERLINK(AA2 &amp; "/knife/sn_e79481b2fde3a3ab340fbf70397ab69a/rendering/01.obj", "3.10402832031")</f>
        <v>3.10402832031</v>
      </c>
      <c r="E1502" s="27" t="str">
        <f>HYPERLINK(AA2 &amp; "/knife/sn_e79481b2fde3a3ab340fbf70397ab69a/rendering/02.obj", "4.19836669922")</f>
        <v>4.19836669922</v>
      </c>
      <c r="F1502" s="35" t="str">
        <f>HYPERLINK(AA2 &amp; "/knife/sn_e79481b2fde3a3ab340fbf70397ab69a/rendering/03.obj", "4.14901397705")</f>
        <v>4.14901397705</v>
      </c>
      <c r="G1502" s="32" t="str">
        <f>HYPERLINK(AA2 &amp; "/knife/sn_e79481b2fde3a3ab340fbf70397ab69a/rendering/04.obj", "4.33227416992")</f>
        <v>4.33227416992</v>
      </c>
      <c r="H1502" s="10" t="str">
        <f>HYPERLINK(AA2 &amp; "/knife/sn_e79481b2fde3a3ab340fbf70397ab69a/rendering/05.obj", "4.13817016602")</f>
        <v>4.13817016602</v>
      </c>
      <c r="I1502" s="56" t="str">
        <f>HYPERLINK(AA2 &amp; "/knife/sn_e79481b2fde3a3ab340fbf70397ab69a/rendering/06.obj", "2.7152456665")</f>
        <v>2.7152456665</v>
      </c>
      <c r="J1502" s="47" t="str">
        <f>HYPERLINK(AA2 &amp; "/knife/sn_e79481b2fde3a3ab340fbf70397ab69a/rendering/07.obj", "3.95532165527")</f>
        <v>3.95532165527</v>
      </c>
      <c r="K1502" s="140" t="str">
        <f>HYPERLINK(AA2 &amp; "/knife/sn_e79481b2fde3a3ab340fbf70397ab69a/rendering/08.obj", "5.28697143555")</f>
        <v>5.28697143555</v>
      </c>
      <c r="L1502" s="68" t="str">
        <f>HYPERLINK(AA2 &amp; "/knife/sn_e79481b2fde3a3ab340fbf70397ab69a/rendering/09.obj", "3.75777160645")</f>
        <v>3.75777160645</v>
      </c>
      <c r="M1502" s="64" t="str">
        <f>HYPERLINK(AA2 &amp; "/knife/sn_e79481b2fde3a3ab340fbf70397ab69a/rendering/10.obj", "3.28125213623")</f>
        <v>3.28125213623</v>
      </c>
      <c r="N1502" s="79" t="str">
        <f>HYPERLINK(AA2 &amp; "/knife/sn_e79481b2fde3a3ab340fbf70397ab69a/rendering/11.obj", "3.29913635254")</f>
        <v>3.29913635254</v>
      </c>
      <c r="O1502" s="110" t="str">
        <f>HYPERLINK(AA2 &amp; "/knife/sn_e79481b2fde3a3ab340fbf70397ab69a/rendering/12.obj", "4.31470123291")</f>
        <v>4.31470123291</v>
      </c>
      <c r="P1502" s="35" t="str">
        <f>HYPERLINK(AA2 &amp; "/knife/sn_e79481b2fde3a3ab340fbf70397ab69a/rendering/13.obj", "3.69962463379")</f>
        <v>3.69962463379</v>
      </c>
      <c r="Q1502" s="78" t="str">
        <f>HYPERLINK(AA2 &amp; "/knife/sn_e79481b2fde3a3ab340fbf70397ab69a/rendering/14.obj", "4.16883117676")</f>
        <v>4.16883117676</v>
      </c>
      <c r="R1502" s="40" t="str">
        <f>HYPERLINK(AA2 &amp; "/knife/sn_e79481b2fde3a3ab340fbf70397ab69a/rendering/15.obj", "3.25787994385")</f>
        <v>3.25787994385</v>
      </c>
      <c r="S1502" s="98" t="str">
        <f>HYPERLINK(AA2 &amp; "/knife/sn_e79481b2fde3a3ab340fbf70397ab69a/rendering/16.obj", "4.82783355713")</f>
        <v>4.82783355713</v>
      </c>
      <c r="T1502" s="35" t="str">
        <f>HYPERLINK(AA2 &amp; "/knife/sn_e79481b2fde3a3ab340fbf70397ab69a/rendering/17.obj", "3.69031463623")</f>
        <v>3.69031463623</v>
      </c>
      <c r="U1502" s="94" t="str">
        <f>HYPERLINK(AA2 &amp; "/knife/sn_e79481b2fde3a3ab340fbf70397ab69a/rendering/18.obj", "3.63024291992")</f>
        <v>3.63024291992</v>
      </c>
      <c r="V1502" s="83" t="str">
        <f>HYPERLINK(AA2 &amp; "/knife/sn_e79481b2fde3a3ab340fbf70397ab69a/rendering/19.obj", "4.52099639893")</f>
        <v>4.52099639893</v>
      </c>
      <c r="W1502" s="12" t="s">
        <v>29</v>
      </c>
      <c r="X1502" s="13">
        <v>3.922933380126953</v>
      </c>
      <c r="Y1502" s="13">
        <v>0.60105570982477996</v>
      </c>
      <c r="Z1502" s="83">
        <v>0.1532158850490927</v>
      </c>
    </row>
    <row r="1503" spans="1:26" x14ac:dyDescent="0.2">
      <c r="A1503" s="1">
        <v>1501</v>
      </c>
      <c r="B1503" s="2" t="s">
        <v>333</v>
      </c>
      <c r="C1503" s="156" t="str">
        <f>HYPERLINK(AA2 &amp; "/knife/sn_e79481b2fde3a3ab340fbf70397ab69a/rendering/00.obj", "1.3001742363")</f>
        <v>1.3001742363</v>
      </c>
      <c r="D1503" s="44" t="str">
        <f>HYPERLINK(AA2 &amp; "/knife/sn_e79481b2fde3a3ab340fbf70397ab69a/rendering/01.obj", "1.89391076565")</f>
        <v>1.89391076565</v>
      </c>
      <c r="E1503" s="137" t="str">
        <f>HYPERLINK(AA2 &amp; "/knife/sn_e79481b2fde3a3ab340fbf70397ab69a/rendering/02.obj", "1.49192273617")</f>
        <v>1.49192273617</v>
      </c>
      <c r="F1503" s="14" t="str">
        <f>HYPERLINK(AA2 &amp; "/knife/sn_e79481b2fde3a3ab340fbf70397ab69a/rendering/03.obj", "3.04026579857")</f>
        <v>3.04026579857</v>
      </c>
      <c r="G1503" s="30" t="str">
        <f>HYPERLINK(AA2 &amp; "/knife/sn_e79481b2fde3a3ab340fbf70397ab69a/rendering/04.obj", "2.34568238258")</f>
        <v>2.34568238258</v>
      </c>
      <c r="H1503" s="238" t="str">
        <f>HYPERLINK(AA2 &amp; "/knife/sn_e79481b2fde3a3ab340fbf70397ab69a/rendering/05.obj", "4.01390600204")</f>
        <v>4.01390600204</v>
      </c>
      <c r="I1503" s="130" t="str">
        <f>HYPERLINK(AA2 &amp; "/knife/sn_e79481b2fde3a3ab340fbf70397ab69a/rendering/06.obj", "1.29159832001")</f>
        <v>1.29159832001</v>
      </c>
      <c r="J1503" s="193" t="str">
        <f>HYPERLINK(AA2 &amp; "/knife/sn_e79481b2fde3a3ab340fbf70397ab69a/rendering/07.obj", "1.57792830467")</f>
        <v>1.57792830467</v>
      </c>
      <c r="K1503" s="167" t="str">
        <f>HYPERLINK(AA2 &amp; "/knife/sn_e79481b2fde3a3ab340fbf70397ab69a/rendering/08.obj", "3.77968788147")</f>
        <v>3.77968788147</v>
      </c>
      <c r="L1503" s="96" t="str">
        <f>HYPERLINK(AA2 &amp; "/knife/sn_e79481b2fde3a3ab340fbf70397ab69a/rendering/09.obj", "1.50427114964")</f>
        <v>1.50427114964</v>
      </c>
      <c r="M1503" s="198" t="str">
        <f>HYPERLINK(AA2 &amp; "/knife/sn_e79481b2fde3a3ab340fbf70397ab69a/rendering/10.obj", "1.44301915169")</f>
        <v>1.44301915169</v>
      </c>
      <c r="N1503" s="140" t="str">
        <f>HYPERLINK(AA2 &amp; "/knife/sn_e79481b2fde3a3ab340fbf70397ab69a/rendering/11.obj", "1.53893435001")</f>
        <v>1.53893435001</v>
      </c>
      <c r="O1503" s="132" t="str">
        <f>HYPERLINK(AA2 &amp; "/knife/sn_e79481b2fde3a3ab340fbf70397ab69a/rendering/12.obj", "3.34117817879")</f>
        <v>3.34117817879</v>
      </c>
      <c r="P1503" s="118" t="str">
        <f>HYPERLINK(AA2 &amp; "/knife/sn_e79481b2fde3a3ab340fbf70397ab69a/rendering/13.obj", "1.66468787193")</f>
        <v>1.66468787193</v>
      </c>
      <c r="Q1503" s="99" t="str">
        <f>HYPERLINK(AA2 &amp; "/knife/sn_e79481b2fde3a3ab340fbf70397ab69a/rendering/14.obj", "2.99443745613")</f>
        <v>2.99443745613</v>
      </c>
      <c r="R1503" s="152" t="str">
        <f>HYPERLINK(AA2 &amp; "/knife/sn_e79481b2fde3a3ab340fbf70397ab69a/rendering/15.obj", "1.39964449406")</f>
        <v>1.39964449406</v>
      </c>
      <c r="S1503" s="20" t="str">
        <f>HYPERLINK(AA2 &amp; "/knife/sn_e79481b2fde3a3ab340fbf70397ab69a/rendering/16.obj", "4.32641601562")</f>
        <v>4.32641601562</v>
      </c>
      <c r="T1503" s="81" t="str">
        <f>HYPERLINK(AA2 &amp; "/knife/sn_e79481b2fde3a3ab340fbf70397ab69a/rendering/17.obj", "2.86582636833")</f>
        <v>2.86582636833</v>
      </c>
      <c r="U1503" s="23" t="str">
        <f>HYPERLINK(AA2 &amp; "/knife/sn_e79481b2fde3a3ab340fbf70397ab69a/rendering/18.obj", "2.26300883293")</f>
        <v>2.26300883293</v>
      </c>
      <c r="V1503" s="7" t="str">
        <f>HYPERLINK(AA2 &amp; "/knife/sn_e79481b2fde3a3ab340fbf70397ab69a/rendering/19.obj", "3.00963783264")</f>
        <v>3.00963783264</v>
      </c>
      <c r="W1503" s="12" t="s">
        <v>30</v>
      </c>
      <c r="X1503" s="13">
        <v>2.3543069064617161</v>
      </c>
      <c r="Y1503" s="13">
        <v>0.96521266768773206</v>
      </c>
      <c r="Z1503" s="158">
        <v>0.40997741842347513</v>
      </c>
    </row>
    <row r="1504" spans="1:26" x14ac:dyDescent="0.2">
      <c r="A1504" s="1">
        <v>1502</v>
      </c>
      <c r="B1504" s="2" t="s">
        <v>333</v>
      </c>
      <c r="C1504" s="94" t="str">
        <f>HYPERLINK(AB2 &amp; "/knife/sn_e79481b2fde3a3ab340fbf70397ab69a/rendering/00.obj", "4.6919909668")</f>
        <v>4.6919909668</v>
      </c>
      <c r="D1504" s="46" t="str">
        <f>HYPERLINK(AB2 &amp; "/knife/sn_e79481b2fde3a3ab340fbf70397ab69a/rendering/01.obj", "4.29490081787")</f>
        <v>4.29490081787</v>
      </c>
      <c r="E1504" s="50" t="str">
        <f>HYPERLINK(AB2 &amp; "/knife/sn_e79481b2fde3a3ab340fbf70397ab69a/rendering/02.obj", "5.24019775391")</f>
        <v>5.24019775391</v>
      </c>
      <c r="F1504" s="33" t="str">
        <f>HYPERLINK(AB2 &amp; "/knife/sn_e79481b2fde3a3ab340fbf70397ab69a/rendering/03.obj", "3.89319671631")</f>
        <v>3.89319671631</v>
      </c>
      <c r="G1504" s="38" t="str">
        <f>HYPERLINK(AB2 &amp; "/knife/sn_e79481b2fde3a3ab340fbf70397ab69a/rendering/04.obj", "4.7683404541")</f>
        <v>4.7683404541</v>
      </c>
      <c r="H1504" s="41" t="str">
        <f>HYPERLINK(AB2 &amp; "/knife/sn_e79481b2fde3a3ab340fbf70397ab69a/rendering/05.obj", "4.08072784424")</f>
        <v>4.08072784424</v>
      </c>
      <c r="I1504" s="69" t="str">
        <f>HYPERLINK(AB2 &amp; "/knife/sn_e79481b2fde3a3ab340fbf70397ab69a/rendering/06.obj", "4.24563049316")</f>
        <v>4.24563049316</v>
      </c>
      <c r="J1504" s="33" t="str">
        <f>HYPERLINK(AB2 &amp; "/knife/sn_e79481b2fde3a3ab340fbf70397ab69a/rendering/07.obj", "4.84950958252")</f>
        <v>4.84950958252</v>
      </c>
      <c r="K1504" s="83" t="str">
        <f>HYPERLINK(AB2 &amp; "/knife/sn_e79481b2fde3a3ab340fbf70397ab69a/rendering/08.obj", "5.03728942871")</f>
        <v>5.03728942871</v>
      </c>
      <c r="L1504" s="28" t="str">
        <f>HYPERLINK(AB2 &amp; "/knife/sn_e79481b2fde3a3ab340fbf70397ab69a/rendering/09.obj", "4.86138061523")</f>
        <v>4.86138061523</v>
      </c>
      <c r="M1504" s="48" t="str">
        <f>HYPERLINK(AB2 &amp; "/knife/sn_e79481b2fde3a3ab340fbf70397ab69a/rendering/10.obj", "4.47298950195")</f>
        <v>4.47298950195</v>
      </c>
      <c r="N1504" s="40" t="str">
        <f>HYPERLINK(AB2 &amp; "/knife/sn_e79481b2fde3a3ab340fbf70397ab69a/rendering/11.obj", "3.61793457031")</f>
        <v>3.61793457031</v>
      </c>
      <c r="O1504" s="73" t="str">
        <f>HYPERLINK(AB2 &amp; "/knife/sn_e79481b2fde3a3ab340fbf70397ab69a/rendering/12.obj", "4.21754730225")</f>
        <v>4.21754730225</v>
      </c>
      <c r="P1504" s="63" t="str">
        <f>HYPERLINK(AB2 &amp; "/knife/sn_e79481b2fde3a3ab340fbf70397ab69a/rendering/13.obj", "3.84256713867")</f>
        <v>3.84256713867</v>
      </c>
      <c r="Q1504" s="47" t="str">
        <f>HYPERLINK(AB2 &amp; "/knife/sn_e79481b2fde3a3ab340fbf70397ab69a/rendering/14.obj", "4.33954345703")</f>
        <v>4.33954345703</v>
      </c>
      <c r="R1504" s="48" t="str">
        <f>HYPERLINK(AB2 &amp; "/knife/sn_e79481b2fde3a3ab340fbf70397ab69a/rendering/15.obj", "4.47697875977")</f>
        <v>4.47697875977</v>
      </c>
      <c r="S1504" s="72" t="str">
        <f>HYPERLINK(AB2 &amp; "/knife/sn_e79481b2fde3a3ab340fbf70397ab69a/rendering/16.obj", "4.22469543457")</f>
        <v>4.22469543457</v>
      </c>
      <c r="T1504" s="46" t="str">
        <f>HYPERLINK(AB2 &amp; "/knife/sn_e79481b2fde3a3ab340fbf70397ab69a/rendering/17.obj", "4.30245513916")</f>
        <v>4.30245513916</v>
      </c>
      <c r="U1504" s="94" t="str">
        <f>HYPERLINK(AB2 &amp; "/knife/sn_e79481b2fde3a3ab340fbf70397ab69a/rendering/18.obj", "4.05161987305")</f>
        <v>4.05161987305</v>
      </c>
      <c r="V1504" s="133" t="str">
        <f>HYPERLINK(AB2 &amp; "/knife/sn_e79481b2fde3a3ab340fbf70397ab69a/rendering/19.obj", "3.9259487915")</f>
        <v>3.9259487915</v>
      </c>
      <c r="W1504" s="12" t="s">
        <v>31</v>
      </c>
      <c r="X1504" s="13">
        <v>4.3717722320556636</v>
      </c>
      <c r="Y1504" s="13">
        <v>0.41728606593193202</v>
      </c>
      <c r="Z1504" s="90">
        <v>9.5450092955944921E-2</v>
      </c>
    </row>
    <row r="1505" spans="1:26" x14ac:dyDescent="0.2">
      <c r="A1505" s="1">
        <v>1503</v>
      </c>
      <c r="B1505" s="2" t="s">
        <v>333</v>
      </c>
      <c r="C1505" s="93" t="str">
        <f>HYPERLINK(AB2 &amp; "/knife/sn_e79481b2fde3a3ab340fbf70397ab69a/rendering/00.obj", "1.39028549194")</f>
        <v>1.39028549194</v>
      </c>
      <c r="D1505" s="82" t="str">
        <f>HYPERLINK(AB2 &amp; "/knife/sn_e79481b2fde3a3ab340fbf70397ab69a/rendering/01.obj", "1.95018947124")</f>
        <v>1.95018947124</v>
      </c>
      <c r="E1505" s="35" t="str">
        <f>HYPERLINK(AB2 &amp; "/knife/sn_e79481b2fde3a3ab340fbf70397ab69a/rendering/02.obj", "1.5214394331")</f>
        <v>1.5214394331</v>
      </c>
      <c r="F1505" s="46" t="str">
        <f>HYPERLINK(AB2 &amp; "/knife/sn_e79481b2fde3a3ab340fbf70397ab69a/rendering/03.obj", "1.64587187767")</f>
        <v>1.64587187767</v>
      </c>
      <c r="G1505" s="67" t="str">
        <f>HYPERLINK(AB2 &amp; "/knife/sn_e79481b2fde3a3ab340fbf70397ab69a/rendering/04.obj", "1.46872425079")</f>
        <v>1.46872425079</v>
      </c>
      <c r="H1505" s="72" t="str">
        <f>HYPERLINK(AB2 &amp; "/knife/sn_e79481b2fde3a3ab340fbf70397ab69a/rendering/05.obj", "1.66853761673")</f>
        <v>1.66853761673</v>
      </c>
      <c r="I1505" s="72" t="str">
        <f>HYPERLINK(AB2 &amp; "/knife/sn_e79481b2fde3a3ab340fbf70397ab69a/rendering/06.obj", "1.67173075676")</f>
        <v>1.67173075676</v>
      </c>
      <c r="J1505" s="76" t="str">
        <f>HYPERLINK(AB2 &amp; "/knife/sn_e79481b2fde3a3ab340fbf70397ab69a/rendering/07.obj", "1.32144582272")</f>
        <v>1.32144582272</v>
      </c>
      <c r="K1505" s="27" t="str">
        <f>HYPERLINK(AB2 &amp; "/knife/sn_e79481b2fde3a3ab340fbf70397ab69a/rendering/08.obj", "1.7333278656")</f>
        <v>1.7333278656</v>
      </c>
      <c r="L1505" s="94" t="str">
        <f>HYPERLINK(AB2 &amp; "/knife/sn_e79481b2fde3a3ab340fbf70397ab69a/rendering/09.obj", "1.4987347126")</f>
        <v>1.4987347126</v>
      </c>
      <c r="M1505" s="91" t="str">
        <f>HYPERLINK(AB2 &amp; "/knife/sn_e79481b2fde3a3ab340fbf70397ab69a/rendering/10.obj", "1.65787672997")</f>
        <v>1.65787672997</v>
      </c>
      <c r="N1505" s="41" t="str">
        <f>HYPERLINK(AB2 &amp; "/knife/sn_e79481b2fde3a3ab340fbf70397ab69a/rendering/11.obj", "1.50645816326")</f>
        <v>1.50645816326</v>
      </c>
      <c r="O1505" s="89" t="str">
        <f>HYPERLINK(AB2 &amp; "/knife/sn_e79481b2fde3a3ab340fbf70397ab69a/rendering/12.obj", "2.03645277023")</f>
        <v>2.03645277023</v>
      </c>
      <c r="P1505" s="81" t="str">
        <f>HYPERLINK(AB2 &amp; "/knife/sn_e79481b2fde3a3ab340fbf70397ab69a/rendering/13.obj", "1.26353085041")</f>
        <v>1.26353085041</v>
      </c>
      <c r="Q1505" s="46" t="str">
        <f>HYPERLINK(AB2 &amp; "/knife/sn_e79481b2fde3a3ab340fbf70397ab69a/rendering/14.obj", "1.5886285305")</f>
        <v>1.5886285305</v>
      </c>
      <c r="R1505" s="82" t="str">
        <f>HYPERLINK(AB2 &amp; "/knife/sn_e79481b2fde3a3ab340fbf70397ab69a/rendering/15.obj", "1.28261590004")</f>
        <v>1.28261590004</v>
      </c>
      <c r="S1505" s="117" t="str">
        <f>HYPERLINK(AB2 &amp; "/knife/sn_e79481b2fde3a3ab340fbf70397ab69a/rendering/16.obj", "1.90511369705")</f>
        <v>1.90511369705</v>
      </c>
      <c r="T1505" s="19" t="str">
        <f>HYPERLINK(AB2 &amp; "/knife/sn_e79481b2fde3a3ab340fbf70397ab69a/rendering/17.obj", "2.03950333595")</f>
        <v>2.03950333595</v>
      </c>
      <c r="U1505" s="72" t="str">
        <f>HYPERLINK(AB2 &amp; "/knife/sn_e79481b2fde3a3ab340fbf70397ab69a/rendering/18.obj", "1.670373559")</f>
        <v>1.670373559</v>
      </c>
      <c r="V1505" s="35" t="str">
        <f>HYPERLINK(AB2 &amp; "/knife/sn_e79481b2fde3a3ab340fbf70397ab69a/rendering/19.obj", "1.52485430241")</f>
        <v>1.52485430241</v>
      </c>
      <c r="W1505" s="12" t="s">
        <v>32</v>
      </c>
      <c r="X1505" s="13">
        <v>1.61728475689888</v>
      </c>
      <c r="Y1505" s="13">
        <v>0.2252924936984472</v>
      </c>
      <c r="Z1505" s="93">
        <v>0.13930292283867329</v>
      </c>
    </row>
    <row r="1506" spans="1:26" x14ac:dyDescent="0.2">
      <c r="A1506" s="1">
        <v>1504</v>
      </c>
      <c r="B1506" s="2" t="s">
        <v>333</v>
      </c>
      <c r="C1506" s="13" t="str">
        <f>HYPERLINK(AC2 &amp; "/knife/sn_e79481b2fde3a3ab340fbf70397ab69a/rendering/00.xyz", "0.0")</f>
        <v>0.0</v>
      </c>
      <c r="D1506" s="13" t="str">
        <f>HYPERLINK(AC2 &amp; "/knife/sn_e79481b2fde3a3ab340fbf70397ab69a/rendering/01.xyz", "0.0")</f>
        <v>0.0</v>
      </c>
      <c r="E1506" s="13" t="str">
        <f>HYPERLINK(AC2 &amp; "/knife/sn_e79481b2fde3a3ab340fbf70397ab69a/rendering/02.xyz", "0.0")</f>
        <v>0.0</v>
      </c>
      <c r="F1506" s="13" t="str">
        <f>HYPERLINK(AC2 &amp; "/knife/sn_e79481b2fde3a3ab340fbf70397ab69a/rendering/03.xyz", "0.0")</f>
        <v>0.0</v>
      </c>
      <c r="G1506" s="13" t="str">
        <f>HYPERLINK(AC2 &amp; "/knife/sn_e79481b2fde3a3ab340fbf70397ab69a/rendering/04.xyz", "0.0")</f>
        <v>0.0</v>
      </c>
      <c r="H1506" s="13" t="str">
        <f>HYPERLINK(AC2 &amp; "/knife/sn_e79481b2fde3a3ab340fbf70397ab69a/rendering/05.xyz", "0.0")</f>
        <v>0.0</v>
      </c>
      <c r="I1506" s="13" t="str">
        <f>HYPERLINK(AC2 &amp; "/knife/sn_e79481b2fde3a3ab340fbf70397ab69a/rendering/06.xyz", "0.0")</f>
        <v>0.0</v>
      </c>
      <c r="J1506" s="13" t="str">
        <f>HYPERLINK(AC2 &amp; "/knife/sn_e79481b2fde3a3ab340fbf70397ab69a/rendering/07.xyz", "0.0")</f>
        <v>0.0</v>
      </c>
      <c r="K1506" s="13" t="str">
        <f>HYPERLINK(AC2 &amp; "/knife/sn_e79481b2fde3a3ab340fbf70397ab69a/rendering/08.xyz", "0.0")</f>
        <v>0.0</v>
      </c>
      <c r="L1506" s="13" t="str">
        <f>HYPERLINK(AC2 &amp; "/knife/sn_e79481b2fde3a3ab340fbf70397ab69a/rendering/09.xyz", "0.0")</f>
        <v>0.0</v>
      </c>
      <c r="M1506" s="13" t="str">
        <f>HYPERLINK(AC2 &amp; "/knife/sn_e79481b2fde3a3ab340fbf70397ab69a/rendering/10.xyz", "0.0")</f>
        <v>0.0</v>
      </c>
      <c r="N1506" s="13" t="str">
        <f>HYPERLINK(AC2 &amp; "/knife/sn_e79481b2fde3a3ab340fbf70397ab69a/rendering/11.xyz", "0.0")</f>
        <v>0.0</v>
      </c>
      <c r="O1506" s="13" t="str">
        <f>HYPERLINK(AC2 &amp; "/knife/sn_e79481b2fde3a3ab340fbf70397ab69a/rendering/12.xyz", "0.0")</f>
        <v>0.0</v>
      </c>
      <c r="P1506" s="13" t="str">
        <f>HYPERLINK(AC2 &amp; "/knife/sn_e79481b2fde3a3ab340fbf70397ab69a/rendering/13.xyz", "0.0")</f>
        <v>0.0</v>
      </c>
      <c r="Q1506" s="13" t="str">
        <f>HYPERLINK(AC2 &amp; "/knife/sn_e79481b2fde3a3ab340fbf70397ab69a/rendering/14.xyz", "0.0")</f>
        <v>0.0</v>
      </c>
      <c r="R1506" s="13" t="str">
        <f>HYPERLINK(AC2 &amp; "/knife/sn_e79481b2fde3a3ab340fbf70397ab69a/rendering/15.xyz", "0.0")</f>
        <v>0.0</v>
      </c>
      <c r="S1506" s="13" t="str">
        <f>HYPERLINK(AC2 &amp; "/knife/sn_e79481b2fde3a3ab340fbf70397ab69a/rendering/16.xyz", "0.0")</f>
        <v>0.0</v>
      </c>
      <c r="T1506" s="13" t="str">
        <f>HYPERLINK(AC2 &amp; "/knife/sn_e79481b2fde3a3ab340fbf70397ab69a/rendering/17.xyz", "0.0")</f>
        <v>0.0</v>
      </c>
      <c r="U1506" s="13" t="str">
        <f>HYPERLINK(AC2 &amp; "/knife/sn_e79481b2fde3a3ab340fbf70397ab69a/rendering/18.xyz", "0.0")</f>
        <v>0.0</v>
      </c>
      <c r="V1506" s="13" t="str">
        <f>HYPERLINK(AC2 &amp; "/knife/sn_e79481b2fde3a3ab340fbf70397ab69a/rendering/19.xyz", "0.0")</f>
        <v>0.0</v>
      </c>
      <c r="W1506" s="12" t="s">
        <v>33</v>
      </c>
      <c r="X1506" s="13">
        <v>0</v>
      </c>
      <c r="Y1506" s="13">
        <v>0</v>
      </c>
      <c r="Z1506" s="13">
        <v>0</v>
      </c>
    </row>
    <row r="1507" spans="1:26" x14ac:dyDescent="0.2">
      <c r="A1507" s="1">
        <v>1505</v>
      </c>
      <c r="B1507" s="2" t="s">
        <v>334</v>
      </c>
      <c r="C1507" s="81" t="str">
        <f>HYPERLINK(AA2 &amp; "/knife/sn_e8a6915bd0bcf1bebaa284808a1567a8/rendering/00.obj", "3.66931945801")</f>
        <v>3.66931945801</v>
      </c>
      <c r="D1507" s="74" t="str">
        <f>HYPERLINK(AA2 &amp; "/knife/sn_e8a6915bd0bcf1bebaa284808a1567a8/rendering/01.obj", "4.62516662598")</f>
        <v>4.62516662598</v>
      </c>
      <c r="E1507" s="124" t="str">
        <f>HYPERLINK(AA2 &amp; "/knife/sn_e8a6915bd0bcf1bebaa284808a1567a8/rendering/02.obj", "2.90946350098")</f>
        <v>2.90946350098</v>
      </c>
      <c r="F1507" s="17" t="str">
        <f>HYPERLINK(AA2 &amp; "/knife/sn_e8a6915bd0bcf1bebaa284808a1567a8/rendering/03.obj", "4.59249908447")</f>
        <v>4.59249908447</v>
      </c>
      <c r="G1507" s="238" t="str">
        <f>HYPERLINK(AA2 &amp; "/knife/sn_e8a6915bd0bcf1bebaa284808a1567a8/rendering/04.obj", "7.99807495117")</f>
        <v>7.99807495117</v>
      </c>
      <c r="H1507" s="69" t="str">
        <f>HYPERLINK(AA2 &amp; "/knife/sn_e8a6915bd0bcf1bebaa284808a1567a8/rendering/05.obj", "4.55220428467")</f>
        <v>4.55220428467</v>
      </c>
      <c r="I1507" s="113" t="str">
        <f>HYPERLINK(AA2 &amp; "/knife/sn_e8a6915bd0bcf1bebaa284808a1567a8/rendering/06.obj", "3.40923950195")</f>
        <v>3.40923950195</v>
      </c>
      <c r="J1507" s="33" t="str">
        <f>HYPERLINK(AA2 &amp; "/knife/sn_e8a6915bd0bcf1bebaa284808a1567a8/rendering/07.obj", "4.17754333496")</f>
        <v>4.17754333496</v>
      </c>
      <c r="K1507" s="103" t="str">
        <f>HYPERLINK(AA2 &amp; "/knife/sn_e8a6915bd0bcf1bebaa284808a1567a8/rendering/08.obj", "3.17523742676")</f>
        <v>3.17523742676</v>
      </c>
      <c r="L1507" s="166" t="str">
        <f>HYPERLINK(AA2 &amp; "/knife/sn_e8a6915bd0bcf1bebaa284808a1567a8/rendering/09.obj", "6.03770874023")</f>
        <v>6.03770874023</v>
      </c>
      <c r="M1507" s="193" t="str">
        <f>HYPERLINK(AA2 &amp; "/knife/sn_e8a6915bd0bcf1bebaa284808a1567a8/rendering/10.obj", "3.14276519775")</f>
        <v>3.14276519775</v>
      </c>
      <c r="N1507" s="208" t="str">
        <f>HYPERLINK(AA2 &amp; "/knife/sn_e8a6915bd0bcf1bebaa284808a1567a8/rendering/11.obj", "8.2808770752")</f>
        <v>8.2808770752</v>
      </c>
      <c r="O1507" s="84" t="str">
        <f>HYPERLINK(AA2 &amp; "/knife/sn_e8a6915bd0bcf1bebaa284808a1567a8/rendering/12.obj", "4.00820800781")</f>
        <v>4.00820800781</v>
      </c>
      <c r="P1507" s="152" t="str">
        <f>HYPERLINK(AA2 &amp; "/knife/sn_e8a6915bd0bcf1bebaa284808a1567a8/rendering/13.obj", "2.78551940918")</f>
        <v>2.78551940918</v>
      </c>
      <c r="Q1507" s="4" t="str">
        <f>HYPERLINK(AA2 &amp; "/knife/sn_e8a6915bd0bcf1bebaa284808a1567a8/rendering/14.obj", "3.35534729004")</f>
        <v>3.35534729004</v>
      </c>
      <c r="R1507" s="14" t="str">
        <f>HYPERLINK(AA2 &amp; "/knife/sn_e8a6915bd0bcf1bebaa284808a1567a8/rendering/15.obj", "3.32600280762")</f>
        <v>3.32600280762</v>
      </c>
      <c r="S1507" s="169" t="str">
        <f>HYPERLINK(AA2 &amp; "/knife/sn_e8a6915bd0bcf1bebaa284808a1567a8/rendering/16.obj", "3.22342895508")</f>
        <v>3.22342895508</v>
      </c>
      <c r="T1507" s="96" t="str">
        <f>HYPERLINK(AA2 &amp; "/knife/sn_e8a6915bd0bcf1bebaa284808a1567a8/rendering/17.obj", "2.99451599121")</f>
        <v>2.99451599121</v>
      </c>
      <c r="U1507" s="20" t="str">
        <f>HYPERLINK(AA2 &amp; "/knife/sn_e8a6915bd0bcf1bebaa284808a1567a8/rendering/18.obj", "13.4711889648")</f>
        <v>13.4711889648</v>
      </c>
      <c r="V1507" s="70" t="str">
        <f>HYPERLINK(AA2 &amp; "/knife/sn_e8a6915bd0bcf1bebaa284808a1567a8/rendering/19.obj", "4.09607208252")</f>
        <v>4.09607208252</v>
      </c>
      <c r="W1507" s="12" t="s">
        <v>29</v>
      </c>
      <c r="X1507" s="13">
        <v>4.6915191345214833</v>
      </c>
      <c r="Y1507" s="13">
        <v>2.517056089614738</v>
      </c>
      <c r="Z1507" s="150">
        <v>0.53651195219338443</v>
      </c>
    </row>
    <row r="1508" spans="1:26" x14ac:dyDescent="0.2">
      <c r="A1508" s="1">
        <v>1506</v>
      </c>
      <c r="B1508" s="2" t="s">
        <v>334</v>
      </c>
      <c r="C1508" s="240" t="str">
        <f>HYPERLINK(AA2 &amp; "/knife/sn_e8a6915bd0bcf1bebaa284808a1567a8/rendering/00.obj", "1.40691649914")</f>
        <v>1.40691649914</v>
      </c>
      <c r="D1508" s="235" t="str">
        <f>HYPERLINK(AA2 &amp; "/knife/sn_e8a6915bd0bcf1bebaa284808a1567a8/rendering/01.obj", "1.86447072029")</f>
        <v>1.86447072029</v>
      </c>
      <c r="E1508" s="180" t="str">
        <f>HYPERLINK(AA2 &amp; "/knife/sn_e8a6915bd0bcf1bebaa284808a1567a8/rendering/02.obj", "0.862893879414")</f>
        <v>0.862893879414</v>
      </c>
      <c r="F1508" s="126" t="str">
        <f>HYPERLINK(AA2 &amp; "/knife/sn_e8a6915bd0bcf1bebaa284808a1567a8/rendering/03.obj", "2.02795052528")</f>
        <v>2.02795052528</v>
      </c>
      <c r="G1508" s="20" t="str">
        <f>HYPERLINK(AA2 &amp; "/knife/sn_e8a6915bd0bcf1bebaa284808a1567a8/rendering/04.obj", "23.9298858643")</f>
        <v>23.9298858643</v>
      </c>
      <c r="H1508" s="135" t="str">
        <f>HYPERLINK(AA2 &amp; "/knife/sn_e8a6915bd0bcf1bebaa284808a1567a8/rendering/05.obj", "3.0217499733")</f>
        <v>3.0217499733</v>
      </c>
      <c r="I1508" s="201" t="str">
        <f>HYPERLINK(AA2 &amp; "/knife/sn_e8a6915bd0bcf1bebaa284808a1567a8/rendering/06.obj", "1.69784963131")</f>
        <v>1.69784963131</v>
      </c>
      <c r="J1508" s="213" t="str">
        <f>HYPERLINK(AA2 &amp; "/knife/sn_e8a6915bd0bcf1bebaa284808a1567a8/rendering/07.obj", "2.057046175")</f>
        <v>2.057046175</v>
      </c>
      <c r="K1508" s="208" t="str">
        <f>HYPERLINK(AA2 &amp; "/knife/sn_e8a6915bd0bcf1bebaa284808a1567a8/rendering/08.obj", "0.95922601223")</f>
        <v>0.95922601223</v>
      </c>
      <c r="L1508" s="254" t="str">
        <f>HYPERLINK(AA2 &amp; "/knife/sn_e8a6915bd0bcf1bebaa284808a1567a8/rendering/09.obj", "7.21915531158")</f>
        <v>7.21915531158</v>
      </c>
      <c r="M1508" s="208" t="str">
        <f>HYPERLINK(AA2 &amp; "/knife/sn_e8a6915bd0bcf1bebaa284808a1567a8/rendering/10.obj", "0.955686271191")</f>
        <v>0.955686271191</v>
      </c>
      <c r="N1508" s="20" t="str">
        <f>HYPERLINK(AA2 &amp; "/knife/sn_e8a6915bd0bcf1bebaa284808a1567a8/rendering/11.obj", "9.30522823334")</f>
        <v>9.30522823334</v>
      </c>
      <c r="O1508" s="124" t="str">
        <f>HYPERLINK(AA2 &amp; "/knife/sn_e8a6915bd0bcf1bebaa284808a1567a8/rendering/12.obj", "2.52141833305")</f>
        <v>2.52141833305</v>
      </c>
      <c r="P1508" s="165" t="str">
        <f>HYPERLINK(AA2 &amp; "/knife/sn_e8a6915bd0bcf1bebaa284808a1567a8/rendering/13.obj", "1.24759113789")</f>
        <v>1.24759113789</v>
      </c>
      <c r="Q1508" s="178" t="str">
        <f>HYPERLINK(AA2 &amp; "/knife/sn_e8a6915bd0bcf1bebaa284808a1567a8/rendering/14.obj", "1.42979669571")</f>
        <v>1.42979669571</v>
      </c>
      <c r="R1508" s="173" t="str">
        <f>HYPERLINK(AA2 &amp; "/knife/sn_e8a6915bd0bcf1bebaa284808a1567a8/rendering/15.obj", "1.26462423801")</f>
        <v>1.26462423801</v>
      </c>
      <c r="S1508" s="125" t="str">
        <f>HYPERLINK(AA2 &amp; "/knife/sn_e8a6915bd0bcf1bebaa284808a1567a8/rendering/16.obj", "1.18114209175")</f>
        <v>1.18114209175</v>
      </c>
      <c r="T1508" s="208" t="str">
        <f>HYPERLINK(AA2 &amp; "/knife/sn_e8a6915bd0bcf1bebaa284808a1567a8/rendering/17.obj", "0.956533133984")</f>
        <v>0.956533133984</v>
      </c>
      <c r="U1508" s="20" t="str">
        <f>HYPERLINK(AA2 &amp; "/knife/sn_e8a6915bd0bcf1bebaa284808a1567a8/rendering/18.obj", "16.1043510437")</f>
        <v>16.1043510437</v>
      </c>
      <c r="V1508" s="205" t="str">
        <f>HYPERLINK(AA2 &amp; "/knife/sn_e8a6915bd0bcf1bebaa284808a1567a8/rendering/19.obj", "1.3508657217")</f>
        <v>1.3508657217</v>
      </c>
      <c r="W1508" s="12" t="s">
        <v>30</v>
      </c>
      <c r="X1508" s="13">
        <v>4.0682190746068958</v>
      </c>
      <c r="Y1508" s="13">
        <v>5.8470882284333516</v>
      </c>
      <c r="Z1508" s="20">
        <v>1.4372599216521651</v>
      </c>
    </row>
    <row r="1509" spans="1:26" x14ac:dyDescent="0.2">
      <c r="A1509" s="1">
        <v>1507</v>
      </c>
      <c r="B1509" s="2" t="s">
        <v>334</v>
      </c>
      <c r="C1509" s="106" t="str">
        <f>HYPERLINK(AB2 &amp; "/knife/sn_e8a6915bd0bcf1bebaa284808a1567a8/rendering/00.obj", "4.54026489258")</f>
        <v>4.54026489258</v>
      </c>
      <c r="D1509" s="17" t="str">
        <f>HYPERLINK(AB2 &amp; "/knife/sn_e8a6915bd0bcf1bebaa284808a1567a8/rendering/01.obj", "3.99232574463")</f>
        <v>3.99232574463</v>
      </c>
      <c r="E1509" s="135" t="str">
        <f>HYPERLINK(AB2 &amp; "/knife/sn_e8a6915bd0bcf1bebaa284808a1567a8/rendering/02.obj", "3.03217376709")</f>
        <v>3.03217376709</v>
      </c>
      <c r="F1509" s="69" t="str">
        <f>HYPERLINK(AB2 &amp; "/knife/sn_e8a6915bd0bcf1bebaa284808a1567a8/rendering/03.obj", "3.94855773926")</f>
        <v>3.94855773926</v>
      </c>
      <c r="G1509" s="43" t="str">
        <f>HYPERLINK(AB2 &amp; "/knife/sn_e8a6915bd0bcf1bebaa284808a1567a8/rendering/04.obj", "2.55004837036")</f>
        <v>2.55004837036</v>
      </c>
      <c r="H1509" s="14" t="str">
        <f>HYPERLINK(AB2 &amp; "/knife/sn_e8a6915bd0bcf1bebaa284808a1567a8/rendering/05.obj", "5.25327087402")</f>
        <v>5.25327087402</v>
      </c>
      <c r="I1509" s="128" t="str">
        <f>HYPERLINK(AB2 &amp; "/knife/sn_e8a6915bd0bcf1bebaa284808a1567a8/rendering/06.obj", "5.66014953613")</f>
        <v>5.66014953613</v>
      </c>
      <c r="J1509" s="76" t="str">
        <f>HYPERLINK(AB2 &amp; "/knife/sn_e8a6915bd0bcf1bebaa284808a1567a8/rendering/07.obj", "4.81833374023")</f>
        <v>4.81833374023</v>
      </c>
      <c r="K1509" s="30" t="str">
        <f>HYPERLINK(AB2 &amp; "/knife/sn_e8a6915bd0bcf1bebaa284808a1567a8/rendering/08.obj", "4.08829559326")</f>
        <v>4.08829559326</v>
      </c>
      <c r="L1509" s="48" t="str">
        <f>HYPERLINK(AB2 &amp; "/knife/sn_e8a6915bd0bcf1bebaa284808a1567a8/rendering/09.obj", "4.17655700684")</f>
        <v>4.17655700684</v>
      </c>
      <c r="M1509" s="67" t="str">
        <f>HYPERLINK(AB2 &amp; "/knife/sn_e8a6915bd0bcf1bebaa284808a1567a8/rendering/10.obj", "3.69129302979")</f>
        <v>3.69129302979</v>
      </c>
      <c r="N1509" s="72" t="str">
        <f>HYPERLINK(AB2 &amp; "/knife/sn_e8a6915bd0bcf1bebaa284808a1567a8/rendering/11.obj", "4.21455596924")</f>
        <v>4.21455596924</v>
      </c>
      <c r="O1509" s="59" t="str">
        <f>HYPERLINK(AB2 &amp; "/knife/sn_e8a6915bd0bcf1bebaa284808a1567a8/rendering/12.obj", "5.05533782959")</f>
        <v>5.05533782959</v>
      </c>
      <c r="P1509" s="89" t="str">
        <f>HYPERLINK(AB2 &amp; "/knife/sn_e8a6915bd0bcf1bebaa284808a1567a8/rendering/13.obj", "3.01884307861")</f>
        <v>3.01884307861</v>
      </c>
      <c r="Q1509" s="182" t="str">
        <f>HYPERLINK(AB2 &amp; "/knife/sn_e8a6915bd0bcf1bebaa284808a1567a8/rendering/14.obj", "5.44131713867")</f>
        <v>5.44131713867</v>
      </c>
      <c r="R1509" s="6" t="str">
        <f>HYPERLINK(AB2 &amp; "/knife/sn_e8a6915bd0bcf1bebaa284808a1567a8/rendering/15.obj", "4.26103759766")</f>
        <v>4.26103759766</v>
      </c>
      <c r="S1509" s="95" t="str">
        <f>HYPERLINK(AB2 &amp; "/knife/sn_e8a6915bd0bcf1bebaa284808a1567a8/rendering/16.obj", "2.93144836426")</f>
        <v>2.93144836426</v>
      </c>
      <c r="T1509" s="75" t="str">
        <f>HYPERLINK(AB2 &amp; "/knife/sn_e8a6915bd0bcf1bebaa284808a1567a8/rendering/17.obj", "3.17594238281")</f>
        <v>3.17594238281</v>
      </c>
      <c r="U1509" s="26" t="str">
        <f>HYPERLINK(AB2 &amp; "/knife/sn_e8a6915bd0bcf1bebaa284808a1567a8/rendering/18.obj", "4.33132141113")</f>
        <v>4.33132141113</v>
      </c>
      <c r="V1509" s="77" t="str">
        <f>HYPERLINK(AB2 &amp; "/knife/sn_e8a6915bd0bcf1bebaa284808a1567a8/rendering/19.obj", "3.30854858398")</f>
        <v>3.30854858398</v>
      </c>
      <c r="W1509" s="12" t="s">
        <v>31</v>
      </c>
      <c r="X1509" s="13">
        <v>4.0744811325073238</v>
      </c>
      <c r="Y1509" s="13">
        <v>0.86689509727657932</v>
      </c>
      <c r="Z1509" s="120">
        <v>0.21276208407501351</v>
      </c>
    </row>
    <row r="1510" spans="1:26" x14ac:dyDescent="0.2">
      <c r="A1510" s="1">
        <v>1508</v>
      </c>
      <c r="B1510" s="2" t="s">
        <v>334</v>
      </c>
      <c r="C1510" s="75" t="str">
        <f>HYPERLINK(AB2 &amp; "/knife/sn_e8a6915bd0bcf1bebaa284808a1567a8/rendering/00.obj", "1.54237103462")</f>
        <v>1.54237103462</v>
      </c>
      <c r="D1510" s="20" t="str">
        <f>HYPERLINK(AB2 &amp; "/knife/sn_e8a6915bd0bcf1bebaa284808a1567a8/rendering/01.obj", "3.69337201118")</f>
        <v>3.69337201118</v>
      </c>
      <c r="E1510" s="251" t="str">
        <f>HYPERLINK(AB2 &amp; "/knife/sn_e8a6915bd0bcf1bebaa284808a1567a8/rendering/02.obj", "0.817827641964")</f>
        <v>0.817827641964</v>
      </c>
      <c r="F1510" s="147" t="str">
        <f>HYPERLINK(AB2 &amp; "/knife/sn_e8a6915bd0bcf1bebaa284808a1567a8/rendering/03.obj", "2.9494535923")</f>
        <v>2.9494535923</v>
      </c>
      <c r="G1510" s="21" t="str">
        <f>HYPERLINK(AB2 &amp; "/knife/sn_e8a6915bd0bcf1bebaa284808a1567a8/rendering/04.obj", "0.884382307529")</f>
        <v>0.884382307529</v>
      </c>
      <c r="H1510" s="25" t="str">
        <f>HYPERLINK(AB2 &amp; "/knife/sn_e8a6915bd0bcf1bebaa284808a1567a8/rendering/05.obj", "1.95705771446")</f>
        <v>1.95705771446</v>
      </c>
      <c r="I1510" s="100" t="str">
        <f>HYPERLINK(AB2 &amp; "/knife/sn_e8a6915bd0bcf1bebaa284808a1567a8/rendering/06.obj", "1.38865745068")</f>
        <v>1.38865745068</v>
      </c>
      <c r="J1510" s="126" t="str">
        <f>HYPERLINK(AB2 &amp; "/knife/sn_e8a6915bd0bcf1bebaa284808a1567a8/rendering/07.obj", "2.97625184059")</f>
        <v>2.97625184059</v>
      </c>
      <c r="K1510" s="258" t="str">
        <f>HYPERLINK(AB2 &amp; "/knife/sn_e8a6915bd0bcf1bebaa284808a1567a8/rendering/08.obj", "3.48827028275")</f>
        <v>3.48827028275</v>
      </c>
      <c r="L1510" s="198" t="str">
        <f>HYPERLINK(AB2 &amp; "/knife/sn_e8a6915bd0bcf1bebaa284808a1567a8/rendering/09.obj", "1.21194958687")</f>
        <v>1.21194958687</v>
      </c>
      <c r="M1510" s="174" t="str">
        <f>HYPERLINK(AB2 &amp; "/knife/sn_e8a6915bd0bcf1bebaa284808a1567a8/rendering/10.obj", "0.939244449139")</f>
        <v>0.939244449139</v>
      </c>
      <c r="N1510" s="188" t="str">
        <f>HYPERLINK(AB2 &amp; "/knife/sn_e8a6915bd0bcf1bebaa284808a1567a8/rendering/11.obj", "3.40215182304")</f>
        <v>3.40215182304</v>
      </c>
      <c r="O1510" s="20" t="str">
        <f>HYPERLINK(AB2 &amp; "/knife/sn_e8a6915bd0bcf1bebaa284808a1567a8/rendering/12.obj", "3.86880397797")</f>
        <v>3.86880397797</v>
      </c>
      <c r="P1510" s="206" t="str">
        <f>HYPERLINK(AB2 &amp; "/knife/sn_e8a6915bd0bcf1bebaa284808a1567a8/rendering/13.obj", "0.81077927351")</f>
        <v>0.81077927351</v>
      </c>
      <c r="Q1510" s="140" t="str">
        <f>HYPERLINK(AB2 &amp; "/knife/sn_e8a6915bd0bcf1bebaa284808a1567a8/rendering/14.obj", "1.29498064518")</f>
        <v>1.29498064518</v>
      </c>
      <c r="R1510" s="6" t="str">
        <f>HYPERLINK(AB2 &amp; "/knife/sn_e8a6915bd0bcf1bebaa284808a1567a8/rendering/15.obj", "2.07214856148")</f>
        <v>2.07214856148</v>
      </c>
      <c r="S1510" s="16" t="str">
        <f>HYPERLINK(AB2 &amp; "/knife/sn_e8a6915bd0bcf1bebaa284808a1567a8/rendering/16.obj", "0.90569216013")</f>
        <v>0.90569216013</v>
      </c>
      <c r="T1510" s="241" t="str">
        <f>HYPERLINK(AB2 &amp; "/knife/sn_e8a6915bd0bcf1bebaa284808a1567a8/rendering/17.obj", "0.708592116833")</f>
        <v>0.708592116833</v>
      </c>
      <c r="U1510" s="20" t="str">
        <f>HYPERLINK(AB2 &amp; "/knife/sn_e8a6915bd0bcf1bebaa284808a1567a8/rendering/18.obj", "3.79574036598")</f>
        <v>3.79574036598</v>
      </c>
      <c r="V1510" s="228" t="str">
        <f>HYPERLINK(AB2 &amp; "/knife/sn_e8a6915bd0bcf1bebaa284808a1567a8/rendering/19.obj", "0.927415430546")</f>
        <v>0.927415430546</v>
      </c>
      <c r="W1510" s="12" t="s">
        <v>32</v>
      </c>
      <c r="X1510" s="13">
        <v>1.9817571133375169</v>
      </c>
      <c r="Y1510" s="13">
        <v>1.151499583888467</v>
      </c>
      <c r="Z1510" s="201">
        <v>0.58104980481144997</v>
      </c>
    </row>
    <row r="1511" spans="1:26" x14ac:dyDescent="0.2">
      <c r="A1511" s="1">
        <v>1509</v>
      </c>
      <c r="B1511" s="2" t="s">
        <v>334</v>
      </c>
      <c r="C1511" s="13" t="str">
        <f>HYPERLINK(AC2 &amp; "/knife/sn_e8a6915bd0bcf1bebaa284808a1567a8/rendering/00.xyz", "0.0")</f>
        <v>0.0</v>
      </c>
      <c r="D1511" s="13" t="str">
        <f>HYPERLINK(AC2 &amp; "/knife/sn_e8a6915bd0bcf1bebaa284808a1567a8/rendering/01.xyz", "0.0")</f>
        <v>0.0</v>
      </c>
      <c r="E1511" s="13" t="str">
        <f>HYPERLINK(AC2 &amp; "/knife/sn_e8a6915bd0bcf1bebaa284808a1567a8/rendering/02.xyz", "0.0")</f>
        <v>0.0</v>
      </c>
      <c r="F1511" s="13" t="str">
        <f>HYPERLINK(AC2 &amp; "/knife/sn_e8a6915bd0bcf1bebaa284808a1567a8/rendering/03.xyz", "0.0")</f>
        <v>0.0</v>
      </c>
      <c r="G1511" s="13" t="str">
        <f>HYPERLINK(AC2 &amp; "/knife/sn_e8a6915bd0bcf1bebaa284808a1567a8/rendering/04.xyz", "0.0")</f>
        <v>0.0</v>
      </c>
      <c r="H1511" s="13" t="str">
        <f>HYPERLINK(AC2 &amp; "/knife/sn_e8a6915bd0bcf1bebaa284808a1567a8/rendering/05.xyz", "0.0")</f>
        <v>0.0</v>
      </c>
      <c r="I1511" s="13" t="str">
        <f>HYPERLINK(AC2 &amp; "/knife/sn_e8a6915bd0bcf1bebaa284808a1567a8/rendering/06.xyz", "0.0")</f>
        <v>0.0</v>
      </c>
      <c r="J1511" s="13" t="str">
        <f>HYPERLINK(AC2 &amp; "/knife/sn_e8a6915bd0bcf1bebaa284808a1567a8/rendering/07.xyz", "0.0")</f>
        <v>0.0</v>
      </c>
      <c r="K1511" s="13" t="str">
        <f>HYPERLINK(AC2 &amp; "/knife/sn_e8a6915bd0bcf1bebaa284808a1567a8/rendering/08.xyz", "0.0")</f>
        <v>0.0</v>
      </c>
      <c r="L1511" s="13" t="str">
        <f>HYPERLINK(AC2 &amp; "/knife/sn_e8a6915bd0bcf1bebaa284808a1567a8/rendering/09.xyz", "0.0")</f>
        <v>0.0</v>
      </c>
      <c r="M1511" s="13" t="str">
        <f>HYPERLINK(AC2 &amp; "/knife/sn_e8a6915bd0bcf1bebaa284808a1567a8/rendering/10.xyz", "0.0")</f>
        <v>0.0</v>
      </c>
      <c r="N1511" s="13" t="str">
        <f>HYPERLINK(AC2 &amp; "/knife/sn_e8a6915bd0bcf1bebaa284808a1567a8/rendering/11.xyz", "0.0")</f>
        <v>0.0</v>
      </c>
      <c r="O1511" s="13" t="str">
        <f>HYPERLINK(AC2 &amp; "/knife/sn_e8a6915bd0bcf1bebaa284808a1567a8/rendering/12.xyz", "0.0")</f>
        <v>0.0</v>
      </c>
      <c r="P1511" s="13" t="str">
        <f>HYPERLINK(AC2 &amp; "/knife/sn_e8a6915bd0bcf1bebaa284808a1567a8/rendering/13.xyz", "0.0")</f>
        <v>0.0</v>
      </c>
      <c r="Q1511" s="13" t="str">
        <f>HYPERLINK(AC2 &amp; "/knife/sn_e8a6915bd0bcf1bebaa284808a1567a8/rendering/14.xyz", "0.0")</f>
        <v>0.0</v>
      </c>
      <c r="R1511" s="13" t="str">
        <f>HYPERLINK(AC2 &amp; "/knife/sn_e8a6915bd0bcf1bebaa284808a1567a8/rendering/15.xyz", "0.0")</f>
        <v>0.0</v>
      </c>
      <c r="S1511" s="13" t="str">
        <f>HYPERLINK(AC2 &amp; "/knife/sn_e8a6915bd0bcf1bebaa284808a1567a8/rendering/16.xyz", "0.0")</f>
        <v>0.0</v>
      </c>
      <c r="T1511" s="13" t="str">
        <f>HYPERLINK(AC2 &amp; "/knife/sn_e8a6915bd0bcf1bebaa284808a1567a8/rendering/17.xyz", "0.0")</f>
        <v>0.0</v>
      </c>
      <c r="U1511" s="13" t="str">
        <f>HYPERLINK(AC2 &amp; "/knife/sn_e8a6915bd0bcf1bebaa284808a1567a8/rendering/18.xyz", "0.0")</f>
        <v>0.0</v>
      </c>
      <c r="V1511" s="13" t="str">
        <f>HYPERLINK(AC2 &amp; "/knife/sn_e8a6915bd0bcf1bebaa284808a1567a8/rendering/19.xyz", "0.0")</f>
        <v>0.0</v>
      </c>
      <c r="W1511" s="12" t="s">
        <v>33</v>
      </c>
      <c r="X1511" s="13">
        <v>0</v>
      </c>
      <c r="Y1511" s="13">
        <v>0</v>
      </c>
      <c r="Z1511" s="13">
        <v>0</v>
      </c>
    </row>
    <row r="1512" spans="1:26" x14ac:dyDescent="0.2">
      <c r="A1512" s="1">
        <v>1510</v>
      </c>
      <c r="B1512" s="2" t="s">
        <v>335</v>
      </c>
      <c r="C1512" s="16" t="str">
        <f>HYPERLINK(AA2 &amp; "/knife/sn_e9280056548518c0ce7c7b3554aba2f8/rendering/00.obj", "6.26417236328")</f>
        <v>6.26417236328</v>
      </c>
      <c r="D1512" s="82" t="str">
        <f>HYPERLINK(AA2 &amp; "/knife/sn_e9280056548518c0ce7c7b3554aba2f8/rendering/01.obj", "3.22515533447")</f>
        <v>3.22515533447</v>
      </c>
      <c r="E1512" s="192" t="str">
        <f>HYPERLINK(AA2 &amp; "/knife/sn_e9280056548518c0ce7c7b3554aba2f8/rendering/02.obj", "2.55017852783")</f>
        <v>2.55017852783</v>
      </c>
      <c r="F1512" s="168" t="str">
        <f>HYPERLINK(AA2 &amp; "/knife/sn_e9280056548518c0ce7c7b3554aba2f8/rendering/03.obj", "2.75485931396")</f>
        <v>2.75485931396</v>
      </c>
      <c r="G1512" s="192" t="str">
        <f>HYPERLINK(AA2 &amp; "/knife/sn_e9280056548518c0ce7c7b3554aba2f8/rendering/04.obj", "2.55565063477")</f>
        <v>2.55565063477</v>
      </c>
      <c r="H1512" s="14" t="str">
        <f>HYPERLINK(AA2 &amp; "/knife/sn_e9280056548518c0ce7c7b3554aba2f8/rendering/05.obj", "2.87715393066")</f>
        <v>2.87715393066</v>
      </c>
      <c r="I1512" s="132" t="str">
        <f>HYPERLINK(AA2 &amp; "/knife/sn_e9280056548518c0ce7c7b3554aba2f8/rendering/06.obj", "2.36172515869")</f>
        <v>2.36172515869</v>
      </c>
      <c r="J1512" s="132" t="str">
        <f>HYPERLINK(AA2 &amp; "/knife/sn_e9280056548518c0ce7c7b3554aba2f8/rendering/07.obj", "2.35371673584")</f>
        <v>2.35371673584</v>
      </c>
      <c r="K1512" s="60" t="str">
        <f>HYPERLINK(AA2 &amp; "/knife/sn_e9280056548518c0ce7c7b3554aba2f8/rendering/08.obj", "3.84603393555")</f>
        <v>3.84603393555</v>
      </c>
      <c r="L1512" s="5" t="str">
        <f>HYPERLINK(AA2 &amp; "/knife/sn_e9280056548518c0ce7c7b3554aba2f8/rendering/09.obj", "3.74923095703")</f>
        <v>3.74923095703</v>
      </c>
      <c r="M1512" s="212" t="str">
        <f>HYPERLINK(AA2 &amp; "/knife/sn_e9280056548518c0ce7c7b3554aba2f8/rendering/10.obj", "2.31508636475")</f>
        <v>2.31508636475</v>
      </c>
      <c r="N1512" s="20" t="str">
        <f>HYPERLINK(AA2 &amp; "/knife/sn_e9280056548518c0ce7c7b3554aba2f8/rendering/11.obj", "12.9165332031")</f>
        <v>12.9165332031</v>
      </c>
      <c r="O1512" s="113" t="str">
        <f>HYPERLINK(AA2 &amp; "/knife/sn_e9280056548518c0ce7c7b3554aba2f8/rendering/12.obj", "2.94631958008")</f>
        <v>2.94631958008</v>
      </c>
      <c r="P1512" s="214" t="str">
        <f>HYPERLINK(AA2 &amp; "/knife/sn_e9280056548518c0ce7c7b3554aba2f8/rendering/13.obj", "6.56586547852")</f>
        <v>6.56586547852</v>
      </c>
      <c r="Q1512" s="99" t="str">
        <f>HYPERLINK(AA2 &amp; "/knife/sn_e9280056548518c0ce7c7b3554aba2f8/rendering/14.obj", "2.96031677246")</f>
        <v>2.96031677246</v>
      </c>
      <c r="R1512" s="196" t="str">
        <f>HYPERLINK(AA2 &amp; "/knife/sn_e9280056548518c0ce7c7b3554aba2f8/rendering/15.obj", "2.44273071289")</f>
        <v>2.44273071289</v>
      </c>
      <c r="S1512" s="101" t="str">
        <f>HYPERLINK(AA2 &amp; "/knife/sn_e9280056548518c0ce7c7b3554aba2f8/rendering/16.obj", "2.52075378418")</f>
        <v>2.52075378418</v>
      </c>
      <c r="T1512" s="89" t="str">
        <f>HYPERLINK(AA2 &amp; "/knife/sn_e9280056548518c0ce7c7b3554aba2f8/rendering/17.obj", "3.01450927734")</f>
        <v>3.01450927734</v>
      </c>
      <c r="U1512" s="40" t="str">
        <f>HYPERLINK(AA2 &amp; "/knife/sn_e9280056548518c0ce7c7b3554aba2f8/rendering/18.obj", "4.75774291992")</f>
        <v>4.75774291992</v>
      </c>
      <c r="V1512" s="20" t="str">
        <f>HYPERLINK(AA2 &amp; "/knife/sn_e9280056548518c0ce7c7b3554aba2f8/rendering/19.obj", "8.22693237305")</f>
        <v>8.22693237305</v>
      </c>
      <c r="W1512" s="12" t="s">
        <v>29</v>
      </c>
      <c r="X1512" s="13">
        <v>4.0602333679199223</v>
      </c>
      <c r="Y1512" s="13">
        <v>2.581455960204782</v>
      </c>
      <c r="Z1512" s="164">
        <v>0.63579004610941237</v>
      </c>
    </row>
    <row r="1513" spans="1:26" x14ac:dyDescent="0.2">
      <c r="A1513" s="1">
        <v>1511</v>
      </c>
      <c r="B1513" s="2" t="s">
        <v>335</v>
      </c>
      <c r="C1513" s="195" t="str">
        <f>HYPERLINK(AA2 &amp; "/knife/sn_e9280056548518c0ce7c7b3554aba2f8/rendering/00.obj", "5.0335817337")</f>
        <v>5.0335817337</v>
      </c>
      <c r="D1513" s="191" t="str">
        <f>HYPERLINK(AA2 &amp; "/knife/sn_e9280056548518c0ce7c7b3554aba2f8/rendering/01.obj", "1.77662193775")</f>
        <v>1.77662193775</v>
      </c>
      <c r="E1513" s="144" t="str">
        <f>HYPERLINK(AA2 &amp; "/knife/sn_e9280056548518c0ce7c7b3554aba2f8/rendering/02.obj", "1.61775124073")</f>
        <v>1.61775124073</v>
      </c>
      <c r="F1513" s="62" t="str">
        <f>HYPERLINK(AA2 &amp; "/knife/sn_e9280056548518c0ce7c7b3554aba2f8/rendering/03.obj", "1.31129682064")</f>
        <v>1.31129682064</v>
      </c>
      <c r="G1513" s="178" t="str">
        <f>HYPERLINK(AA2 &amp; "/knife/sn_e9280056548518c0ce7c7b3554aba2f8/rendering/04.obj", "1.15014243126")</f>
        <v>1.15014243126</v>
      </c>
      <c r="H1513" s="163" t="str">
        <f>HYPERLINK(AA2 &amp; "/knife/sn_e9280056548518c0ce7c7b3554aba2f8/rendering/05.obj", "1.82394504547")</f>
        <v>1.82394504547</v>
      </c>
      <c r="I1513" s="231" t="str">
        <f>HYPERLINK(AA2 &amp; "/knife/sn_e9280056548518c0ce7c7b3554aba2f8/rendering/06.obj", "1.38410210609")</f>
        <v>1.38410210609</v>
      </c>
      <c r="J1513" s="248" t="str">
        <f>HYPERLINK(AA2 &amp; "/knife/sn_e9280056548518c0ce7c7b3554aba2f8/rendering/07.obj", "1.10276770592")</f>
        <v>1.10276770592</v>
      </c>
      <c r="K1513" s="74" t="str">
        <f>HYPERLINK(AA2 &amp; "/knife/sn_e9280056548518c0ce7c7b3554aba2f8/rendering/08.obj", "3.29683613777")</f>
        <v>3.29683613777</v>
      </c>
      <c r="L1513" s="69" t="str">
        <f>HYPERLINK(AA2 &amp; "/knife/sn_e9280056548518c0ce7c7b3554aba2f8/rendering/09.obj", "3.35190916061")</f>
        <v>3.35190916061</v>
      </c>
      <c r="M1513" s="220" t="str">
        <f>HYPERLINK(AA2 &amp; "/knife/sn_e9280056548518c0ce7c7b3554aba2f8/rendering/10.obj", "1.0484213829")</f>
        <v>1.0484213829</v>
      </c>
      <c r="N1513" s="20" t="str">
        <f>HYPERLINK(AA2 &amp; "/knife/sn_e9280056548518c0ce7c7b3554aba2f8/rendering/11.obj", "21.2239437103")</f>
        <v>21.2239437103</v>
      </c>
      <c r="O1513" s="156" t="str">
        <f>HYPERLINK(AA2 &amp; "/knife/sn_e9280056548518c0ce7c7b3554aba2f8/rendering/12.obj", "1.80300927162")</f>
        <v>1.80300927162</v>
      </c>
      <c r="P1513" s="20" t="str">
        <f>HYPERLINK(AA2 &amp; "/knife/sn_e9280056548518c0ce7c7b3554aba2f8/rendering/13.obj", "6.48120880127")</f>
        <v>6.48120880127</v>
      </c>
      <c r="Q1513" s="246" t="str">
        <f>HYPERLINK(AA2 &amp; "/knife/sn_e9280056548518c0ce7c7b3554aba2f8/rendering/14.obj", "1.26785957813")</f>
        <v>1.26785957813</v>
      </c>
      <c r="R1513" s="240" t="str">
        <f>HYPERLINK(AA2 &amp; "/knife/sn_e9280056548518c0ce7c7b3554aba2f8/rendering/15.obj", "1.12921106815")</f>
        <v>1.12921106815</v>
      </c>
      <c r="S1513" s="202" t="str">
        <f>HYPERLINK(AA2 &amp; "/knife/sn_e9280056548518c0ce7c7b3554aba2f8/rendering/16.obj", "1.20567440987")</f>
        <v>1.20567440987</v>
      </c>
      <c r="T1513" s="150" t="str">
        <f>HYPERLINK(AA2 &amp; "/knife/sn_e9280056548518c0ce7c7b3554aba2f8/rendering/17.obj", "1.50004148483")</f>
        <v>1.50004148483</v>
      </c>
      <c r="U1513" s="74" t="str">
        <f>HYPERLINK(AA2 &amp; "/knife/sn_e9280056548518c0ce7c7b3554aba2f8/rendering/18.obj", "3.29750585556")</f>
        <v>3.29750585556</v>
      </c>
      <c r="V1513" s="168" t="str">
        <f>HYPERLINK(AA2 &amp; "/knife/sn_e9280056548518c0ce7c7b3554aba2f8/rendering/19.obj", "4.29794597626")</f>
        <v>4.29794597626</v>
      </c>
      <c r="W1513" s="12" t="s">
        <v>30</v>
      </c>
      <c r="X1513" s="13">
        <v>3.255188792943954</v>
      </c>
      <c r="Y1513" s="13">
        <v>4.3791258181897561</v>
      </c>
      <c r="Z1513" s="20">
        <v>1.3452755267780721</v>
      </c>
    </row>
    <row r="1514" spans="1:26" x14ac:dyDescent="0.2">
      <c r="A1514" s="1">
        <v>1512</v>
      </c>
      <c r="B1514" s="2" t="s">
        <v>335</v>
      </c>
      <c r="C1514" s="176" t="str">
        <f>HYPERLINK(AB2 &amp; "/knife/sn_e9280056548518c0ce7c7b3554aba2f8/rendering/00.obj", "2.45156890869")</f>
        <v>2.45156890869</v>
      </c>
      <c r="D1514" s="155" t="str">
        <f>HYPERLINK(AB2 &amp; "/knife/sn_e9280056548518c0ce7c7b3554aba2f8/rendering/01.obj", "6.04076904297")</f>
        <v>6.04076904297</v>
      </c>
      <c r="E1514" s="137" t="str">
        <f>HYPERLINK(AB2 &amp; "/knife/sn_e9280056548518c0ce7c7b3554aba2f8/rendering/02.obj", "2.28946792603")</f>
        <v>2.28946792603</v>
      </c>
      <c r="F1514" s="171" t="str">
        <f>HYPERLINK(AB2 &amp; "/knife/sn_e9280056548518c0ce7c7b3554aba2f8/rendering/03.obj", "2.50342376709")</f>
        <v>2.50342376709</v>
      </c>
      <c r="G1514" s="16" t="str">
        <f>HYPERLINK(AB2 &amp; "/knife/sn_e9280056548518c0ce7c7b3554aba2f8/rendering/04.obj", "5.56310058594")</f>
        <v>5.56310058594</v>
      </c>
      <c r="H1514" s="168" t="str">
        <f>HYPERLINK(AB2 &amp; "/knife/sn_e9280056548518c0ce7c7b3554aba2f8/rendering/05.obj", "2.44048492432")</f>
        <v>2.44048492432</v>
      </c>
      <c r="I1514" s="93" t="str">
        <f>HYPERLINK(AB2 &amp; "/knife/sn_e9280056548518c0ce7c7b3554aba2f8/rendering/06.obj", "3.09529052734")</f>
        <v>3.09529052734</v>
      </c>
      <c r="J1514" s="111" t="str">
        <f>HYPERLINK(AB2 &amp; "/knife/sn_e9280056548518c0ce7c7b3554aba2f8/rendering/07.obj", "5.11774597168")</f>
        <v>5.11774597168</v>
      </c>
      <c r="K1514" s="66" t="str">
        <f>HYPERLINK(AB2 &amp; "/knife/sn_e9280056548518c0ce7c7b3554aba2f8/rendering/08.obj", "4.17955749512")</f>
        <v>4.17955749512</v>
      </c>
      <c r="L1514" s="179" t="str">
        <f>HYPERLINK(AB2 &amp; "/knife/sn_e9280056548518c0ce7c7b3554aba2f8/rendering/09.obj", "2.06241607666")</f>
        <v>2.06241607666</v>
      </c>
      <c r="M1514" s="111" t="str">
        <f>HYPERLINK(AB2 &amp; "/knife/sn_e9280056548518c0ce7c7b3554aba2f8/rendering/10.obj", "5.11746948242")</f>
        <v>5.11746948242</v>
      </c>
      <c r="N1514" s="153" t="str">
        <f>HYPERLINK(AB2 &amp; "/knife/sn_e9280056548518c0ce7c7b3554aba2f8/rendering/11.obj", "2.31893676758")</f>
        <v>2.31893676758</v>
      </c>
      <c r="O1514" s="41" t="str">
        <f>HYPERLINK(AB2 &amp; "/knife/sn_e9280056548518c0ce7c7b3554aba2f8/rendering/12.obj", "3.84426818848")</f>
        <v>3.84426818848</v>
      </c>
      <c r="P1514" s="77" t="str">
        <f>HYPERLINK(AB2 &amp; "/knife/sn_e9280056548518c0ce7c7b3554aba2f8/rendering/13.obj", "4.2783392334")</f>
        <v>4.2783392334</v>
      </c>
      <c r="Q1514" s="53" t="str">
        <f>HYPERLINK(AB2 &amp; "/knife/sn_e9280056548518c0ce7c7b3554aba2f8/rendering/14.obj", "2.116668396")</f>
        <v>2.116668396</v>
      </c>
      <c r="R1514" s="43" t="str">
        <f>HYPERLINK(AB2 &amp; "/knife/sn_e9280056548518c0ce7c7b3554aba2f8/rendering/15.obj", "2.25399932861")</f>
        <v>2.25399932861</v>
      </c>
      <c r="S1514" s="196" t="str">
        <f>HYPERLINK(AB2 &amp; "/knife/sn_e9280056548518c0ce7c7b3554aba2f8/rendering/16.obj", "5.0329019165")</f>
        <v>5.0329019165</v>
      </c>
      <c r="T1514" s="150" t="str">
        <f>HYPERLINK(AB2 &amp; "/knife/sn_e9280056548518c0ce7c7b3554aba2f8/rendering/17.obj", "5.53640563965")</f>
        <v>5.53640563965</v>
      </c>
      <c r="U1514" s="119" t="str">
        <f>HYPERLINK(AB2 &amp; "/knife/sn_e9280056548518c0ce7c7b3554aba2f8/rendering/18.obj", "2.64524108887")</f>
        <v>2.64524108887</v>
      </c>
      <c r="V1514" s="92" t="str">
        <f>HYPERLINK(AB2 &amp; "/knife/sn_e9280056548518c0ce7c7b3554aba2f8/rendering/19.obj", "3.15903961182")</f>
        <v>3.15903961182</v>
      </c>
      <c r="W1514" s="12" t="s">
        <v>31</v>
      </c>
      <c r="X1514" s="13">
        <v>3.6023547439575201</v>
      </c>
      <c r="Y1514" s="13">
        <v>1.342333950000937</v>
      </c>
      <c r="Z1514" s="192">
        <v>0.37262680813224369</v>
      </c>
    </row>
    <row r="1515" spans="1:26" x14ac:dyDescent="0.2">
      <c r="A1515" s="1">
        <v>1513</v>
      </c>
      <c r="B1515" s="2" t="s">
        <v>335</v>
      </c>
      <c r="C1515" s="41" t="str">
        <f>HYPERLINK(AB2 &amp; "/knife/sn_e9280056548518c0ce7c7b3554aba2f8/rendering/00.obj", "1.45577466488")</f>
        <v>1.45577466488</v>
      </c>
      <c r="D1515" s="117" t="str">
        <f>HYPERLINK(AB2 &amp; "/knife/sn_e9280056548518c0ce7c7b3554aba2f8/rendering/01.obj", "1.6054019928")</f>
        <v>1.6054019928</v>
      </c>
      <c r="E1515" s="8" t="str">
        <f>HYPERLINK(AB2 &amp; "/knife/sn_e9280056548518c0ce7c7b3554aba2f8/rendering/02.obj", "1.17017912865")</f>
        <v>1.17017912865</v>
      </c>
      <c r="F1515" s="72" t="str">
        <f>HYPERLINK(AB2 &amp; "/knife/sn_e9280056548518c0ce7c7b3554aba2f8/rendering/03.obj", "1.40938544273")</f>
        <v>1.40938544273</v>
      </c>
      <c r="G1515" s="91" t="str">
        <f>HYPERLINK(AB2 &amp; "/knife/sn_e9280056548518c0ce7c7b3554aba2f8/rendering/04.obj", "1.32638859749")</f>
        <v>1.32638859749</v>
      </c>
      <c r="H1515" s="10" t="str">
        <f>HYPERLINK(AB2 &amp; "/knife/sn_e9280056548518c0ce7c7b3554aba2f8/rendering/05.obj", "1.43609893322")</f>
        <v>1.43609893322</v>
      </c>
      <c r="I1515" s="129" t="str">
        <f>HYPERLINK(AB2 &amp; "/knife/sn_e9280056548518c0ce7c7b3554aba2f8/rendering/06.obj", "1.70285332203")</f>
        <v>1.70285332203</v>
      </c>
      <c r="J1515" s="37" t="str">
        <f>HYPERLINK(AB2 &amp; "/knife/sn_e9280056548518c0ce7c7b3554aba2f8/rendering/07.obj", "1.12421154976")</f>
        <v>1.12421154976</v>
      </c>
      <c r="K1515" s="63" t="str">
        <f>HYPERLINK(AB2 &amp; "/knife/sn_e9280056548518c0ce7c7b3554aba2f8/rendering/08.obj", "1.19682323933")</f>
        <v>1.19682323933</v>
      </c>
      <c r="L1515" s="31" t="str">
        <f>HYPERLINK(AB2 &amp; "/knife/sn_e9280056548518c0ce7c7b3554aba2f8/rendering/09.obj", "1.15149521828")</f>
        <v>1.15149521828</v>
      </c>
      <c r="M1515" s="48" t="str">
        <f>HYPERLINK(AB2 &amp; "/knife/sn_e9280056548518c0ce7c7b3554aba2f8/rendering/10.obj", "1.39348864555")</f>
        <v>1.39348864555</v>
      </c>
      <c r="N1515" s="47" t="str">
        <f>HYPERLINK(AB2 &amp; "/knife/sn_e9280056548518c0ce7c7b3554aba2f8/rendering/11.obj", "1.37399661541")</f>
        <v>1.37399661541</v>
      </c>
      <c r="O1515" s="64" t="str">
        <f>HYPERLINK(AB2 &amp; "/knife/sn_e9280056548518c0ce7c7b3554aba2f8/rendering/12.obj", "1.58629345894")</f>
        <v>1.58629345894</v>
      </c>
      <c r="P1515" s="133" t="str">
        <f>HYPERLINK(AB2 &amp; "/knife/sn_e9280056548518c0ce7c7b3554aba2f8/rendering/13.obj", "1.22499132156")</f>
        <v>1.22499132156</v>
      </c>
      <c r="Q1515" s="33" t="str">
        <f>HYPERLINK(AB2 &amp; "/knife/sn_e9280056548518c0ce7c7b3554aba2f8/rendering/14.obj", "1.21672105789")</f>
        <v>1.21672105789</v>
      </c>
      <c r="R1515" s="93" t="str">
        <f>HYPERLINK(AB2 &amp; "/knife/sn_e9280056548518c0ce7c7b3554aba2f8/rendering/15.obj", "1.17149353027")</f>
        <v>1.17149353027</v>
      </c>
      <c r="S1515" s="33" t="str">
        <f>HYPERLINK(AB2 &amp; "/knife/sn_e9280056548518c0ce7c7b3554aba2f8/rendering/16.obj", "1.51184761524")</f>
        <v>1.51184761524</v>
      </c>
      <c r="T1515" s="32" t="str">
        <f>HYPERLINK(AB2 &amp; "/knife/sn_e9280056548518c0ce7c7b3554aba2f8/rendering/17.obj", "1.2199409008")</f>
        <v>1.2199409008</v>
      </c>
      <c r="U1515" s="59" t="str">
        <f>HYPERLINK(AB2 &amp; "/knife/sn_e9280056548518c0ce7c7b3554aba2f8/rendering/18.obj", "1.68965387344")</f>
        <v>1.68965387344</v>
      </c>
      <c r="V1515" s="34" t="str">
        <f>HYPERLINK(AB2 &amp; "/knife/sn_e9280056548518c0ce7c7b3554aba2f8/rendering/19.obj", "1.29559874535")</f>
        <v>1.29559874535</v>
      </c>
      <c r="W1515" s="12" t="s">
        <v>32</v>
      </c>
      <c r="X1515" s="13">
        <v>1.363131892681122</v>
      </c>
      <c r="Y1515" s="13">
        <v>0.178905891570461</v>
      </c>
      <c r="Z1515" s="29">
        <v>0.13124620774485291</v>
      </c>
    </row>
    <row r="1516" spans="1:26" x14ac:dyDescent="0.2">
      <c r="A1516" s="1">
        <v>1514</v>
      </c>
      <c r="B1516" s="2" t="s">
        <v>335</v>
      </c>
      <c r="C1516" s="13" t="str">
        <f>HYPERLINK(AC2 &amp; "/knife/sn_e9280056548518c0ce7c7b3554aba2f8/rendering/00.xyz", "0.0")</f>
        <v>0.0</v>
      </c>
      <c r="D1516" s="13" t="str">
        <f>HYPERLINK(AC2 &amp; "/knife/sn_e9280056548518c0ce7c7b3554aba2f8/rendering/01.xyz", "0.0")</f>
        <v>0.0</v>
      </c>
      <c r="E1516" s="13" t="str">
        <f>HYPERLINK(AC2 &amp; "/knife/sn_e9280056548518c0ce7c7b3554aba2f8/rendering/02.xyz", "0.0")</f>
        <v>0.0</v>
      </c>
      <c r="F1516" s="13" t="str">
        <f>HYPERLINK(AC2 &amp; "/knife/sn_e9280056548518c0ce7c7b3554aba2f8/rendering/03.xyz", "0.0")</f>
        <v>0.0</v>
      </c>
      <c r="G1516" s="13" t="str">
        <f>HYPERLINK(AC2 &amp; "/knife/sn_e9280056548518c0ce7c7b3554aba2f8/rendering/04.xyz", "0.0")</f>
        <v>0.0</v>
      </c>
      <c r="H1516" s="13" t="str">
        <f>HYPERLINK(AC2 &amp; "/knife/sn_e9280056548518c0ce7c7b3554aba2f8/rendering/05.xyz", "0.0")</f>
        <v>0.0</v>
      </c>
      <c r="I1516" s="13" t="str">
        <f>HYPERLINK(AC2 &amp; "/knife/sn_e9280056548518c0ce7c7b3554aba2f8/rendering/06.xyz", "0.0")</f>
        <v>0.0</v>
      </c>
      <c r="J1516" s="13" t="str">
        <f>HYPERLINK(AC2 &amp; "/knife/sn_e9280056548518c0ce7c7b3554aba2f8/rendering/07.xyz", "0.0")</f>
        <v>0.0</v>
      </c>
      <c r="K1516" s="13" t="str">
        <f>HYPERLINK(AC2 &amp; "/knife/sn_e9280056548518c0ce7c7b3554aba2f8/rendering/08.xyz", "0.0")</f>
        <v>0.0</v>
      </c>
      <c r="L1516" s="13" t="str">
        <f>HYPERLINK(AC2 &amp; "/knife/sn_e9280056548518c0ce7c7b3554aba2f8/rendering/09.xyz", "0.0")</f>
        <v>0.0</v>
      </c>
      <c r="M1516" s="13" t="str">
        <f>HYPERLINK(AC2 &amp; "/knife/sn_e9280056548518c0ce7c7b3554aba2f8/rendering/10.xyz", "0.0")</f>
        <v>0.0</v>
      </c>
      <c r="N1516" s="13" t="str">
        <f>HYPERLINK(AC2 &amp; "/knife/sn_e9280056548518c0ce7c7b3554aba2f8/rendering/11.xyz", "0.0")</f>
        <v>0.0</v>
      </c>
      <c r="O1516" s="13" t="str">
        <f>HYPERLINK(AC2 &amp; "/knife/sn_e9280056548518c0ce7c7b3554aba2f8/rendering/12.xyz", "0.0")</f>
        <v>0.0</v>
      </c>
      <c r="P1516" s="13" t="str">
        <f>HYPERLINK(AC2 &amp; "/knife/sn_e9280056548518c0ce7c7b3554aba2f8/rendering/13.xyz", "0.0")</f>
        <v>0.0</v>
      </c>
      <c r="Q1516" s="13" t="str">
        <f>HYPERLINK(AC2 &amp; "/knife/sn_e9280056548518c0ce7c7b3554aba2f8/rendering/14.xyz", "0.0")</f>
        <v>0.0</v>
      </c>
      <c r="R1516" s="13" t="str">
        <f>HYPERLINK(AC2 &amp; "/knife/sn_e9280056548518c0ce7c7b3554aba2f8/rendering/15.xyz", "0.0")</f>
        <v>0.0</v>
      </c>
      <c r="S1516" s="13" t="str">
        <f>HYPERLINK(AC2 &amp; "/knife/sn_e9280056548518c0ce7c7b3554aba2f8/rendering/16.xyz", "0.0")</f>
        <v>0.0</v>
      </c>
      <c r="T1516" s="13" t="str">
        <f>HYPERLINK(AC2 &amp; "/knife/sn_e9280056548518c0ce7c7b3554aba2f8/rendering/17.xyz", "0.0")</f>
        <v>0.0</v>
      </c>
      <c r="U1516" s="13" t="str">
        <f>HYPERLINK(AC2 &amp; "/knife/sn_e9280056548518c0ce7c7b3554aba2f8/rendering/18.xyz", "0.0")</f>
        <v>0.0</v>
      </c>
      <c r="V1516" s="13" t="str">
        <f>HYPERLINK(AC2 &amp; "/knife/sn_e9280056548518c0ce7c7b3554aba2f8/rendering/19.xyz", "0.0")</f>
        <v>0.0</v>
      </c>
      <c r="W1516" s="12" t="s">
        <v>33</v>
      </c>
      <c r="X1516" s="13">
        <v>0</v>
      </c>
      <c r="Y1516" s="13">
        <v>0</v>
      </c>
      <c r="Z1516" s="13">
        <v>0</v>
      </c>
    </row>
    <row r="1517" spans="1:26" x14ac:dyDescent="0.2">
      <c r="A1517" s="1">
        <v>1515</v>
      </c>
      <c r="B1517" s="2" t="s">
        <v>336</v>
      </c>
      <c r="C1517" s="51" t="str">
        <f>HYPERLINK(AA2 &amp; "/knife/sn_e98bc872371c852e15b040d25222e627/rendering/00.obj", "4.49486724854")</f>
        <v>4.49486724854</v>
      </c>
      <c r="D1517" s="5" t="str">
        <f>HYPERLINK(AA2 &amp; "/knife/sn_e98bc872371c852e15b040d25222e627/rendering/01.obj", "4.48696166992")</f>
        <v>4.48696166992</v>
      </c>
      <c r="E1517" s="90" t="str">
        <f>HYPERLINK(AA2 &amp; "/knife/sn_e98bc872371c852e15b040d25222e627/rendering/02.obj", "4.56042785645")</f>
        <v>4.56042785645</v>
      </c>
      <c r="F1517" s="72" t="str">
        <f>HYPERLINK(AA2 &amp; "/knife/sn_e98bc872371c852e15b040d25222e627/rendering/03.obj", "4.02887145996")</f>
        <v>4.02887145996</v>
      </c>
      <c r="G1517" s="94" t="str">
        <f>HYPERLINK(AA2 &amp; "/knife/sn_e98bc872371c852e15b040d25222e627/rendering/04.obj", "3.85295440674")</f>
        <v>3.85295440674</v>
      </c>
      <c r="H1517" s="25" t="str">
        <f>HYPERLINK(AA2 &amp; "/knife/sn_e98bc872371c852e15b040d25222e627/rendering/05.obj", "4.20966186523")</f>
        <v>4.20966186523</v>
      </c>
      <c r="I1517" s="133" t="str">
        <f>HYPERLINK(AA2 &amp; "/knife/sn_e98bc872371c852e15b040d25222e627/rendering/06.obj", "3.73696502686")</f>
        <v>3.73696502686</v>
      </c>
      <c r="J1517" s="39" t="str">
        <f>HYPERLINK(AA2 &amp; "/knife/sn_e98bc872371c852e15b040d25222e627/rendering/07.obj", "3.79793426514")</f>
        <v>3.79793426514</v>
      </c>
      <c r="K1517" s="46" t="str">
        <f>HYPERLINK(AA2 &amp; "/knife/sn_e98bc872371c852e15b040d25222e627/rendering/08.obj", "4.09461547852")</f>
        <v>4.09461547852</v>
      </c>
      <c r="L1517" s="91" t="str">
        <f>HYPERLINK(AA2 &amp; "/knife/sn_e98bc872371c852e15b040d25222e627/rendering/09.obj", "4.05419799805")</f>
        <v>4.05419799805</v>
      </c>
      <c r="M1517" s="10" t="str">
        <f>HYPERLINK(AA2 &amp; "/knife/sn_e98bc872371c852e15b040d25222e627/rendering/10.obj", "3.92832733154")</f>
        <v>3.92832733154</v>
      </c>
      <c r="N1517" s="78" t="str">
        <f>HYPERLINK(AA2 &amp; "/knife/sn_e98bc872371c852e15b040d25222e627/rendering/11.obj", "3.91186767578")</f>
        <v>3.91186767578</v>
      </c>
      <c r="O1517" s="90" t="str">
        <f>HYPERLINK(AA2 &amp; "/knife/sn_e98bc872371c852e15b040d25222e627/rendering/12.obj", "3.76332641602")</f>
        <v>3.76332641602</v>
      </c>
      <c r="P1517" s="30" t="str">
        <f>HYPERLINK(AA2 &amp; "/knife/sn_e98bc872371c852e15b040d25222e627/rendering/13.obj", "4.18188598633")</f>
        <v>4.18188598633</v>
      </c>
      <c r="Q1517" s="33" t="str">
        <f>HYPERLINK(AA2 &amp; "/knife/sn_e98bc872371c852e15b040d25222e627/rendering/14.obj", "3.7183026123")</f>
        <v>3.7183026123</v>
      </c>
      <c r="R1517" s="74" t="str">
        <f>HYPERLINK(AA2 &amp; "/knife/sn_e98bc872371c852e15b040d25222e627/rendering/15.obj", "4.09840270996")</f>
        <v>4.09840270996</v>
      </c>
      <c r="S1517" s="32" t="str">
        <f>HYPERLINK(AA2 &amp; "/knife/sn_e98bc872371c852e15b040d25222e627/rendering/16.obj", "4.60433380127")</f>
        <v>4.60433380127</v>
      </c>
      <c r="T1517" s="93" t="str">
        <f>HYPERLINK(AA2 &amp; "/knife/sn_e98bc872371c852e15b040d25222e627/rendering/17.obj", "3.5802734375")</f>
        <v>3.5802734375</v>
      </c>
      <c r="U1517" s="181" t="str">
        <f>HYPERLINK(AA2 &amp; "/knife/sn_e98bc872371c852e15b040d25222e627/rendering/18.obj", "6.00832275391")</f>
        <v>6.00832275391</v>
      </c>
      <c r="V1517" s="30" t="str">
        <f>HYPERLINK(AA2 &amp; "/knife/sn_e98bc872371c852e15b040d25222e627/rendering/19.obj", "4.14347045898")</f>
        <v>4.14347045898</v>
      </c>
      <c r="W1517" s="12" t="s">
        <v>29</v>
      </c>
      <c r="X1517" s="13">
        <v>4.1627985229492186</v>
      </c>
      <c r="Y1517" s="13">
        <v>0.51189503181504836</v>
      </c>
      <c r="Z1517" s="92">
        <v>0.12296896642799469</v>
      </c>
    </row>
    <row r="1518" spans="1:26" x14ac:dyDescent="0.2">
      <c r="A1518" s="1">
        <v>1516</v>
      </c>
      <c r="B1518" s="2" t="s">
        <v>336</v>
      </c>
      <c r="C1518" s="172" t="str">
        <f>HYPERLINK(AA2 &amp; "/knife/sn_e98bc872371c852e15b040d25222e627/rendering/00.obj", "4.26697015762")</f>
        <v>4.26697015762</v>
      </c>
      <c r="D1518" s="138" t="str">
        <f>HYPERLINK(AA2 &amp; "/knife/sn_e98bc872371c852e15b040d25222e627/rendering/01.obj", "4.11845254898")</f>
        <v>4.11845254898</v>
      </c>
      <c r="E1518" s="96" t="str">
        <f>HYPERLINK(AA2 &amp; "/knife/sn_e98bc872371c852e15b040d25222e627/rendering/02.obj", "4.19638729095")</f>
        <v>4.19638729095</v>
      </c>
      <c r="F1518" s="40" t="str">
        <f>HYPERLINK(AA2 &amp; "/knife/sn_e98bc872371c852e15b040d25222e627/rendering/03.obj", "2.55070710182")</f>
        <v>2.55070710182</v>
      </c>
      <c r="G1518" s="39" t="str">
        <f>HYPERLINK(AA2 &amp; "/knife/sn_e98bc872371c852e15b040d25222e627/rendering/04.obj", "2.81933069229")</f>
        <v>2.81933069229</v>
      </c>
      <c r="H1518" s="47" t="str">
        <f>HYPERLINK(AA2 &amp; "/knife/sn_e98bc872371c852e15b040d25222e627/rendering/05.obj", "3.05718421936")</f>
        <v>3.05718421936</v>
      </c>
      <c r="I1518" s="123" t="str">
        <f>HYPERLINK(AA2 &amp; "/knife/sn_e98bc872371c852e15b040d25222e627/rendering/06.obj", "1.9484578371")</f>
        <v>1.9484578371</v>
      </c>
      <c r="J1518" s="81" t="str">
        <f>HYPERLINK(AA2 &amp; "/knife/sn_e98bc872371c852e15b040d25222e627/rendering/07.obj", "2.40574502945")</f>
        <v>2.40574502945</v>
      </c>
      <c r="K1518" s="187" t="str">
        <f>HYPERLINK(AA2 &amp; "/knife/sn_e98bc872371c852e15b040d25222e627/rendering/08.obj", "2.00606679916")</f>
        <v>2.00606679916</v>
      </c>
      <c r="L1518" s="24" t="str">
        <f>HYPERLINK(AA2 &amp; "/knife/sn_e98bc872371c852e15b040d25222e627/rendering/09.obj", "2.5643992424")</f>
        <v>2.5643992424</v>
      </c>
      <c r="M1518" s="33" t="str">
        <f>HYPERLINK(AA2 &amp; "/knife/sn_e98bc872371c852e15b040d25222e627/rendering/10.obj", "2.75053787231")</f>
        <v>2.75053787231</v>
      </c>
      <c r="N1518" s="30" t="str">
        <f>HYPERLINK(AA2 &amp; "/knife/sn_e98bc872371c852e15b040d25222e627/rendering/11.obj", "3.06409239769")</f>
        <v>3.06409239769</v>
      </c>
      <c r="O1518" s="40" t="str">
        <f>HYPERLINK(AA2 &amp; "/knife/sn_e98bc872371c852e15b040d25222e627/rendering/12.obj", "2.55653738976")</f>
        <v>2.55653738976</v>
      </c>
      <c r="P1518" s="47" t="str">
        <f>HYPERLINK(AA2 &amp; "/knife/sn_e98bc872371c852e15b040d25222e627/rendering/13.obj", "3.10083150864")</f>
        <v>3.10083150864</v>
      </c>
      <c r="Q1518" s="110" t="str">
        <f>HYPERLINK(AA2 &amp; "/knife/sn_e98bc872371c852e15b040d25222e627/rendering/14.obj", "2.77120661736")</f>
        <v>2.77120661736</v>
      </c>
      <c r="R1518" s="10" t="str">
        <f>HYPERLINK(AA2 &amp; "/knife/sn_e98bc872371c852e15b040d25222e627/rendering/15.obj", "2.91274881363")</f>
        <v>2.91274881363</v>
      </c>
      <c r="S1518" s="109" t="str">
        <f>HYPERLINK(AA2 &amp; "/knife/sn_e98bc872371c852e15b040d25222e627/rendering/16.obj", "3.66878819466")</f>
        <v>3.66878819466</v>
      </c>
      <c r="T1518" s="137" t="str">
        <f>HYPERLINK(AA2 &amp; "/knife/sn_e98bc872371c852e15b040d25222e627/rendering/17.obj", "1.95393240452")</f>
        <v>1.95393240452</v>
      </c>
      <c r="U1518" s="20" t="str">
        <f>HYPERLINK(AA2 &amp; "/knife/sn_e98bc872371c852e15b040d25222e627/rendering/18.obj", "6.7625837326")</f>
        <v>6.7625837326</v>
      </c>
      <c r="V1518" s="56" t="str">
        <f>HYPERLINK(AA2 &amp; "/knife/sn_e98bc872371c852e15b040d25222e627/rendering/19.obj", "2.1313533783")</f>
        <v>2.1313533783</v>
      </c>
      <c r="W1518" s="12" t="s">
        <v>30</v>
      </c>
      <c r="X1518" s="13">
        <v>3.0803156614303591</v>
      </c>
      <c r="Y1518" s="13">
        <v>1.0913072298187489</v>
      </c>
      <c r="Z1518" s="121">
        <v>0.35428421946599958</v>
      </c>
    </row>
    <row r="1519" spans="1:26" x14ac:dyDescent="0.2">
      <c r="A1519" s="1">
        <v>1517</v>
      </c>
      <c r="B1519" s="2" t="s">
        <v>336</v>
      </c>
      <c r="C1519" s="13" t="str">
        <f>HYPERLINK(AB2 &amp; "/knife/sn_e98bc872371c852e15b040d25222e627/rendering/00.obj", "5.0023651123")</f>
        <v>5.0023651123</v>
      </c>
      <c r="D1519" s="26" t="str">
        <f>HYPERLINK(AB2 &amp; "/knife/sn_e98bc872371c852e15b040d25222e627/rendering/01.obj", "4.69051086426")</f>
        <v>4.69051086426</v>
      </c>
      <c r="E1519" s="107" t="str">
        <f>HYPERLINK(AB2 &amp; "/knife/sn_e98bc872371c852e15b040d25222e627/rendering/02.obj", "5.4312878418")</f>
        <v>5.4312878418</v>
      </c>
      <c r="F1519" s="34" t="str">
        <f>HYPERLINK(AB2 &amp; "/knife/sn_e98bc872371c852e15b040d25222e627/rendering/03.obj", "4.77242736816")</f>
        <v>4.77242736816</v>
      </c>
      <c r="G1519" s="17" t="str">
        <f>HYPERLINK(AB2 &amp; "/knife/sn_e98bc872371c852e15b040d25222e627/rendering/04.obj", "4.90623931885")</f>
        <v>4.90623931885</v>
      </c>
      <c r="H1519" s="5" t="str">
        <f>HYPERLINK(AB2 &amp; "/knife/sn_e98bc872371c852e15b040d25222e627/rendering/05.obj", "5.39149291992")</f>
        <v>5.39149291992</v>
      </c>
      <c r="I1519" s="78" t="str">
        <f>HYPERLINK(AB2 &amp; "/knife/sn_e98bc872371c852e15b040d25222e627/rendering/06.obj", "4.71131774902")</f>
        <v>4.71131774902</v>
      </c>
      <c r="J1519" s="91" t="str">
        <f>HYPERLINK(AB2 &amp; "/knife/sn_e98bc872371c852e15b040d25222e627/rendering/07.obj", "4.87557128906")</f>
        <v>4.87557128906</v>
      </c>
      <c r="K1519" s="69" t="str">
        <f>HYPERLINK(AB2 &amp; "/knife/sn_e98bc872371c852e15b040d25222e627/rendering/08.obj", "5.16974365234")</f>
        <v>5.16974365234</v>
      </c>
      <c r="L1519" s="78" t="str">
        <f>HYPERLINK(AB2 &amp; "/knife/sn_e98bc872371c852e15b040d25222e627/rendering/09.obj", "5.32563476562")</f>
        <v>5.32563476562</v>
      </c>
      <c r="M1519" s="68" t="str">
        <f>HYPERLINK(AB2 &amp; "/knife/sn_e98bc872371c852e15b040d25222e627/rendering/10.obj", "5.22934020996")</f>
        <v>5.22934020996</v>
      </c>
      <c r="N1519" s="74" t="str">
        <f>HYPERLINK(AB2 &amp; "/knife/sn_e98bc872371c852e15b040d25222e627/rendering/11.obj", "5.08582763672")</f>
        <v>5.08582763672</v>
      </c>
      <c r="O1519" s="48" t="str">
        <f>HYPERLINK(AB2 &amp; "/knife/sn_e98bc872371c852e15b040d25222e627/rendering/12.obj", "4.90012420654")</f>
        <v>4.90012420654</v>
      </c>
      <c r="P1519" s="26" t="str">
        <f>HYPERLINK(AB2 &amp; "/knife/sn_e98bc872371c852e15b040d25222e627/rendering/13.obj", "4.69153259277")</f>
        <v>4.69153259277</v>
      </c>
      <c r="Q1519" s="91" t="str">
        <f>HYPERLINK(AB2 &amp; "/knife/sn_e98bc872371c852e15b040d25222e627/rendering/14.obj", "4.88021606445")</f>
        <v>4.88021606445</v>
      </c>
      <c r="R1519" s="47" t="str">
        <f>HYPERLINK(AB2 &amp; "/knife/sn_e98bc872371c852e15b040d25222e627/rendering/15.obj", "4.98144317627")</f>
        <v>4.98144317627</v>
      </c>
      <c r="S1519" s="60" t="str">
        <f>HYPERLINK(AB2 &amp; "/knife/sn_e98bc872371c852e15b040d25222e627/rendering/16.obj", "5.27559143066")</f>
        <v>5.27559143066</v>
      </c>
      <c r="T1519" s="5" t="str">
        <f>HYPERLINK(AB2 &amp; "/knife/sn_e98bc872371c852e15b040d25222e627/rendering/17.obj", "5.39815673828")</f>
        <v>5.39815673828</v>
      </c>
      <c r="U1519" s="68" t="str">
        <f>HYPERLINK(AB2 &amp; "/knife/sn_e98bc872371c852e15b040d25222e627/rendering/18.obj", "4.80656921387")</f>
        <v>4.80656921387</v>
      </c>
      <c r="V1519" s="10" t="str">
        <f>HYPERLINK(AB2 &amp; "/knife/sn_e98bc872371c852e15b040d25222e627/rendering/19.obj", "4.73888549805")</f>
        <v>4.73888549805</v>
      </c>
      <c r="W1519" s="12" t="s">
        <v>31</v>
      </c>
      <c r="X1519" s="13">
        <v>5.0132138824462888</v>
      </c>
      <c r="Y1519" s="13">
        <v>0.24956792370046349</v>
      </c>
      <c r="Z1519" s="34">
        <v>4.9782021982808823E-2</v>
      </c>
    </row>
    <row r="1520" spans="1:26" x14ac:dyDescent="0.2">
      <c r="A1520" s="1">
        <v>1518</v>
      </c>
      <c r="B1520" s="2" t="s">
        <v>336</v>
      </c>
      <c r="C1520" s="5" t="str">
        <f>HYPERLINK(AB2 &amp; "/knife/sn_e98bc872371c852e15b040d25222e627/rendering/00.obj", "2.48079967499")</f>
        <v>2.48079967499</v>
      </c>
      <c r="D1520" s="73" t="str">
        <f>HYPERLINK(AB2 &amp; "/knife/sn_e98bc872371c852e15b040d25222e627/rendering/01.obj", "2.22148299217")</f>
        <v>2.22148299217</v>
      </c>
      <c r="E1520" s="109" t="str">
        <f>HYPERLINK(AB2 &amp; "/knife/sn_e98bc872371c852e15b040d25222e627/rendering/02.obj", "2.73883104324")</f>
        <v>2.73883104324</v>
      </c>
      <c r="F1520" s="83" t="str">
        <f>HYPERLINK(AB2 &amp; "/knife/sn_e98bc872371c852e15b040d25222e627/rendering/03.obj", "1.94983923435")</f>
        <v>1.94983923435</v>
      </c>
      <c r="G1520" s="25" t="str">
        <f>HYPERLINK(AB2 &amp; "/knife/sn_e98bc872371c852e15b040d25222e627/rendering/04.obj", "2.32829451561")</f>
        <v>2.32829451561</v>
      </c>
      <c r="H1520" s="110" t="str">
        <f>HYPERLINK(AB2 &amp; "/knife/sn_e98bc872371c852e15b040d25222e627/rendering/05.obj", "2.53037071228")</f>
        <v>2.53037071228</v>
      </c>
      <c r="I1520" s="74" t="str">
        <f>HYPERLINK(AB2 &amp; "/knife/sn_e98bc872371c852e15b040d25222e627/rendering/06.obj", "2.33302807808")</f>
        <v>2.33302807808</v>
      </c>
      <c r="J1520" s="67" t="str">
        <f>HYPERLINK(AB2 &amp; "/knife/sn_e98bc872371c852e15b040d25222e627/rendering/07.obj", "2.09094524384")</f>
        <v>2.09094524384</v>
      </c>
      <c r="K1520" s="55" t="str">
        <f>HYPERLINK(AB2 &amp; "/knife/sn_e98bc872371c852e15b040d25222e627/rendering/08.obj", "2.7443010807")</f>
        <v>2.7443010807</v>
      </c>
      <c r="L1520" s="73" t="str">
        <f>HYPERLINK(AB2 &amp; "/knife/sn_e98bc872371c852e15b040d25222e627/rendering/09.obj", "2.38355255127")</f>
        <v>2.38355255127</v>
      </c>
      <c r="M1520" s="32" t="str">
        <f>HYPERLINK(AB2 &amp; "/knife/sn_e98bc872371c852e15b040d25222e627/rendering/10.obj", "2.54542684555")</f>
        <v>2.54542684555</v>
      </c>
      <c r="N1520" s="41" t="str">
        <f>HYPERLINK(AB2 &amp; "/knife/sn_e98bc872371c852e15b040d25222e627/rendering/11.obj", "2.14992284775")</f>
        <v>2.14992284775</v>
      </c>
      <c r="O1520" s="42" t="str">
        <f>HYPERLINK(AB2 &amp; "/knife/sn_e98bc872371c852e15b040d25222e627/rendering/12.obj", "1.9860445261")</f>
        <v>1.9860445261</v>
      </c>
      <c r="P1520" s="8" t="str">
        <f>HYPERLINK(AB2 &amp; "/knife/sn_e98bc872371c852e15b040d25222e627/rendering/13.obj", "1.97295260429")</f>
        <v>1.97295260429</v>
      </c>
      <c r="Q1520" s="110" t="str">
        <f>HYPERLINK(AB2 &amp; "/knife/sn_e98bc872371c852e15b040d25222e627/rendering/14.obj", "2.0769200325")</f>
        <v>2.0769200325</v>
      </c>
      <c r="R1520" s="91" t="str">
        <f>HYPERLINK(AB2 &amp; "/knife/sn_e98bc872371c852e15b040d25222e627/rendering/15.obj", "2.36455583572")</f>
        <v>2.36455583572</v>
      </c>
      <c r="S1520" s="91" t="str">
        <f>HYPERLINK(AB2 &amp; "/knife/sn_e98bc872371c852e15b040d25222e627/rendering/16.obj", "2.36280870438")</f>
        <v>2.36280870438</v>
      </c>
      <c r="T1520" s="107" t="str">
        <f>HYPERLINK(AB2 &amp; "/knife/sn_e98bc872371c852e15b040d25222e627/rendering/17.obj", "2.49223279953")</f>
        <v>2.49223279953</v>
      </c>
      <c r="U1520" s="33" t="str">
        <f>HYPERLINK(AB2 &amp; "/knife/sn_e98bc872371c852e15b040d25222e627/rendering/18.obj", "2.05606007576")</f>
        <v>2.05606007576</v>
      </c>
      <c r="V1520" s="17" t="str">
        <f>HYPERLINK(AB2 &amp; "/knife/sn_e98bc872371c852e15b040d25222e627/rendering/19.obj", "2.25268507004")</f>
        <v>2.25268507004</v>
      </c>
      <c r="W1520" s="12" t="s">
        <v>32</v>
      </c>
      <c r="X1520" s="13">
        <v>2.3030527234077449</v>
      </c>
      <c r="Y1520" s="13">
        <v>0.23470877722661471</v>
      </c>
      <c r="Z1520" s="133">
        <v>0.1019120295601937</v>
      </c>
    </row>
    <row r="1521" spans="1:26" x14ac:dyDescent="0.2">
      <c r="A1521" s="1">
        <v>1519</v>
      </c>
      <c r="B1521" s="2" t="s">
        <v>336</v>
      </c>
      <c r="C1521" s="13" t="str">
        <f>HYPERLINK(AC2 &amp; "/knife/sn_e98bc872371c852e15b040d25222e627/rendering/00.xyz", "0.0")</f>
        <v>0.0</v>
      </c>
      <c r="D1521" s="13" t="str">
        <f>HYPERLINK(AC2 &amp; "/knife/sn_e98bc872371c852e15b040d25222e627/rendering/01.xyz", "0.0")</f>
        <v>0.0</v>
      </c>
      <c r="E1521" s="13" t="str">
        <f>HYPERLINK(AC2 &amp; "/knife/sn_e98bc872371c852e15b040d25222e627/rendering/02.xyz", "0.0")</f>
        <v>0.0</v>
      </c>
      <c r="F1521" s="13" t="str">
        <f>HYPERLINK(AC2 &amp; "/knife/sn_e98bc872371c852e15b040d25222e627/rendering/03.xyz", "0.0")</f>
        <v>0.0</v>
      </c>
      <c r="G1521" s="13" t="str">
        <f>HYPERLINK(AC2 &amp; "/knife/sn_e98bc872371c852e15b040d25222e627/rendering/04.xyz", "0.0")</f>
        <v>0.0</v>
      </c>
      <c r="H1521" s="13" t="str">
        <f>HYPERLINK(AC2 &amp; "/knife/sn_e98bc872371c852e15b040d25222e627/rendering/05.xyz", "0.0")</f>
        <v>0.0</v>
      </c>
      <c r="I1521" s="13" t="str">
        <f>HYPERLINK(AC2 &amp; "/knife/sn_e98bc872371c852e15b040d25222e627/rendering/06.xyz", "0.0")</f>
        <v>0.0</v>
      </c>
      <c r="J1521" s="13" t="str">
        <f>HYPERLINK(AC2 &amp; "/knife/sn_e98bc872371c852e15b040d25222e627/rendering/07.xyz", "0.0")</f>
        <v>0.0</v>
      </c>
      <c r="K1521" s="13" t="str">
        <f>HYPERLINK(AC2 &amp; "/knife/sn_e98bc872371c852e15b040d25222e627/rendering/08.xyz", "0.0")</f>
        <v>0.0</v>
      </c>
      <c r="L1521" s="13" t="str">
        <f>HYPERLINK(AC2 &amp; "/knife/sn_e98bc872371c852e15b040d25222e627/rendering/09.xyz", "0.0")</f>
        <v>0.0</v>
      </c>
      <c r="M1521" s="13" t="str">
        <f>HYPERLINK(AC2 &amp; "/knife/sn_e98bc872371c852e15b040d25222e627/rendering/10.xyz", "0.0")</f>
        <v>0.0</v>
      </c>
      <c r="N1521" s="13" t="str">
        <f>HYPERLINK(AC2 &amp; "/knife/sn_e98bc872371c852e15b040d25222e627/rendering/11.xyz", "0.0")</f>
        <v>0.0</v>
      </c>
      <c r="O1521" s="13" t="str">
        <f>HYPERLINK(AC2 &amp; "/knife/sn_e98bc872371c852e15b040d25222e627/rendering/12.xyz", "0.0")</f>
        <v>0.0</v>
      </c>
      <c r="P1521" s="13" t="str">
        <f>HYPERLINK(AC2 &amp; "/knife/sn_e98bc872371c852e15b040d25222e627/rendering/13.xyz", "0.0")</f>
        <v>0.0</v>
      </c>
      <c r="Q1521" s="13" t="str">
        <f>HYPERLINK(AC2 &amp; "/knife/sn_e98bc872371c852e15b040d25222e627/rendering/14.xyz", "0.0")</f>
        <v>0.0</v>
      </c>
      <c r="R1521" s="13" t="str">
        <f>HYPERLINK(AC2 &amp; "/knife/sn_e98bc872371c852e15b040d25222e627/rendering/15.xyz", "0.0")</f>
        <v>0.0</v>
      </c>
      <c r="S1521" s="13" t="str">
        <f>HYPERLINK(AC2 &amp; "/knife/sn_e98bc872371c852e15b040d25222e627/rendering/16.xyz", "0.0")</f>
        <v>0.0</v>
      </c>
      <c r="T1521" s="13" t="str">
        <f>HYPERLINK(AC2 &amp; "/knife/sn_e98bc872371c852e15b040d25222e627/rendering/17.xyz", "0.0")</f>
        <v>0.0</v>
      </c>
      <c r="U1521" s="13" t="str">
        <f>HYPERLINK(AC2 &amp; "/knife/sn_e98bc872371c852e15b040d25222e627/rendering/18.xyz", "0.0")</f>
        <v>0.0</v>
      </c>
      <c r="V1521" s="13" t="str">
        <f>HYPERLINK(AC2 &amp; "/knife/sn_e98bc872371c852e15b040d25222e627/rendering/19.xyz", "0.0")</f>
        <v>0.0</v>
      </c>
      <c r="W1521" s="12" t="s">
        <v>33</v>
      </c>
      <c r="X1521" s="13">
        <v>0</v>
      </c>
      <c r="Y1521" s="13">
        <v>0</v>
      </c>
      <c r="Z1521" s="13">
        <v>0</v>
      </c>
    </row>
    <row r="1522" spans="1:26" x14ac:dyDescent="0.2">
      <c r="A1522" s="1">
        <v>1520</v>
      </c>
      <c r="B1522" s="2" t="s">
        <v>337</v>
      </c>
      <c r="C1522" s="44" t="str">
        <f>HYPERLINK(AA2 &amp; "/knife/sn_ead2db7fb32b1bb6f888ac6a5ecf018/rendering/00.obj", "4.06658294678")</f>
        <v>4.06658294678</v>
      </c>
      <c r="D1522" s="135" t="str">
        <f>HYPERLINK(AA2 &amp; "/knife/sn_ead2db7fb32b1bb6f888ac6a5ecf018/rendering/01.obj", "3.75318054199")</f>
        <v>3.75318054199</v>
      </c>
      <c r="E1522" s="48" t="str">
        <f>HYPERLINK(AA2 &amp; "/knife/sn_ead2db7fb32b1bb6f888ac6a5ecf018/rendering/02.obj", "4.92752929687")</f>
        <v>4.92752929687</v>
      </c>
      <c r="F1522" s="61" t="str">
        <f>HYPERLINK(AA2 &amp; "/knife/sn_ead2db7fb32b1bb6f888ac6a5ecf018/rendering/03.obj", "3.52567657471")</f>
        <v>3.52567657471</v>
      </c>
      <c r="G1522" s="148" t="str">
        <f>HYPERLINK(AA2 &amp; "/knife/sn_ead2db7fb32b1bb6f888ac6a5ecf018/rendering/04.obj", "7.50348693848")</f>
        <v>7.50348693848</v>
      </c>
      <c r="H1522" s="159" t="str">
        <f>HYPERLINK(AA2 &amp; "/knife/sn_ead2db7fb32b1bb6f888ac6a5ecf018/rendering/05.obj", "2.68145141602")</f>
        <v>2.68145141602</v>
      </c>
      <c r="I1522" s="11" t="str">
        <f>HYPERLINK(AA2 &amp; "/knife/sn_ead2db7fb32b1bb6f888ac6a5ecf018/rendering/06.obj", "3.91852111816")</f>
        <v>3.91852111816</v>
      </c>
      <c r="J1522" s="41" t="str">
        <f>HYPERLINK(AA2 &amp; "/knife/sn_ead2db7fb32b1bb6f888ac6a5ecf018/rendering/07.obj", "4.70611877441")</f>
        <v>4.70611877441</v>
      </c>
      <c r="K1522" s="120" t="str">
        <f>HYPERLINK(AA2 &amp; "/knife/sn_ead2db7fb32b1bb6f888ac6a5ecf018/rendering/08.obj", "3.97678039551")</f>
        <v>3.97678039551</v>
      </c>
      <c r="L1522" s="253" t="str">
        <f>HYPERLINK(AA2 &amp; "/knife/sn_ead2db7fb32b1bb6f888ac6a5ecf018/rendering/09.obj", "8.72475585937")</f>
        <v>8.72475585937</v>
      </c>
      <c r="M1522" s="52" t="str">
        <f>HYPERLINK(AA2 &amp; "/knife/sn_ead2db7fb32b1bb6f888ac6a5ecf018/rendering/10.obj", "3.03522979736")</f>
        <v>3.03522979736</v>
      </c>
      <c r="N1522" s="179" t="str">
        <f>HYPERLINK(AA2 &amp; "/knife/sn_ead2db7fb32b1bb6f888ac6a5ecf018/rendering/11.obj", "7.21654418945")</f>
        <v>7.21654418945</v>
      </c>
      <c r="O1522" s="85" t="str">
        <f>HYPERLINK(AA2 &amp; "/knife/sn_ead2db7fb32b1bb6f888ac6a5ecf018/rendering/12.obj", "3.5600302124")</f>
        <v>3.5600302124</v>
      </c>
      <c r="P1522" s="37" t="str">
        <f>HYPERLINK(AA2 &amp; "/knife/sn_ead2db7fb32b1bb6f888ac6a5ecf018/rendering/13.obj", "4.17018371582")</f>
        <v>4.17018371582</v>
      </c>
      <c r="Q1522" s="108" t="str">
        <f>HYPERLINK(AA2 &amp; "/knife/sn_ead2db7fb32b1bb6f888ac6a5ecf018/rendering/14.obj", "3.80716278076")</f>
        <v>3.80716278076</v>
      </c>
      <c r="R1522" s="87" t="str">
        <f>HYPERLINK(AA2 &amp; "/knife/sn_ead2db7fb32b1bb6f888ac6a5ecf018/rendering/15.obj", "6.20109008789")</f>
        <v>6.20109008789</v>
      </c>
      <c r="S1522" s="244" t="str">
        <f>HYPERLINK(AA2 &amp; "/knife/sn_ead2db7fb32b1bb6f888ac6a5ecf018/rendering/16.obj", "8.14624023438")</f>
        <v>8.14624023438</v>
      </c>
      <c r="T1522" s="228" t="str">
        <f>HYPERLINK(AA2 &amp; "/knife/sn_ead2db7fb32b1bb6f888ac6a5ecf018/rendering/17.obj", "2.37078491211")</f>
        <v>2.37078491211</v>
      </c>
      <c r="U1522" s="190" t="str">
        <f>HYPERLINK(AA2 &amp; "/knife/sn_ead2db7fb32b1bb6f888ac6a5ecf018/rendering/18.obj", "8.5598815918")</f>
        <v>8.5598815918</v>
      </c>
      <c r="V1522" s="87" t="str">
        <f>HYPERLINK(AA2 &amp; "/knife/sn_ead2db7fb32b1bb6f888ac6a5ecf018/rendering/19.obj", "6.20684753418")</f>
        <v>6.20684753418</v>
      </c>
      <c r="W1522" s="12" t="s">
        <v>29</v>
      </c>
      <c r="X1522" s="13">
        <v>5.0529039459228517</v>
      </c>
      <c r="Y1522" s="13">
        <v>1.971172323314784</v>
      </c>
      <c r="Z1522" s="128">
        <v>0.39010682657154161</v>
      </c>
    </row>
    <row r="1523" spans="1:26" x14ac:dyDescent="0.2">
      <c r="A1523" s="1">
        <v>1521</v>
      </c>
      <c r="B1523" s="2" t="s">
        <v>337</v>
      </c>
      <c r="C1523" s="62" t="str">
        <f>HYPERLINK(AA2 &amp; "/knife/sn_ead2db7fb32b1bb6f888ac6a5ecf018/rendering/00.obj", "2.78505325317")</f>
        <v>2.78505325317</v>
      </c>
      <c r="D1523" s="163" t="str">
        <f>HYPERLINK(AA2 &amp; "/knife/sn_ead2db7fb32b1bb6f888ac6a5ecf018/rendering/01.obj", "3.87533640862")</f>
        <v>3.87533640862</v>
      </c>
      <c r="E1523" s="55" t="str">
        <f>HYPERLINK(AA2 &amp; "/knife/sn_ead2db7fb32b1bb6f888ac6a5ecf018/rendering/02.obj", "8.27984523773")</f>
        <v>8.27984523773</v>
      </c>
      <c r="F1523" s="231" t="str">
        <f>HYPERLINK(AA2 &amp; "/knife/sn_ead2db7fb32b1bb6f888ac6a5ecf018/rendering/03.obj", "2.95515918732")</f>
        <v>2.95515918732</v>
      </c>
      <c r="G1523" s="240" t="str">
        <f>HYPERLINK(AA2 &amp; "/knife/sn_ead2db7fb32b1bb6f888ac6a5ecf018/rendering/04.obj", "11.4900579453")</f>
        <v>11.4900579453</v>
      </c>
      <c r="H1523" s="233" t="str">
        <f>HYPERLINK(AA2 &amp; "/knife/sn_ead2db7fb32b1bb6f888ac6a5ecf018/rendering/05.obj", "2.08045077324")</f>
        <v>2.08045077324</v>
      </c>
      <c r="I1523" s="139" t="str">
        <f>HYPERLINK(AA2 &amp; "/knife/sn_ead2db7fb32b1bb6f888ac6a5ecf018/rendering/06.obj", "3.60133481026")</f>
        <v>3.60133481026</v>
      </c>
      <c r="J1523" s="85" t="str">
        <f>HYPERLINK(AA2 &amp; "/knife/sn_ead2db7fb32b1bb6f888ac6a5ecf018/rendering/07.obj", "4.88848495483")</f>
        <v>4.88848495483</v>
      </c>
      <c r="K1523" s="64" t="str">
        <f>HYPERLINK(AA2 &amp; "/knife/sn_ead2db7fb32b1bb6f888ac6a5ecf018/rendering/08.obj", "5.80325174332")</f>
        <v>5.80325174332</v>
      </c>
      <c r="L1523" s="20" t="str">
        <f>HYPERLINK(AA2 &amp; "/knife/sn_ead2db7fb32b1bb6f888ac6a5ecf018/rendering/09.obj", "13.3979511261")</f>
        <v>13.3979511261</v>
      </c>
      <c r="M1523" s="45" t="str">
        <f>HYPERLINK(AA2 &amp; "/knife/sn_ead2db7fb32b1bb6f888ac6a5ecf018/rendering/10.obj", "2.33916211128")</f>
        <v>2.33916211128</v>
      </c>
      <c r="N1523" s="225" t="str">
        <f>HYPERLINK(AA2 &amp; "/knife/sn_ead2db7fb32b1bb6f888ac6a5ecf018/rendering/11.obj", "10.8970832825")</f>
        <v>10.8970832825</v>
      </c>
      <c r="O1523" s="203" t="str">
        <f>HYPERLINK(AA2 &amp; "/knife/sn_ead2db7fb32b1bb6f888ac6a5ecf018/rendering/12.obj", "3.70560002327")</f>
        <v>3.70560002327</v>
      </c>
      <c r="P1523" s="102" t="str">
        <f>HYPERLINK(AA2 &amp; "/knife/sn_ead2db7fb32b1bb6f888ac6a5ecf018/rendering/13.obj", "3.49832606316")</f>
        <v>3.49832606316</v>
      </c>
      <c r="Q1523" s="105" t="str">
        <f>HYPERLINK(AA2 &amp; "/knife/sn_ead2db7fb32b1bb6f888ac6a5ecf018/rendering/14.obj", "3.38206672668")</f>
        <v>3.38206672668</v>
      </c>
      <c r="R1523" s="20" t="str">
        <f>HYPERLINK(AA2 &amp; "/knife/sn_ead2db7fb32b1bb6f888ac6a5ecf018/rendering/15.obj", "14.4581260681")</f>
        <v>14.4581260681</v>
      </c>
      <c r="S1523" s="138" t="str">
        <f>HYPERLINK(AA2 &amp; "/knife/sn_ead2db7fb32b1bb6f888ac6a5ecf018/rendering/16.obj", "9.28172111511")</f>
        <v>9.28172111511</v>
      </c>
      <c r="T1523" s="216" t="str">
        <f>HYPERLINK(AA2 &amp; "/knife/sn_ead2db7fb32b1bb6f888ac6a5ecf018/rendering/17.obj", "2.42705583572")</f>
        <v>2.42705583572</v>
      </c>
      <c r="U1523" s="20" t="str">
        <f>HYPERLINK(AA2 &amp; "/knife/sn_ead2db7fb32b1bb6f888ac6a5ecf018/rendering/18.obj", "21.2551879883")</f>
        <v>21.2551879883</v>
      </c>
      <c r="V1523" s="11" t="str">
        <f>HYPERLINK(AA2 &amp; "/knife/sn_ead2db7fb32b1bb6f888ac6a5ecf018/rendering/19.obj", "8.49607563019")</f>
        <v>8.49607563019</v>
      </c>
      <c r="W1523" s="12" t="s">
        <v>30</v>
      </c>
      <c r="X1523" s="13">
        <v>6.9448665142059323</v>
      </c>
      <c r="Y1523" s="13">
        <v>5.04237284430965</v>
      </c>
      <c r="Z1523" s="253">
        <v>0.72605756122098608</v>
      </c>
    </row>
    <row r="1524" spans="1:26" x14ac:dyDescent="0.2">
      <c r="A1524" s="1">
        <v>1522</v>
      </c>
      <c r="B1524" s="2" t="s">
        <v>337</v>
      </c>
      <c r="C1524" s="50" t="str">
        <f>HYPERLINK(AB2 &amp; "/knife/sn_ead2db7fb32b1bb6f888ac6a5ecf018/rendering/00.obj", "3.23460754395")</f>
        <v>3.23460754395</v>
      </c>
      <c r="D1524" s="175" t="str">
        <f>HYPERLINK(AB2 &amp; "/knife/sn_ead2db7fb32b1bb6f888ac6a5ecf018/rendering/01.obj", "4.97664703369")</f>
        <v>4.97664703369</v>
      </c>
      <c r="E1524" s="35" t="str">
        <f>HYPERLINK(AB2 &amp; "/knife/sn_ead2db7fb32b1bb6f888ac6a5ecf018/rendering/02.obj", "3.80410766602")</f>
        <v>3.80410766602</v>
      </c>
      <c r="F1524" s="55" t="str">
        <f>HYPERLINK(AB2 &amp; "/knife/sn_ead2db7fb32b1bb6f888ac6a5ecf018/rendering/03.obj", "3.25545288086")</f>
        <v>3.25545288086</v>
      </c>
      <c r="G1524" s="64" t="str">
        <f>HYPERLINK(AB2 &amp; "/knife/sn_ead2db7fb32b1bb6f888ac6a5ecf018/rendering/04.obj", "4.69961914062")</f>
        <v>4.69961914062</v>
      </c>
      <c r="H1524" s="65" t="str">
        <f>HYPERLINK(AB2 &amp; "/knife/sn_ead2db7fb32b1bb6f888ac6a5ecf018/rendering/05.obj", "3.50599761963")</f>
        <v>3.50599761963</v>
      </c>
      <c r="I1524" s="26" t="str">
        <f>HYPERLINK(AB2 &amp; "/knife/sn_ead2db7fb32b1bb6f888ac6a5ecf018/rendering/06.obj", "3.77372924805")</f>
        <v>3.77372924805</v>
      </c>
      <c r="J1524" s="44" t="str">
        <f>HYPERLINK(AB2 &amp; "/knife/sn_ead2db7fb32b1bb6f888ac6a5ecf018/rendering/07.obj", "4.83199707031")</f>
        <v>4.83199707031</v>
      </c>
      <c r="K1524" s="88" t="str">
        <f>HYPERLINK(AB2 &amp; "/knife/sn_ead2db7fb32b1bb6f888ac6a5ecf018/rendering/08.obj", "3.22513397217")</f>
        <v>3.22513397217</v>
      </c>
      <c r="L1524" s="36" t="str">
        <f>HYPERLINK(AB2 &amp; "/knife/sn_ead2db7fb32b1bb6f888ac6a5ecf018/rendering/09.obj", "3.17128814697")</f>
        <v>3.17128814697</v>
      </c>
      <c r="M1524" s="46" t="str">
        <f>HYPERLINK(AB2 &amp; "/knife/sn_ead2db7fb32b1bb6f888ac6a5ecf018/rendering/10.obj", "3.96988067627")</f>
        <v>3.96988067627</v>
      </c>
      <c r="N1524" s="50" t="str">
        <f>HYPERLINK(AB2 &amp; "/knife/sn_ead2db7fb32b1bb6f888ac6a5ecf018/rendering/11.obj", "4.84195495605")</f>
        <v>4.84195495605</v>
      </c>
      <c r="O1524" s="81" t="str">
        <f>HYPERLINK(AB2 &amp; "/knife/sn_ead2db7fb32b1bb6f888ac6a5ecf018/rendering/12.obj", "4.91919372559")</f>
        <v>4.91919372559</v>
      </c>
      <c r="P1524" s="79" t="str">
        <f>HYPERLINK(AB2 &amp; "/knife/sn_ead2db7fb32b1bb6f888ac6a5ecf018/rendering/13.obj", "3.40410980225")</f>
        <v>3.40410980225</v>
      </c>
      <c r="Q1524" s="35" t="str">
        <f>HYPERLINK(AB2 &amp; "/knife/sn_ead2db7fb32b1bb6f888ac6a5ecf018/rendering/14.obj", "4.26954345703")</f>
        <v>4.26954345703</v>
      </c>
      <c r="R1524" s="135" t="str">
        <f>HYPERLINK(AB2 &amp; "/knife/sn_ead2db7fb32b1bb6f888ac6a5ecf018/rendering/15.obj", "3.00579101563")</f>
        <v>3.00579101563</v>
      </c>
      <c r="S1524" s="34" t="str">
        <f>HYPERLINK(AB2 &amp; "/knife/sn_ead2db7fb32b1bb6f888ac6a5ecf018/rendering/16.obj", "4.23274078369")</f>
        <v>4.23274078369</v>
      </c>
      <c r="T1524" s="51" t="str">
        <f>HYPERLINK(AB2 &amp; "/knife/sn_ead2db7fb32b1bb6f888ac6a5ecf018/rendering/17.obj", "3.71887908936")</f>
        <v>3.71887908936</v>
      </c>
      <c r="U1524" s="133" t="str">
        <f>HYPERLINK(AB2 &amp; "/knife/sn_ead2db7fb32b1bb6f888ac6a5ecf018/rendering/18.obj", "4.45006408691")</f>
        <v>4.45006408691</v>
      </c>
      <c r="V1524" s="151" t="str">
        <f>HYPERLINK(AB2 &amp; "/knife/sn_ead2db7fb32b1bb6f888ac6a5ecf018/rendering/19.obj", "5.48806030273")</f>
        <v>5.48806030273</v>
      </c>
      <c r="W1524" s="12" t="s">
        <v>31</v>
      </c>
      <c r="X1524" s="13">
        <v>4.0389399108886721</v>
      </c>
      <c r="Y1524" s="13">
        <v>0.7206645410548117</v>
      </c>
      <c r="Z1524" s="117">
        <v>0.17842913164218049</v>
      </c>
    </row>
    <row r="1525" spans="1:26" x14ac:dyDescent="0.2">
      <c r="A1525" s="1">
        <v>1523</v>
      </c>
      <c r="B1525" s="2" t="s">
        <v>337</v>
      </c>
      <c r="C1525" s="99" t="str">
        <f>HYPERLINK(AB2 &amp; "/knife/sn_ead2db7fb32b1bb6f888ac6a5ecf018/rendering/00.obj", "2.35913062096")</f>
        <v>2.35913062096</v>
      </c>
      <c r="D1525" s="73" t="str">
        <f>HYPERLINK(AB2 &amp; "/knife/sn_ead2db7fb32b1bb6f888ac6a5ecf018/rendering/01.obj", "3.35213017464")</f>
        <v>3.35213017464</v>
      </c>
      <c r="E1525" s="8" t="str">
        <f>HYPERLINK(AB2 &amp; "/knife/sn_ead2db7fb32b1bb6f888ac6a5ecf018/rendering/02.obj", "2.76559019089")</f>
        <v>2.76559019089</v>
      </c>
      <c r="F1525" s="34" t="str">
        <f>HYPERLINK(AB2 &amp; "/knife/sn_ead2db7fb32b1bb6f888ac6a5ecf018/rendering/03.obj", "3.07071352005")</f>
        <v>3.07071352005</v>
      </c>
      <c r="G1525" s="210" t="str">
        <f>HYPERLINK(AB2 &amp; "/knife/sn_ead2db7fb32b1bb6f888ac6a5ecf018/rendering/04.obj", "5.71706819534")</f>
        <v>5.71706819534</v>
      </c>
      <c r="H1525" s="200" t="str">
        <f>HYPERLINK(AB2 &amp; "/knife/sn_ead2db7fb32b1bb6f888ac6a5ecf018/rendering/05.obj", "1.68887650967")</f>
        <v>1.68887650967</v>
      </c>
      <c r="I1525" s="143" t="str">
        <f>HYPERLINK(AB2 &amp; "/knife/sn_ead2db7fb32b1bb6f888ac6a5ecf018/rendering/06.obj", "1.7075997591")</f>
        <v>1.7075997591</v>
      </c>
      <c r="J1525" s="51" t="str">
        <f>HYPERLINK(AB2 &amp; "/knife/sn_ead2db7fb32b1bb6f888ac6a5ecf018/rendering/07.obj", "2.96892666817")</f>
        <v>2.96892666817</v>
      </c>
      <c r="K1525" s="84" t="str">
        <f>HYPERLINK(AB2 &amp; "/knife/sn_ead2db7fb32b1bb6f888ac6a5ecf018/rendering/08.obj", "2.75605940819")</f>
        <v>2.75605940819</v>
      </c>
      <c r="L1525" s="99" t="str">
        <f>HYPERLINK(AB2 &amp; "/knife/sn_ead2db7fb32b1bb6f888ac6a5ecf018/rendering/09.obj", "2.35751056671")</f>
        <v>2.35751056671</v>
      </c>
      <c r="M1525" s="80" t="str">
        <f>HYPERLINK(AB2 &amp; "/knife/sn_ead2db7fb32b1bb6f888ac6a5ecf018/rendering/10.obj", "2.74972629547")</f>
        <v>2.74972629547</v>
      </c>
      <c r="N1525" s="20" t="str">
        <f>HYPERLINK(AB2 &amp; "/knife/sn_ead2db7fb32b1bb6f888ac6a5ecf018/rendering/11.obj", "6.46101951599")</f>
        <v>6.46101951599</v>
      </c>
      <c r="O1525" s="143" t="str">
        <f>HYPERLINK(AB2 &amp; "/knife/sn_ead2db7fb32b1bb6f888ac6a5ecf018/rendering/12.obj", "4.75746202469")</f>
        <v>4.75746202469</v>
      </c>
      <c r="P1525" s="128" t="str">
        <f>HYPERLINK(AB2 &amp; "/knife/sn_ead2db7fb32b1bb6f888ac6a5ecf018/rendering/13.obj", "1.97277927399")</f>
        <v>1.97277927399</v>
      </c>
      <c r="Q1525" s="98" t="str">
        <f>HYPERLINK(AB2 &amp; "/knife/sn_ead2db7fb32b1bb6f888ac6a5ecf018/rendering/14.obj", "2.48833703995")</f>
        <v>2.48833703995</v>
      </c>
      <c r="R1525" s="49" t="str">
        <f>HYPERLINK(AB2 &amp; "/knife/sn_ead2db7fb32b1bb6f888ac6a5ecf018/rendering/15.obj", "2.56079602242")</f>
        <v>2.56079602242</v>
      </c>
      <c r="S1525" s="196" t="str">
        <f>HYPERLINK(AB2 &amp; "/knife/sn_ead2db7fb32b1bb6f888ac6a5ecf018/rendering/16.obj", "4.51513576508")</f>
        <v>4.51513576508</v>
      </c>
      <c r="T1525" s="118" t="str">
        <f>HYPERLINK(AB2 &amp; "/knife/sn_ead2db7fb32b1bb6f888ac6a5ecf018/rendering/17.obj", "2.28525996208")</f>
        <v>2.28525996208</v>
      </c>
      <c r="U1525" s="68" t="str">
        <f>HYPERLINK(AB2 &amp; "/knife/sn_ead2db7fb32b1bb6f888ac6a5ecf018/rendering/18.obj", "3.09742879868")</f>
        <v>3.09742879868</v>
      </c>
      <c r="V1525" s="195" t="str">
        <f>HYPERLINK(AB2 &amp; "/knife/sn_ead2db7fb32b1bb6f888ac6a5ecf018/rendering/19.obj", "5.00261640549")</f>
        <v>5.00261640549</v>
      </c>
      <c r="W1525" s="12" t="s">
        <v>32</v>
      </c>
      <c r="X1525" s="13">
        <v>3.2317083358764651</v>
      </c>
      <c r="Y1525" s="13">
        <v>1.30828613838499</v>
      </c>
      <c r="Z1525" s="152">
        <v>0.40482803595274702</v>
      </c>
    </row>
    <row r="1526" spans="1:26" x14ac:dyDescent="0.2">
      <c r="A1526" s="1">
        <v>1524</v>
      </c>
      <c r="B1526" s="2" t="s">
        <v>337</v>
      </c>
      <c r="C1526" s="13" t="str">
        <f>HYPERLINK(AC2 &amp; "/knife/sn_ead2db7fb32b1bb6f888ac6a5ecf018/rendering/00.xyz", "0.0")</f>
        <v>0.0</v>
      </c>
      <c r="D1526" s="13" t="str">
        <f>HYPERLINK(AC2 &amp; "/knife/sn_ead2db7fb32b1bb6f888ac6a5ecf018/rendering/01.xyz", "0.0")</f>
        <v>0.0</v>
      </c>
      <c r="E1526" s="13" t="str">
        <f>HYPERLINK(AC2 &amp; "/knife/sn_ead2db7fb32b1bb6f888ac6a5ecf018/rendering/02.xyz", "0.0")</f>
        <v>0.0</v>
      </c>
      <c r="F1526" s="13" t="str">
        <f>HYPERLINK(AC2 &amp; "/knife/sn_ead2db7fb32b1bb6f888ac6a5ecf018/rendering/03.xyz", "0.0")</f>
        <v>0.0</v>
      </c>
      <c r="G1526" s="13" t="str">
        <f>HYPERLINK(AC2 &amp; "/knife/sn_ead2db7fb32b1bb6f888ac6a5ecf018/rendering/04.xyz", "0.0")</f>
        <v>0.0</v>
      </c>
      <c r="H1526" s="13" t="str">
        <f>HYPERLINK(AC2 &amp; "/knife/sn_ead2db7fb32b1bb6f888ac6a5ecf018/rendering/05.xyz", "0.0")</f>
        <v>0.0</v>
      </c>
      <c r="I1526" s="13" t="str">
        <f>HYPERLINK(AC2 &amp; "/knife/sn_ead2db7fb32b1bb6f888ac6a5ecf018/rendering/06.xyz", "0.0")</f>
        <v>0.0</v>
      </c>
      <c r="J1526" s="13" t="str">
        <f>HYPERLINK(AC2 &amp; "/knife/sn_ead2db7fb32b1bb6f888ac6a5ecf018/rendering/07.xyz", "0.0")</f>
        <v>0.0</v>
      </c>
      <c r="K1526" s="13" t="str">
        <f>HYPERLINK(AC2 &amp; "/knife/sn_ead2db7fb32b1bb6f888ac6a5ecf018/rendering/08.xyz", "0.0")</f>
        <v>0.0</v>
      </c>
      <c r="L1526" s="13" t="str">
        <f>HYPERLINK(AC2 &amp; "/knife/sn_ead2db7fb32b1bb6f888ac6a5ecf018/rendering/09.xyz", "0.0")</f>
        <v>0.0</v>
      </c>
      <c r="M1526" s="13" t="str">
        <f>HYPERLINK(AC2 &amp; "/knife/sn_ead2db7fb32b1bb6f888ac6a5ecf018/rendering/10.xyz", "0.0")</f>
        <v>0.0</v>
      </c>
      <c r="N1526" s="13" t="str">
        <f>HYPERLINK(AC2 &amp; "/knife/sn_ead2db7fb32b1bb6f888ac6a5ecf018/rendering/11.xyz", "0.0")</f>
        <v>0.0</v>
      </c>
      <c r="O1526" s="13" t="str">
        <f>HYPERLINK(AC2 &amp; "/knife/sn_ead2db7fb32b1bb6f888ac6a5ecf018/rendering/12.xyz", "0.0")</f>
        <v>0.0</v>
      </c>
      <c r="P1526" s="13" t="str">
        <f>HYPERLINK(AC2 &amp; "/knife/sn_ead2db7fb32b1bb6f888ac6a5ecf018/rendering/13.xyz", "0.0")</f>
        <v>0.0</v>
      </c>
      <c r="Q1526" s="13" t="str">
        <f>HYPERLINK(AC2 &amp; "/knife/sn_ead2db7fb32b1bb6f888ac6a5ecf018/rendering/14.xyz", "0.0")</f>
        <v>0.0</v>
      </c>
      <c r="R1526" s="13" t="str">
        <f>HYPERLINK(AC2 &amp; "/knife/sn_ead2db7fb32b1bb6f888ac6a5ecf018/rendering/15.xyz", "0.0")</f>
        <v>0.0</v>
      </c>
      <c r="S1526" s="13" t="str">
        <f>HYPERLINK(AC2 &amp; "/knife/sn_ead2db7fb32b1bb6f888ac6a5ecf018/rendering/16.xyz", "0.0")</f>
        <v>0.0</v>
      </c>
      <c r="T1526" s="13" t="str">
        <f>HYPERLINK(AC2 &amp; "/knife/sn_ead2db7fb32b1bb6f888ac6a5ecf018/rendering/17.xyz", "0.0")</f>
        <v>0.0</v>
      </c>
      <c r="U1526" s="13" t="str">
        <f>HYPERLINK(AC2 &amp; "/knife/sn_ead2db7fb32b1bb6f888ac6a5ecf018/rendering/18.xyz", "0.0")</f>
        <v>0.0</v>
      </c>
      <c r="V1526" s="13" t="str">
        <f>HYPERLINK(AC2 &amp; "/knife/sn_ead2db7fb32b1bb6f888ac6a5ecf018/rendering/19.xyz", "0.0")</f>
        <v>0.0</v>
      </c>
      <c r="W1526" s="12" t="s">
        <v>33</v>
      </c>
      <c r="X1526" s="13">
        <v>0</v>
      </c>
      <c r="Y1526" s="13">
        <v>0</v>
      </c>
      <c r="Z1526" s="13">
        <v>0</v>
      </c>
    </row>
    <row r="1527" spans="1:26" x14ac:dyDescent="0.2">
      <c r="A1527" s="1">
        <v>1525</v>
      </c>
      <c r="B1527" s="2" t="s">
        <v>338</v>
      </c>
      <c r="C1527" s="6" t="str">
        <f>HYPERLINK(AA2 &amp; "/knife/sn_eaffd07694c11b20afc61ad0921c25e/rendering/00.obj", "4.66094299316")</f>
        <v>4.66094299316</v>
      </c>
      <c r="D1527" s="28" t="str">
        <f>HYPERLINK(AA2 &amp; "/knife/sn_eaffd07694c11b20afc61ad0921c25e/rendering/01.obj", "3.9658013916")</f>
        <v>3.9658013916</v>
      </c>
      <c r="E1527" s="59" t="str">
        <f>HYPERLINK(AA2 &amp; "/knife/sn_eaffd07694c11b20afc61ad0921c25e/rendering/02.obj", "3.39487854004")</f>
        <v>3.39487854004</v>
      </c>
      <c r="F1527" s="71" t="str">
        <f>HYPERLINK(AA2 &amp; "/knife/sn_eaffd07694c11b20afc61ad0921c25e/rendering/03.obj", "3.94392456055")</f>
        <v>3.94392456055</v>
      </c>
      <c r="G1527" s="67" t="str">
        <f>HYPERLINK(AA2 &amp; "/knife/sn_eaffd07694c11b20afc61ad0921c25e/rendering/04.obj", "4.05617431641")</f>
        <v>4.05617431641</v>
      </c>
      <c r="H1527" s="65" t="str">
        <f>HYPERLINK(AA2 &amp; "/knife/sn_eaffd07694c11b20afc61ad0921c25e/rendering/05.obj", "3.86843780518")</f>
        <v>3.86843780518</v>
      </c>
      <c r="I1527" s="79" t="str">
        <f>HYPERLINK(AA2 &amp; "/knife/sn_eaffd07694c11b20afc61ad0921c25e/rendering/06.obj", "3.74943084717")</f>
        <v>3.74943084717</v>
      </c>
      <c r="J1527" s="65" t="str">
        <f>HYPERLINK(AA2 &amp; "/knife/sn_eaffd07694c11b20afc61ad0921c25e/rendering/07.obj", "5.06078338623")</f>
        <v>5.06078338623</v>
      </c>
      <c r="K1527" s="46" t="str">
        <f>HYPERLINK(AA2 &amp; "/knife/sn_eaffd07694c11b20afc61ad0921c25e/rendering/08.obj", "4.54642913818")</f>
        <v>4.54642913818</v>
      </c>
      <c r="L1527" s="28" t="str">
        <f>HYPERLINK(AA2 &amp; "/knife/sn_eaffd07694c11b20afc61ad0921c25e/rendering/09.obj", "3.965831604")</f>
        <v>3.965831604</v>
      </c>
      <c r="M1527" s="61" t="str">
        <f>HYPERLINK(AA2 &amp; "/knife/sn_eaffd07694c11b20afc61ad0921c25e/rendering/10.obj", "5.81910644531")</f>
        <v>5.81910644531</v>
      </c>
      <c r="N1527" s="136" t="str">
        <f>HYPERLINK(AA2 &amp; "/knife/sn_eaffd07694c11b20afc61ad0921c25e/rendering/11.obj", "5.52209838867")</f>
        <v>5.52209838867</v>
      </c>
      <c r="O1527" s="107" t="str">
        <f>HYPERLINK(AA2 &amp; "/knife/sn_eaffd07694c11b20afc61ad0921c25e/rendering/12.obj", "4.09506103516")</f>
        <v>4.09506103516</v>
      </c>
      <c r="P1527" s="58" t="str">
        <f>HYPERLINK(AA2 &amp; "/knife/sn_eaffd07694c11b20afc61ad0921c25e/rendering/13.obj", "3.37684326172")</f>
        <v>3.37684326172</v>
      </c>
      <c r="Q1527" s="77" t="str">
        <f>HYPERLINK(AA2 &amp; "/knife/sn_eaffd07694c11b20afc61ad0921c25e/rendering/14.obj", "3.62899169922")</f>
        <v>3.62899169922</v>
      </c>
      <c r="R1527" s="120" t="str">
        <f>HYPERLINK(AA2 &amp; "/knife/sn_eaffd07694c11b20afc61ad0921c25e/rendering/15.obj", "3.51203704834")</f>
        <v>3.51203704834</v>
      </c>
      <c r="S1527" s="92" t="str">
        <f>HYPERLINK(AA2 &amp; "/knife/sn_eaffd07694c11b20afc61ad0921c25e/rendering/16.obj", "3.907996521")</f>
        <v>3.907996521</v>
      </c>
      <c r="T1527" s="61" t="str">
        <f>HYPERLINK(AA2 &amp; "/knife/sn_eaffd07694c11b20afc61ad0921c25e/rendering/17.obj", "5.81414001465")</f>
        <v>5.81414001465</v>
      </c>
      <c r="U1527" s="20" t="str">
        <f>HYPERLINK(AA2 &amp; "/knife/sn_eaffd07694c11b20afc61ad0921c25e/rendering/18.obj", "8.71622314453")</f>
        <v>8.71622314453</v>
      </c>
      <c r="V1527" s="76" t="str">
        <f>HYPERLINK(AA2 &amp; "/knife/sn_eaffd07694c11b20afc61ad0921c25e/rendering/19.obj", "3.64971405029")</f>
        <v>3.64971405029</v>
      </c>
      <c r="W1527" s="12" t="s">
        <v>29</v>
      </c>
      <c r="X1527" s="13">
        <v>4.462742309570312</v>
      </c>
      <c r="Y1527" s="13">
        <v>1.226724557001259</v>
      </c>
      <c r="Z1527" s="113">
        <v>0.27488133347304378</v>
      </c>
    </row>
    <row r="1528" spans="1:26" x14ac:dyDescent="0.2">
      <c r="A1528" s="1">
        <v>1526</v>
      </c>
      <c r="B1528" s="2" t="s">
        <v>338</v>
      </c>
      <c r="C1528" s="94" t="str">
        <f>HYPERLINK(AA2 &amp; "/knife/sn_eaffd07694c11b20afc61ad0921c25e/rendering/00.obj", "2.81542539597")</f>
        <v>2.81542539597</v>
      </c>
      <c r="D1528" s="200" t="str">
        <f>HYPERLINK(AA2 &amp; "/knife/sn_eaffd07694c11b20afc61ad0921c25e/rendering/01.obj", "1.36418998241")</f>
        <v>1.36418998241</v>
      </c>
      <c r="E1528" s="206" t="str">
        <f>HYPERLINK(AA2 &amp; "/knife/sn_eaffd07694c11b20afc61ad0921c25e/rendering/02.obj", "1.06647217274")</f>
        <v>1.06647217274</v>
      </c>
      <c r="F1528" s="85" t="str">
        <f>HYPERLINK(AA2 &amp; "/knife/sn_eaffd07694c11b20afc61ad0921c25e/rendering/03.obj", "1.84179973602")</f>
        <v>1.84179973602</v>
      </c>
      <c r="G1528" s="159" t="str">
        <f>HYPERLINK(AA2 &amp; "/knife/sn_eaffd07694c11b20afc61ad0921c25e/rendering/04.obj", "1.39332354069")</f>
        <v>1.39332354069</v>
      </c>
      <c r="H1528" s="159" t="str">
        <f>HYPERLINK(AA2 &amp; "/knife/sn_eaffd07694c11b20afc61ad0921c25e/rendering/05.obj", "1.39002430439")</f>
        <v>1.39002430439</v>
      </c>
      <c r="I1528" s="203" t="str">
        <f>HYPERLINK(AA2 &amp; "/knife/sn_eaffd07694c11b20afc61ad0921c25e/rendering/06.obj", "1.39735281467")</f>
        <v>1.39735281467</v>
      </c>
      <c r="J1528" s="172" t="str">
        <f>HYPERLINK(AA2 &amp; "/knife/sn_eaffd07694c11b20afc61ad0921c25e/rendering/07.obj", "3.62986087799")</f>
        <v>3.62986087799</v>
      </c>
      <c r="K1528" s="69" t="str">
        <f>HYPERLINK(AA2 &amp; "/knife/sn_eaffd07694c11b20afc61ad0921c25e/rendering/08.obj", "2.69442105293")</f>
        <v>2.69442105293</v>
      </c>
      <c r="L1528" s="76" t="str">
        <f>HYPERLINK(AA2 &amp; "/knife/sn_eaffd07694c11b20afc61ad0921c25e/rendering/09.obj", "2.14058303833")</f>
        <v>2.14058303833</v>
      </c>
      <c r="M1528" s="20" t="str">
        <f>HYPERLINK(AA2 &amp; "/knife/sn_eaffd07694c11b20afc61ad0921c25e/rendering/10.obj", "7.46051692963")</f>
        <v>7.46051692963</v>
      </c>
      <c r="N1528" s="231" t="str">
        <f>HYPERLINK(AA2 &amp; "/knife/sn_eaffd07694c11b20afc61ad0921c25e/rendering/11.obj", "4.13097429276")</f>
        <v>4.13097429276</v>
      </c>
      <c r="O1528" s="46" t="str">
        <f>HYPERLINK(AA2 &amp; "/knife/sn_eaffd07694c11b20afc61ad0921c25e/rendering/12.obj", "2.66751241684")</f>
        <v>2.66751241684</v>
      </c>
      <c r="P1528" s="16" t="str">
        <f>HYPERLINK(AA2 &amp; "/knife/sn_eaffd07694c11b20afc61ad0921c25e/rendering/13.obj", "1.19285798073")</f>
        <v>1.19285798073</v>
      </c>
      <c r="Q1528" s="116" t="str">
        <f>HYPERLINK(AA2 &amp; "/knife/sn_eaffd07694c11b20afc61ad0921c25e/rendering/14.obj", "1.47594463825")</f>
        <v>1.47594463825</v>
      </c>
      <c r="R1528" s="244" t="str">
        <f>HYPERLINK(AA2 &amp; "/knife/sn_eaffd07694c11b20afc61ad0921c25e/rendering/15.obj", "1.01344144344")</f>
        <v>1.01344144344</v>
      </c>
      <c r="S1528" s="221" t="str">
        <f>HYPERLINK(AA2 &amp; "/knife/sn_eaffd07694c11b20afc61ad0921c25e/rendering/16.obj", "1.16228652")</f>
        <v>1.16228652</v>
      </c>
      <c r="T1528" s="20" t="str">
        <f>HYPERLINK(AA2 &amp; "/knife/sn_eaffd07694c11b20afc61ad0921c25e/rendering/17.obj", "5.13022232056")</f>
        <v>5.13022232056</v>
      </c>
      <c r="U1528" s="20" t="str">
        <f>HYPERLINK(AA2 &amp; "/knife/sn_eaffd07694c11b20afc61ad0921c25e/rendering/18.obj", "7.13961410522")</f>
        <v>7.13961410522</v>
      </c>
      <c r="V1528" s="15" t="str">
        <f>HYPERLINK(AA2 &amp; "/knife/sn_eaffd07694c11b20afc61ad0921c25e/rendering/19.obj", "1.28912913799")</f>
        <v>1.28912913799</v>
      </c>
      <c r="W1528" s="12" t="s">
        <v>30</v>
      </c>
      <c r="X1528" s="13">
        <v>2.61979763507843</v>
      </c>
      <c r="Y1528" s="13">
        <v>1.9061576393712649</v>
      </c>
      <c r="Z1528" s="253">
        <v>0.72759728226649811</v>
      </c>
    </row>
    <row r="1529" spans="1:26" x14ac:dyDescent="0.2">
      <c r="A1529" s="1">
        <v>1527</v>
      </c>
      <c r="B1529" s="2" t="s">
        <v>338</v>
      </c>
      <c r="C1529" s="31" t="str">
        <f>HYPERLINK(AB2 &amp; "/knife/sn_eaffd07694c11b20afc61ad0921c25e/rendering/00.obj", "2.93444946289")</f>
        <v>2.93444946289</v>
      </c>
      <c r="D1529" s="32" t="str">
        <f>HYPERLINK(AB2 &amp; "/knife/sn_eaffd07694c11b20afc61ad0921c25e/rendering/01.obj", "3.8392401123")</f>
        <v>3.8392401123</v>
      </c>
      <c r="E1529" s="17" t="str">
        <f>HYPERLINK(AB2 &amp; "/knife/sn_eaffd07694c11b20afc61ad0921c25e/rendering/02.obj", "3.54077880859")</f>
        <v>3.54077880859</v>
      </c>
      <c r="F1529" s="68" t="str">
        <f>HYPERLINK(AB2 &amp; "/knife/sn_eaffd07694c11b20afc61ad0921c25e/rendering/03.obj", "3.61829589844")</f>
        <v>3.61829589844</v>
      </c>
      <c r="G1529" s="17" t="str">
        <f>HYPERLINK(AB2 &amp; "/knife/sn_eaffd07694c11b20afc61ad0921c25e/rendering/04.obj", "3.54726470947")</f>
        <v>3.54726470947</v>
      </c>
      <c r="H1529" s="90" t="str">
        <f>HYPERLINK(AB2 &amp; "/knife/sn_eaffd07694c11b20afc61ad0921c25e/rendering/05.obj", "3.80889160156")</f>
        <v>3.80889160156</v>
      </c>
      <c r="I1529" s="25" t="str">
        <f>HYPERLINK(AB2 &amp; "/knife/sn_eaffd07694c11b20afc61ad0921c25e/rendering/06.obj", "3.51150878906")</f>
        <v>3.51150878906</v>
      </c>
      <c r="J1529" s="107" t="str">
        <f>HYPERLINK(AB2 &amp; "/knife/sn_eaffd07694c11b20afc61ad0921c25e/rendering/07.obj", "3.76685302734")</f>
        <v>3.76685302734</v>
      </c>
      <c r="K1529" s="107" t="str">
        <f>HYPERLINK(AB2 &amp; "/knife/sn_eaffd07694c11b20afc61ad0921c25e/rendering/08.obj", "3.18964141846")</f>
        <v>3.18964141846</v>
      </c>
      <c r="L1529" s="13" t="str">
        <f>HYPERLINK(AB2 &amp; "/knife/sn_eaffd07694c11b20afc61ad0921c25e/rendering/09.obj", "3.47928039551")</f>
        <v>3.47928039551</v>
      </c>
      <c r="M1529" s="71" t="str">
        <f>HYPERLINK(AB2 &amp; "/knife/sn_eaffd07694c11b20afc61ad0921c25e/rendering/10.obj", "3.06173248291")</f>
        <v>3.06173248291</v>
      </c>
      <c r="N1529" s="73" t="str">
        <f>HYPERLINK(AB2 &amp; "/knife/sn_eaffd07694c11b20afc61ad0921c25e/rendering/11.obj", "3.350206604")</f>
        <v>3.350206604</v>
      </c>
      <c r="O1529" s="90" t="str">
        <f>HYPERLINK(AB2 &amp; "/knife/sn_eaffd07694c11b20afc61ad0921c25e/rendering/12.obj", "3.13962219238")</f>
        <v>3.13962219238</v>
      </c>
      <c r="P1529" s="60" t="str">
        <f>HYPERLINK(AB2 &amp; "/knife/sn_eaffd07694c11b20afc61ad0921c25e/rendering/13.obj", "3.6550201416")</f>
        <v>3.6550201416</v>
      </c>
      <c r="Q1529" s="51" t="str">
        <f>HYPERLINK(AB2 &amp; "/knife/sn_eaffd07694c11b20afc61ad0921c25e/rendering/14.obj", "3.19095031738")</f>
        <v>3.19095031738</v>
      </c>
      <c r="R1529" s="73" t="str">
        <f>HYPERLINK(AB2 &amp; "/knife/sn_eaffd07694c11b20afc61ad0921c25e/rendering/15.obj", "3.34981323242")</f>
        <v>3.34981323242</v>
      </c>
      <c r="S1529" s="74" t="str">
        <f>HYPERLINK(AB2 &amp; "/knife/sn_eaffd07694c11b20afc61ad0921c25e/rendering/16.obj", "3.42152313232")</f>
        <v>3.42152313232</v>
      </c>
      <c r="T1529" s="69" t="str">
        <f>HYPERLINK(AB2 &amp; "/knife/sn_eaffd07694c11b20afc61ad0921c25e/rendering/17.obj", "3.57957122803")</f>
        <v>3.57957122803</v>
      </c>
      <c r="U1529" s="98" t="str">
        <f>HYPERLINK(AB2 &amp; "/knife/sn_eaffd07694c11b20afc61ad0921c25e/rendering/18.obj", "4.27027313232")</f>
        <v>4.27027313232</v>
      </c>
      <c r="V1529" s="27" t="str">
        <f>HYPERLINK(AB2 &amp; "/knife/sn_eaffd07694c11b20afc61ad0921c25e/rendering/19.obj", "3.22770263672")</f>
        <v>3.22770263672</v>
      </c>
      <c r="W1529" s="12" t="s">
        <v>31</v>
      </c>
      <c r="X1529" s="13">
        <v>3.474130966186523</v>
      </c>
      <c r="Y1529" s="13">
        <v>0.30572790859113308</v>
      </c>
      <c r="Z1529" s="38">
        <v>8.8001261773595116E-2</v>
      </c>
    </row>
    <row r="1530" spans="1:26" x14ac:dyDescent="0.2">
      <c r="A1530" s="1">
        <v>1528</v>
      </c>
      <c r="B1530" s="2" t="s">
        <v>338</v>
      </c>
      <c r="C1530" s="28" t="str">
        <f>HYPERLINK(AB2 &amp; "/knife/sn_eaffd07694c11b20afc61ad0921c25e/rendering/00.obj", "0.850319266319")</f>
        <v>0.850319266319</v>
      </c>
      <c r="D1530" s="65" t="str">
        <f>HYPERLINK(AB2 &amp; "/knife/sn_eaffd07694c11b20afc61ad0921c25e/rendering/01.obj", "1.08485066891")</f>
        <v>1.08485066891</v>
      </c>
      <c r="E1530" s="68" t="str">
        <f>HYPERLINK(AB2 &amp; "/knife/sn_eaffd07694c11b20afc61ad0921c25e/rendering/02.obj", "0.996874988079")</f>
        <v>0.996874988079</v>
      </c>
      <c r="F1530" s="64" t="str">
        <f>HYPERLINK(AB2 &amp; "/knife/sn_eaffd07694c11b20afc61ad0921c25e/rendering/03.obj", "0.797088861465")</f>
        <v>0.797088861465</v>
      </c>
      <c r="G1530" s="88" t="str">
        <f>HYPERLINK(AB2 &amp; "/knife/sn_eaffd07694c11b20afc61ad0921c25e/rendering/04.obj", "0.761610925198")</f>
        <v>0.761610925198</v>
      </c>
      <c r="H1530" s="88" t="str">
        <f>HYPERLINK(AB2 &amp; "/knife/sn_eaffd07694c11b20afc61ad0921c25e/rendering/05.obj", "0.761346638203")</f>
        <v>0.761346638203</v>
      </c>
      <c r="I1530" s="51" t="str">
        <f>HYPERLINK(AB2 &amp; "/knife/sn_eaffd07694c11b20afc61ad0921c25e/rendering/06.obj", "0.878812968731")</f>
        <v>0.878812968731</v>
      </c>
      <c r="J1530" s="214" t="str">
        <f>HYPERLINK(AB2 &amp; "/knife/sn_eaffd07694c11b20afc61ad0921c25e/rendering/07.obj", "1.54493153095")</f>
        <v>1.54493153095</v>
      </c>
      <c r="K1530" s="17" t="str">
        <f>HYPERLINK(AB2 &amp; "/knife/sn_eaffd07694c11b20afc61ad0921c25e/rendering/08.obj", "0.976805329323")</f>
        <v>0.976805329323</v>
      </c>
      <c r="L1530" s="51" t="str">
        <f>HYPERLINK(AB2 &amp; "/knife/sn_eaffd07694c11b20afc61ad0921c25e/rendering/09.obj", "1.03122150898")</f>
        <v>1.03122150898</v>
      </c>
      <c r="M1530" s="82" t="str">
        <f>HYPERLINK(AB2 &amp; "/knife/sn_eaffd07694c11b20afc61ad0921c25e/rendering/10.obj", "0.758946657181")</f>
        <v>0.758946657181</v>
      </c>
      <c r="N1530" s="25" t="str">
        <f>HYPERLINK(AB2 &amp; "/knife/sn_eaffd07694c11b20afc61ad0921c25e/rendering/11.obj", "0.965915381908")</f>
        <v>0.965915381908</v>
      </c>
      <c r="O1530" s="69" t="str">
        <f>HYPERLINK(AB2 &amp; "/knife/sn_eaffd07694c11b20afc61ad0921c25e/rendering/12.obj", "0.927136063576")</f>
        <v>0.927136063576</v>
      </c>
      <c r="P1530" s="78" t="str">
        <f>HYPERLINK(AB2 &amp; "/knife/sn_eaffd07694c11b20afc61ad0921c25e/rendering/13.obj", "1.0133305788")</f>
        <v>1.0133305788</v>
      </c>
      <c r="Q1530" s="42" t="str">
        <f>HYPERLINK(AB2 &amp; "/knife/sn_eaffd07694c11b20afc61ad0921c25e/rendering/14.obj", "0.824833929539")</f>
        <v>0.824833929539</v>
      </c>
      <c r="R1530" s="28" t="str">
        <f>HYPERLINK(AB2 &amp; "/knife/sn_eaffd07694c11b20afc61ad0921c25e/rendering/15.obj", "0.850850105286")</f>
        <v>0.850850105286</v>
      </c>
      <c r="S1530" s="48" t="str">
        <f>HYPERLINK(AB2 &amp; "/knife/sn_eaffd07694c11b20afc61ad0921c25e/rendering/16.obj", "0.932303011417")</f>
        <v>0.932303011417</v>
      </c>
      <c r="T1530" s="4" t="str">
        <f>HYPERLINK(AB2 &amp; "/knife/sn_eaffd07694c11b20afc61ad0921c25e/rendering/17.obj", "1.22809302807")</f>
        <v>1.22809302807</v>
      </c>
      <c r="U1530" s="68" t="str">
        <f>HYPERLINK(AB2 &amp; "/knife/sn_eaffd07694c11b20afc61ad0921c25e/rendering/18.obj", "0.995405137539")</f>
        <v>0.995405137539</v>
      </c>
      <c r="V1530" s="46" t="str">
        <f>HYPERLINK(AB2 &amp; "/knife/sn_eaffd07694c11b20afc61ad0921c25e/rendering/19.obj", "0.938587009907")</f>
        <v>0.938587009907</v>
      </c>
      <c r="W1530" s="12" t="s">
        <v>32</v>
      </c>
      <c r="X1530" s="13">
        <v>0.95596317946910858</v>
      </c>
      <c r="Y1530" s="13">
        <v>0.17846879308005839</v>
      </c>
      <c r="Z1530" s="77">
        <v>0.1866900283535716</v>
      </c>
    </row>
    <row r="1531" spans="1:26" x14ac:dyDescent="0.2">
      <c r="A1531" s="1">
        <v>1529</v>
      </c>
      <c r="B1531" s="2" t="s">
        <v>338</v>
      </c>
      <c r="C1531" s="13" t="str">
        <f>HYPERLINK(AC2 &amp; "/knife/sn_eaffd07694c11b20afc61ad0921c25e/rendering/00.xyz", "0.0")</f>
        <v>0.0</v>
      </c>
      <c r="D1531" s="13" t="str">
        <f>HYPERLINK(AC2 &amp; "/knife/sn_eaffd07694c11b20afc61ad0921c25e/rendering/01.xyz", "0.0")</f>
        <v>0.0</v>
      </c>
      <c r="E1531" s="13" t="str">
        <f>HYPERLINK(AC2 &amp; "/knife/sn_eaffd07694c11b20afc61ad0921c25e/rendering/02.xyz", "0.0")</f>
        <v>0.0</v>
      </c>
      <c r="F1531" s="13" t="str">
        <f>HYPERLINK(AC2 &amp; "/knife/sn_eaffd07694c11b20afc61ad0921c25e/rendering/03.xyz", "0.0")</f>
        <v>0.0</v>
      </c>
      <c r="G1531" s="13" t="str">
        <f>HYPERLINK(AC2 &amp; "/knife/sn_eaffd07694c11b20afc61ad0921c25e/rendering/04.xyz", "0.0")</f>
        <v>0.0</v>
      </c>
      <c r="H1531" s="13" t="str">
        <f>HYPERLINK(AC2 &amp; "/knife/sn_eaffd07694c11b20afc61ad0921c25e/rendering/05.xyz", "0.0")</f>
        <v>0.0</v>
      </c>
      <c r="I1531" s="13" t="str">
        <f>HYPERLINK(AC2 &amp; "/knife/sn_eaffd07694c11b20afc61ad0921c25e/rendering/06.xyz", "0.0")</f>
        <v>0.0</v>
      </c>
      <c r="J1531" s="13" t="str">
        <f>HYPERLINK(AC2 &amp; "/knife/sn_eaffd07694c11b20afc61ad0921c25e/rendering/07.xyz", "0.0")</f>
        <v>0.0</v>
      </c>
      <c r="K1531" s="13" t="str">
        <f>HYPERLINK(AC2 &amp; "/knife/sn_eaffd07694c11b20afc61ad0921c25e/rendering/08.xyz", "0.0")</f>
        <v>0.0</v>
      </c>
      <c r="L1531" s="13" t="str">
        <f>HYPERLINK(AC2 &amp; "/knife/sn_eaffd07694c11b20afc61ad0921c25e/rendering/09.xyz", "0.0")</f>
        <v>0.0</v>
      </c>
      <c r="M1531" s="13" t="str">
        <f>HYPERLINK(AC2 &amp; "/knife/sn_eaffd07694c11b20afc61ad0921c25e/rendering/10.xyz", "0.0")</f>
        <v>0.0</v>
      </c>
      <c r="N1531" s="13" t="str">
        <f>HYPERLINK(AC2 &amp; "/knife/sn_eaffd07694c11b20afc61ad0921c25e/rendering/11.xyz", "0.0")</f>
        <v>0.0</v>
      </c>
      <c r="O1531" s="13" t="str">
        <f>HYPERLINK(AC2 &amp; "/knife/sn_eaffd07694c11b20afc61ad0921c25e/rendering/12.xyz", "0.0")</f>
        <v>0.0</v>
      </c>
      <c r="P1531" s="13" t="str">
        <f>HYPERLINK(AC2 &amp; "/knife/sn_eaffd07694c11b20afc61ad0921c25e/rendering/13.xyz", "0.0")</f>
        <v>0.0</v>
      </c>
      <c r="Q1531" s="13" t="str">
        <f>HYPERLINK(AC2 &amp; "/knife/sn_eaffd07694c11b20afc61ad0921c25e/rendering/14.xyz", "0.0")</f>
        <v>0.0</v>
      </c>
      <c r="R1531" s="13" t="str">
        <f>HYPERLINK(AC2 &amp; "/knife/sn_eaffd07694c11b20afc61ad0921c25e/rendering/15.xyz", "0.0")</f>
        <v>0.0</v>
      </c>
      <c r="S1531" s="13" t="str">
        <f>HYPERLINK(AC2 &amp; "/knife/sn_eaffd07694c11b20afc61ad0921c25e/rendering/16.xyz", "0.0")</f>
        <v>0.0</v>
      </c>
      <c r="T1531" s="13" t="str">
        <f>HYPERLINK(AC2 &amp; "/knife/sn_eaffd07694c11b20afc61ad0921c25e/rendering/17.xyz", "0.0")</f>
        <v>0.0</v>
      </c>
      <c r="U1531" s="13" t="str">
        <f>HYPERLINK(AC2 &amp; "/knife/sn_eaffd07694c11b20afc61ad0921c25e/rendering/18.xyz", "0.0")</f>
        <v>0.0</v>
      </c>
      <c r="V1531" s="13" t="str">
        <f>HYPERLINK(AC2 &amp; "/knife/sn_eaffd07694c11b20afc61ad0921c25e/rendering/19.xyz", "0.0")</f>
        <v>0.0</v>
      </c>
      <c r="W1531" s="12" t="s">
        <v>33</v>
      </c>
      <c r="X1531" s="13">
        <v>0</v>
      </c>
      <c r="Y1531" s="13">
        <v>0</v>
      </c>
      <c r="Z1531" s="13">
        <v>0</v>
      </c>
    </row>
    <row r="1532" spans="1:26" x14ac:dyDescent="0.2">
      <c r="A1532" s="1">
        <v>1530</v>
      </c>
      <c r="B1532" s="2" t="s">
        <v>339</v>
      </c>
      <c r="C1532" s="20" t="str">
        <f>HYPERLINK(AA2 &amp; "/knife/sn_ebfb56c4968055e794581d435607029/rendering/00.obj", "12.0452893066")</f>
        <v>12.0452893066</v>
      </c>
      <c r="D1532" s="57" t="str">
        <f>HYPERLINK(AA2 &amp; "/knife/sn_ebfb56c4968055e794581d435607029/rendering/01.obj", "3.39937561035")</f>
        <v>3.39937561035</v>
      </c>
      <c r="E1532" s="57" t="str">
        <f>HYPERLINK(AA2 &amp; "/knife/sn_ebfb56c4968055e794581d435607029/rendering/02.obj", "3.40633178711")</f>
        <v>3.40633178711</v>
      </c>
      <c r="F1532" s="153" t="str">
        <f>HYPERLINK(AA2 &amp; "/knife/sn_ebfb56c4968055e794581d435607029/rendering/03.obj", "3.19912841797")</f>
        <v>3.19912841797</v>
      </c>
      <c r="G1532" s="153" t="str">
        <f>HYPERLINK(AA2 &amp; "/knife/sn_ebfb56c4968055e794581d435607029/rendering/04.obj", "3.19466400146")</f>
        <v>3.19466400146</v>
      </c>
      <c r="H1532" s="109" t="str">
        <f>HYPERLINK(AA2 &amp; "/knife/sn_ebfb56c4968055e794581d435607029/rendering/05.obj", "4.02345733643")</f>
        <v>4.02345733643</v>
      </c>
      <c r="I1532" s="119" t="str">
        <f>HYPERLINK(AA2 &amp; "/knife/sn_ebfb56c4968055e794581d435607029/rendering/06.obj", "3.65186004639")</f>
        <v>3.65186004639</v>
      </c>
      <c r="J1532" s="136" t="str">
        <f>HYPERLINK(AA2 &amp; "/knife/sn_ebfb56c4968055e794581d435607029/rendering/07.obj", "3.7891708374")</f>
        <v>3.7891708374</v>
      </c>
      <c r="K1532" s="244" t="str">
        <f>HYPERLINK(AA2 &amp; "/knife/sn_ebfb56c4968055e794581d435607029/rendering/08.obj", "8.00936889648")</f>
        <v>8.00936889648</v>
      </c>
      <c r="L1532" s="27" t="str">
        <f>HYPERLINK(AA2 &amp; "/knife/sn_ebfb56c4968055e794581d435607029/rendering/09.obj", "4.61079315186")</f>
        <v>4.61079315186</v>
      </c>
      <c r="M1532" s="28" t="str">
        <f>HYPERLINK(AA2 &amp; "/knife/sn_ebfb56c4968055e794581d435607029/rendering/10.obj", "5.52243286133")</f>
        <v>5.52243286133</v>
      </c>
      <c r="N1532" s="20" t="str">
        <f>HYPERLINK(AA2 &amp; "/knife/sn_ebfb56c4968055e794581d435607029/rendering/11.obj", "10.8399035645")</f>
        <v>10.8399035645</v>
      </c>
      <c r="O1532" s="41" t="str">
        <f>HYPERLINK(AA2 &amp; "/knife/sn_ebfb56c4968055e794581d435607029/rendering/12.obj", "5.29905029297")</f>
        <v>5.29905029297</v>
      </c>
      <c r="P1532" s="166" t="str">
        <f>HYPERLINK(AA2 &amp; "/knife/sn_ebfb56c4968055e794581d435607029/rendering/13.obj", "3.53720214844")</f>
        <v>3.53720214844</v>
      </c>
      <c r="Q1532" s="151" t="str">
        <f>HYPERLINK(AA2 &amp; "/knife/sn_ebfb56c4968055e794581d435607029/rendering/14.obj", "3.17492401123")</f>
        <v>3.17492401123</v>
      </c>
      <c r="R1532" s="109" t="str">
        <f>HYPERLINK(AA2 &amp; "/knife/sn_ebfb56c4968055e794581d435607029/rendering/15.obj", "4.02772491455")</f>
        <v>4.02772491455</v>
      </c>
      <c r="S1532" s="4" t="str">
        <f>HYPERLINK(AA2 &amp; "/knife/sn_ebfb56c4968055e794581d435607029/rendering/16.obj", "3.55064819336")</f>
        <v>3.55064819336</v>
      </c>
      <c r="T1532" s="118" t="str">
        <f>HYPERLINK(AA2 &amp; "/knife/sn_ebfb56c4968055e794581d435607029/rendering/17.obj", "3.51203186035")</f>
        <v>3.51203186035</v>
      </c>
      <c r="U1532" s="54" t="str">
        <f>HYPERLINK(AA2 &amp; "/knife/sn_ebfb56c4968055e794581d435607029/rendering/18.obj", "6.5995703125")</f>
        <v>6.5995703125</v>
      </c>
      <c r="V1532" s="49" t="str">
        <f>HYPERLINK(AA2 &amp; "/knife/sn_ebfb56c4968055e794581d435607029/rendering/19.obj", "3.92517089844")</f>
        <v>3.92517089844</v>
      </c>
      <c r="W1532" s="12" t="s">
        <v>29</v>
      </c>
      <c r="X1532" s="13">
        <v>4.9659049224853522</v>
      </c>
      <c r="Y1532" s="13">
        <v>2.4856931101502799</v>
      </c>
      <c r="Z1532" s="126">
        <v>0.50055189314946302</v>
      </c>
    </row>
    <row r="1533" spans="1:26" x14ac:dyDescent="0.2">
      <c r="A1533" s="1">
        <v>1531</v>
      </c>
      <c r="B1533" s="2" t="s">
        <v>339</v>
      </c>
      <c r="C1533" s="20" t="str">
        <f>HYPERLINK(AA2 &amp; "/knife/sn_ebfb56c4968055e794581d435607029/rendering/00.obj", "15.0817394257")</f>
        <v>15.0817394257</v>
      </c>
      <c r="D1533" s="217" t="str">
        <f>HYPERLINK(AA2 &amp; "/knife/sn_ebfb56c4968055e794581d435607029/rendering/01.obj", "1.22282385826")</f>
        <v>1.22282385826</v>
      </c>
      <c r="E1533" s="215" t="str">
        <f>HYPERLINK(AA2 &amp; "/knife/sn_ebfb56c4968055e794581d435607029/rendering/02.obj", "1.10163283348")</f>
        <v>1.10163283348</v>
      </c>
      <c r="F1533" s="217" t="str">
        <f>HYPERLINK(AA2 &amp; "/knife/sn_ebfb56c4968055e794581d435607029/rendering/03.obj", "1.22991704941")</f>
        <v>1.22991704941</v>
      </c>
      <c r="G1533" s="215" t="str">
        <f>HYPERLINK(AA2 &amp; "/knife/sn_ebfb56c4968055e794581d435607029/rendering/04.obj", "1.10229408741")</f>
        <v>1.10229408741</v>
      </c>
      <c r="H1533" s="54" t="str">
        <f>HYPERLINK(AA2 &amp; "/knife/sn_ebfb56c4968055e794581d435607029/rendering/05.obj", "2.23930287361")</f>
        <v>2.23930287361</v>
      </c>
      <c r="I1533" s="194" t="str">
        <f>HYPERLINK(AA2 &amp; "/knife/sn_ebfb56c4968055e794581d435607029/rendering/06.obj", "1.25226581097")</f>
        <v>1.25226581097</v>
      </c>
      <c r="J1533" s="240" t="str">
        <f>HYPERLINK(AA2 &amp; "/knife/sn_ebfb56c4968055e794581d435607029/rendering/07.obj", "1.15575671196")</f>
        <v>1.15575671196</v>
      </c>
      <c r="K1533" s="20" t="str">
        <f>HYPERLINK(AA2 &amp; "/knife/sn_ebfb56c4968055e794581d435607029/rendering/08.obj", "8.88724040985")</f>
        <v>8.88724040985</v>
      </c>
      <c r="L1533" s="201" t="str">
        <f>HYPERLINK(AA2 &amp; "/knife/sn_ebfb56c4968055e794581d435607029/rendering/09.obj", "1.39599084854")</f>
        <v>1.39599084854</v>
      </c>
      <c r="M1533" s="88" t="str">
        <f>HYPERLINK(AA2 &amp; "/knife/sn_ebfb56c4968055e794581d435607029/rendering/10.obj", "3.99967765808")</f>
        <v>3.99967765808</v>
      </c>
      <c r="N1533" s="20" t="str">
        <f>HYPERLINK(AA2 &amp; "/knife/sn_ebfb56c4968055e794581d435607029/rendering/11.obj", "13.1891345978")</f>
        <v>13.1891345978</v>
      </c>
      <c r="O1533" s="35" t="str">
        <f>HYPERLINK(AA2 &amp; "/knife/sn_ebfb56c4968055e794581d435607029/rendering/12.obj", "3.52632045746")</f>
        <v>3.52632045746</v>
      </c>
      <c r="P1533" s="205" t="str">
        <f>HYPERLINK(AA2 &amp; "/knife/sn_ebfb56c4968055e794581d435607029/rendering/13.obj", "1.10851669312")</f>
        <v>1.10851669312</v>
      </c>
      <c r="Q1533" s="217" t="str">
        <f>HYPERLINK(AA2 &amp; "/knife/sn_ebfb56c4968055e794581d435607029/rendering/14.obj", "1.2251200676")</f>
        <v>1.2251200676</v>
      </c>
      <c r="R1533" s="112" t="str">
        <f>HYPERLINK(AA2 &amp; "/knife/sn_ebfb56c4968055e794581d435607029/rendering/15.obj", "1.35276210308")</f>
        <v>1.35276210308</v>
      </c>
      <c r="S1533" s="233" t="str">
        <f>HYPERLINK(AA2 &amp; "/knife/sn_ebfb56c4968055e794581d435607029/rendering/16.obj", "0.990630626678")</f>
        <v>0.990630626678</v>
      </c>
      <c r="T1533" s="190" t="str">
        <f>HYPERLINK(AA2 &amp; "/knife/sn_ebfb56c4968055e794581d435607029/rendering/17.obj", "1.02067828178")</f>
        <v>1.02067828178</v>
      </c>
      <c r="U1533" s="70" t="str">
        <f>HYPERLINK(AA2 &amp; "/knife/sn_ebfb56c4968055e794581d435607029/rendering/18.obj", "3.74865674973")</f>
        <v>3.74865674973</v>
      </c>
      <c r="V1533" s="159" t="str">
        <f>HYPERLINK(AA2 &amp; "/knife/sn_ebfb56c4968055e794581d435607029/rendering/19.obj", "1.77274227142")</f>
        <v>1.77274227142</v>
      </c>
      <c r="W1533" s="12" t="s">
        <v>30</v>
      </c>
      <c r="X1533" s="13">
        <v>3.3301601707935329</v>
      </c>
      <c r="Y1533" s="13">
        <v>4.0380064486452483</v>
      </c>
      <c r="Z1533" s="20">
        <v>1.21255622599169</v>
      </c>
    </row>
    <row r="1534" spans="1:26" x14ac:dyDescent="0.2">
      <c r="A1534" s="1">
        <v>1532</v>
      </c>
      <c r="B1534" s="2" t="s">
        <v>339</v>
      </c>
      <c r="C1534" s="76" t="str">
        <f>HYPERLINK(AB2 &amp; "/knife/sn_ebfb56c4968055e794581d435607029/rendering/00.obj", "3.82658569336")</f>
        <v>3.82658569336</v>
      </c>
      <c r="D1534" s="65" t="str">
        <f>HYPERLINK(AB2 &amp; "/knife/sn_ebfb56c4968055e794581d435607029/rendering/01.obj", "3.6713293457")</f>
        <v>3.6713293457</v>
      </c>
      <c r="E1534" s="82" t="str">
        <f>HYPERLINK(AB2 &amp; "/knife/sn_ebfb56c4968055e794581d435607029/rendering/02.obj", "2.56712219238")</f>
        <v>2.56712219238</v>
      </c>
      <c r="F1534" s="58" t="str">
        <f>HYPERLINK(AB2 &amp; "/knife/sn_ebfb56c4968055e794581d435607029/rendering/03.obj", "2.45408874512")</f>
        <v>2.45408874512</v>
      </c>
      <c r="G1534" s="36" t="str">
        <f>HYPERLINK(AB2 &amp; "/knife/sn_ebfb56c4968055e794581d435607029/rendering/04.obj", "3.93451416016")</f>
        <v>3.93451416016</v>
      </c>
      <c r="H1534" s="38" t="str">
        <f>HYPERLINK(AB2 &amp; "/knife/sn_ebfb56c4968055e794581d435607029/rendering/05.obj", "3.52998199463")</f>
        <v>3.52998199463</v>
      </c>
      <c r="I1534" s="94" t="str">
        <f>HYPERLINK(AB2 &amp; "/knife/sn_ebfb56c4968055e794581d435607029/rendering/06.obj", "3.00222839355")</f>
        <v>3.00222839355</v>
      </c>
      <c r="J1534" s="38" t="str">
        <f>HYPERLINK(AB2 &amp; "/knife/sn_ebfb56c4968055e794581d435607029/rendering/07.obj", "2.947996521")</f>
        <v>2.947996521</v>
      </c>
      <c r="K1534" s="10" t="str">
        <f>HYPERLINK(AB2 &amp; "/knife/sn_ebfb56c4968055e794581d435607029/rendering/08.obj", "3.41784576416")</f>
        <v>3.41784576416</v>
      </c>
      <c r="L1534" s="90" t="str">
        <f>HYPERLINK(AB2 &amp; "/knife/sn_ebfb56c4968055e794581d435607029/rendering/09.obj", "3.54660949707")</f>
        <v>3.54660949707</v>
      </c>
      <c r="M1534" s="10" t="str">
        <f>HYPERLINK(AB2 &amp; "/knife/sn_ebfb56c4968055e794581d435607029/rendering/10.obj", "3.41178588867")</f>
        <v>3.41178588867</v>
      </c>
      <c r="N1534" s="73" t="str">
        <f>HYPERLINK(AB2 &amp; "/knife/sn_ebfb56c4968055e794581d435607029/rendering/11.obj", "3.35734466553")</f>
        <v>3.35734466553</v>
      </c>
      <c r="O1534" s="29" t="str">
        <f>HYPERLINK(AB2 &amp; "/knife/sn_ebfb56c4968055e794581d435607029/rendering/12.obj", "3.65812530518")</f>
        <v>3.65812530518</v>
      </c>
      <c r="P1534" s="65" t="str">
        <f>HYPERLINK(AB2 &amp; "/knife/sn_ebfb56c4968055e794581d435607029/rendering/13.obj", "2.80938751221")</f>
        <v>2.80938751221</v>
      </c>
      <c r="Q1534" s="17" t="str">
        <f>HYPERLINK(AB2 &amp; "/knife/sn_ebfb56c4968055e794581d435607029/rendering/14.obj", "3.29876495361")</f>
        <v>3.29876495361</v>
      </c>
      <c r="R1534" s="27" t="str">
        <f>HYPERLINK(AB2 &amp; "/knife/sn_ebfb56c4968055e794581d435607029/rendering/15.obj", "3.4634375")</f>
        <v>3.4634375</v>
      </c>
      <c r="S1534" s="133" t="str">
        <f>HYPERLINK(AB2 &amp; "/knife/sn_ebfb56c4968055e794581d435607029/rendering/16.obj", "2.90781677246")</f>
        <v>2.90781677246</v>
      </c>
      <c r="T1534" s="5" t="str">
        <f>HYPERLINK(AB2 &amp; "/knife/sn_ebfb56c4968055e794581d435607029/rendering/17.obj", "2.98788696289")</f>
        <v>2.98788696289</v>
      </c>
      <c r="U1534" s="48" t="str">
        <f>HYPERLINK(AB2 &amp; "/knife/sn_ebfb56c4968055e794581d435607029/rendering/18.obj", "3.16339355469")</f>
        <v>3.16339355469</v>
      </c>
      <c r="V1534" s="84" t="str">
        <f>HYPERLINK(AB2 &amp; "/knife/sn_ebfb56c4968055e794581d435607029/rendering/19.obj", "2.76017944336")</f>
        <v>2.76017944336</v>
      </c>
      <c r="W1534" s="12" t="s">
        <v>31</v>
      </c>
      <c r="X1534" s="13">
        <v>3.2358212432861331</v>
      </c>
      <c r="Y1534" s="13">
        <v>0.40626319094737268</v>
      </c>
      <c r="Z1534" s="70">
        <v>0.12555180289711951</v>
      </c>
    </row>
    <row r="1535" spans="1:26" x14ac:dyDescent="0.2">
      <c r="A1535" s="1">
        <v>1533</v>
      </c>
      <c r="B1535" s="2" t="s">
        <v>339</v>
      </c>
      <c r="C1535" s="254" t="str">
        <f>HYPERLINK(AB2 &amp; "/knife/sn_ebfb56c4968055e794581d435607029/rendering/00.obj", "2.0412364006")</f>
        <v>2.0412364006</v>
      </c>
      <c r="D1535" s="106" t="str">
        <f>HYPERLINK(AB2 &amp; "/knife/sn_ebfb56c4968055e794581d435607029/rendering/01.obj", "1.28209090233")</f>
        <v>1.28209090233</v>
      </c>
      <c r="E1535" s="86" t="str">
        <f>HYPERLINK(AB2 &amp; "/knife/sn_ebfb56c4968055e794581d435607029/rendering/02.obj", "0.841238737106")</f>
        <v>0.841238737106</v>
      </c>
      <c r="F1535" s="135" t="str">
        <f>HYPERLINK(AB2 &amp; "/knife/sn_ebfb56c4968055e794581d435607029/rendering/03.obj", "0.855021119118")</f>
        <v>0.855021119118</v>
      </c>
      <c r="G1535" s="154" t="str">
        <f>HYPERLINK(AB2 &amp; "/knife/sn_ebfb56c4968055e794581d435607029/rendering/04.obj", "2.00703883171")</f>
        <v>2.00703883171</v>
      </c>
      <c r="H1535" s="10" t="str">
        <f>HYPERLINK(AB2 &amp; "/knife/sn_ebfb56c4968055e794581d435607029/rendering/05.obj", "1.0888504982")</f>
        <v>1.0888504982</v>
      </c>
      <c r="I1535" s="171" t="str">
        <f>HYPERLINK(AB2 &amp; "/knife/sn_ebfb56c4968055e794581d435607029/rendering/06.obj", "0.798141896725")</f>
        <v>0.798141896725</v>
      </c>
      <c r="J1535" s="98" t="str">
        <f>HYPERLINK(AB2 &amp; "/knife/sn_ebfb56c4968055e794581d435607029/rendering/07.obj", "0.885562062263")</f>
        <v>0.885562062263</v>
      </c>
      <c r="K1535" s="85" t="str">
        <f>HYPERLINK(AB2 &amp; "/knife/sn_ebfb56c4968055e794581d435607029/rendering/08.obj", "1.48961222172")</f>
        <v>1.48961222172</v>
      </c>
      <c r="L1535" s="26" t="str">
        <f>HYPERLINK(AB2 &amp; "/knife/sn_ebfb56c4968055e794581d435607029/rendering/09.obj", "1.22593355179")</f>
        <v>1.22593355179</v>
      </c>
      <c r="M1535" s="30" t="str">
        <f>HYPERLINK(AB2 &amp; "/knife/sn_ebfb56c4968055e794581d435607029/rendering/10.obj", "1.15438640118")</f>
        <v>1.15438640118</v>
      </c>
      <c r="N1535" s="68" t="str">
        <f>HYPERLINK(AB2 &amp; "/knife/sn_ebfb56c4968055e794581d435607029/rendering/11.obj", "1.20021772385")</f>
        <v>1.20021772385</v>
      </c>
      <c r="O1535" s="55" t="str">
        <f>HYPERLINK(AB2 &amp; "/knife/sn_ebfb56c4968055e794581d435607029/rendering/12.obj", "1.37215793133")</f>
        <v>1.37215793133</v>
      </c>
      <c r="P1535" s="86" t="str">
        <f>HYPERLINK(AB2 &amp; "/knife/sn_ebfb56c4968055e794581d435607029/rendering/13.obj", "0.840586006641")</f>
        <v>0.840586006641</v>
      </c>
      <c r="Q1535" s="51" t="str">
        <f>HYPERLINK(AB2 &amp; "/knife/sn_ebfb56c4968055e794581d435607029/rendering/14.obj", "1.05947351456")</f>
        <v>1.05947351456</v>
      </c>
      <c r="R1535" s="73" t="str">
        <f>HYPERLINK(AB2 &amp; "/knife/sn_ebfb56c4968055e794581d435607029/rendering/15.obj", "1.19131433964")</f>
        <v>1.19131433964</v>
      </c>
      <c r="S1535" s="87" t="str">
        <f>HYPERLINK(AB2 &amp; "/knife/sn_ebfb56c4968055e794581d435607029/rendering/16.obj", "0.888958513737")</f>
        <v>0.888958513737</v>
      </c>
      <c r="T1535" s="176" t="str">
        <f>HYPERLINK(AB2 &amp; "/knife/sn_ebfb56c4968055e794581d435607029/rendering/17.obj", "0.78238594532")</f>
        <v>0.78238594532</v>
      </c>
      <c r="U1535" s="34" t="str">
        <f>HYPERLINK(AB2 &amp; "/knife/sn_ebfb56c4968055e794581d435607029/rendering/18.obj", "1.20593965054")</f>
        <v>1.20593965054</v>
      </c>
      <c r="V1535" s="56" t="str">
        <f>HYPERLINK(AB2 &amp; "/knife/sn_ebfb56c4968055e794581d435607029/rendering/19.obj", "0.794046342373")</f>
        <v>0.794046342373</v>
      </c>
      <c r="W1535" s="12" t="s">
        <v>32</v>
      </c>
      <c r="X1535" s="13">
        <v>1.150209629535675</v>
      </c>
      <c r="Y1535" s="13">
        <v>0.35621856967942112</v>
      </c>
      <c r="Z1535" s="56">
        <v>0.30969882405107491</v>
      </c>
    </row>
    <row r="1536" spans="1:26" x14ac:dyDescent="0.2">
      <c r="A1536" s="1">
        <v>1534</v>
      </c>
      <c r="B1536" s="2" t="s">
        <v>339</v>
      </c>
      <c r="C1536" s="13" t="str">
        <f>HYPERLINK(AC2 &amp; "/knife/sn_ebfb56c4968055e794581d435607029/rendering/00.xyz", "0.0")</f>
        <v>0.0</v>
      </c>
      <c r="D1536" s="13" t="str">
        <f>HYPERLINK(AC2 &amp; "/knife/sn_ebfb56c4968055e794581d435607029/rendering/01.xyz", "0.0")</f>
        <v>0.0</v>
      </c>
      <c r="E1536" s="13" t="str">
        <f>HYPERLINK(AC2 &amp; "/knife/sn_ebfb56c4968055e794581d435607029/rendering/02.xyz", "0.0")</f>
        <v>0.0</v>
      </c>
      <c r="F1536" s="13" t="str">
        <f>HYPERLINK(AC2 &amp; "/knife/sn_ebfb56c4968055e794581d435607029/rendering/03.xyz", "0.0")</f>
        <v>0.0</v>
      </c>
      <c r="G1536" s="13" t="str">
        <f>HYPERLINK(AC2 &amp; "/knife/sn_ebfb56c4968055e794581d435607029/rendering/04.xyz", "0.0")</f>
        <v>0.0</v>
      </c>
      <c r="H1536" s="13" t="str">
        <f>HYPERLINK(AC2 &amp; "/knife/sn_ebfb56c4968055e794581d435607029/rendering/05.xyz", "0.0")</f>
        <v>0.0</v>
      </c>
      <c r="I1536" s="13" t="str">
        <f>HYPERLINK(AC2 &amp; "/knife/sn_ebfb56c4968055e794581d435607029/rendering/06.xyz", "0.0")</f>
        <v>0.0</v>
      </c>
      <c r="J1536" s="13" t="str">
        <f>HYPERLINK(AC2 &amp; "/knife/sn_ebfb56c4968055e794581d435607029/rendering/07.xyz", "0.0")</f>
        <v>0.0</v>
      </c>
      <c r="K1536" s="13" t="str">
        <f>HYPERLINK(AC2 &amp; "/knife/sn_ebfb56c4968055e794581d435607029/rendering/08.xyz", "0.0")</f>
        <v>0.0</v>
      </c>
      <c r="L1536" s="13" t="str">
        <f>HYPERLINK(AC2 &amp; "/knife/sn_ebfb56c4968055e794581d435607029/rendering/09.xyz", "0.0")</f>
        <v>0.0</v>
      </c>
      <c r="M1536" s="13" t="str">
        <f>HYPERLINK(AC2 &amp; "/knife/sn_ebfb56c4968055e794581d435607029/rendering/10.xyz", "0.0")</f>
        <v>0.0</v>
      </c>
      <c r="N1536" s="13" t="str">
        <f>HYPERLINK(AC2 &amp; "/knife/sn_ebfb56c4968055e794581d435607029/rendering/11.xyz", "0.0")</f>
        <v>0.0</v>
      </c>
      <c r="O1536" s="13" t="str">
        <f>HYPERLINK(AC2 &amp; "/knife/sn_ebfb56c4968055e794581d435607029/rendering/12.xyz", "0.0")</f>
        <v>0.0</v>
      </c>
      <c r="P1536" s="13" t="str">
        <f>HYPERLINK(AC2 &amp; "/knife/sn_ebfb56c4968055e794581d435607029/rendering/13.xyz", "0.0")</f>
        <v>0.0</v>
      </c>
      <c r="Q1536" s="13" t="str">
        <f>HYPERLINK(AC2 &amp; "/knife/sn_ebfb56c4968055e794581d435607029/rendering/14.xyz", "0.0")</f>
        <v>0.0</v>
      </c>
      <c r="R1536" s="13" t="str">
        <f>HYPERLINK(AC2 &amp; "/knife/sn_ebfb56c4968055e794581d435607029/rendering/15.xyz", "0.0")</f>
        <v>0.0</v>
      </c>
      <c r="S1536" s="13" t="str">
        <f>HYPERLINK(AC2 &amp; "/knife/sn_ebfb56c4968055e794581d435607029/rendering/16.xyz", "0.0")</f>
        <v>0.0</v>
      </c>
      <c r="T1536" s="13" t="str">
        <f>HYPERLINK(AC2 &amp; "/knife/sn_ebfb56c4968055e794581d435607029/rendering/17.xyz", "0.0")</f>
        <v>0.0</v>
      </c>
      <c r="U1536" s="13" t="str">
        <f>HYPERLINK(AC2 &amp; "/knife/sn_ebfb56c4968055e794581d435607029/rendering/18.xyz", "0.0")</f>
        <v>0.0</v>
      </c>
      <c r="V1536" s="13" t="str">
        <f>HYPERLINK(AC2 &amp; "/knife/sn_ebfb56c4968055e794581d435607029/rendering/19.xyz", "0.0")</f>
        <v>0.0</v>
      </c>
      <c r="W1536" s="12" t="s">
        <v>33</v>
      </c>
      <c r="X1536" s="13">
        <v>0</v>
      </c>
      <c r="Y1536" s="13">
        <v>0</v>
      </c>
      <c r="Z1536" s="13">
        <v>0</v>
      </c>
    </row>
    <row r="1537" spans="1:26" x14ac:dyDescent="0.2">
      <c r="A1537" s="1">
        <v>1535</v>
      </c>
      <c r="B1537" s="2" t="s">
        <v>340</v>
      </c>
      <c r="C1537" s="81" t="str">
        <f>HYPERLINK(AA2 &amp; "/knife/sn_ec1eb959cc203f1de5a365227cfe63ec/rendering/00.obj", "5.77018493652")</f>
        <v>5.77018493652</v>
      </c>
      <c r="D1537" s="55" t="str">
        <f>HYPERLINK(AA2 &amp; "/knife/sn_ec1eb959cc203f1de5a365227cfe63ec/rendering/01.obj", "3.81782165527")</f>
        <v>3.81782165527</v>
      </c>
      <c r="E1537" s="119" t="str">
        <f>HYPERLINK(AA2 &amp; "/knife/sn_ec1eb959cc203f1de5a365227cfe63ec/rendering/02.obj", "3.48508361816")</f>
        <v>3.48508361816</v>
      </c>
      <c r="F1537" s="75" t="str">
        <f>HYPERLINK(AA2 &amp; "/knife/sn_ec1eb959cc203f1de5a365227cfe63ec/rendering/03.obj", "3.68799682617")</f>
        <v>3.68799682617</v>
      </c>
      <c r="G1537" s="20" t="str">
        <f>HYPERLINK(AA2 &amp; "/knife/sn_ec1eb959cc203f1de5a365227cfe63ec/rendering/04.obj", "9.9294744873")</f>
        <v>9.9294744873</v>
      </c>
      <c r="H1537" s="59" t="str">
        <f>HYPERLINK(AA2 &amp; "/knife/sn_ec1eb959cc203f1de5a365227cfe63ec/rendering/05.obj", "3.5960546875")</f>
        <v>3.5960546875</v>
      </c>
      <c r="I1537" s="31" t="str">
        <f>HYPERLINK(AA2 &amp; "/knife/sn_ec1eb959cc203f1de5a365227cfe63ec/rendering/06.obj", "3.99391418457")</f>
        <v>3.99391418457</v>
      </c>
      <c r="J1537" s="20" t="str">
        <f>HYPERLINK(AA2 &amp; "/knife/sn_ec1eb959cc203f1de5a365227cfe63ec/rendering/07.obj", "14.7719384766")</f>
        <v>14.7719384766</v>
      </c>
      <c r="K1537" s="14" t="str">
        <f>HYPERLINK(AA2 &amp; "/knife/sn_ec1eb959cc203f1de5a365227cfe63ec/rendering/08.obj", "3.35866821289")</f>
        <v>3.35866821289</v>
      </c>
      <c r="L1537" s="117" t="str">
        <f>HYPERLINK(AA2 &amp; "/knife/sn_ec1eb959cc203f1de5a365227cfe63ec/rendering/09.obj", "5.57889160156")</f>
        <v>5.57889160156</v>
      </c>
      <c r="M1537" s="19" t="str">
        <f>HYPERLINK(AA2 &amp; "/knife/sn_ec1eb959cc203f1de5a365227cfe63ec/rendering/10.obj", "3.50178649902")</f>
        <v>3.50178649902</v>
      </c>
      <c r="N1537" s="43" t="str">
        <f>HYPERLINK(AA2 &amp; "/knife/sn_ec1eb959cc203f1de5a365227cfe63ec/rendering/11.obj", "2.96025634766")</f>
        <v>2.96025634766</v>
      </c>
      <c r="O1537" s="37" t="str">
        <f>HYPERLINK(AA2 &amp; "/knife/sn_ec1eb959cc203f1de5a365227cfe63ec/rendering/12.obj", "3.91376739502")</f>
        <v>3.91376739502</v>
      </c>
      <c r="P1537" s="198" t="str">
        <f>HYPERLINK(AA2 &amp; "/knife/sn_ec1eb959cc203f1de5a365227cfe63ec/rendering/13.obj", "2.89972290039")</f>
        <v>2.89972290039</v>
      </c>
      <c r="Q1537" s="23" t="str">
        <f>HYPERLINK(AA2 &amp; "/knife/sn_ec1eb959cc203f1de5a365227cfe63ec/rendering/14.obj", "4.9254800415")</f>
        <v>4.9254800415</v>
      </c>
      <c r="R1537" s="149" t="str">
        <f>HYPERLINK(AA2 &amp; "/knife/sn_ec1eb959cc203f1de5a365227cfe63ec/rendering/15.obj", "3.10346435547")</f>
        <v>3.10346435547</v>
      </c>
      <c r="S1537" s="129" t="str">
        <f>HYPERLINK(AA2 &amp; "/knife/sn_ec1eb959cc203f1de5a365227cfe63ec/rendering/16.obj", "5.92030700684")</f>
        <v>5.92030700684</v>
      </c>
      <c r="T1537" s="153" t="str">
        <f>HYPERLINK(AA2 &amp; "/knife/sn_ec1eb959cc203f1de5a365227cfe63ec/rendering/17.obj", "3.0537890625")</f>
        <v>3.0537890625</v>
      </c>
      <c r="U1537" s="108" t="str">
        <f>HYPERLINK(AA2 &amp; "/knife/sn_ec1eb959cc203f1de5a365227cfe63ec/rendering/18.obj", "3.57487731934")</f>
        <v>3.57487731934</v>
      </c>
      <c r="V1537" s="196" t="str">
        <f>HYPERLINK(AA2 &amp; "/knife/sn_ec1eb959cc203f1de5a365227cfe63ec/rendering/19.obj", "2.85393341064")</f>
        <v>2.85393341064</v>
      </c>
      <c r="W1537" s="12" t="s">
        <v>29</v>
      </c>
      <c r="X1537" s="13">
        <v>4.7348706512451173</v>
      </c>
      <c r="Y1537" s="13">
        <v>2.8042287898993679</v>
      </c>
      <c r="Z1537" s="206">
        <v>0.59225034778129504</v>
      </c>
    </row>
    <row r="1538" spans="1:26" x14ac:dyDescent="0.2">
      <c r="A1538" s="1">
        <v>1536</v>
      </c>
      <c r="B1538" s="2" t="s">
        <v>340</v>
      </c>
      <c r="C1538" s="25" t="str">
        <f>HYPERLINK(AA2 &amp; "/knife/sn_ec1eb959cc203f1de5a365227cfe63ec/rendering/00.obj", "3.97523188591")</f>
        <v>3.97523188591</v>
      </c>
      <c r="D1538" s="174" t="str">
        <f>HYPERLINK(AA2 &amp; "/knife/sn_ec1eb959cc203f1de5a365227cfe63ec/rendering/01.obj", "1.8598446846")</f>
        <v>1.8598446846</v>
      </c>
      <c r="E1538" s="189" t="str">
        <f>HYPERLINK(AA2 &amp; "/knife/sn_ec1eb959cc203f1de5a365227cfe63ec/rendering/02.obj", "1.46868515015")</f>
        <v>1.46868515015</v>
      </c>
      <c r="F1538" s="229" t="str">
        <f>HYPERLINK(AA2 &amp; "/knife/sn_ec1eb959cc203f1de5a365227cfe63ec/rendering/03.obj", "1.24929440022")</f>
        <v>1.24929440022</v>
      </c>
      <c r="G1538" s="20" t="str">
        <f>HYPERLINK(AA2 &amp; "/knife/sn_ec1eb959cc203f1de5a365227cfe63ec/rendering/04.obj", "9.65693283081")</f>
        <v>9.65693283081</v>
      </c>
      <c r="H1538" s="256" t="str">
        <f>HYPERLINK(AA2 &amp; "/knife/sn_ec1eb959cc203f1de5a365227cfe63ec/rendering/05.obj", "1.49094009399")</f>
        <v>1.49094009399</v>
      </c>
      <c r="I1538" s="149" t="str">
        <f>HYPERLINK(AA2 &amp; "/knife/sn_ec1eb959cc203f1de5a365227cfe63ec/rendering/06.obj", "2.57518291473")</f>
        <v>2.57518291473</v>
      </c>
      <c r="J1538" s="20" t="str">
        <f>HYPERLINK(AA2 &amp; "/knife/sn_ec1eb959cc203f1de5a365227cfe63ec/rendering/07.obj", "31.6649131775")</f>
        <v>31.6649131775</v>
      </c>
      <c r="K1538" s="216" t="str">
        <f>HYPERLINK(AA2 &amp; "/knife/sn_ec1eb959cc203f1de5a365227cfe63ec/rendering/08.obj", "1.37351405621")</f>
        <v>1.37351405621</v>
      </c>
      <c r="L1538" s="59" t="str">
        <f>HYPERLINK(AA2 &amp; "/knife/sn_ec1eb959cc203f1de5a365227cfe63ec/rendering/09.obj", "4.87218523026")</f>
        <v>4.87218523026</v>
      </c>
      <c r="M1538" s="248" t="str">
        <f>HYPERLINK(AA2 &amp; "/knife/sn_ec1eb959cc203f1de5a365227cfe63ec/rendering/10.obj", "1.33892989159")</f>
        <v>1.33892989159</v>
      </c>
      <c r="N1538" s="62" t="str">
        <f>HYPERLINK(AA2 &amp; "/knife/sn_ec1eb959cc203f1de5a365227cfe63ec/rendering/11.obj", "1.57619345188")</f>
        <v>1.57619345188</v>
      </c>
      <c r="O1538" s="161" t="str">
        <f>HYPERLINK(AA2 &amp; "/knife/sn_ec1eb959cc203f1de5a365227cfe63ec/rendering/12.obj", "1.62866842747")</f>
        <v>1.62866842747</v>
      </c>
      <c r="P1538" s="216" t="str">
        <f>HYPERLINK(AA2 &amp; "/knife/sn_ec1eb959cc203f1de5a365227cfe63ec/rendering/13.obj", "1.37091386318")</f>
        <v>1.37091386318</v>
      </c>
      <c r="Q1538" s="86" t="str">
        <f>HYPERLINK(AA2 &amp; "/knife/sn_ec1eb959cc203f1de5a365227cfe63ec/rendering/14.obj", "2.87215662003")</f>
        <v>2.87215662003</v>
      </c>
      <c r="R1538" s="173" t="str">
        <f>HYPERLINK(AA2 &amp; "/knife/sn_ec1eb959cc203f1de5a365227cfe63ec/rendering/15.obj", "1.22581207752")</f>
        <v>1.22581207752</v>
      </c>
      <c r="S1538" s="14" t="str">
        <f>HYPERLINK(AA2 &amp; "/knife/sn_ec1eb959cc203f1de5a365227cfe63ec/rendering/16.obj", "5.07320404053")</f>
        <v>5.07320404053</v>
      </c>
      <c r="T1538" s="255" t="str">
        <f>HYPERLINK(AA2 &amp; "/knife/sn_ec1eb959cc203f1de5a365227cfe63ec/rendering/17.obj", "1.08740830421")</f>
        <v>1.08740830421</v>
      </c>
      <c r="U1538" s="250" t="str">
        <f>HYPERLINK(AA2 &amp; "/knife/sn_ec1eb959cc203f1de5a365227cfe63ec/rendering/18.obj", "1.23395192623")</f>
        <v>1.23395192623</v>
      </c>
      <c r="V1538" s="222" t="str">
        <f>HYPERLINK(AA2 &amp; "/knife/sn_ec1eb959cc203f1de5a365227cfe63ec/rendering/19.obj", "0.987467050552")</f>
        <v>0.987467050552</v>
      </c>
      <c r="W1538" s="12" t="s">
        <v>30</v>
      </c>
      <c r="X1538" s="13">
        <v>3.92907150387764</v>
      </c>
      <c r="Y1538" s="13">
        <v>6.6805989677115329</v>
      </c>
      <c r="Z1538" s="20">
        <v>1.700299666503494</v>
      </c>
    </row>
    <row r="1539" spans="1:26" x14ac:dyDescent="0.2">
      <c r="A1539" s="1">
        <v>1537</v>
      </c>
      <c r="B1539" s="2" t="s">
        <v>340</v>
      </c>
      <c r="C1539" s="74" t="str">
        <f>HYPERLINK(AB2 &amp; "/knife/sn_ec1eb959cc203f1de5a365227cfe63ec/rendering/00.obj", "3.26955993652")</f>
        <v>3.26955993652</v>
      </c>
      <c r="D1539" s="5" t="str">
        <f>HYPERLINK(AB2 &amp; "/knife/sn_ec1eb959cc203f1de5a365227cfe63ec/rendering/01.obj", "3.56703643799")</f>
        <v>3.56703643799</v>
      </c>
      <c r="E1539" s="136" t="str">
        <f>HYPERLINK(AB2 &amp; "/knife/sn_ec1eb959cc203f1de5a365227cfe63ec/rendering/02.obj", "2.52964599609")</f>
        <v>2.52964599609</v>
      </c>
      <c r="F1539" s="23" t="str">
        <f>HYPERLINK(AB2 &amp; "/knife/sn_ec1eb959cc203f1de5a365227cfe63ec/rendering/03.obj", "3.44731567383")</f>
        <v>3.44731567383</v>
      </c>
      <c r="G1539" s="78" t="str">
        <f>HYPERLINK(AB2 &amp; "/knife/sn_ec1eb959cc203f1de5a365227cfe63ec/rendering/04.obj", "3.52073181152")</f>
        <v>3.52073181152</v>
      </c>
      <c r="H1539" s="13" t="str">
        <f>HYPERLINK(AB2 &amp; "/knife/sn_ec1eb959cc203f1de5a365227cfe63ec/rendering/05.obj", "3.32268676758")</f>
        <v>3.32268676758</v>
      </c>
      <c r="I1539" s="17" t="str">
        <f>HYPERLINK(AB2 &amp; "/knife/sn_ec1eb959cc203f1de5a365227cfe63ec/rendering/06.obj", "3.38736450195")</f>
        <v>3.38736450195</v>
      </c>
      <c r="J1539" s="26" t="str">
        <f>HYPERLINK(AB2 &amp; "/knife/sn_ec1eb959cc203f1de5a365227cfe63ec/rendering/07.obj", "3.10007598877")</f>
        <v>3.10007598877</v>
      </c>
      <c r="K1539" s="78" t="str">
        <f>HYPERLINK(AB2 &amp; "/knife/sn_ec1eb959cc203f1de5a365227cfe63ec/rendering/08.obj", "3.51839874268")</f>
        <v>3.51839874268</v>
      </c>
      <c r="L1539" s="39" t="str">
        <f>HYPERLINK(AB2 &amp; "/knife/sn_ec1eb959cc203f1de5a365227cfe63ec/rendering/09.obj", "3.02769714355")</f>
        <v>3.02769714355</v>
      </c>
      <c r="M1539" s="67" t="str">
        <f>HYPERLINK(AB2 &amp; "/knife/sn_ec1eb959cc203f1de5a365227cfe63ec/rendering/10.obj", "3.62857696533")</f>
        <v>3.62857696533</v>
      </c>
      <c r="N1539" s="136" t="str">
        <f>HYPERLINK(AB2 &amp; "/knife/sn_ec1eb959cc203f1de5a365227cfe63ec/rendering/11.obj", "2.53059661865")</f>
        <v>2.53059661865</v>
      </c>
      <c r="O1539" s="68" t="str">
        <f>HYPERLINK(AB2 &amp; "/knife/sn_ec1eb959cc203f1de5a365227cfe63ec/rendering/12.obj", "3.18040130615")</f>
        <v>3.18040130615</v>
      </c>
      <c r="P1539" s="70" t="str">
        <f>HYPERLINK(AB2 &amp; "/knife/sn_ec1eb959cc203f1de5a365227cfe63ec/rendering/13.obj", "2.89553894043")</f>
        <v>2.89553894043</v>
      </c>
      <c r="Q1539" s="46" t="str">
        <f>HYPERLINK(AB2 &amp; "/knife/sn_ec1eb959cc203f1de5a365227cfe63ec/rendering/14.obj", "3.36965881348")</f>
        <v>3.36965881348</v>
      </c>
      <c r="R1539" s="92" t="str">
        <f>HYPERLINK(AB2 &amp; "/knife/sn_ec1eb959cc203f1de5a365227cfe63ec/rendering/15.obj", "2.90368408203")</f>
        <v>2.90368408203</v>
      </c>
      <c r="S1539" s="103" t="str">
        <f>HYPERLINK(AB2 &amp; "/knife/sn_ec1eb959cc203f1de5a365227cfe63ec/rendering/16.obj", "4.39005767822")</f>
        <v>4.39005767822</v>
      </c>
      <c r="T1539" s="94" t="str">
        <f>HYPERLINK(AB2 &amp; "/knife/sn_ec1eb959cc203f1de5a365227cfe63ec/rendering/17.obj", "3.07311645508")</f>
        <v>3.07311645508</v>
      </c>
      <c r="U1539" s="25" t="str">
        <f>HYPERLINK(AB2 &amp; "/knife/sn_ec1eb959cc203f1de5a365227cfe63ec/rendering/18.obj", "3.35471557617")</f>
        <v>3.35471557617</v>
      </c>
      <c r="V1539" s="61" t="str">
        <f>HYPERLINK(AB2 &amp; "/knife/sn_ec1eb959cc203f1de5a365227cfe63ec/rendering/19.obj", "4.31852630615")</f>
        <v>4.31852630615</v>
      </c>
      <c r="W1539" s="12" t="s">
        <v>31</v>
      </c>
      <c r="X1539" s="13">
        <v>3.3167692871093748</v>
      </c>
      <c r="Y1539" s="13">
        <v>0.45936322638510452</v>
      </c>
      <c r="Z1539" s="93">
        <v>0.1384971900730087</v>
      </c>
    </row>
    <row r="1540" spans="1:26" x14ac:dyDescent="0.2">
      <c r="A1540" s="1">
        <v>1538</v>
      </c>
      <c r="B1540" s="2" t="s">
        <v>340</v>
      </c>
      <c r="C1540" s="30" t="str">
        <f>HYPERLINK(AB2 &amp; "/knife/sn_ec1eb959cc203f1de5a365227cfe63ec/rendering/00.obj", "1.10103714466")</f>
        <v>1.10103714466</v>
      </c>
      <c r="D1540" s="67" t="str">
        <f>HYPERLINK(AB2 &amp; "/knife/sn_ec1eb959cc203f1de5a365227cfe63ec/rendering/01.obj", "1.20874488354")</f>
        <v>1.20874488354</v>
      </c>
      <c r="E1540" s="129" t="str">
        <f>HYPERLINK(AB2 &amp; "/knife/sn_ec1eb959cc203f1de5a365227cfe63ec/rendering/02.obj", "0.832015991211")</f>
        <v>0.832015991211</v>
      </c>
      <c r="F1540" s="68" t="str">
        <f>HYPERLINK(AB2 &amp; "/knife/sn_ec1eb959cc203f1de5a365227cfe63ec/rendering/03.obj", "1.15420353413")</f>
        <v>1.15420353413</v>
      </c>
      <c r="G1540" s="106" t="str">
        <f>HYPERLINK(AB2 &amp; "/knife/sn_ec1eb959cc203f1de5a365227cfe63ec/rendering/04.obj", "0.979204177856")</f>
        <v>0.979204177856</v>
      </c>
      <c r="H1540" s="50" t="str">
        <f>HYPERLINK(AB2 &amp; "/knife/sn_ec1eb959cc203f1de5a365227cfe63ec/rendering/05.obj", "0.884977757931")</f>
        <v>0.884977757931</v>
      </c>
      <c r="I1540" s="77" t="str">
        <f>HYPERLINK(AB2 &amp; "/knife/sn_ec1eb959cc203f1de5a365227cfe63ec/rendering/06.obj", "0.900802075863")</f>
        <v>0.900802075863</v>
      </c>
      <c r="J1540" s="97" t="str">
        <f>HYPERLINK(AB2 &amp; "/knife/sn_ec1eb959cc203f1de5a365227cfe63ec/rendering/07.obj", "1.58974421024")</f>
        <v>1.58974421024</v>
      </c>
      <c r="K1540" s="30" t="str">
        <f>HYPERLINK(AB2 &amp; "/knife/sn_ec1eb959cc203f1de5a365227cfe63ec/rendering/08.obj", "1.11188066006")</f>
        <v>1.11188066006</v>
      </c>
      <c r="L1540" s="120" t="str">
        <f>HYPERLINK(AB2 &amp; "/knife/sn_ec1eb959cc203f1de5a365227cfe63ec/rendering/09.obj", "0.872676730156")</f>
        <v>0.872676730156</v>
      </c>
      <c r="M1540" s="26" t="str">
        <f>HYPERLINK(AB2 &amp; "/knife/sn_ec1eb959cc203f1de5a365227cfe63ec/rendering/10.obj", "1.03558146954")</f>
        <v>1.03558146954</v>
      </c>
      <c r="N1540" s="110" t="str">
        <f>HYPERLINK(AB2 &amp; "/knife/sn_ec1eb959cc203f1de5a365227cfe63ec/rendering/11.obj", "0.997156560421")</f>
        <v>0.997156560421</v>
      </c>
      <c r="O1540" s="117" t="str">
        <f>HYPERLINK(AB2 &amp; "/knife/sn_ec1eb959cc203f1de5a365227cfe63ec/rendering/12.obj", "0.91008490324")</f>
        <v>0.91008490324</v>
      </c>
      <c r="P1540" s="134" t="str">
        <f>HYPERLINK(AB2 &amp; "/knife/sn_ec1eb959cc203f1de5a365227cfe63ec/rendering/13.obj", "0.905989348888")</f>
        <v>0.905989348888</v>
      </c>
      <c r="Q1540" s="42" t="str">
        <f>HYPERLINK(AB2 &amp; "/knife/sn_ec1eb959cc203f1de5a365227cfe63ec/rendering/14.obj", "0.955543875694")</f>
        <v>0.955543875694</v>
      </c>
      <c r="R1540" s="85" t="str">
        <f>HYPERLINK(AB2 &amp; "/knife/sn_ec1eb959cc203f1de5a365227cfe63ec/rendering/15.obj", "0.77951747179")</f>
        <v>0.77951747179</v>
      </c>
      <c r="S1540" s="20" t="str">
        <f>HYPERLINK(AB2 &amp; "/knife/sn_ec1eb959cc203f1de5a365227cfe63ec/rendering/16.obj", "2.28370690346")</f>
        <v>2.28370690346</v>
      </c>
      <c r="T1540" s="86" t="str">
        <f>HYPERLINK(AB2 &amp; "/knife/sn_ec1eb959cc203f1de5a365227cfe63ec/rendering/17.obj", "0.811798393726")</f>
        <v>0.811798393726</v>
      </c>
      <c r="U1540" s="65" t="str">
        <f>HYPERLINK(AB2 &amp; "/knife/sn_ec1eb959cc203f1de5a365227cfe63ec/rendering/18.obj", "1.25318861008")</f>
        <v>1.25318861008</v>
      </c>
      <c r="V1540" s="162" t="str">
        <f>HYPERLINK(AB2 &amp; "/knife/sn_ec1eb959cc203f1de5a365227cfe63ec/rendering/19.obj", "1.57653510571")</f>
        <v>1.57653510571</v>
      </c>
      <c r="W1540" s="12" t="s">
        <v>32</v>
      </c>
      <c r="X1540" s="13">
        <v>1.107219490408897</v>
      </c>
      <c r="Y1540" s="13">
        <v>0.34817349492403871</v>
      </c>
      <c r="Z1540" s="57">
        <v>0.31445751988655629</v>
      </c>
    </row>
    <row r="1541" spans="1:26" x14ac:dyDescent="0.2">
      <c r="A1541" s="1">
        <v>1539</v>
      </c>
      <c r="B1541" s="2" t="s">
        <v>340</v>
      </c>
      <c r="C1541" s="13" t="str">
        <f>HYPERLINK(AC2 &amp; "/knife/sn_ec1eb959cc203f1de5a365227cfe63ec/rendering/00.xyz", "0.0")</f>
        <v>0.0</v>
      </c>
      <c r="D1541" s="13" t="str">
        <f>HYPERLINK(AC2 &amp; "/knife/sn_ec1eb959cc203f1de5a365227cfe63ec/rendering/01.xyz", "0.0")</f>
        <v>0.0</v>
      </c>
      <c r="E1541" s="13" t="str">
        <f>HYPERLINK(AC2 &amp; "/knife/sn_ec1eb959cc203f1de5a365227cfe63ec/rendering/02.xyz", "0.0")</f>
        <v>0.0</v>
      </c>
      <c r="F1541" s="13" t="str">
        <f>HYPERLINK(AC2 &amp; "/knife/sn_ec1eb959cc203f1de5a365227cfe63ec/rendering/03.xyz", "0.0")</f>
        <v>0.0</v>
      </c>
      <c r="G1541" s="13" t="str">
        <f>HYPERLINK(AC2 &amp; "/knife/sn_ec1eb959cc203f1de5a365227cfe63ec/rendering/04.xyz", "0.0")</f>
        <v>0.0</v>
      </c>
      <c r="H1541" s="13" t="str">
        <f>HYPERLINK(AC2 &amp; "/knife/sn_ec1eb959cc203f1de5a365227cfe63ec/rendering/05.xyz", "0.0")</f>
        <v>0.0</v>
      </c>
      <c r="I1541" s="13" t="str">
        <f>HYPERLINK(AC2 &amp; "/knife/sn_ec1eb959cc203f1de5a365227cfe63ec/rendering/06.xyz", "0.0")</f>
        <v>0.0</v>
      </c>
      <c r="J1541" s="13" t="str">
        <f>HYPERLINK(AC2 &amp; "/knife/sn_ec1eb959cc203f1de5a365227cfe63ec/rendering/07.xyz", "0.0")</f>
        <v>0.0</v>
      </c>
      <c r="K1541" s="13" t="str">
        <f>HYPERLINK(AC2 &amp; "/knife/sn_ec1eb959cc203f1de5a365227cfe63ec/rendering/08.xyz", "0.0")</f>
        <v>0.0</v>
      </c>
      <c r="L1541" s="13" t="str">
        <f>HYPERLINK(AC2 &amp; "/knife/sn_ec1eb959cc203f1de5a365227cfe63ec/rendering/09.xyz", "0.0")</f>
        <v>0.0</v>
      </c>
      <c r="M1541" s="13" t="str">
        <f>HYPERLINK(AC2 &amp; "/knife/sn_ec1eb959cc203f1de5a365227cfe63ec/rendering/10.xyz", "0.0")</f>
        <v>0.0</v>
      </c>
      <c r="N1541" s="13" t="str">
        <f>HYPERLINK(AC2 &amp; "/knife/sn_ec1eb959cc203f1de5a365227cfe63ec/rendering/11.xyz", "0.0")</f>
        <v>0.0</v>
      </c>
      <c r="O1541" s="13" t="str">
        <f>HYPERLINK(AC2 &amp; "/knife/sn_ec1eb959cc203f1de5a365227cfe63ec/rendering/12.xyz", "0.0")</f>
        <v>0.0</v>
      </c>
      <c r="P1541" s="13" t="str">
        <f>HYPERLINK(AC2 &amp; "/knife/sn_ec1eb959cc203f1de5a365227cfe63ec/rendering/13.xyz", "0.0")</f>
        <v>0.0</v>
      </c>
      <c r="Q1541" s="13" t="str">
        <f>HYPERLINK(AC2 &amp; "/knife/sn_ec1eb959cc203f1de5a365227cfe63ec/rendering/14.xyz", "0.0")</f>
        <v>0.0</v>
      </c>
      <c r="R1541" s="13" t="str">
        <f>HYPERLINK(AC2 &amp; "/knife/sn_ec1eb959cc203f1de5a365227cfe63ec/rendering/15.xyz", "0.0")</f>
        <v>0.0</v>
      </c>
      <c r="S1541" s="13" t="str">
        <f>HYPERLINK(AC2 &amp; "/knife/sn_ec1eb959cc203f1de5a365227cfe63ec/rendering/16.xyz", "0.0")</f>
        <v>0.0</v>
      </c>
      <c r="T1541" s="13" t="str">
        <f>HYPERLINK(AC2 &amp; "/knife/sn_ec1eb959cc203f1de5a365227cfe63ec/rendering/17.xyz", "0.0")</f>
        <v>0.0</v>
      </c>
      <c r="U1541" s="13" t="str">
        <f>HYPERLINK(AC2 &amp; "/knife/sn_ec1eb959cc203f1de5a365227cfe63ec/rendering/18.xyz", "0.0")</f>
        <v>0.0</v>
      </c>
      <c r="V1541" s="13" t="str">
        <f>HYPERLINK(AC2 &amp; "/knife/sn_ec1eb959cc203f1de5a365227cfe63ec/rendering/19.xyz", "0.0")</f>
        <v>0.0</v>
      </c>
      <c r="W1541" s="12" t="s">
        <v>33</v>
      </c>
      <c r="X1541" s="13">
        <v>0</v>
      </c>
      <c r="Y1541" s="13">
        <v>0</v>
      </c>
      <c r="Z1541" s="13">
        <v>0</v>
      </c>
    </row>
    <row r="1542" spans="1:26" x14ac:dyDescent="0.2">
      <c r="A1542" s="1">
        <v>1540</v>
      </c>
      <c r="B1542" s="2" t="s">
        <v>341</v>
      </c>
      <c r="C1542" s="81" t="str">
        <f>HYPERLINK(AA2 &amp; "/knife/sn_ed70e936f64eb1787172b275484cdf6/rendering/00.obj", "2.73865966797")</f>
        <v>2.73865966797</v>
      </c>
      <c r="D1542" s="175" t="str">
        <f>HYPERLINK(AA2 &amp; "/knife/sn_ed70e936f64eb1787172b275484cdf6/rendering/01.obj", "2.68111053467")</f>
        <v>2.68111053467</v>
      </c>
      <c r="E1542" s="187" t="str">
        <f>HYPERLINK(AA2 &amp; "/knife/sn_ed70e936f64eb1787172b275484cdf6/rendering/02.obj", "2.26941497803")</f>
        <v>2.26941497803</v>
      </c>
      <c r="F1542" s="134" t="str">
        <f>HYPERLINK(AA2 &amp; "/knife/sn_ed70e936f64eb1787172b275484cdf6/rendering/03.obj", "2.86719268799")</f>
        <v>2.86719268799</v>
      </c>
      <c r="G1542" s="84" t="str">
        <f>HYPERLINK(AA2 &amp; "/knife/sn_ed70e936f64eb1787172b275484cdf6/rendering/04.obj", "2.98085662842")</f>
        <v>2.98085662842</v>
      </c>
      <c r="H1542" s="98" t="str">
        <f>HYPERLINK(AA2 &amp; "/knife/sn_ed70e936f64eb1787172b275484cdf6/rendering/05.obj", "2.68632446289")</f>
        <v>2.68632446289</v>
      </c>
      <c r="I1542" s="64" t="str">
        <f>HYPERLINK(AA2 &amp; "/knife/sn_ed70e936f64eb1787172b275484cdf6/rendering/06.obj", "2.9213848877")</f>
        <v>2.9213848877</v>
      </c>
      <c r="J1542" s="32" t="str">
        <f>HYPERLINK(AA2 &amp; "/knife/sn_ed70e936f64eb1787172b275484cdf6/rendering/07.obj", "3.86192749023")</f>
        <v>3.86192749023</v>
      </c>
      <c r="K1542" s="50" t="str">
        <f>HYPERLINK(AA2 &amp; "/knife/sn_ed70e936f64eb1787172b275484cdf6/rendering/08.obj", "4.19342163086")</f>
        <v>4.19342163086</v>
      </c>
      <c r="L1542" s="64" t="str">
        <f>HYPERLINK(AA2 &amp; "/knife/sn_ed70e936f64eb1787172b275484cdf6/rendering/09.obj", "2.91565246582")</f>
        <v>2.91565246582</v>
      </c>
      <c r="M1542" s="44" t="str">
        <f>HYPERLINK(AA2 &amp; "/knife/sn_ed70e936f64eb1787172b275484cdf6/rendering/10.obj", "2.81030090332")</f>
        <v>2.81030090332</v>
      </c>
      <c r="N1542" s="42" t="str">
        <f>HYPERLINK(AA2 &amp; "/knife/sn_ed70e936f64eb1787172b275484cdf6/rendering/11.obj", "3.01484436035")</f>
        <v>3.01484436035</v>
      </c>
      <c r="O1542" s="57" t="str">
        <f>HYPERLINK(AA2 &amp; "/knife/sn_ed70e936f64eb1787172b275484cdf6/rendering/12.obj", "4.59663757324")</f>
        <v>4.59663757324</v>
      </c>
      <c r="P1542" s="166" t="str">
        <f>HYPERLINK(AA2 &amp; "/knife/sn_ed70e936f64eb1787172b275484cdf6/rendering/13.obj", "4.49972595215")</f>
        <v>4.49972595215</v>
      </c>
      <c r="Q1542" s="239" t="str">
        <f>HYPERLINK(AA2 &amp; "/knife/sn_ed70e936f64eb1787172b275484cdf6/rendering/14.obj", "5.61851806641")</f>
        <v>5.61851806641</v>
      </c>
      <c r="R1542" s="87" t="str">
        <f>HYPERLINK(AA2 &amp; "/knife/sn_ed70e936f64eb1787172b275484cdf6/rendering/15.obj", "2.69959594727")</f>
        <v>2.69959594727</v>
      </c>
      <c r="S1542" s="37" t="str">
        <f>HYPERLINK(AA2 &amp; "/knife/sn_ed70e936f64eb1787172b275484cdf6/rendering/16.obj", "2.89057922363")</f>
        <v>2.89057922363</v>
      </c>
      <c r="T1542" s="66" t="str">
        <f>HYPERLINK(AA2 &amp; "/knife/sn_ed70e936f64eb1787172b275484cdf6/rendering/17.obj", "2.92635131836")</f>
        <v>2.92635131836</v>
      </c>
      <c r="U1542" s="120" t="str">
        <f>HYPERLINK(AA2 &amp; "/knife/sn_ed70e936f64eb1787172b275484cdf6/rendering/18.obj", "4.239034729")</f>
        <v>4.239034729</v>
      </c>
      <c r="V1542" s="20" t="str">
        <f>HYPERLINK(AA2 &amp; "/knife/sn_ed70e936f64eb1787172b275484cdf6/rendering/19.obj", "6.50263549805")</f>
        <v>6.50263549805</v>
      </c>
      <c r="W1542" s="12" t="s">
        <v>29</v>
      </c>
      <c r="X1542" s="13">
        <v>3.495708450317383</v>
      </c>
      <c r="Y1542" s="13">
        <v>1.088316281305121</v>
      </c>
      <c r="Z1542" s="169">
        <v>0.31132924749668711</v>
      </c>
    </row>
    <row r="1543" spans="1:26" x14ac:dyDescent="0.2">
      <c r="A1543" s="1">
        <v>1541</v>
      </c>
      <c r="B1543" s="2" t="s">
        <v>341</v>
      </c>
      <c r="C1543" s="132" t="str">
        <f>HYPERLINK(AA2 &amp; "/knife/sn_ed70e936f64eb1787172b275484cdf6/rendering/00.obj", "1.29711222649")</f>
        <v>1.29711222649</v>
      </c>
      <c r="D1543" s="191" t="str">
        <f>HYPERLINK(AA2 &amp; "/knife/sn_ed70e936f64eb1787172b275484cdf6/rendering/01.obj", "1.21959495544")</f>
        <v>1.21959495544</v>
      </c>
      <c r="E1543" s="240" t="str">
        <f>HYPERLINK(AA2 &amp; "/knife/sn_ed70e936f64eb1787172b275484cdf6/rendering/02.obj", "0.770652711391")</f>
        <v>0.770652711391</v>
      </c>
      <c r="F1543" s="217" t="str">
        <f>HYPERLINK(AA2 &amp; "/knife/sn_ed70e936f64eb1787172b275484cdf6/rendering/03.obj", "0.820750772953")</f>
        <v>0.820750772953</v>
      </c>
      <c r="G1543" s="160" t="str">
        <f>HYPERLINK(AA2 &amp; "/knife/sn_ed70e936f64eb1787172b275484cdf6/rendering/04.obj", "1.05161213875")</f>
        <v>1.05161213875</v>
      </c>
      <c r="H1543" s="189" t="str">
        <f>HYPERLINK(AA2 &amp; "/knife/sn_ed70e936f64eb1787172b275484cdf6/rendering/05.obj", "0.831957876682")</f>
        <v>0.831957876682</v>
      </c>
      <c r="I1543" s="87" t="str">
        <f>HYPERLINK(AA2 &amp; "/knife/sn_ed70e936f64eb1787172b275484cdf6/rendering/06.obj", "1.72087788582")</f>
        <v>1.72087788582</v>
      </c>
      <c r="J1543" s="88" t="str">
        <f>HYPERLINK(AA2 &amp; "/knife/sn_ed70e936f64eb1787172b275484cdf6/rendering/07.obj", "1.78000879288")</f>
        <v>1.78000879288</v>
      </c>
      <c r="K1543" s="51" t="str">
        <f>HYPERLINK(AA2 &amp; "/knife/sn_ed70e936f64eb1787172b275484cdf6/rendering/08.obj", "2.40683197975")</f>
        <v>2.40683197975</v>
      </c>
      <c r="L1543" s="16" t="str">
        <f>HYPERLINK(AA2 &amp; "/knife/sn_ed70e936f64eb1787172b275484cdf6/rendering/09.obj", "1.01522004604")</f>
        <v>1.01522004604</v>
      </c>
      <c r="M1543" s="150" t="str">
        <f>HYPERLINK(AA2 &amp; "/knife/sn_ed70e936f64eb1787172b275484cdf6/rendering/10.obj", "1.02677965164")</f>
        <v>1.02677965164</v>
      </c>
      <c r="N1543" s="226" t="str">
        <f>HYPERLINK(AA2 &amp; "/knife/sn_ed70e936f64eb1787172b275484cdf6/rendering/11.obj", "0.970191776752")</f>
        <v>0.970191776752</v>
      </c>
      <c r="O1543" s="84" t="str">
        <f>HYPERLINK(AA2 &amp; "/knife/sn_ed70e936f64eb1787172b275484cdf6/rendering/12.obj", "2.55015277863")</f>
        <v>2.55015277863</v>
      </c>
      <c r="P1543" s="116" t="str">
        <f>HYPERLINK(AA2 &amp; "/knife/sn_ed70e936f64eb1787172b275484cdf6/rendering/13.obj", "3.20214962959")</f>
        <v>3.20214962959</v>
      </c>
      <c r="Q1543" s="105" t="str">
        <f>HYPERLINK(AA2 &amp; "/knife/sn_ed70e936f64eb1787172b275484cdf6/rendering/14.obj", "3.36929535866")</f>
        <v>3.36929535866</v>
      </c>
      <c r="R1543" s="121" t="str">
        <f>HYPERLINK(AA2 &amp; "/knife/sn_ed70e936f64eb1787172b275484cdf6/rendering/15.obj", "1.43883407116")</f>
        <v>1.43883407116</v>
      </c>
      <c r="S1543" s="223" t="str">
        <f>HYPERLINK(AA2 &amp; "/knife/sn_ed70e936f64eb1787172b275484cdf6/rendering/16.obj", "0.983534872532")</f>
        <v>0.983534872532</v>
      </c>
      <c r="T1543" s="85" t="str">
        <f>HYPERLINK(AA2 &amp; "/knife/sn_ed70e936f64eb1787172b275484cdf6/rendering/17.obj", "2.88727641106")</f>
        <v>2.88727641106</v>
      </c>
      <c r="U1543" s="184" t="str">
        <f>HYPERLINK(AA2 &amp; "/knife/sn_ed70e936f64eb1787172b275484cdf6/rendering/18.obj", "3.86391162872")</f>
        <v>3.86391162872</v>
      </c>
      <c r="V1543" s="20" t="str">
        <f>HYPERLINK(AA2 &amp; "/knife/sn_ed70e936f64eb1787172b275484cdf6/rendering/19.obj", "11.3507890701")</f>
        <v>11.3507890701</v>
      </c>
      <c r="W1543" s="12" t="s">
        <v>30</v>
      </c>
      <c r="X1543" s="13">
        <v>2.2278767317533492</v>
      </c>
      <c r="Y1543" s="13">
        <v>2.2931318855092289</v>
      </c>
      <c r="Z1543" s="20">
        <v>1.0292902891914151</v>
      </c>
    </row>
    <row r="1544" spans="1:26" x14ac:dyDescent="0.2">
      <c r="A1544" s="1">
        <v>1542</v>
      </c>
      <c r="B1544" s="2" t="s">
        <v>341</v>
      </c>
      <c r="C1544" s="81" t="str">
        <f>HYPERLINK(AB2 &amp; "/knife/sn_ed70e936f64eb1787172b275484cdf6/rendering/00.obj", "3.70329711914")</f>
        <v>3.70329711914</v>
      </c>
      <c r="D1544" s="25" t="str">
        <f>HYPERLINK(AB2 &amp; "/knife/sn_ed70e936f64eb1787172b275484cdf6/rendering/01.obj", "4.68709320068")</f>
        <v>4.68709320068</v>
      </c>
      <c r="E1544" s="69" t="str">
        <f>HYPERLINK(AB2 &amp; "/knife/sn_ed70e936f64eb1787172b275484cdf6/rendering/02.obj", "4.58891662598")</f>
        <v>4.58891662598</v>
      </c>
      <c r="F1544" s="120" t="str">
        <f>HYPERLINK(AB2 &amp; "/knife/sn_ed70e936f64eb1787172b275484cdf6/rendering/03.obj", "5.73906616211")</f>
        <v>5.73906616211</v>
      </c>
      <c r="G1544" s="60" t="str">
        <f>HYPERLINK(AB2 &amp; "/knife/sn_ed70e936f64eb1787172b275484cdf6/rendering/04.obj", "4.48565917969")</f>
        <v>4.48565917969</v>
      </c>
      <c r="H1544" s="27" t="str">
        <f>HYPERLINK(AB2 &amp; "/knife/sn_ed70e936f64eb1787172b275484cdf6/rendering/05.obj", "4.39458557129")</f>
        <v>4.39458557129</v>
      </c>
      <c r="I1544" s="72" t="str">
        <f>HYPERLINK(AB2 &amp; "/knife/sn_ed70e936f64eb1787172b275484cdf6/rendering/06.obj", "4.57459197998")</f>
        <v>4.57459197998</v>
      </c>
      <c r="J1544" s="13" t="str">
        <f>HYPERLINK(AB2 &amp; "/knife/sn_ed70e936f64eb1787172b275484cdf6/rendering/07.obj", "4.72901153564")</f>
        <v>4.72901153564</v>
      </c>
      <c r="K1544" s="67" t="str">
        <f>HYPERLINK(AB2 &amp; "/knife/sn_ed70e936f64eb1787172b275484cdf6/rendering/08.obj", "5.16912109375")</f>
        <v>5.16912109375</v>
      </c>
      <c r="L1544" s="6" t="str">
        <f>HYPERLINK(AB2 &amp; "/knife/sn_ed70e936f64eb1787172b275484cdf6/rendering/09.obj", "4.51875701904")</f>
        <v>4.51875701904</v>
      </c>
      <c r="M1544" s="91" t="str">
        <f>HYPERLINK(AB2 &amp; "/knife/sn_ed70e936f64eb1787172b275484cdf6/rendering/10.obj", "4.85771972656")</f>
        <v>4.85771972656</v>
      </c>
      <c r="N1544" s="74" t="str">
        <f>HYPERLINK(AB2 &amp; "/knife/sn_ed70e936f64eb1787172b275484cdf6/rendering/11.obj", "4.66643463135")</f>
        <v>4.66643463135</v>
      </c>
      <c r="O1544" s="68" t="str">
        <f>HYPERLINK(AB2 &amp; "/knife/sn_ed70e936f64eb1787172b275484cdf6/rendering/12.obj", "4.52889221191")</f>
        <v>4.52889221191</v>
      </c>
      <c r="P1544" s="116" t="str">
        <f>HYPERLINK(AB2 &amp; "/knife/sn_ed70e936f64eb1787172b275484cdf6/rendering/13.obj", "6.80555603027")</f>
        <v>6.80555603027</v>
      </c>
      <c r="Q1544" s="107" t="str">
        <f>HYPERLINK(AB2 &amp; "/knife/sn_ed70e936f64eb1787172b275484cdf6/rendering/14.obj", "4.34534973145")</f>
        <v>4.34534973145</v>
      </c>
      <c r="R1544" s="40" t="str">
        <f>HYPERLINK(AB2 &amp; "/knife/sn_ed70e936f64eb1787172b275484cdf6/rendering/15.obj", "3.91554748535")</f>
        <v>3.91554748535</v>
      </c>
      <c r="S1544" s="48" t="str">
        <f>HYPERLINK(AB2 &amp; "/knife/sn_ed70e936f64eb1787172b275484cdf6/rendering/16.obj", "4.84603118896")</f>
        <v>4.84603118896</v>
      </c>
      <c r="T1544" s="68" t="str">
        <f>HYPERLINK(AB2 &amp; "/knife/sn_ed70e936f64eb1787172b275484cdf6/rendering/17.obj", "4.52585144043")</f>
        <v>4.52585144043</v>
      </c>
      <c r="U1544" s="71" t="str">
        <f>HYPERLINK(AB2 &amp; "/knife/sn_ed70e936f64eb1787172b275484cdf6/rendering/18.obj", "4.18006225586")</f>
        <v>4.18006225586</v>
      </c>
      <c r="V1544" s="42" t="str">
        <f>HYPERLINK(AB2 &amp; "/knife/sn_ed70e936f64eb1787172b275484cdf6/rendering/19.obj", "5.37387634277")</f>
        <v>5.37387634277</v>
      </c>
      <c r="W1544" s="12" t="s">
        <v>31</v>
      </c>
      <c r="X1544" s="13">
        <v>4.7317710266113284</v>
      </c>
      <c r="Y1544" s="13">
        <v>0.65115251175932309</v>
      </c>
      <c r="Z1544" s="42">
        <v>0.13761285322076289</v>
      </c>
    </row>
    <row r="1545" spans="1:26" x14ac:dyDescent="0.2">
      <c r="A1545" s="1">
        <v>1543</v>
      </c>
      <c r="B1545" s="2" t="s">
        <v>341</v>
      </c>
      <c r="C1545" s="132" t="str">
        <f>HYPERLINK(AB2 &amp; "/knife/sn_ed70e936f64eb1787172b275484cdf6/rendering/00.obj", "0.895133852959")</f>
        <v>0.895133852959</v>
      </c>
      <c r="D1545" s="54" t="str">
        <f>HYPERLINK(AB2 &amp; "/knife/sn_ed70e936f64eb1787172b275484cdf6/rendering/01.obj", "2.0505771637")</f>
        <v>2.0505771637</v>
      </c>
      <c r="E1545" s="39" t="str">
        <f>HYPERLINK(AB2 &amp; "/knife/sn_ed70e936f64eb1787172b275484cdf6/rendering/02.obj", "1.41262817383")</f>
        <v>1.41262817383</v>
      </c>
      <c r="F1545" s="177" t="str">
        <f>HYPERLINK(AB2 &amp; "/knife/sn_ed70e936f64eb1787172b275484cdf6/rendering/03.obj", "2.37032985687")</f>
        <v>2.37032985687</v>
      </c>
      <c r="G1545" s="36" t="str">
        <f>HYPERLINK(AB2 &amp; "/knife/sn_ed70e936f64eb1787172b275484cdf6/rendering/04.obj", "1.21410810947")</f>
        <v>1.21410810947</v>
      </c>
      <c r="H1545" s="85" t="str">
        <f>HYPERLINK(AB2 &amp; "/knife/sn_ed70e936f64eb1787172b275484cdf6/rendering/05.obj", "1.08393168449")</f>
        <v>1.08393168449</v>
      </c>
      <c r="I1545" s="49" t="str">
        <f>HYPERLINK(AB2 &amp; "/knife/sn_ed70e936f64eb1787172b275484cdf6/rendering/06.obj", "1.2217874527")</f>
        <v>1.2217874527</v>
      </c>
      <c r="J1545" s="72" t="str">
        <f>HYPERLINK(AB2 &amp; "/knife/sn_ed70e936f64eb1787172b275484cdf6/rendering/07.obj", "1.59641456604")</f>
        <v>1.59641456604</v>
      </c>
      <c r="K1545" s="71" t="str">
        <f>HYPERLINK(AB2 &amp; "/knife/sn_ed70e936f64eb1787172b275484cdf6/rendering/08.obj", "1.36265301704")</f>
        <v>1.36265301704</v>
      </c>
      <c r="L1545" s="7" t="str">
        <f>HYPERLINK(AB2 &amp; "/knife/sn_ed70e936f64eb1787172b275484cdf6/rendering/09.obj", "1.1146171093")</f>
        <v>1.1146171093</v>
      </c>
      <c r="M1545" s="169" t="str">
        <f>HYPERLINK(AB2 &amp; "/knife/sn_ed70e936f64eb1787172b275484cdf6/rendering/10.obj", "1.05940413475")</f>
        <v>1.05940413475</v>
      </c>
      <c r="N1545" s="51" t="str">
        <f>HYPERLINK(AB2 &amp; "/knife/sn_ed70e936f64eb1787172b275484cdf6/rendering/11.obj", "1.41979765892")</f>
        <v>1.41979765892</v>
      </c>
      <c r="O1545" s="70" t="str">
        <f>HYPERLINK(AB2 &amp; "/knife/sn_ed70e936f64eb1787172b275484cdf6/rendering/12.obj", "1.34636759758")</f>
        <v>1.34636759758</v>
      </c>
      <c r="P1545" s="20" t="str">
        <f>HYPERLINK(AB2 &amp; "/knife/sn_ed70e936f64eb1787172b275484cdf6/rendering/13.obj", "3.50212907791")</f>
        <v>3.50212907791</v>
      </c>
      <c r="Q1545" s="133" t="str">
        <f>HYPERLINK(AB2 &amp; "/knife/sn_ed70e936f64eb1787172b275484cdf6/rendering/14.obj", "1.387378335")</f>
        <v>1.387378335</v>
      </c>
      <c r="R1545" s="84" t="str">
        <f>HYPERLINK(AB2 &amp; "/knife/sn_ed70e936f64eb1787172b275484cdf6/rendering/15.obj", "1.31717157364")</f>
        <v>1.31717157364</v>
      </c>
      <c r="S1545" s="59" t="str">
        <f>HYPERLINK(AB2 &amp; "/knife/sn_ed70e936f64eb1787172b275484cdf6/rendering/16.obj", "1.17064321041")</f>
        <v>1.17064321041</v>
      </c>
      <c r="T1545" s="49" t="str">
        <f>HYPERLINK(AB2 &amp; "/knife/sn_ed70e936f64eb1787172b275484cdf6/rendering/17.obj", "1.86344456673")</f>
        <v>1.86344456673</v>
      </c>
      <c r="U1545" s="37" t="str">
        <f>HYPERLINK(AB2 &amp; "/knife/sn_ed70e936f64eb1787172b275484cdf6/rendering/18.obj", "1.81260347366")</f>
        <v>1.81260347366</v>
      </c>
      <c r="V1545" s="51" t="str">
        <f>HYPERLINK(AB2 &amp; "/knife/sn_ed70e936f64eb1787172b275484cdf6/rendering/19.obj", "1.66881871223")</f>
        <v>1.66881871223</v>
      </c>
      <c r="W1545" s="12" t="s">
        <v>32</v>
      </c>
      <c r="X1545" s="13">
        <v>1.543496966362</v>
      </c>
      <c r="Y1545" s="13">
        <v>0.57231000853740976</v>
      </c>
      <c r="Z1545" s="192">
        <v>0.37078790629976832</v>
      </c>
    </row>
    <row r="1546" spans="1:26" x14ac:dyDescent="0.2">
      <c r="A1546" s="1">
        <v>1544</v>
      </c>
      <c r="B1546" s="2" t="s">
        <v>341</v>
      </c>
      <c r="C1546" s="13" t="str">
        <f>HYPERLINK(AC2 &amp; "/knife/sn_ed70e936f64eb1787172b275484cdf6/rendering/00.xyz", "0.0")</f>
        <v>0.0</v>
      </c>
      <c r="D1546" s="13" t="str">
        <f>HYPERLINK(AC2 &amp; "/knife/sn_ed70e936f64eb1787172b275484cdf6/rendering/01.xyz", "0.0")</f>
        <v>0.0</v>
      </c>
      <c r="E1546" s="13" t="str">
        <f>HYPERLINK(AC2 &amp; "/knife/sn_ed70e936f64eb1787172b275484cdf6/rendering/02.xyz", "0.0")</f>
        <v>0.0</v>
      </c>
      <c r="F1546" s="13" t="str">
        <f>HYPERLINK(AC2 &amp; "/knife/sn_ed70e936f64eb1787172b275484cdf6/rendering/03.xyz", "0.0")</f>
        <v>0.0</v>
      </c>
      <c r="G1546" s="13" t="str">
        <f>HYPERLINK(AC2 &amp; "/knife/sn_ed70e936f64eb1787172b275484cdf6/rendering/04.xyz", "0.0")</f>
        <v>0.0</v>
      </c>
      <c r="H1546" s="13" t="str">
        <f>HYPERLINK(AC2 &amp; "/knife/sn_ed70e936f64eb1787172b275484cdf6/rendering/05.xyz", "0.0")</f>
        <v>0.0</v>
      </c>
      <c r="I1546" s="13" t="str">
        <f>HYPERLINK(AC2 &amp; "/knife/sn_ed70e936f64eb1787172b275484cdf6/rendering/06.xyz", "0.0")</f>
        <v>0.0</v>
      </c>
      <c r="J1546" s="13" t="str">
        <f>HYPERLINK(AC2 &amp; "/knife/sn_ed70e936f64eb1787172b275484cdf6/rendering/07.xyz", "0.0")</f>
        <v>0.0</v>
      </c>
      <c r="K1546" s="13" t="str">
        <f>HYPERLINK(AC2 &amp; "/knife/sn_ed70e936f64eb1787172b275484cdf6/rendering/08.xyz", "0.0")</f>
        <v>0.0</v>
      </c>
      <c r="L1546" s="13" t="str">
        <f>HYPERLINK(AC2 &amp; "/knife/sn_ed70e936f64eb1787172b275484cdf6/rendering/09.xyz", "0.0")</f>
        <v>0.0</v>
      </c>
      <c r="M1546" s="13" t="str">
        <f>HYPERLINK(AC2 &amp; "/knife/sn_ed70e936f64eb1787172b275484cdf6/rendering/10.xyz", "0.0")</f>
        <v>0.0</v>
      </c>
      <c r="N1546" s="13" t="str">
        <f>HYPERLINK(AC2 &amp; "/knife/sn_ed70e936f64eb1787172b275484cdf6/rendering/11.xyz", "0.0")</f>
        <v>0.0</v>
      </c>
      <c r="O1546" s="13" t="str">
        <f>HYPERLINK(AC2 &amp; "/knife/sn_ed70e936f64eb1787172b275484cdf6/rendering/12.xyz", "0.0")</f>
        <v>0.0</v>
      </c>
      <c r="P1546" s="13" t="str">
        <f>HYPERLINK(AC2 &amp; "/knife/sn_ed70e936f64eb1787172b275484cdf6/rendering/13.xyz", "0.0")</f>
        <v>0.0</v>
      </c>
      <c r="Q1546" s="13" t="str">
        <f>HYPERLINK(AC2 &amp; "/knife/sn_ed70e936f64eb1787172b275484cdf6/rendering/14.xyz", "0.0")</f>
        <v>0.0</v>
      </c>
      <c r="R1546" s="13" t="str">
        <f>HYPERLINK(AC2 &amp; "/knife/sn_ed70e936f64eb1787172b275484cdf6/rendering/15.xyz", "0.0")</f>
        <v>0.0</v>
      </c>
      <c r="S1546" s="13" t="str">
        <f>HYPERLINK(AC2 &amp; "/knife/sn_ed70e936f64eb1787172b275484cdf6/rendering/16.xyz", "0.0")</f>
        <v>0.0</v>
      </c>
      <c r="T1546" s="13" t="str">
        <f>HYPERLINK(AC2 &amp; "/knife/sn_ed70e936f64eb1787172b275484cdf6/rendering/17.xyz", "0.0")</f>
        <v>0.0</v>
      </c>
      <c r="U1546" s="13" t="str">
        <f>HYPERLINK(AC2 &amp; "/knife/sn_ed70e936f64eb1787172b275484cdf6/rendering/18.xyz", "0.0")</f>
        <v>0.0</v>
      </c>
      <c r="V1546" s="13" t="str">
        <f>HYPERLINK(AC2 &amp; "/knife/sn_ed70e936f64eb1787172b275484cdf6/rendering/19.xyz", "0.0")</f>
        <v>0.0</v>
      </c>
      <c r="W1546" s="12" t="s">
        <v>33</v>
      </c>
      <c r="X1546" s="13">
        <v>0</v>
      </c>
      <c r="Y1546" s="13">
        <v>0</v>
      </c>
      <c r="Z1546" s="13">
        <v>0</v>
      </c>
    </row>
    <row r="1547" spans="1:26" x14ac:dyDescent="0.2">
      <c r="A1547" s="1">
        <v>1545</v>
      </c>
      <c r="B1547" s="2" t="s">
        <v>342</v>
      </c>
      <c r="C1547" s="198" t="str">
        <f>HYPERLINK(AA2 &amp; "/knife/sn_edaeb1ece141e9acb5d9c9aff35074b3/rendering/00.obj", "11.8450170898")</f>
        <v>11.8450170898</v>
      </c>
      <c r="D1547" s="246" t="str">
        <f>HYPERLINK(AA2 &amp; "/knife/sn_edaeb1ece141e9acb5d9c9aff35074b3/rendering/01.obj", "7.50673339844")</f>
        <v>7.50673339844</v>
      </c>
      <c r="E1547" s="163" t="str">
        <f>HYPERLINK(AA2 &amp; "/knife/sn_edaeb1ece141e9acb5d9c9aff35074b3/rendering/02.obj", "10.8055981445")</f>
        <v>10.8055981445</v>
      </c>
      <c r="F1547" s="235" t="str">
        <f>HYPERLINK(AA2 &amp; "/knife/sn_edaeb1ece141e9acb5d9c9aff35074b3/rendering/03.obj", "8.8808795166")</f>
        <v>8.8808795166</v>
      </c>
      <c r="G1547" s="221" t="str">
        <f>HYPERLINK(AA2 &amp; "/knife/sn_edaeb1ece141e9acb5d9c9aff35074b3/rendering/04.obj", "8.57487609863")</f>
        <v>8.57487609863</v>
      </c>
      <c r="H1547" s="182" t="str">
        <f>HYPERLINK(AA2 &amp; "/knife/sn_edaeb1ece141e9acb5d9c9aff35074b3/rendering/05.obj", "12.8613867187")</f>
        <v>12.8613867187</v>
      </c>
      <c r="I1547" s="36" t="str">
        <f>HYPERLINK(AA2 &amp; "/knife/sn_edaeb1ece141e9acb5d9c9aff35074b3/rendering/06.obj", "23.4481445313")</f>
        <v>23.4481445313</v>
      </c>
      <c r="J1547" s="177" t="str">
        <f>HYPERLINK(AA2 &amp; "/knife/sn_edaeb1ece141e9acb5d9c9aff35074b3/rendering/07.obj", "8.98908691406")</f>
        <v>8.98908691406</v>
      </c>
      <c r="K1547" s="219" t="str">
        <f>HYPERLINK(AA2 &amp; "/knife/sn_edaeb1ece141e9acb5d9c9aff35074b3/rendering/08.obj", "5.8554296875")</f>
        <v>5.8554296875</v>
      </c>
      <c r="L1547" s="32" t="str">
        <f>HYPERLINK(AA2 &amp; "/knife/sn_edaeb1ece141e9acb5d9c9aff35074b3/rendering/09.obj", "21.3556738281")</f>
        <v>21.3556738281</v>
      </c>
      <c r="M1547" s="15" t="str">
        <f>HYPERLINK(AA2 &amp; "/knife/sn_edaeb1ece141e9acb5d9c9aff35074b3/rendering/10.obj", "9.51667724609")</f>
        <v>9.51667724609</v>
      </c>
      <c r="N1547" s="137" t="str">
        <f>HYPERLINK(AA2 &amp; "/knife/sn_edaeb1ece141e9acb5d9c9aff35074b3/rendering/11.obj", "26.3633056641")</f>
        <v>26.3633056641</v>
      </c>
      <c r="O1547" s="224" t="str">
        <f>HYPERLINK(AA2 &amp; "/knife/sn_edaeb1ece141e9acb5d9c9aff35074b3/rendering/12.obj", "32.9822045898")</f>
        <v>32.9822045898</v>
      </c>
      <c r="P1547" s="20" t="str">
        <f>HYPERLINK(AA2 &amp; "/knife/sn_edaeb1ece141e9acb5d9c9aff35074b3/rendering/13.obj", "38.1401855469")</f>
        <v>38.1401855469</v>
      </c>
      <c r="Q1547" s="86" t="str">
        <f>HYPERLINK(AA2 &amp; "/knife/sn_edaeb1ece141e9acb5d9c9aff35074b3/rendering/14.obj", "24.5121069336")</f>
        <v>24.5121069336</v>
      </c>
      <c r="R1547" s="171" t="str">
        <f>HYPERLINK(AA2 &amp; "/knife/sn_edaeb1ece141e9acb5d9c9aff35074b3/rendering/15.obj", "13.3705957031")</f>
        <v>13.3705957031</v>
      </c>
      <c r="S1547" s="50" t="str">
        <f>HYPERLINK(AA2 &amp; "/knife/sn_edaeb1ece141e9acb5d9c9aff35074b3/rendering/16.obj", "23.1514208984")</f>
        <v>23.1514208984</v>
      </c>
      <c r="T1547" s="151" t="str">
        <f>HYPERLINK(AA2 &amp; "/knife/sn_edaeb1ece141e9acb5d9c9aff35074b3/rendering/17.obj", "26.2675317383")</f>
        <v>26.2675317383</v>
      </c>
      <c r="U1547" s="20" t="str">
        <f>HYPERLINK(AA2 &amp; "/knife/sn_edaeb1ece141e9acb5d9c9aff35074b3/rendering/18.obj", "35.7001904297")</f>
        <v>35.7001904297</v>
      </c>
      <c r="V1547" s="20" t="str">
        <f>HYPERLINK(AA2 &amp; "/knife/sn_edaeb1ece141e9acb5d9c9aff35074b3/rendering/19.obj", "35.9635986328")</f>
        <v>35.9635986328</v>
      </c>
      <c r="W1547" s="12" t="s">
        <v>29</v>
      </c>
      <c r="X1547" s="13">
        <v>19.304532165527341</v>
      </c>
      <c r="Y1547" s="13">
        <v>10.489192910094321</v>
      </c>
      <c r="Z1547" s="16">
        <v>0.54335390364057479</v>
      </c>
    </row>
    <row r="1548" spans="1:26" x14ac:dyDescent="0.2">
      <c r="A1548" s="1">
        <v>1546</v>
      </c>
      <c r="B1548" s="2" t="s">
        <v>342</v>
      </c>
      <c r="C1548" s="207" t="str">
        <f>HYPERLINK(AA2 &amp; "/knife/sn_edaeb1ece141e9acb5d9c9aff35074b3/rendering/00.obj", "34.4332542419")</f>
        <v>34.4332542419</v>
      </c>
      <c r="D1548" s="20" t="str">
        <f>HYPERLINK(AA2 &amp; "/knife/sn_edaeb1ece141e9acb5d9c9aff35074b3/rendering/01.obj", "16.2041988373")</f>
        <v>16.2041988373</v>
      </c>
      <c r="E1548" s="20" t="str">
        <f>HYPERLINK(AA2 &amp; "/knife/sn_edaeb1ece141e9acb5d9c9aff35074b3/rendering/02.obj", "17.2346744537")</f>
        <v>17.2346744537</v>
      </c>
      <c r="F1548" s="20" t="str">
        <f>HYPERLINK(AA2 &amp; "/knife/sn_edaeb1ece141e9acb5d9c9aff35074b3/rendering/03.obj", "20.3981494904")</f>
        <v>20.3981494904</v>
      </c>
      <c r="G1548" s="20" t="str">
        <f>HYPERLINK(AA2 &amp; "/knife/sn_edaeb1ece141e9acb5d9c9aff35074b3/rendering/04.obj", "7.33192539215")</f>
        <v>7.33192539215</v>
      </c>
      <c r="H1548" s="20" t="str">
        <f>HYPERLINK(AA2 &amp; "/knife/sn_edaeb1ece141e9acb5d9c9aff35074b3/rendering/05.obj", "24.9476051331")</f>
        <v>24.9476051331</v>
      </c>
      <c r="I1548" s="10" t="str">
        <f>HYPERLINK(AA2 &amp; "/knife/sn_edaeb1ece141e9acb5d9c9aff35074b3/rendering/06.obj", "120.461639404")</f>
        <v>120.461639404</v>
      </c>
      <c r="J1548" s="20" t="str">
        <f>HYPERLINK(AA2 &amp; "/knife/sn_edaeb1ece141e9acb5d9c9aff35074b3/rendering/07.obj", "17.03748703")</f>
        <v>17.03748703</v>
      </c>
      <c r="K1548" s="20" t="str">
        <f>HYPERLINK(AA2 &amp; "/knife/sn_edaeb1ece141e9acb5d9c9aff35074b3/rendering/08.obj", "6.25020885468")</f>
        <v>6.25020885468</v>
      </c>
      <c r="L1548" s="29" t="str">
        <f>HYPERLINK(AA2 &amp; "/knife/sn_edaeb1ece141e9acb5d9c9aff35074b3/rendering/09.obj", "111.081359863")</f>
        <v>111.081359863</v>
      </c>
      <c r="M1548" s="20" t="str">
        <f>HYPERLINK(AA2 &amp; "/knife/sn_edaeb1ece141e9acb5d9c9aff35074b3/rendering/10.obj", "11.3862819672")</f>
        <v>11.3862819672</v>
      </c>
      <c r="N1548" s="111" t="str">
        <f>HYPERLINK(AA2 &amp; "/knife/sn_edaeb1ece141e9acb5d9c9aff35074b3/rendering/11.obj", "181.218215942")</f>
        <v>181.218215942</v>
      </c>
      <c r="O1548" s="20" t="str">
        <f>HYPERLINK(AA2 &amp; "/knife/sn_edaeb1ece141e9acb5d9c9aff35074b3/rendering/12.obj", "489.91796875")</f>
        <v>489.91796875</v>
      </c>
      <c r="P1548" s="20" t="str">
        <f>HYPERLINK(AA2 &amp; "/knife/sn_edaeb1ece141e9acb5d9c9aff35074b3/rendering/13.obj", "352.004699707")</f>
        <v>352.004699707</v>
      </c>
      <c r="Q1548" s="39" t="str">
        <f>HYPERLINK(AA2 &amp; "/knife/sn_edaeb1ece141e9acb5d9c9aff35074b3/rendering/14.obj", "138.648513794")</f>
        <v>138.648513794</v>
      </c>
      <c r="R1548" s="259" t="str">
        <f>HYPERLINK(AA2 &amp; "/knife/sn_edaeb1ece141e9acb5d9c9aff35074b3/rendering/15.obj", "26.4415512085")</f>
        <v>26.4415512085</v>
      </c>
      <c r="S1548" s="10" t="str">
        <f>HYPERLINK(AA2 &amp; "/knife/sn_edaeb1ece141e9acb5d9c9aff35074b3/rendering/16.obj", "134.373718262")</f>
        <v>134.373718262</v>
      </c>
      <c r="T1548" s="20" t="str">
        <f>HYPERLINK(AA2 &amp; "/knife/sn_edaeb1ece141e9acb5d9c9aff35074b3/rendering/17.obj", "293.344238281")</f>
        <v>293.344238281</v>
      </c>
      <c r="U1548" s="20" t="str">
        <f>HYPERLINK(AA2 &amp; "/knife/sn_edaeb1ece141e9acb5d9c9aff35074b3/rendering/18.obj", "331.374145508")</f>
        <v>331.374145508</v>
      </c>
      <c r="V1548" s="219" t="str">
        <f>HYPERLINK(AA2 &amp; "/knife/sn_edaeb1ece141e9acb5d9c9aff35074b3/rendering/19.obj", "216.56942749")</f>
        <v>216.56942749</v>
      </c>
      <c r="W1548" s="12" t="s">
        <v>30</v>
      </c>
      <c r="X1548" s="13">
        <v>127.532963180542</v>
      </c>
      <c r="Y1548" s="13">
        <v>138.26807754434981</v>
      </c>
      <c r="Z1548" s="20">
        <v>1.0841752131847719</v>
      </c>
    </row>
    <row r="1549" spans="1:26" x14ac:dyDescent="0.2">
      <c r="A1549" s="1">
        <v>1547</v>
      </c>
      <c r="B1549" s="2" t="s">
        <v>342</v>
      </c>
      <c r="C1549" s="33" t="str">
        <f>HYPERLINK(AB2 &amp; "/knife/sn_edaeb1ece141e9acb5d9c9aff35074b3/rendering/00.obj", "4.67475860596")</f>
        <v>4.67475860596</v>
      </c>
      <c r="D1549" s="44" t="str">
        <f>HYPERLINK(AB2 &amp; "/knife/sn_edaeb1ece141e9acb5d9c9aff35074b3/rendering/01.obj", "6.2809979248")</f>
        <v>6.2809979248</v>
      </c>
      <c r="E1549" s="72" t="str">
        <f>HYPERLINK(AB2 &amp; "/knife/sn_edaeb1ece141e9acb5d9c9aff35074b3/rendering/02.obj", "5.41983032227")</f>
        <v>5.41983032227</v>
      </c>
      <c r="F1549" s="83" t="str">
        <f>HYPERLINK(AB2 &amp; "/knife/sn_edaeb1ece141e9acb5d9c9aff35074b3/rendering/03.obj", "4.44716949463")</f>
        <v>4.44716949463</v>
      </c>
      <c r="G1549" s="46" t="str">
        <f>HYPERLINK(AB2 &amp; "/knife/sn_edaeb1ece141e9acb5d9c9aff35074b3/rendering/04.obj", "5.15280761719")</f>
        <v>5.15280761719</v>
      </c>
      <c r="H1549" s="46" t="str">
        <f>HYPERLINK(AB2 &amp; "/knife/sn_edaeb1ece141e9acb5d9c9aff35074b3/rendering/05.obj", "5.3403503418")</f>
        <v>5.3403503418</v>
      </c>
      <c r="I1549" s="50" t="str">
        <f>HYPERLINK(AB2 &amp; "/knife/sn_edaeb1ece141e9acb5d9c9aff35074b3/rendering/06.obj", "4.20669586182")</f>
        <v>4.20669586182</v>
      </c>
      <c r="J1549" s="77" t="str">
        <f>HYPERLINK(AB2 &amp; "/knife/sn_edaeb1ece141e9acb5d9c9aff35074b3/rendering/07.obj", "4.26569244385")</f>
        <v>4.26569244385</v>
      </c>
      <c r="K1549" s="25" t="str">
        <f>HYPERLINK(AB2 &amp; "/knife/sn_edaeb1ece141e9acb5d9c9aff35074b3/rendering/08.obj", "5.1815222168")</f>
        <v>5.1815222168</v>
      </c>
      <c r="L1549" s="98" t="str">
        <f>HYPERLINK(AB2 &amp; "/knife/sn_edaeb1ece141e9acb5d9c9aff35074b3/rendering/09.obj", "4.03613800049")</f>
        <v>4.03613800049</v>
      </c>
      <c r="M1549" s="34" t="str">
        <f>HYPERLINK(AB2 &amp; "/knife/sn_edaeb1ece141e9acb5d9c9aff35074b3/rendering/10.obj", "5.50390441895")</f>
        <v>5.50390441895</v>
      </c>
      <c r="N1549" s="78" t="str">
        <f>HYPERLINK(AB2 &amp; "/knife/sn_edaeb1ece141e9acb5d9c9aff35074b3/rendering/11.obj", "4.91999572754")</f>
        <v>4.91999572754</v>
      </c>
      <c r="O1549" s="17" t="str">
        <f>HYPERLINK(AB2 &amp; "/knife/sn_edaeb1ece141e9acb5d9c9aff35074b3/rendering/12.obj", "5.14457641602")</f>
        <v>5.14457641602</v>
      </c>
      <c r="P1549" s="50" t="str">
        <f>HYPERLINK(AB2 &amp; "/knife/sn_edaeb1ece141e9acb5d9c9aff35074b3/rendering/13.obj", "6.29469116211")</f>
        <v>6.29469116211</v>
      </c>
      <c r="Q1549" s="46" t="str">
        <f>HYPERLINK(AB2 &amp; "/knife/sn_edaeb1ece141e9acb5d9c9aff35074b3/rendering/14.obj", "5.1563494873")</f>
        <v>5.1563494873</v>
      </c>
      <c r="R1549" s="51" t="str">
        <f>HYPERLINK(AB2 &amp; "/knife/sn_edaeb1ece141e9acb5d9c9aff35074b3/rendering/15.obj", "5.67193603516")</f>
        <v>5.67193603516</v>
      </c>
      <c r="S1549" s="135" t="str">
        <f>HYPERLINK(AB2 &amp; "/knife/sn_edaeb1ece141e9acb5d9c9aff35074b3/rendering/16.obj", "3.89692504883")</f>
        <v>3.89692504883</v>
      </c>
      <c r="T1549" s="72" t="str">
        <f>HYPERLINK(AB2 &amp; "/knife/sn_edaeb1ece141e9acb5d9c9aff35074b3/rendering/17.obj", "5.41653564453")</f>
        <v>5.41653564453</v>
      </c>
      <c r="U1549" s="36" t="str">
        <f>HYPERLINK(AB2 &amp; "/knife/sn_edaeb1ece141e9acb5d9c9aff35074b3/rendering/18.obj", "6.37972290039")</f>
        <v>6.37972290039</v>
      </c>
      <c r="V1549" s="97" t="str">
        <f>HYPERLINK(AB2 &amp; "/knife/sn_edaeb1ece141e9acb5d9c9aff35074b3/rendering/19.obj", "7.53226074219")</f>
        <v>7.53226074219</v>
      </c>
      <c r="W1549" s="12" t="s">
        <v>31</v>
      </c>
      <c r="X1549" s="13">
        <v>5.2461430206298827</v>
      </c>
      <c r="Y1549" s="13">
        <v>0.8782438142981478</v>
      </c>
      <c r="Z1549" s="24">
        <v>0.167407524126687</v>
      </c>
    </row>
    <row r="1550" spans="1:26" x14ac:dyDescent="0.2">
      <c r="A1550" s="1">
        <v>1548</v>
      </c>
      <c r="B1550" s="2" t="s">
        <v>342</v>
      </c>
      <c r="C1550" s="34" t="str">
        <f>HYPERLINK(AB2 &amp; "/knife/sn_edaeb1ece141e9acb5d9c9aff35074b3/rendering/00.obj", "2.98784136772")</f>
        <v>2.98784136772</v>
      </c>
      <c r="D1550" s="123" t="str">
        <f>HYPERLINK(AB2 &amp; "/knife/sn_edaeb1ece141e9acb5d9c9aff35074b3/rendering/01.obj", "4.28835439682")</f>
        <v>4.28835439682</v>
      </c>
      <c r="E1550" s="191" t="str">
        <f>HYPERLINK(AB2 &amp; "/knife/sn_edaeb1ece141e9acb5d9c9aff35074b3/rendering/02.obj", "4.55672121048")</f>
        <v>4.55672121048</v>
      </c>
      <c r="F1550" s="94" t="str">
        <f>HYPERLINK(AB2 &amp; "/knife/sn_edaeb1ece141e9acb5d9c9aff35074b3/rendering/03.obj", "2.90744233131")</f>
        <v>2.90744233131</v>
      </c>
      <c r="G1550" s="39" t="str">
        <f>HYPERLINK(AB2 &amp; "/knife/sn_edaeb1ece141e9acb5d9c9aff35074b3/rendering/04.obj", "2.8651869297")</f>
        <v>2.8651869297</v>
      </c>
      <c r="H1550" s="55" t="str">
        <f>HYPERLINK(AB2 &amp; "/knife/sn_edaeb1ece141e9acb5d9c9aff35074b3/rendering/05.obj", "2.5275683403")</f>
        <v>2.5275683403</v>
      </c>
      <c r="I1550" s="89" t="str">
        <f>HYPERLINK(AB2 &amp; "/knife/sn_edaeb1ece141e9acb5d9c9aff35074b3/rendering/06.obj", "2.32643389702")</f>
        <v>2.32643389702</v>
      </c>
      <c r="J1550" s="50" t="str">
        <f>HYPERLINK(AB2 &amp; "/knife/sn_edaeb1ece141e9acb5d9c9aff35074b3/rendering/07.obj", "2.51273989677")</f>
        <v>2.51273989677</v>
      </c>
      <c r="K1550" s="110" t="str">
        <f>HYPERLINK(AB2 &amp; "/knife/sn_edaeb1ece141e9acb5d9c9aff35074b3/rendering/08.obj", "3.44822072983")</f>
        <v>3.44822072983</v>
      </c>
      <c r="L1550" s="4" t="str">
        <f>HYPERLINK(AB2 &amp; "/knife/sn_edaeb1ece141e9acb5d9c9aff35074b3/rendering/09.obj", "2.24870705605")</f>
        <v>2.24870705605</v>
      </c>
      <c r="M1550" s="64" t="str">
        <f>HYPERLINK(AB2 &amp; "/knife/sn_edaeb1ece141e9acb5d9c9aff35074b3/rendering/10.obj", "2.61910820007")</f>
        <v>2.61910820007</v>
      </c>
      <c r="N1550" s="76" t="str">
        <f>HYPERLINK(AB2 &amp; "/knife/sn_edaeb1ece141e9acb5d9c9aff35074b3/rendering/11.obj", "2.55596065521")</f>
        <v>2.55596065521</v>
      </c>
      <c r="O1550" s="86" t="str">
        <f>HYPERLINK(AB2 &amp; "/knife/sn_edaeb1ece141e9acb5d9c9aff35074b3/rendering/12.obj", "2.2985534668")</f>
        <v>2.2985534668</v>
      </c>
      <c r="P1550" s="90" t="str">
        <f>HYPERLINK(AB2 &amp; "/knife/sn_edaeb1ece141e9acb5d9c9aff35074b3/rendering/13.obj", "3.4311029911")</f>
        <v>3.4311029911</v>
      </c>
      <c r="Q1550" s="55" t="str">
        <f>HYPERLINK(AB2 &amp; "/knife/sn_edaeb1ece141e9acb5d9c9aff35074b3/rendering/14.obj", "2.53377389908")</f>
        <v>2.53377389908</v>
      </c>
      <c r="R1550" s="162" t="str">
        <f>HYPERLINK(AB2 &amp; "/knife/sn_edaeb1ece141e9acb5d9c9aff35074b3/rendering/15.obj", "4.47346878052")</f>
        <v>4.47346878052</v>
      </c>
      <c r="S1550" s="72" t="str">
        <f>HYPERLINK(AB2 &amp; "/knife/sn_edaeb1ece141e9acb5d9c9aff35074b3/rendering/16.obj", "3.03460454941")</f>
        <v>3.03460454941</v>
      </c>
      <c r="T1550" s="11" t="str">
        <f>HYPERLINK(AB2 &amp; "/knife/sn_edaeb1ece141e9acb5d9c9aff35074b3/rendering/17.obj", "2.43265676498")</f>
        <v>2.43265676498</v>
      </c>
      <c r="U1550" s="94" t="str">
        <f>HYPERLINK(AB2 &amp; "/knife/sn_edaeb1ece141e9acb5d9c9aff35074b3/rendering/18.obj", "2.90029358864")</f>
        <v>2.90029358864</v>
      </c>
      <c r="V1550" s="20" t="str">
        <f>HYPERLINK(AB2 &amp; "/knife/sn_edaeb1ece141e9acb5d9c9aff35074b3/rendering/19.obj", "5.76464223862")</f>
        <v>5.76464223862</v>
      </c>
      <c r="W1550" s="12" t="s">
        <v>32</v>
      </c>
      <c r="X1550" s="13">
        <v>3.1356690645217902</v>
      </c>
      <c r="Y1550" s="13">
        <v>0.91669300027069245</v>
      </c>
      <c r="Z1550" s="118">
        <v>0.29234366937586698</v>
      </c>
    </row>
    <row r="1551" spans="1:26" x14ac:dyDescent="0.2">
      <c r="A1551" s="1">
        <v>1549</v>
      </c>
      <c r="B1551" s="2" t="s">
        <v>342</v>
      </c>
      <c r="C1551" s="13" t="str">
        <f>HYPERLINK(AC2 &amp; "/knife/sn_edaeb1ece141e9acb5d9c9aff35074b3/rendering/00.xyz", "0.0")</f>
        <v>0.0</v>
      </c>
      <c r="D1551" s="13" t="str">
        <f>HYPERLINK(AC2 &amp; "/knife/sn_edaeb1ece141e9acb5d9c9aff35074b3/rendering/01.xyz", "0.0")</f>
        <v>0.0</v>
      </c>
      <c r="E1551" s="13" t="str">
        <f>HYPERLINK(AC2 &amp; "/knife/sn_edaeb1ece141e9acb5d9c9aff35074b3/rendering/02.xyz", "0.0")</f>
        <v>0.0</v>
      </c>
      <c r="F1551" s="13" t="str">
        <f>HYPERLINK(AC2 &amp; "/knife/sn_edaeb1ece141e9acb5d9c9aff35074b3/rendering/03.xyz", "0.0")</f>
        <v>0.0</v>
      </c>
      <c r="G1551" s="13" t="str">
        <f>HYPERLINK(AC2 &amp; "/knife/sn_edaeb1ece141e9acb5d9c9aff35074b3/rendering/04.xyz", "0.0")</f>
        <v>0.0</v>
      </c>
      <c r="H1551" s="13" t="str">
        <f>HYPERLINK(AC2 &amp; "/knife/sn_edaeb1ece141e9acb5d9c9aff35074b3/rendering/05.xyz", "0.0")</f>
        <v>0.0</v>
      </c>
      <c r="I1551" s="13" t="str">
        <f>HYPERLINK(AC2 &amp; "/knife/sn_edaeb1ece141e9acb5d9c9aff35074b3/rendering/06.xyz", "0.0")</f>
        <v>0.0</v>
      </c>
      <c r="J1551" s="13" t="str">
        <f>HYPERLINK(AC2 &amp; "/knife/sn_edaeb1ece141e9acb5d9c9aff35074b3/rendering/07.xyz", "0.0")</f>
        <v>0.0</v>
      </c>
      <c r="K1551" s="13" t="str">
        <f>HYPERLINK(AC2 &amp; "/knife/sn_edaeb1ece141e9acb5d9c9aff35074b3/rendering/08.xyz", "0.0")</f>
        <v>0.0</v>
      </c>
      <c r="L1551" s="13" t="str">
        <f>HYPERLINK(AC2 &amp; "/knife/sn_edaeb1ece141e9acb5d9c9aff35074b3/rendering/09.xyz", "0.0")</f>
        <v>0.0</v>
      </c>
      <c r="M1551" s="13" t="str">
        <f>HYPERLINK(AC2 &amp; "/knife/sn_edaeb1ece141e9acb5d9c9aff35074b3/rendering/10.xyz", "0.0")</f>
        <v>0.0</v>
      </c>
      <c r="N1551" s="13" t="str">
        <f>HYPERLINK(AC2 &amp; "/knife/sn_edaeb1ece141e9acb5d9c9aff35074b3/rendering/11.xyz", "0.0")</f>
        <v>0.0</v>
      </c>
      <c r="O1551" s="13" t="str">
        <f>HYPERLINK(AC2 &amp; "/knife/sn_edaeb1ece141e9acb5d9c9aff35074b3/rendering/12.xyz", "0.0")</f>
        <v>0.0</v>
      </c>
      <c r="P1551" s="13" t="str">
        <f>HYPERLINK(AC2 &amp; "/knife/sn_edaeb1ece141e9acb5d9c9aff35074b3/rendering/13.xyz", "0.0")</f>
        <v>0.0</v>
      </c>
      <c r="Q1551" s="13" t="str">
        <f>HYPERLINK(AC2 &amp; "/knife/sn_edaeb1ece141e9acb5d9c9aff35074b3/rendering/14.xyz", "0.0")</f>
        <v>0.0</v>
      </c>
      <c r="R1551" s="13" t="str">
        <f>HYPERLINK(AC2 &amp; "/knife/sn_edaeb1ece141e9acb5d9c9aff35074b3/rendering/15.xyz", "0.0")</f>
        <v>0.0</v>
      </c>
      <c r="S1551" s="13" t="str">
        <f>HYPERLINK(AC2 &amp; "/knife/sn_edaeb1ece141e9acb5d9c9aff35074b3/rendering/16.xyz", "0.0")</f>
        <v>0.0</v>
      </c>
      <c r="T1551" s="13" t="str">
        <f>HYPERLINK(AC2 &amp; "/knife/sn_edaeb1ece141e9acb5d9c9aff35074b3/rendering/17.xyz", "0.0")</f>
        <v>0.0</v>
      </c>
      <c r="U1551" s="13" t="str">
        <f>HYPERLINK(AC2 &amp; "/knife/sn_edaeb1ece141e9acb5d9c9aff35074b3/rendering/18.xyz", "0.0")</f>
        <v>0.0</v>
      </c>
      <c r="V1551" s="13" t="str">
        <f>HYPERLINK(AC2 &amp; "/knife/sn_edaeb1ece141e9acb5d9c9aff35074b3/rendering/19.xyz", "0.0")</f>
        <v>0.0</v>
      </c>
      <c r="W1551" s="12" t="s">
        <v>33</v>
      </c>
      <c r="X1551" s="13">
        <v>0</v>
      </c>
      <c r="Y1551" s="13">
        <v>0</v>
      </c>
      <c r="Z1551" s="13">
        <v>0</v>
      </c>
    </row>
    <row r="1552" spans="1:26" x14ac:dyDescent="0.2">
      <c r="A1552" s="1">
        <v>1550</v>
      </c>
      <c r="B1552" s="2" t="s">
        <v>343</v>
      </c>
      <c r="C1552" s="114" t="str">
        <f>HYPERLINK(AA2 &amp; "/knife/sn_edf53b53ae1cc29a5951ec64d48e6f2d/rendering/00.obj", "2.57469116211")</f>
        <v>2.57469116211</v>
      </c>
      <c r="D1552" s="93" t="str">
        <f>HYPERLINK(AA2 &amp; "/knife/sn_edf53b53ae1cc29a5951ec64d48e6f2d/rendering/01.obj", "4.10195739746")</f>
        <v>4.10195739746</v>
      </c>
      <c r="E1552" s="20" t="str">
        <f>HYPERLINK(AA2 &amp; "/knife/sn_edf53b53ae1cc29a5951ec64d48e6f2d/rendering/02.obj", "12.5156066895")</f>
        <v>12.5156066895</v>
      </c>
      <c r="F1552" s="28" t="str">
        <f>HYPERLINK(AA2 &amp; "/knife/sn_edf53b53ae1cc29a5951ec64d48e6f2d/rendering/03.obj", "4.23536376953")</f>
        <v>4.23536376953</v>
      </c>
      <c r="G1552" s="48" t="str">
        <f>HYPERLINK(AA2 &amp; "/knife/sn_edf53b53ae1cc29a5951ec64d48e6f2d/rendering/04.obj", "4.8656060791")</f>
        <v>4.8656060791</v>
      </c>
      <c r="H1552" s="97" t="str">
        <f>HYPERLINK(AA2 &amp; "/knife/sn_edf53b53ae1cc29a5951ec64d48e6f2d/rendering/05.obj", "2.6913067627")</f>
        <v>2.6913067627</v>
      </c>
      <c r="I1552" s="212" t="str">
        <f>HYPERLINK(AA2 &amp; "/knife/sn_edf53b53ae1cc29a5951ec64d48e6f2d/rendering/06.obj", "2.70611785889")</f>
        <v>2.70611785889</v>
      </c>
      <c r="J1552" s="156" t="str">
        <f>HYPERLINK(AA2 &amp; "/knife/sn_edf53b53ae1cc29a5951ec64d48e6f2d/rendering/07.obj", "2.62760192871")</f>
        <v>2.62760192871</v>
      </c>
      <c r="K1552" s="122" t="str">
        <f>HYPERLINK(AA2 &amp; "/knife/sn_edf53b53ae1cc29a5951ec64d48e6f2d/rendering/08.obj", "2.8418371582")</f>
        <v>2.8418371582</v>
      </c>
      <c r="L1552" s="201" t="str">
        <f>HYPERLINK(AA2 &amp; "/knife/sn_edf53b53ae1cc29a5951ec64d48e6f2d/rendering/09.obj", "7.53301757813")</f>
        <v>7.53301757813</v>
      </c>
      <c r="M1552" s="228" t="str">
        <f>HYPERLINK(AA2 &amp; "/knife/sn_edf53b53ae1cc29a5951ec64d48e6f2d/rendering/10.obj", "7.28645507812")</f>
        <v>7.28645507812</v>
      </c>
      <c r="N1552" s="82" t="str">
        <f>HYPERLINK(AA2 &amp; "/knife/sn_edf53b53ae1cc29a5951ec64d48e6f2d/rendering/11.obj", "3.78666168213")</f>
        <v>3.78666168213</v>
      </c>
      <c r="O1552" s="177" t="str">
        <f>HYPERLINK(AA2 &amp; "/knife/sn_edf53b53ae1cc29a5951ec64d48e6f2d/rendering/12.obj", "2.21553222656")</f>
        <v>2.21553222656</v>
      </c>
      <c r="P1552" s="114" t="str">
        <f>HYPERLINK(AA2 &amp; "/knife/sn_edf53b53ae1cc29a5951ec64d48e6f2d/rendering/13.obj", "2.57515319824")</f>
        <v>2.57515319824</v>
      </c>
      <c r="Q1552" s="93" t="str">
        <f>HYPERLINK(AA2 &amp; "/knife/sn_edf53b53ae1cc29a5951ec64d48e6f2d/rendering/14.obj", "4.09809326172")</f>
        <v>4.09809326172</v>
      </c>
      <c r="R1552" s="20" t="str">
        <f>HYPERLINK(AA2 &amp; "/knife/sn_edf53b53ae1cc29a5951ec64d48e6f2d/rendering/15.obj", "9.54150390625")</f>
        <v>9.54150390625</v>
      </c>
      <c r="S1552" s="39" t="str">
        <f>HYPERLINK(AA2 &amp; "/knife/sn_edf53b53ae1cc29a5951ec64d48e6f2d/rendering/16.obj", "5.17161499023")</f>
        <v>5.17161499023</v>
      </c>
      <c r="T1552" s="160" t="str">
        <f>HYPERLINK(AA2 &amp; "/knife/sn_edf53b53ae1cc29a5951ec64d48e6f2d/rendering/17.obj", "2.23868743896")</f>
        <v>2.23868743896</v>
      </c>
      <c r="U1552" s="187" t="str">
        <f>HYPERLINK(AA2 &amp; "/knife/sn_edf53b53ae1cc29a5951ec64d48e6f2d/rendering/18.obj", "6.42473999023")</f>
        <v>6.42473999023</v>
      </c>
      <c r="V1552" s="107" t="str">
        <f>HYPERLINK(AA2 &amp; "/knife/sn_edf53b53ae1cc29a5951ec64d48e6f2d/rendering/19.obj", "5.15293334961")</f>
        <v>5.15293334961</v>
      </c>
      <c r="W1552" s="12" t="s">
        <v>29</v>
      </c>
      <c r="X1552" s="13">
        <v>4.7592240753173822</v>
      </c>
      <c r="Y1552" s="13">
        <v>2.658850958696839</v>
      </c>
      <c r="Z1552" s="223">
        <v>0.55867320315644653</v>
      </c>
    </row>
    <row r="1553" spans="1:26" x14ac:dyDescent="0.2">
      <c r="A1553" s="1">
        <v>1551</v>
      </c>
      <c r="B1553" s="2" t="s">
        <v>343</v>
      </c>
      <c r="C1553" s="164" t="str">
        <f>HYPERLINK(AA2 &amp; "/knife/sn_edf53b53ae1cc29a5951ec64d48e6f2d/rendering/00.obj", "1.60374844074")</f>
        <v>1.60374844074</v>
      </c>
      <c r="D1553" s="121" t="str">
        <f>HYPERLINK(AA2 &amp; "/knife/sn_edf53b53ae1cc29a5951ec64d48e6f2d/rendering/01.obj", "2.84699010849")</f>
        <v>2.84699010849</v>
      </c>
      <c r="E1553" s="20" t="str">
        <f>HYPERLINK(AA2 &amp; "/knife/sn_edf53b53ae1cc29a5951ec64d48e6f2d/rendering/02.obj", "18.133890152")</f>
        <v>18.133890152</v>
      </c>
      <c r="F1553" s="110" t="str">
        <f>HYPERLINK(AA2 &amp; "/knife/sn_edf53b53ae1cc29a5951ec64d48e6f2d/rendering/03.obj", "3.96817231178")</f>
        <v>3.96817231178</v>
      </c>
      <c r="G1553" s="25" t="str">
        <f>HYPERLINK(AA2 &amp; "/knife/sn_edf53b53ae1cc29a5951ec64d48e6f2d/rendering/04.obj", "4.44900131226")</f>
        <v>4.44900131226</v>
      </c>
      <c r="H1553" s="189" t="str">
        <f>HYPERLINK(AA2 &amp; "/knife/sn_edf53b53ae1cc29a5951ec64d48e6f2d/rendering/05.obj", "1.65104448795")</f>
        <v>1.65104448795</v>
      </c>
      <c r="I1553" s="217" t="str">
        <f>HYPERLINK(AA2 &amp; "/knife/sn_edf53b53ae1cc29a5951ec64d48e6f2d/rendering/06.obj", "1.61101174355")</f>
        <v>1.61101174355</v>
      </c>
      <c r="J1553" s="115" t="str">
        <f>HYPERLINK(AA2 &amp; "/knife/sn_edf53b53ae1cc29a5951ec64d48e6f2d/rendering/07.obj", "1.59044873714")</f>
        <v>1.59044873714</v>
      </c>
      <c r="K1553" s="241" t="str">
        <f>HYPERLINK(AA2 &amp; "/knife/sn_edf53b53ae1cc29a5951ec64d48e6f2d/rendering/08.obj", "1.57775974274")</f>
        <v>1.57775974274</v>
      </c>
      <c r="L1553" s="117" t="str">
        <f>HYPERLINK(AA2 &amp; "/knife/sn_edf53b53ae1cc29a5951ec64d48e6f2d/rendering/09.obj", "5.17062139511")</f>
        <v>5.17062139511</v>
      </c>
      <c r="M1553" s="20" t="str">
        <f>HYPERLINK(AA2 &amp; "/knife/sn_edf53b53ae1cc29a5951ec64d48e6f2d/rendering/10.obj", "9.87059783936")</f>
        <v>9.87059783936</v>
      </c>
      <c r="N1553" s="158" t="str">
        <f>HYPERLINK(AA2 &amp; "/knife/sn_edf53b53ae1cc29a5951ec64d48e6f2d/rendering/11.obj", "2.59378647804")</f>
        <v>2.59378647804</v>
      </c>
      <c r="O1553" s="173" t="str">
        <f>HYPERLINK(AA2 &amp; "/knife/sn_edf53b53ae1cc29a5951ec64d48e6f2d/rendering/12.obj", "1.37395036221")</f>
        <v>1.37395036221</v>
      </c>
      <c r="P1553" s="115" t="str">
        <f>HYPERLINK(AA2 &amp; "/knife/sn_edf53b53ae1cc29a5951ec64d48e6f2d/rendering/13.obj", "1.58453464508")</f>
        <v>1.58453464508</v>
      </c>
      <c r="Q1553" s="46" t="str">
        <f>HYPERLINK(AA2 &amp; "/knife/sn_edf53b53ae1cc29a5951ec64d48e6f2d/rendering/14.obj", "4.47833871841")</f>
        <v>4.47833871841</v>
      </c>
      <c r="R1553" s="20" t="str">
        <f>HYPERLINK(AA2 &amp; "/knife/sn_edf53b53ae1cc29a5951ec64d48e6f2d/rendering/15.obj", "8.78249073029")</f>
        <v>8.78249073029</v>
      </c>
      <c r="S1553" s="81" t="str">
        <f>HYPERLINK(AA2 &amp; "/knife/sn_edf53b53ae1cc29a5951ec64d48e6f2d/rendering/16.obj", "5.36137485504")</f>
        <v>5.36137485504</v>
      </c>
      <c r="T1553" s="248" t="str">
        <f>HYPERLINK(AA2 &amp; "/knife/sn_edf53b53ae1cc29a5951ec64d48e6f2d/rendering/17.obj", "1.48983228207")</f>
        <v>1.48983228207</v>
      </c>
      <c r="U1553" s="6" t="str">
        <f>HYPERLINK(AA2 &amp; "/knife/sn_edf53b53ae1cc29a5951ec64d48e6f2d/rendering/18.obj", "4.60330343246")</f>
        <v>4.60330343246</v>
      </c>
      <c r="V1553" s="77" t="str">
        <f>HYPERLINK(AA2 &amp; "/knife/sn_edf53b53ae1cc29a5951ec64d48e6f2d/rendering/19.obj", "5.21438360214")</f>
        <v>5.21438360214</v>
      </c>
      <c r="W1553" s="12" t="s">
        <v>30</v>
      </c>
      <c r="X1553" s="13">
        <v>4.3977640688419344</v>
      </c>
      <c r="Y1553" s="13">
        <v>3.939612717918179</v>
      </c>
      <c r="Z1553" s="20">
        <v>0.8958217531109165</v>
      </c>
    </row>
    <row r="1554" spans="1:26" x14ac:dyDescent="0.2">
      <c r="A1554" s="1">
        <v>1552</v>
      </c>
      <c r="B1554" s="2" t="s">
        <v>343</v>
      </c>
      <c r="C1554" s="27" t="str">
        <f>HYPERLINK(AB2 &amp; "/knife/sn_edf53b53ae1cc29a5951ec64d48e6f2d/rendering/00.obj", "2.75120239258")</f>
        <v>2.75120239258</v>
      </c>
      <c r="D1554" s="47" t="str">
        <f>HYPERLINK(AB2 &amp; "/knife/sn_edf53b53ae1cc29a5951ec64d48e6f2d/rendering/01.obj", "2.55430892944")</f>
        <v>2.55430892944</v>
      </c>
      <c r="E1554" s="72" t="str">
        <f>HYPERLINK(AB2 &amp; "/knife/sn_edf53b53ae1cc29a5951ec64d48e6f2d/rendering/02.obj", "2.48784439087")</f>
        <v>2.48784439087</v>
      </c>
      <c r="F1554" s="51" t="str">
        <f>HYPERLINK(AB2 &amp; "/knife/sn_edf53b53ae1cc29a5951ec64d48e6f2d/rendering/03.obj", "2.78043151855")</f>
        <v>2.78043151855</v>
      </c>
      <c r="G1554" s="60" t="str">
        <f>HYPERLINK(AB2 &amp; "/knife/sn_edf53b53ae1cc29a5951ec64d48e6f2d/rendering/04.obj", "2.70124084473")</f>
        <v>2.70124084473</v>
      </c>
      <c r="H1554" s="83" t="str">
        <f>HYPERLINK(AB2 &amp; "/knife/sn_edf53b53ae1cc29a5951ec64d48e6f2d/rendering/05.obj", "2.96215576172")</f>
        <v>2.96215576172</v>
      </c>
      <c r="I1554" s="28" t="str">
        <f>HYPERLINK(AB2 &amp; "/knife/sn_edf53b53ae1cc29a5951ec64d48e6f2d/rendering/06.obj", "2.85631713867")</f>
        <v>2.85631713867</v>
      </c>
      <c r="J1554" s="23" t="str">
        <f>HYPERLINK(AB2 &amp; "/knife/sn_edf53b53ae1cc29a5951ec64d48e6f2d/rendering/07.obj", "2.67370483398")</f>
        <v>2.67370483398</v>
      </c>
      <c r="K1554" s="68" t="str">
        <f>HYPERLINK(AB2 &amp; "/knife/sn_edf53b53ae1cc29a5951ec64d48e6f2d/rendering/08.obj", "2.67858520508")</f>
        <v>2.67858520508</v>
      </c>
      <c r="L1554" s="19" t="str">
        <f>HYPERLINK(AB2 &amp; "/knife/sn_edf53b53ae1cc29a5951ec64d48e6f2d/rendering/09.obj", "1.90066650391")</f>
        <v>1.90066650391</v>
      </c>
      <c r="M1554" s="5" t="str">
        <f>HYPERLINK(AB2 &amp; "/knife/sn_edf53b53ae1cc29a5951ec64d48e6f2d/rendering/10.obj", "2.37522064209")</f>
        <v>2.37522064209</v>
      </c>
      <c r="N1554" s="68" t="str">
        <f>HYPERLINK(AB2 &amp; "/knife/sn_edf53b53ae1cc29a5951ec64d48e6f2d/rendering/11.obj", "2.46367370605")</f>
        <v>2.46367370605</v>
      </c>
      <c r="O1554" s="90" t="str">
        <f>HYPERLINK(AB2 &amp; "/knife/sn_edf53b53ae1cc29a5951ec64d48e6f2d/rendering/12.obj", "2.82042175293")</f>
        <v>2.82042175293</v>
      </c>
      <c r="P1554" s="34" t="str">
        <f>HYPERLINK(AB2 &amp; "/knife/sn_edf53b53ae1cc29a5951ec64d48e6f2d/rendering/13.obj", "2.44698150635")</f>
        <v>2.44698150635</v>
      </c>
      <c r="Q1554" s="84" t="str">
        <f>HYPERLINK(AB2 &amp; "/knife/sn_edf53b53ae1cc29a5951ec64d48e6f2d/rendering/14.obj", "2.19490493774")</f>
        <v>2.19490493774</v>
      </c>
      <c r="R1554" s="38" t="str">
        <f>HYPERLINK(AB2 &amp; "/knife/sn_edf53b53ae1cc29a5951ec64d48e6f2d/rendering/15.obj", "2.34102462769")</f>
        <v>2.34102462769</v>
      </c>
      <c r="S1554" s="31" t="str">
        <f>HYPERLINK(AB2 &amp; "/knife/sn_edf53b53ae1cc29a5951ec64d48e6f2d/rendering/16.obj", "2.96756195068")</f>
        <v>2.96756195068</v>
      </c>
      <c r="T1554" s="91" t="str">
        <f>HYPERLINK(AB2 &amp; "/knife/sn_edf53b53ae1cc29a5951ec64d48e6f2d/rendering/17.obj", "2.63863189697")</f>
        <v>2.63863189697</v>
      </c>
      <c r="U1554" s="34" t="str">
        <f>HYPERLINK(AB2 &amp; "/knife/sn_edf53b53ae1cc29a5951ec64d48e6f2d/rendering/18.obj", "2.44361129761")</f>
        <v>2.44361129761</v>
      </c>
      <c r="V1554" s="41" t="str">
        <f>HYPERLINK(AB2 &amp; "/knife/sn_edf53b53ae1cc29a5951ec64d48e6f2d/rendering/19.obj", "2.39792297363")</f>
        <v>2.39792297363</v>
      </c>
      <c r="W1554" s="12" t="s">
        <v>31</v>
      </c>
      <c r="X1554" s="13">
        <v>2.5718206405639652</v>
      </c>
      <c r="Y1554" s="13">
        <v>0.25847157699619439</v>
      </c>
      <c r="Z1554" s="133">
        <v>0.100501400805118</v>
      </c>
    </row>
    <row r="1555" spans="1:26" x14ac:dyDescent="0.2">
      <c r="A1555" s="1">
        <v>1553</v>
      </c>
      <c r="B1555" s="2" t="s">
        <v>343</v>
      </c>
      <c r="C1555" s="34" t="str">
        <f>HYPERLINK(AB2 &amp; "/knife/sn_edf53b53ae1cc29a5951ec64d48e6f2d/rendering/00.obj", "1.43136453629")</f>
        <v>1.43136453629</v>
      </c>
      <c r="D1555" s="25" t="str">
        <f>HYPERLINK(AB2 &amp; "/knife/sn_edf53b53ae1cc29a5951ec64d48e6f2d/rendering/01.obj", "1.38148570061")</f>
        <v>1.38148570061</v>
      </c>
      <c r="E1555" s="42" t="str">
        <f>HYPERLINK(AB2 &amp; "/knife/sn_edf53b53ae1cc29a5951ec64d48e6f2d/rendering/02.obj", "1.55153942108")</f>
        <v>1.55153942108</v>
      </c>
      <c r="F1555" s="6" t="str">
        <f>HYPERLINK(AB2 &amp; "/knife/sn_edf53b53ae1cc29a5951ec64d48e6f2d/rendering/03.obj", "1.3049428463")</f>
        <v>1.3049428463</v>
      </c>
      <c r="G1555" s="110" t="str">
        <f>HYPERLINK(AB2 &amp; "/knife/sn_edf53b53ae1cc29a5951ec64d48e6f2d/rendering/04.obj", "1.2311398983")</f>
        <v>1.2311398983</v>
      </c>
      <c r="H1555" s="73" t="str">
        <f>HYPERLINK(AB2 &amp; "/knife/sn_edf53b53ae1cc29a5951ec64d48e6f2d/rendering/05.obj", "1.41434264183")</f>
        <v>1.41434264183</v>
      </c>
      <c r="I1555" s="69" t="str">
        <f>HYPERLINK(AB2 &amp; "/knife/sn_edf53b53ae1cc29a5951ec64d48e6f2d/rendering/06.obj", "1.32482779026")</f>
        <v>1.32482779026</v>
      </c>
      <c r="J1555" s="60" t="str">
        <f>HYPERLINK(AB2 &amp; "/knife/sn_edf53b53ae1cc29a5951ec64d48e6f2d/rendering/07.obj", "1.29660391808")</f>
        <v>1.29660391808</v>
      </c>
      <c r="K1555" s="23" t="str">
        <f>HYPERLINK(AB2 &amp; "/knife/sn_edf53b53ae1cc29a5951ec64d48e6f2d/rendering/08.obj", "1.31163108349")</f>
        <v>1.31163108349</v>
      </c>
      <c r="L1555" s="78" t="str">
        <f>HYPERLINK(AB2 &amp; "/knife/sn_edf53b53ae1cc29a5951ec64d48e6f2d/rendering/09.obj", "1.45119607449")</f>
        <v>1.45119607449</v>
      </c>
      <c r="M1555" s="48" t="str">
        <f>HYPERLINK(AB2 &amp; "/knife/sn_edf53b53ae1cc29a5951ec64d48e6f2d/rendering/10.obj", "1.39758360386")</f>
        <v>1.39758360386</v>
      </c>
      <c r="N1555" s="47" t="str">
        <f>HYPERLINK(AB2 &amp; "/knife/sn_edf53b53ae1cc29a5951ec64d48e6f2d/rendering/11.obj", "1.37559044361")</f>
        <v>1.37559044361</v>
      </c>
      <c r="O1555" s="38" t="str">
        <f>HYPERLINK(AB2 &amp; "/knife/sn_edf53b53ae1cc29a5951ec64d48e6f2d/rendering/12.obj", "1.48668301105")</f>
        <v>1.48668301105</v>
      </c>
      <c r="P1555" s="48" t="str">
        <f>HYPERLINK(AB2 &amp; "/knife/sn_edf53b53ae1cc29a5951ec64d48e6f2d/rendering/13.obj", "1.33508014679")</f>
        <v>1.33508014679</v>
      </c>
      <c r="Q1555" s="42" t="str">
        <f>HYPERLINK(AB2 &amp; "/knife/sn_edf53b53ae1cc29a5951ec64d48e6f2d/rendering/14.obj", "1.17888045311")</f>
        <v>1.17888045311</v>
      </c>
      <c r="R1555" s="30" t="str">
        <f>HYPERLINK(AB2 &amp; "/knife/sn_edf53b53ae1cc29a5951ec64d48e6f2d/rendering/15.obj", "1.35911631584")</f>
        <v>1.35911631584</v>
      </c>
      <c r="S1555" s="65" t="str">
        <f>HYPERLINK(AB2 &amp; "/knife/sn_edf53b53ae1cc29a5951ec64d48e6f2d/rendering/16.obj", "1.54733669758")</f>
        <v>1.54733669758</v>
      </c>
      <c r="T1555" s="23" t="str">
        <f>HYPERLINK(AB2 &amp; "/knife/sn_edf53b53ae1cc29a5951ec64d48e6f2d/rendering/17.obj", "1.31319212914")</f>
        <v>1.31319212914</v>
      </c>
      <c r="U1555" s="6" t="str">
        <f>HYPERLINK(AB2 &amp; "/knife/sn_edf53b53ae1cc29a5951ec64d48e6f2d/rendering/18.obj", "1.43025326729")</f>
        <v>1.43025326729</v>
      </c>
      <c r="V1555" s="71" t="str">
        <f>HYPERLINK(AB2 &amp; "/knife/sn_edf53b53ae1cc29a5951ec64d48e6f2d/rendering/19.obj", "1.20721495152")</f>
        <v>1.20721495152</v>
      </c>
      <c r="W1555" s="12" t="s">
        <v>32</v>
      </c>
      <c r="X1555" s="13">
        <v>1.3665002465248111</v>
      </c>
      <c r="Y1555" s="13">
        <v>9.9144750950543009E-2</v>
      </c>
      <c r="Z1555" s="94">
        <v>7.2553774653668079E-2</v>
      </c>
    </row>
    <row r="1556" spans="1:26" x14ac:dyDescent="0.2">
      <c r="A1556" s="1">
        <v>1554</v>
      </c>
      <c r="B1556" s="2" t="s">
        <v>343</v>
      </c>
      <c r="C1556" s="13" t="str">
        <f>HYPERLINK(AC2 &amp; "/knife/sn_edf53b53ae1cc29a5951ec64d48e6f2d/rendering/00.xyz", "0.0")</f>
        <v>0.0</v>
      </c>
      <c r="D1556" s="13" t="str">
        <f>HYPERLINK(AC2 &amp; "/knife/sn_edf53b53ae1cc29a5951ec64d48e6f2d/rendering/01.xyz", "0.0")</f>
        <v>0.0</v>
      </c>
      <c r="E1556" s="13" t="str">
        <f>HYPERLINK(AC2 &amp; "/knife/sn_edf53b53ae1cc29a5951ec64d48e6f2d/rendering/02.xyz", "0.0")</f>
        <v>0.0</v>
      </c>
      <c r="F1556" s="13" t="str">
        <f>HYPERLINK(AC2 &amp; "/knife/sn_edf53b53ae1cc29a5951ec64d48e6f2d/rendering/03.xyz", "0.0")</f>
        <v>0.0</v>
      </c>
      <c r="G1556" s="13" t="str">
        <f>HYPERLINK(AC2 &amp; "/knife/sn_edf53b53ae1cc29a5951ec64d48e6f2d/rendering/04.xyz", "0.0")</f>
        <v>0.0</v>
      </c>
      <c r="H1556" s="13" t="str">
        <f>HYPERLINK(AC2 &amp; "/knife/sn_edf53b53ae1cc29a5951ec64d48e6f2d/rendering/05.xyz", "0.0")</f>
        <v>0.0</v>
      </c>
      <c r="I1556" s="13" t="str">
        <f>HYPERLINK(AC2 &amp; "/knife/sn_edf53b53ae1cc29a5951ec64d48e6f2d/rendering/06.xyz", "0.0")</f>
        <v>0.0</v>
      </c>
      <c r="J1556" s="13" t="str">
        <f>HYPERLINK(AC2 &amp; "/knife/sn_edf53b53ae1cc29a5951ec64d48e6f2d/rendering/07.xyz", "0.0")</f>
        <v>0.0</v>
      </c>
      <c r="K1556" s="13" t="str">
        <f>HYPERLINK(AC2 &amp; "/knife/sn_edf53b53ae1cc29a5951ec64d48e6f2d/rendering/08.xyz", "0.0")</f>
        <v>0.0</v>
      </c>
      <c r="L1556" s="13" t="str">
        <f>HYPERLINK(AC2 &amp; "/knife/sn_edf53b53ae1cc29a5951ec64d48e6f2d/rendering/09.xyz", "0.0")</f>
        <v>0.0</v>
      </c>
      <c r="M1556" s="13" t="str">
        <f>HYPERLINK(AC2 &amp; "/knife/sn_edf53b53ae1cc29a5951ec64d48e6f2d/rendering/10.xyz", "0.0")</f>
        <v>0.0</v>
      </c>
      <c r="N1556" s="13" t="str">
        <f>HYPERLINK(AC2 &amp; "/knife/sn_edf53b53ae1cc29a5951ec64d48e6f2d/rendering/11.xyz", "0.0")</f>
        <v>0.0</v>
      </c>
      <c r="O1556" s="13" t="str">
        <f>HYPERLINK(AC2 &amp; "/knife/sn_edf53b53ae1cc29a5951ec64d48e6f2d/rendering/12.xyz", "0.0")</f>
        <v>0.0</v>
      </c>
      <c r="P1556" s="13" t="str">
        <f>HYPERLINK(AC2 &amp; "/knife/sn_edf53b53ae1cc29a5951ec64d48e6f2d/rendering/13.xyz", "0.0")</f>
        <v>0.0</v>
      </c>
      <c r="Q1556" s="13" t="str">
        <f>HYPERLINK(AC2 &amp; "/knife/sn_edf53b53ae1cc29a5951ec64d48e6f2d/rendering/14.xyz", "0.0")</f>
        <v>0.0</v>
      </c>
      <c r="R1556" s="13" t="str">
        <f>HYPERLINK(AC2 &amp; "/knife/sn_edf53b53ae1cc29a5951ec64d48e6f2d/rendering/15.xyz", "0.0")</f>
        <v>0.0</v>
      </c>
      <c r="S1556" s="13" t="str">
        <f>HYPERLINK(AC2 &amp; "/knife/sn_edf53b53ae1cc29a5951ec64d48e6f2d/rendering/16.xyz", "0.0")</f>
        <v>0.0</v>
      </c>
      <c r="T1556" s="13" t="str">
        <f>HYPERLINK(AC2 &amp; "/knife/sn_edf53b53ae1cc29a5951ec64d48e6f2d/rendering/17.xyz", "0.0")</f>
        <v>0.0</v>
      </c>
      <c r="U1556" s="13" t="str">
        <f>HYPERLINK(AC2 &amp; "/knife/sn_edf53b53ae1cc29a5951ec64d48e6f2d/rendering/18.xyz", "0.0")</f>
        <v>0.0</v>
      </c>
      <c r="V1556" s="13" t="str">
        <f>HYPERLINK(AC2 &amp; "/knife/sn_edf53b53ae1cc29a5951ec64d48e6f2d/rendering/19.xyz", "0.0")</f>
        <v>0.0</v>
      </c>
      <c r="W1556" s="12" t="s">
        <v>33</v>
      </c>
      <c r="X1556" s="13">
        <v>0</v>
      </c>
      <c r="Y1556" s="13">
        <v>0</v>
      </c>
      <c r="Z1556" s="13">
        <v>0</v>
      </c>
    </row>
    <row r="1557" spans="1:26" x14ac:dyDescent="0.2">
      <c r="A1557" s="1">
        <v>1555</v>
      </c>
      <c r="B1557" s="2" t="s">
        <v>344</v>
      </c>
      <c r="C1557" s="127" t="str">
        <f>HYPERLINK(AA2 &amp; "/knife/sn_eec06d67190604f1f369c75d55810ee9/rendering/00.obj", "3.00794799805")</f>
        <v>3.00794799805</v>
      </c>
      <c r="D1557" s="58" t="str">
        <f>HYPERLINK(AA2 &amp; "/knife/sn_eec06d67190604f1f369c75d55810ee9/rendering/01.obj", "4.72971069336")</f>
        <v>4.72971069336</v>
      </c>
      <c r="E1557" s="26" t="str">
        <f>HYPERLINK(AA2 &amp; "/knife/sn_eec06d67190604f1f369c75d55810ee9/rendering/02.obj", "5.84801635742")</f>
        <v>5.84801635742</v>
      </c>
      <c r="F1557" s="20" t="str">
        <f>HYPERLINK(AA2 &amp; "/knife/sn_eec06d67190604f1f369c75d55810ee9/rendering/03.obj", "14.8809387207")</f>
        <v>14.8809387207</v>
      </c>
      <c r="G1557" s="15" t="str">
        <f>HYPERLINK(AA2 &amp; "/knife/sn_eec06d67190604f1f369c75d55810ee9/rendering/04.obj", "3.09395507813")</f>
        <v>3.09395507813</v>
      </c>
      <c r="H1557" s="181" t="str">
        <f>HYPERLINK(AA2 &amp; "/knife/sn_eec06d67190604f1f369c75d55810ee9/rendering/05.obj", "3.48205810547")</f>
        <v>3.48205810547</v>
      </c>
      <c r="I1557" s="130" t="str">
        <f>HYPERLINK(AA2 &amp; "/knife/sn_eec06d67190604f1f369c75d55810ee9/rendering/06.obj", "3.43717651367")</f>
        <v>3.43717651367</v>
      </c>
      <c r="J1557" s="126" t="str">
        <f>HYPERLINK(AA2 &amp; "/knife/sn_eec06d67190604f1f369c75d55810ee9/rendering/07.obj", "3.12933380127")</f>
        <v>3.12933380127</v>
      </c>
      <c r="K1557" s="145" t="str">
        <f>HYPERLINK(AA2 &amp; "/knife/sn_eec06d67190604f1f369c75d55810ee9/rendering/08.obj", "3.1742666626")</f>
        <v>3.1742666626</v>
      </c>
      <c r="L1557" s="159" t="str">
        <f>HYPERLINK(AA2 &amp; "/knife/sn_eec06d67190604f1f369c75d55810ee9/rendering/09.obj", "3.32297302246")</f>
        <v>3.32297302246</v>
      </c>
      <c r="M1557" s="20" t="str">
        <f>HYPERLINK(AA2 &amp; "/knife/sn_eec06d67190604f1f369c75d55810ee9/rendering/10.obj", "20.1869165039")</f>
        <v>20.1869165039</v>
      </c>
      <c r="N1557" s="104" t="str">
        <f>HYPERLINK(AA2 &amp; "/knife/sn_eec06d67190604f1f369c75d55810ee9/rendering/11.obj", "3.28695098877")</f>
        <v>3.28695098877</v>
      </c>
      <c r="O1557" s="114" t="str">
        <f>HYPERLINK(AA2 &amp; "/knife/sn_eec06d67190604f1f369c75d55810ee9/rendering/12.obj", "3.37945556641")</f>
        <v>3.37945556641</v>
      </c>
      <c r="P1557" s="20" t="str">
        <f>HYPERLINK(AA2 &amp; "/knife/sn_eec06d67190604f1f369c75d55810ee9/rendering/13.obj", "19.9009033203")</f>
        <v>19.9009033203</v>
      </c>
      <c r="Q1557" s="76" t="str">
        <f>HYPERLINK(AA2 &amp; "/knife/sn_eec06d67190604f1f369c75d55810ee9/rendering/14.obj", "7.40869506836")</f>
        <v>7.40869506836</v>
      </c>
      <c r="R1557" s="21" t="str">
        <f>HYPERLINK(AA2 &amp; "/knife/sn_eec06d67190604f1f369c75d55810ee9/rendering/15.obj", "2.79649841309")</f>
        <v>2.79649841309</v>
      </c>
      <c r="S1557" s="15" t="str">
        <f>HYPERLINK(AA2 &amp; "/knife/sn_eec06d67190604f1f369c75d55810ee9/rendering/16.obj", "3.07573791504")</f>
        <v>3.07573791504</v>
      </c>
      <c r="T1557" s="191" t="str">
        <f>HYPERLINK(AA2 &amp; "/knife/sn_eec06d67190604f1f369c75d55810ee9/rendering/17.obj", "3.41740875244")</f>
        <v>3.41740875244</v>
      </c>
      <c r="U1557" s="86" t="str">
        <f>HYPERLINK(AA2 &amp; "/knife/sn_eec06d67190604f1f369c75d55810ee9/rendering/18.obj", "4.5836138916")</f>
        <v>4.5836138916</v>
      </c>
      <c r="V1557" s="162" t="str">
        <f>HYPERLINK(AA2 &amp; "/knife/sn_eec06d67190604f1f369c75d55810ee9/rendering/19.obj", "8.9053503418")</f>
        <v>8.9053503418</v>
      </c>
      <c r="W1557" s="12" t="s">
        <v>29</v>
      </c>
      <c r="X1557" s="13">
        <v>6.2523953857421866</v>
      </c>
      <c r="Y1557" s="13">
        <v>5.3832054313779594</v>
      </c>
      <c r="Z1557" s="20">
        <v>0.86098288723929584</v>
      </c>
    </row>
    <row r="1558" spans="1:26" x14ac:dyDescent="0.2">
      <c r="A1558" s="1">
        <v>1556</v>
      </c>
      <c r="B1558" s="2" t="s">
        <v>344</v>
      </c>
      <c r="C1558" s="20" t="str">
        <f>HYPERLINK(AA2 &amp; "/knife/sn_eec06d67190604f1f369c75d55810ee9/rendering/00.obj", "1.11297106743")</f>
        <v>1.11297106743</v>
      </c>
      <c r="D1558" s="180" t="str">
        <f>HYPERLINK(AA2 &amp; "/knife/sn_eec06d67190604f1f369c75d55810ee9/rendering/01.obj", "1.89808094501")</f>
        <v>1.89808094501</v>
      </c>
      <c r="E1558" s="98" t="str">
        <f>HYPERLINK(AA2 &amp; "/knife/sn_eec06d67190604f1f369c75d55810ee9/rendering/02.obj", "6.94029855728")</f>
        <v>6.94029855728</v>
      </c>
      <c r="F1558" s="20" t="str">
        <f>HYPERLINK(AA2 &amp; "/knife/sn_eec06d67190604f1f369c75d55810ee9/rendering/03.obj", "28.8052196503")</f>
        <v>28.8052196503</v>
      </c>
      <c r="G1558" s="20" t="str">
        <f>HYPERLINK(AA2 &amp; "/knife/sn_eec06d67190604f1f369c75d55810ee9/rendering/04.obj", "1.46017086506")</f>
        <v>1.46017086506</v>
      </c>
      <c r="H1558" s="20" t="str">
        <f>HYPERLINK(AA2 &amp; "/knife/sn_eec06d67190604f1f369c75d55810ee9/rendering/05.obj", "1.2615480423")</f>
        <v>1.2615480423</v>
      </c>
      <c r="I1558" s="199" t="str">
        <f>HYPERLINK(AA2 &amp; "/knife/sn_eec06d67190604f1f369c75d55810ee9/rendering/06.obj", "1.9172629118")</f>
        <v>1.9172629118</v>
      </c>
      <c r="J1558" s="20" t="str">
        <f>HYPERLINK(AA2 &amp; "/knife/sn_eec06d67190604f1f369c75d55810ee9/rendering/07.obj", "1.28735971451")</f>
        <v>1.28735971451</v>
      </c>
      <c r="K1558" s="20" t="str">
        <f>HYPERLINK(AA2 &amp; "/knife/sn_eec06d67190604f1f369c75d55810ee9/rendering/08.obj", "1.37198746204")</f>
        <v>1.37198746204</v>
      </c>
      <c r="L1558" s="20" t="str">
        <f>HYPERLINK(AA2 &amp; "/knife/sn_eec06d67190604f1f369c75d55810ee9/rendering/09.obj", "1.19727241993")</f>
        <v>1.19727241993</v>
      </c>
      <c r="M1558" s="20" t="str">
        <f>HYPERLINK(AA2 &amp; "/knife/sn_eec06d67190604f1f369c75d55810ee9/rendering/10.obj", "53.3965187073")</f>
        <v>53.3965187073</v>
      </c>
      <c r="N1558" s="20" t="str">
        <f>HYPERLINK(AA2 &amp; "/knife/sn_eec06d67190604f1f369c75d55810ee9/rendering/11.obj", "1.3812584877")</f>
        <v>1.3812584877</v>
      </c>
      <c r="O1558" s="20" t="str">
        <f>HYPERLINK(AA2 &amp; "/knife/sn_eec06d67190604f1f369c75d55810ee9/rendering/12.obj", "1.23058581352")</f>
        <v>1.23058581352</v>
      </c>
      <c r="P1558" s="20" t="str">
        <f>HYPERLINK(AA2 &amp; "/knife/sn_eec06d67190604f1f369c75d55810ee9/rendering/13.obj", "58.1992950439")</f>
        <v>58.1992950439</v>
      </c>
      <c r="Q1558" s="16" t="str">
        <f>HYPERLINK(AA2 &amp; "/knife/sn_eec06d67190604f1f369c75d55810ee9/rendering/14.obj", "4.12089920044")</f>
        <v>4.12089920044</v>
      </c>
      <c r="R1558" s="20" t="str">
        <f>HYPERLINK(AA2 &amp; "/knife/sn_eec06d67190604f1f369c75d55810ee9/rendering/15.obj", "1.35547280312")</f>
        <v>1.35547280312</v>
      </c>
      <c r="S1558" s="20" t="str">
        <f>HYPERLINK(AA2 &amp; "/knife/sn_eec06d67190604f1f369c75d55810ee9/rendering/16.obj", "1.12865555286")</f>
        <v>1.12865555286</v>
      </c>
      <c r="T1558" s="20" t="str">
        <f>HYPERLINK(AA2 &amp; "/knife/sn_eec06d67190604f1f369c75d55810ee9/rendering/17.obj", "1.66866362095")</f>
        <v>1.66866362095</v>
      </c>
      <c r="U1558" s="186" t="str">
        <f>HYPERLINK(AA2 &amp; "/knife/sn_eec06d67190604f1f369c75d55810ee9/rendering/18.obj", "3.60785841942")</f>
        <v>3.60785841942</v>
      </c>
      <c r="V1558" s="75" t="str">
        <f>HYPERLINK(AA2 &amp; "/knife/sn_eec06d67190604f1f369c75d55810ee9/rendering/19.obj", "7.02889728546")</f>
        <v>7.02889728546</v>
      </c>
      <c r="W1558" s="12" t="s">
        <v>30</v>
      </c>
      <c r="X1558" s="13">
        <v>9.0185138285160065</v>
      </c>
      <c r="Y1558" s="13">
        <v>16.72650357789367</v>
      </c>
      <c r="Z1558" s="20">
        <v>1.854685139474473</v>
      </c>
    </row>
    <row r="1559" spans="1:26" x14ac:dyDescent="0.2">
      <c r="A1559" s="1">
        <v>1557</v>
      </c>
      <c r="B1559" s="2" t="s">
        <v>344</v>
      </c>
      <c r="C1559" s="69" t="str">
        <f>HYPERLINK(AB2 &amp; "/knife/sn_eec06d67190604f1f369c75d55810ee9/rendering/00.obj", "2.83196350098")</f>
        <v>2.83196350098</v>
      </c>
      <c r="D1559" s="108" t="str">
        <f>HYPERLINK(AB2 &amp; "/knife/sn_eec06d67190604f1f369c75d55810ee9/rendering/01.obj", "2.20211273193")</f>
        <v>2.20211273193</v>
      </c>
      <c r="E1559" s="36" t="str">
        <f>HYPERLINK(AB2 &amp; "/knife/sn_eec06d67190604f1f369c75d55810ee9/rendering/02.obj", "3.54981719971")</f>
        <v>3.54981719971</v>
      </c>
      <c r="F1559" s="78" t="str">
        <f>HYPERLINK(AB2 &amp; "/knife/sn_eec06d67190604f1f369c75d55810ee9/rendering/03.obj", "2.741277771")</f>
        <v>2.741277771</v>
      </c>
      <c r="G1559" s="28" t="str">
        <f>HYPERLINK(AB2 &amp; "/knife/sn_eec06d67190604f1f369c75d55810ee9/rendering/04.obj", "3.24029907227")</f>
        <v>3.24029907227</v>
      </c>
      <c r="H1559" s="133" t="str">
        <f>HYPERLINK(AB2 &amp; "/knife/sn_eec06d67190604f1f369c75d55810ee9/rendering/05.obj", "2.6265322876")</f>
        <v>2.6265322876</v>
      </c>
      <c r="I1559" s="50" t="str">
        <f>HYPERLINK(AB2 &amp; "/knife/sn_eec06d67190604f1f369c75d55810ee9/rendering/06.obj", "3.50537475586")</f>
        <v>3.50537475586</v>
      </c>
      <c r="J1559" s="6" t="str">
        <f>HYPERLINK(AB2 &amp; "/knife/sn_eec06d67190604f1f369c75d55810ee9/rendering/07.obj", "2.79036437988")</f>
        <v>2.79036437988</v>
      </c>
      <c r="K1559" s="71" t="str">
        <f>HYPERLINK(AB2 &amp; "/knife/sn_eec06d67190604f1f369c75d55810ee9/rendering/08.obj", "3.26028869629")</f>
        <v>3.26028869629</v>
      </c>
      <c r="L1559" s="51" t="str">
        <f>HYPERLINK(AB2 &amp; "/knife/sn_eec06d67190604f1f369c75d55810ee9/rendering/09.obj", "2.68376953125")</f>
        <v>2.68376953125</v>
      </c>
      <c r="M1559" s="47" t="str">
        <f>HYPERLINK(AB2 &amp; "/knife/sn_eec06d67190604f1f369c75d55810ee9/rendering/10.obj", "2.90004516602")</f>
        <v>2.90004516602</v>
      </c>
      <c r="N1559" s="17" t="str">
        <f>HYPERLINK(AB2 &amp; "/knife/sn_eec06d67190604f1f369c75d55810ee9/rendering/11.obj", "2.97856750488")</f>
        <v>2.97856750488</v>
      </c>
      <c r="O1559" s="13" t="str">
        <f>HYPERLINK(AB2 &amp; "/knife/sn_eec06d67190604f1f369c75d55810ee9/rendering/12.obj", "2.9161541748")</f>
        <v>2.9161541748</v>
      </c>
      <c r="P1559" s="48" t="str">
        <f>HYPERLINK(AB2 &amp; "/knife/sn_eec06d67190604f1f369c75d55810ee9/rendering/13.obj", "2.84740814209")</f>
        <v>2.84740814209</v>
      </c>
      <c r="Q1559" s="49" t="str">
        <f>HYPERLINK(AB2 &amp; "/knife/sn_eec06d67190604f1f369c75d55810ee9/rendering/14.obj", "2.30994812012")</f>
        <v>2.30994812012</v>
      </c>
      <c r="R1559" s="74" t="str">
        <f>HYPERLINK(AB2 &amp; "/knife/sn_eec06d67190604f1f369c75d55810ee9/rendering/15.obj", "2.96249328613")</f>
        <v>2.96249328613</v>
      </c>
      <c r="S1559" s="29" t="str">
        <f>HYPERLINK(AB2 &amp; "/knife/sn_eec06d67190604f1f369c75d55810ee9/rendering/16.obj", "3.30302856445")</f>
        <v>3.30302856445</v>
      </c>
      <c r="T1559" s="6" t="str">
        <f>HYPERLINK(AB2 &amp; "/knife/sn_eec06d67190604f1f369c75d55810ee9/rendering/17.obj", "3.05414733887")</f>
        <v>3.05414733887</v>
      </c>
      <c r="U1559" s="25" t="str">
        <f>HYPERLINK(AB2 &amp; "/knife/sn_eec06d67190604f1f369c75d55810ee9/rendering/18.obj", "2.8877746582")</f>
        <v>2.8877746582</v>
      </c>
      <c r="V1559" s="23" t="str">
        <f>HYPERLINK(AB2 &amp; "/knife/sn_eec06d67190604f1f369c75d55810ee9/rendering/19.obj", "2.80225158691")</f>
        <v>2.80225158691</v>
      </c>
      <c r="W1559" s="12" t="s">
        <v>31</v>
      </c>
      <c r="X1559" s="13">
        <v>2.9196809234619141</v>
      </c>
      <c r="Y1559" s="13">
        <v>0.33423031921168239</v>
      </c>
      <c r="Z1559" s="106">
        <v>0.1144749470827038</v>
      </c>
    </row>
    <row r="1560" spans="1:26" x14ac:dyDescent="0.2">
      <c r="A1560" s="1">
        <v>1558</v>
      </c>
      <c r="B1560" s="2" t="s">
        <v>344</v>
      </c>
      <c r="C1560" s="41" t="str">
        <f>HYPERLINK(AB2 &amp; "/knife/sn_eec06d67190604f1f369c75d55810ee9/rendering/00.obj", "1.20474743843")</f>
        <v>1.20474743843</v>
      </c>
      <c r="D1560" s="51" t="str">
        <f>HYPERLINK(AB2 &amp; "/knife/sn_eec06d67190604f1f369c75d55810ee9/rendering/01.obj", "1.18705439568")</f>
        <v>1.18705439568</v>
      </c>
      <c r="E1560" s="70" t="str">
        <f>HYPERLINK(AB2 &amp; "/knife/sn_eec06d67190604f1f369c75d55810ee9/rendering/02.obj", "1.12552475929")</f>
        <v>1.12552475929</v>
      </c>
      <c r="F1560" s="88" t="str">
        <f>HYPERLINK(AB2 &amp; "/knife/sn_eec06d67190604f1f369c75d55810ee9/rendering/03.obj", "1.55106770992")</f>
        <v>1.55106770992</v>
      </c>
      <c r="G1560" s="39" t="str">
        <f>HYPERLINK(AB2 &amp; "/knife/sn_eec06d67190604f1f369c75d55810ee9/rendering/04.obj", "1.3997682333")</f>
        <v>1.3997682333</v>
      </c>
      <c r="H1560" s="70" t="str">
        <f>HYPERLINK(AB2 &amp; "/knife/sn_eec06d67190604f1f369c75d55810ee9/rendering/05.obj", "1.12412500381")</f>
        <v>1.12412500381</v>
      </c>
      <c r="I1560" s="92" t="str">
        <f>HYPERLINK(AB2 &amp; "/knife/sn_eec06d67190604f1f369c75d55810ee9/rendering/06.obj", "1.44764971733")</f>
        <v>1.44764971733</v>
      </c>
      <c r="J1560" s="110" t="str">
        <f>HYPERLINK(AB2 &amp; "/knife/sn_eec06d67190604f1f369c75d55810ee9/rendering/07.obj", "1.16182947159")</f>
        <v>1.16182947159</v>
      </c>
      <c r="K1560" s="51" t="str">
        <f>HYPERLINK(AB2 &amp; "/knife/sn_eec06d67190604f1f369c75d55810ee9/rendering/08.obj", "1.39346051216")</f>
        <v>1.39346051216</v>
      </c>
      <c r="L1560" s="68" t="str">
        <f>HYPERLINK(AB2 &amp; "/knife/sn_eec06d67190604f1f369c75d55810ee9/rendering/09.obj", "1.2344096899")</f>
        <v>1.2344096899</v>
      </c>
      <c r="M1560" s="166" t="str">
        <f>HYPERLINK(AB2 &amp; "/knife/sn_eec06d67190604f1f369c75d55810ee9/rendering/10.obj", "1.66191101074")</f>
        <v>1.66191101074</v>
      </c>
      <c r="N1560" s="39" t="str">
        <f>HYPERLINK(AB2 &amp; "/knife/sn_eec06d67190604f1f369c75d55810ee9/rendering/11.obj", "1.17757916451")</f>
        <v>1.17757916451</v>
      </c>
      <c r="O1560" s="24" t="str">
        <f>HYPERLINK(AB2 &amp; "/knife/sn_eec06d67190604f1f369c75d55810ee9/rendering/12.obj", "1.07519435883")</f>
        <v>1.07519435883</v>
      </c>
      <c r="P1560" s="169" t="str">
        <f>HYPERLINK(AB2 &amp; "/knife/sn_eec06d67190604f1f369c75d55810ee9/rendering/13.obj", "1.692943573")</f>
        <v>1.692943573</v>
      </c>
      <c r="Q1560" s="69" t="str">
        <f>HYPERLINK(AB2 &amp; "/knife/sn_eec06d67190604f1f369c75d55810ee9/rendering/14.obj", "1.25077188015")</f>
        <v>1.25077188015</v>
      </c>
      <c r="R1560" s="33" t="str">
        <f>HYPERLINK(AB2 &amp; "/knife/sn_eec06d67190604f1f369c75d55810ee9/rendering/15.obj", "1.15035247803")</f>
        <v>1.15035247803</v>
      </c>
      <c r="S1560" s="76" t="str">
        <f>HYPERLINK(AB2 &amp; "/knife/sn_eec06d67190604f1f369c75d55810ee9/rendering/16.obj", "1.0536301136")</f>
        <v>1.0536301136</v>
      </c>
      <c r="T1560" s="46" t="str">
        <f>HYPERLINK(AB2 &amp; "/knife/sn_eec06d67190604f1f369c75d55810ee9/rendering/17.obj", "1.26575374603")</f>
        <v>1.26575374603</v>
      </c>
      <c r="U1560" s="64" t="str">
        <f>HYPERLINK(AB2 &amp; "/knife/sn_eec06d67190604f1f369c75d55810ee9/rendering/18.obj", "1.50227403641")</f>
        <v>1.50227403641</v>
      </c>
      <c r="V1560" s="63" t="str">
        <f>HYPERLINK(AB2 &amp; "/knife/sn_eec06d67190604f1f369c75d55810ee9/rendering/19.obj", "1.13488698006")</f>
        <v>1.13488698006</v>
      </c>
      <c r="W1560" s="12" t="s">
        <v>32</v>
      </c>
      <c r="X1560" s="13">
        <v>1.2897467136383061</v>
      </c>
      <c r="Y1560" s="13">
        <v>0.18891697261470961</v>
      </c>
      <c r="Z1560" s="84">
        <v>0.14647602557697939</v>
      </c>
    </row>
    <row r="1561" spans="1:26" x14ac:dyDescent="0.2">
      <c r="A1561" s="1">
        <v>1559</v>
      </c>
      <c r="B1561" s="2" t="s">
        <v>344</v>
      </c>
      <c r="C1561" s="13" t="str">
        <f>HYPERLINK(AC2 &amp; "/knife/sn_eec06d67190604f1f369c75d55810ee9/rendering/00.xyz", "0.0")</f>
        <v>0.0</v>
      </c>
      <c r="D1561" s="13" t="str">
        <f>HYPERLINK(AC2 &amp; "/knife/sn_eec06d67190604f1f369c75d55810ee9/rendering/01.xyz", "0.0")</f>
        <v>0.0</v>
      </c>
      <c r="E1561" s="13" t="str">
        <f>HYPERLINK(AC2 &amp; "/knife/sn_eec06d67190604f1f369c75d55810ee9/rendering/02.xyz", "0.0")</f>
        <v>0.0</v>
      </c>
      <c r="F1561" s="13" t="str">
        <f>HYPERLINK(AC2 &amp; "/knife/sn_eec06d67190604f1f369c75d55810ee9/rendering/03.xyz", "0.0")</f>
        <v>0.0</v>
      </c>
      <c r="G1561" s="13" t="str">
        <f>HYPERLINK(AC2 &amp; "/knife/sn_eec06d67190604f1f369c75d55810ee9/rendering/04.xyz", "0.0")</f>
        <v>0.0</v>
      </c>
      <c r="H1561" s="13" t="str">
        <f>HYPERLINK(AC2 &amp; "/knife/sn_eec06d67190604f1f369c75d55810ee9/rendering/05.xyz", "0.0")</f>
        <v>0.0</v>
      </c>
      <c r="I1561" s="13" t="str">
        <f>HYPERLINK(AC2 &amp; "/knife/sn_eec06d67190604f1f369c75d55810ee9/rendering/06.xyz", "0.0")</f>
        <v>0.0</v>
      </c>
      <c r="J1561" s="13" t="str">
        <f>HYPERLINK(AC2 &amp; "/knife/sn_eec06d67190604f1f369c75d55810ee9/rendering/07.xyz", "0.0")</f>
        <v>0.0</v>
      </c>
      <c r="K1561" s="13" t="str">
        <f>HYPERLINK(AC2 &amp; "/knife/sn_eec06d67190604f1f369c75d55810ee9/rendering/08.xyz", "0.0")</f>
        <v>0.0</v>
      </c>
      <c r="L1561" s="13" t="str">
        <f>HYPERLINK(AC2 &amp; "/knife/sn_eec06d67190604f1f369c75d55810ee9/rendering/09.xyz", "0.0")</f>
        <v>0.0</v>
      </c>
      <c r="M1561" s="13" t="str">
        <f>HYPERLINK(AC2 &amp; "/knife/sn_eec06d67190604f1f369c75d55810ee9/rendering/10.xyz", "0.0")</f>
        <v>0.0</v>
      </c>
      <c r="N1561" s="13" t="str">
        <f>HYPERLINK(AC2 &amp; "/knife/sn_eec06d67190604f1f369c75d55810ee9/rendering/11.xyz", "0.0")</f>
        <v>0.0</v>
      </c>
      <c r="O1561" s="13" t="str">
        <f>HYPERLINK(AC2 &amp; "/knife/sn_eec06d67190604f1f369c75d55810ee9/rendering/12.xyz", "0.0")</f>
        <v>0.0</v>
      </c>
      <c r="P1561" s="13" t="str">
        <f>HYPERLINK(AC2 &amp; "/knife/sn_eec06d67190604f1f369c75d55810ee9/rendering/13.xyz", "0.0")</f>
        <v>0.0</v>
      </c>
      <c r="Q1561" s="13" t="str">
        <f>HYPERLINK(AC2 &amp; "/knife/sn_eec06d67190604f1f369c75d55810ee9/rendering/14.xyz", "0.0")</f>
        <v>0.0</v>
      </c>
      <c r="R1561" s="13" t="str">
        <f>HYPERLINK(AC2 &amp; "/knife/sn_eec06d67190604f1f369c75d55810ee9/rendering/15.xyz", "0.0")</f>
        <v>0.0</v>
      </c>
      <c r="S1561" s="13" t="str">
        <f>HYPERLINK(AC2 &amp; "/knife/sn_eec06d67190604f1f369c75d55810ee9/rendering/16.xyz", "0.0")</f>
        <v>0.0</v>
      </c>
      <c r="T1561" s="13" t="str">
        <f>HYPERLINK(AC2 &amp; "/knife/sn_eec06d67190604f1f369c75d55810ee9/rendering/17.xyz", "0.0")</f>
        <v>0.0</v>
      </c>
      <c r="U1561" s="13" t="str">
        <f>HYPERLINK(AC2 &amp; "/knife/sn_eec06d67190604f1f369c75d55810ee9/rendering/18.xyz", "0.0")</f>
        <v>0.0</v>
      </c>
      <c r="V1561" s="13" t="str">
        <f>HYPERLINK(AC2 &amp; "/knife/sn_eec06d67190604f1f369c75d55810ee9/rendering/19.xyz", "0.0")</f>
        <v>0.0</v>
      </c>
      <c r="W1561" s="12" t="s">
        <v>33</v>
      </c>
      <c r="X1561" s="13">
        <v>0</v>
      </c>
      <c r="Y1561" s="13">
        <v>0</v>
      </c>
      <c r="Z1561" s="13">
        <v>0</v>
      </c>
    </row>
    <row r="1562" spans="1:26" x14ac:dyDescent="0.2">
      <c r="A1562" s="1">
        <v>1560</v>
      </c>
      <c r="B1562" s="2" t="s">
        <v>345</v>
      </c>
      <c r="C1562" s="20" t="str">
        <f>HYPERLINK(AA2 &amp; "/knife/sn_eef74fec4fd6537f89145655be527428/rendering/00.obj", "9.45964233398")</f>
        <v>9.45964233398</v>
      </c>
      <c r="D1562" s="39" t="str">
        <f>HYPERLINK(AA2 &amp; "/knife/sn_eef74fec4fd6537f89145655be527428/rendering/01.obj", "5.34300354004")</f>
        <v>5.34300354004</v>
      </c>
      <c r="E1562" s="92" t="str">
        <f>HYPERLINK(AA2 &amp; "/knife/sn_eef74fec4fd6537f89145655be527428/rendering/02.obj", "4.30574432373")</f>
        <v>4.30574432373</v>
      </c>
      <c r="F1562" s="55" t="str">
        <f>HYPERLINK(AA2 &amp; "/knife/sn_eef74fec4fd6537f89145655be527428/rendering/03.obj", "3.96570098877")</f>
        <v>3.96570098877</v>
      </c>
      <c r="G1562" s="27" t="str">
        <f>HYPERLINK(AA2 &amp; "/knife/sn_eef74fec4fd6537f89145655be527428/rendering/04.obj", "5.25499511719")</f>
        <v>5.25499511719</v>
      </c>
      <c r="H1562" s="92" t="str">
        <f>HYPERLINK(AA2 &amp; "/knife/sn_eef74fec4fd6537f89145655be527428/rendering/05.obj", "4.31242492676")</f>
        <v>4.31242492676</v>
      </c>
      <c r="I1562" s="79" t="str">
        <f>HYPERLINK(AA2 &amp; "/knife/sn_eef74fec4fd6537f89145655be527428/rendering/06.obj", "4.13761932373")</f>
        <v>4.13761932373</v>
      </c>
      <c r="J1562" s="140" t="str">
        <f>HYPERLINK(AA2 &amp; "/knife/sn_eef74fec4fd6537f89145655be527428/rendering/07.obj", "6.61828796387")</f>
        <v>6.61828796387</v>
      </c>
      <c r="K1562" s="55" t="str">
        <f>HYPERLINK(AA2 &amp; "/knife/sn_eef74fec4fd6537f89145655be527428/rendering/08.obj", "3.96258117676")</f>
        <v>3.96258117676</v>
      </c>
      <c r="L1562" s="134" t="str">
        <f>HYPERLINK(AA2 &amp; "/knife/sn_eef74fec4fd6537f89145655be527428/rendering/09.obj", "4.02321289063")</f>
        <v>4.02321289063</v>
      </c>
      <c r="M1562" s="35" t="str">
        <f>HYPERLINK(AA2 &amp; "/knife/sn_eef74fec4fd6537f89145655be527428/rendering/10.obj", "5.19852294922")</f>
        <v>5.19852294922</v>
      </c>
      <c r="N1562" s="49" t="str">
        <f>HYPERLINK(AA2 &amp; "/knife/sn_eef74fec4fd6537f89145655be527428/rendering/11.obj", "3.88603393555")</f>
        <v>3.88603393555</v>
      </c>
      <c r="O1562" s="76" t="str">
        <f>HYPERLINK(AA2 &amp; "/knife/sn_eef74fec4fd6537f89145655be527428/rendering/12.obj", "4.0081048584")</f>
        <v>4.0081048584</v>
      </c>
      <c r="P1562" s="55" t="str">
        <f>HYPERLINK(AA2 &amp; "/knife/sn_eef74fec4fd6537f89145655be527428/rendering/13.obj", "3.96811706543")</f>
        <v>3.96811706543</v>
      </c>
      <c r="Q1562" s="136" t="str">
        <f>HYPERLINK(AA2 &amp; "/knife/sn_eef74fec4fd6537f89145655be527428/rendering/14.obj", "6.07614929199")</f>
        <v>6.07614929199</v>
      </c>
      <c r="R1562" s="109" t="str">
        <f>HYPERLINK(AA2 &amp; "/knife/sn_eef74fec4fd6537f89145655be527428/rendering/15.obj", "5.84971191406")</f>
        <v>5.84971191406</v>
      </c>
      <c r="S1562" s="5" t="str">
        <f>HYPERLINK(AA2 &amp; "/knife/sn_eef74fec4fd6537f89145655be527428/rendering/16.obj", "4.53499755859")</f>
        <v>4.53499755859</v>
      </c>
      <c r="T1562" s="67" t="str">
        <f>HYPERLINK(AA2 &amp; "/knife/sn_eef74fec4fd6537f89145655be527428/rendering/17.obj", "4.45318359375")</f>
        <v>4.45318359375</v>
      </c>
      <c r="U1562" s="6" t="str">
        <f>HYPERLINK(AA2 &amp; "/knife/sn_eef74fec4fd6537f89145655be527428/rendering/18.obj", "4.69298583984")</f>
        <v>4.69298583984</v>
      </c>
      <c r="V1562" s="42" t="str">
        <f>HYPERLINK(AA2 &amp; "/knife/sn_eef74fec4fd6537f89145655be527428/rendering/19.obj", "4.24885375977")</f>
        <v>4.24885375977</v>
      </c>
      <c r="W1562" s="12" t="s">
        <v>29</v>
      </c>
      <c r="X1562" s="13">
        <v>4.9149936676025394</v>
      </c>
      <c r="Y1562" s="13">
        <v>1.298591272008369</v>
      </c>
      <c r="Z1562" s="119">
        <v>0.26421016176848983</v>
      </c>
    </row>
    <row r="1563" spans="1:26" x14ac:dyDescent="0.2">
      <c r="A1563" s="1">
        <v>1561</v>
      </c>
      <c r="B1563" s="2" t="s">
        <v>345</v>
      </c>
      <c r="C1563" s="20" t="str">
        <f>HYPERLINK(AA2 &amp; "/knife/sn_eef74fec4fd6537f89145655be527428/rendering/00.obj", "8.55722522736")</f>
        <v>8.55722522736</v>
      </c>
      <c r="D1563" s="80" t="str">
        <f>HYPERLINK(AA2 &amp; "/knife/sn_eef74fec4fd6537f89145655be527428/rendering/01.obj", "2.17626571655")</f>
        <v>2.17626571655</v>
      </c>
      <c r="E1563" s="227" t="str">
        <f>HYPERLINK(AA2 &amp; "/knife/sn_eef74fec4fd6537f89145655be527428/rendering/02.obj", "1.25344753265")</f>
        <v>1.25344753265</v>
      </c>
      <c r="F1563" s="68" t="str">
        <f>HYPERLINK(AA2 &amp; "/knife/sn_eef74fec4fd6537f89145655be527428/rendering/03.obj", "2.44972515106")</f>
        <v>2.44972515106</v>
      </c>
      <c r="G1563" s="76" t="str">
        <f>HYPERLINK(AA2 &amp; "/knife/sn_eef74fec4fd6537f89145655be527428/rendering/04.obj", "3.0251147747")</f>
        <v>3.0251147747</v>
      </c>
      <c r="H1563" s="18" t="str">
        <f>HYPERLINK(AA2 &amp; "/knife/sn_eef74fec4fd6537f89145655be527428/rendering/05.obj", "1.0802680254")</f>
        <v>1.0802680254</v>
      </c>
      <c r="I1563" s="249" t="str">
        <f>HYPERLINK(AA2 &amp; "/knife/sn_eef74fec4fd6537f89145655be527428/rendering/06.obj", "1.0970915556")</f>
        <v>1.0970915556</v>
      </c>
      <c r="J1563" s="20" t="str">
        <f>HYPERLINK(AA2 &amp; "/knife/sn_eef74fec4fd6537f89145655be527428/rendering/07.obj", "5.96739244461")</f>
        <v>5.96739244461</v>
      </c>
      <c r="K1563" s="16" t="str">
        <f>HYPERLINK(AA2 &amp; "/knife/sn_eef74fec4fd6537f89145655be527428/rendering/08.obj", "1.16177773476")</f>
        <v>1.16177773476</v>
      </c>
      <c r="L1563" s="82" t="str">
        <f>HYPERLINK(AA2 &amp; "/knife/sn_eef74fec4fd6537f89145655be527428/rendering/09.obj", "2.03201413155")</f>
        <v>2.03201413155</v>
      </c>
      <c r="M1563" s="169" t="str">
        <f>HYPERLINK(AA2 &amp; "/knife/sn_eef74fec4fd6537f89145655be527428/rendering/10.obj", "3.3569893837")</f>
        <v>3.3569893837</v>
      </c>
      <c r="N1563" s="145" t="str">
        <f>HYPERLINK(AA2 &amp; "/knife/sn_eef74fec4fd6537f89145655be527428/rendering/11.obj", "1.2999856472")</f>
        <v>1.2999856472</v>
      </c>
      <c r="O1563" s="201" t="str">
        <f>HYPERLINK(AA2 &amp; "/knife/sn_eef74fec4fd6537f89145655be527428/rendering/12.obj", "1.07105779648")</f>
        <v>1.07105779648</v>
      </c>
      <c r="P1563" s="37" t="str">
        <f>HYPERLINK(AA2 &amp; "/knife/sn_eef74fec4fd6537f89145655be527428/rendering/13.obj", "2.11502432823")</f>
        <v>2.11502432823</v>
      </c>
      <c r="Q1563" s="20" t="str">
        <f>HYPERLINK(AA2 &amp; "/knife/sn_eef74fec4fd6537f89145655be527428/rendering/14.obj", "6.89264011383")</f>
        <v>6.89264011383</v>
      </c>
      <c r="R1563" s="74" t="str">
        <f>HYPERLINK(AA2 &amp; "/knife/sn_eef74fec4fd6537f89145655be527428/rendering/15.obj", "2.52151203156")</f>
        <v>2.52151203156</v>
      </c>
      <c r="S1563" s="182" t="str">
        <f>HYPERLINK(AA2 &amp; "/knife/sn_eef74fec4fd6537f89145655be527428/rendering/16.obj", "1.70654892921")</f>
        <v>1.70654892921</v>
      </c>
      <c r="T1563" s="217" t="str">
        <f>HYPERLINK(AA2 &amp; "/knife/sn_eef74fec4fd6537f89145655be527428/rendering/17.obj", "0.9436840415")</f>
        <v>0.9436840415</v>
      </c>
      <c r="U1563" s="200" t="str">
        <f>HYPERLINK(AA2 &amp; "/knife/sn_eef74fec4fd6537f89145655be527428/rendering/18.obj", "1.33102655411")</f>
        <v>1.33102655411</v>
      </c>
      <c r="V1563" s="223" t="str">
        <f>HYPERLINK(AA2 &amp; "/knife/sn_eef74fec4fd6537f89145655be527428/rendering/19.obj", "1.12605547905")</f>
        <v>1.12605547905</v>
      </c>
      <c r="W1563" s="12" t="s">
        <v>30</v>
      </c>
      <c r="X1563" s="13">
        <v>2.5582423299551009</v>
      </c>
      <c r="Y1563" s="13">
        <v>2.080165363130611</v>
      </c>
      <c r="Z1563" s="20">
        <v>0.81312287689615392</v>
      </c>
    </row>
    <row r="1564" spans="1:26" x14ac:dyDescent="0.2">
      <c r="A1564" s="1">
        <v>1562</v>
      </c>
      <c r="B1564" s="2" t="s">
        <v>345</v>
      </c>
      <c r="C1564" s="47" t="str">
        <f>HYPERLINK(AB2 &amp; "/knife/sn_eef74fec4fd6537f89145655be527428/rendering/00.obj", "3.85920349121")</f>
        <v>3.85920349121</v>
      </c>
      <c r="D1564" s="106" t="str">
        <f>HYPERLINK(AB2 &amp; "/knife/sn_eef74fec4fd6537f89145655be527428/rendering/01.obj", "4.33249237061")</f>
        <v>4.33249237061</v>
      </c>
      <c r="E1564" s="30" t="str">
        <f>HYPERLINK(AB2 &amp; "/knife/sn_eef74fec4fd6537f89145655be527428/rendering/02.obj", "3.87367004395")</f>
        <v>3.87367004395</v>
      </c>
      <c r="F1564" s="73" t="str">
        <f>HYPERLINK(AB2 &amp; "/knife/sn_eef74fec4fd6537f89145655be527428/rendering/03.obj", "4.03480529785")</f>
        <v>4.03480529785</v>
      </c>
      <c r="G1564" s="69" t="str">
        <f>HYPERLINK(AB2 &amp; "/knife/sn_eef74fec4fd6537f89145655be527428/rendering/04.obj", "3.77516479492")</f>
        <v>3.77516479492</v>
      </c>
      <c r="H1564" s="51" t="str">
        <f>HYPERLINK(AB2 &amp; "/knife/sn_eef74fec4fd6537f89145655be527428/rendering/05.obj", "4.19776245117")</f>
        <v>4.19776245117</v>
      </c>
      <c r="I1564" s="67" t="str">
        <f>HYPERLINK(AB2 &amp; "/knife/sn_eef74fec4fd6537f89145655be527428/rendering/06.obj", "4.24728210449")</f>
        <v>4.24728210449</v>
      </c>
      <c r="J1564" s="74" t="str">
        <f>HYPERLINK(AB2 &amp; "/knife/sn_eef74fec4fd6537f89145655be527428/rendering/07.obj", "3.82850280762")</f>
        <v>3.82850280762</v>
      </c>
      <c r="K1564" s="47" t="str">
        <f>HYPERLINK(AB2 &amp; "/knife/sn_eef74fec4fd6537f89145655be527428/rendering/08.obj", "3.86475616455")</f>
        <v>3.86475616455</v>
      </c>
      <c r="L1564" s="117" t="str">
        <f>HYPERLINK(AB2 &amp; "/knife/sn_eef74fec4fd6537f89145655be527428/rendering/09.obj", "3.19617370605")</f>
        <v>3.19617370605</v>
      </c>
      <c r="M1564" s="51" t="str">
        <f>HYPERLINK(AB2 &amp; "/knife/sn_eef74fec4fd6537f89145655be527428/rendering/10.obj", "4.20113586426")</f>
        <v>4.20113586426</v>
      </c>
      <c r="N1564" s="92" t="str">
        <f>HYPERLINK(AB2 &amp; "/knife/sn_eef74fec4fd6537f89145655be527428/rendering/11.obj", "3.41130554199")</f>
        <v>3.41130554199</v>
      </c>
      <c r="O1564" s="27" t="str">
        <f>HYPERLINK(AB2 &amp; "/knife/sn_eef74fec4fd6537f89145655be527428/rendering/12.obj", "3.61093994141")</f>
        <v>3.61093994141</v>
      </c>
      <c r="P1564" s="41" t="str">
        <f>HYPERLINK(AB2 &amp; "/knife/sn_eef74fec4fd6537f89145655be527428/rendering/13.obj", "4.15168029785")</f>
        <v>4.15168029785</v>
      </c>
      <c r="Q1564" s="46" t="str">
        <f>HYPERLINK(AB2 &amp; "/knife/sn_eef74fec4fd6537f89145655be527428/rendering/14.obj", "3.81876800537")</f>
        <v>3.81876800537</v>
      </c>
      <c r="R1564" s="94" t="str">
        <f>HYPERLINK(AB2 &amp; "/knife/sn_eef74fec4fd6537f89145655be527428/rendering/15.obj", "3.59787597656")</f>
        <v>3.59787597656</v>
      </c>
      <c r="S1564" s="51" t="str">
        <f>HYPERLINK(AB2 &amp; "/knife/sn_eef74fec4fd6537f89145655be527428/rendering/16.obj", "4.2056072998")</f>
        <v>4.2056072998</v>
      </c>
      <c r="T1564" s="32" t="str">
        <f>HYPERLINK(AB2 &amp; "/knife/sn_eef74fec4fd6537f89145655be527428/rendering/17.obj", "4.29505523682")</f>
        <v>4.29505523682</v>
      </c>
      <c r="U1564" s="34" t="str">
        <f>HYPERLINK(AB2 &amp; "/knife/sn_eef74fec4fd6537f89145655be527428/rendering/18.obj", "3.69860809326")</f>
        <v>3.69860809326</v>
      </c>
      <c r="V1564" s="5" t="str">
        <f>HYPERLINK(AB2 &amp; "/knife/sn_eef74fec4fd6537f89145655be527428/rendering/19.obj", "3.5878692627")</f>
        <v>3.5878692627</v>
      </c>
      <c r="W1564" s="12" t="s">
        <v>31</v>
      </c>
      <c r="X1564" s="13">
        <v>3.88943293762207</v>
      </c>
      <c r="Y1564" s="13">
        <v>0.30770547381466262</v>
      </c>
      <c r="Z1564" s="51">
        <v>7.911319689774321E-2</v>
      </c>
    </row>
    <row r="1565" spans="1:26" x14ac:dyDescent="0.2">
      <c r="A1565" s="1">
        <v>1563</v>
      </c>
      <c r="B1565" s="2" t="s">
        <v>345</v>
      </c>
      <c r="C1565" s="242" t="str">
        <f>HYPERLINK(AB2 &amp; "/knife/sn_eef74fec4fd6537f89145655be527428/rendering/00.obj", "2.27159738541")</f>
        <v>2.27159738541</v>
      </c>
      <c r="D1565" s="25" t="str">
        <f>HYPERLINK(AB2 &amp; "/knife/sn_eef74fec4fd6537f89145655be527428/rendering/01.obj", "1.32617282867")</f>
        <v>1.32617282867</v>
      </c>
      <c r="E1565" s="198" t="str">
        <f>HYPERLINK(AB2 &amp; "/knife/sn_eef74fec4fd6537f89145655be527428/rendering/02.obj", "0.804562389851")</f>
        <v>0.804562389851</v>
      </c>
      <c r="F1565" s="225" t="str">
        <f>HYPERLINK(AB2 &amp; "/knife/sn_eef74fec4fd6537f89145655be527428/rendering/03.obj", "2.06021976471")</f>
        <v>2.06021976471</v>
      </c>
      <c r="G1565" s="92" t="str">
        <f>HYPERLINK(AB2 &amp; "/knife/sn_eef74fec4fd6537f89145655be527428/rendering/04.obj", "1.14841914177")</f>
        <v>1.14841914177</v>
      </c>
      <c r="H1565" s="157" t="str">
        <f>HYPERLINK(AB2 &amp; "/knife/sn_eef74fec4fd6537f89145655be527428/rendering/05.obj", "0.766950309277")</f>
        <v>0.766950309277</v>
      </c>
      <c r="I1565" s="30" t="str">
        <f>HYPERLINK(AB2 &amp; "/knife/sn_eef74fec4fd6537f89145655be527428/rendering/06.obj", "1.3044718504")</f>
        <v>1.3044718504</v>
      </c>
      <c r="J1565" s="235" t="str">
        <f>HYPERLINK(AB2 &amp; "/knife/sn_eef74fec4fd6537f89145655be527428/rendering/07.obj", "2.02132678032")</f>
        <v>2.02132678032</v>
      </c>
      <c r="K1565" s="153" t="str">
        <f>HYPERLINK(AB2 &amp; "/knife/sn_eef74fec4fd6537f89145655be527428/rendering/08.obj", "0.844958543777")</f>
        <v>0.844958543777</v>
      </c>
      <c r="L1565" s="151" t="str">
        <f>HYPERLINK(AB2 &amp; "/knife/sn_eef74fec4fd6537f89145655be527428/rendering/09.obj", "0.842506945133")</f>
        <v>0.842506945133</v>
      </c>
      <c r="M1565" s="20" t="str">
        <f>HYPERLINK(AB2 &amp; "/knife/sn_eef74fec4fd6537f89145655be527428/rendering/10.obj", "2.44158768654")</f>
        <v>2.44158768654</v>
      </c>
      <c r="N1565" s="151" t="str">
        <f>HYPERLINK(AB2 &amp; "/knife/sn_eef74fec4fd6537f89145655be527428/rendering/11.obj", "0.841468632221")</f>
        <v>0.841468632221</v>
      </c>
      <c r="O1565" s="182" t="str">
        <f>HYPERLINK(AB2 &amp; "/knife/sn_eef74fec4fd6537f89145655be527428/rendering/12.obj", "0.873732984066")</f>
        <v>0.873732984066</v>
      </c>
      <c r="P1565" s="20" t="str">
        <f>HYPERLINK(AB2 &amp; "/knife/sn_eef74fec4fd6537f89145655be527428/rendering/13.obj", "2.71490621567")</f>
        <v>2.71490621567</v>
      </c>
      <c r="Q1565" s="36" t="str">
        <f>HYPERLINK(AB2 &amp; "/knife/sn_eef74fec4fd6537f89145655be527428/rendering/14.obj", "1.02796435356")</f>
        <v>1.02796435356</v>
      </c>
      <c r="R1565" s="196" t="str">
        <f>HYPERLINK(AB2 &amp; "/knife/sn_eef74fec4fd6537f89145655be527428/rendering/15.obj", "0.789210796356")</f>
        <v>0.789210796356</v>
      </c>
      <c r="S1565" s="46" t="str">
        <f>HYPERLINK(AB2 &amp; "/knife/sn_eef74fec4fd6537f89145655be527428/rendering/16.obj", "1.33444690704")</f>
        <v>1.33444690704</v>
      </c>
      <c r="T1565" s="193" t="str">
        <f>HYPERLINK(AB2 &amp; "/knife/sn_eef74fec4fd6537f89145655be527428/rendering/17.obj", "0.875696957111")</f>
        <v>0.875696957111</v>
      </c>
      <c r="U1565" s="49" t="str">
        <f>HYPERLINK(AB2 &amp; "/knife/sn_eef74fec4fd6537f89145655be527428/rendering/18.obj", "1.03952050209")</f>
        <v>1.03952050209</v>
      </c>
      <c r="V1565" s="169" t="str">
        <f>HYPERLINK(AB2 &amp; "/knife/sn_eef74fec4fd6537f89145655be527428/rendering/19.obj", "0.904054284096")</f>
        <v>0.904054284096</v>
      </c>
      <c r="W1565" s="12" t="s">
        <v>32</v>
      </c>
      <c r="X1565" s="13">
        <v>1.311688762903213</v>
      </c>
      <c r="Y1565" s="13">
        <v>0.61020685079140946</v>
      </c>
      <c r="Z1565" s="203">
        <v>0.46520704304946098</v>
      </c>
    </row>
    <row r="1566" spans="1:26" x14ac:dyDescent="0.2">
      <c r="A1566" s="1">
        <v>1564</v>
      </c>
      <c r="B1566" s="2" t="s">
        <v>345</v>
      </c>
      <c r="C1566" s="13" t="str">
        <f>HYPERLINK(AC2 &amp; "/knife/sn_eef74fec4fd6537f89145655be527428/rendering/00.xyz", "0.0")</f>
        <v>0.0</v>
      </c>
      <c r="D1566" s="13" t="str">
        <f>HYPERLINK(AC2 &amp; "/knife/sn_eef74fec4fd6537f89145655be527428/rendering/01.xyz", "0.0")</f>
        <v>0.0</v>
      </c>
      <c r="E1566" s="13" t="str">
        <f>HYPERLINK(AC2 &amp; "/knife/sn_eef74fec4fd6537f89145655be527428/rendering/02.xyz", "0.0")</f>
        <v>0.0</v>
      </c>
      <c r="F1566" s="13" t="str">
        <f>HYPERLINK(AC2 &amp; "/knife/sn_eef74fec4fd6537f89145655be527428/rendering/03.xyz", "0.0")</f>
        <v>0.0</v>
      </c>
      <c r="G1566" s="13" t="str">
        <f>HYPERLINK(AC2 &amp; "/knife/sn_eef74fec4fd6537f89145655be527428/rendering/04.xyz", "0.0")</f>
        <v>0.0</v>
      </c>
      <c r="H1566" s="13" t="str">
        <f>HYPERLINK(AC2 &amp; "/knife/sn_eef74fec4fd6537f89145655be527428/rendering/05.xyz", "0.0")</f>
        <v>0.0</v>
      </c>
      <c r="I1566" s="13" t="str">
        <f>HYPERLINK(AC2 &amp; "/knife/sn_eef74fec4fd6537f89145655be527428/rendering/06.xyz", "0.0")</f>
        <v>0.0</v>
      </c>
      <c r="J1566" s="13" t="str">
        <f>HYPERLINK(AC2 &amp; "/knife/sn_eef74fec4fd6537f89145655be527428/rendering/07.xyz", "0.0")</f>
        <v>0.0</v>
      </c>
      <c r="K1566" s="13" t="str">
        <f>HYPERLINK(AC2 &amp; "/knife/sn_eef74fec4fd6537f89145655be527428/rendering/08.xyz", "0.0")</f>
        <v>0.0</v>
      </c>
      <c r="L1566" s="13" t="str">
        <f>HYPERLINK(AC2 &amp; "/knife/sn_eef74fec4fd6537f89145655be527428/rendering/09.xyz", "0.0")</f>
        <v>0.0</v>
      </c>
      <c r="M1566" s="13" t="str">
        <f>HYPERLINK(AC2 &amp; "/knife/sn_eef74fec4fd6537f89145655be527428/rendering/10.xyz", "0.0")</f>
        <v>0.0</v>
      </c>
      <c r="N1566" s="13" t="str">
        <f>HYPERLINK(AC2 &amp; "/knife/sn_eef74fec4fd6537f89145655be527428/rendering/11.xyz", "0.0")</f>
        <v>0.0</v>
      </c>
      <c r="O1566" s="13" t="str">
        <f>HYPERLINK(AC2 &amp; "/knife/sn_eef74fec4fd6537f89145655be527428/rendering/12.xyz", "0.0")</f>
        <v>0.0</v>
      </c>
      <c r="P1566" s="13" t="str">
        <f>HYPERLINK(AC2 &amp; "/knife/sn_eef74fec4fd6537f89145655be527428/rendering/13.xyz", "0.0")</f>
        <v>0.0</v>
      </c>
      <c r="Q1566" s="13" t="str">
        <f>HYPERLINK(AC2 &amp; "/knife/sn_eef74fec4fd6537f89145655be527428/rendering/14.xyz", "0.0")</f>
        <v>0.0</v>
      </c>
      <c r="R1566" s="13" t="str">
        <f>HYPERLINK(AC2 &amp; "/knife/sn_eef74fec4fd6537f89145655be527428/rendering/15.xyz", "0.0")</f>
        <v>0.0</v>
      </c>
      <c r="S1566" s="13" t="str">
        <f>HYPERLINK(AC2 &amp; "/knife/sn_eef74fec4fd6537f89145655be527428/rendering/16.xyz", "0.0")</f>
        <v>0.0</v>
      </c>
      <c r="T1566" s="13" t="str">
        <f>HYPERLINK(AC2 &amp; "/knife/sn_eef74fec4fd6537f89145655be527428/rendering/17.xyz", "0.0")</f>
        <v>0.0</v>
      </c>
      <c r="U1566" s="13" t="str">
        <f>HYPERLINK(AC2 &amp; "/knife/sn_eef74fec4fd6537f89145655be527428/rendering/18.xyz", "0.0")</f>
        <v>0.0</v>
      </c>
      <c r="V1566" s="13" t="str">
        <f>HYPERLINK(AC2 &amp; "/knife/sn_eef74fec4fd6537f89145655be527428/rendering/19.xyz", "0.0")</f>
        <v>0.0</v>
      </c>
      <c r="W1566" s="12" t="s">
        <v>33</v>
      </c>
      <c r="X1566" s="13">
        <v>0</v>
      </c>
      <c r="Y1566" s="13">
        <v>0</v>
      </c>
      <c r="Z1566" s="13">
        <v>0</v>
      </c>
    </row>
    <row r="1567" spans="1:26" x14ac:dyDescent="0.2">
      <c r="A1567" s="1">
        <v>1565</v>
      </c>
      <c r="B1567" s="2" t="s">
        <v>346</v>
      </c>
      <c r="C1567" s="8" t="str">
        <f>HYPERLINK(AA2 &amp; "/knife/sn_ef0dd0f2af9869325867e536d32c89f6/rendering/00.obj", "4.00108825684")</f>
        <v>4.00108825684</v>
      </c>
      <c r="D1567" s="223" t="str">
        <f>HYPERLINK(AA2 &amp; "/knife/sn_ef0dd0f2af9869325867e536d32c89f6/rendering/01.obj", "7.29391540527")</f>
        <v>7.29391540527</v>
      </c>
      <c r="E1567" s="26" t="str">
        <f>HYPERLINK(AA2 &amp; "/knife/sn_ef0dd0f2af9869325867e536d32c89f6/rendering/02.obj", "4.36869354248")</f>
        <v>4.36869354248</v>
      </c>
      <c r="F1567" s="59" t="str">
        <f>HYPERLINK(AA2 &amp; "/knife/sn_ef0dd0f2af9869325867e536d32c89f6/rendering/03.obj", "3.54766845703")</f>
        <v>3.54766845703</v>
      </c>
      <c r="G1567" s="251" t="str">
        <f>HYPERLINK(AA2 &amp; "/knife/sn_ef0dd0f2af9869325867e536d32c89f6/rendering/04.obj", "7.42718933105")</f>
        <v>7.42718933105</v>
      </c>
      <c r="H1567" s="75" t="str">
        <f>HYPERLINK(AA2 &amp; "/knife/sn_ef0dd0f2af9869325867e536d32c89f6/rendering/05.obj", "3.63667816162")</f>
        <v>3.63667816162</v>
      </c>
      <c r="I1567" s="20" t="str">
        <f>HYPERLINK(AA2 &amp; "/knife/sn_ef0dd0f2af9869325867e536d32c89f6/rendering/06.obj", "11.5913305664")</f>
        <v>11.5913305664</v>
      </c>
      <c r="J1567" s="44" t="str">
        <f>HYPERLINK(AA2 &amp; "/knife/sn_ef0dd0f2af9869325867e536d32c89f6/rendering/07.obj", "3.7643460083")</f>
        <v>3.7643460083</v>
      </c>
      <c r="K1567" s="68" t="str">
        <f>HYPERLINK(AA2 &amp; "/knife/sn_ef0dd0f2af9869325867e536d32c89f6/rendering/08.obj", "4.47711791992")</f>
        <v>4.47711791992</v>
      </c>
      <c r="L1567" s="32" t="str">
        <f>HYPERLINK(AA2 &amp; "/knife/sn_ef0dd0f2af9869325867e536d32c89f6/rendering/09.obj", "4.17830505371")</f>
        <v>4.17830505371</v>
      </c>
      <c r="M1567" s="14" t="str">
        <f>HYPERLINK(AA2 &amp; "/knife/sn_ef0dd0f2af9869325867e536d32c89f6/rendering/10.obj", "3.32389526367")</f>
        <v>3.32389526367</v>
      </c>
      <c r="N1567" s="8" t="str">
        <f>HYPERLINK(AA2 &amp; "/knife/sn_ef0dd0f2af9869325867e536d32c89f6/rendering/11.obj", "4.0065612793")</f>
        <v>4.0065612793</v>
      </c>
      <c r="O1567" s="6" t="str">
        <f>HYPERLINK(AA2 &amp; "/knife/sn_ef0dd0f2af9869325867e536d32c89f6/rendering/12.obj", "4.8852532959")</f>
        <v>4.8852532959</v>
      </c>
      <c r="P1567" s="90" t="str">
        <f>HYPERLINK(AA2 &amp; "/knife/sn_ef0dd0f2af9869325867e536d32c89f6/rendering/13.obj", "4.23132965088")</f>
        <v>4.23132965088</v>
      </c>
      <c r="Q1567" s="175" t="str">
        <f>HYPERLINK(AA2 &amp; "/knife/sn_ef0dd0f2af9869325867e536d32c89f6/rendering/14.obj", "3.58384033203")</f>
        <v>3.58384033203</v>
      </c>
      <c r="R1567" s="42" t="str">
        <f>HYPERLINK(AA2 &amp; "/knife/sn_ef0dd0f2af9869325867e536d32c89f6/rendering/15.obj", "4.03806793213")</f>
        <v>4.03806793213</v>
      </c>
      <c r="S1567" s="129" t="str">
        <f>HYPERLINK(AA2 &amp; "/knife/sn_ef0dd0f2af9869325867e536d32c89f6/rendering/16.obj", "3.50469665527")</f>
        <v>3.50469665527</v>
      </c>
      <c r="T1567" s="37" t="str">
        <f>HYPERLINK(AA2 &amp; "/knife/sn_ef0dd0f2af9869325867e536d32c89f6/rendering/17.obj", "3.85695587158")</f>
        <v>3.85695587158</v>
      </c>
      <c r="U1567" s="36" t="str">
        <f>HYPERLINK(AA2 &amp; "/knife/sn_ef0dd0f2af9869325867e536d32c89f6/rendering/18.obj", "3.66397094727")</f>
        <v>3.66397094727</v>
      </c>
      <c r="V1567" s="63" t="str">
        <f>HYPERLINK(AA2 &amp; "/knife/sn_ef0dd0f2af9869325867e536d32c89f6/rendering/19.obj", "4.11476013184")</f>
        <v>4.11476013184</v>
      </c>
      <c r="W1567" s="12" t="s">
        <v>29</v>
      </c>
      <c r="X1567" s="13">
        <v>4.6747832031250001</v>
      </c>
      <c r="Y1567" s="13">
        <v>1.9204885497977291</v>
      </c>
      <c r="Z1567" s="158">
        <v>0.41081874096619497</v>
      </c>
    </row>
    <row r="1568" spans="1:26" x14ac:dyDescent="0.2">
      <c r="A1568" s="1">
        <v>1566</v>
      </c>
      <c r="B1568" s="2" t="s">
        <v>346</v>
      </c>
      <c r="C1568" s="112" t="str">
        <f>HYPERLINK(AA2 &amp; "/knife/sn_ef0dd0f2af9869325867e536d32c89f6/rendering/00.obj", "1.28844606876")</f>
        <v>1.28844606876</v>
      </c>
      <c r="D1568" s="239" t="str">
        <f>HYPERLINK(AA2 &amp; "/knife/sn_ef0dd0f2af9869325867e536d32c89f6/rendering/01.obj", "5.09906339645")</f>
        <v>5.09906339645</v>
      </c>
      <c r="E1568" s="159" t="str">
        <f>HYPERLINK(AA2 &amp; "/knife/sn_ef0dd0f2af9869325867e536d32c89f6/rendering/02.obj", "1.67869091034")</f>
        <v>1.67869091034</v>
      </c>
      <c r="F1568" s="21" t="str">
        <f>HYPERLINK(AA2 &amp; "/knife/sn_ef0dd0f2af9869325867e536d32c89f6/rendering/03.obj", "1.41355645657")</f>
        <v>1.41355645657</v>
      </c>
      <c r="G1568" s="215" t="str">
        <f>HYPERLINK(AA2 &amp; "/knife/sn_ef0dd0f2af9869325867e536d32c89f6/rendering/04.obj", "5.29807758331")</f>
        <v>5.29807758331</v>
      </c>
      <c r="H1568" s="200" t="str">
        <f>HYPERLINK(AA2 &amp; "/knife/sn_ef0dd0f2af9869325867e536d32c89f6/rendering/05.obj", "1.6579554081")</f>
        <v>1.6579554081</v>
      </c>
      <c r="I1568" s="20" t="str">
        <f>HYPERLINK(AA2 &amp; "/knife/sn_ef0dd0f2af9869325867e536d32c89f6/rendering/06.obj", "24.7858104706")</f>
        <v>24.7858104706</v>
      </c>
      <c r="J1568" s="155" t="str">
        <f>HYPERLINK(AA2 &amp; "/knife/sn_ef0dd0f2af9869325867e536d32c89f6/rendering/07.obj", "1.02489793301")</f>
        <v>1.02489793301</v>
      </c>
      <c r="K1568" s="178" t="str">
        <f>HYPERLINK(AA2 &amp; "/knife/sn_ef0dd0f2af9869325867e536d32c89f6/rendering/08.obj", "1.11534523964")</f>
        <v>1.11534523964</v>
      </c>
      <c r="L1568" s="148" t="str">
        <f>HYPERLINK(AA2 &amp; "/knife/sn_ef0dd0f2af9869325867e536d32c89f6/rendering/09.obj", "1.62945711613")</f>
        <v>1.62945711613</v>
      </c>
      <c r="M1568" s="251" t="str">
        <f>HYPERLINK(AA2 &amp; "/knife/sn_ef0dd0f2af9869325867e536d32c89f6/rendering/10.obj", "1.30303227901")</f>
        <v>1.30303227901</v>
      </c>
      <c r="N1568" s="18" t="str">
        <f>HYPERLINK(AA2 &amp; "/knife/sn_ef0dd0f2af9869325867e536d32c89f6/rendering/11.obj", "1.33694601059")</f>
        <v>1.33694601059</v>
      </c>
      <c r="O1568" s="29" t="str">
        <f>HYPERLINK(AA2 &amp; "/knife/sn_ef0dd0f2af9869325867e536d32c89f6/rendering/12.obj", "2.75849890709")</f>
        <v>2.75849890709</v>
      </c>
      <c r="P1568" s="123" t="str">
        <f>HYPERLINK(AA2 &amp; "/knife/sn_ef0dd0f2af9869325867e536d32c89f6/rendering/13.obj", "2.00279116631")</f>
        <v>2.00279116631</v>
      </c>
      <c r="Q1568" s="257" t="str">
        <f>HYPERLINK(AA2 &amp; "/knife/sn_ef0dd0f2af9869325867e536d32c89f6/rendering/14.obj", "0.907680809498")</f>
        <v>0.907680809498</v>
      </c>
      <c r="R1568" s="121" t="str">
        <f>HYPERLINK(AA2 &amp; "/knife/sn_ef0dd0f2af9869325867e536d32c89f6/rendering/15.obj", "2.05156564713")</f>
        <v>2.05156564713</v>
      </c>
      <c r="S1568" s="165" t="str">
        <f>HYPERLINK(AA2 &amp; "/knife/sn_ef0dd0f2af9869325867e536d32c89f6/rendering/16.obj", "0.97959446907")</f>
        <v>0.97959446907</v>
      </c>
      <c r="T1568" s="19" t="str">
        <f>HYPERLINK(AA2 &amp; "/knife/sn_ef0dd0f2af9869325867e536d32c89f6/rendering/17.obj", "2.33785367012")</f>
        <v>2.33785367012</v>
      </c>
      <c r="U1568" s="198" t="str">
        <f>HYPERLINK(AA2 &amp; "/knife/sn_ef0dd0f2af9869325867e536d32c89f6/rendering/18.obj", "1.93799126148")</f>
        <v>1.93799126148</v>
      </c>
      <c r="V1568" s="106" t="str">
        <f>HYPERLINK(AA2 &amp; "/knife/sn_ef0dd0f2af9869325867e536d32c89f6/rendering/19.obj", "2.80277085304")</f>
        <v>2.80277085304</v>
      </c>
      <c r="W1568" s="12" t="s">
        <v>30</v>
      </c>
      <c r="X1568" s="13">
        <v>3.1705012828111649</v>
      </c>
      <c r="Y1568" s="13">
        <v>5.0976201039403959</v>
      </c>
      <c r="Z1568" s="20">
        <v>1.607827800473409</v>
      </c>
    </row>
    <row r="1569" spans="1:26" x14ac:dyDescent="0.2">
      <c r="A1569" s="1">
        <v>1567</v>
      </c>
      <c r="B1569" s="2" t="s">
        <v>346</v>
      </c>
      <c r="C1569" s="33" t="str">
        <f>HYPERLINK(AB2 &amp; "/knife/sn_ef0dd0f2af9869325867e536d32c89f6/rendering/00.obj", "3.79987701416")</f>
        <v>3.79987701416</v>
      </c>
      <c r="D1569" s="79" t="str">
        <f>HYPERLINK(AB2 &amp; "/knife/sn_ef0dd0f2af9869325867e536d32c89f6/rendering/01.obj", "2.88811157227")</f>
        <v>2.88811157227</v>
      </c>
      <c r="E1569" s="19" t="str">
        <f>HYPERLINK(AB2 &amp; "/knife/sn_ef0dd0f2af9869325867e536d32c89f6/rendering/02.obj", "4.32540771484")</f>
        <v>4.32540771484</v>
      </c>
      <c r="F1569" s="30" t="str">
        <f>HYPERLINK(AB2 &amp; "/knife/sn_ef0dd0f2af9869325867e536d32c89f6/rendering/03.obj", "3.44363342285")</f>
        <v>3.44363342285</v>
      </c>
      <c r="G1569" s="8" t="str">
        <f>HYPERLINK(AB2 &amp; "/knife/sn_ef0dd0f2af9869325867e536d32c89f6/rendering/04.obj", "2.93894165039")</f>
        <v>2.93894165039</v>
      </c>
      <c r="H1569" s="107" t="str">
        <f>HYPERLINK(AB2 &amp; "/knife/sn_ef0dd0f2af9869325867e536d32c89f6/rendering/05.obj", "3.72138946533")</f>
        <v>3.72138946533</v>
      </c>
      <c r="I1569" s="66" t="str">
        <f>HYPERLINK(AB2 &amp; "/knife/sn_ef0dd0f2af9869325867e536d32c89f6/rendering/06.obj", "2.88113067627")</f>
        <v>2.88113067627</v>
      </c>
      <c r="J1569" s="110" t="str">
        <f>HYPERLINK(AB2 &amp; "/knife/sn_ef0dd0f2af9869325867e536d32c89f6/rendering/07.obj", "3.09780761719")</f>
        <v>3.09780761719</v>
      </c>
      <c r="K1569" s="68" t="str">
        <f>HYPERLINK(AB2 &amp; "/knife/sn_ef0dd0f2af9869325867e536d32c89f6/rendering/08.obj", "3.28593841553")</f>
        <v>3.28593841553</v>
      </c>
      <c r="L1569" s="73" t="str">
        <f>HYPERLINK(AB2 &amp; "/knife/sn_ef0dd0f2af9869325867e536d32c89f6/rendering/09.obj", "3.30640075684")</f>
        <v>3.30640075684</v>
      </c>
      <c r="M1569" s="94" t="str">
        <f>HYPERLINK(AB2 &amp; "/knife/sn_ef0dd0f2af9869325867e536d32c89f6/rendering/10.obj", "3.68671417236")</f>
        <v>3.68671417236</v>
      </c>
      <c r="N1569" s="90" t="str">
        <f>HYPERLINK(AB2 &amp; "/knife/sn_ef0dd0f2af9869325867e536d32c89f6/rendering/11.obj", "3.75818237305")</f>
        <v>3.75818237305</v>
      </c>
      <c r="O1569" s="30" t="str">
        <f>HYPERLINK(AB2 &amp; "/knife/sn_ef0dd0f2af9869325867e536d32c89f6/rendering/12.obj", "3.45047363281")</f>
        <v>3.45047363281</v>
      </c>
      <c r="P1569" s="30" t="str">
        <f>HYPERLINK(AB2 &amp; "/knife/sn_ef0dd0f2af9869325867e536d32c89f6/rendering/13.obj", "3.44266479492")</f>
        <v>3.44266479492</v>
      </c>
      <c r="Q1569" s="110" t="str">
        <f>HYPERLINK(AB2 &amp; "/knife/sn_ef0dd0f2af9869325867e536d32c89f6/rendering/14.obj", "3.76549560547")</f>
        <v>3.76549560547</v>
      </c>
      <c r="R1569" s="51" t="str">
        <f>HYPERLINK(AB2 &amp; "/knife/sn_ef0dd0f2af9869325867e536d32c89f6/rendering/15.obj", "3.70976867676")</f>
        <v>3.70976867676</v>
      </c>
      <c r="S1569" s="82" t="str">
        <f>HYPERLINK(AB2 &amp; "/knife/sn_ef0dd0f2af9869325867e536d32c89f6/rendering/16.obj", "4.13853424072")</f>
        <v>4.13853424072</v>
      </c>
      <c r="T1569" s="80" t="str">
        <f>HYPERLINK(AB2 &amp; "/knife/sn_ef0dd0f2af9869325867e536d32c89f6/rendering/17.obj", "2.91688232422")</f>
        <v>2.91688232422</v>
      </c>
      <c r="U1569" s="67" t="str">
        <f>HYPERLINK(AB2 &amp; "/knife/sn_ef0dd0f2af9869325867e536d32c89f6/rendering/18.obj", "3.11726623535")</f>
        <v>3.11726623535</v>
      </c>
      <c r="V1569" s="42" t="str">
        <f>HYPERLINK(AB2 &amp; "/knife/sn_ef0dd0f2af9869325867e536d32c89f6/rendering/19.obj", "2.95881652832")</f>
        <v>2.95881652832</v>
      </c>
      <c r="W1569" s="12" t="s">
        <v>31</v>
      </c>
      <c r="X1569" s="13">
        <v>3.4316718444824219</v>
      </c>
      <c r="Y1569" s="13">
        <v>0.41570199519510131</v>
      </c>
      <c r="Z1569" s="63">
        <v>0.12113687264808939</v>
      </c>
    </row>
    <row r="1570" spans="1:26" x14ac:dyDescent="0.2">
      <c r="A1570" s="1">
        <v>1568</v>
      </c>
      <c r="B1570" s="2" t="s">
        <v>346</v>
      </c>
      <c r="C1570" s="46" t="str">
        <f>HYPERLINK(AB2 &amp; "/knife/sn_ef0dd0f2af9869325867e536d32c89f6/rendering/00.obj", "0.96956372261")</f>
        <v>0.96956372261</v>
      </c>
      <c r="D1570" s="100" t="str">
        <f>HYPERLINK(AB2 &amp; "/knife/sn_ef0dd0f2af9869325867e536d32c89f6/rendering/01.obj", "1.27975773811")</f>
        <v>1.27975773811</v>
      </c>
      <c r="E1570" s="78" t="str">
        <f>HYPERLINK(AB2 &amp; "/knife/sn_ef0dd0f2af9869325867e536d32c89f6/rendering/02.obj", "0.924661934376")</f>
        <v>0.924661934376</v>
      </c>
      <c r="F1570" s="90" t="str">
        <f>HYPERLINK(AB2 &amp; "/knife/sn_ef0dd0f2af9869325867e536d32c89f6/rendering/03.obj", "0.892611443996")</f>
        <v>0.892611443996</v>
      </c>
      <c r="G1570" s="17" t="str">
        <f>HYPERLINK(AB2 &amp; "/knife/sn_ef0dd0f2af9869325867e536d32c89f6/rendering/04.obj", "0.966748058796")</f>
        <v>0.966748058796</v>
      </c>
      <c r="H1570" s="40" t="str">
        <f>HYPERLINK(AB2 &amp; "/knife/sn_ef0dd0f2af9869325867e536d32c89f6/rendering/05.obj", "0.815979480743")</f>
        <v>0.815979480743</v>
      </c>
      <c r="I1570" s="30" t="str">
        <f>HYPERLINK(AB2 &amp; "/knife/sn_ef0dd0f2af9869325867e536d32c89f6/rendering/06.obj", "0.990209817886")</f>
        <v>0.990209817886</v>
      </c>
      <c r="J1570" s="26" t="str">
        <f>HYPERLINK(AB2 &amp; "/knife/sn_ef0dd0f2af9869325867e536d32c89f6/rendering/07.obj", "0.922826051712")</f>
        <v>0.922826051712</v>
      </c>
      <c r="K1570" s="69" t="str">
        <f>HYPERLINK(AB2 &amp; "/knife/sn_ef0dd0f2af9869325867e536d32c89f6/rendering/08.obj", "0.955963492393")</f>
        <v>0.955963492393</v>
      </c>
      <c r="L1570" s="40" t="str">
        <f>HYPERLINK(AB2 &amp; "/knife/sn_ef0dd0f2af9869325867e536d32c89f6/rendering/09.obj", "0.816595196724")</f>
        <v>0.816595196724</v>
      </c>
      <c r="M1570" s="218" t="str">
        <f>HYPERLINK(AB2 &amp; "/knife/sn_ef0dd0f2af9869325867e536d32c89f6/rendering/10.obj", "1.49544417858")</f>
        <v>1.49544417858</v>
      </c>
      <c r="N1570" s="60" t="str">
        <f>HYPERLINK(AB2 &amp; "/knife/sn_ef0dd0f2af9869325867e536d32c89f6/rendering/11.obj", "0.932969450951")</f>
        <v>0.932969450951</v>
      </c>
      <c r="O1570" s="94" t="str">
        <f>HYPERLINK(AB2 &amp; "/knife/sn_ef0dd0f2af9869325867e536d32c89f6/rendering/12.obj", "0.913137316704")</f>
        <v>0.913137316704</v>
      </c>
      <c r="P1570" s="80" t="str">
        <f>HYPERLINK(AB2 &amp; "/knife/sn_ef0dd0f2af9869325867e536d32c89f6/rendering/13.obj", "1.13271594048")</f>
        <v>1.13271594048</v>
      </c>
      <c r="Q1570" s="71" t="str">
        <f>HYPERLINK(AB2 &amp; "/knife/sn_ef0dd0f2af9869325867e536d32c89f6/rendering/14.obj", "0.870680570602")</f>
        <v>0.870680570602</v>
      </c>
      <c r="R1570" s="78" t="str">
        <f>HYPERLINK(AB2 &amp; "/knife/sn_ef0dd0f2af9869325867e536d32c89f6/rendering/15.obj", "0.925148427486")</f>
        <v>0.925148427486</v>
      </c>
      <c r="S1570" s="41" t="str">
        <f>HYPERLINK(AB2 &amp; "/knife/sn_ef0dd0f2af9869325867e536d32c89f6/rendering/16.obj", "0.919516861439")</f>
        <v>0.919516861439</v>
      </c>
      <c r="T1570" s="30" t="str">
        <f>HYPERLINK(AB2 &amp; "/knife/sn_ef0dd0f2af9869325867e536d32c89f6/rendering/17.obj", "0.99161875248")</f>
        <v>0.99161875248</v>
      </c>
      <c r="U1570" s="13" t="str">
        <f>HYPERLINK(AB2 &amp; "/knife/sn_ef0dd0f2af9869325867e536d32c89f6/rendering/18.obj", "0.988270699978")</f>
        <v>0.988270699978</v>
      </c>
      <c r="V1570" s="17" t="str">
        <f>HYPERLINK(AB2 &amp; "/knife/sn_ef0dd0f2af9869325867e536d32c89f6/rendering/19.obj", "1.00505030155")</f>
        <v>1.00505030155</v>
      </c>
      <c r="W1570" s="12" t="s">
        <v>32</v>
      </c>
      <c r="X1570" s="13">
        <v>0.98547347187995915</v>
      </c>
      <c r="Y1570" s="13">
        <v>0.15377414290261021</v>
      </c>
      <c r="Z1570" s="31">
        <v>0.1560408750620752</v>
      </c>
    </row>
    <row r="1571" spans="1:26" x14ac:dyDescent="0.2">
      <c r="A1571" s="1">
        <v>1569</v>
      </c>
      <c r="B1571" s="2" t="s">
        <v>346</v>
      </c>
      <c r="C1571" s="13" t="str">
        <f>HYPERLINK(AC2 &amp; "/knife/sn_ef0dd0f2af9869325867e536d32c89f6/rendering/00.xyz", "0.0")</f>
        <v>0.0</v>
      </c>
      <c r="D1571" s="13" t="str">
        <f>HYPERLINK(AC2 &amp; "/knife/sn_ef0dd0f2af9869325867e536d32c89f6/rendering/01.xyz", "0.0")</f>
        <v>0.0</v>
      </c>
      <c r="E1571" s="13" t="str">
        <f>HYPERLINK(AC2 &amp; "/knife/sn_ef0dd0f2af9869325867e536d32c89f6/rendering/02.xyz", "0.0")</f>
        <v>0.0</v>
      </c>
      <c r="F1571" s="13" t="str">
        <f>HYPERLINK(AC2 &amp; "/knife/sn_ef0dd0f2af9869325867e536d32c89f6/rendering/03.xyz", "0.0")</f>
        <v>0.0</v>
      </c>
      <c r="G1571" s="13" t="str">
        <f>HYPERLINK(AC2 &amp; "/knife/sn_ef0dd0f2af9869325867e536d32c89f6/rendering/04.xyz", "0.0")</f>
        <v>0.0</v>
      </c>
      <c r="H1571" s="13" t="str">
        <f>HYPERLINK(AC2 &amp; "/knife/sn_ef0dd0f2af9869325867e536d32c89f6/rendering/05.xyz", "0.0")</f>
        <v>0.0</v>
      </c>
      <c r="I1571" s="13" t="str">
        <f>HYPERLINK(AC2 &amp; "/knife/sn_ef0dd0f2af9869325867e536d32c89f6/rendering/06.xyz", "0.0")</f>
        <v>0.0</v>
      </c>
      <c r="J1571" s="13" t="str">
        <f>HYPERLINK(AC2 &amp; "/knife/sn_ef0dd0f2af9869325867e536d32c89f6/rendering/07.xyz", "0.0")</f>
        <v>0.0</v>
      </c>
      <c r="K1571" s="13" t="str">
        <f>HYPERLINK(AC2 &amp; "/knife/sn_ef0dd0f2af9869325867e536d32c89f6/rendering/08.xyz", "0.0")</f>
        <v>0.0</v>
      </c>
      <c r="L1571" s="13" t="str">
        <f>HYPERLINK(AC2 &amp; "/knife/sn_ef0dd0f2af9869325867e536d32c89f6/rendering/09.xyz", "0.0")</f>
        <v>0.0</v>
      </c>
      <c r="M1571" s="13" t="str">
        <f>HYPERLINK(AC2 &amp; "/knife/sn_ef0dd0f2af9869325867e536d32c89f6/rendering/10.xyz", "0.0")</f>
        <v>0.0</v>
      </c>
      <c r="N1571" s="13" t="str">
        <f>HYPERLINK(AC2 &amp; "/knife/sn_ef0dd0f2af9869325867e536d32c89f6/rendering/11.xyz", "0.0")</f>
        <v>0.0</v>
      </c>
      <c r="O1571" s="13" t="str">
        <f>HYPERLINK(AC2 &amp; "/knife/sn_ef0dd0f2af9869325867e536d32c89f6/rendering/12.xyz", "0.0")</f>
        <v>0.0</v>
      </c>
      <c r="P1571" s="13" t="str">
        <f>HYPERLINK(AC2 &amp; "/knife/sn_ef0dd0f2af9869325867e536d32c89f6/rendering/13.xyz", "0.0")</f>
        <v>0.0</v>
      </c>
      <c r="Q1571" s="13" t="str">
        <f>HYPERLINK(AC2 &amp; "/knife/sn_ef0dd0f2af9869325867e536d32c89f6/rendering/14.xyz", "0.0")</f>
        <v>0.0</v>
      </c>
      <c r="R1571" s="13" t="str">
        <f>HYPERLINK(AC2 &amp; "/knife/sn_ef0dd0f2af9869325867e536d32c89f6/rendering/15.xyz", "0.0")</f>
        <v>0.0</v>
      </c>
      <c r="S1571" s="13" t="str">
        <f>HYPERLINK(AC2 &amp; "/knife/sn_ef0dd0f2af9869325867e536d32c89f6/rendering/16.xyz", "0.0")</f>
        <v>0.0</v>
      </c>
      <c r="T1571" s="13" t="str">
        <f>HYPERLINK(AC2 &amp; "/knife/sn_ef0dd0f2af9869325867e536d32c89f6/rendering/17.xyz", "0.0")</f>
        <v>0.0</v>
      </c>
      <c r="U1571" s="13" t="str">
        <f>HYPERLINK(AC2 &amp; "/knife/sn_ef0dd0f2af9869325867e536d32c89f6/rendering/18.xyz", "0.0")</f>
        <v>0.0</v>
      </c>
      <c r="V1571" s="13" t="str">
        <f>HYPERLINK(AC2 &amp; "/knife/sn_ef0dd0f2af9869325867e536d32c89f6/rendering/19.xyz", "0.0")</f>
        <v>0.0</v>
      </c>
      <c r="W1571" s="12" t="s">
        <v>33</v>
      </c>
      <c r="X1571" s="13">
        <v>0</v>
      </c>
      <c r="Y1571" s="13">
        <v>0</v>
      </c>
      <c r="Z1571" s="13">
        <v>0</v>
      </c>
    </row>
    <row r="1572" spans="1:26" x14ac:dyDescent="0.2">
      <c r="A1572" s="1">
        <v>1570</v>
      </c>
      <c r="B1572" s="2" t="s">
        <v>347</v>
      </c>
      <c r="C1572" s="117" t="str">
        <f>HYPERLINK(AA2 &amp; "/knife/sn_f0402647fd0236f999abe44c28bf45e/rendering/00.obj", "3.06599914551")</f>
        <v>3.06599914551</v>
      </c>
      <c r="D1572" s="163" t="str">
        <f>HYPERLINK(AA2 &amp; "/knife/sn_f0402647fd0236f999abe44c28bf45e/rendering/01.obj", "5.37437988281")</f>
        <v>5.37437988281</v>
      </c>
      <c r="E1572" s="8" t="str">
        <f>HYPERLINK(AA2 &amp; "/knife/sn_f0402647fd0236f999abe44c28bf45e/rendering/02.obj", "3.19562408447")</f>
        <v>3.19562408447</v>
      </c>
      <c r="F1572" s="23" t="str">
        <f>HYPERLINK(AA2 &amp; "/knife/sn_f0402647fd0236f999abe44c28bf45e/rendering/03.obj", "3.58468566895")</f>
        <v>3.58468566895</v>
      </c>
      <c r="G1572" s="77" t="str">
        <f>HYPERLINK(AA2 &amp; "/knife/sn_f0402647fd0236f999abe44c28bf45e/rendering/04.obj", "3.02724365234")</f>
        <v>3.02724365234</v>
      </c>
      <c r="H1572" s="106" t="str">
        <f>HYPERLINK(AA2 &amp; "/knife/sn_f0402647fd0236f999abe44c28bf45e/rendering/05.obj", "4.15732788086")</f>
        <v>4.15732788086</v>
      </c>
      <c r="I1572" s="93" t="str">
        <f>HYPERLINK(AA2 &amp; "/knife/sn_f0402647fd0236f999abe44c28bf45e/rendering/06.obj", "3.20591705322")</f>
        <v>3.20591705322</v>
      </c>
      <c r="J1572" s="90" t="str">
        <f>HYPERLINK(AA2 &amp; "/knife/sn_f0402647fd0236f999abe44c28bf45e/rendering/07.obj", "3.3690032959")</f>
        <v>3.3690032959</v>
      </c>
      <c r="K1572" s="71" t="str">
        <f>HYPERLINK(AA2 &amp; "/knife/sn_f0402647fd0236f999abe44c28bf45e/rendering/08.obj", "3.29077392578")</f>
        <v>3.29077392578</v>
      </c>
      <c r="L1572" s="104" t="str">
        <f>HYPERLINK(AA2 &amp; "/knife/sn_f0402647fd0236f999abe44c28bf45e/rendering/09.obj", "5.49821289063")</f>
        <v>5.49821289063</v>
      </c>
      <c r="M1572" s="254" t="str">
        <f>HYPERLINK(AA2 &amp; "/knife/sn_f0402647fd0236f999abe44c28bf45e/rendering/10.obj", "6.60524108887")</f>
        <v>6.60524108887</v>
      </c>
      <c r="N1572" s="87" t="str">
        <f>HYPERLINK(AA2 &amp; "/knife/sn_f0402647fd0236f999abe44c28bf45e/rendering/11.obj", "2.88286499023")</f>
        <v>2.88286499023</v>
      </c>
      <c r="O1572" s="63" t="str">
        <f>HYPERLINK(AA2 &amp; "/knife/sn_f0402647fd0236f999abe44c28bf45e/rendering/12.obj", "3.27405578613")</f>
        <v>3.27405578613</v>
      </c>
      <c r="P1572" s="107" t="str">
        <f>HYPERLINK(AA2 &amp; "/knife/sn_f0402647fd0236f999abe44c28bf45e/rendering/13.obj", "3.42045837402")</f>
        <v>3.42045837402</v>
      </c>
      <c r="Q1572" s="77" t="str">
        <f>HYPERLINK(AA2 &amp; "/knife/sn_f0402647fd0236f999abe44c28bf45e/rendering/14.obj", "3.03315979004")</f>
        <v>3.03315979004</v>
      </c>
      <c r="R1572" s="171" t="str">
        <f>HYPERLINK(AA2 &amp; "/knife/sn_f0402647fd0236f999abe44c28bf45e/rendering/15.obj", "4.86941497803")</f>
        <v>4.86941497803</v>
      </c>
      <c r="S1572" s="135" t="str">
        <f>HYPERLINK(AA2 &amp; "/knife/sn_f0402647fd0236f999abe44c28bf45e/rendering/16.obj", "2.7791418457")</f>
        <v>2.7791418457</v>
      </c>
      <c r="T1572" s="71" t="str">
        <f>HYPERLINK(AA2 &amp; "/knife/sn_f0402647fd0236f999abe44c28bf45e/rendering/17.obj", "3.28302307129")</f>
        <v>3.28302307129</v>
      </c>
      <c r="U1572" s="94" t="str">
        <f>HYPERLINK(AA2 &amp; "/knife/sn_f0402647fd0236f999abe44c28bf45e/rendering/18.obj", "3.45486846924")</f>
        <v>3.45486846924</v>
      </c>
      <c r="V1572" s="83" t="str">
        <f>HYPERLINK(AA2 &amp; "/knife/sn_f0402647fd0236f999abe44c28bf45e/rendering/19.obj", "3.15653991699")</f>
        <v>3.15653991699</v>
      </c>
      <c r="W1572" s="12" t="s">
        <v>29</v>
      </c>
      <c r="X1572" s="13">
        <v>3.726396789550781</v>
      </c>
      <c r="Y1572" s="13">
        <v>1.010765216616853</v>
      </c>
      <c r="Z1572" s="99">
        <v>0.27124465635306128</v>
      </c>
    </row>
    <row r="1573" spans="1:26" x14ac:dyDescent="0.2">
      <c r="A1573" s="1">
        <v>1571</v>
      </c>
      <c r="B1573" s="2" t="s">
        <v>347</v>
      </c>
      <c r="C1573" s="34" t="str">
        <f>HYPERLINK(AA2 &amp; "/knife/sn_f0402647fd0236f999abe44c28bf45e/rendering/00.obj", "2.5103905201")</f>
        <v>2.5103905201</v>
      </c>
      <c r="D1573" s="213" t="str">
        <f>HYPERLINK(AA2 &amp; "/knife/sn_f0402647fd0236f999abe44c28bf45e/rendering/01.obj", "3.94141960144")</f>
        <v>3.94141960144</v>
      </c>
      <c r="E1573" s="191" t="str">
        <f>HYPERLINK(AA2 &amp; "/knife/sn_f0402647fd0236f999abe44c28bf45e/rendering/02.obj", "1.44191861153")</f>
        <v>1.44191861153</v>
      </c>
      <c r="F1573" s="60" t="str">
        <f>HYPERLINK(AA2 &amp; "/knife/sn_f0402647fd0236f999abe44c28bf45e/rendering/03.obj", "2.50419235229")</f>
        <v>2.50419235229</v>
      </c>
      <c r="G1573" s="159" t="str">
        <f>HYPERLINK(AA2 &amp; "/knife/sn_f0402647fd0236f999abe44c28bf45e/rendering/04.obj", "1.40136218071")</f>
        <v>1.40136218071</v>
      </c>
      <c r="H1573" s="48" t="str">
        <f>HYPERLINK(AA2 &amp; "/knife/sn_f0402647fd0236f999abe44c28bf45e/rendering/05.obj", "2.57422018051")</f>
        <v>2.57422018051</v>
      </c>
      <c r="I1573" s="36" t="str">
        <f>HYPERLINK(AA2 &amp; "/knife/sn_f0402647fd0236f999abe44c28bf45e/rendering/06.obj", "2.0760576725")</f>
        <v>2.0760576725</v>
      </c>
      <c r="J1573" s="169" t="str">
        <f>HYPERLINK(AA2 &amp; "/knife/sn_f0402647fd0236f999abe44c28bf45e/rendering/07.obj", "1.81629371643")</f>
        <v>1.81629371643</v>
      </c>
      <c r="K1573" s="47" t="str">
        <f>HYPERLINK(AA2 &amp; "/knife/sn_f0402647fd0236f999abe44c28bf45e/rendering/08.obj", "2.62158370018")</f>
        <v>2.62158370018</v>
      </c>
      <c r="L1573" s="20" t="str">
        <f>HYPERLINK(AA2 &amp; "/knife/sn_f0402647fd0236f999abe44c28bf45e/rendering/09.obj", "5.50508356094")</f>
        <v>5.50508356094</v>
      </c>
      <c r="M1573" s="20" t="str">
        <f>HYPERLINK(AA2 &amp; "/knife/sn_f0402647fd0236f999abe44c28bf45e/rendering/10.obj", "11.432808876")</f>
        <v>11.432808876</v>
      </c>
      <c r="N1573" s="159" t="str">
        <f>HYPERLINK(AA2 &amp; "/knife/sn_f0402647fd0236f999abe44c28bf45e/rendering/11.obj", "1.40105354786")</f>
        <v>1.40105354786</v>
      </c>
      <c r="O1573" s="124" t="str">
        <f>HYPERLINK(AA2 &amp; "/knife/sn_f0402647fd0236f999abe44c28bf45e/rendering/12.obj", "1.63088142872")</f>
        <v>1.63088142872</v>
      </c>
      <c r="P1573" s="61" t="str">
        <f>HYPERLINK(AA2 &amp; "/knife/sn_f0402647fd0236f999abe44c28bf45e/rendering/13.obj", "1.84244501591")</f>
        <v>1.84244501591</v>
      </c>
      <c r="Q1573" s="179" t="str">
        <f>HYPERLINK(AA2 &amp; "/knife/sn_f0402647fd0236f999abe44c28bf45e/rendering/14.obj", "1.50926375389")</f>
        <v>1.50926375389</v>
      </c>
      <c r="R1573" s="74" t="str">
        <f>HYPERLINK(AA2 &amp; "/knife/sn_f0402647fd0236f999abe44c28bf45e/rendering/15.obj", "2.67384123802")</f>
        <v>2.67384123802</v>
      </c>
      <c r="S1573" s="200" t="str">
        <f>HYPERLINK(AA2 &amp; "/knife/sn_f0402647fd0236f999abe44c28bf45e/rendering/16.obj", "1.37516307831")</f>
        <v>1.37516307831</v>
      </c>
      <c r="T1573" s="137" t="str">
        <f>HYPERLINK(AA2 &amp; "/knife/sn_f0402647fd0236f999abe44c28bf45e/rendering/17.obj", "1.67067611217")</f>
        <v>1.67067611217</v>
      </c>
      <c r="U1573" s="156" t="str">
        <f>HYPERLINK(AA2 &amp; "/knife/sn_f0402647fd0236f999abe44c28bf45e/rendering/18.obj", "1.46006178856")</f>
        <v>1.46006178856</v>
      </c>
      <c r="V1573" s="143" t="str">
        <f>HYPERLINK(AA2 &amp; "/knife/sn_f0402647fd0236f999abe44c28bf45e/rendering/19.obj", "1.39578044415")</f>
        <v>1.39578044415</v>
      </c>
      <c r="W1573" s="12" t="s">
        <v>30</v>
      </c>
      <c r="X1573" s="13">
        <v>2.6392248690128328</v>
      </c>
      <c r="Y1573" s="13">
        <v>2.2491195699756772</v>
      </c>
      <c r="Z1573" s="20">
        <v>0.85218944258316676</v>
      </c>
    </row>
    <row r="1574" spans="1:26" x14ac:dyDescent="0.2">
      <c r="A1574" s="1">
        <v>1572</v>
      </c>
      <c r="B1574" s="2" t="s">
        <v>347</v>
      </c>
      <c r="C1574" s="6" t="str">
        <f>HYPERLINK(AB2 &amp; "/knife/sn_f0402647fd0236f999abe44c28bf45e/rendering/00.obj", "4.2270123291")</f>
        <v>4.2270123291</v>
      </c>
      <c r="D1574" s="74" t="str">
        <f>HYPERLINK(AB2 &amp; "/knife/sn_f0402647fd0236f999abe44c28bf45e/rendering/01.obj", "4.49000244141")</f>
        <v>4.49000244141</v>
      </c>
      <c r="E1574" s="91" t="str">
        <f>HYPERLINK(AB2 &amp; "/knife/sn_f0402647fd0236f999abe44c28bf45e/rendering/02.obj", "4.55114990234")</f>
        <v>4.55114990234</v>
      </c>
      <c r="F1574" s="68" t="str">
        <f>HYPERLINK(AB2 &amp; "/knife/sn_f0402647fd0236f999abe44c28bf45e/rendering/03.obj", "4.24520507813")</f>
        <v>4.24520507813</v>
      </c>
      <c r="G1574" s="133" t="str">
        <f>HYPERLINK(AB2 &amp; "/knife/sn_f0402647fd0236f999abe44c28bf45e/rendering/04.obj", "4.88121276855")</f>
        <v>4.88121276855</v>
      </c>
      <c r="H1574" s="30" t="str">
        <f>HYPERLINK(AB2 &amp; "/knife/sn_f0402647fd0236f999abe44c28bf45e/rendering/05.obj", "4.45552124023")</f>
        <v>4.45552124023</v>
      </c>
      <c r="I1574" s="73" t="str">
        <f>HYPERLINK(AB2 &amp; "/knife/sn_f0402647fd0236f999abe44c28bf45e/rendering/06.obj", "4.27696044922")</f>
        <v>4.27696044922</v>
      </c>
      <c r="J1574" s="68" t="str">
        <f>HYPERLINK(AB2 &amp; "/knife/sn_f0402647fd0236f999abe44c28bf45e/rendering/07.obj", "4.24929992676")</f>
        <v>4.24929992676</v>
      </c>
      <c r="K1574" s="91" t="str">
        <f>HYPERLINK(AB2 &amp; "/knife/sn_f0402647fd0236f999abe44c28bf45e/rendering/08.obj", "4.3132824707")</f>
        <v>4.3132824707</v>
      </c>
      <c r="L1574" s="23" t="str">
        <f>HYPERLINK(AB2 &amp; "/knife/sn_f0402647fd0236f999abe44c28bf45e/rendering/09.obj", "4.61138549805")</f>
        <v>4.61138549805</v>
      </c>
      <c r="M1574" s="106" t="str">
        <f>HYPERLINK(AB2 &amp; "/knife/sn_f0402647fd0236f999abe44c28bf45e/rendering/10.obj", "4.93255828857")</f>
        <v>4.93255828857</v>
      </c>
      <c r="N1574" s="73" t="str">
        <f>HYPERLINK(AB2 &amp; "/knife/sn_f0402647fd0236f999abe44c28bf45e/rendering/11.obj", "4.27228363037")</f>
        <v>4.27228363037</v>
      </c>
      <c r="O1574" s="67" t="str">
        <f>HYPERLINK(AB2 &amp; "/knife/sn_f0402647fd0236f999abe44c28bf45e/rendering/12.obj", "4.01987579346")</f>
        <v>4.01987579346</v>
      </c>
      <c r="P1574" s="23" t="str">
        <f>HYPERLINK(AB2 &amp; "/knife/sn_f0402647fd0236f999abe44c28bf45e/rendering/13.obj", "4.25782928467")</f>
        <v>4.25782928467</v>
      </c>
      <c r="Q1574" s="48" t="str">
        <f>HYPERLINK(AB2 &amp; "/knife/sn_f0402647fd0236f999abe44c28bf45e/rendering/14.obj", "4.53428894043")</f>
        <v>4.53428894043</v>
      </c>
      <c r="R1574" s="26" t="str">
        <f>HYPERLINK(AB2 &amp; "/knife/sn_f0402647fd0236f999abe44c28bf45e/rendering/15.obj", "4.72037078857")</f>
        <v>4.72037078857</v>
      </c>
      <c r="S1574" s="110" t="str">
        <f>HYPERLINK(AB2 &amp; "/knife/sn_f0402647fd0236f999abe44c28bf45e/rendering/16.obj", "4.86523193359")</f>
        <v>4.86523193359</v>
      </c>
      <c r="T1574" s="71" t="str">
        <f>HYPERLINK(AB2 &amp; "/knife/sn_f0402647fd0236f999abe44c28bf45e/rendering/17.obj", "3.91204101563")</f>
        <v>3.91204101563</v>
      </c>
      <c r="U1574" s="72" t="str">
        <f>HYPERLINK(AB2 &amp; "/knife/sn_f0402647fd0236f999abe44c28bf45e/rendering/18.obj", "4.29094177246")</f>
        <v>4.29094177246</v>
      </c>
      <c r="V1574" s="17" t="str">
        <f>HYPERLINK(AB2 &amp; "/knife/sn_f0402647fd0236f999abe44c28bf45e/rendering/19.obj", "4.52775939941")</f>
        <v>4.52775939941</v>
      </c>
      <c r="W1574" s="12" t="s">
        <v>31</v>
      </c>
      <c r="X1574" s="13">
        <v>4.4317106475830066</v>
      </c>
      <c r="Y1574" s="13">
        <v>0.2699529164029113</v>
      </c>
      <c r="Z1574" s="78">
        <v>6.0913930955790133E-2</v>
      </c>
    </row>
    <row r="1575" spans="1:26" x14ac:dyDescent="0.2">
      <c r="A1575" s="1">
        <v>1573</v>
      </c>
      <c r="B1575" s="2" t="s">
        <v>347</v>
      </c>
      <c r="C1575" s="93" t="str">
        <f>HYPERLINK(AB2 &amp; "/knife/sn_f0402647fd0236f999abe44c28bf45e/rendering/00.obj", "1.44910681248")</f>
        <v>1.44910681248</v>
      </c>
      <c r="D1575" s="48" t="str">
        <f>HYPERLINK(AB2 &amp; "/knife/sn_f0402647fd0236f999abe44c28bf45e/rendering/01.obj", "1.64010024071")</f>
        <v>1.64010024071</v>
      </c>
      <c r="E1575" s="14" t="str">
        <f>HYPERLINK(AB2 &amp; "/knife/sn_f0402647fd0236f999abe44c28bf45e/rendering/02.obj", "2.17164564133")</f>
        <v>2.17164564133</v>
      </c>
      <c r="F1575" s="65" t="str">
        <f>HYPERLINK(AB2 &amp; "/knife/sn_f0402647fd0236f999abe44c28bf45e/rendering/03.obj", "1.45919144154")</f>
        <v>1.45919144154</v>
      </c>
      <c r="G1575" s="132" t="str">
        <f>HYPERLINK(AB2 &amp; "/knife/sn_f0402647fd0236f999abe44c28bf45e/rendering/04.obj", "2.38776779175")</f>
        <v>2.38776779175</v>
      </c>
      <c r="H1575" s="106" t="str">
        <f>HYPERLINK(AB2 &amp; "/knife/sn_f0402647fd0236f999abe44c28bf45e/rendering/05.obj", "1.48821854591")</f>
        <v>1.48821854591</v>
      </c>
      <c r="I1575" s="10" t="str">
        <f>HYPERLINK(AB2 &amp; "/knife/sn_f0402647fd0236f999abe44c28bf45e/rendering/06.obj", "1.77403616905")</f>
        <v>1.77403616905</v>
      </c>
      <c r="J1575" s="83" t="str">
        <f>HYPERLINK(AB2 &amp; "/knife/sn_f0402647fd0236f999abe44c28bf45e/rendering/07.obj", "1.42515850067")</f>
        <v>1.42515850067</v>
      </c>
      <c r="K1575" s="27" t="str">
        <f>HYPERLINK(AB2 &amp; "/knife/sn_f0402647fd0236f999abe44c28bf45e/rendering/08.obj", "1.56268024445")</f>
        <v>1.56268024445</v>
      </c>
      <c r="L1575" s="37" t="str">
        <f>HYPERLINK(AB2 &amp; "/knife/sn_f0402647fd0236f999abe44c28bf45e/rendering/09.obj", "1.97597873211")</f>
        <v>1.97597873211</v>
      </c>
      <c r="M1575" s="223" t="str">
        <f>HYPERLINK(AB2 &amp; "/knife/sn_f0402647fd0236f999abe44c28bf45e/rendering/10.obj", "2.62334728241")</f>
        <v>2.62334728241</v>
      </c>
      <c r="N1575" s="81" t="str">
        <f>HYPERLINK(AB2 &amp; "/knife/sn_f0402647fd0236f999abe44c28bf45e/rendering/11.obj", "1.31558585167")</f>
        <v>1.31558585167</v>
      </c>
      <c r="O1575" s="79" t="str">
        <f>HYPERLINK(AB2 &amp; "/knife/sn_f0402647fd0236f999abe44c28bf45e/rendering/12.obj", "1.4145052433")</f>
        <v>1.4145052433</v>
      </c>
      <c r="P1575" s="70" t="str">
        <f>HYPERLINK(AB2 &amp; "/knife/sn_f0402647fd0236f999abe44c28bf45e/rendering/13.obj", "1.46895384789")</f>
        <v>1.46895384789</v>
      </c>
      <c r="Q1575" s="49" t="str">
        <f>HYPERLINK(AB2 &amp; "/knife/sn_f0402647fd0236f999abe44c28bf45e/rendering/14.obj", "1.33160340786")</f>
        <v>1.33160340786</v>
      </c>
      <c r="R1575" s="50" t="str">
        <f>HYPERLINK(AB2 &amp; "/knife/sn_f0402647fd0236f999abe44c28bf45e/rendering/15.obj", "1.34516787529")</f>
        <v>1.34516787529</v>
      </c>
      <c r="S1575" s="64" t="str">
        <f>HYPERLINK(AB2 &amp; "/knife/sn_f0402647fd0236f999abe44c28bf45e/rendering/16.obj", "1.95729839802")</f>
        <v>1.95729839802</v>
      </c>
      <c r="T1575" s="31" t="str">
        <f>HYPERLINK(AB2 &amp; "/knife/sn_f0402647fd0236f999abe44c28bf45e/rendering/17.obj", "1.42199504375")</f>
        <v>1.42199504375</v>
      </c>
      <c r="U1575" s="70" t="str">
        <f>HYPERLINK(AB2 &amp; "/knife/sn_f0402647fd0236f999abe44c28bf45e/rendering/18.obj", "1.46752333641")</f>
        <v>1.46752333641</v>
      </c>
      <c r="V1575" s="64" t="str">
        <f>HYPERLINK(AB2 &amp; "/knife/sn_f0402647fd0236f999abe44c28bf45e/rendering/19.obj", "1.95786523819")</f>
        <v>1.95786523819</v>
      </c>
      <c r="W1575" s="12" t="s">
        <v>32</v>
      </c>
      <c r="X1575" s="13">
        <v>1.68188648223877</v>
      </c>
      <c r="Y1575" s="13">
        <v>0.36709759354955529</v>
      </c>
      <c r="Z1575" s="81">
        <v>0.2182653808245783</v>
      </c>
    </row>
    <row r="1576" spans="1:26" x14ac:dyDescent="0.2">
      <c r="A1576" s="1">
        <v>1574</v>
      </c>
      <c r="B1576" s="2" t="s">
        <v>347</v>
      </c>
      <c r="C1576" s="13" t="str">
        <f>HYPERLINK(AC2 &amp; "/knife/sn_f0402647fd0236f999abe44c28bf45e/rendering/00.xyz", "0.0")</f>
        <v>0.0</v>
      </c>
      <c r="D1576" s="13" t="str">
        <f>HYPERLINK(AC2 &amp; "/knife/sn_f0402647fd0236f999abe44c28bf45e/rendering/01.xyz", "0.0")</f>
        <v>0.0</v>
      </c>
      <c r="E1576" s="13" t="str">
        <f>HYPERLINK(AC2 &amp; "/knife/sn_f0402647fd0236f999abe44c28bf45e/rendering/02.xyz", "0.0")</f>
        <v>0.0</v>
      </c>
      <c r="F1576" s="13" t="str">
        <f>HYPERLINK(AC2 &amp; "/knife/sn_f0402647fd0236f999abe44c28bf45e/rendering/03.xyz", "0.0")</f>
        <v>0.0</v>
      </c>
      <c r="G1576" s="13" t="str">
        <f>HYPERLINK(AC2 &amp; "/knife/sn_f0402647fd0236f999abe44c28bf45e/rendering/04.xyz", "0.0")</f>
        <v>0.0</v>
      </c>
      <c r="H1576" s="13" t="str">
        <f>HYPERLINK(AC2 &amp; "/knife/sn_f0402647fd0236f999abe44c28bf45e/rendering/05.xyz", "0.0")</f>
        <v>0.0</v>
      </c>
      <c r="I1576" s="13" t="str">
        <f>HYPERLINK(AC2 &amp; "/knife/sn_f0402647fd0236f999abe44c28bf45e/rendering/06.xyz", "0.0")</f>
        <v>0.0</v>
      </c>
      <c r="J1576" s="13" t="str">
        <f>HYPERLINK(AC2 &amp; "/knife/sn_f0402647fd0236f999abe44c28bf45e/rendering/07.xyz", "0.0")</f>
        <v>0.0</v>
      </c>
      <c r="K1576" s="13" t="str">
        <f>HYPERLINK(AC2 &amp; "/knife/sn_f0402647fd0236f999abe44c28bf45e/rendering/08.xyz", "0.0")</f>
        <v>0.0</v>
      </c>
      <c r="L1576" s="13" t="str">
        <f>HYPERLINK(AC2 &amp; "/knife/sn_f0402647fd0236f999abe44c28bf45e/rendering/09.xyz", "0.0")</f>
        <v>0.0</v>
      </c>
      <c r="M1576" s="13" t="str">
        <f>HYPERLINK(AC2 &amp; "/knife/sn_f0402647fd0236f999abe44c28bf45e/rendering/10.xyz", "0.0")</f>
        <v>0.0</v>
      </c>
      <c r="N1576" s="13" t="str">
        <f>HYPERLINK(AC2 &amp; "/knife/sn_f0402647fd0236f999abe44c28bf45e/rendering/11.xyz", "0.0")</f>
        <v>0.0</v>
      </c>
      <c r="O1576" s="13" t="str">
        <f>HYPERLINK(AC2 &amp; "/knife/sn_f0402647fd0236f999abe44c28bf45e/rendering/12.xyz", "0.0")</f>
        <v>0.0</v>
      </c>
      <c r="P1576" s="13" t="str">
        <f>HYPERLINK(AC2 &amp; "/knife/sn_f0402647fd0236f999abe44c28bf45e/rendering/13.xyz", "0.0")</f>
        <v>0.0</v>
      </c>
      <c r="Q1576" s="13" t="str">
        <f>HYPERLINK(AC2 &amp; "/knife/sn_f0402647fd0236f999abe44c28bf45e/rendering/14.xyz", "0.0")</f>
        <v>0.0</v>
      </c>
      <c r="R1576" s="13" t="str">
        <f>HYPERLINK(AC2 &amp; "/knife/sn_f0402647fd0236f999abe44c28bf45e/rendering/15.xyz", "0.0")</f>
        <v>0.0</v>
      </c>
      <c r="S1576" s="13" t="str">
        <f>HYPERLINK(AC2 &amp; "/knife/sn_f0402647fd0236f999abe44c28bf45e/rendering/16.xyz", "0.0")</f>
        <v>0.0</v>
      </c>
      <c r="T1576" s="13" t="str">
        <f>HYPERLINK(AC2 &amp; "/knife/sn_f0402647fd0236f999abe44c28bf45e/rendering/17.xyz", "0.0")</f>
        <v>0.0</v>
      </c>
      <c r="U1576" s="13" t="str">
        <f>HYPERLINK(AC2 &amp; "/knife/sn_f0402647fd0236f999abe44c28bf45e/rendering/18.xyz", "0.0")</f>
        <v>0.0</v>
      </c>
      <c r="V1576" s="13" t="str">
        <f>HYPERLINK(AC2 &amp; "/knife/sn_f0402647fd0236f999abe44c28bf45e/rendering/19.xyz", "0.0")</f>
        <v>0.0</v>
      </c>
      <c r="W1576" s="12" t="s">
        <v>33</v>
      </c>
      <c r="X1576" s="13">
        <v>0</v>
      </c>
      <c r="Y1576" s="13">
        <v>0</v>
      </c>
      <c r="Z1576" s="13">
        <v>0</v>
      </c>
    </row>
    <row r="1577" spans="1:26" x14ac:dyDescent="0.2">
      <c r="A1577" s="1">
        <v>1575</v>
      </c>
      <c r="B1577" s="2" t="s">
        <v>348</v>
      </c>
      <c r="C1577" s="83" t="str">
        <f>HYPERLINK(AA2 &amp; "/knife/sn_f5abb706dd1c1e931fc43d5b32fa230f/rendering/00.obj", "3.44440307617")</f>
        <v>3.44440307617</v>
      </c>
      <c r="D1577" s="10" t="str">
        <f>HYPERLINK(AA2 &amp; "/knife/sn_f5abb706dd1c1e931fc43d5b32fa230f/rendering/01.obj", "4.28018371582")</f>
        <v>4.28018371582</v>
      </c>
      <c r="E1577" s="73" t="str">
        <f>HYPERLINK(AA2 &amp; "/knife/sn_f5abb706dd1c1e931fc43d5b32fa230f/rendering/02.obj", "4.20394714355")</f>
        <v>4.20394714355</v>
      </c>
      <c r="F1577" s="13" t="str">
        <f>HYPERLINK(AA2 &amp; "/knife/sn_f5abb706dd1c1e931fc43d5b32fa230f/rendering/03.obj", "4.06802062988")</f>
        <v>4.06802062988</v>
      </c>
      <c r="G1577" s="10" t="str">
        <f>HYPERLINK(AA2 &amp; "/knife/sn_f5abb706dd1c1e931fc43d5b32fa230f/rendering/04.obj", "3.83503448486")</f>
        <v>3.83503448486</v>
      </c>
      <c r="H1577" s="28" t="str">
        <f>HYPERLINK(AA2 &amp; "/knife/sn_f5abb706dd1c1e931fc43d5b32fa230f/rendering/05.obj", "3.60735565186")</f>
        <v>3.60735565186</v>
      </c>
      <c r="I1577" s="135" t="str">
        <f>HYPERLINK(AA2 &amp; "/knife/sn_f5abb706dd1c1e931fc43d5b32fa230f/rendering/06.obj", "5.09897705078")</f>
        <v>5.09897705078</v>
      </c>
      <c r="J1577" s="187" t="str">
        <f>HYPERLINK(AA2 &amp; "/knife/sn_f5abb706dd1c1e931fc43d5b32fa230f/rendering/07.obj", "5.48458740234")</f>
        <v>5.48458740234</v>
      </c>
      <c r="K1577" s="47" t="str">
        <f>HYPERLINK(AA2 &amp; "/knife/sn_f5abb706dd1c1e931fc43d5b32fa230f/rendering/08.obj", "4.02861755371")</f>
        <v>4.02861755371</v>
      </c>
      <c r="L1577" s="79" t="str">
        <f>HYPERLINK(AA2 &amp; "/knife/sn_f5abb706dd1c1e931fc43d5b32fa230f/rendering/09.obj", "3.42518615723")</f>
        <v>3.42518615723</v>
      </c>
      <c r="M1577" s="26" t="str">
        <f>HYPERLINK(AA2 &amp; "/knife/sn_f5abb706dd1c1e931fc43d5b32fa230f/rendering/10.obj", "4.32559967041")</f>
        <v>4.32559967041</v>
      </c>
      <c r="N1577" s="74" t="str">
        <f>HYPERLINK(AA2 &amp; "/knife/sn_f5abb706dd1c1e931fc43d5b32fa230f/rendering/11.obj", "4.11957244873")</f>
        <v>4.11957244873</v>
      </c>
      <c r="O1577" s="72" t="str">
        <f>HYPERLINK(AA2 &amp; "/knife/sn_f5abb706dd1c1e931fc43d5b32fa230f/rendering/12.obj", "3.93191589355")</f>
        <v>3.93191589355</v>
      </c>
      <c r="P1577" s="47" t="str">
        <f>HYPERLINK(AA2 &amp; "/knife/sn_f5abb706dd1c1e931fc43d5b32fa230f/rendering/13.obj", "4.03301757813")</f>
        <v>4.03301757813</v>
      </c>
      <c r="Q1577" s="38" t="str">
        <f>HYPERLINK(AA2 &amp; "/knife/sn_f5abb706dd1c1e931fc43d5b32fa230f/rendering/14.obj", "3.69985687256")</f>
        <v>3.69985687256</v>
      </c>
      <c r="R1577" s="10" t="str">
        <f>HYPERLINK(AA2 &amp; "/knife/sn_f5abb706dd1c1e931fc43d5b32fa230f/rendering/15.obj", "3.83374053955")</f>
        <v>3.83374053955</v>
      </c>
      <c r="S1577" s="42" t="str">
        <f>HYPERLINK(AA2 &amp; "/knife/sn_f5abb706dd1c1e931fc43d5b32fa230f/rendering/16.obj", "3.50249969482")</f>
        <v>3.50249969482</v>
      </c>
      <c r="T1577" s="73" t="str">
        <f>HYPERLINK(AA2 &amp; "/knife/sn_f5abb706dd1c1e931fc43d5b32fa230f/rendering/17.obj", "4.21065460205")</f>
        <v>4.21065460205</v>
      </c>
      <c r="U1577" s="73" t="str">
        <f>HYPERLINK(AA2 &amp; "/knife/sn_f5abb706dd1c1e931fc43d5b32fa230f/rendering/18.obj", "4.20883209229")</f>
        <v>4.20883209229</v>
      </c>
      <c r="V1577" s="73" t="str">
        <f>HYPERLINK(AA2 &amp; "/knife/sn_f5abb706dd1c1e931fc43d5b32fa230f/rendering/19.obj", "3.91971679687")</f>
        <v>3.91971679687</v>
      </c>
      <c r="W1577" s="12" t="s">
        <v>29</v>
      </c>
      <c r="X1577" s="13">
        <v>4.0630859527587893</v>
      </c>
      <c r="Y1577" s="13">
        <v>0.49314720751065988</v>
      </c>
      <c r="Z1577" s="63">
        <v>0.1213725757329398</v>
      </c>
    </row>
    <row r="1578" spans="1:26" x14ac:dyDescent="0.2">
      <c r="A1578" s="1">
        <v>1576</v>
      </c>
      <c r="B1578" s="2" t="s">
        <v>348</v>
      </c>
      <c r="C1578" s="53" t="str">
        <f>HYPERLINK(AA2 &amp; "/knife/sn_f5abb706dd1c1e931fc43d5b32fa230f/rendering/00.obj", "1.18559539318")</f>
        <v>1.18559539318</v>
      </c>
      <c r="D1578" s="127" t="str">
        <f>HYPERLINK(AA2 &amp; "/knife/sn_f5abb706dd1c1e931fc43d5b32fa230f/rendering/01.obj", "3.07203292847")</f>
        <v>3.07203292847</v>
      </c>
      <c r="E1578" s="84" t="str">
        <f>HYPERLINK(AA2 &amp; "/knife/sn_f5abb706dd1c1e931fc43d5b32fa230f/rendering/02.obj", "1.72495651245")</f>
        <v>1.72495651245</v>
      </c>
      <c r="F1578" s="49" t="str">
        <f>HYPERLINK(AA2 &amp; "/knife/sn_f5abb706dd1c1e931fc43d5b32fa230f/rendering/03.obj", "1.59946680069")</f>
        <v>1.59946680069</v>
      </c>
      <c r="G1578" s="159" t="str">
        <f>HYPERLINK(AA2 &amp; "/knife/sn_f5abb706dd1c1e931fc43d5b32fa230f/rendering/04.obj", "1.07475984097")</f>
        <v>1.07475984097</v>
      </c>
      <c r="H1578" s="57" t="str">
        <f>HYPERLINK(AA2 &amp; "/knife/sn_f5abb706dd1c1e931fc43d5b32fa230f/rendering/05.obj", "1.38148570061")</f>
        <v>1.38148570061</v>
      </c>
      <c r="I1578" s="199" t="str">
        <f>HYPERLINK(AA2 &amp; "/knife/sn_f5abb706dd1c1e931fc43d5b32fa230f/rendering/06.obj", "3.60961461067")</f>
        <v>3.60961461067</v>
      </c>
      <c r="J1578" s="20" t="str">
        <f>HYPERLINK(AA2 &amp; "/knife/sn_f5abb706dd1c1e931fc43d5b32fa230f/rendering/07.obj", "6.54593324661")</f>
        <v>6.54593324661</v>
      </c>
      <c r="K1578" s="43" t="str">
        <f>HYPERLINK(AA2 &amp; "/knife/sn_f5abb706dd1c1e931fc43d5b32fa230f/rendering/08.obj", "2.77909135818")</f>
        <v>2.77909135818</v>
      </c>
      <c r="L1578" s="96" t="str">
        <f>HYPERLINK(AA2 &amp; "/knife/sn_f5abb706dd1c1e931fc43d5b32fa230f/rendering/09.obj", "1.28889775276")</f>
        <v>1.28889775276</v>
      </c>
      <c r="M1578" s="120" t="str">
        <f>HYPERLINK(AA2 &amp; "/knife/sn_f5abb706dd1c1e931fc43d5b32fa230f/rendering/10.obj", "1.59016382694")</f>
        <v>1.59016382694</v>
      </c>
      <c r="N1578" s="182" t="str">
        <f>HYPERLINK(AA2 &amp; "/knife/sn_f5abb706dd1c1e931fc43d5b32fa230f/rendering/11.obj", "1.34680211544")</f>
        <v>1.34680211544</v>
      </c>
      <c r="O1578" s="142" t="str">
        <f>HYPERLINK(AA2 &amp; "/knife/sn_f5abb706dd1c1e931fc43d5b32fa230f/rendering/12.obj", "1.2240023613")</f>
        <v>1.2240023613</v>
      </c>
      <c r="P1578" s="108" t="str">
        <f>HYPERLINK(AA2 &amp; "/knife/sn_f5abb706dd1c1e931fc43d5b32fa230f/rendering/13.obj", "1.52105915546")</f>
        <v>1.52105915546</v>
      </c>
      <c r="Q1578" s="181" t="str">
        <f>HYPERLINK(AA2 &amp; "/knife/sn_f5abb706dd1c1e931fc43d5b32fa230f/rendering/14.obj", "1.122148633")</f>
        <v>1.122148633</v>
      </c>
      <c r="R1578" s="10" t="str">
        <f>HYPERLINK(AA2 &amp; "/knife/sn_f5abb706dd1c1e931fc43d5b32fa230f/rendering/15.obj", "1.907589674")</f>
        <v>1.907589674</v>
      </c>
      <c r="S1578" s="103" t="str">
        <f>HYPERLINK(AA2 &amp; "/knife/sn_f5abb706dd1c1e931fc43d5b32fa230f/rendering/16.obj", "1.36314868927")</f>
        <v>1.36314868927</v>
      </c>
      <c r="T1578" s="96" t="str">
        <f>HYPERLINK(AA2 &amp; "/knife/sn_f5abb706dd1c1e931fc43d5b32fa230f/rendering/17.obj", "1.28536164761")</f>
        <v>1.28536164761</v>
      </c>
      <c r="U1578" s="162" t="str">
        <f>HYPERLINK(AA2 &amp; "/knife/sn_f5abb706dd1c1e931fc43d5b32fa230f/rendering/18.obj", "2.87683987617")</f>
        <v>2.87683987617</v>
      </c>
      <c r="V1578" s="35" t="str">
        <f>HYPERLINK(AA2 &amp; "/knife/sn_f5abb706dd1c1e931fc43d5b32fa230f/rendering/19.obj", "1.9053337574")</f>
        <v>1.9053337574</v>
      </c>
      <c r="W1578" s="12" t="s">
        <v>30</v>
      </c>
      <c r="X1578" s="13">
        <v>2.0202141940593719</v>
      </c>
      <c r="Y1578" s="13">
        <v>1.255936109625003</v>
      </c>
      <c r="Z1578" s="194">
        <v>0.6216846279558873</v>
      </c>
    </row>
    <row r="1579" spans="1:26" x14ac:dyDescent="0.2">
      <c r="A1579" s="1">
        <v>1577</v>
      </c>
      <c r="B1579" s="2" t="s">
        <v>348</v>
      </c>
      <c r="C1579" s="64" t="str">
        <f>HYPERLINK(AB2 &amp; "/knife/sn_f5abb706dd1c1e931fc43d5b32fa230f/rendering/00.obj", "4.30320220947")</f>
        <v>4.30320220947</v>
      </c>
      <c r="D1579" s="120" t="str">
        <f>HYPERLINK(AB2 &amp; "/knife/sn_f5abb706dd1c1e931fc43d5b32fa230f/rendering/01.obj", "2.90813415527")</f>
        <v>2.90813415527</v>
      </c>
      <c r="E1579" s="25" t="str">
        <f>HYPERLINK(AB2 &amp; "/knife/sn_f5abb706dd1c1e931fc43d5b32fa230f/rendering/02.obj", "3.73336517334")</f>
        <v>3.73336517334</v>
      </c>
      <c r="F1579" s="5" t="str">
        <f>HYPERLINK(AB2 &amp; "/knife/sn_f5abb706dd1c1e931fc43d5b32fa230f/rendering/03.obj", "3.41510070801")</f>
        <v>3.41510070801</v>
      </c>
      <c r="G1579" s="48" t="str">
        <f>HYPERLINK(AB2 &amp; "/knife/sn_f5abb706dd1c1e931fc43d5b32fa230f/rendering/04.obj", "3.60098754883")</f>
        <v>3.60098754883</v>
      </c>
      <c r="H1579" s="117" t="str">
        <f>HYPERLINK(AB2 &amp; "/knife/sn_f5abb706dd1c1e931fc43d5b32fa230f/rendering/05.obj", "4.3483996582")</f>
        <v>4.3483996582</v>
      </c>
      <c r="I1579" s="33" t="str">
        <f>HYPERLINK(AB2 &amp; "/knife/sn_f5abb706dd1c1e931fc43d5b32fa230f/rendering/06.obj", "4.09560241699")</f>
        <v>4.09560241699</v>
      </c>
      <c r="J1579" s="55" t="str">
        <f>HYPERLINK(AB2 &amp; "/knife/sn_f5abb706dd1c1e931fc43d5b32fa230f/rendering/07.obj", "2.97601989746")</f>
        <v>2.97601989746</v>
      </c>
      <c r="K1579" s="84" t="str">
        <f>HYPERLINK(AB2 &amp; "/knife/sn_f5abb706dd1c1e931fc43d5b32fa230f/rendering/08.obj", "3.15751495361")</f>
        <v>3.15751495361</v>
      </c>
      <c r="L1579" s="25" t="str">
        <f>HYPERLINK(AB2 &amp; "/knife/sn_f5abb706dd1c1e931fc43d5b32fa230f/rendering/09.obj", "3.65048461914")</f>
        <v>3.65048461914</v>
      </c>
      <c r="M1579" s="92" t="str">
        <f>HYPERLINK(AB2 &amp; "/knife/sn_f5abb706dd1c1e931fc43d5b32fa230f/rendering/10.obj", "4.14550018311")</f>
        <v>4.14550018311</v>
      </c>
      <c r="N1579" s="32" t="str">
        <f>HYPERLINK(AB2 &amp; "/knife/sn_f5abb706dd1c1e931fc43d5b32fa230f/rendering/11.obj", "3.30348205566")</f>
        <v>3.30348205566</v>
      </c>
      <c r="O1579" s="10" t="str">
        <f>HYPERLINK(AB2 &amp; "/knife/sn_f5abb706dd1c1e931fc43d5b32fa230f/rendering/12.obj", "3.90141235352")</f>
        <v>3.90141235352</v>
      </c>
      <c r="P1579" s="47" t="str">
        <f>HYPERLINK(AB2 &amp; "/knife/sn_f5abb706dd1c1e931fc43d5b32fa230f/rendering/13.obj", "3.7260446167")</f>
        <v>3.7260446167</v>
      </c>
      <c r="Q1579" s="5" t="str">
        <f>HYPERLINK(AB2 &amp; "/knife/sn_f5abb706dd1c1e931fc43d5b32fa230f/rendering/14.obj", "3.40452270508")</f>
        <v>3.40452270508</v>
      </c>
      <c r="R1579" s="107" t="str">
        <f>HYPERLINK(AB2 &amp; "/knife/sn_f5abb706dd1c1e931fc43d5b32fa230f/rendering/15.obj", "4.00356689453")</f>
        <v>4.00356689453</v>
      </c>
      <c r="S1579" s="68" t="str">
        <f>HYPERLINK(AB2 &amp; "/knife/sn_f5abb706dd1c1e931fc43d5b32fa230f/rendering/16.obj", "3.85295013428")</f>
        <v>3.85295013428</v>
      </c>
      <c r="T1579" s="91" t="str">
        <f>HYPERLINK(AB2 &amp; "/knife/sn_f5abb706dd1c1e931fc43d5b32fa230f/rendering/17.obj", "3.59581817627")</f>
        <v>3.59581817627</v>
      </c>
      <c r="U1579" s="74" t="str">
        <f>HYPERLINK(AB2 &amp; "/knife/sn_f5abb706dd1c1e931fc43d5b32fa230f/rendering/18.obj", "3.64391174316")</f>
        <v>3.64391174316</v>
      </c>
      <c r="V1579" s="28" t="str">
        <f>HYPERLINK(AB2 &amp; "/knife/sn_f5abb706dd1c1e931fc43d5b32fa230f/rendering/19.obj", "4.1017175293")</f>
        <v>4.1017175293</v>
      </c>
      <c r="W1579" s="12" t="s">
        <v>31</v>
      </c>
      <c r="X1579" s="13">
        <v>3.6933868865966799</v>
      </c>
      <c r="Y1579" s="13">
        <v>0.40342897418051682</v>
      </c>
      <c r="Z1579" s="33">
        <v>0.1092300878753219</v>
      </c>
    </row>
    <row r="1580" spans="1:26" x14ac:dyDescent="0.2">
      <c r="A1580" s="1">
        <v>1578</v>
      </c>
      <c r="B1580" s="2" t="s">
        <v>348</v>
      </c>
      <c r="C1580" s="72" t="str">
        <f>HYPERLINK(AB2 &amp; "/knife/sn_f5abb706dd1c1e931fc43d5b32fa230f/rendering/00.obj", "1.19067513943")</f>
        <v>1.19067513943</v>
      </c>
      <c r="D1580" s="65" t="str">
        <f>HYPERLINK(AB2 &amp; "/knife/sn_f5abb706dd1c1e931fc43d5b32fa230f/rendering/01.obj", "1.06817090511")</f>
        <v>1.06817090511</v>
      </c>
      <c r="E1580" s="81" t="str">
        <f>HYPERLINK(AB2 &amp; "/knife/sn_f5abb706dd1c1e931fc43d5b32fa230f/rendering/02.obj", "0.963991940022")</f>
        <v>0.963991940022</v>
      </c>
      <c r="F1580" s="27" t="str">
        <f>HYPERLINK(AB2 &amp; "/knife/sn_f5abb706dd1c1e931fc43d5b32fa230f/rendering/03.obj", "1.14523589611")</f>
        <v>1.14523589611</v>
      </c>
      <c r="G1580" s="73" t="str">
        <f>HYPERLINK(AB2 &amp; "/knife/sn_f5abb706dd1c1e931fc43d5b32fa230f/rendering/04.obj", "1.1878798008")</f>
        <v>1.1878798008</v>
      </c>
      <c r="H1580" s="30" t="str">
        <f>HYPERLINK(AB2 &amp; "/knife/sn_f5abb706dd1c1e931fc43d5b32fa230f/rendering/05.obj", "1.23589348793")</f>
        <v>1.23589348793</v>
      </c>
      <c r="I1580" s="109" t="str">
        <f>HYPERLINK(AB2 &amp; "/knife/sn_f5abb706dd1c1e931fc43d5b32fa230f/rendering/06.obj", "1.46425569057")</f>
        <v>1.46425569057</v>
      </c>
      <c r="J1580" s="40" t="str">
        <f>HYPERLINK(AB2 &amp; "/knife/sn_f5abb706dd1c1e931fc43d5b32fa230f/rendering/07.obj", "1.01950156689")</f>
        <v>1.01950156689</v>
      </c>
      <c r="K1580" s="58" t="str">
        <f>HYPERLINK(AB2 &amp; "/knife/sn_f5abb706dd1c1e931fc43d5b32fa230f/rendering/08.obj", "1.53289318085")</f>
        <v>1.53289318085</v>
      </c>
      <c r="L1580" s="55" t="str">
        <f>HYPERLINK(AB2 &amp; "/knife/sn_f5abb706dd1c1e931fc43d5b32fa230f/rendering/09.obj", "0.995449721813")</f>
        <v>0.995449721813</v>
      </c>
      <c r="M1580" s="76" t="str">
        <f>HYPERLINK(AB2 &amp; "/knife/sn_f5abb706dd1c1e931fc43d5b32fa230f/rendering/10.obj", "1.45879733562")</f>
        <v>1.45879733562</v>
      </c>
      <c r="N1580" s="80" t="str">
        <f>HYPERLINK(AB2 &amp; "/knife/sn_f5abb706dd1c1e931fc43d5b32fa230f/rendering/11.obj", "1.41356623173")</f>
        <v>1.41356623173</v>
      </c>
      <c r="O1580" s="44" t="str">
        <f>HYPERLINK(AB2 &amp; "/knife/sn_f5abb706dd1c1e931fc43d5b32fa230f/rendering/12.obj", "1.47497975826")</f>
        <v>1.47497975826</v>
      </c>
      <c r="P1580" s="81" t="str">
        <f>HYPERLINK(AB2 &amp; "/knife/sn_f5abb706dd1c1e931fc43d5b32fa230f/rendering/13.obj", "0.96426731348")</f>
        <v>0.96426731348</v>
      </c>
      <c r="Q1580" s="72" t="str">
        <f>HYPERLINK(AB2 &amp; "/knife/sn_f5abb706dd1c1e931fc43d5b32fa230f/rendering/14.obj", "1.19285202026")</f>
        <v>1.19285202026</v>
      </c>
      <c r="R1580" s="118" t="str">
        <f>HYPERLINK(AB2 &amp; "/knife/sn_f5abb706dd1c1e931fc43d5b32fa230f/rendering/15.obj", "1.59369921684")</f>
        <v>1.59369921684</v>
      </c>
      <c r="S1580" s="59" t="str">
        <f>HYPERLINK(AB2 &amp; "/knife/sn_f5abb706dd1c1e931fc43d5b32fa230f/rendering/16.obj", "0.934968590736")</f>
        <v>0.934968590736</v>
      </c>
      <c r="T1580" s="39" t="str">
        <f>HYPERLINK(AB2 &amp; "/knife/sn_f5abb706dd1c1e931fc43d5b32fa230f/rendering/17.obj", "1.33843398094")</f>
        <v>1.33843398094</v>
      </c>
      <c r="U1580" s="68" t="str">
        <f>HYPERLINK(AB2 &amp; "/knife/sn_f5abb706dd1c1e931fc43d5b32fa230f/rendering/18.obj", "1.18089735508")</f>
        <v>1.18089735508</v>
      </c>
      <c r="V1580" s="23" t="str">
        <f>HYPERLINK(AB2 &amp; "/knife/sn_f5abb706dd1c1e931fc43d5b32fa230f/rendering/19.obj", "1.28090691566")</f>
        <v>1.28090691566</v>
      </c>
      <c r="W1580" s="12" t="s">
        <v>32</v>
      </c>
      <c r="X1580" s="13">
        <v>1.2318658024072651</v>
      </c>
      <c r="Y1580" s="13">
        <v>0.2009350460821927</v>
      </c>
      <c r="Z1580" s="66">
        <v>0.1631143958128663</v>
      </c>
    </row>
    <row r="1581" spans="1:26" x14ac:dyDescent="0.2">
      <c r="A1581" s="1">
        <v>1579</v>
      </c>
      <c r="B1581" s="2" t="s">
        <v>348</v>
      </c>
      <c r="C1581" s="13" t="str">
        <f>HYPERLINK(AC2 &amp; "/knife/sn_f5abb706dd1c1e931fc43d5b32fa230f/rendering/00.xyz", "0.0")</f>
        <v>0.0</v>
      </c>
      <c r="D1581" s="13" t="str">
        <f>HYPERLINK(AC2 &amp; "/knife/sn_f5abb706dd1c1e931fc43d5b32fa230f/rendering/01.xyz", "0.0")</f>
        <v>0.0</v>
      </c>
      <c r="E1581" s="13" t="str">
        <f>HYPERLINK(AC2 &amp; "/knife/sn_f5abb706dd1c1e931fc43d5b32fa230f/rendering/02.xyz", "0.0")</f>
        <v>0.0</v>
      </c>
      <c r="F1581" s="13" t="str">
        <f>HYPERLINK(AC2 &amp; "/knife/sn_f5abb706dd1c1e931fc43d5b32fa230f/rendering/03.xyz", "0.0")</f>
        <v>0.0</v>
      </c>
      <c r="G1581" s="13" t="str">
        <f>HYPERLINK(AC2 &amp; "/knife/sn_f5abb706dd1c1e931fc43d5b32fa230f/rendering/04.xyz", "0.0")</f>
        <v>0.0</v>
      </c>
      <c r="H1581" s="13" t="str">
        <f>HYPERLINK(AC2 &amp; "/knife/sn_f5abb706dd1c1e931fc43d5b32fa230f/rendering/05.xyz", "0.0")</f>
        <v>0.0</v>
      </c>
      <c r="I1581" s="13" t="str">
        <f>HYPERLINK(AC2 &amp; "/knife/sn_f5abb706dd1c1e931fc43d5b32fa230f/rendering/06.xyz", "0.0")</f>
        <v>0.0</v>
      </c>
      <c r="J1581" s="13" t="str">
        <f>HYPERLINK(AC2 &amp; "/knife/sn_f5abb706dd1c1e931fc43d5b32fa230f/rendering/07.xyz", "0.0")</f>
        <v>0.0</v>
      </c>
      <c r="K1581" s="13" t="str">
        <f>HYPERLINK(AC2 &amp; "/knife/sn_f5abb706dd1c1e931fc43d5b32fa230f/rendering/08.xyz", "0.0")</f>
        <v>0.0</v>
      </c>
      <c r="L1581" s="13" t="str">
        <f>HYPERLINK(AC2 &amp; "/knife/sn_f5abb706dd1c1e931fc43d5b32fa230f/rendering/09.xyz", "0.0")</f>
        <v>0.0</v>
      </c>
      <c r="M1581" s="13" t="str">
        <f>HYPERLINK(AC2 &amp; "/knife/sn_f5abb706dd1c1e931fc43d5b32fa230f/rendering/10.xyz", "0.0")</f>
        <v>0.0</v>
      </c>
      <c r="N1581" s="13" t="str">
        <f>HYPERLINK(AC2 &amp; "/knife/sn_f5abb706dd1c1e931fc43d5b32fa230f/rendering/11.xyz", "0.0")</f>
        <v>0.0</v>
      </c>
      <c r="O1581" s="13" t="str">
        <f>HYPERLINK(AC2 &amp; "/knife/sn_f5abb706dd1c1e931fc43d5b32fa230f/rendering/12.xyz", "0.0")</f>
        <v>0.0</v>
      </c>
      <c r="P1581" s="13" t="str">
        <f>HYPERLINK(AC2 &amp; "/knife/sn_f5abb706dd1c1e931fc43d5b32fa230f/rendering/13.xyz", "0.0")</f>
        <v>0.0</v>
      </c>
      <c r="Q1581" s="13" t="str">
        <f>HYPERLINK(AC2 &amp; "/knife/sn_f5abb706dd1c1e931fc43d5b32fa230f/rendering/14.xyz", "0.0")</f>
        <v>0.0</v>
      </c>
      <c r="R1581" s="13" t="str">
        <f>HYPERLINK(AC2 &amp; "/knife/sn_f5abb706dd1c1e931fc43d5b32fa230f/rendering/15.xyz", "0.0")</f>
        <v>0.0</v>
      </c>
      <c r="S1581" s="13" t="str">
        <f>HYPERLINK(AC2 &amp; "/knife/sn_f5abb706dd1c1e931fc43d5b32fa230f/rendering/16.xyz", "0.0")</f>
        <v>0.0</v>
      </c>
      <c r="T1581" s="13" t="str">
        <f>HYPERLINK(AC2 &amp; "/knife/sn_f5abb706dd1c1e931fc43d5b32fa230f/rendering/17.xyz", "0.0")</f>
        <v>0.0</v>
      </c>
      <c r="U1581" s="13" t="str">
        <f>HYPERLINK(AC2 &amp; "/knife/sn_f5abb706dd1c1e931fc43d5b32fa230f/rendering/18.xyz", "0.0")</f>
        <v>0.0</v>
      </c>
      <c r="V1581" s="13" t="str">
        <f>HYPERLINK(AC2 &amp; "/knife/sn_f5abb706dd1c1e931fc43d5b32fa230f/rendering/19.xyz", "0.0")</f>
        <v>0.0</v>
      </c>
      <c r="W1581" s="12" t="s">
        <v>33</v>
      </c>
      <c r="X1581" s="13">
        <v>0</v>
      </c>
      <c r="Y1581" s="13">
        <v>0</v>
      </c>
      <c r="Z1581" s="13">
        <v>0</v>
      </c>
    </row>
    <row r="1582" spans="1:26" x14ac:dyDescent="0.2">
      <c r="A1582" s="1">
        <v>1580</v>
      </c>
      <c r="B1582" s="2" t="s">
        <v>349</v>
      </c>
      <c r="C1582" s="75" t="str">
        <f>HYPERLINK(AA2 &amp; "/knife/sn_faa118fc5de302338ba8cbbd590b1b6b/rendering/00.obj", "3.44702392578")</f>
        <v>3.44702392578</v>
      </c>
      <c r="D1582" s="69" t="str">
        <f>HYPERLINK(AA2 &amp; "/knife/sn_faa118fc5de302338ba8cbbd590b1b6b/rendering/01.obj", "4.29667053223")</f>
        <v>4.29667053223</v>
      </c>
      <c r="E1582" s="41" t="str">
        <f>HYPERLINK(AA2 &amp; "/knife/sn_faa118fc5de302338ba8cbbd590b1b6b/rendering/02.obj", "4.12764129639")</f>
        <v>4.12764129639</v>
      </c>
      <c r="F1582" s="73" t="str">
        <f>HYPERLINK(AA2 &amp; "/knife/sn_faa118fc5de302338ba8cbbd590b1b6b/rendering/03.obj", "4.59971008301")</f>
        <v>4.59971008301</v>
      </c>
      <c r="G1582" s="60" t="str">
        <f>HYPERLINK(AA2 &amp; "/knife/sn_faa118fc5de302338ba8cbbd590b1b6b/rendering/04.obj", "4.66976165771")</f>
        <v>4.66976165771</v>
      </c>
      <c r="H1582" s="63" t="str">
        <f>HYPERLINK(AA2 &amp; "/knife/sn_faa118fc5de302338ba8cbbd590b1b6b/rendering/05.obj", "4.96729248047")</f>
        <v>4.96729248047</v>
      </c>
      <c r="I1582" s="92" t="str">
        <f>HYPERLINK(AA2 &amp; "/knife/sn_faa118fc5de302338ba8cbbd590b1b6b/rendering/06.obj", "3.88863586426")</f>
        <v>3.88863586426</v>
      </c>
      <c r="J1582" s="17" t="str">
        <f>HYPERLINK(AA2 &amp; "/knife/sn_faa118fc5de302338ba8cbbd590b1b6b/rendering/07.obj", "4.34112060547")</f>
        <v>4.34112060547</v>
      </c>
      <c r="K1582" s="37" t="str">
        <f>HYPERLINK(AA2 &amp; "/knife/sn_faa118fc5de302338ba8cbbd590b1b6b/rendering/08.obj", "3.66801330566")</f>
        <v>3.66801330566</v>
      </c>
      <c r="L1582" s="38" t="str">
        <f>HYPERLINK(AA2 &amp; "/knife/sn_faa118fc5de302338ba8cbbd590b1b6b/rendering/09.obj", "4.04144683838")</f>
        <v>4.04144683838</v>
      </c>
      <c r="M1582" s="70" t="str">
        <f>HYPERLINK(AA2 &amp; "/knife/sn_faa118fc5de302338ba8cbbd590b1b6b/rendering/10.obj", "4.99791625977")</f>
        <v>4.99791625977</v>
      </c>
      <c r="N1582" s="25" t="str">
        <f>HYPERLINK(AA2 &amp; "/knife/sn_faa118fc5de302338ba8cbbd590b1b6b/rendering/11.obj", "4.38462432861")</f>
        <v>4.38462432861</v>
      </c>
      <c r="O1582" s="46" t="str">
        <f>HYPERLINK(AA2 &amp; "/knife/sn_faa118fc5de302338ba8cbbd590b1b6b/rendering/12.obj", "4.36121826172")</f>
        <v>4.36121826172</v>
      </c>
      <c r="P1582" s="93" t="str">
        <f>HYPERLINK(AA2 &amp; "/knife/sn_faa118fc5de302338ba8cbbd590b1b6b/rendering/13.obj", "3.81362121582")</f>
        <v>3.81362121582</v>
      </c>
      <c r="Q1582" s="80" t="str">
        <f>HYPERLINK(AA2 &amp; "/knife/sn_faa118fc5de302338ba8cbbd590b1b6b/rendering/14.obj", "3.77144287109")</f>
        <v>3.77144287109</v>
      </c>
      <c r="R1582" s="70" t="str">
        <f>HYPERLINK(AA2 &amp; "/knife/sn_faa118fc5de302338ba8cbbd590b1b6b/rendering/15.obj", "3.86583129883")</f>
        <v>3.86583129883</v>
      </c>
      <c r="S1582" s="114" t="str">
        <f>HYPERLINK(AA2 &amp; "/knife/sn_faa118fc5de302338ba8cbbd590b1b6b/rendering/16.obj", "6.47410400391")</f>
        <v>6.47410400391</v>
      </c>
      <c r="T1582" s="63" t="str">
        <f>HYPERLINK(AA2 &amp; "/knife/sn_faa118fc5de302338ba8cbbd590b1b6b/rendering/17.obj", "4.96788574219")</f>
        <v>4.96788574219</v>
      </c>
      <c r="U1582" s="90" t="str">
        <f>HYPERLINK(AA2 &amp; "/knife/sn_faa118fc5de302338ba8cbbd590b1b6b/rendering/18.obj", "4.85200866699")</f>
        <v>4.85200866699</v>
      </c>
      <c r="V1582" s="79" t="str">
        <f>HYPERLINK(AA2 &amp; "/knife/sn_faa118fc5de302338ba8cbbd590b1b6b/rendering/19.obj", "5.13113037109")</f>
        <v>5.13113037109</v>
      </c>
      <c r="W1582" s="12" t="s">
        <v>29</v>
      </c>
      <c r="X1582" s="13">
        <v>4.4333549804687511</v>
      </c>
      <c r="Y1582" s="13">
        <v>0.67384491719098893</v>
      </c>
      <c r="Z1582" s="83">
        <v>0.15199435194330899</v>
      </c>
    </row>
    <row r="1583" spans="1:26" x14ac:dyDescent="0.2">
      <c r="A1583" s="1">
        <v>1581</v>
      </c>
      <c r="B1583" s="2" t="s">
        <v>349</v>
      </c>
      <c r="C1583" s="143" t="str">
        <f>HYPERLINK(AA2 &amp; "/knife/sn_faa118fc5de302338ba8cbbd590b1b6b/rendering/00.obj", "2.16110348701")</f>
        <v>2.16110348701</v>
      </c>
      <c r="D1583" s="74" t="str">
        <f>HYPERLINK(AA2 &amp; "/knife/sn_faa118fc5de302338ba8cbbd590b1b6b/rendering/01.obj", "4.14927339554")</f>
        <v>4.14927339554</v>
      </c>
      <c r="E1583" s="157" t="str">
        <f>HYPERLINK(AA2 &amp; "/knife/sn_faa118fc5de302338ba8cbbd590b1b6b/rendering/02.obj", "2.39561343193")</f>
        <v>2.39561343193</v>
      </c>
      <c r="F1583" s="46" t="str">
        <f>HYPERLINK(AA2 &amp; "/knife/sn_faa118fc5de302338ba8cbbd590b1b6b/rendering/03.obj", "4.16659116745")</f>
        <v>4.16659116745</v>
      </c>
      <c r="G1583" s="78" t="str">
        <f>HYPERLINK(AA2 &amp; "/knife/sn_faa118fc5de302338ba8cbbd590b1b6b/rendering/04.obj", "4.34535503387")</f>
        <v>4.34535503387</v>
      </c>
      <c r="H1583" s="20" t="str">
        <f>HYPERLINK(AA2 &amp; "/knife/sn_faa118fc5de302338ba8cbbd590b1b6b/rendering/05.obj", "8.29095554352")</f>
        <v>8.29095554352</v>
      </c>
      <c r="I1583" s="77" t="str">
        <f>HYPERLINK(AA2 &amp; "/knife/sn_faa118fc5de302338ba8cbbd590b1b6b/rendering/06.obj", "3.32772922516")</f>
        <v>3.32772922516</v>
      </c>
      <c r="J1583" s="133" t="str">
        <f>HYPERLINK(AA2 &amp; "/knife/sn_faa118fc5de302338ba8cbbd590b1b6b/rendering/07.obj", "3.67216110229")</f>
        <v>3.67216110229</v>
      </c>
      <c r="K1583" s="223" t="str">
        <f>HYPERLINK(AA2 &amp; "/knife/sn_faa118fc5de302338ba8cbbd590b1b6b/rendering/08.obj", "1.80174815655")</f>
        <v>1.80174815655</v>
      </c>
      <c r="L1583" s="79" t="str">
        <f>HYPERLINK(AA2 &amp; "/knife/sn_faa118fc5de302338ba8cbbd590b1b6b/rendering/09.obj", "3.44852256775")</f>
        <v>3.44852256775</v>
      </c>
      <c r="M1583" s="153" t="str">
        <f>HYPERLINK(AA2 &amp; "/knife/sn_faa118fc5de302338ba8cbbd590b1b6b/rendering/10.obj", "5.55181598663")</f>
        <v>5.55181598663</v>
      </c>
      <c r="N1583" s="108" t="str">
        <f>HYPERLINK(AA2 &amp; "/knife/sn_faa118fc5de302338ba8cbbd590b1b6b/rendering/11.obj", "5.1018614769")</f>
        <v>5.1018614769</v>
      </c>
      <c r="O1583" s="69" t="str">
        <f>HYPERLINK(AA2 &amp; "/knife/sn_faa118fc5de302338ba8cbbd590b1b6b/rendering/12.obj", "3.97330641747")</f>
        <v>3.97330641747</v>
      </c>
      <c r="P1583" s="251" t="str">
        <f>HYPERLINK(AA2 &amp; "/knife/sn_faa118fc5de302338ba8cbbd590b1b6b/rendering/13.obj", "1.69020318985")</f>
        <v>1.69020318985</v>
      </c>
      <c r="Q1583" s="175" t="str">
        <f>HYPERLINK(AA2 &amp; "/knife/sn_faa118fc5de302338ba8cbbd590b1b6b/rendering/14.obj", "3.14464139938")</f>
        <v>3.14464139938</v>
      </c>
      <c r="R1583" s="145" t="str">
        <f>HYPERLINK(AA2 &amp; "/knife/sn_faa118fc5de302338ba8cbbd590b1b6b/rendering/15.obj", "2.08086895943")</f>
        <v>2.08086895943</v>
      </c>
      <c r="S1583" s="258" t="str">
        <f>HYPERLINK(AA2 &amp; "/knife/sn_faa118fc5de302338ba8cbbd590b1b6b/rendering/16.obj", "7.20691347122")</f>
        <v>7.20691347122</v>
      </c>
      <c r="T1583" s="65" t="str">
        <f>HYPERLINK(AA2 &amp; "/knife/sn_faa118fc5de302338ba8cbbd590b1b6b/rendering/17.obj", "4.64108657837")</f>
        <v>4.64108657837</v>
      </c>
      <c r="U1583" s="187" t="str">
        <f>HYPERLINK(AA2 &amp; "/knife/sn_faa118fc5de302338ba8cbbd590b1b6b/rendering/18.obj", "5.53220319748")</f>
        <v>5.53220319748</v>
      </c>
      <c r="V1583" s="7" t="str">
        <f>HYPERLINK(AA2 &amp; "/knife/sn_faa118fc5de302338ba8cbbd590b1b6b/rendering/19.obj", "5.23502254486")</f>
        <v>5.23502254486</v>
      </c>
      <c r="W1583" s="12" t="s">
        <v>30</v>
      </c>
      <c r="X1583" s="13">
        <v>4.0958488166332243</v>
      </c>
      <c r="Y1583" s="13">
        <v>1.7027969253726249</v>
      </c>
      <c r="Z1583" s="157">
        <v>0.41573725047115367</v>
      </c>
    </row>
    <row r="1584" spans="1:26" x14ac:dyDescent="0.2">
      <c r="A1584" s="1">
        <v>1582</v>
      </c>
      <c r="B1584" s="2" t="s">
        <v>349</v>
      </c>
      <c r="C1584" s="48" t="str">
        <f>HYPERLINK(AB2 &amp; "/knife/sn_faa118fc5de302338ba8cbbd590b1b6b/rendering/00.obj", "4.97396972656")</f>
        <v>4.97396972656</v>
      </c>
      <c r="D1584" s="94" t="str">
        <f>HYPERLINK(AB2 &amp; "/knife/sn_faa118fc5de302338ba8cbbd590b1b6b/rendering/01.obj", "5.47072143555")</f>
        <v>5.47072143555</v>
      </c>
      <c r="E1584" s="23" t="str">
        <f>HYPERLINK(AB2 &amp; "/knife/sn_faa118fc5de302338ba8cbbd590b1b6b/rendering/02.obj", "5.29578613281")</f>
        <v>5.29578613281</v>
      </c>
      <c r="F1584" s="6" t="str">
        <f>HYPERLINK(AB2 &amp; "/knife/sn_faa118fc5de302338ba8cbbd590b1b6b/rendering/03.obj", "4.86148498535")</f>
        <v>4.86148498535</v>
      </c>
      <c r="G1584" s="91" t="str">
        <f>HYPERLINK(AB2 &amp; "/knife/sn_faa118fc5de302338ba8cbbd590b1b6b/rendering/04.obj", "4.95537231445")</f>
        <v>4.95537231445</v>
      </c>
      <c r="H1584" s="51" t="str">
        <f>HYPERLINK(AB2 &amp; "/knife/sn_faa118fc5de302338ba8cbbd590b1b6b/rendering/05.obj", "5.49427734375")</f>
        <v>5.49427734375</v>
      </c>
      <c r="I1584" s="58" t="str">
        <f>HYPERLINK(AB2 &amp; "/knife/sn_faa118fc5de302338ba8cbbd590b1b6b/rendering/06.obj", "6.3257434082")</f>
        <v>6.3257434082</v>
      </c>
      <c r="J1584" s="48" t="str">
        <f>HYPERLINK(AB2 &amp; "/knife/sn_faa118fc5de302338ba8cbbd590b1b6b/rendering/07.obj", "5.20531921387")</f>
        <v>5.20531921387</v>
      </c>
      <c r="K1584" s="36" t="str">
        <f>HYPERLINK(AB2 &amp; "/knife/sn_faa118fc5de302338ba8cbbd590b1b6b/rendering/08.obj", "3.99847839355")</f>
        <v>3.99847839355</v>
      </c>
      <c r="L1584" s="41" t="str">
        <f>HYPERLINK(AB2 &amp; "/knife/sn_faa118fc5de302338ba8cbbd590b1b6b/rendering/09.obj", "5.43744262695")</f>
        <v>5.43744262695</v>
      </c>
      <c r="M1584" s="6" t="str">
        <f>HYPERLINK(AB2 &amp; "/knife/sn_faa118fc5de302338ba8cbbd590b1b6b/rendering/10.obj", "4.8561706543")</f>
        <v>4.8561706543</v>
      </c>
      <c r="N1584" s="136" t="str">
        <f>HYPERLINK(AB2 &amp; "/knife/sn_faa118fc5de302338ba8cbbd590b1b6b/rendering/11.obj", "3.88993255615")</f>
        <v>3.88993255615</v>
      </c>
      <c r="O1584" s="91" t="str">
        <f>HYPERLINK(AB2 &amp; "/knife/sn_faa118fc5de302338ba8cbbd590b1b6b/rendering/12.obj", "5.22970031738")</f>
        <v>5.22970031738</v>
      </c>
      <c r="P1584" s="61" t="str">
        <f>HYPERLINK(AB2 &amp; "/knife/sn_faa118fc5de302338ba8cbbd590b1b6b/rendering/13.obj", "3.55113525391")</f>
        <v>3.55113525391</v>
      </c>
      <c r="Q1584" s="80" t="str">
        <f>HYPERLINK(AB2 &amp; "/knife/sn_faa118fc5de302338ba8cbbd590b1b6b/rendering/14.obj", "5.84900024414")</f>
        <v>5.84900024414</v>
      </c>
      <c r="R1584" s="17" t="str">
        <f>HYPERLINK(AB2 &amp; "/knife/sn_faa118fc5de302338ba8cbbd590b1b6b/rendering/15.obj", "4.98826629639")</f>
        <v>4.98826629639</v>
      </c>
      <c r="S1584" s="94" t="str">
        <f>HYPERLINK(AB2 &amp; "/knife/sn_faa118fc5de302338ba8cbbd590b1b6b/rendering/16.obj", "4.71658630371")</f>
        <v>4.71658630371</v>
      </c>
      <c r="T1584" s="69" t="str">
        <f>HYPERLINK(AB2 &amp; "/knife/sn_faa118fc5de302338ba8cbbd590b1b6b/rendering/17.obj", "5.24814086914")</f>
        <v>5.24814086914</v>
      </c>
      <c r="U1584" s="63" t="str">
        <f>HYPERLINK(AB2 &amp; "/knife/sn_faa118fc5de302338ba8cbbd590b1b6b/rendering/18.obj", "5.70049804688")</f>
        <v>5.70049804688</v>
      </c>
      <c r="V1584" s="93" t="str">
        <f>HYPERLINK(AB2 &amp; "/knife/sn_faa118fc5de302338ba8cbbd590b1b6b/rendering/19.obj", "5.81093017578")</f>
        <v>5.81093017578</v>
      </c>
      <c r="W1584" s="12" t="s">
        <v>31</v>
      </c>
      <c r="X1584" s="13">
        <v>5.0929478149414056</v>
      </c>
      <c r="Y1584" s="13">
        <v>0.6638015705979512</v>
      </c>
      <c r="Z1584" s="29">
        <v>0.13033739883423251</v>
      </c>
    </row>
    <row r="1585" spans="1:26" x14ac:dyDescent="0.2">
      <c r="A1585" s="1">
        <v>1583</v>
      </c>
      <c r="B1585" s="2" t="s">
        <v>349</v>
      </c>
      <c r="C1585" s="176" t="str">
        <f>HYPERLINK(AB2 &amp; "/knife/sn_faa118fc5de302338ba8cbbd590b1b6b/rendering/00.obj", "1.72722911835")</f>
        <v>1.72722911835</v>
      </c>
      <c r="D1585" s="77" t="str">
        <f>HYPERLINK(AB2 &amp; "/knife/sn_faa118fc5de302338ba8cbbd590b1b6b/rendering/01.obj", "2.99934411049")</f>
        <v>2.99934411049</v>
      </c>
      <c r="E1585" s="76" t="str">
        <f>HYPERLINK(AB2 &amp; "/knife/sn_faa118fc5de302338ba8cbbd590b1b6b/rendering/02.obj", "2.06764149666")</f>
        <v>2.06764149666</v>
      </c>
      <c r="F1585" s="23" t="str">
        <f>HYPERLINK(AB2 &amp; "/knife/sn_faa118fc5de302338ba8cbbd590b1b6b/rendering/03.obj", "2.42698454857")</f>
        <v>2.42698454857</v>
      </c>
      <c r="G1585" s="6" t="str">
        <f>HYPERLINK(AB2 &amp; "/knife/sn_faa118fc5de302338ba8cbbd590b1b6b/rendering/04.obj", "2.64408683777")</f>
        <v>2.64408683777</v>
      </c>
      <c r="H1585" s="105" t="str">
        <f>HYPERLINK(AB2 &amp; "/knife/sn_faa118fc5de302338ba8cbbd590b1b6b/rendering/05.obj", "3.82782149315")</f>
        <v>3.82782149315</v>
      </c>
      <c r="I1585" s="164" t="str">
        <f>HYPERLINK(AB2 &amp; "/knife/sn_faa118fc5de302338ba8cbbd590b1b6b/rendering/06.obj", "4.13207101822")</f>
        <v>4.13207101822</v>
      </c>
      <c r="J1585" s="93" t="str">
        <f>HYPERLINK(AB2 &amp; "/knife/sn_faa118fc5de302338ba8cbbd590b1b6b/rendering/07.obj", "2.17382097244")</f>
        <v>2.17382097244</v>
      </c>
      <c r="K1585" s="137" t="str">
        <f>HYPERLINK(AB2 &amp; "/knife/sn_faa118fc5de302338ba8cbbd590b1b6b/rendering/08.obj", "1.60541772842")</f>
        <v>1.60541772842</v>
      </c>
      <c r="L1585" s="88" t="str">
        <f>HYPERLINK(AB2 &amp; "/knife/sn_faa118fc5de302338ba8cbbd590b1b6b/rendering/09.obj", "3.03974151611")</f>
        <v>3.03974151611</v>
      </c>
      <c r="M1585" s="179" t="str">
        <f>HYPERLINK(AB2 &amp; "/knife/sn_faa118fc5de302338ba8cbbd590b1b6b/rendering/10.obj", "1.44447565079")</f>
        <v>1.44447565079</v>
      </c>
      <c r="N1585" s="131" t="str">
        <f>HYPERLINK(AB2 &amp; "/knife/sn_faa118fc5de302338ba8cbbd590b1b6b/rendering/11.obj", "1.35747623444")</f>
        <v>1.35747623444</v>
      </c>
      <c r="O1585" s="13" t="str">
        <f>HYPERLINK(AB2 &amp; "/knife/sn_faa118fc5de302338ba8cbbd590b1b6b/rendering/12.obj", "2.52823495865")</f>
        <v>2.52823495865</v>
      </c>
      <c r="P1585" s="181" t="str">
        <f>HYPERLINK(AB2 &amp; "/knife/sn_faa118fc5de302338ba8cbbd590b1b6b/rendering/13.obj", "1.40642809868")</f>
        <v>1.40642809868</v>
      </c>
      <c r="Q1585" s="34" t="str">
        <f>HYPERLINK(AB2 &amp; "/knife/sn_faa118fc5de302338ba8cbbd590b1b6b/rendering/14.obj", "2.65553355217")</f>
        <v>2.65553355217</v>
      </c>
      <c r="R1585" s="152" t="str">
        <f>HYPERLINK(AB2 &amp; "/knife/sn_faa118fc5de302338ba8cbbd590b1b6b/rendering/15.obj", "1.49852013588")</f>
        <v>1.49852013588</v>
      </c>
      <c r="S1585" s="135" t="str">
        <f>HYPERLINK(AB2 &amp; "/knife/sn_faa118fc5de302338ba8cbbd590b1b6b/rendering/16.obj", "1.87861466408")</f>
        <v>1.87861466408</v>
      </c>
      <c r="T1585" s="8" t="str">
        <f>HYPERLINK(AB2 &amp; "/knife/sn_faa118fc5de302338ba8cbbd590b1b6b/rendering/17.obj", "2.89096546173")</f>
        <v>2.89096546173</v>
      </c>
      <c r="U1585" s="34" t="str">
        <f>HYPERLINK(AB2 &amp; "/knife/sn_faa118fc5de302338ba8cbbd590b1b6b/rendering/18.obj", "2.40397882462")</f>
        <v>2.40397882462</v>
      </c>
      <c r="V1585" s="20" t="str">
        <f>HYPERLINK(AB2 &amp; "/knife/sn_faa118fc5de302338ba8cbbd590b1b6b/rendering/19.obj", "5.87230396271")</f>
        <v>5.87230396271</v>
      </c>
      <c r="W1585" s="12" t="s">
        <v>32</v>
      </c>
      <c r="X1585" s="13">
        <v>2.529034519195557</v>
      </c>
      <c r="Y1585" s="13">
        <v>1.0777618388470509</v>
      </c>
      <c r="Z1585" s="162">
        <v>0.42615544812328993</v>
      </c>
    </row>
    <row r="1586" spans="1:26" x14ac:dyDescent="0.2">
      <c r="A1586" s="1">
        <v>1584</v>
      </c>
      <c r="B1586" s="2" t="s">
        <v>349</v>
      </c>
      <c r="C1586" s="13" t="str">
        <f>HYPERLINK(AC2 &amp; "/knife/sn_faa118fc5de302338ba8cbbd590b1b6b/rendering/00.xyz", "0.0")</f>
        <v>0.0</v>
      </c>
      <c r="D1586" s="13" t="str">
        <f>HYPERLINK(AC2 &amp; "/knife/sn_faa118fc5de302338ba8cbbd590b1b6b/rendering/01.xyz", "0.0")</f>
        <v>0.0</v>
      </c>
      <c r="E1586" s="13" t="str">
        <f>HYPERLINK(AC2 &amp; "/knife/sn_faa118fc5de302338ba8cbbd590b1b6b/rendering/02.xyz", "0.0")</f>
        <v>0.0</v>
      </c>
      <c r="F1586" s="13" t="str">
        <f>HYPERLINK(AC2 &amp; "/knife/sn_faa118fc5de302338ba8cbbd590b1b6b/rendering/03.xyz", "0.0")</f>
        <v>0.0</v>
      </c>
      <c r="G1586" s="13" t="str">
        <f>HYPERLINK(AC2 &amp; "/knife/sn_faa118fc5de302338ba8cbbd590b1b6b/rendering/04.xyz", "0.0")</f>
        <v>0.0</v>
      </c>
      <c r="H1586" s="13" t="str">
        <f>HYPERLINK(AC2 &amp; "/knife/sn_faa118fc5de302338ba8cbbd590b1b6b/rendering/05.xyz", "0.0")</f>
        <v>0.0</v>
      </c>
      <c r="I1586" s="13" t="str">
        <f>HYPERLINK(AC2 &amp; "/knife/sn_faa118fc5de302338ba8cbbd590b1b6b/rendering/06.xyz", "0.0")</f>
        <v>0.0</v>
      </c>
      <c r="J1586" s="13" t="str">
        <f>HYPERLINK(AC2 &amp; "/knife/sn_faa118fc5de302338ba8cbbd590b1b6b/rendering/07.xyz", "0.0")</f>
        <v>0.0</v>
      </c>
      <c r="K1586" s="13" t="str">
        <f>HYPERLINK(AC2 &amp; "/knife/sn_faa118fc5de302338ba8cbbd590b1b6b/rendering/08.xyz", "0.0")</f>
        <v>0.0</v>
      </c>
      <c r="L1586" s="13" t="str">
        <f>HYPERLINK(AC2 &amp; "/knife/sn_faa118fc5de302338ba8cbbd590b1b6b/rendering/09.xyz", "0.0")</f>
        <v>0.0</v>
      </c>
      <c r="M1586" s="13" t="str">
        <f>HYPERLINK(AC2 &amp; "/knife/sn_faa118fc5de302338ba8cbbd590b1b6b/rendering/10.xyz", "0.0")</f>
        <v>0.0</v>
      </c>
      <c r="N1586" s="13" t="str">
        <f>HYPERLINK(AC2 &amp; "/knife/sn_faa118fc5de302338ba8cbbd590b1b6b/rendering/11.xyz", "0.0")</f>
        <v>0.0</v>
      </c>
      <c r="O1586" s="13" t="str">
        <f>HYPERLINK(AC2 &amp; "/knife/sn_faa118fc5de302338ba8cbbd590b1b6b/rendering/12.xyz", "0.0")</f>
        <v>0.0</v>
      </c>
      <c r="P1586" s="13" t="str">
        <f>HYPERLINK(AC2 &amp; "/knife/sn_faa118fc5de302338ba8cbbd590b1b6b/rendering/13.xyz", "0.0")</f>
        <v>0.0</v>
      </c>
      <c r="Q1586" s="13" t="str">
        <f>HYPERLINK(AC2 &amp; "/knife/sn_faa118fc5de302338ba8cbbd590b1b6b/rendering/14.xyz", "0.0")</f>
        <v>0.0</v>
      </c>
      <c r="R1586" s="13" t="str">
        <f>HYPERLINK(AC2 &amp; "/knife/sn_faa118fc5de302338ba8cbbd590b1b6b/rendering/15.xyz", "0.0")</f>
        <v>0.0</v>
      </c>
      <c r="S1586" s="13" t="str">
        <f>HYPERLINK(AC2 &amp; "/knife/sn_faa118fc5de302338ba8cbbd590b1b6b/rendering/16.xyz", "0.0")</f>
        <v>0.0</v>
      </c>
      <c r="T1586" s="13" t="str">
        <f>HYPERLINK(AC2 &amp; "/knife/sn_faa118fc5de302338ba8cbbd590b1b6b/rendering/17.xyz", "0.0")</f>
        <v>0.0</v>
      </c>
      <c r="U1586" s="13" t="str">
        <f>HYPERLINK(AC2 &amp; "/knife/sn_faa118fc5de302338ba8cbbd590b1b6b/rendering/18.xyz", "0.0")</f>
        <v>0.0</v>
      </c>
      <c r="V1586" s="13" t="str">
        <f>HYPERLINK(AC2 &amp; "/knife/sn_faa118fc5de302338ba8cbbd590b1b6b/rendering/19.xyz", "0.0")</f>
        <v>0.0</v>
      </c>
      <c r="W1586" s="12" t="s">
        <v>33</v>
      </c>
      <c r="X1586" s="13">
        <v>0</v>
      </c>
      <c r="Y1586" s="13">
        <v>0</v>
      </c>
      <c r="Z1586" s="13">
        <v>0</v>
      </c>
    </row>
    <row r="1587" spans="1:26" x14ac:dyDescent="0.2">
      <c r="A1587" s="1">
        <v>1585</v>
      </c>
      <c r="B1587" s="2" t="s">
        <v>350</v>
      </c>
      <c r="C1587" s="90" t="str">
        <f>HYPERLINK(AA2 &amp; "/knife/sn_fca703c2489237d51b44a9962207f944/rendering/00.obj", "4.91701965332")</f>
        <v>4.91701965332</v>
      </c>
      <c r="D1587" s="54" t="str">
        <f>HYPERLINK(AA2 &amp; "/knife/sn_fca703c2489237d51b44a9962207f944/rendering/01.obj", "3.64329803467")</f>
        <v>3.64329803467</v>
      </c>
      <c r="E1587" s="225" t="str">
        <f>HYPERLINK(AA2 &amp; "/knife/sn_fca703c2489237d51b44a9962207f944/rendering/02.obj", "2.34362503052")</f>
        <v>2.34362503052</v>
      </c>
      <c r="F1587" s="223" t="str">
        <f>HYPERLINK(AA2 &amp; "/knife/sn_fca703c2489237d51b44a9962207f944/rendering/03.obj", "8.47715820313")</f>
        <v>8.47715820313</v>
      </c>
      <c r="G1587" s="177" t="str">
        <f>HYPERLINK(AA2 &amp; "/knife/sn_fca703c2489237d51b44a9962207f944/rendering/04.obj", "2.52924697876")</f>
        <v>2.52924697876</v>
      </c>
      <c r="H1587" s="73" t="str">
        <f>HYPERLINK(AA2 &amp; "/knife/sn_fca703c2489237d51b44a9962207f944/rendering/05.obj", "5.22957275391")</f>
        <v>5.22957275391</v>
      </c>
      <c r="I1587" s="129" t="str">
        <f>HYPERLINK(AA2 &amp; "/knife/sn_fca703c2489237d51b44a9962207f944/rendering/06.obj", "4.07673278809")</f>
        <v>4.07673278809</v>
      </c>
      <c r="J1587" s="72" t="str">
        <f>HYPERLINK(AA2 &amp; "/knife/sn_fca703c2489237d51b44a9962207f944/rendering/07.obj", "5.6069708252")</f>
        <v>5.6069708252</v>
      </c>
      <c r="K1587" s="147" t="str">
        <f>HYPERLINK(AA2 &amp; "/knife/sn_fca703c2489237d51b44a9962207f944/rendering/08.obj", "2.78634338379")</f>
        <v>2.78634338379</v>
      </c>
      <c r="L1587" s="135" t="str">
        <f>HYPERLINK(AA2 &amp; "/knife/sn_fca703c2489237d51b44a9962207f944/rendering/09.obj", "4.04892883301")</f>
        <v>4.04892883301</v>
      </c>
      <c r="M1587" s="97" t="str">
        <f>HYPERLINK(AA2 &amp; "/knife/sn_fca703c2489237d51b44a9962207f944/rendering/10.obj", "3.07833129883")</f>
        <v>3.07833129883</v>
      </c>
      <c r="N1587" s="172" t="str">
        <f>HYPERLINK(AA2 &amp; "/knife/sn_fca703c2489237d51b44a9962207f944/rendering/11.obj", "7.51989135742")</f>
        <v>7.51989135742</v>
      </c>
      <c r="O1587" s="113" t="str">
        <f>HYPERLINK(AA2 &amp; "/knife/sn_fca703c2489237d51b44a9962207f944/rendering/12.obj", "6.92121337891")</f>
        <v>6.92121337891</v>
      </c>
      <c r="P1587" s="134" t="str">
        <f>HYPERLINK(AA2 &amp; "/knife/sn_fca703c2489237d51b44a9962207f944/rendering/13.obj", "4.44441192627")</f>
        <v>4.44441192627</v>
      </c>
      <c r="Q1587" s="20" t="str">
        <f>HYPERLINK(AA2 &amp; "/knife/sn_fca703c2489237d51b44a9962207f944/rendering/14.obj", "16.1297558594")</f>
        <v>16.1297558594</v>
      </c>
      <c r="R1587" s="142" t="str">
        <f>HYPERLINK(AA2 &amp; "/knife/sn_fca703c2489237d51b44a9962207f944/rendering/15.obj", "3.29024902344")</f>
        <v>3.29024902344</v>
      </c>
      <c r="S1587" s="132" t="str">
        <f>HYPERLINK(AA2 &amp; "/knife/sn_fca703c2489237d51b44a9962207f944/rendering/16.obj", "3.15113220215")</f>
        <v>3.15113220215</v>
      </c>
      <c r="T1587" s="88" t="str">
        <f>HYPERLINK(AA2 &amp; "/knife/sn_fca703c2489237d51b44a9962207f944/rendering/17.obj", "4.33802825928")</f>
        <v>4.33802825928</v>
      </c>
      <c r="U1587" s="20" t="str">
        <f>HYPERLINK(AA2 &amp; "/knife/sn_fca703c2489237d51b44a9962207f944/rendering/18.obj", "13.556171875")</f>
        <v>13.556171875</v>
      </c>
      <c r="V1587" s="228" t="str">
        <f>HYPERLINK(AA2 &amp; "/knife/sn_fca703c2489237d51b44a9962207f944/rendering/19.obj", "2.53969543457")</f>
        <v>2.53969543457</v>
      </c>
      <c r="W1587" s="12" t="s">
        <v>29</v>
      </c>
      <c r="X1587" s="13">
        <v>5.4313888549804679</v>
      </c>
      <c r="Y1587" s="13">
        <v>3.5665833692587121</v>
      </c>
      <c r="Z1587" s="9">
        <v>0.65666139259910117</v>
      </c>
    </row>
    <row r="1588" spans="1:26" x14ac:dyDescent="0.2">
      <c r="A1588" s="1">
        <v>1586</v>
      </c>
      <c r="B1588" s="2" t="s">
        <v>350</v>
      </c>
      <c r="C1588" s="23" t="str">
        <f>HYPERLINK(AA2 &amp; "/knife/sn_fca703c2489237d51b44a9962207f944/rendering/00.obj", "5.24005270004")</f>
        <v>5.24005270004</v>
      </c>
      <c r="D1588" s="52" t="str">
        <f>HYPERLINK(AA2 &amp; "/knife/sn_fca703c2489237d51b44a9962207f944/rendering/01.obj", "3.03003454208")</f>
        <v>3.03003454208</v>
      </c>
      <c r="E1588" s="155" t="str">
        <f>HYPERLINK(AA2 &amp; "/knife/sn_fca703c2489237d51b44a9962207f944/rendering/02.obj", "1.63888776302")</f>
        <v>1.63888776302</v>
      </c>
      <c r="F1588" s="103" t="str">
        <f>HYPERLINK(AA2 &amp; "/knife/sn_fca703c2489237d51b44a9962207f944/rendering/03.obj", "6.69172620773")</f>
        <v>6.69172620773</v>
      </c>
      <c r="G1588" s="252" t="str">
        <f>HYPERLINK(AA2 &amp; "/knife/sn_fca703c2489237d51b44a9962207f944/rendering/04.obj", "1.79604029655")</f>
        <v>1.79604029655</v>
      </c>
      <c r="H1588" s="52" t="str">
        <f>HYPERLINK(AA2 &amp; "/knife/sn_fca703c2489237d51b44a9962207f944/rendering/05.obj", "3.02742433548")</f>
        <v>3.02742433548</v>
      </c>
      <c r="I1588" s="102" t="str">
        <f>HYPERLINK(AA2 &amp; "/knife/sn_fca703c2489237d51b44a9962207f944/rendering/06.obj", "2.53631091118")</f>
        <v>2.53631091118</v>
      </c>
      <c r="J1588" s="23" t="str">
        <f>HYPERLINK(AA2 &amp; "/knife/sn_fca703c2489237d51b44a9962207f944/rendering/07.obj", "4.84594249725")</f>
        <v>4.84594249725</v>
      </c>
      <c r="K1588" s="217" t="str">
        <f>HYPERLINK(AA2 &amp; "/knife/sn_fca703c2489237d51b44a9962207f944/rendering/08.obj", "1.85512375832")</f>
        <v>1.85512375832</v>
      </c>
      <c r="L1588" s="99" t="str">
        <f>HYPERLINK(AA2 &amp; "/knife/sn_fca703c2489237d51b44a9962207f944/rendering/09.obj", "3.68185257912")</f>
        <v>3.68185257912</v>
      </c>
      <c r="M1588" s="150" t="str">
        <f>HYPERLINK(AA2 &amp; "/knife/sn_fca703c2489237d51b44a9962207f944/rendering/10.obj", "2.32334804535")</f>
        <v>2.32334804535</v>
      </c>
      <c r="N1588" s="69" t="str">
        <f>HYPERLINK(AA2 &amp; "/knife/sn_fca703c2489237d51b44a9962207f944/rendering/11.obj", "5.19605493546")</f>
        <v>5.19605493546</v>
      </c>
      <c r="O1588" s="58" t="str">
        <f>HYPERLINK(AA2 &amp; "/knife/sn_fca703c2489237d51b44a9962207f944/rendering/12.obj", "3.81583428383")</f>
        <v>3.81583428383</v>
      </c>
      <c r="P1588" s="166" t="str">
        <f>HYPERLINK(AA2 &amp; "/knife/sn_fca703c2489237d51b44a9962207f944/rendering/13.obj", "3.59250831604")</f>
        <v>3.59250831604</v>
      </c>
      <c r="Q1588" s="20" t="str">
        <f>HYPERLINK(AA2 &amp; "/knife/sn_fca703c2489237d51b44a9962207f944/rendering/14.obj", "26.8444252014")</f>
        <v>26.8444252014</v>
      </c>
      <c r="R1588" s="249" t="str">
        <f>HYPERLINK(AA2 &amp; "/knife/sn_fca703c2489237d51b44a9962207f944/rendering/15.obj", "2.15757799149")</f>
        <v>2.15757799149</v>
      </c>
      <c r="S1588" s="195" t="str">
        <f>HYPERLINK(AA2 &amp; "/knife/sn_fca703c2489237d51b44a9962207f944/rendering/16.obj", "2.28690886497")</f>
        <v>2.28690886497</v>
      </c>
      <c r="T1588" s="29" t="str">
        <f>HYPERLINK(AA2 &amp; "/knife/sn_fca703c2489237d51b44a9962207f944/rendering/17.obj", "4.38702869415")</f>
        <v>4.38702869415</v>
      </c>
      <c r="U1588" s="20" t="str">
        <f>HYPERLINK(AA2 &amp; "/knife/sn_fca703c2489237d51b44a9962207f944/rendering/18.obj", "14.0639057159")</f>
        <v>14.0639057159</v>
      </c>
      <c r="V1588" s="256" t="str">
        <f>HYPERLINK(AA2 &amp; "/knife/sn_fca703c2489237d51b44a9962207f944/rendering/19.obj", "1.91289317608")</f>
        <v>1.91289317608</v>
      </c>
      <c r="W1588" s="12" t="s">
        <v>30</v>
      </c>
      <c r="X1588" s="13">
        <v>5.0461940407752994</v>
      </c>
      <c r="Y1588" s="13">
        <v>5.6797802170572167</v>
      </c>
      <c r="Z1588" s="20">
        <v>1.1255572360401289</v>
      </c>
    </row>
    <row r="1589" spans="1:26" x14ac:dyDescent="0.2">
      <c r="A1589" s="1">
        <v>1587</v>
      </c>
      <c r="B1589" s="2" t="s">
        <v>350</v>
      </c>
      <c r="C1589" s="54" t="str">
        <f>HYPERLINK(AB2 &amp; "/knife/sn_fca703c2489237d51b44a9962207f944/rendering/00.obj", "3.62941162109")</f>
        <v>3.62941162109</v>
      </c>
      <c r="D1589" s="107" t="str">
        <f>HYPERLINK(AB2 &amp; "/knife/sn_fca703c2489237d51b44a9962207f944/rendering/01.obj", "2.95707946777")</f>
        <v>2.95707946777</v>
      </c>
      <c r="E1589" s="33" t="str">
        <f>HYPERLINK(AB2 &amp; "/knife/sn_fca703c2489237d51b44a9962207f944/rendering/02.obj", "2.43283996582")</f>
        <v>2.43283996582</v>
      </c>
      <c r="F1589" s="65" t="str">
        <f>HYPERLINK(AB2 &amp; "/knife/sn_fca703c2489237d51b44a9962207f944/rendering/03.obj", "2.36536865234")</f>
        <v>2.36536865234</v>
      </c>
      <c r="G1589" s="168" t="str">
        <f>HYPERLINK(AB2 &amp; "/knife/sn_fca703c2489237d51b44a9962207f944/rendering/04.obj", "3.61046905518")</f>
        <v>3.61046905518</v>
      </c>
      <c r="H1589" s="36" t="str">
        <f>HYPERLINK(AB2 &amp; "/knife/sn_fca703c2489237d51b44a9962207f944/rendering/05.obj", "2.14352676392")</f>
        <v>2.14352676392</v>
      </c>
      <c r="I1589" s="92" t="str">
        <f>HYPERLINK(AB2 &amp; "/knife/sn_fca703c2489237d51b44a9962207f944/rendering/06.obj", "2.39797439575")</f>
        <v>2.39797439575</v>
      </c>
      <c r="J1589" s="47" t="str">
        <f>HYPERLINK(AB2 &amp; "/knife/sn_fca703c2489237d51b44a9962207f944/rendering/07.obj", "2.70767425537")</f>
        <v>2.70767425537</v>
      </c>
      <c r="K1589" s="185" t="str">
        <f>HYPERLINK(AB2 &amp; "/knife/sn_fca703c2489237d51b44a9962207f944/rendering/08.obj", "3.66526367188")</f>
        <v>3.66526367188</v>
      </c>
      <c r="L1589" s="5" t="str">
        <f>HYPERLINK(AB2 &amp; "/knife/sn_fca703c2489237d51b44a9962207f944/rendering/09.obj", "2.51990890503")</f>
        <v>2.51990890503</v>
      </c>
      <c r="M1589" s="5" t="str">
        <f>HYPERLINK(AB2 &amp; "/knife/sn_fca703c2489237d51b44a9962207f944/rendering/10.obj", "2.52175354004")</f>
        <v>2.52175354004</v>
      </c>
      <c r="N1589" s="41" t="str">
        <f>HYPERLINK(AB2 &amp; "/knife/sn_fca703c2489237d51b44a9962207f944/rendering/11.obj", "2.92055969238")</f>
        <v>2.92055969238</v>
      </c>
      <c r="O1589" s="29" t="str">
        <f>HYPERLINK(AB2 &amp; "/knife/sn_fca703c2489237d51b44a9962207f944/rendering/12.obj", "2.38075439453")</f>
        <v>2.38075439453</v>
      </c>
      <c r="P1589" s="88" t="str">
        <f>HYPERLINK(AB2 &amp; "/knife/sn_fca703c2489237d51b44a9962207f944/rendering/13.obj", "3.28700469971")</f>
        <v>3.28700469971</v>
      </c>
      <c r="Q1589" s="75" t="str">
        <f>HYPERLINK(AB2 &amp; "/knife/sn_fca703c2489237d51b44a9962207f944/rendering/14.obj", "2.13260025024")</f>
        <v>2.13260025024</v>
      </c>
      <c r="R1589" s="94" t="str">
        <f>HYPERLINK(AB2 &amp; "/knife/sn_fca703c2489237d51b44a9962207f944/rendering/15.obj", "2.93319122314")</f>
        <v>2.93319122314</v>
      </c>
      <c r="S1589" s="26" t="str">
        <f>HYPERLINK(AB2 &amp; "/knife/sn_fca703c2489237d51b44a9962207f944/rendering/16.obj", "2.55351730347")</f>
        <v>2.55351730347</v>
      </c>
      <c r="T1589" s="91" t="str">
        <f>HYPERLINK(AB2 &amp; "/knife/sn_fca703c2489237d51b44a9962207f944/rendering/17.obj", "2.65961914063")</f>
        <v>2.65961914063</v>
      </c>
      <c r="U1589" s="55" t="str">
        <f>HYPERLINK(AB2 &amp; "/knife/sn_fca703c2489237d51b44a9962207f944/rendering/18.obj", "2.20470199585")</f>
        <v>2.20470199585</v>
      </c>
      <c r="V1589" s="73" t="str">
        <f>HYPERLINK(AB2 &amp; "/knife/sn_fca703c2489237d51b44a9962207f944/rendering/19.obj", "2.63370788574")</f>
        <v>2.63370788574</v>
      </c>
      <c r="W1589" s="12" t="s">
        <v>31</v>
      </c>
      <c r="X1589" s="13">
        <v>2.7328463439941411</v>
      </c>
      <c r="Y1589" s="13">
        <v>0.47232224691544789</v>
      </c>
      <c r="Z1589" s="37">
        <v>0.17283161490343221</v>
      </c>
    </row>
    <row r="1590" spans="1:26" x14ac:dyDescent="0.2">
      <c r="A1590" s="1">
        <v>1588</v>
      </c>
      <c r="B1590" s="2" t="s">
        <v>350</v>
      </c>
      <c r="C1590" s="72" t="str">
        <f>HYPERLINK(AB2 &amp; "/knife/sn_fca703c2489237d51b44a9962207f944/rendering/00.obj", "1.3718739748")</f>
        <v>1.3718739748</v>
      </c>
      <c r="D1590" s="5" t="str">
        <f>HYPERLINK(AB2 &amp; "/knife/sn_fca703c2489237d51b44a9962207f944/rendering/01.obj", "1.30989336967")</f>
        <v>1.30989336967</v>
      </c>
      <c r="E1590" s="70" t="str">
        <f>HYPERLINK(AB2 &amp; "/knife/sn_fca703c2489237d51b44a9962207f944/rendering/02.obj", "1.23761749268")</f>
        <v>1.23761749268</v>
      </c>
      <c r="F1590" s="107" t="str">
        <f>HYPERLINK(AB2 &amp; "/knife/sn_fca703c2489237d51b44a9962207f944/rendering/03.obj", "1.53246355057")</f>
        <v>1.53246355057</v>
      </c>
      <c r="G1590" s="107" t="str">
        <f>HYPERLINK(AB2 &amp; "/knife/sn_fca703c2489237d51b44a9962207f944/rendering/04.obj", "1.2989988327")</f>
        <v>1.2989988327</v>
      </c>
      <c r="H1590" s="23" t="str">
        <f>HYPERLINK(AB2 &amp; "/knife/sn_fca703c2489237d51b44a9962207f944/rendering/05.obj", "1.35964739323")</f>
        <v>1.35964739323</v>
      </c>
      <c r="I1590" s="72" t="str">
        <f>HYPERLINK(AB2 &amp; "/knife/sn_fca703c2489237d51b44a9962207f944/rendering/06.obj", "1.37157773972")</f>
        <v>1.37157773972</v>
      </c>
      <c r="J1590" s="39" t="str">
        <f>HYPERLINK(AB2 &amp; "/knife/sn_fca703c2489237d51b44a9962207f944/rendering/07.obj", "1.29479837418")</f>
        <v>1.29479837418</v>
      </c>
      <c r="K1590" s="51" t="str">
        <f>HYPERLINK(AB2 &amp; "/knife/sn_fca703c2489237d51b44a9962207f944/rendering/08.obj", "1.30412769318")</f>
        <v>1.30412769318</v>
      </c>
      <c r="L1590" s="110" t="str">
        <f>HYPERLINK(AB2 &amp; "/knife/sn_fca703c2489237d51b44a9962207f944/rendering/09.obj", "1.27543604374")</f>
        <v>1.27543604374</v>
      </c>
      <c r="M1590" s="76" t="str">
        <f>HYPERLINK(AB2 &amp; "/knife/sn_fca703c2489237d51b44a9962207f944/rendering/10.obj", "1.67635715008")</f>
        <v>1.67635715008</v>
      </c>
      <c r="N1590" s="54" t="str">
        <f>HYPERLINK(AB2 &amp; "/knife/sn_fca703c2489237d51b44a9962207f944/rendering/11.obj", "1.87898647785")</f>
        <v>1.87898647785</v>
      </c>
      <c r="O1590" s="65" t="str">
        <f>HYPERLINK(AB2 &amp; "/knife/sn_fca703c2489237d51b44a9962207f944/rendering/12.obj", "1.60539793968")</f>
        <v>1.60539793968</v>
      </c>
      <c r="P1590" s="44" t="str">
        <f>HYPERLINK(AB2 &amp; "/knife/sn_fca703c2489237d51b44a9962207f944/rendering/13.obj", "1.69257247448")</f>
        <v>1.69257247448</v>
      </c>
      <c r="Q1590" s="26" t="str">
        <f>HYPERLINK(AB2 &amp; "/knife/sn_fca703c2489237d51b44a9962207f944/rendering/14.obj", "1.32418560982")</f>
        <v>1.32418560982</v>
      </c>
      <c r="R1590" s="29" t="str">
        <f>HYPERLINK(AB2 &amp; "/knife/sn_fca703c2489237d51b44a9962207f944/rendering/15.obj", "1.23118519783")</f>
        <v>1.23118519783</v>
      </c>
      <c r="S1590" s="63" t="str">
        <f>HYPERLINK(AB2 &amp; "/knife/sn_fca703c2489237d51b44a9962207f944/rendering/16.obj", "1.24712371826")</f>
        <v>1.24712371826</v>
      </c>
      <c r="T1590" s="64" t="str">
        <f>HYPERLINK(AB2 &amp; "/knife/sn_fca703c2489237d51b44a9962207f944/rendering/17.obj", "1.64988565445")</f>
        <v>1.64988565445</v>
      </c>
      <c r="U1590" s="25" t="str">
        <f>HYPERLINK(AB2 &amp; "/knife/sn_fca703c2489237d51b44a9962207f944/rendering/18.obj", "1.4306473732")</f>
        <v>1.4306473732</v>
      </c>
      <c r="V1590" s="92" t="str">
        <f>HYPERLINK(AB2 &amp; "/knife/sn_fca703c2489237d51b44a9962207f944/rendering/19.obj", "1.24062395096")</f>
        <v>1.24062395096</v>
      </c>
      <c r="W1590" s="12" t="s">
        <v>32</v>
      </c>
      <c r="X1590" s="13">
        <v>1.416670000553131</v>
      </c>
      <c r="Y1590" s="13">
        <v>0.18380263260082549</v>
      </c>
      <c r="Z1590" s="29">
        <v>0.12974272944938531</v>
      </c>
    </row>
    <row r="1591" spans="1:26" x14ac:dyDescent="0.2">
      <c r="A1591" s="1">
        <v>1589</v>
      </c>
      <c r="B1591" s="2" t="s">
        <v>350</v>
      </c>
      <c r="C1591" s="13" t="str">
        <f>HYPERLINK(AC2 &amp; "/knife/sn_fca703c2489237d51b44a9962207f944/rendering/00.xyz", "0.0")</f>
        <v>0.0</v>
      </c>
      <c r="D1591" s="13" t="str">
        <f>HYPERLINK(AC2 &amp; "/knife/sn_fca703c2489237d51b44a9962207f944/rendering/01.xyz", "0.0")</f>
        <v>0.0</v>
      </c>
      <c r="E1591" s="13" t="str">
        <f>HYPERLINK(AC2 &amp; "/knife/sn_fca703c2489237d51b44a9962207f944/rendering/02.xyz", "0.0")</f>
        <v>0.0</v>
      </c>
      <c r="F1591" s="13" t="str">
        <f>HYPERLINK(AC2 &amp; "/knife/sn_fca703c2489237d51b44a9962207f944/rendering/03.xyz", "0.0")</f>
        <v>0.0</v>
      </c>
      <c r="G1591" s="13" t="str">
        <f>HYPERLINK(AC2 &amp; "/knife/sn_fca703c2489237d51b44a9962207f944/rendering/04.xyz", "0.0")</f>
        <v>0.0</v>
      </c>
      <c r="H1591" s="13" t="str">
        <f>HYPERLINK(AC2 &amp; "/knife/sn_fca703c2489237d51b44a9962207f944/rendering/05.xyz", "0.0")</f>
        <v>0.0</v>
      </c>
      <c r="I1591" s="13" t="str">
        <f>HYPERLINK(AC2 &amp; "/knife/sn_fca703c2489237d51b44a9962207f944/rendering/06.xyz", "0.0")</f>
        <v>0.0</v>
      </c>
      <c r="J1591" s="13" t="str">
        <f>HYPERLINK(AC2 &amp; "/knife/sn_fca703c2489237d51b44a9962207f944/rendering/07.xyz", "0.0")</f>
        <v>0.0</v>
      </c>
      <c r="K1591" s="13" t="str">
        <f>HYPERLINK(AC2 &amp; "/knife/sn_fca703c2489237d51b44a9962207f944/rendering/08.xyz", "0.0")</f>
        <v>0.0</v>
      </c>
      <c r="L1591" s="13" t="str">
        <f>HYPERLINK(AC2 &amp; "/knife/sn_fca703c2489237d51b44a9962207f944/rendering/09.xyz", "0.0")</f>
        <v>0.0</v>
      </c>
      <c r="M1591" s="13" t="str">
        <f>HYPERLINK(AC2 &amp; "/knife/sn_fca703c2489237d51b44a9962207f944/rendering/10.xyz", "0.0")</f>
        <v>0.0</v>
      </c>
      <c r="N1591" s="13" t="str">
        <f>HYPERLINK(AC2 &amp; "/knife/sn_fca703c2489237d51b44a9962207f944/rendering/11.xyz", "0.0")</f>
        <v>0.0</v>
      </c>
      <c r="O1591" s="13" t="str">
        <f>HYPERLINK(AC2 &amp; "/knife/sn_fca703c2489237d51b44a9962207f944/rendering/12.xyz", "0.0")</f>
        <v>0.0</v>
      </c>
      <c r="P1591" s="13" t="str">
        <f>HYPERLINK(AC2 &amp; "/knife/sn_fca703c2489237d51b44a9962207f944/rendering/13.xyz", "0.0")</f>
        <v>0.0</v>
      </c>
      <c r="Q1591" s="13" t="str">
        <f>HYPERLINK(AC2 &amp; "/knife/sn_fca703c2489237d51b44a9962207f944/rendering/14.xyz", "0.0")</f>
        <v>0.0</v>
      </c>
      <c r="R1591" s="13" t="str">
        <f>HYPERLINK(AC2 &amp; "/knife/sn_fca703c2489237d51b44a9962207f944/rendering/15.xyz", "0.0")</f>
        <v>0.0</v>
      </c>
      <c r="S1591" s="13" t="str">
        <f>HYPERLINK(AC2 &amp; "/knife/sn_fca703c2489237d51b44a9962207f944/rendering/16.xyz", "0.0")</f>
        <v>0.0</v>
      </c>
      <c r="T1591" s="13" t="str">
        <f>HYPERLINK(AC2 &amp; "/knife/sn_fca703c2489237d51b44a9962207f944/rendering/17.xyz", "0.0")</f>
        <v>0.0</v>
      </c>
      <c r="U1591" s="13" t="str">
        <f>HYPERLINK(AC2 &amp; "/knife/sn_fca703c2489237d51b44a9962207f944/rendering/18.xyz", "0.0")</f>
        <v>0.0</v>
      </c>
      <c r="V1591" s="13" t="str">
        <f>HYPERLINK(AC2 &amp; "/knife/sn_fca703c2489237d51b44a9962207f944/rendering/19.xyz", "0.0")</f>
        <v>0.0</v>
      </c>
      <c r="W1591" s="12" t="s">
        <v>33</v>
      </c>
      <c r="X1591" s="13">
        <v>0</v>
      </c>
      <c r="Y1591" s="13">
        <v>0</v>
      </c>
      <c r="Z1591" s="13">
        <v>0</v>
      </c>
    </row>
    <row r="1592" spans="1:26" x14ac:dyDescent="0.2">
      <c r="A1592" s="1">
        <v>1590</v>
      </c>
      <c r="B1592" s="2" t="s">
        <v>351</v>
      </c>
      <c r="C1592" s="72" t="str">
        <f>HYPERLINK(AA2 &amp; "/knife/sn_fe975241a968467ac3669fe98cc0dfc0/rendering/00.obj", "2.62921203613")</f>
        <v>2.62921203613</v>
      </c>
      <c r="D1592" s="6" t="str">
        <f>HYPERLINK(AA2 &amp; "/knife/sn_fe975241a968467ac3669fe98cc0dfc0/rendering/01.obj", "2.59097351074")</f>
        <v>2.59097351074</v>
      </c>
      <c r="E1592" s="77" t="str">
        <f>HYPERLINK(AA2 &amp; "/knife/sn_fe975241a968467ac3669fe98cc0dfc0/rendering/02.obj", "2.21353759766")</f>
        <v>2.21353759766</v>
      </c>
      <c r="F1592" s="41" t="str">
        <f>HYPERLINK(AA2 &amp; "/knife/sn_fe975241a968467ac3669fe98cc0dfc0/rendering/03.obj", "2.53416259766")</f>
        <v>2.53416259766</v>
      </c>
      <c r="G1592" s="28" t="str">
        <f>HYPERLINK(AA2 &amp; "/knife/sn_fe975241a968467ac3669fe98cc0dfc0/rendering/04.obj", "3.02297424316")</f>
        <v>3.02297424316</v>
      </c>
      <c r="H1592" s="63" t="str">
        <f>HYPERLINK(AA2 &amp; "/knife/sn_fe975241a968467ac3669fe98cc0dfc0/rendering/05.obj", "2.38850189209")</f>
        <v>2.38850189209</v>
      </c>
      <c r="I1592" s="46" t="str">
        <f>HYPERLINK(AA2 &amp; "/knife/sn_fe975241a968467ac3669fe98cc0dfc0/rendering/06.obj", "2.67477355957")</f>
        <v>2.67477355957</v>
      </c>
      <c r="J1592" s="85" t="str">
        <f>HYPERLINK(AA2 &amp; "/knife/sn_fe975241a968467ac3669fe98cc0dfc0/rendering/07.obj", "3.52666107178")</f>
        <v>3.52666107178</v>
      </c>
      <c r="K1592" s="27" t="str">
        <f>HYPERLINK(AA2 &amp; "/knife/sn_fe975241a968467ac3669fe98cc0dfc0/rendering/08.obj", "2.52599807739")</f>
        <v>2.52599807739</v>
      </c>
      <c r="L1592" s="44" t="str">
        <f>HYPERLINK(AA2 &amp; "/knife/sn_fe975241a968467ac3669fe98cc0dfc0/rendering/09.obj", "3.253699646")</f>
        <v>3.253699646</v>
      </c>
      <c r="M1592" s="74" t="str">
        <f>HYPERLINK(AA2 &amp; "/knife/sn_fe975241a968467ac3669fe98cc0dfc0/rendering/10.obj", "2.67604522705")</f>
        <v>2.67604522705</v>
      </c>
      <c r="N1592" s="25" t="str">
        <f>HYPERLINK(AA2 &amp; "/knife/sn_fe975241a968467ac3669fe98cc0dfc0/rendering/11.obj", "2.69244873047")</f>
        <v>2.69244873047</v>
      </c>
      <c r="O1592" s="133" t="str">
        <f>HYPERLINK(AA2 &amp; "/knife/sn_fe975241a968467ac3669fe98cc0dfc0/rendering/12.obj", "2.99943267822")</f>
        <v>2.99943267822</v>
      </c>
      <c r="P1592" s="44" t="str">
        <f>HYPERLINK(AA2 &amp; "/knife/sn_fe975241a968467ac3669fe98cc0dfc0/rendering/13.obj", "2.18957611084")</f>
        <v>2.18957611084</v>
      </c>
      <c r="Q1592" s="25" t="str">
        <f>HYPERLINK(AA2 &amp; "/knife/sn_fe975241a968467ac3669fe98cc0dfc0/rendering/14.obj", "2.69066955566")</f>
        <v>2.69066955566</v>
      </c>
      <c r="R1592" s="79" t="str">
        <f>HYPERLINK(AA2 &amp; "/knife/sn_fe975241a968467ac3669fe98cc0dfc0/rendering/15.obj", "3.14955078125")</f>
        <v>3.14955078125</v>
      </c>
      <c r="S1592" s="109" t="str">
        <f>HYPERLINK(AA2 &amp; "/knife/sn_fe975241a968467ac3669fe98cc0dfc0/rendering/16.obj", "2.1995199585")</f>
        <v>2.1995199585</v>
      </c>
      <c r="T1592" s="94" t="str">
        <f>HYPERLINK(AA2 &amp; "/knife/sn_fe975241a968467ac3669fe98cc0dfc0/rendering/17.obj", "2.92157989502")</f>
        <v>2.92157989502</v>
      </c>
      <c r="U1592" s="28" t="str">
        <f>HYPERLINK(AA2 &amp; "/knife/sn_fe975241a968467ac3669fe98cc0dfc0/rendering/18.obj", "2.41704803467")</f>
        <v>2.41704803467</v>
      </c>
      <c r="V1592" s="29" t="str">
        <f>HYPERLINK(AA2 &amp; "/knife/sn_fe975241a968467ac3669fe98cc0dfc0/rendering/19.obj", "3.0726940918")</f>
        <v>3.0726940918</v>
      </c>
      <c r="W1592" s="12" t="s">
        <v>29</v>
      </c>
      <c r="X1592" s="13">
        <v>2.718452964782716</v>
      </c>
      <c r="Y1592" s="13">
        <v>0.35832878754991931</v>
      </c>
      <c r="Z1592" s="65">
        <v>0.13181349546673521</v>
      </c>
    </row>
    <row r="1593" spans="1:26" x14ac:dyDescent="0.2">
      <c r="A1593" s="1">
        <v>1591</v>
      </c>
      <c r="B1593" s="2" t="s">
        <v>351</v>
      </c>
      <c r="C1593" s="59" t="str">
        <f>HYPERLINK(AA2 &amp; "/knife/sn_fe975241a968467ac3669fe98cc0dfc0/rendering/00.obj", "1.48443138599")</f>
        <v>1.48443138599</v>
      </c>
      <c r="D1593" s="110" t="str">
        <f>HYPERLINK(AA2 &amp; "/knife/sn_fe975241a968467ac3669fe98cc0dfc0/rendering/01.obj", "2.1456258297")</f>
        <v>2.1456258297</v>
      </c>
      <c r="E1593" s="19" t="str">
        <f>HYPERLINK(AA2 &amp; "/knife/sn_fe975241a968467ac3669fe98cc0dfc0/rendering/02.obj", "1.44125318527")</f>
        <v>1.44125318527</v>
      </c>
      <c r="F1593" s="68" t="str">
        <f>HYPERLINK(AA2 &amp; "/knife/sn_fe975241a968467ac3669fe98cc0dfc0/rendering/03.obj", "1.86874496937")</f>
        <v>1.86874496937</v>
      </c>
      <c r="G1593" s="133" t="str">
        <f>HYPERLINK(AA2 &amp; "/knife/sn_fe975241a968467ac3669fe98cc0dfc0/rendering/04.obj", "2.14997696877")</f>
        <v>2.14997696877</v>
      </c>
      <c r="H1593" s="47" t="str">
        <f>HYPERLINK(AA2 &amp; "/knife/sn_fe975241a968467ac3669fe98cc0dfc0/rendering/05.obj", "1.96472203732")</f>
        <v>1.96472203732</v>
      </c>
      <c r="I1593" s="6" t="str">
        <f>HYPERLINK(AA2 &amp; "/knife/sn_fe975241a968467ac3669fe98cc0dfc0/rendering/06.obj", "1.86325323582")</f>
        <v>1.86325323582</v>
      </c>
      <c r="J1593" s="54" t="str">
        <f>HYPERLINK(AA2 &amp; "/knife/sn_fe975241a968467ac3669fe98cc0dfc0/rendering/07.obj", "2.58955740929")</f>
        <v>2.58955740929</v>
      </c>
      <c r="K1593" s="17" t="str">
        <f>HYPERLINK(AA2 &amp; "/knife/sn_fe975241a968467ac3669fe98cc0dfc0/rendering/08.obj", "1.91261768341")</f>
        <v>1.91261768341</v>
      </c>
      <c r="L1593" s="172" t="str">
        <f>HYPERLINK(AA2 &amp; "/knife/sn_fe975241a968467ac3669fe98cc0dfc0/rendering/09.obj", "2.70136237144")</f>
        <v>2.70136237144</v>
      </c>
      <c r="M1593" s="23" t="str">
        <f>HYPERLINK(AA2 &amp; "/knife/sn_fe975241a968467ac3669fe98cc0dfc0/rendering/10.obj", "1.87479424477")</f>
        <v>1.87479424477</v>
      </c>
      <c r="N1593" s="4" t="str">
        <f>HYPERLINK(AA2 &amp; "/knife/sn_fe975241a968467ac3669fe98cc0dfc0/rendering/11.obj", "1.396007061")</f>
        <v>1.396007061</v>
      </c>
      <c r="O1593" s="47" t="str">
        <f>HYPERLINK(AA2 &amp; "/knife/sn_fe975241a968467ac3669fe98cc0dfc0/rendering/12.obj", "1.96513342857")</f>
        <v>1.96513342857</v>
      </c>
      <c r="P1593" s="135" t="str">
        <f>HYPERLINK(AA2 &amp; "/knife/sn_fe975241a968467ac3669fe98cc0dfc0/rendering/13.obj", "1.4510602951")</f>
        <v>1.4510602951</v>
      </c>
      <c r="Q1593" s="94" t="str">
        <f>HYPERLINK(AA2 &amp; "/knife/sn_fe975241a968467ac3669fe98cc0dfc0/rendering/14.obj", "1.80910301208")</f>
        <v>1.80910301208</v>
      </c>
      <c r="R1593" s="182" t="str">
        <f>HYPERLINK(AA2 &amp; "/knife/sn_fe975241a968467ac3669fe98cc0dfc0/rendering/15.obj", "2.60094928741")</f>
        <v>2.60094928741</v>
      </c>
      <c r="S1593" s="198" t="str">
        <f>HYPERLINK(AA2 &amp; "/knife/sn_fe975241a968467ac3669fe98cc0dfc0/rendering/16.obj", "1.1925907135")</f>
        <v>1.1925907135</v>
      </c>
      <c r="T1593" s="109" t="str">
        <f>HYPERLINK(AA2 &amp; "/knife/sn_fe975241a968467ac3669fe98cc0dfc0/rendering/17.obj", "2.31910538673")</f>
        <v>2.31910538673</v>
      </c>
      <c r="U1593" s="133" t="str">
        <f>HYPERLINK(AA2 &amp; "/knife/sn_fe975241a968467ac3669fe98cc0dfc0/rendering/18.obj", "1.75062561035")</f>
        <v>1.75062561035</v>
      </c>
      <c r="V1593" s="171" t="str">
        <f>HYPERLINK(AA2 &amp; "/knife/sn_fe975241a968467ac3669fe98cc0dfc0/rendering/19.obj", "2.54808163643")</f>
        <v>2.54808163643</v>
      </c>
      <c r="W1593" s="12" t="s">
        <v>30</v>
      </c>
      <c r="X1593" s="13">
        <v>1.95144978761673</v>
      </c>
      <c r="Y1593" s="13">
        <v>0.42753927271261383</v>
      </c>
      <c r="Z1593" s="81">
        <v>0.21908802133964189</v>
      </c>
    </row>
    <row r="1594" spans="1:26" x14ac:dyDescent="0.2">
      <c r="A1594" s="1">
        <v>1592</v>
      </c>
      <c r="B1594" s="2" t="s">
        <v>351</v>
      </c>
      <c r="C1594" s="32" t="str">
        <f>HYPERLINK(AB2 &amp; "/knife/sn_fe975241a968467ac3669fe98cc0dfc0/rendering/00.obj", "4.11049804687")</f>
        <v>4.11049804687</v>
      </c>
      <c r="D1594" s="25" t="str">
        <f>HYPERLINK(AB2 &amp; "/knife/sn_fe975241a968467ac3669fe98cc0dfc0/rendering/01.obj", "3.75831787109")</f>
        <v>3.75831787109</v>
      </c>
      <c r="E1594" s="60" t="str">
        <f>HYPERLINK(AB2 &amp; "/knife/sn_fe975241a968467ac3669fe98cc0dfc0/rendering/02.obj", "3.91077758789")</f>
        <v>3.91077758789</v>
      </c>
      <c r="F1594" s="23" t="str">
        <f>HYPERLINK(AB2 &amp; "/knife/sn_fe975241a968467ac3669fe98cc0dfc0/rendering/03.obj", "3.86735107422")</f>
        <v>3.86735107422</v>
      </c>
      <c r="G1594" s="60" t="str">
        <f>HYPERLINK(AB2 &amp; "/knife/sn_fe975241a968467ac3669fe98cc0dfc0/rendering/04.obj", "3.91078430176")</f>
        <v>3.91078430176</v>
      </c>
      <c r="H1594" s="27" t="str">
        <f>HYPERLINK(AB2 &amp; "/knife/sn_fe975241a968467ac3669fe98cc0dfc0/rendering/05.obj", "3.45450866699")</f>
        <v>3.45450866699</v>
      </c>
      <c r="I1594" s="27" t="str">
        <f>HYPERLINK(AB2 &amp; "/knife/sn_fe975241a968467ac3669fe98cc0dfc0/rendering/06.obj", "3.4609942627")</f>
        <v>3.4609942627</v>
      </c>
      <c r="J1594" s="73" t="str">
        <f>HYPERLINK(AB2 &amp; "/knife/sn_fe975241a968467ac3669fe98cc0dfc0/rendering/07.obj", "3.57929626465")</f>
        <v>3.57929626465</v>
      </c>
      <c r="K1594" s="30" t="str">
        <f>HYPERLINK(AB2 &amp; "/knife/sn_fe975241a968467ac3669fe98cc0dfc0/rendering/08.obj", "3.70051849365")</f>
        <v>3.70051849365</v>
      </c>
      <c r="L1594" s="67" t="str">
        <f>HYPERLINK(AB2 &amp; "/knife/sn_fe975241a968467ac3669fe98cc0dfc0/rendering/09.obj", "3.38037658691")</f>
        <v>3.38037658691</v>
      </c>
      <c r="M1594" s="30" t="str">
        <f>HYPERLINK(AB2 &amp; "/knife/sn_fe975241a968467ac3669fe98cc0dfc0/rendering/10.obj", "3.73598205566")</f>
        <v>3.73598205566</v>
      </c>
      <c r="N1594" s="47" t="str">
        <f>HYPERLINK(AB2 &amp; "/knife/sn_fe975241a968467ac3669fe98cc0dfc0/rendering/11.obj", "3.75180236816")</f>
        <v>3.75180236816</v>
      </c>
      <c r="O1594" s="39" t="str">
        <f>HYPERLINK(AB2 &amp; "/knife/sn_fe975241a968467ac3669fe98cc0dfc0/rendering/12.obj", "3.39881011963")</f>
        <v>3.39881011963</v>
      </c>
      <c r="P1594" s="30" t="str">
        <f>HYPERLINK(AB2 &amp; "/knife/sn_fe975241a968467ac3669fe98cc0dfc0/rendering/13.obj", "3.73658355713")</f>
        <v>3.73658355713</v>
      </c>
      <c r="Q1594" s="6" t="str">
        <f>HYPERLINK(AB2 &amp; "/knife/sn_fe975241a968467ac3669fe98cc0dfc0/rendering/14.obj", "3.88973571777")</f>
        <v>3.88973571777</v>
      </c>
      <c r="R1594" s="72" t="str">
        <f>HYPERLINK(AB2 &amp; "/knife/sn_fe975241a968467ac3669fe98cc0dfc0/rendering/15.obj", "3.59481811523")</f>
        <v>3.59481811523</v>
      </c>
      <c r="S1594" s="91" t="str">
        <f>HYPERLINK(AB2 &amp; "/knife/sn_fe975241a968467ac3669fe98cc0dfc0/rendering/16.obj", "3.81558013916")</f>
        <v>3.81558013916</v>
      </c>
      <c r="T1594" s="91" t="str">
        <f>HYPERLINK(AB2 &amp; "/knife/sn_fe975241a968467ac3669fe98cc0dfc0/rendering/17.obj", "3.6240322876")</f>
        <v>3.6240322876</v>
      </c>
      <c r="U1594" s="107" t="str">
        <f>HYPERLINK(AB2 &amp; "/knife/sn_fe975241a968467ac3669fe98cc0dfc0/rendering/18.obj", "4.03019256592")</f>
        <v>4.03019256592</v>
      </c>
      <c r="V1594" s="74" t="str">
        <f>HYPERLINK(AB2 &amp; "/knife/sn_fe975241a968467ac3669fe98cc0dfc0/rendering/19.obj", "3.66637084961")</f>
        <v>3.66637084961</v>
      </c>
      <c r="W1594" s="12" t="s">
        <v>31</v>
      </c>
      <c r="X1594" s="13">
        <v>3.718866546630859</v>
      </c>
      <c r="Y1594" s="13">
        <v>0.19851391466338539</v>
      </c>
      <c r="Z1594" s="10">
        <v>5.3380220068190112E-2</v>
      </c>
    </row>
    <row r="1595" spans="1:26" x14ac:dyDescent="0.2">
      <c r="A1595" s="1">
        <v>1593</v>
      </c>
      <c r="B1595" s="2" t="s">
        <v>351</v>
      </c>
      <c r="C1595" s="49" t="str">
        <f>HYPERLINK(AB2 &amp; "/knife/sn_fe975241a968467ac3669fe98cc0dfc0/rendering/00.obj", "1.2569899559")</f>
        <v>1.2569899559</v>
      </c>
      <c r="D1595" s="90" t="str">
        <f>HYPERLINK(AB2 &amp; "/knife/sn_fe975241a968467ac3669fe98cc0dfc0/rendering/01.obj", "1.74265897274")</f>
        <v>1.74265897274</v>
      </c>
      <c r="E1595" s="83" t="str">
        <f>HYPERLINK(AB2 &amp; "/knife/sn_fe975241a968467ac3669fe98cc0dfc0/rendering/02.obj", "1.83203792572")</f>
        <v>1.83203792572</v>
      </c>
      <c r="F1595" s="84" t="str">
        <f>HYPERLINK(AB2 &amp; "/knife/sn_fe975241a968467ac3669fe98cc0dfc0/rendering/03.obj", "1.8248064518")</f>
        <v>1.8248064518</v>
      </c>
      <c r="G1595" s="72" t="str">
        <f>HYPERLINK(AB2 &amp; "/knife/sn_fe975241a968467ac3669fe98cc0dfc0/rendering/04.obj", "1.53710305691")</f>
        <v>1.53710305691</v>
      </c>
      <c r="H1595" s="76" t="str">
        <f>HYPERLINK(AB2 &amp; "/knife/sn_fe975241a968467ac3669fe98cc0dfc0/rendering/05.obj", "1.29906487465")</f>
        <v>1.29906487465</v>
      </c>
      <c r="I1595" s="83" t="str">
        <f>HYPERLINK(AB2 &amp; "/knife/sn_fe975241a968467ac3669fe98cc0dfc0/rendering/06.obj", "1.34849131107")</f>
        <v>1.34849131107</v>
      </c>
      <c r="J1595" s="77" t="str">
        <f>HYPERLINK(AB2 &amp; "/knife/sn_fe975241a968467ac3669fe98cc0dfc0/rendering/07.obj", "1.29515361786")</f>
        <v>1.29515361786</v>
      </c>
      <c r="K1595" s="24" t="str">
        <f>HYPERLINK(AB2 &amp; "/knife/sn_fe975241a968467ac3669fe98cc0dfc0/rendering/08.obj", "1.86006593704")</f>
        <v>1.86006593704</v>
      </c>
      <c r="L1595" s="17" t="str">
        <f>HYPERLINK(AB2 &amp; "/knife/sn_fe975241a968467ac3669fe98cc0dfc0/rendering/09.obj", "1.55910754204")</f>
        <v>1.55910754204</v>
      </c>
      <c r="M1595" s="17" t="str">
        <f>HYPERLINK(AB2 &amp; "/knife/sn_fe975241a968467ac3669fe98cc0dfc0/rendering/10.obj", "1.62482357025")</f>
        <v>1.62482357025</v>
      </c>
      <c r="N1595" s="90" t="str">
        <f>HYPERLINK(AB2 &amp; "/knife/sn_fe975241a968467ac3669fe98cc0dfc0/rendering/11.obj", "1.43994414806")</f>
        <v>1.43994414806</v>
      </c>
      <c r="O1595" s="25" t="str">
        <f>HYPERLINK(AB2 &amp; "/knife/sn_fe975241a968467ac3669fe98cc0dfc0/rendering/12.obj", "1.60668206215")</f>
        <v>1.60668206215</v>
      </c>
      <c r="P1595" s="17" t="str">
        <f>HYPERLINK(AB2 &amp; "/knife/sn_fe975241a968467ac3669fe98cc0dfc0/rendering/13.obj", "1.55760002136")</f>
        <v>1.55760002136</v>
      </c>
      <c r="Q1595" s="51" t="str">
        <f>HYPERLINK(AB2 &amp; "/knife/sn_fe975241a968467ac3669fe98cc0dfc0/rendering/14.obj", "1.72007155418")</f>
        <v>1.72007155418</v>
      </c>
      <c r="R1595" s="72" t="str">
        <f>HYPERLINK(AB2 &amp; "/knife/sn_fe975241a968467ac3669fe98cc0dfc0/rendering/15.obj", "1.6423997879")</f>
        <v>1.6423997879</v>
      </c>
      <c r="S1595" s="51" t="str">
        <f>HYPERLINK(AB2 &amp; "/knife/sn_fe975241a968467ac3669fe98cc0dfc0/rendering/16.obj", "1.462220788")</f>
        <v>1.462220788</v>
      </c>
      <c r="T1595" s="72" t="str">
        <f>HYPERLINK(AB2 &amp; "/knife/sn_fe975241a968467ac3669fe98cc0dfc0/rendering/17.obj", "1.64316868782")</f>
        <v>1.64316868782</v>
      </c>
      <c r="U1595" s="37" t="str">
        <f>HYPERLINK(AB2 &amp; "/knife/sn_fe975241a968467ac3669fe98cc0dfc0/rendering/18.obj", "1.86799776554")</f>
        <v>1.86799776554</v>
      </c>
      <c r="V1595" s="26" t="str">
        <f>HYPERLINK(AB2 &amp; "/knife/sn_fe975241a968467ac3669fe98cc0dfc0/rendering/19.obj", "1.69385290146")</f>
        <v>1.69385290146</v>
      </c>
      <c r="W1595" s="12" t="s">
        <v>32</v>
      </c>
      <c r="X1595" s="13">
        <v>1.5907120466232301</v>
      </c>
      <c r="Y1595" s="13">
        <v>0.18794192163698489</v>
      </c>
      <c r="Z1595" s="71">
        <v>0.11814955575143141</v>
      </c>
    </row>
    <row r="1596" spans="1:26" x14ac:dyDescent="0.2">
      <c r="A1596" s="1">
        <v>1594</v>
      </c>
      <c r="B1596" s="2" t="s">
        <v>351</v>
      </c>
      <c r="C1596" s="13" t="str">
        <f>HYPERLINK(AC2 &amp; "/knife/sn_fe975241a968467ac3669fe98cc0dfc0/rendering/00.xyz", "0.0")</f>
        <v>0.0</v>
      </c>
      <c r="D1596" s="13" t="str">
        <f>HYPERLINK(AC2 &amp; "/knife/sn_fe975241a968467ac3669fe98cc0dfc0/rendering/01.xyz", "0.0")</f>
        <v>0.0</v>
      </c>
      <c r="E1596" s="13" t="str">
        <f>HYPERLINK(AC2 &amp; "/knife/sn_fe975241a968467ac3669fe98cc0dfc0/rendering/02.xyz", "0.0")</f>
        <v>0.0</v>
      </c>
      <c r="F1596" s="13" t="str">
        <f>HYPERLINK(AC2 &amp; "/knife/sn_fe975241a968467ac3669fe98cc0dfc0/rendering/03.xyz", "0.0")</f>
        <v>0.0</v>
      </c>
      <c r="G1596" s="13" t="str">
        <f>HYPERLINK(AC2 &amp; "/knife/sn_fe975241a968467ac3669fe98cc0dfc0/rendering/04.xyz", "0.0")</f>
        <v>0.0</v>
      </c>
      <c r="H1596" s="13" t="str">
        <f>HYPERLINK(AC2 &amp; "/knife/sn_fe975241a968467ac3669fe98cc0dfc0/rendering/05.xyz", "0.0")</f>
        <v>0.0</v>
      </c>
      <c r="I1596" s="13" t="str">
        <f>HYPERLINK(AC2 &amp; "/knife/sn_fe975241a968467ac3669fe98cc0dfc0/rendering/06.xyz", "0.0")</f>
        <v>0.0</v>
      </c>
      <c r="J1596" s="13" t="str">
        <f>HYPERLINK(AC2 &amp; "/knife/sn_fe975241a968467ac3669fe98cc0dfc0/rendering/07.xyz", "0.0")</f>
        <v>0.0</v>
      </c>
      <c r="K1596" s="13" t="str">
        <f>HYPERLINK(AC2 &amp; "/knife/sn_fe975241a968467ac3669fe98cc0dfc0/rendering/08.xyz", "0.0")</f>
        <v>0.0</v>
      </c>
      <c r="L1596" s="13" t="str">
        <f>HYPERLINK(AC2 &amp; "/knife/sn_fe975241a968467ac3669fe98cc0dfc0/rendering/09.xyz", "0.0")</f>
        <v>0.0</v>
      </c>
      <c r="M1596" s="13" t="str">
        <f>HYPERLINK(AC2 &amp; "/knife/sn_fe975241a968467ac3669fe98cc0dfc0/rendering/10.xyz", "0.0")</f>
        <v>0.0</v>
      </c>
      <c r="N1596" s="13" t="str">
        <f>HYPERLINK(AC2 &amp; "/knife/sn_fe975241a968467ac3669fe98cc0dfc0/rendering/11.xyz", "0.0")</f>
        <v>0.0</v>
      </c>
      <c r="O1596" s="13" t="str">
        <f>HYPERLINK(AC2 &amp; "/knife/sn_fe975241a968467ac3669fe98cc0dfc0/rendering/12.xyz", "0.0")</f>
        <v>0.0</v>
      </c>
      <c r="P1596" s="13" t="str">
        <f>HYPERLINK(AC2 &amp; "/knife/sn_fe975241a968467ac3669fe98cc0dfc0/rendering/13.xyz", "0.0")</f>
        <v>0.0</v>
      </c>
      <c r="Q1596" s="13" t="str">
        <f>HYPERLINK(AC2 &amp; "/knife/sn_fe975241a968467ac3669fe98cc0dfc0/rendering/14.xyz", "0.0")</f>
        <v>0.0</v>
      </c>
      <c r="R1596" s="13" t="str">
        <f>HYPERLINK(AC2 &amp; "/knife/sn_fe975241a968467ac3669fe98cc0dfc0/rendering/15.xyz", "0.0")</f>
        <v>0.0</v>
      </c>
      <c r="S1596" s="13" t="str">
        <f>HYPERLINK(AC2 &amp; "/knife/sn_fe975241a968467ac3669fe98cc0dfc0/rendering/16.xyz", "0.0")</f>
        <v>0.0</v>
      </c>
      <c r="T1596" s="13" t="str">
        <f>HYPERLINK(AC2 &amp; "/knife/sn_fe975241a968467ac3669fe98cc0dfc0/rendering/17.xyz", "0.0")</f>
        <v>0.0</v>
      </c>
      <c r="U1596" s="13" t="str">
        <f>HYPERLINK(AC2 &amp; "/knife/sn_fe975241a968467ac3669fe98cc0dfc0/rendering/18.xyz", "0.0")</f>
        <v>0.0</v>
      </c>
      <c r="V1596" s="13" t="str">
        <f>HYPERLINK(AC2 &amp; "/knife/sn_fe975241a968467ac3669fe98cc0dfc0/rendering/19.xyz", "0.0")</f>
        <v>0.0</v>
      </c>
      <c r="W1596" s="12" t="s">
        <v>33</v>
      </c>
      <c r="X1596" s="13">
        <v>0</v>
      </c>
      <c r="Y1596" s="13">
        <v>0</v>
      </c>
      <c r="Z1596" s="13">
        <v>0</v>
      </c>
    </row>
    <row r="1597" spans="1:26" x14ac:dyDescent="0.2">
      <c r="A1597" s="1">
        <v>1595</v>
      </c>
      <c r="B1597" s="2" t="s">
        <v>352</v>
      </c>
      <c r="C1597" s="231" t="str">
        <f>HYPERLINK(AA2 &amp; "/knife/sn_feb6067ca92ccf56c35f415b7dac30d3/rendering/00.obj", "2.89443603516")</f>
        <v>2.89443603516</v>
      </c>
      <c r="D1597" s="47" t="str">
        <f>HYPERLINK(AA2 &amp; "/knife/sn_feb6067ca92ccf56c35f415b7dac30d3/rendering/01.obj", "6.88868652344")</f>
        <v>6.88868652344</v>
      </c>
      <c r="E1597" s="166" t="str">
        <f>HYPERLINK(AA2 &amp; "/knife/sn_feb6067ca92ccf56c35f415b7dac30d3/rendering/02.obj", "4.86288757324")</f>
        <v>4.86288757324</v>
      </c>
      <c r="F1597" s="35" t="str">
        <f>HYPERLINK(AA2 &amp; "/knife/sn_feb6067ca92ccf56c35f415b7dac30d3/rendering/03.obj", "6.43561889648")</f>
        <v>6.43561889648</v>
      </c>
      <c r="G1597" s="51" t="str">
        <f>HYPERLINK(AA2 &amp; "/knife/sn_feb6067ca92ccf56c35f415b7dac30d3/rendering/04.obj", "6.29771118164")</f>
        <v>6.29771118164</v>
      </c>
      <c r="H1597" s="50" t="str">
        <f>HYPERLINK(AA2 &amp; "/knife/sn_feb6067ca92ccf56c35f415b7dac30d3/rendering/05.obj", "5.46972412109")</f>
        <v>5.46972412109</v>
      </c>
      <c r="I1597" s="14" t="str">
        <f>HYPERLINK(AA2 &amp; "/knife/sn_feb6067ca92ccf56c35f415b7dac30d3/rendering/06.obj", "4.85994720459")</f>
        <v>4.85994720459</v>
      </c>
      <c r="J1597" s="234" t="str">
        <f>HYPERLINK(AA2 &amp; "/knife/sn_feb6067ca92ccf56c35f415b7dac30d3/rendering/07.obj", "11.8983007813")</f>
        <v>11.8983007813</v>
      </c>
      <c r="K1597" s="158" t="str">
        <f>HYPERLINK(AA2 &amp; "/knife/sn_feb6067ca92ccf56c35f415b7dac30d3/rendering/08.obj", "4.0458581543")</f>
        <v>4.0458581543</v>
      </c>
      <c r="L1597" s="74" t="str">
        <f>HYPERLINK(AA2 &amp; "/knife/sn_feb6067ca92ccf56c35f415b7dac30d3/rendering/09.obj", "6.73223876953")</f>
        <v>6.73223876953</v>
      </c>
      <c r="M1597" s="150" t="str">
        <f>HYPERLINK(AA2 &amp; "/knife/sn_feb6067ca92ccf56c35f415b7dac30d3/rendering/10.obj", "3.14790924072")</f>
        <v>3.14790924072</v>
      </c>
      <c r="N1597" s="126" t="str">
        <f>HYPERLINK(AA2 &amp; "/knife/sn_feb6067ca92ccf56c35f415b7dac30d3/rendering/11.obj", "3.4146975708")</f>
        <v>3.4146975708</v>
      </c>
      <c r="O1597" s="131" t="str">
        <f>HYPERLINK(AA2 &amp; "/knife/sn_feb6067ca92ccf56c35f415b7dac30d3/rendering/12.obj", "9.99821166992")</f>
        <v>9.99821166992</v>
      </c>
      <c r="P1597" s="86" t="str">
        <f>HYPERLINK(AA2 &amp; "/knife/sn_feb6067ca92ccf56c35f415b7dac30d3/rendering/13.obj", "4.9982019043")</f>
        <v>4.9982019043</v>
      </c>
      <c r="Q1597" s="78" t="str">
        <f>HYPERLINK(AA2 &amp; "/knife/sn_feb6067ca92ccf56c35f415b7dac30d3/rendering/14.obj", "6.4212286377")</f>
        <v>6.4212286377</v>
      </c>
      <c r="R1597" s="20" t="str">
        <f>HYPERLINK(AA2 &amp; "/knife/sn_feb6067ca92ccf56c35f415b7dac30d3/rendering/15.obj", "13.1543811035")</f>
        <v>13.1543811035</v>
      </c>
      <c r="S1597" s="98" t="str">
        <f>HYPERLINK(AA2 &amp; "/knife/sn_feb6067ca92ccf56c35f415b7dac30d3/rendering/16.obj", "8.42064025879")</f>
        <v>8.42064025879</v>
      </c>
      <c r="T1597" s="151" t="str">
        <f>HYPERLINK(AA2 &amp; "/knife/sn_feb6067ca92ccf56c35f415b7dac30d3/rendering/17.obj", "4.37455352783")</f>
        <v>4.37455352783</v>
      </c>
      <c r="U1597" s="253" t="str">
        <f>HYPERLINK(AA2 &amp; "/knife/sn_feb6067ca92ccf56c35f415b7dac30d3/rendering/18.obj", "11.7994995117")</f>
        <v>11.7994995117</v>
      </c>
      <c r="V1597" s="141" t="str">
        <f>HYPERLINK(AA2 &amp; "/knife/sn_feb6067ca92ccf56c35f415b7dac30d3/rendering/19.obj", "10.6007275391")</f>
        <v>10.6007275391</v>
      </c>
      <c r="W1597" s="12" t="s">
        <v>29</v>
      </c>
      <c r="X1597" s="13">
        <v>6.8357730102539067</v>
      </c>
      <c r="Y1597" s="13">
        <v>3.043301357297604</v>
      </c>
      <c r="Z1597" s="181">
        <v>0.44520222551751532</v>
      </c>
    </row>
    <row r="1598" spans="1:26" x14ac:dyDescent="0.2">
      <c r="A1598" s="1">
        <v>1596</v>
      </c>
      <c r="B1598" s="2" t="s">
        <v>352</v>
      </c>
      <c r="C1598" s="183" t="str">
        <f>HYPERLINK(AA2 &amp; "/knife/sn_feb6067ca92ccf56c35f415b7dac30d3/rendering/00.obj", "2.25355172157")</f>
        <v>2.25355172157</v>
      </c>
      <c r="D1598" s="80" t="str">
        <f>HYPERLINK(AA2 &amp; "/knife/sn_feb6067ca92ccf56c35f415b7dac30d3/rendering/01.obj", "7.73417854309")</f>
        <v>7.73417854309</v>
      </c>
      <c r="E1598" s="148" t="str">
        <f>HYPERLINK(AA2 &amp; "/knife/sn_feb6067ca92ccf56c35f415b7dac30d3/rendering/02.obj", "4.67501783371")</f>
        <v>4.67501783371</v>
      </c>
      <c r="F1598" s="103" t="str">
        <f>HYPERLINK(AA2 &amp; "/knife/sn_feb6067ca92ccf56c35f415b7dac30d3/rendering/03.obj", "6.14020442963")</f>
        <v>6.14020442963</v>
      </c>
      <c r="G1598" s="227" t="str">
        <f>HYPERLINK(AA2 &amp; "/knife/sn_feb6067ca92ccf56c35f415b7dac30d3/rendering/04.obj", "4.44899177551")</f>
        <v>4.44899177551</v>
      </c>
      <c r="H1598" s="29" t="str">
        <f>HYPERLINK(AA2 &amp; "/knife/sn_feb6067ca92ccf56c35f415b7dac30d3/rendering/05.obj", "7.89161920547")</f>
        <v>7.89161920547</v>
      </c>
      <c r="I1598" s="206" t="str">
        <f>HYPERLINK(AA2 &amp; "/knife/sn_feb6067ca92ccf56c35f415b7dac30d3/rendering/06.obj", "3.69955277443")</f>
        <v>3.69955277443</v>
      </c>
      <c r="J1598" s="20" t="str">
        <f>HYPERLINK(AA2 &amp; "/knife/sn_feb6067ca92ccf56c35f415b7dac30d3/rendering/07.obj", "23.1955814362")</f>
        <v>23.1955814362</v>
      </c>
      <c r="K1598" s="244" t="str">
        <f>HYPERLINK(AA2 &amp; "/knife/sn_feb6067ca92ccf56c35f415b7dac30d3/rendering/08.obj", "3.51331806183")</f>
        <v>3.51331806183</v>
      </c>
      <c r="L1598" s="170" t="str">
        <f>HYPERLINK(AA2 &amp; "/knife/sn_feb6067ca92ccf56c35f415b7dac30d3/rendering/09.obj", "6.78476858139")</f>
        <v>6.78476858139</v>
      </c>
      <c r="M1598" s="253" t="str">
        <f>HYPERLINK(AA2 &amp; "/knife/sn_feb6067ca92ccf56c35f415b7dac30d3/rendering/10.obj", "2.49292850494")</f>
        <v>2.49292850494</v>
      </c>
      <c r="N1598" s="165" t="str">
        <f>HYPERLINK(AA2 &amp; "/knife/sn_feb6067ca92ccf56c35f415b7dac30d3/rendering/11.obj", "2.80275535583")</f>
        <v>2.80275535583</v>
      </c>
      <c r="O1598" s="20" t="str">
        <f>HYPERLINK(AA2 &amp; "/knife/sn_feb6067ca92ccf56c35f415b7dac30d3/rendering/12.obj", "16.662771225")</f>
        <v>16.662771225</v>
      </c>
      <c r="P1598" s="246" t="str">
        <f>HYPERLINK(AA2 &amp; "/knife/sn_feb6067ca92ccf56c35f415b7dac30d3/rendering/13.obj", "3.55170202255")</f>
        <v>3.55170202255</v>
      </c>
      <c r="Q1598" s="172" t="str">
        <f>HYPERLINK(AA2 &amp; "/knife/sn_feb6067ca92ccf56c35f415b7dac30d3/rendering/14.obj", "5.59861755371")</f>
        <v>5.59861755371</v>
      </c>
      <c r="R1598" s="20" t="str">
        <f>HYPERLINK(AA2 &amp; "/knife/sn_feb6067ca92ccf56c35f415b7dac30d3/rendering/15.obj", "29.4453163147")</f>
        <v>29.4453163147</v>
      </c>
      <c r="S1598" s="23" t="str">
        <f>HYPERLINK(AA2 &amp; "/knife/sn_feb6067ca92ccf56c35f415b7dac30d3/rendering/16.obj", "9.43676757812")</f>
        <v>9.43676757812</v>
      </c>
      <c r="T1598" s="115" t="str">
        <f>HYPERLINK(AA2 &amp; "/knife/sn_feb6067ca92ccf56c35f415b7dac30d3/rendering/17.obj", "3.29235005379")</f>
        <v>3.29235005379</v>
      </c>
      <c r="U1598" s="20" t="str">
        <f>HYPERLINK(AA2 &amp; "/knife/sn_feb6067ca92ccf56c35f415b7dac30d3/rendering/18.obj", "19.0675640106")</f>
        <v>19.0675640106</v>
      </c>
      <c r="V1598" s="20" t="str">
        <f>HYPERLINK(AA2 &amp; "/knife/sn_feb6067ca92ccf56c35f415b7dac30d3/rendering/19.obj", "18.9874305725")</f>
        <v>18.9874305725</v>
      </c>
      <c r="W1598" s="12" t="s">
        <v>30</v>
      </c>
      <c r="X1598" s="13">
        <v>9.0837493777275089</v>
      </c>
      <c r="Y1598" s="13">
        <v>7.723418028743489</v>
      </c>
      <c r="Z1598" s="20">
        <v>0.8502456097787745</v>
      </c>
    </row>
    <row r="1599" spans="1:26" x14ac:dyDescent="0.2">
      <c r="A1599" s="1">
        <v>1597</v>
      </c>
      <c r="B1599" s="2" t="s">
        <v>352</v>
      </c>
      <c r="C1599" s="90" t="str">
        <f>HYPERLINK(AB2 &amp; "/knife/sn_feb6067ca92ccf56c35f415b7dac30d3/rendering/00.obj", "2.72276275635")</f>
        <v>2.72276275635</v>
      </c>
      <c r="D1599" s="5" t="str">
        <f>HYPERLINK(AB2 &amp; "/knife/sn_feb6067ca92ccf56c35f415b7dac30d3/rendering/01.obj", "2.78508575439")</f>
        <v>2.78508575439</v>
      </c>
      <c r="E1599" s="26" t="str">
        <f>HYPERLINK(AB2 &amp; "/knife/sn_feb6067ca92ccf56c35f415b7dac30d3/rendering/02.obj", "3.20877258301")</f>
        <v>3.20877258301</v>
      </c>
      <c r="F1599" s="35" t="str">
        <f>HYPERLINK(AB2 &amp; "/knife/sn_feb6067ca92ccf56c35f415b7dac30d3/rendering/03.obj", "2.83539550781")</f>
        <v>2.83539550781</v>
      </c>
      <c r="G1599" s="134" t="str">
        <f>HYPERLINK(AB2 &amp; "/knife/sn_feb6067ca92ccf56c35f415b7dac30d3/rendering/04.obj", "3.55291381836")</f>
        <v>3.55291381836</v>
      </c>
      <c r="H1599" s="5" t="str">
        <f>HYPERLINK(AB2 &amp; "/knife/sn_feb6067ca92ccf56c35f415b7dac30d3/rendering/05.obj", "2.78310394287")</f>
        <v>2.78310394287</v>
      </c>
      <c r="I1599" s="47" t="str">
        <f>HYPERLINK(AB2 &amp; "/knife/sn_feb6067ca92ccf56c35f415b7dac30d3/rendering/06.obj", "2.99141052246")</f>
        <v>2.99141052246</v>
      </c>
      <c r="J1599" s="106" t="str">
        <f>HYPERLINK(AB2 &amp; "/knife/sn_feb6067ca92ccf56c35f415b7dac30d3/rendering/07.obj", "3.36312561035")</f>
        <v>3.36312561035</v>
      </c>
      <c r="K1599" s="69" t="str">
        <f>HYPERLINK(AB2 &amp; "/knife/sn_feb6067ca92ccf56c35f415b7dac30d3/rendering/08.obj", "2.92728912354")</f>
        <v>2.92728912354</v>
      </c>
      <c r="L1599" s="17" t="str">
        <f>HYPERLINK(AB2 &amp; "/knife/sn_feb6067ca92ccf56c35f415b7dac30d3/rendering/09.obj", "2.95353149414")</f>
        <v>2.95353149414</v>
      </c>
      <c r="M1599" s="6" t="str">
        <f>HYPERLINK(AB2 &amp; "/knife/sn_feb6067ca92ccf56c35f415b7dac30d3/rendering/10.obj", "2.87582427979")</f>
        <v>2.87582427979</v>
      </c>
      <c r="N1599" s="94" t="str">
        <f>HYPERLINK(AB2 &amp; "/knife/sn_feb6067ca92ccf56c35f415b7dac30d3/rendering/11.obj", "3.2400958252")</f>
        <v>3.2400958252</v>
      </c>
      <c r="O1599" s="28" t="str">
        <f>HYPERLINK(AB2 &amp; "/knife/sn_feb6067ca92ccf56c35f415b7dac30d3/rendering/12.obj", "2.67799804687")</f>
        <v>2.67799804687</v>
      </c>
      <c r="P1599" s="27" t="str">
        <f>HYPERLINK(AB2 &amp; "/knife/sn_feb6067ca92ccf56c35f415b7dac30d3/rendering/13.obj", "2.79811004639")</f>
        <v>2.79811004639</v>
      </c>
      <c r="Q1599" s="17" t="str">
        <f>HYPERLINK(AB2 &amp; "/knife/sn_feb6067ca92ccf56c35f415b7dac30d3/rendering/14.obj", "3.07342529297")</f>
        <v>3.07342529297</v>
      </c>
      <c r="R1599" s="46" t="str">
        <f>HYPERLINK(AB2 &amp; "/knife/sn_feb6067ca92ccf56c35f415b7dac30d3/rendering/15.obj", "2.95794494629")</f>
        <v>2.95794494629</v>
      </c>
      <c r="S1599" s="119" t="str">
        <f>HYPERLINK(AB2 &amp; "/knife/sn_feb6067ca92ccf56c35f415b7dac30d3/rendering/16.obj", "3.81602905273")</f>
        <v>3.81602905273</v>
      </c>
      <c r="T1599" s="51" t="str">
        <f>HYPERLINK(AB2 &amp; "/knife/sn_feb6067ca92ccf56c35f415b7dac30d3/rendering/17.obj", "2.77301147461")</f>
        <v>2.77301147461</v>
      </c>
      <c r="U1599" s="23" t="str">
        <f>HYPERLINK(AB2 &amp; "/knife/sn_feb6067ca92ccf56c35f415b7dac30d3/rendering/18.obj", "2.89584899902")</f>
        <v>2.89584899902</v>
      </c>
      <c r="V1599" s="47" t="str">
        <f>HYPERLINK(AB2 &amp; "/knife/sn_feb6067ca92ccf56c35f415b7dac30d3/rendering/19.obj", "3.03942993164")</f>
        <v>3.03942993164</v>
      </c>
      <c r="W1599" s="12" t="s">
        <v>31</v>
      </c>
      <c r="X1599" s="13">
        <v>3.0135554504394531</v>
      </c>
      <c r="Y1599" s="13">
        <v>0.28606744857883321</v>
      </c>
      <c r="Z1599" s="90">
        <v>9.4926890605950928E-2</v>
      </c>
    </row>
    <row r="1600" spans="1:26" x14ac:dyDescent="0.2">
      <c r="A1600" s="1">
        <v>1598</v>
      </c>
      <c r="B1600" s="2" t="s">
        <v>352</v>
      </c>
      <c r="C1600" s="46" t="str">
        <f>HYPERLINK(AB2 &amp; "/knife/sn_feb6067ca92ccf56c35f415b7dac30d3/rendering/00.obj", "2.04858231544")</f>
        <v>2.04858231544</v>
      </c>
      <c r="D1600" s="94" t="str">
        <f>HYPERLINK(AB2 &amp; "/knife/sn_feb6067ca92ccf56c35f415b7dac30d3/rendering/01.obj", "1.86447358131")</f>
        <v>1.86447358131</v>
      </c>
      <c r="E1600" s="25" t="str">
        <f>HYPERLINK(AB2 &amp; "/knife/sn_feb6067ca92ccf56c35f415b7dac30d3/rendering/02.obj", "2.04060983658")</f>
        <v>2.04060983658</v>
      </c>
      <c r="F1600" s="46" t="str">
        <f>HYPERLINK(AB2 &amp; "/knife/sn_feb6067ca92ccf56c35f415b7dac30d3/rendering/03.obj", "1.98256802559")</f>
        <v>1.98256802559</v>
      </c>
      <c r="G1600" s="34" t="str">
        <f>HYPERLINK(AB2 &amp; "/knife/sn_feb6067ca92ccf56c35f415b7dac30d3/rendering/04.obj", "2.1137804985")</f>
        <v>2.1137804985</v>
      </c>
      <c r="H1600" s="34" t="str">
        <f>HYPERLINK(AB2 &amp; "/knife/sn_feb6067ca92ccf56c35f415b7dac30d3/rendering/05.obj", "1.91990840435")</f>
        <v>1.91990840435</v>
      </c>
      <c r="I1600" s="74" t="str">
        <f>HYPERLINK(AB2 &amp; "/knife/sn_feb6067ca92ccf56c35f415b7dac30d3/rendering/06.obj", "2.04597711563")</f>
        <v>2.04597711563</v>
      </c>
      <c r="J1600" s="70" t="str">
        <f>HYPERLINK(AB2 &amp; "/knife/sn_feb6067ca92ccf56c35f415b7dac30d3/rendering/07.obj", "2.26996040344")</f>
        <v>2.26996040344</v>
      </c>
      <c r="K1600" s="35" t="str">
        <f>HYPERLINK(AB2 &amp; "/knife/sn_feb6067ca92ccf56c35f415b7dac30d3/rendering/08.obj", "1.89658665657")</f>
        <v>1.89658665657</v>
      </c>
      <c r="L1600" s="10" t="str">
        <f>HYPERLINK(AB2 &amp; "/knife/sn_feb6067ca92ccf56c35f415b7dac30d3/rendering/09.obj", "1.90433490276")</f>
        <v>1.90433490276</v>
      </c>
      <c r="M1600" s="60" t="str">
        <f>HYPERLINK(AB2 &amp; "/knife/sn_feb6067ca92ccf56c35f415b7dac30d3/rendering/10.obj", "2.12303757668")</f>
        <v>2.12303757668</v>
      </c>
      <c r="N1600" s="34" t="str">
        <f>HYPERLINK(AB2 &amp; "/knife/sn_feb6067ca92ccf56c35f415b7dac30d3/rendering/11.obj", "1.91819393635")</f>
        <v>1.91819393635</v>
      </c>
      <c r="O1600" s="41" t="str">
        <f>HYPERLINK(AB2 &amp; "/knife/sn_feb6067ca92ccf56c35f415b7dac30d3/rendering/12.obj", "1.87947666645")</f>
        <v>1.87947666645</v>
      </c>
      <c r="P1600" s="35" t="str">
        <f>HYPERLINK(AB2 &amp; "/knife/sn_feb6067ca92ccf56c35f415b7dac30d3/rendering/13.obj", "1.89592766762")</f>
        <v>1.89592766762</v>
      </c>
      <c r="Q1600" s="47" t="str">
        <f>HYPERLINK(AB2 &amp; "/knife/sn_feb6067ca92ccf56c35f415b7dac30d3/rendering/14.obj", "2.03449058533")</f>
        <v>2.03449058533</v>
      </c>
      <c r="R1600" s="71" t="str">
        <f>HYPERLINK(AB2 &amp; "/knife/sn_feb6067ca92ccf56c35f415b7dac30d3/rendering/15.obj", "2.25174975395")</f>
        <v>2.25174975395</v>
      </c>
      <c r="S1600" s="74" t="str">
        <f>HYPERLINK(AB2 &amp; "/knife/sn_feb6067ca92ccf56c35f415b7dac30d3/rendering/16.obj", "1.98981964588")</f>
        <v>1.98981964588</v>
      </c>
      <c r="T1600" s="63" t="str">
        <f>HYPERLINK(AB2 &amp; "/knife/sn_feb6067ca92ccf56c35f415b7dac30d3/rendering/17.obj", "1.77327525616")</f>
        <v>1.77327525616</v>
      </c>
      <c r="U1600" s="60" t="str">
        <f>HYPERLINK(AB2 &amp; "/knife/sn_feb6067ca92ccf56c35f415b7dac30d3/rendering/18.obj", "2.11940360069")</f>
        <v>2.11940360069</v>
      </c>
      <c r="V1600" s="28" t="str">
        <f>HYPERLINK(AB2 &amp; "/knife/sn_feb6067ca92ccf56c35f415b7dac30d3/rendering/19.obj", "2.2429921627")</f>
        <v>2.2429921627</v>
      </c>
      <c r="W1600" s="12" t="s">
        <v>32</v>
      </c>
      <c r="X1600" s="13">
        <v>2.0157574295997618</v>
      </c>
      <c r="Y1600" s="13">
        <v>0.13573488197241559</v>
      </c>
      <c r="Z1600" s="41">
        <v>6.7336912655887551E-2</v>
      </c>
    </row>
    <row r="1601" spans="1:26" x14ac:dyDescent="0.2">
      <c r="A1601" s="1">
        <v>1599</v>
      </c>
      <c r="B1601" s="2" t="s">
        <v>352</v>
      </c>
      <c r="C1601" s="13" t="str">
        <f>HYPERLINK(AC2 &amp; "/knife/sn_feb6067ca92ccf56c35f415b7dac30d3/rendering/00.xyz", "0.0")</f>
        <v>0.0</v>
      </c>
      <c r="D1601" s="13" t="str">
        <f>HYPERLINK(AC2 &amp; "/knife/sn_feb6067ca92ccf56c35f415b7dac30d3/rendering/01.xyz", "0.0")</f>
        <v>0.0</v>
      </c>
      <c r="E1601" s="13" t="str">
        <f>HYPERLINK(AC2 &amp; "/knife/sn_feb6067ca92ccf56c35f415b7dac30d3/rendering/02.xyz", "0.0")</f>
        <v>0.0</v>
      </c>
      <c r="F1601" s="13" t="str">
        <f>HYPERLINK(AC2 &amp; "/knife/sn_feb6067ca92ccf56c35f415b7dac30d3/rendering/03.xyz", "0.0")</f>
        <v>0.0</v>
      </c>
      <c r="G1601" s="13" t="str">
        <f>HYPERLINK(AC2 &amp; "/knife/sn_feb6067ca92ccf56c35f415b7dac30d3/rendering/04.xyz", "0.0")</f>
        <v>0.0</v>
      </c>
      <c r="H1601" s="13" t="str">
        <f>HYPERLINK(AC2 &amp; "/knife/sn_feb6067ca92ccf56c35f415b7dac30d3/rendering/05.xyz", "0.0")</f>
        <v>0.0</v>
      </c>
      <c r="I1601" s="13" t="str">
        <f>HYPERLINK(AC2 &amp; "/knife/sn_feb6067ca92ccf56c35f415b7dac30d3/rendering/06.xyz", "0.0")</f>
        <v>0.0</v>
      </c>
      <c r="J1601" s="13" t="str">
        <f>HYPERLINK(AC2 &amp; "/knife/sn_feb6067ca92ccf56c35f415b7dac30d3/rendering/07.xyz", "0.0")</f>
        <v>0.0</v>
      </c>
      <c r="K1601" s="13" t="str">
        <f>HYPERLINK(AC2 &amp; "/knife/sn_feb6067ca92ccf56c35f415b7dac30d3/rendering/08.xyz", "0.0")</f>
        <v>0.0</v>
      </c>
      <c r="L1601" s="13" t="str">
        <f>HYPERLINK(AC2 &amp; "/knife/sn_feb6067ca92ccf56c35f415b7dac30d3/rendering/09.xyz", "0.0")</f>
        <v>0.0</v>
      </c>
      <c r="M1601" s="13" t="str">
        <f>HYPERLINK(AC2 &amp; "/knife/sn_feb6067ca92ccf56c35f415b7dac30d3/rendering/10.xyz", "0.0")</f>
        <v>0.0</v>
      </c>
      <c r="N1601" s="13" t="str">
        <f>HYPERLINK(AC2 &amp; "/knife/sn_feb6067ca92ccf56c35f415b7dac30d3/rendering/11.xyz", "0.0")</f>
        <v>0.0</v>
      </c>
      <c r="O1601" s="13" t="str">
        <f>HYPERLINK(AC2 &amp; "/knife/sn_feb6067ca92ccf56c35f415b7dac30d3/rendering/12.xyz", "0.0")</f>
        <v>0.0</v>
      </c>
      <c r="P1601" s="13" t="str">
        <f>HYPERLINK(AC2 &amp; "/knife/sn_feb6067ca92ccf56c35f415b7dac30d3/rendering/13.xyz", "0.0")</f>
        <v>0.0</v>
      </c>
      <c r="Q1601" s="13" t="str">
        <f>HYPERLINK(AC2 &amp; "/knife/sn_feb6067ca92ccf56c35f415b7dac30d3/rendering/14.xyz", "0.0")</f>
        <v>0.0</v>
      </c>
      <c r="R1601" s="13" t="str">
        <f>HYPERLINK(AC2 &amp; "/knife/sn_feb6067ca92ccf56c35f415b7dac30d3/rendering/15.xyz", "0.0")</f>
        <v>0.0</v>
      </c>
      <c r="S1601" s="13" t="str">
        <f>HYPERLINK(AC2 &amp; "/knife/sn_feb6067ca92ccf56c35f415b7dac30d3/rendering/16.xyz", "0.0")</f>
        <v>0.0</v>
      </c>
      <c r="T1601" s="13" t="str">
        <f>HYPERLINK(AC2 &amp; "/knife/sn_feb6067ca92ccf56c35f415b7dac30d3/rendering/17.xyz", "0.0")</f>
        <v>0.0</v>
      </c>
      <c r="U1601" s="13" t="str">
        <f>HYPERLINK(AC2 &amp; "/knife/sn_feb6067ca92ccf56c35f415b7dac30d3/rendering/18.xyz", "0.0")</f>
        <v>0.0</v>
      </c>
      <c r="V1601" s="13" t="str">
        <f>HYPERLINK(AC2 &amp; "/knife/sn_feb6067ca92ccf56c35f415b7dac30d3/rendering/19.xyz", "0.0")</f>
        <v>0.0</v>
      </c>
      <c r="W1601" s="12" t="s">
        <v>33</v>
      </c>
      <c r="X1601" s="13">
        <v>0</v>
      </c>
      <c r="Y1601" s="13">
        <v>0</v>
      </c>
      <c r="Z1601" s="13">
        <v>0</v>
      </c>
    </row>
    <row r="1602" spans="1:26" x14ac:dyDescent="0.2">
      <c r="A1602" s="1">
        <v>1600</v>
      </c>
      <c r="B1602" s="2" t="s">
        <v>353</v>
      </c>
      <c r="C1602" s="35" t="str">
        <f>HYPERLINK(AA2 &amp; "/knife/sn_ff08278ce3379577a413908c0e169330/rendering/00.obj", "3.65764221191")</f>
        <v>3.65764221191</v>
      </c>
      <c r="D1602" s="63" t="str">
        <f>HYPERLINK(AA2 &amp; "/knife/sn_ff08278ce3379577a413908c0e169330/rendering/01.obj", "3.42530822754")</f>
        <v>3.42530822754</v>
      </c>
      <c r="E1602" s="46" t="str">
        <f>HYPERLINK(AA2 &amp; "/knife/sn_ff08278ce3379577a413908c0e169330/rendering/02.obj", "3.82187438965")</f>
        <v>3.82187438965</v>
      </c>
      <c r="F1602" s="47" t="str">
        <f>HYPERLINK(AA2 &amp; "/knife/sn_ff08278ce3379577a413908c0e169330/rendering/03.obj", "3.85488769531")</f>
        <v>3.85488769531</v>
      </c>
      <c r="G1602" s="78" t="str">
        <f>HYPERLINK(AA2 &amp; "/knife/sn_ff08278ce3379577a413908c0e169330/rendering/04.obj", "4.1241973877")</f>
        <v>4.1241973877</v>
      </c>
      <c r="H1602" s="6" t="str">
        <f>HYPERLINK(AA2 &amp; "/knife/sn_ff08278ce3379577a413908c0e169330/rendering/05.obj", "4.06028991699")</f>
        <v>4.06028991699</v>
      </c>
      <c r="I1602" s="47" t="str">
        <f>HYPERLINK(AA2 &amp; "/knife/sn_ff08278ce3379577a413908c0e169330/rendering/06.obj", "3.86106567383")</f>
        <v>3.86106567383</v>
      </c>
      <c r="J1602" s="60" t="str">
        <f>HYPERLINK(AA2 &amp; "/knife/sn_ff08278ce3379577a413908c0e169330/rendering/07.obj", "3.68449951172")</f>
        <v>3.68449951172</v>
      </c>
      <c r="K1602" s="23" t="str">
        <f>HYPERLINK(AA2 &amp; "/knife/sn_ff08278ce3379577a413908c0e169330/rendering/08.obj", "4.04264862061")</f>
        <v>4.04264862061</v>
      </c>
      <c r="L1602" s="38" t="str">
        <f>HYPERLINK(AA2 &amp; "/knife/sn_ff08278ce3379577a413908c0e169330/rendering/09.obj", "4.23706115723")</f>
        <v>4.23706115723</v>
      </c>
      <c r="M1602" s="73" t="str">
        <f>HYPERLINK(AA2 &amp; "/knife/sn_ff08278ce3379577a413908c0e169330/rendering/10.obj", "4.03109558105")</f>
        <v>4.03109558105</v>
      </c>
      <c r="N1602" s="25" t="str">
        <f>HYPERLINK(AA2 &amp; "/knife/sn_ff08278ce3379577a413908c0e169330/rendering/11.obj", "3.84244415283")</f>
        <v>3.84244415283</v>
      </c>
      <c r="O1602" s="60" t="str">
        <f>HYPERLINK(AA2 &amp; "/knife/sn_ff08278ce3379577a413908c0e169330/rendering/12.obj", "3.69230804443")</f>
        <v>3.69230804443</v>
      </c>
      <c r="P1602" s="17" t="str">
        <f>HYPERLINK(AA2 &amp; "/knife/sn_ff08278ce3379577a413908c0e169330/rendering/13.obj", "3.81523406982")</f>
        <v>3.81523406982</v>
      </c>
      <c r="Q1602" s="42" t="str">
        <f>HYPERLINK(AA2 &amp; "/knife/sn_ff08278ce3379577a413908c0e169330/rendering/14.obj", "4.41840270996")</f>
        <v>4.41840270996</v>
      </c>
      <c r="R1602" s="72" t="str">
        <f>HYPERLINK(AA2 &amp; "/knife/sn_ff08278ce3379577a413908c0e169330/rendering/15.obj", "3.75614257812")</f>
        <v>3.75614257812</v>
      </c>
      <c r="S1602" s="91" t="str">
        <f>HYPERLINK(AA2 &amp; "/knife/sn_ff08278ce3379577a413908c0e169330/rendering/16.obj", "3.98948974609")</f>
        <v>3.98948974609</v>
      </c>
      <c r="T1602" s="72" t="str">
        <f>HYPERLINK(AA2 &amp; "/knife/sn_ff08278ce3379577a413908c0e169330/rendering/17.obj", "3.75590881348")</f>
        <v>3.75590881348</v>
      </c>
      <c r="U1602" s="25" t="str">
        <f>HYPERLINK(AA2 &amp; "/knife/sn_ff08278ce3379577a413908c0e169330/rendering/18.obj", "3.93358703613")</f>
        <v>3.93358703613</v>
      </c>
      <c r="V1602" s="91" t="str">
        <f>HYPERLINK(AA2 &amp; "/knife/sn_ff08278ce3379577a413908c0e169330/rendering/19.obj", "3.78451049805")</f>
        <v>3.78451049805</v>
      </c>
      <c r="W1602" s="12" t="s">
        <v>29</v>
      </c>
      <c r="X1602" s="13">
        <v>3.8894299011230471</v>
      </c>
      <c r="Y1602" s="13">
        <v>0.2180985044693497</v>
      </c>
      <c r="Z1602" s="10">
        <v>5.6074671613537817E-2</v>
      </c>
    </row>
    <row r="1603" spans="1:26" x14ac:dyDescent="0.2">
      <c r="A1603" s="1">
        <v>1601</v>
      </c>
      <c r="B1603" s="2" t="s">
        <v>353</v>
      </c>
      <c r="C1603" s="136" t="str">
        <f>HYPERLINK(AA2 &amp; "/knife/sn_ff08278ce3379577a413908c0e169330/rendering/00.obj", "1.62842726707")</f>
        <v>1.62842726707</v>
      </c>
      <c r="D1603" s="25" t="str">
        <f>HYPERLINK(AA2 &amp; "/knife/sn_ff08278ce3379577a413908c0e169330/rendering/01.obj", "1.33198320866")</f>
        <v>1.33198320866</v>
      </c>
      <c r="E1603" s="156" t="str">
        <f>HYPERLINK(AA2 &amp; "/knife/sn_ff08278ce3379577a413908c0e169330/rendering/02.obj", "1.90633797646")</f>
        <v>1.90633797646</v>
      </c>
      <c r="F1603" s="93" t="str">
        <f>HYPERLINK(AA2 &amp; "/knife/sn_ff08278ce3379577a413908c0e169330/rendering/03.obj", "1.13436281681")</f>
        <v>1.13436281681</v>
      </c>
      <c r="G1603" s="36" t="str">
        <f>HYPERLINK(AA2 &amp; "/knife/sn_ff08278ce3379577a413908c0e169330/rendering/04.obj", "1.03618001938")</f>
        <v>1.03618001938</v>
      </c>
      <c r="H1603" s="31" t="str">
        <f>HYPERLINK(AA2 &amp; "/knife/sn_ff08278ce3379577a413908c0e169330/rendering/05.obj", "1.52084517479")</f>
        <v>1.52084517479</v>
      </c>
      <c r="I1603" s="193" t="str">
        <f>HYPERLINK(AA2 &amp; "/knife/sn_ff08278ce3379577a413908c0e169330/rendering/06.obj", "0.879708528519")</f>
        <v>0.879708528519</v>
      </c>
      <c r="J1603" s="60" t="str">
        <f>HYPERLINK(AA2 &amp; "/knife/sn_ff08278ce3379577a413908c0e169330/rendering/07.obj", "1.38703513145")</f>
        <v>1.38703513145</v>
      </c>
      <c r="K1603" s="81" t="str">
        <f>HYPERLINK(AA2 &amp; "/knife/sn_ff08278ce3379577a413908c0e169330/rendering/08.obj", "1.60598790646")</f>
        <v>1.60598790646</v>
      </c>
      <c r="L1603" s="36" t="str">
        <f>HYPERLINK(AA2 &amp; "/knife/sn_ff08278ce3379577a413908c0e169330/rendering/09.obj", "1.03423118591")</f>
        <v>1.03423118591</v>
      </c>
      <c r="M1603" s="89" t="str">
        <f>HYPERLINK(AA2 &amp; "/knife/sn_ff08278ce3379577a413908c0e169330/rendering/10.obj", "0.974649846554")</f>
        <v>0.974649846554</v>
      </c>
      <c r="N1603" s="63" t="str">
        <f>HYPERLINK(AA2 &amp; "/knife/sn_ff08278ce3379577a413908c0e169330/rendering/11.obj", "1.158411026")</f>
        <v>1.158411026</v>
      </c>
      <c r="O1603" s="110" t="str">
        <f>HYPERLINK(AA2 &amp; "/knife/sn_ff08278ce3379577a413908c0e169330/rendering/12.obj", "1.44562792778")</f>
        <v>1.44562792778</v>
      </c>
      <c r="P1603" s="80" t="str">
        <f>HYPERLINK(AA2 &amp; "/knife/sn_ff08278ce3379577a413908c0e169330/rendering/13.obj", "1.12244415283")</f>
        <v>1.12244415283</v>
      </c>
      <c r="Q1603" s="72" t="str">
        <f>HYPERLINK(AA2 &amp; "/knife/sn_ff08278ce3379577a413908c0e169330/rendering/14.obj", "1.36175179482")</f>
        <v>1.36175179482</v>
      </c>
      <c r="R1603" s="166" t="str">
        <f>HYPERLINK(AA2 &amp; "/knife/sn_ff08278ce3379577a413908c0e169330/rendering/15.obj", "1.69698536396")</f>
        <v>1.69698536396</v>
      </c>
      <c r="S1603" s="166" t="str">
        <f>HYPERLINK(AA2 &amp; "/knife/sn_ff08278ce3379577a413908c0e169330/rendering/16.obj", "1.69443130493")</f>
        <v>1.69443130493</v>
      </c>
      <c r="T1603" s="118" t="str">
        <f>HYPERLINK(AA2 &amp; "/knife/sn_ff08278ce3379577a413908c0e169330/rendering/17.obj", "0.929018855095")</f>
        <v>0.929018855095</v>
      </c>
      <c r="U1603" s="166" t="str">
        <f>HYPERLINK(AA2 &amp; "/knife/sn_ff08278ce3379577a413908c0e169330/rendering/18.obj", "0.938442051411")</f>
        <v>0.938442051411</v>
      </c>
      <c r="V1603" s="76" t="str">
        <f>HYPERLINK(AA2 &amp; "/knife/sn_ff08278ce3379577a413908c0e169330/rendering/19.obj", "1.55870389938")</f>
        <v>1.55870389938</v>
      </c>
      <c r="W1603" s="12" t="s">
        <v>30</v>
      </c>
      <c r="X1603" s="13">
        <v>1.317278271913529</v>
      </c>
      <c r="Y1603" s="13">
        <v>0.29964584322940568</v>
      </c>
      <c r="Z1603" s="87">
        <v>0.22747345767278829</v>
      </c>
    </row>
    <row r="1604" spans="1:26" x14ac:dyDescent="0.2">
      <c r="A1604" s="1">
        <v>1602</v>
      </c>
      <c r="B1604" s="2" t="s">
        <v>353</v>
      </c>
      <c r="C1604" s="47" t="str">
        <f>HYPERLINK(AB2 &amp; "/knife/sn_ff08278ce3379577a413908c0e169330/rendering/00.obj", "5.55309814453")</f>
        <v>5.55309814453</v>
      </c>
      <c r="D1604" s="46" t="str">
        <f>HYPERLINK(AB2 &amp; "/knife/sn_ff08278ce3379577a413908c0e169330/rendering/01.obj", "5.50559448242")</f>
        <v>5.50559448242</v>
      </c>
      <c r="E1604" s="67" t="str">
        <f>HYPERLINK(AB2 &amp; "/knife/sn_ff08278ce3379577a413908c0e169330/rendering/02.obj", "5.0762677002")</f>
        <v>5.0762677002</v>
      </c>
      <c r="F1604" s="46" t="str">
        <f>HYPERLINK(AB2 &amp; "/knife/sn_ff08278ce3379577a413908c0e169330/rendering/03.obj", "5.49743286133")</f>
        <v>5.49743286133</v>
      </c>
      <c r="G1604" s="74" t="str">
        <f>HYPERLINK(AB2 &amp; "/knife/sn_ff08278ce3379577a413908c0e169330/rendering/04.obj", "5.68546569824")</f>
        <v>5.68546569824</v>
      </c>
      <c r="H1604" s="39" t="str">
        <f>HYPERLINK(AB2 &amp; "/knife/sn_ff08278ce3379577a413908c0e169330/rendering/05.obj", "5.10839782715")</f>
        <v>5.10839782715</v>
      </c>
      <c r="I1604" s="91" t="str">
        <f>HYPERLINK(AB2 &amp; "/knife/sn_ff08278ce3379577a413908c0e169330/rendering/06.obj", "5.75090637207")</f>
        <v>5.75090637207</v>
      </c>
      <c r="J1604" s="91" t="str">
        <f>HYPERLINK(AB2 &amp; "/knife/sn_ff08278ce3379577a413908c0e169330/rendering/07.obj", "5.44515014648")</f>
        <v>5.44515014648</v>
      </c>
      <c r="K1604" s="46" t="str">
        <f>HYPERLINK(AB2 &amp; "/knife/sn_ff08278ce3379577a413908c0e169330/rendering/08.obj", "5.69257263184")</f>
        <v>5.69257263184</v>
      </c>
      <c r="L1604" s="23" t="str">
        <f>HYPERLINK(AB2 &amp; "/knife/sn_ff08278ce3379577a413908c0e169330/rendering/09.obj", "5.82424438477")</f>
        <v>5.82424438477</v>
      </c>
      <c r="M1604" s="25" t="str">
        <f>HYPERLINK(AB2 &amp; "/knife/sn_ff08278ce3379577a413908c0e169330/rendering/10.obj", "5.65425354004")</f>
        <v>5.65425354004</v>
      </c>
      <c r="N1604" s="74" t="str">
        <f>HYPERLINK(AB2 &amp; "/knife/sn_ff08278ce3379577a413908c0e169330/rendering/11.obj", "5.67592346191")</f>
        <v>5.67592346191</v>
      </c>
      <c r="O1604" s="74" t="str">
        <f>HYPERLINK(AB2 &amp; "/knife/sn_ff08278ce3379577a413908c0e169330/rendering/12.obj", "5.51460876465")</f>
        <v>5.51460876465</v>
      </c>
      <c r="P1604" s="47" t="str">
        <f>HYPERLINK(AB2 &amp; "/knife/sn_ff08278ce3379577a413908c0e169330/rendering/13.obj", "5.63874938965")</f>
        <v>5.63874938965</v>
      </c>
      <c r="Q1604" s="24" t="str">
        <f>HYPERLINK(AB2 &amp; "/knife/sn_ff08278ce3379577a413908c0e169330/rendering/14.obj", "6.54689453125")</f>
        <v>6.54689453125</v>
      </c>
      <c r="R1604" s="34" t="str">
        <f>HYPERLINK(AB2 &amp; "/knife/sn_ff08278ce3379577a413908c0e169330/rendering/15.obj", "5.32749511719")</f>
        <v>5.32749511719</v>
      </c>
      <c r="S1604" s="47" t="str">
        <f>HYPERLINK(AB2 &amp; "/knife/sn_ff08278ce3379577a413908c0e169330/rendering/16.obj", "5.55134277344")</f>
        <v>5.55134277344</v>
      </c>
      <c r="T1604" s="68" t="str">
        <f>HYPERLINK(AB2 &amp; "/knife/sn_ff08278ce3379577a413908c0e169330/rendering/17.obj", "5.35459716797")</f>
        <v>5.35459716797</v>
      </c>
      <c r="U1604" s="26" t="str">
        <f>HYPERLINK(AB2 &amp; "/knife/sn_ff08278ce3379577a413908c0e169330/rendering/18.obj", "5.95589233398")</f>
        <v>5.95589233398</v>
      </c>
      <c r="V1604" s="30" t="str">
        <f>HYPERLINK(AB2 &amp; "/knife/sn_ff08278ce3379577a413908c0e169330/rendering/19.obj", "5.62248535156")</f>
        <v>5.62248535156</v>
      </c>
      <c r="W1604" s="12" t="s">
        <v>31</v>
      </c>
      <c r="X1604" s="13">
        <v>5.5990686340332037</v>
      </c>
      <c r="Y1604" s="13">
        <v>0.30237543606433909</v>
      </c>
      <c r="Z1604" s="10">
        <v>5.4004595376164838E-2</v>
      </c>
    </row>
    <row r="1605" spans="1:26" x14ac:dyDescent="0.2">
      <c r="A1605" s="1">
        <v>1603</v>
      </c>
      <c r="B1605" s="2" t="s">
        <v>353</v>
      </c>
      <c r="C1605" s="64" t="str">
        <f>HYPERLINK(AB2 &amp; "/knife/sn_ff08278ce3379577a413908c0e169330/rendering/00.obj", "1.77712202072")</f>
        <v>1.77712202072</v>
      </c>
      <c r="D1605" s="35" t="str">
        <f>HYPERLINK(AB2 &amp; "/knife/sn_ff08278ce3379577a413908c0e169330/rendering/01.obj", "1.43855547905")</f>
        <v>1.43855547905</v>
      </c>
      <c r="E1605" s="35" t="str">
        <f>HYPERLINK(AB2 &amp; "/knife/sn_ff08278ce3379577a413908c0e169330/rendering/02.obj", "1.43473315239")</f>
        <v>1.43473315239</v>
      </c>
      <c r="F1605" s="57" t="str">
        <f>HYPERLINK(AB2 &amp; "/knife/sn_ff08278ce3379577a413908c0e169330/rendering/03.obj", "1.04293417931")</f>
        <v>1.04293417931</v>
      </c>
      <c r="G1605" s="129" t="str">
        <f>HYPERLINK(AB2 &amp; "/knife/sn_ff08278ce3379577a413908c0e169330/rendering/04.obj", "1.14274966717")</f>
        <v>1.14274966717</v>
      </c>
      <c r="H1605" s="4" t="str">
        <f>HYPERLINK(AB2 &amp; "/knife/sn_ff08278ce3379577a413908c0e169330/rendering/05.obj", "1.09253787994")</f>
        <v>1.09253787994</v>
      </c>
      <c r="I1605" s="32" t="str">
        <f>HYPERLINK(AB2 &amp; "/knife/sn_ff08278ce3379577a413908c0e169330/rendering/06.obj", "1.36702251434")</f>
        <v>1.36702251434</v>
      </c>
      <c r="J1605" s="42" t="str">
        <f>HYPERLINK(AB2 &amp; "/knife/sn_ff08278ce3379577a413908c0e169330/rendering/07.obj", "1.73541581631")</f>
        <v>1.73541581631</v>
      </c>
      <c r="K1605" s="136" t="str">
        <f>HYPERLINK(AB2 &amp; "/knife/sn_ff08278ce3379577a413908c0e169330/rendering/08.obj", "1.8868894577")</f>
        <v>1.8868894577</v>
      </c>
      <c r="L1605" s="51" t="str">
        <f>HYPERLINK(AB2 &amp; "/knife/sn_ff08278ce3379577a413908c0e169330/rendering/09.obj", "1.64856886864")</f>
        <v>1.64856886864</v>
      </c>
      <c r="M1605" s="11" t="str">
        <f>HYPERLINK(AB2 &amp; "/knife/sn_ff08278ce3379577a413908c0e169330/rendering/10.obj", "1.18185973167")</f>
        <v>1.18185973167</v>
      </c>
      <c r="N1605" s="47" t="str">
        <f>HYPERLINK(AB2 &amp; "/knife/sn_ff08278ce3379577a413908c0e169330/rendering/11.obj", "1.51428043842")</f>
        <v>1.51428043842</v>
      </c>
      <c r="O1605" s="171" t="str">
        <f>HYPERLINK(AB2 &amp; "/knife/sn_ff08278ce3379577a413908c0e169330/rendering/12.obj", "1.98907089233")</f>
        <v>1.98907089233</v>
      </c>
      <c r="P1605" s="58" t="str">
        <f>HYPERLINK(AB2 &amp; "/knife/sn_ff08278ce3379577a413908c0e169330/rendering/13.obj", "1.15324783325")</f>
        <v>1.15324783325</v>
      </c>
      <c r="Q1605" s="99" t="str">
        <f>HYPERLINK(AB2 &amp; "/knife/sn_ff08278ce3379577a413908c0e169330/rendering/14.obj", "1.9371227026")</f>
        <v>1.9371227026</v>
      </c>
      <c r="R1605" s="38" t="str">
        <f>HYPERLINK(AB2 &amp; "/knife/sn_ff08278ce3379577a413908c0e169330/rendering/15.obj", "1.66051697731")</f>
        <v>1.66051697731</v>
      </c>
      <c r="S1605" s="89" t="str">
        <f>HYPERLINK(AB2 &amp; "/knife/sn_ff08278ce3379577a413908c0e169330/rendering/16.obj", "1.91748023033")</f>
        <v>1.91748023033</v>
      </c>
      <c r="T1605" s="168" t="str">
        <f>HYPERLINK(AB2 &amp; "/knife/sn_ff08278ce3379577a413908c0e169330/rendering/17.obj", "1.0364818573")</f>
        <v>1.0364818573</v>
      </c>
      <c r="U1605" s="34" t="str">
        <f>HYPERLINK(AB2 &amp; "/knife/sn_ff08278ce3379577a413908c0e169330/rendering/18.obj", "1.45098817348")</f>
        <v>1.45098817348</v>
      </c>
      <c r="V1605" s="192" t="str">
        <f>HYPERLINK(AB2 &amp; "/knife/sn_ff08278ce3379577a413908c0e169330/rendering/19.obj", "2.09106969833")</f>
        <v>2.09106969833</v>
      </c>
      <c r="W1605" s="12" t="s">
        <v>32</v>
      </c>
      <c r="X1605" s="13">
        <v>1.524932378530502</v>
      </c>
      <c r="Y1605" s="13">
        <v>0.33454538843442078</v>
      </c>
      <c r="Z1605" s="81">
        <v>0.21938375310569819</v>
      </c>
    </row>
    <row r="1606" spans="1:26" x14ac:dyDescent="0.2">
      <c r="A1606" s="1">
        <v>1604</v>
      </c>
      <c r="B1606" s="2" t="s">
        <v>353</v>
      </c>
      <c r="C1606" s="13" t="str">
        <f>HYPERLINK(AC2 &amp; "/knife/sn_ff08278ce3379577a413908c0e169330/rendering/00.xyz", "0.0")</f>
        <v>0.0</v>
      </c>
      <c r="D1606" s="13" t="str">
        <f>HYPERLINK(AC2 &amp; "/knife/sn_ff08278ce3379577a413908c0e169330/rendering/01.xyz", "0.0")</f>
        <v>0.0</v>
      </c>
      <c r="E1606" s="13" t="str">
        <f>HYPERLINK(AC2 &amp; "/knife/sn_ff08278ce3379577a413908c0e169330/rendering/02.xyz", "0.0")</f>
        <v>0.0</v>
      </c>
      <c r="F1606" s="13" t="str">
        <f>HYPERLINK(AC2 &amp; "/knife/sn_ff08278ce3379577a413908c0e169330/rendering/03.xyz", "0.0")</f>
        <v>0.0</v>
      </c>
      <c r="G1606" s="13" t="str">
        <f>HYPERLINK(AC2 &amp; "/knife/sn_ff08278ce3379577a413908c0e169330/rendering/04.xyz", "0.0")</f>
        <v>0.0</v>
      </c>
      <c r="H1606" s="13" t="str">
        <f>HYPERLINK(AC2 &amp; "/knife/sn_ff08278ce3379577a413908c0e169330/rendering/05.xyz", "0.0")</f>
        <v>0.0</v>
      </c>
      <c r="I1606" s="13" t="str">
        <f>HYPERLINK(AC2 &amp; "/knife/sn_ff08278ce3379577a413908c0e169330/rendering/06.xyz", "0.0")</f>
        <v>0.0</v>
      </c>
      <c r="J1606" s="13" t="str">
        <f>HYPERLINK(AC2 &amp; "/knife/sn_ff08278ce3379577a413908c0e169330/rendering/07.xyz", "0.0")</f>
        <v>0.0</v>
      </c>
      <c r="K1606" s="13" t="str">
        <f>HYPERLINK(AC2 &amp; "/knife/sn_ff08278ce3379577a413908c0e169330/rendering/08.xyz", "0.0")</f>
        <v>0.0</v>
      </c>
      <c r="L1606" s="13" t="str">
        <f>HYPERLINK(AC2 &amp; "/knife/sn_ff08278ce3379577a413908c0e169330/rendering/09.xyz", "0.0")</f>
        <v>0.0</v>
      </c>
      <c r="M1606" s="13" t="str">
        <f>HYPERLINK(AC2 &amp; "/knife/sn_ff08278ce3379577a413908c0e169330/rendering/10.xyz", "0.0")</f>
        <v>0.0</v>
      </c>
      <c r="N1606" s="13" t="str">
        <f>HYPERLINK(AC2 &amp; "/knife/sn_ff08278ce3379577a413908c0e169330/rendering/11.xyz", "0.0")</f>
        <v>0.0</v>
      </c>
      <c r="O1606" s="13" t="str">
        <f>HYPERLINK(AC2 &amp; "/knife/sn_ff08278ce3379577a413908c0e169330/rendering/12.xyz", "0.0")</f>
        <v>0.0</v>
      </c>
      <c r="P1606" s="13" t="str">
        <f>HYPERLINK(AC2 &amp; "/knife/sn_ff08278ce3379577a413908c0e169330/rendering/13.xyz", "0.0")</f>
        <v>0.0</v>
      </c>
      <c r="Q1606" s="13" t="str">
        <f>HYPERLINK(AC2 &amp; "/knife/sn_ff08278ce3379577a413908c0e169330/rendering/14.xyz", "0.0")</f>
        <v>0.0</v>
      </c>
      <c r="R1606" s="13" t="str">
        <f>HYPERLINK(AC2 &amp; "/knife/sn_ff08278ce3379577a413908c0e169330/rendering/15.xyz", "0.0")</f>
        <v>0.0</v>
      </c>
      <c r="S1606" s="13" t="str">
        <f>HYPERLINK(AC2 &amp; "/knife/sn_ff08278ce3379577a413908c0e169330/rendering/16.xyz", "0.0")</f>
        <v>0.0</v>
      </c>
      <c r="T1606" s="13" t="str">
        <f>HYPERLINK(AC2 &amp; "/knife/sn_ff08278ce3379577a413908c0e169330/rendering/17.xyz", "0.0")</f>
        <v>0.0</v>
      </c>
      <c r="U1606" s="13" t="str">
        <f>HYPERLINK(AC2 &amp; "/knife/sn_ff08278ce3379577a413908c0e169330/rendering/18.xyz", "0.0")</f>
        <v>0.0</v>
      </c>
      <c r="V1606" s="13" t="str">
        <f>HYPERLINK(AC2 &amp; "/knife/sn_ff08278ce3379577a413908c0e169330/rendering/19.xyz", "0.0")</f>
        <v>0.0</v>
      </c>
      <c r="W1606" s="12" t="s">
        <v>33</v>
      </c>
      <c r="X1606" s="13">
        <v>0</v>
      </c>
      <c r="Y1606" s="13">
        <v>0</v>
      </c>
      <c r="Z1606" s="13">
        <v>0</v>
      </c>
    </row>
    <row r="1607" spans="1:26" x14ac:dyDescent="0.2">
      <c r="A1607" s="1">
        <v>1605</v>
      </c>
      <c r="B1607" s="2" t="s">
        <v>354</v>
      </c>
      <c r="C1607" s="77" t="str">
        <f>HYPERLINK(AA2 &amp; "/knife/sn_ff949d2335a226fde1c0dc67e69df88e/rendering/00.obj", "3.77442016602")</f>
        <v>3.77442016602</v>
      </c>
      <c r="D1607" s="113" t="str">
        <f>HYPERLINK(AA2 &amp; "/knife/sn_ff949d2335a226fde1c0dc67e69df88e/rendering/01.obj", "3.36195129395")</f>
        <v>3.36195129395</v>
      </c>
      <c r="E1607" s="64" t="str">
        <f>HYPERLINK(AA2 &amp; "/knife/sn_ff949d2335a226fde1c0dc67e69df88e/rendering/02.obj", "3.86938049316")</f>
        <v>3.86938049316</v>
      </c>
      <c r="F1607" s="119" t="str">
        <f>HYPERLINK(AA2 &amp; "/knife/sn_ff949d2335a226fde1c0dc67e69df88e/rendering/03.obj", "3.40515563965")</f>
        <v>3.40515563965</v>
      </c>
      <c r="G1607" s="20" t="str">
        <f>HYPERLINK(AA2 &amp; "/knife/sn_ff949d2335a226fde1c0dc67e69df88e/rendering/04.obj", "17.0192626953")</f>
        <v>17.0192626953</v>
      </c>
      <c r="H1607" s="136" t="str">
        <f>HYPERLINK(AA2 &amp; "/knife/sn_ff949d2335a226fde1c0dc67e69df88e/rendering/05.obj", "3.53430023193")</f>
        <v>3.53430023193</v>
      </c>
      <c r="I1607" s="185" t="str">
        <f>HYPERLINK(AA2 &amp; "/knife/sn_ff949d2335a226fde1c0dc67e69df88e/rendering/06.obj", "3.06273834229")</f>
        <v>3.06273834229</v>
      </c>
      <c r="J1607" s="137" t="str">
        <f>HYPERLINK(AA2 &amp; "/knife/sn_ff949d2335a226fde1c0dc67e69df88e/rendering/07.obj", "2.9421685791")</f>
        <v>2.9421685791</v>
      </c>
      <c r="K1607" s="44" t="str">
        <f>HYPERLINK(AA2 &amp; "/knife/sn_ff949d2335a226fde1c0dc67e69df88e/rendering/08.obj", "5.53926635742")</f>
        <v>5.53926635742</v>
      </c>
      <c r="L1607" s="124" t="str">
        <f>HYPERLINK(AA2 &amp; "/knife/sn_ff949d2335a226fde1c0dc67e69df88e/rendering/09.obj", "2.86278900146")</f>
        <v>2.86278900146</v>
      </c>
      <c r="M1607" s="29" t="str">
        <f>HYPERLINK(AA2 &amp; "/knife/sn_ff949d2335a226fde1c0dc67e69df88e/rendering/10.obj", "4.03246826172")</f>
        <v>4.03246826172</v>
      </c>
      <c r="N1607" s="171" t="str">
        <f>HYPERLINK(AA2 &amp; "/knife/sn_ff949d2335a226fde1c0dc67e69df88e/rendering/11.obj", "3.21812988281")</f>
        <v>3.21812988281</v>
      </c>
      <c r="O1607" s="212" t="str">
        <f>HYPERLINK(AA2 &amp; "/knife/sn_ff949d2335a226fde1c0dc67e69df88e/rendering/12.obj", "2.63739196777")</f>
        <v>2.63739196777</v>
      </c>
      <c r="P1607" s="6" t="str">
        <f>HYPERLINK(AA2 &amp; "/knife/sn_ff949d2335a226fde1c0dc67e69df88e/rendering/13.obj", "4.41929321289")</f>
        <v>4.41929321289</v>
      </c>
      <c r="Q1607" s="136" t="str">
        <f>HYPERLINK(AA2 &amp; "/knife/sn_ff949d2335a226fde1c0dc67e69df88e/rendering/14.obj", "3.53174072266")</f>
        <v>3.53174072266</v>
      </c>
      <c r="R1607" s="8" t="str">
        <f>HYPERLINK(AA2 &amp; "/knife/sn_ff949d2335a226fde1c0dc67e69df88e/rendering/15.obj", "3.98037597656")</f>
        <v>3.98037597656</v>
      </c>
      <c r="S1607" s="170" t="str">
        <f>HYPERLINK(AA2 &amp; "/knife/sn_ff949d2335a226fde1c0dc67e69df88e/rendering/16.obj", "3.45910736084")</f>
        <v>3.45910736084</v>
      </c>
      <c r="T1607" s="129" t="str">
        <f>HYPERLINK(AA2 &amp; "/knife/sn_ff949d2335a226fde1c0dc67e69df88e/rendering/17.obj", "3.48210388184")</f>
        <v>3.48210388184</v>
      </c>
      <c r="U1607" s="20" t="str">
        <f>HYPERLINK(AA2 &amp; "/knife/sn_ff949d2335a226fde1c0dc67e69df88e/rendering/18.obj", "11.0008361816")</f>
        <v>11.0008361816</v>
      </c>
      <c r="V1607" s="87" t="str">
        <f>HYPERLINK(AA2 &amp; "/knife/sn_ff949d2335a226fde1c0dc67e69df88e/rendering/19.obj", "3.58759185791")</f>
        <v>3.58759185791</v>
      </c>
      <c r="W1607" s="12" t="s">
        <v>29</v>
      </c>
      <c r="X1607" s="13">
        <v>4.6360236053466792</v>
      </c>
      <c r="Y1607" s="13">
        <v>3.3220747311085912</v>
      </c>
      <c r="Z1607" s="188">
        <v>0.71657847627809224</v>
      </c>
    </row>
    <row r="1608" spans="1:26" x14ac:dyDescent="0.2">
      <c r="A1608" s="1">
        <v>1606</v>
      </c>
      <c r="B1608" s="2" t="s">
        <v>354</v>
      </c>
      <c r="C1608" s="237" t="str">
        <f>HYPERLINK(AA2 &amp; "/knife/sn_ff949d2335a226fde1c0dc67e69df88e/rendering/00.obj", "1.317948699")</f>
        <v>1.317948699</v>
      </c>
      <c r="D1608" s="207" t="str">
        <f>HYPERLINK(AA2 &amp; "/knife/sn_ff949d2335a226fde1c0dc67e69df88e/rendering/01.obj", "1.10120797157")</f>
        <v>1.10120797157</v>
      </c>
      <c r="E1608" s="96" t="str">
        <f>HYPERLINK(AA2 &amp; "/knife/sn_ff949d2335a226fde1c0dc67e69df88e/rendering/02.obj", "2.58701753616")</f>
        <v>2.58701753616</v>
      </c>
      <c r="F1608" s="145" t="str">
        <f>HYPERLINK(AA2 &amp; "/knife/sn_ff949d2335a226fde1c0dc67e69df88e/rendering/03.obj", "2.05887055397")</f>
        <v>2.05887055397</v>
      </c>
      <c r="G1608" s="20" t="str">
        <f>HYPERLINK(AA2 &amp; "/knife/sn_ff949d2335a226fde1c0dc67e69df88e/rendering/04.obj", "31.4725055695")</f>
        <v>31.4725055695</v>
      </c>
      <c r="H1608" s="179" t="str">
        <f>HYPERLINK(AA2 &amp; "/knife/sn_ff949d2335a226fde1c0dc67e69df88e/rendering/05.obj", "2.31652212143")</f>
        <v>2.31652212143</v>
      </c>
      <c r="I1608" s="247" t="str">
        <f>HYPERLINK(AA2 &amp; "/knife/sn_ff949d2335a226fde1c0dc67e69df88e/rendering/06.obj", "0.989519834518")</f>
        <v>0.989519834518</v>
      </c>
      <c r="J1608" s="227" t="str">
        <f>HYPERLINK(AA2 &amp; "/knife/sn_ff949d2335a226fde1c0dc67e69df88e/rendering/07.obj", "1.98563599586")</f>
        <v>1.98563599586</v>
      </c>
      <c r="K1608" s="67" t="str">
        <f>HYPERLINK(AA2 &amp; "/knife/sn_ff949d2335a226fde1c0dc67e69df88e/rendering/08.obj", "3.67055177689")</f>
        <v>3.67055177689</v>
      </c>
      <c r="L1608" s="255" t="str">
        <f>HYPERLINK(AA2 &amp; "/knife/sn_ff949d2335a226fde1c0dc67e69df88e/rendering/09.obj", "1.12612259388")</f>
        <v>1.12612259388</v>
      </c>
      <c r="M1608" s="230" t="str">
        <f>HYPERLINK(AA2 &amp; "/knife/sn_ff949d2335a226fde1c0dc67e69df88e/rendering/10.obj", "2.20525503159")</f>
        <v>2.20525503159</v>
      </c>
      <c r="N1608" s="139" t="str">
        <f>HYPERLINK(AA2 &amp; "/knife/sn_ff949d2335a226fde1c0dc67e69df88e/rendering/11.obj", "2.09740662575")</f>
        <v>2.09740662575</v>
      </c>
      <c r="O1608" s="216" t="str">
        <f>HYPERLINK(AA2 &amp; "/knife/sn_ff949d2335a226fde1c0dc67e69df88e/rendering/12.obj", "1.41433775425")</f>
        <v>1.41433775425</v>
      </c>
      <c r="P1608" s="187" t="str">
        <f>HYPERLINK(AA2 &amp; "/knife/sn_ff949d2335a226fde1c0dc67e69df88e/rendering/13.obj", "2.62611532211")</f>
        <v>2.62611532211</v>
      </c>
      <c r="Q1608" s="203" t="str">
        <f>HYPERLINK(AA2 &amp; "/knife/sn_ff949d2335a226fde1c0dc67e69df88e/rendering/14.obj", "2.15651893616")</f>
        <v>2.15651893616</v>
      </c>
      <c r="R1608" s="179" t="str">
        <f>HYPERLINK(AA2 &amp; "/knife/sn_ff949d2335a226fde1c0dc67e69df88e/rendering/15.obj", "2.31208229065")</f>
        <v>2.31208229065</v>
      </c>
      <c r="S1608" s="249" t="str">
        <f>HYPERLINK(AA2 &amp; "/knife/sn_ff949d2335a226fde1c0dc67e69df88e/rendering/16.obj", "1.72999083996")</f>
        <v>1.72999083996</v>
      </c>
      <c r="T1608" s="22" t="str">
        <f>HYPERLINK(AA2 &amp; "/knife/sn_ff949d2335a226fde1c0dc67e69df88e/rendering/17.obj", "1.93947780132")</f>
        <v>1.93947780132</v>
      </c>
      <c r="U1608" s="20" t="str">
        <f>HYPERLINK(AA2 &amp; "/knife/sn_ff949d2335a226fde1c0dc67e69df88e/rendering/18.obj", "14.0907564163")</f>
        <v>14.0907564163</v>
      </c>
      <c r="V1608" s="226" t="str">
        <f>HYPERLINK(AA2 &amp; "/knife/sn_ff949d2335a226fde1c0dc67e69df88e/rendering/19.obj", "1.76846158504")</f>
        <v>1.76846158504</v>
      </c>
      <c r="W1608" s="12" t="s">
        <v>30</v>
      </c>
      <c r="X1608" s="13">
        <v>4.0483152627944943</v>
      </c>
      <c r="Y1608" s="13">
        <v>6.8492288648452959</v>
      </c>
      <c r="Z1608" s="20">
        <v>1.6918714132252071</v>
      </c>
    </row>
    <row r="1609" spans="1:26" x14ac:dyDescent="0.2">
      <c r="A1609" s="1">
        <v>1607</v>
      </c>
      <c r="B1609" s="2" t="s">
        <v>354</v>
      </c>
      <c r="C1609" s="68" t="str">
        <f>HYPERLINK(AB2 &amp; "/knife/sn_ff949d2335a226fde1c0dc67e69df88e/rendering/00.obj", "2.9445916748")</f>
        <v>2.9445916748</v>
      </c>
      <c r="D1609" s="46" t="str">
        <f>HYPERLINK(AB2 &amp; "/knife/sn_ff949d2335a226fde1c0dc67e69df88e/rendering/01.obj", "3.01970397949")</f>
        <v>3.01970397949</v>
      </c>
      <c r="E1609" s="10" t="str">
        <f>HYPERLINK(AB2 &amp; "/knife/sn_ff949d2335a226fde1c0dc67e69df88e/rendering/02.obj", "3.2394720459")</f>
        <v>3.2394720459</v>
      </c>
      <c r="F1609" s="29" t="str">
        <f>HYPERLINK(AB2 &amp; "/knife/sn_ff949d2335a226fde1c0dc67e69df88e/rendering/03.obj", "2.66897766113")</f>
        <v>2.66897766113</v>
      </c>
      <c r="G1609" s="27" t="str">
        <f>HYPERLINK(AB2 &amp; "/knife/sn_ff949d2335a226fde1c0dc67e69df88e/rendering/04.obj", "3.28848968506")</f>
        <v>3.28848968506</v>
      </c>
      <c r="H1609" s="30" t="str">
        <f>HYPERLINK(AB2 &amp; "/knife/sn_ff949d2335a226fde1c0dc67e69df88e/rendering/05.obj", "3.05443969727")</f>
        <v>3.05443969727</v>
      </c>
      <c r="I1609" s="51" t="str">
        <f>HYPERLINK(AB2 &amp; "/knife/sn_ff949d2335a226fde1c0dc67e69df88e/rendering/06.obj", "2.82150695801")</f>
        <v>2.82150695801</v>
      </c>
      <c r="J1609" s="30" t="str">
        <f>HYPERLINK(AB2 &amp; "/knife/sn_ff949d2335a226fde1c0dc67e69df88e/rendering/07.obj", "3.08060302734")</f>
        <v>3.08060302734</v>
      </c>
      <c r="K1609" s="37" t="str">
        <f>HYPERLINK(AB2 &amp; "/knife/sn_ff949d2335a226fde1c0dc67e69df88e/rendering/08.obj", "3.60385467529")</f>
        <v>3.60385467529</v>
      </c>
      <c r="L1609" s="25" t="str">
        <f>HYPERLINK(AB2 &amp; "/knife/sn_ff949d2335a226fde1c0dc67e69df88e/rendering/09.obj", "3.03394165039")</f>
        <v>3.03394165039</v>
      </c>
      <c r="M1609" s="93" t="str">
        <f>HYPERLINK(AB2 &amp; "/knife/sn_ff949d2335a226fde1c0dc67e69df88e/rendering/10.obj", "3.50051452637")</f>
        <v>3.50051452637</v>
      </c>
      <c r="N1609" s="109" t="str">
        <f>HYPERLINK(AB2 &amp; "/knife/sn_ff949d2335a226fde1c0dc67e69df88e/rendering/11.obj", "2.48633300781")</f>
        <v>2.48633300781</v>
      </c>
      <c r="O1609" s="13" t="str">
        <f>HYPERLINK(AB2 &amp; "/knife/sn_ff949d2335a226fde1c0dc67e69df88e/rendering/12.obj", "3.07267242432")</f>
        <v>3.07267242432</v>
      </c>
      <c r="P1609" s="74" t="str">
        <f>HYPERLINK(AB2 &amp; "/knife/sn_ff949d2335a226fde1c0dc67e69df88e/rendering/13.obj", "3.11502685547")</f>
        <v>3.11502685547</v>
      </c>
      <c r="Q1609" s="91" t="str">
        <f>HYPERLINK(AB2 &amp; "/knife/sn_ff949d2335a226fde1c0dc67e69df88e/rendering/14.obj", "3.15338317871")</f>
        <v>3.15338317871</v>
      </c>
      <c r="R1609" s="32" t="str">
        <f>HYPERLINK(AB2 &amp; "/knife/sn_ff949d2335a226fde1c0dc67e69df88e/rendering/15.obj", "2.74893463135")</f>
        <v>2.74893463135</v>
      </c>
      <c r="S1609" s="23" t="str">
        <f>HYPERLINK(AB2 &amp; "/knife/sn_ff949d2335a226fde1c0dc67e69df88e/rendering/16.obj", "2.94815612793")</f>
        <v>2.94815612793</v>
      </c>
      <c r="T1609" s="17" t="str">
        <f>HYPERLINK(AB2 &amp; "/knife/sn_ff949d2335a226fde1c0dc67e69df88e/rendering/17.obj", "3.01144042969")</f>
        <v>3.01144042969</v>
      </c>
      <c r="U1609" s="50" t="str">
        <f>HYPERLINK(AB2 &amp; "/knife/sn_ff949d2335a226fde1c0dc67e69df88e/rendering/18.obj", "3.68602600098")</f>
        <v>3.68602600098</v>
      </c>
      <c r="V1609" s="34" t="str">
        <f>HYPERLINK(AB2 &amp; "/knife/sn_ff949d2335a226fde1c0dc67e69df88e/rendering/19.obj", "2.92483612061")</f>
        <v>2.92483612061</v>
      </c>
      <c r="W1609" s="12" t="s">
        <v>31</v>
      </c>
      <c r="X1609" s="13">
        <v>3.070145217895508</v>
      </c>
      <c r="Y1609" s="13">
        <v>0.28817132451476579</v>
      </c>
      <c r="Z1609" s="67">
        <v>9.3862441045149833E-2</v>
      </c>
    </row>
    <row r="1610" spans="1:26" x14ac:dyDescent="0.2">
      <c r="A1610" s="1">
        <v>1608</v>
      </c>
      <c r="B1610" s="2" t="s">
        <v>354</v>
      </c>
      <c r="C1610" s="13" t="str">
        <f>HYPERLINK(AB2 &amp; "/knife/sn_ff949d2335a226fde1c0dc67e69df88e/rendering/00.obj", "0.987553834915")</f>
        <v>0.987553834915</v>
      </c>
      <c r="D1610" s="25" t="str">
        <f>HYPERLINK(AB2 &amp; "/knife/sn_ff949d2335a226fde1c0dc67e69df88e/rendering/01.obj", "0.978940844536")</f>
        <v>0.978940844536</v>
      </c>
      <c r="E1610" s="70" t="str">
        <f>HYPERLINK(AB2 &amp; "/knife/sn_ff949d2335a226fde1c0dc67e69df88e/rendering/02.obj", "1.11619246006")</f>
        <v>1.11619246006</v>
      </c>
      <c r="F1610" s="63" t="str">
        <f>HYPERLINK(AB2 &amp; "/knife/sn_ff949d2335a226fde1c0dc67e69df88e/rendering/03.obj", "0.870190501213")</f>
        <v>0.870190501213</v>
      </c>
      <c r="G1610" s="6" t="str">
        <f>HYPERLINK(AB2 &amp; "/knife/sn_ff949d2335a226fde1c0dc67e69df88e/rendering/04.obj", "1.03355383873")</f>
        <v>1.03355383873</v>
      </c>
      <c r="H1610" s="73" t="str">
        <f>HYPERLINK(AB2 &amp; "/knife/sn_ff949d2335a226fde1c0dc67e69df88e/rendering/05.obj", "1.02454781532")</f>
        <v>1.02454781532</v>
      </c>
      <c r="I1610" s="70" t="str">
        <f>HYPERLINK(AB2 &amp; "/knife/sn_ff949d2335a226fde1c0dc67e69df88e/rendering/06.obj", "0.863368391991")</f>
        <v>0.863368391991</v>
      </c>
      <c r="J1610" s="17" t="str">
        <f>HYPERLINK(AB2 &amp; "/knife/sn_ff949d2335a226fde1c0dc67e69df88e/rendering/07.obj", "1.01112115383")</f>
        <v>1.01112115383</v>
      </c>
      <c r="K1610" s="169" t="str">
        <f>HYPERLINK(AB2 &amp; "/knife/sn_ff949d2335a226fde1c0dc67e69df88e/rendering/08.obj", "1.29803800583")</f>
        <v>1.29803800583</v>
      </c>
      <c r="L1610" s="29" t="str">
        <f>HYPERLINK(AB2 &amp; "/knife/sn_ff949d2335a226fde1c0dc67e69df88e/rendering/09.obj", "0.862456917763")</f>
        <v>0.862456917763</v>
      </c>
      <c r="M1610" s="158" t="str">
        <f>HYPERLINK(AB2 &amp; "/knife/sn_ff949d2335a226fde1c0dc67e69df88e/rendering/10.obj", "1.39468085766")</f>
        <v>1.39468085766</v>
      </c>
      <c r="N1610" s="90" t="str">
        <f>HYPERLINK(AB2 &amp; "/knife/sn_ff949d2335a226fde1c0dc67e69df88e/rendering/11.obj", "0.894831299782")</f>
        <v>0.894831299782</v>
      </c>
      <c r="O1610" s="33" t="str">
        <f>HYPERLINK(AB2 &amp; "/knife/sn_ff949d2335a226fde1c0dc67e69df88e/rendering/12.obj", "0.882954478264")</f>
        <v>0.882954478264</v>
      </c>
      <c r="P1610" s="46" t="str">
        <f>HYPERLINK(AB2 &amp; "/knife/sn_ff949d2335a226fde1c0dc67e69df88e/rendering/13.obj", "1.00600838661")</f>
        <v>1.00600838661</v>
      </c>
      <c r="Q1610" s="60" t="str">
        <f>HYPERLINK(AB2 &amp; "/knife/sn_ff949d2335a226fde1c0dc67e69df88e/rendering/14.obj", "0.93740427494")</f>
        <v>0.93740427494</v>
      </c>
      <c r="R1610" s="8" t="str">
        <f>HYPERLINK(AB2 &amp; "/knife/sn_ff949d2335a226fde1c0dc67e69df88e/rendering/15.obj", "0.847688436508")</f>
        <v>0.847688436508</v>
      </c>
      <c r="S1610" s="117" t="str">
        <f>HYPERLINK(AB2 &amp; "/knife/sn_ff949d2335a226fde1c0dc67e69df88e/rendering/16.obj", "0.814208209515")</f>
        <v>0.814208209515</v>
      </c>
      <c r="T1610" s="31" t="str">
        <f>HYPERLINK(AB2 &amp; "/knife/sn_ff949d2335a226fde1c0dc67e69df88e/rendering/17.obj", "0.836371958256")</f>
        <v>0.836371958256</v>
      </c>
      <c r="U1610" s="117" t="str">
        <f>HYPERLINK(AB2 &amp; "/knife/sn_ff949d2335a226fde1c0dc67e69df88e/rendering/18.obj", "1.16606020927")</f>
        <v>1.16606020927</v>
      </c>
      <c r="V1610" s="46" t="str">
        <f>HYPERLINK(AB2 &amp; "/knife/sn_ff949d2335a226fde1c0dc67e69df88e/rendering/19.obj", "0.972175776958")</f>
        <v>0.972175776958</v>
      </c>
      <c r="W1610" s="12" t="s">
        <v>32</v>
      </c>
      <c r="X1610" s="13">
        <v>0.98991738259792328</v>
      </c>
      <c r="Y1610" s="13">
        <v>0.15074989590620069</v>
      </c>
      <c r="Z1610" s="83">
        <v>0.1522853306309008</v>
      </c>
    </row>
    <row r="1611" spans="1:26" x14ac:dyDescent="0.2">
      <c r="A1611" s="1">
        <v>1609</v>
      </c>
      <c r="B1611" s="2" t="s">
        <v>354</v>
      </c>
      <c r="C1611" s="13" t="str">
        <f>HYPERLINK(AC2 &amp; "/knife/sn_ff949d2335a226fde1c0dc67e69df88e/rendering/00.xyz", "0.0")</f>
        <v>0.0</v>
      </c>
      <c r="D1611" s="13" t="str">
        <f>HYPERLINK(AC2 &amp; "/knife/sn_ff949d2335a226fde1c0dc67e69df88e/rendering/01.xyz", "0.0")</f>
        <v>0.0</v>
      </c>
      <c r="E1611" s="13" t="str">
        <f>HYPERLINK(AC2 &amp; "/knife/sn_ff949d2335a226fde1c0dc67e69df88e/rendering/02.xyz", "0.0")</f>
        <v>0.0</v>
      </c>
      <c r="F1611" s="13" t="str">
        <f>HYPERLINK(AC2 &amp; "/knife/sn_ff949d2335a226fde1c0dc67e69df88e/rendering/03.xyz", "0.0")</f>
        <v>0.0</v>
      </c>
      <c r="G1611" s="13" t="str">
        <f>HYPERLINK(AC2 &amp; "/knife/sn_ff949d2335a226fde1c0dc67e69df88e/rendering/04.xyz", "0.0")</f>
        <v>0.0</v>
      </c>
      <c r="H1611" s="13" t="str">
        <f>HYPERLINK(AC2 &amp; "/knife/sn_ff949d2335a226fde1c0dc67e69df88e/rendering/05.xyz", "0.0")</f>
        <v>0.0</v>
      </c>
      <c r="I1611" s="13" t="str">
        <f>HYPERLINK(AC2 &amp; "/knife/sn_ff949d2335a226fde1c0dc67e69df88e/rendering/06.xyz", "0.0")</f>
        <v>0.0</v>
      </c>
      <c r="J1611" s="13" t="str">
        <f>HYPERLINK(AC2 &amp; "/knife/sn_ff949d2335a226fde1c0dc67e69df88e/rendering/07.xyz", "0.0")</f>
        <v>0.0</v>
      </c>
      <c r="K1611" s="13" t="str">
        <f>HYPERLINK(AC2 &amp; "/knife/sn_ff949d2335a226fde1c0dc67e69df88e/rendering/08.xyz", "0.0")</f>
        <v>0.0</v>
      </c>
      <c r="L1611" s="13" t="str">
        <f>HYPERLINK(AC2 &amp; "/knife/sn_ff949d2335a226fde1c0dc67e69df88e/rendering/09.xyz", "0.0")</f>
        <v>0.0</v>
      </c>
      <c r="M1611" s="13" t="str">
        <f>HYPERLINK(AC2 &amp; "/knife/sn_ff949d2335a226fde1c0dc67e69df88e/rendering/10.xyz", "0.0")</f>
        <v>0.0</v>
      </c>
      <c r="N1611" s="13" t="str">
        <f>HYPERLINK(AC2 &amp; "/knife/sn_ff949d2335a226fde1c0dc67e69df88e/rendering/11.xyz", "0.0")</f>
        <v>0.0</v>
      </c>
      <c r="O1611" s="13" t="str">
        <f>HYPERLINK(AC2 &amp; "/knife/sn_ff949d2335a226fde1c0dc67e69df88e/rendering/12.xyz", "0.0")</f>
        <v>0.0</v>
      </c>
      <c r="P1611" s="13" t="str">
        <f>HYPERLINK(AC2 &amp; "/knife/sn_ff949d2335a226fde1c0dc67e69df88e/rendering/13.xyz", "0.0")</f>
        <v>0.0</v>
      </c>
      <c r="Q1611" s="13" t="str">
        <f>HYPERLINK(AC2 &amp; "/knife/sn_ff949d2335a226fde1c0dc67e69df88e/rendering/14.xyz", "0.0")</f>
        <v>0.0</v>
      </c>
      <c r="R1611" s="13" t="str">
        <f>HYPERLINK(AC2 &amp; "/knife/sn_ff949d2335a226fde1c0dc67e69df88e/rendering/15.xyz", "0.0")</f>
        <v>0.0</v>
      </c>
      <c r="S1611" s="13" t="str">
        <f>HYPERLINK(AC2 &amp; "/knife/sn_ff949d2335a226fde1c0dc67e69df88e/rendering/16.xyz", "0.0")</f>
        <v>0.0</v>
      </c>
      <c r="T1611" s="13" t="str">
        <f>HYPERLINK(AC2 &amp; "/knife/sn_ff949d2335a226fde1c0dc67e69df88e/rendering/17.xyz", "0.0")</f>
        <v>0.0</v>
      </c>
      <c r="U1611" s="13" t="str">
        <f>HYPERLINK(AC2 &amp; "/knife/sn_ff949d2335a226fde1c0dc67e69df88e/rendering/18.xyz", "0.0")</f>
        <v>0.0</v>
      </c>
      <c r="V1611" s="13" t="str">
        <f>HYPERLINK(AC2 &amp; "/knife/sn_ff949d2335a226fde1c0dc67e69df88e/rendering/19.xyz", "0.0")</f>
        <v>0.0</v>
      </c>
      <c r="W1611" s="12" t="s">
        <v>33</v>
      </c>
      <c r="X1611" s="13">
        <v>0</v>
      </c>
      <c r="Y1611" s="13">
        <v>0</v>
      </c>
      <c r="Z1611" s="13">
        <v>0</v>
      </c>
    </row>
    <row r="1612" spans="1:26" x14ac:dyDescent="0.2">
      <c r="A1612" s="1">
        <v>1610</v>
      </c>
      <c r="B1612" s="2" t="s">
        <v>355</v>
      </c>
      <c r="C1612" s="3" t="str">
        <f>HYPERLINK(AA2 &amp; "/mouse/3dw_bfcb16b2-0547-470f-adef-c79e2dcb7fb7/rendering/00.obj", "nan")</f>
        <v>nan</v>
      </c>
      <c r="D1612" s="3" t="str">
        <f>HYPERLINK(AA2 &amp; "/mouse/3dw_bfcb16b2-0547-470f-adef-c79e2dcb7fb7/rendering/01.obj", "nan")</f>
        <v>nan</v>
      </c>
      <c r="E1612" s="3" t="str">
        <f>HYPERLINK(AA2 &amp; "/mouse/3dw_bfcb16b2-0547-470f-adef-c79e2dcb7fb7/rendering/02.obj", "nan")</f>
        <v>nan</v>
      </c>
      <c r="F1612" s="3" t="str">
        <f>HYPERLINK(AA2 &amp; "/mouse/3dw_bfcb16b2-0547-470f-adef-c79e2dcb7fb7/rendering/03.obj", "nan")</f>
        <v>nan</v>
      </c>
      <c r="G1612" s="3" t="str">
        <f>HYPERLINK(AA2 &amp; "/mouse/3dw_bfcb16b2-0547-470f-adef-c79e2dcb7fb7/rendering/04.obj", "nan")</f>
        <v>nan</v>
      </c>
      <c r="H1612" s="3" t="str">
        <f>HYPERLINK(AA2 &amp; "/mouse/3dw_bfcb16b2-0547-470f-adef-c79e2dcb7fb7/rendering/05.obj", "nan")</f>
        <v>nan</v>
      </c>
      <c r="I1612" s="3" t="str">
        <f>HYPERLINK(AA2 &amp; "/mouse/3dw_bfcb16b2-0547-470f-adef-c79e2dcb7fb7/rendering/06.obj", "nan")</f>
        <v>nan</v>
      </c>
      <c r="J1612" s="3" t="str">
        <f>HYPERLINK(AA2 &amp; "/mouse/3dw_bfcb16b2-0547-470f-adef-c79e2dcb7fb7/rendering/07.obj", "nan")</f>
        <v>nan</v>
      </c>
      <c r="K1612" s="3" t="str">
        <f>HYPERLINK(AA2 &amp; "/mouse/3dw_bfcb16b2-0547-470f-adef-c79e2dcb7fb7/rendering/08.obj", "nan")</f>
        <v>nan</v>
      </c>
      <c r="L1612" s="3" t="str">
        <f>HYPERLINK(AA2 &amp; "/mouse/3dw_bfcb16b2-0547-470f-adef-c79e2dcb7fb7/rendering/09.obj", "nan")</f>
        <v>nan</v>
      </c>
      <c r="M1612" s="3" t="str">
        <f>HYPERLINK(AA2 &amp; "/mouse/3dw_bfcb16b2-0547-470f-adef-c79e2dcb7fb7/rendering/10.obj", "nan")</f>
        <v>nan</v>
      </c>
      <c r="N1612" s="3" t="str">
        <f>HYPERLINK(AA2 &amp; "/mouse/3dw_bfcb16b2-0547-470f-adef-c79e2dcb7fb7/rendering/11.obj", "nan")</f>
        <v>nan</v>
      </c>
      <c r="O1612" s="3" t="str">
        <f>HYPERLINK(AA2 &amp; "/mouse/3dw_bfcb16b2-0547-470f-adef-c79e2dcb7fb7/rendering/12.obj", "nan")</f>
        <v>nan</v>
      </c>
      <c r="P1612" s="3" t="str">
        <f>HYPERLINK(AA2 &amp; "/mouse/3dw_bfcb16b2-0547-470f-adef-c79e2dcb7fb7/rendering/13.obj", "nan")</f>
        <v>nan</v>
      </c>
      <c r="Q1612" s="3" t="str">
        <f>HYPERLINK(AA2 &amp; "/mouse/3dw_bfcb16b2-0547-470f-adef-c79e2dcb7fb7/rendering/14.obj", "nan")</f>
        <v>nan</v>
      </c>
      <c r="R1612" s="3" t="str">
        <f>HYPERLINK(AA2 &amp; "/mouse/3dw_bfcb16b2-0547-470f-adef-c79e2dcb7fb7/rendering/15.obj", "nan")</f>
        <v>nan</v>
      </c>
      <c r="S1612" s="43" t="str">
        <f>HYPERLINK(AA2 &amp; "/mouse/3dw_bfcb16b2-0547-470f-adef-c79e2dcb7fb7/rendering/16.obj", "1.18333099365")</f>
        <v>1.18333099365</v>
      </c>
      <c r="T1612" s="152" t="str">
        <f>HYPERLINK(AA2 &amp; "/mouse/3dw_bfcb16b2-0547-470f-adef-c79e2dcb7fb7/rendering/17.obj", "1.12078582764")</f>
        <v>1.12078582764</v>
      </c>
      <c r="U1612" s="163" t="str">
        <f>HYPERLINK(AA2 &amp; "/mouse/3dw_bfcb16b2-0547-470f-adef-c79e2dcb7fb7/rendering/18.obj", "1.05848686218")</f>
        <v>1.05848686218</v>
      </c>
      <c r="V1612" s="20" t="str">
        <f>HYPERLINK(AA2 &amp; "/mouse/3dw_bfcb16b2-0547-470f-adef-c79e2dcb7fb7/rendering/19.obj", "4.19768341064")</f>
        <v>4.19768341064</v>
      </c>
      <c r="W1612" s="12" t="s">
        <v>29</v>
      </c>
      <c r="X1612" s="13">
        <v>1.8900717735290531</v>
      </c>
      <c r="Y1612" s="13">
        <v>1.3330311632720779</v>
      </c>
      <c r="Z1612" s="238">
        <v>0.70528071046905561</v>
      </c>
    </row>
    <row r="1613" spans="1:26" x14ac:dyDescent="0.2">
      <c r="A1613" s="1">
        <v>1611</v>
      </c>
      <c r="B1613" s="2" t="s">
        <v>355</v>
      </c>
      <c r="C1613" s="3" t="str">
        <f>HYPERLINK(AA2 &amp; "/mouse/3dw_bfcb16b2-0547-470f-adef-c79e2dcb7fb7/rendering/00.obj", "nan")</f>
        <v>nan</v>
      </c>
      <c r="D1613" s="3" t="str">
        <f>HYPERLINK(AA2 &amp; "/mouse/3dw_bfcb16b2-0547-470f-adef-c79e2dcb7fb7/rendering/01.obj", "nan")</f>
        <v>nan</v>
      </c>
      <c r="E1613" s="3" t="str">
        <f>HYPERLINK(AA2 &amp; "/mouse/3dw_bfcb16b2-0547-470f-adef-c79e2dcb7fb7/rendering/02.obj", "nan")</f>
        <v>nan</v>
      </c>
      <c r="F1613" s="3" t="str">
        <f>HYPERLINK(AA2 &amp; "/mouse/3dw_bfcb16b2-0547-470f-adef-c79e2dcb7fb7/rendering/03.obj", "nan")</f>
        <v>nan</v>
      </c>
      <c r="G1613" s="3" t="str">
        <f>HYPERLINK(AA2 &amp; "/mouse/3dw_bfcb16b2-0547-470f-adef-c79e2dcb7fb7/rendering/04.obj", "nan")</f>
        <v>nan</v>
      </c>
      <c r="H1613" s="3" t="str">
        <f>HYPERLINK(AA2 &amp; "/mouse/3dw_bfcb16b2-0547-470f-adef-c79e2dcb7fb7/rendering/05.obj", "nan")</f>
        <v>nan</v>
      </c>
      <c r="I1613" s="3" t="str">
        <f>HYPERLINK(AA2 &amp; "/mouse/3dw_bfcb16b2-0547-470f-adef-c79e2dcb7fb7/rendering/06.obj", "nan")</f>
        <v>nan</v>
      </c>
      <c r="J1613" s="3" t="str">
        <f>HYPERLINK(AA2 &amp; "/mouse/3dw_bfcb16b2-0547-470f-adef-c79e2dcb7fb7/rendering/07.obj", "nan")</f>
        <v>nan</v>
      </c>
      <c r="K1613" s="3" t="str">
        <f>HYPERLINK(AA2 &amp; "/mouse/3dw_bfcb16b2-0547-470f-adef-c79e2dcb7fb7/rendering/08.obj", "nan")</f>
        <v>nan</v>
      </c>
      <c r="L1613" s="3" t="str">
        <f>HYPERLINK(AA2 &amp; "/mouse/3dw_bfcb16b2-0547-470f-adef-c79e2dcb7fb7/rendering/09.obj", "nan")</f>
        <v>nan</v>
      </c>
      <c r="M1613" s="3" t="str">
        <f>HYPERLINK(AA2 &amp; "/mouse/3dw_bfcb16b2-0547-470f-adef-c79e2dcb7fb7/rendering/10.obj", "nan")</f>
        <v>nan</v>
      </c>
      <c r="N1613" s="3" t="str">
        <f>HYPERLINK(AA2 &amp; "/mouse/3dw_bfcb16b2-0547-470f-adef-c79e2dcb7fb7/rendering/11.obj", "nan")</f>
        <v>nan</v>
      </c>
      <c r="O1613" s="3" t="str">
        <f>HYPERLINK(AA2 &amp; "/mouse/3dw_bfcb16b2-0547-470f-adef-c79e2dcb7fb7/rendering/12.obj", "nan")</f>
        <v>nan</v>
      </c>
      <c r="P1613" s="3" t="str">
        <f>HYPERLINK(AA2 &amp; "/mouse/3dw_bfcb16b2-0547-470f-adef-c79e2dcb7fb7/rendering/13.obj", "nan")</f>
        <v>nan</v>
      </c>
      <c r="Q1613" s="3" t="str">
        <f>HYPERLINK(AA2 &amp; "/mouse/3dw_bfcb16b2-0547-470f-adef-c79e2dcb7fb7/rendering/14.obj", "nan")</f>
        <v>nan</v>
      </c>
      <c r="R1613" s="3" t="str">
        <f>HYPERLINK(AA2 &amp; "/mouse/3dw_bfcb16b2-0547-470f-adef-c79e2dcb7fb7/rendering/15.obj", "nan")</f>
        <v>nan</v>
      </c>
      <c r="S1613" s="163" t="str">
        <f>HYPERLINK(AA2 &amp; "/mouse/3dw_bfcb16b2-0547-470f-adef-c79e2dcb7fb7/rendering/16.obj", "2.7447514534")</f>
        <v>2.7447514534</v>
      </c>
      <c r="T1613" s="43" t="str">
        <f>HYPERLINK(AA2 &amp; "/mouse/3dw_bfcb16b2-0547-470f-adef-c79e2dcb7fb7/rendering/17.obj", "3.06435441971")</f>
        <v>3.06435441971</v>
      </c>
      <c r="U1613" s="15" t="str">
        <f>HYPERLINK(AA2 &amp; "/mouse/3dw_bfcb16b2-0547-470f-adef-c79e2dcb7fb7/rendering/18.obj", "2.42229962349")</f>
        <v>2.42229962349</v>
      </c>
      <c r="V1613" s="20" t="str">
        <f>HYPERLINK(AA2 &amp; "/mouse/3dw_bfcb16b2-0547-470f-adef-c79e2dcb7fb7/rendering/19.obj", "11.4183721542")</f>
        <v>11.4183721542</v>
      </c>
      <c r="W1613" s="12" t="s">
        <v>30</v>
      </c>
      <c r="X1613" s="13">
        <v>4.9124444127082816</v>
      </c>
      <c r="Y1613" s="13">
        <v>3.7630521600595359</v>
      </c>
      <c r="Z1613" s="211">
        <v>0.76602437481525121</v>
      </c>
    </row>
    <row r="1614" spans="1:26" x14ac:dyDescent="0.2">
      <c r="A1614" s="1">
        <v>1612</v>
      </c>
      <c r="B1614" s="2" t="s">
        <v>355</v>
      </c>
      <c r="C1614" s="3" t="str">
        <f>HYPERLINK(AB2 &amp; "/mouse/3dw_bfcb16b2-0547-470f-adef-c79e2dcb7fb7/rendering/00.obj", "nan")</f>
        <v>nan</v>
      </c>
      <c r="D1614" s="3" t="str">
        <f>HYPERLINK(AB2 &amp; "/mouse/3dw_bfcb16b2-0547-470f-adef-c79e2dcb7fb7/rendering/01.obj", "nan")</f>
        <v>nan</v>
      </c>
      <c r="E1614" s="3" t="str">
        <f>HYPERLINK(AB2 &amp; "/mouse/3dw_bfcb16b2-0547-470f-adef-c79e2dcb7fb7/rendering/02.obj", "nan")</f>
        <v>nan</v>
      </c>
      <c r="F1614" s="3" t="str">
        <f>HYPERLINK(AB2 &amp; "/mouse/3dw_bfcb16b2-0547-470f-adef-c79e2dcb7fb7/rendering/03.obj", "nan")</f>
        <v>nan</v>
      </c>
      <c r="G1614" s="3" t="str">
        <f>HYPERLINK(AB2 &amp; "/mouse/3dw_bfcb16b2-0547-470f-adef-c79e2dcb7fb7/rendering/04.obj", "nan")</f>
        <v>nan</v>
      </c>
      <c r="H1614" s="3" t="str">
        <f>HYPERLINK(AB2 &amp; "/mouse/3dw_bfcb16b2-0547-470f-adef-c79e2dcb7fb7/rendering/05.obj", "nan")</f>
        <v>nan</v>
      </c>
      <c r="I1614" s="3" t="str">
        <f>HYPERLINK(AB2 &amp; "/mouse/3dw_bfcb16b2-0547-470f-adef-c79e2dcb7fb7/rendering/06.obj", "nan")</f>
        <v>nan</v>
      </c>
      <c r="J1614" s="3" t="str">
        <f>HYPERLINK(AB2 &amp; "/mouse/3dw_bfcb16b2-0547-470f-adef-c79e2dcb7fb7/rendering/07.obj", "nan")</f>
        <v>nan</v>
      </c>
      <c r="K1614" s="3" t="str">
        <f>HYPERLINK(AB2 &amp; "/mouse/3dw_bfcb16b2-0547-470f-adef-c79e2dcb7fb7/rendering/08.obj", "nan")</f>
        <v>nan</v>
      </c>
      <c r="L1614" s="3" t="str">
        <f>HYPERLINK(AB2 &amp; "/mouse/3dw_bfcb16b2-0547-470f-adef-c79e2dcb7fb7/rendering/09.obj", "nan")</f>
        <v>nan</v>
      </c>
      <c r="M1614" s="3" t="str">
        <f>HYPERLINK(AB2 &amp; "/mouse/3dw_bfcb16b2-0547-470f-adef-c79e2dcb7fb7/rendering/10.obj", "nan")</f>
        <v>nan</v>
      </c>
      <c r="N1614" s="3" t="str">
        <f>HYPERLINK(AB2 &amp; "/mouse/3dw_bfcb16b2-0547-470f-adef-c79e2dcb7fb7/rendering/11.obj", "nan")</f>
        <v>nan</v>
      </c>
      <c r="O1614" s="3" t="str">
        <f>HYPERLINK(AB2 &amp; "/mouse/3dw_bfcb16b2-0547-470f-adef-c79e2dcb7fb7/rendering/12.obj", "nan")</f>
        <v>nan</v>
      </c>
      <c r="P1614" s="3" t="str">
        <f>HYPERLINK(AB2 &amp; "/mouse/3dw_bfcb16b2-0547-470f-adef-c79e2dcb7fb7/rendering/13.obj", "nan")</f>
        <v>nan</v>
      </c>
      <c r="Q1614" s="3" t="str">
        <f>HYPERLINK(AB2 &amp; "/mouse/3dw_bfcb16b2-0547-470f-adef-c79e2dcb7fb7/rendering/14.obj", "nan")</f>
        <v>nan</v>
      </c>
      <c r="R1614" s="3" t="str">
        <f>HYPERLINK(AB2 &amp; "/mouse/3dw_bfcb16b2-0547-470f-adef-c79e2dcb7fb7/rendering/15.obj", "nan")</f>
        <v>nan</v>
      </c>
      <c r="S1614" s="13" t="str">
        <f>HYPERLINK(AB2 &amp; "/mouse/3dw_bfcb16b2-0547-470f-adef-c79e2dcb7fb7/rendering/16.obj", "1.34254638672")</f>
        <v>1.34254638672</v>
      </c>
      <c r="T1614" s="133" t="str">
        <f>HYPERLINK(AB2 &amp; "/mouse/3dw_bfcb16b2-0547-470f-adef-c79e2dcb7fb7/rendering/17.obj", "1.2046572876")</f>
        <v>1.2046572876</v>
      </c>
      <c r="U1614" s="51" t="str">
        <f>HYPERLINK(AB2 &amp; "/mouse/3dw_bfcb16b2-0547-470f-adef-c79e2dcb7fb7/rendering/18.obj", "1.45137588501")</f>
        <v>1.45137588501</v>
      </c>
      <c r="V1614" s="48" t="str">
        <f>HYPERLINK(AB2 &amp; "/mouse/3dw_bfcb16b2-0547-470f-adef-c79e2dcb7fb7/rendering/19.obj", "1.37423339844")</f>
        <v>1.37423339844</v>
      </c>
      <c r="W1614" s="12" t="s">
        <v>31</v>
      </c>
      <c r="X1614" s="13">
        <v>1.3432032394409179</v>
      </c>
      <c r="Y1614" s="13">
        <v>8.9246294382975225E-2</v>
      </c>
      <c r="Z1614" s="41">
        <v>6.644288203185264E-2</v>
      </c>
    </row>
    <row r="1615" spans="1:26" x14ac:dyDescent="0.2">
      <c r="A1615" s="1">
        <v>1613</v>
      </c>
      <c r="B1615" s="2" t="s">
        <v>355</v>
      </c>
      <c r="C1615" s="3" t="str">
        <f>HYPERLINK(AB2 &amp; "/mouse/3dw_bfcb16b2-0547-470f-adef-c79e2dcb7fb7/rendering/00.obj", "nan")</f>
        <v>nan</v>
      </c>
      <c r="D1615" s="3" t="str">
        <f>HYPERLINK(AB2 &amp; "/mouse/3dw_bfcb16b2-0547-470f-adef-c79e2dcb7fb7/rendering/01.obj", "nan")</f>
        <v>nan</v>
      </c>
      <c r="E1615" s="3" t="str">
        <f>HYPERLINK(AB2 &amp; "/mouse/3dw_bfcb16b2-0547-470f-adef-c79e2dcb7fb7/rendering/02.obj", "nan")</f>
        <v>nan</v>
      </c>
      <c r="F1615" s="3" t="str">
        <f>HYPERLINK(AB2 &amp; "/mouse/3dw_bfcb16b2-0547-470f-adef-c79e2dcb7fb7/rendering/03.obj", "nan")</f>
        <v>nan</v>
      </c>
      <c r="G1615" s="3" t="str">
        <f>HYPERLINK(AB2 &amp; "/mouse/3dw_bfcb16b2-0547-470f-adef-c79e2dcb7fb7/rendering/04.obj", "nan")</f>
        <v>nan</v>
      </c>
      <c r="H1615" s="3" t="str">
        <f>HYPERLINK(AB2 &amp; "/mouse/3dw_bfcb16b2-0547-470f-adef-c79e2dcb7fb7/rendering/05.obj", "nan")</f>
        <v>nan</v>
      </c>
      <c r="I1615" s="3" t="str">
        <f>HYPERLINK(AB2 &amp; "/mouse/3dw_bfcb16b2-0547-470f-adef-c79e2dcb7fb7/rendering/06.obj", "nan")</f>
        <v>nan</v>
      </c>
      <c r="J1615" s="3" t="str">
        <f>HYPERLINK(AB2 &amp; "/mouse/3dw_bfcb16b2-0547-470f-adef-c79e2dcb7fb7/rendering/07.obj", "nan")</f>
        <v>nan</v>
      </c>
      <c r="K1615" s="3" t="str">
        <f>HYPERLINK(AB2 &amp; "/mouse/3dw_bfcb16b2-0547-470f-adef-c79e2dcb7fb7/rendering/08.obj", "nan")</f>
        <v>nan</v>
      </c>
      <c r="L1615" s="3" t="str">
        <f>HYPERLINK(AB2 &amp; "/mouse/3dw_bfcb16b2-0547-470f-adef-c79e2dcb7fb7/rendering/09.obj", "nan")</f>
        <v>nan</v>
      </c>
      <c r="M1615" s="3" t="str">
        <f>HYPERLINK(AB2 &amp; "/mouse/3dw_bfcb16b2-0547-470f-adef-c79e2dcb7fb7/rendering/10.obj", "nan")</f>
        <v>nan</v>
      </c>
      <c r="N1615" s="3" t="str">
        <f>HYPERLINK(AB2 &amp; "/mouse/3dw_bfcb16b2-0547-470f-adef-c79e2dcb7fb7/rendering/11.obj", "nan")</f>
        <v>nan</v>
      </c>
      <c r="O1615" s="3" t="str">
        <f>HYPERLINK(AB2 &amp; "/mouse/3dw_bfcb16b2-0547-470f-adef-c79e2dcb7fb7/rendering/12.obj", "nan")</f>
        <v>nan</v>
      </c>
      <c r="P1615" s="3" t="str">
        <f>HYPERLINK(AB2 &amp; "/mouse/3dw_bfcb16b2-0547-470f-adef-c79e2dcb7fb7/rendering/13.obj", "nan")</f>
        <v>nan</v>
      </c>
      <c r="Q1615" s="3" t="str">
        <f>HYPERLINK(AB2 &amp; "/mouse/3dw_bfcb16b2-0547-470f-adef-c79e2dcb7fb7/rendering/14.obj", "nan")</f>
        <v>nan</v>
      </c>
      <c r="R1615" s="3" t="str">
        <f>HYPERLINK(AB2 &amp; "/mouse/3dw_bfcb16b2-0547-470f-adef-c79e2dcb7fb7/rendering/15.obj", "nan")</f>
        <v>nan</v>
      </c>
      <c r="S1615" s="35" t="str">
        <f>HYPERLINK(AB2 &amp; "/mouse/3dw_bfcb16b2-0547-470f-adef-c79e2dcb7fb7/rendering/16.obj", "3.26960754395")</f>
        <v>3.26960754395</v>
      </c>
      <c r="T1615" s="55" t="str">
        <f>HYPERLINK(AB2 &amp; "/mouse/3dw_bfcb16b2-0547-470f-adef-c79e2dcb7fb7/rendering/17.obj", "2.49912524223")</f>
        <v>2.49912524223</v>
      </c>
      <c r="U1615" s="32" t="str">
        <f>HYPERLINK(AB2 &amp; "/mouse/3dw_bfcb16b2-0547-470f-adef-c79e2dcb7fb7/rendering/18.obj", "3.41461896896")</f>
        <v>3.41461896896</v>
      </c>
      <c r="V1615" s="69" t="str">
        <f>HYPERLINK(AB2 &amp; "/mouse/3dw_bfcb16b2-0547-470f-adef-c79e2dcb7fb7/rendering/19.obj", "3.19048166275")</f>
        <v>3.19048166275</v>
      </c>
      <c r="W1615" s="12" t="s">
        <v>32</v>
      </c>
      <c r="X1615" s="13">
        <v>3.093458354473114</v>
      </c>
      <c r="Y1615" s="13">
        <v>0.35242660509152979</v>
      </c>
      <c r="Z1615" s="106">
        <v>0.1139264100911279</v>
      </c>
    </row>
    <row r="1616" spans="1:26" x14ac:dyDescent="0.2">
      <c r="A1616" s="1">
        <v>1614</v>
      </c>
      <c r="B1616" s="2" t="s">
        <v>355</v>
      </c>
      <c r="C1616" s="13" t="str">
        <f>HYPERLINK(AC2 &amp; "/mouse/3dw_bfcb16b2-0547-470f-adef-c79e2dcb7fb7/rendering/00.xyz", "0.0")</f>
        <v>0.0</v>
      </c>
      <c r="D1616" s="13" t="str">
        <f>HYPERLINK(AC2 &amp; "/mouse/3dw_bfcb16b2-0547-470f-adef-c79e2dcb7fb7/rendering/01.xyz", "0.0")</f>
        <v>0.0</v>
      </c>
      <c r="E1616" s="13" t="str">
        <f>HYPERLINK(AC2 &amp; "/mouse/3dw_bfcb16b2-0547-470f-adef-c79e2dcb7fb7/rendering/02.xyz", "0.0")</f>
        <v>0.0</v>
      </c>
      <c r="F1616" s="13" t="str">
        <f>HYPERLINK(AC2 &amp; "/mouse/3dw_bfcb16b2-0547-470f-adef-c79e2dcb7fb7/rendering/03.xyz", "0.0")</f>
        <v>0.0</v>
      </c>
      <c r="G1616" s="13" t="str">
        <f>HYPERLINK(AC2 &amp; "/mouse/3dw_bfcb16b2-0547-470f-adef-c79e2dcb7fb7/rendering/04.xyz", "0.0")</f>
        <v>0.0</v>
      </c>
      <c r="H1616" s="13" t="str">
        <f>HYPERLINK(AC2 &amp; "/mouse/3dw_bfcb16b2-0547-470f-adef-c79e2dcb7fb7/rendering/05.xyz", "0.0")</f>
        <v>0.0</v>
      </c>
      <c r="I1616" s="13" t="str">
        <f>HYPERLINK(AC2 &amp; "/mouse/3dw_bfcb16b2-0547-470f-adef-c79e2dcb7fb7/rendering/06.xyz", "0.0")</f>
        <v>0.0</v>
      </c>
      <c r="J1616" s="13" t="str">
        <f>HYPERLINK(AC2 &amp; "/mouse/3dw_bfcb16b2-0547-470f-adef-c79e2dcb7fb7/rendering/07.xyz", "0.0")</f>
        <v>0.0</v>
      </c>
      <c r="K1616" s="13" t="str">
        <f>HYPERLINK(AC2 &amp; "/mouse/3dw_bfcb16b2-0547-470f-adef-c79e2dcb7fb7/rendering/08.xyz", "0.0")</f>
        <v>0.0</v>
      </c>
      <c r="L1616" s="13" t="str">
        <f>HYPERLINK(AC2 &amp; "/mouse/3dw_bfcb16b2-0547-470f-adef-c79e2dcb7fb7/rendering/09.xyz", "0.0")</f>
        <v>0.0</v>
      </c>
      <c r="M1616" s="13" t="str">
        <f>HYPERLINK(AC2 &amp; "/mouse/3dw_bfcb16b2-0547-470f-adef-c79e2dcb7fb7/rendering/10.xyz", "0.0")</f>
        <v>0.0</v>
      </c>
      <c r="N1616" s="13" t="str">
        <f>HYPERLINK(AC2 &amp; "/mouse/3dw_bfcb16b2-0547-470f-adef-c79e2dcb7fb7/rendering/11.xyz", "0.0")</f>
        <v>0.0</v>
      </c>
      <c r="O1616" s="13" t="str">
        <f>HYPERLINK(AC2 &amp; "/mouse/3dw_bfcb16b2-0547-470f-adef-c79e2dcb7fb7/rendering/12.xyz", "0.0")</f>
        <v>0.0</v>
      </c>
      <c r="P1616" s="13" t="str">
        <f>HYPERLINK(AC2 &amp; "/mouse/3dw_bfcb16b2-0547-470f-adef-c79e2dcb7fb7/rendering/13.xyz", "0.0")</f>
        <v>0.0</v>
      </c>
      <c r="Q1616" s="13" t="str">
        <f>HYPERLINK(AC2 &amp; "/mouse/3dw_bfcb16b2-0547-470f-adef-c79e2dcb7fb7/rendering/14.xyz", "0.0")</f>
        <v>0.0</v>
      </c>
      <c r="R1616" s="13" t="str">
        <f>HYPERLINK(AC2 &amp; "/mouse/3dw_bfcb16b2-0547-470f-adef-c79e2dcb7fb7/rendering/15.xyz", "0.0")</f>
        <v>0.0</v>
      </c>
      <c r="S1616" s="13" t="str">
        <f>HYPERLINK(AC2 &amp; "/mouse/3dw_bfcb16b2-0547-470f-adef-c79e2dcb7fb7/rendering/16.xyz", "0.0")</f>
        <v>0.0</v>
      </c>
      <c r="T1616" s="13" t="str">
        <f>HYPERLINK(AC2 &amp; "/mouse/3dw_bfcb16b2-0547-470f-adef-c79e2dcb7fb7/rendering/17.xyz", "0.0")</f>
        <v>0.0</v>
      </c>
      <c r="U1616" s="13" t="str">
        <f>HYPERLINK(AC2 &amp; "/mouse/3dw_bfcb16b2-0547-470f-adef-c79e2dcb7fb7/rendering/18.xyz", "0.0")</f>
        <v>0.0</v>
      </c>
      <c r="V1616" s="13" t="str">
        <f>HYPERLINK(AC2 &amp; "/mouse/3dw_bfcb16b2-0547-470f-adef-c79e2dcb7fb7/rendering/19.xyz", "0.0")</f>
        <v>0.0</v>
      </c>
      <c r="W1616" s="12" t="s">
        <v>33</v>
      </c>
      <c r="X1616" s="13">
        <v>0</v>
      </c>
      <c r="Y1616" s="13">
        <v>0</v>
      </c>
      <c r="Z1616" s="13">
        <v>0</v>
      </c>
    </row>
    <row r="1617" spans="1:26" x14ac:dyDescent="0.2">
      <c r="A1617" s="1">
        <v>1615</v>
      </c>
      <c r="B1617" s="2" t="s">
        <v>356</v>
      </c>
      <c r="C1617" s="191" t="str">
        <f>HYPERLINK(AA2 &amp; "/mouse/3dw_bfce62cc-0b7f-4f06-a302-acb6191ea490/rendering/00.obj", "1.40724945068")</f>
        <v>1.40724945068</v>
      </c>
      <c r="D1617" s="95" t="str">
        <f>HYPERLINK(AA2 &amp; "/mouse/3dw_bfce62cc-0b7f-4f06-a302-acb6191ea490/rendering/01.obj", "1.84974258423")</f>
        <v>1.84974258423</v>
      </c>
      <c r="E1617" s="122" t="str">
        <f>HYPERLINK(AA2 &amp; "/mouse/3dw_bfce62cc-0b7f-4f06-a302-acb6191ea490/rendering/02.obj", "1.53108428955")</f>
        <v>1.53108428955</v>
      </c>
      <c r="F1617" s="26" t="str">
        <f>HYPERLINK(AA2 &amp; "/mouse/3dw_bfce62cc-0b7f-4f06-a302-acb6191ea490/rendering/03.obj", "2.72880310059")</f>
        <v>2.72880310059</v>
      </c>
      <c r="G1617" s="77" t="str">
        <f>HYPERLINK(AA2 &amp; "/mouse/3dw_bfce62cc-0b7f-4f06-a302-acb6191ea490/rendering/04.obj", "2.09196899414")</f>
        <v>2.09196899414</v>
      </c>
      <c r="H1617" s="38" t="str">
        <f>HYPERLINK(AA2 &amp; "/mouse/3dw_bfce62cc-0b7f-4f06-a302-acb6191ea490/rendering/05.obj", "2.79960205078")</f>
        <v>2.79960205078</v>
      </c>
      <c r="I1617" s="28" t="str">
        <f>HYPERLINK(AA2 &amp; "/mouse/3dw_bfce62cc-0b7f-4f06-a302-acb6191ea490/rendering/06.obj", "2.28202880859")</f>
        <v>2.28202880859</v>
      </c>
      <c r="J1617" s="20" t="str">
        <f>HYPERLINK(AA2 &amp; "/mouse/3dw_bfce62cc-0b7f-4f06-a302-acb6191ea490/rendering/07.obj", "7.12203613281")</f>
        <v>7.12203613281</v>
      </c>
      <c r="K1617" s="33" t="str">
        <f>HYPERLINK(AA2 &amp; "/mouse/3dw_bfce62cc-0b7f-4f06-a302-acb6191ea490/rendering/08.obj", "2.84523132324")</f>
        <v>2.84523132324</v>
      </c>
      <c r="L1617" s="156" t="str">
        <f>HYPERLINK(AA2 &amp; "/mouse/3dw_bfce62cc-0b7f-4f06-a302-acb6191ea490/rendering/09.obj", "1.42101409912")</f>
        <v>1.42101409912</v>
      </c>
      <c r="M1617" s="61" t="str">
        <f>HYPERLINK(AA2 &amp; "/mouse/3dw_bfce62cc-0b7f-4f06-a302-acb6191ea490/rendering/10.obj", "3.34266937256")</f>
        <v>3.34266937256</v>
      </c>
      <c r="N1617" s="118" t="str">
        <f>HYPERLINK(AA2 &amp; "/mouse/3dw_bfce62cc-0b7f-4f06-a302-acb6191ea490/rendering/11.obj", "1.81360900879")</f>
        <v>1.81360900879</v>
      </c>
      <c r="O1617" s="136" t="str">
        <f>HYPERLINK(AA2 &amp; "/mouse/3dw_bfce62cc-0b7f-4f06-a302-acb6191ea490/rendering/12.obj", "1.96291595459")</f>
        <v>1.96291595459</v>
      </c>
      <c r="P1617" s="17" t="str">
        <f>HYPERLINK(AA2 &amp; "/mouse/3dw_bfce62cc-0b7f-4f06-a302-acb6191ea490/rendering/13.obj", "2.51593902588")</f>
        <v>2.51593902588</v>
      </c>
      <c r="Q1617" s="35" t="str">
        <f>HYPERLINK(AA2 &amp; "/mouse/3dw_bfce62cc-0b7f-4f06-a302-acb6191ea490/rendering/14.obj", "2.42133895874")</f>
        <v>2.42133895874</v>
      </c>
      <c r="R1617" s="134" t="str">
        <f>HYPERLINK(AA2 &amp; "/mouse/3dw_bfce62cc-0b7f-4f06-a302-acb6191ea490/rendering/15.obj", "2.1047454834")</f>
        <v>2.1047454834</v>
      </c>
      <c r="S1617" s="54" t="str">
        <f>HYPERLINK(AA2 &amp; "/mouse/3dw_bfce62cc-0b7f-4f06-a302-acb6191ea490/rendering/16.obj", "3.41117675781")</f>
        <v>3.41117675781</v>
      </c>
      <c r="T1617" s="92" t="str">
        <f>HYPERLINK(AA2 &amp; "/mouse/3dw_bfce62cc-0b7f-4f06-a302-acb6191ea490/rendering/17.obj", "2.25120620728")</f>
        <v>2.25120620728</v>
      </c>
      <c r="U1617" s="84" t="str">
        <f>HYPERLINK(AA2 &amp; "/mouse/3dw_bfce62cc-0b7f-4f06-a302-acb6191ea490/rendering/18.obj", "2.19467056274")</f>
        <v>2.19467056274</v>
      </c>
      <c r="V1617" s="119" t="str">
        <f>HYPERLINK(AA2 &amp; "/mouse/3dw_bfce62cc-0b7f-4f06-a302-acb6191ea490/rendering/19.obj", "3.24772186279")</f>
        <v>3.24772186279</v>
      </c>
      <c r="W1617" s="12" t="s">
        <v>29</v>
      </c>
      <c r="X1617" s="13">
        <v>2.5672377014160159</v>
      </c>
      <c r="Y1617" s="13">
        <v>1.196763363473766</v>
      </c>
      <c r="Z1617" s="203">
        <v>0.46616772681924451</v>
      </c>
    </row>
    <row r="1618" spans="1:26" x14ac:dyDescent="0.2">
      <c r="A1618" s="1">
        <v>1616</v>
      </c>
      <c r="B1618" s="2" t="s">
        <v>356</v>
      </c>
      <c r="C1618" s="147" t="str">
        <f>HYPERLINK(AA2 &amp; "/mouse/3dw_bfce62cc-0b7f-4f06-a302-acb6191ea490/rendering/00.obj", "2.25800728798")</f>
        <v>2.25800728798</v>
      </c>
      <c r="D1618" s="128" t="str">
        <f>HYPERLINK(AA2 &amp; "/mouse/3dw_bfce62cc-0b7f-4f06-a302-acb6191ea490/rendering/01.obj", "2.68116641045")</f>
        <v>2.68116641045</v>
      </c>
      <c r="E1618" s="132" t="str">
        <f>HYPERLINK(AA2 &amp; "/mouse/3dw_bfce62cc-0b7f-4f06-a302-acb6191ea490/rendering/02.obj", "2.56025505066")</f>
        <v>2.56025505066</v>
      </c>
      <c r="F1618" s="129" t="str">
        <f>HYPERLINK(AA2 &amp; "/mouse/3dw_bfce62cc-0b7f-4f06-a302-acb6191ea490/rendering/03.obj", "3.30183458328")</f>
        <v>3.30183458328</v>
      </c>
      <c r="G1618" s="178" t="str">
        <f>HYPERLINK(AA2 &amp; "/mouse/3dw_bfce62cc-0b7f-4f06-a302-acb6191ea490/rendering/04.obj", "1.55051469803")</f>
        <v>1.55051469803</v>
      </c>
      <c r="H1618" s="34" t="str">
        <f>HYPERLINK(AA2 &amp; "/mouse/3dw_bfce62cc-0b7f-4f06-a302-acb6191ea490/rendering/05.obj", "4.18856954575")</f>
        <v>4.18856954575</v>
      </c>
      <c r="I1618" s="35" t="str">
        <f>HYPERLINK(AA2 &amp; "/mouse/3dw_bfce62cc-0b7f-4f06-a302-acb6191ea490/rendering/06.obj", "4.14106178284")</f>
        <v>4.14106178284</v>
      </c>
      <c r="J1618" s="20" t="str">
        <f>HYPERLINK(AA2 &amp; "/mouse/3dw_bfce62cc-0b7f-4f06-a302-acb6191ea490/rendering/07.obj", "20.7559490204")</f>
        <v>20.7559490204</v>
      </c>
      <c r="K1618" s="108" t="str">
        <f>HYPERLINK(AA2 &amp; "/mouse/3dw_bfce62cc-0b7f-4f06-a302-acb6191ea490/rendering/08.obj", "5.49305868149")</f>
        <v>5.49305868149</v>
      </c>
      <c r="L1618" s="244" t="str">
        <f>HYPERLINK(AA2 &amp; "/mouse/3dw_bfce62cc-0b7f-4f06-a302-acb6191ea490/rendering/09.obj", "1.70098161697")</f>
        <v>1.70098161697</v>
      </c>
      <c r="M1618" s="223" t="str">
        <f>HYPERLINK(AA2 &amp; "/mouse/3dw_bfce62cc-0b7f-4f06-a302-acb6191ea490/rendering/10.obj", "6.87116336823")</f>
        <v>6.87116336823</v>
      </c>
      <c r="N1618" s="167" t="str">
        <f>HYPERLINK(AA2 &amp; "/mouse/3dw_bfce62cc-0b7f-4f06-a302-acb6191ea490/rendering/11.obj", "1.74308586121")</f>
        <v>1.74308586121</v>
      </c>
      <c r="O1618" s="177" t="str">
        <f>HYPERLINK(AA2 &amp; "/mouse/3dw_bfce62cc-0b7f-4f06-a302-acb6191ea490/rendering/12.obj", "2.05193948746")</f>
        <v>2.05193948746</v>
      </c>
      <c r="P1618" s="103" t="str">
        <f>HYPERLINK(AA2 &amp; "/mouse/3dw_bfce62cc-0b7f-4f06-a302-acb6191ea490/rendering/13.obj", "2.96953749657")</f>
        <v>2.96953749657</v>
      </c>
      <c r="Q1618" s="230" t="str">
        <f>HYPERLINK(AA2 &amp; "/mouse/3dw_bfce62cc-0b7f-4f06-a302-acb6191ea490/rendering/14.obj", "6.40802431107")</f>
        <v>6.40802431107</v>
      </c>
      <c r="R1618" s="30" t="str">
        <f>HYPERLINK(AA2 &amp; "/mouse/3dw_bfce62cc-0b7f-4f06-a302-acb6191ea490/rendering/15.obj", "4.42735671997")</f>
        <v>4.42735671997</v>
      </c>
      <c r="S1618" s="122" t="str">
        <f>HYPERLINK(AA2 &amp; "/mouse/3dw_bfce62cc-0b7f-4f06-a302-acb6191ea490/rendering/16.obj", "6.17602968216")</f>
        <v>6.17602968216</v>
      </c>
      <c r="T1618" s="43" t="str">
        <f>HYPERLINK(AA2 &amp; "/mouse/3dw_bfce62cc-0b7f-4f06-a302-acb6191ea490/rendering/17.obj", "2.75930118561")</f>
        <v>2.75930118561</v>
      </c>
      <c r="U1618" s="75" t="str">
        <f>HYPERLINK(AA2 &amp; "/mouse/3dw_bfce62cc-0b7f-4f06-a302-acb6191ea490/rendering/18.obj", "3.43057370186")</f>
        <v>3.43057370186</v>
      </c>
      <c r="V1618" s="158" t="str">
        <f>HYPERLINK(AA2 &amp; "/mouse/3dw_bfce62cc-0b7f-4f06-a302-acb6191ea490/rendering/19.obj", "2.59689903259")</f>
        <v>2.59689903259</v>
      </c>
      <c r="W1618" s="12" t="s">
        <v>30</v>
      </c>
      <c r="X1618" s="13">
        <v>4.4032654762268066</v>
      </c>
      <c r="Y1618" s="13">
        <v>4.0691295024525971</v>
      </c>
      <c r="Z1618" s="20">
        <v>0.92411632331091398</v>
      </c>
    </row>
    <row r="1619" spans="1:26" x14ac:dyDescent="0.2">
      <c r="A1619" s="1">
        <v>1617</v>
      </c>
      <c r="B1619" s="2" t="s">
        <v>356</v>
      </c>
      <c r="C1619" s="94" t="str">
        <f>HYPERLINK(AB2 &amp; "/mouse/3dw_bfce62cc-0b7f-4f06-a302-acb6191ea490/rendering/00.obj", "1.97996551514")</f>
        <v>1.97996551514</v>
      </c>
      <c r="D1619" s="193" t="str">
        <f>HYPERLINK(AB2 &amp; "/mouse/3dw_bfce62cc-0b7f-4f06-a302-acb6191ea490/rendering/01.obj", "1.43091491699")</f>
        <v>1.43091491699</v>
      </c>
      <c r="E1619" s="193" t="str">
        <f>HYPERLINK(AB2 &amp; "/mouse/3dw_bfce62cc-0b7f-4f06-a302-acb6191ea490/rendering/02.obj", "1.42829803467")</f>
        <v>1.42829803467</v>
      </c>
      <c r="F1619" s="67" t="str">
        <f>HYPERLINK(AB2 &amp; "/mouse/3dw_bfce62cc-0b7f-4f06-a302-acb6191ea490/rendering/03.obj", "2.33673583984")</f>
        <v>2.33673583984</v>
      </c>
      <c r="G1619" s="85" t="str">
        <f>HYPERLINK(AB2 &amp; "/mouse/3dw_bfce62cc-0b7f-4f06-a302-acb6191ea490/rendering/04.obj", "2.77514801025")</f>
        <v>2.77514801025</v>
      </c>
      <c r="H1619" s="70" t="str">
        <f>HYPERLINK(AB2 &amp; "/mouse/3dw_bfce62cc-0b7f-4f06-a302-acb6191ea490/rendering/05.obj", "1.87097625732")</f>
        <v>1.87097625732</v>
      </c>
      <c r="I1619" s="74" t="str">
        <f>HYPERLINK(AB2 &amp; "/mouse/3dw_bfce62cc-0b7f-4f06-a302-acb6191ea490/rendering/06.obj", "2.17324890137")</f>
        <v>2.17324890137</v>
      </c>
      <c r="J1619" s="193" t="str">
        <f>HYPERLINK(AB2 &amp; "/mouse/3dw_bfce62cc-0b7f-4f06-a302-acb6191ea490/rendering/07.obj", "2.84512817383")</f>
        <v>2.84512817383</v>
      </c>
      <c r="K1619" s="23" t="str">
        <f>HYPERLINK(AB2 &amp; "/mouse/3dw_bfce62cc-0b7f-4f06-a302-acb6191ea490/rendering/08.obj", "2.05552078247")</f>
        <v>2.05552078247</v>
      </c>
      <c r="L1619" s="158" t="str">
        <f>HYPERLINK(AB2 &amp; "/mouse/3dw_bfce62cc-0b7f-4f06-a302-acb6191ea490/rendering/09.obj", "1.26655349731")</f>
        <v>1.26655349731</v>
      </c>
      <c r="M1619" s="162" t="str">
        <f>HYPERLINK(AB2 &amp; "/mouse/3dw_bfce62cc-0b7f-4f06-a302-acb6191ea490/rendering/10.obj", "1.22955795288")</f>
        <v>1.22955795288</v>
      </c>
      <c r="N1619" s="138" t="str">
        <f>HYPERLINK(AB2 &amp; "/mouse/3dw_bfce62cc-0b7f-4f06-a302-acb6191ea490/rendering/11.obj", "2.8598147583")</f>
        <v>2.8598147583</v>
      </c>
      <c r="O1619" s="76" t="str">
        <f>HYPERLINK(AB2 &amp; "/mouse/3dw_bfce62cc-0b7f-4f06-a302-acb6191ea490/rendering/12.obj", "2.53023681641")</f>
        <v>2.53023681641</v>
      </c>
      <c r="P1619" s="29" t="str">
        <f>HYPERLINK(AB2 &amp; "/mouse/3dw_bfce62cc-0b7f-4f06-a302-acb6191ea490/rendering/13.obj", "1.85829223633")</f>
        <v>1.85829223633</v>
      </c>
      <c r="Q1619" s="85" t="str">
        <f>HYPERLINK(AB2 &amp; "/mouse/3dw_bfce62cc-0b7f-4f06-a302-acb6191ea490/rendering/14.obj", "2.77290405273")</f>
        <v>2.77290405273</v>
      </c>
      <c r="R1619" s="83" t="str">
        <f>HYPERLINK(AB2 &amp; "/mouse/3dw_bfce62cc-0b7f-4f06-a302-acb6191ea490/rendering/15.obj", "2.46666946411")</f>
        <v>2.46666946411</v>
      </c>
      <c r="S1619" s="8" t="str">
        <f>HYPERLINK(AB2 &amp; "/mouse/3dw_bfce62cc-0b7f-4f06-a302-acb6191ea490/rendering/16.obj", "1.83494018555")</f>
        <v>1.83494018555</v>
      </c>
      <c r="T1619" s="82" t="str">
        <f>HYPERLINK(AB2 &amp; "/mouse/3dw_bfce62cc-0b7f-4f06-a302-acb6191ea490/rendering/17.obj", "2.58122802734")</f>
        <v>2.58122802734</v>
      </c>
      <c r="U1619" s="40" t="str">
        <f>HYPERLINK(AB2 &amp; "/mouse/3dw_bfce62cc-0b7f-4f06-a302-acb6191ea490/rendering/18.obj", "2.50343658447")</f>
        <v>2.50343658447</v>
      </c>
      <c r="V1619" s="41" t="str">
        <f>HYPERLINK(AB2 &amp; "/mouse/3dw_bfce62cc-0b7f-4f06-a302-acb6191ea490/rendering/19.obj", "1.99544998169")</f>
        <v>1.99544998169</v>
      </c>
      <c r="W1619" s="12" t="s">
        <v>31</v>
      </c>
      <c r="X1619" s="13">
        <v>2.1397509994506838</v>
      </c>
      <c r="Y1619" s="13">
        <v>0.51693649054195667</v>
      </c>
      <c r="Z1619" s="58">
        <v>0.24158721770648281</v>
      </c>
    </row>
    <row r="1620" spans="1:26" x14ac:dyDescent="0.2">
      <c r="A1620" s="1">
        <v>1618</v>
      </c>
      <c r="B1620" s="2" t="s">
        <v>356</v>
      </c>
      <c r="C1620" s="90" t="str">
        <f>HYPERLINK(AB2 &amp; "/mouse/3dw_bfce62cc-0b7f-4f06-a302-acb6191ea490/rendering/00.obj", "1.77465105057")</f>
        <v>1.77465105057</v>
      </c>
      <c r="D1620" s="63" t="str">
        <f>HYPERLINK(AB2 &amp; "/mouse/3dw_bfce62cc-0b7f-4f06-a302-acb6191ea490/rendering/01.obj", "1.72601556778")</f>
        <v>1.72601556778</v>
      </c>
      <c r="E1620" s="88" t="str">
        <f>HYPERLINK(AB2 &amp; "/mouse/3dw_bfce62cc-0b7f-4f06-a302-acb6191ea490/rendering/02.obj", "1.56477212906")</f>
        <v>1.56477212906</v>
      </c>
      <c r="F1620" s="121" t="str">
        <f>HYPERLINK(AB2 &amp; "/mouse/3dw_bfce62cc-0b7f-4f06-a302-acb6191ea490/rendering/03.obj", "2.65857243538")</f>
        <v>2.65857243538</v>
      </c>
      <c r="G1620" s="23" t="str">
        <f>HYPERLINK(AB2 &amp; "/mouse/3dw_bfce62cc-0b7f-4f06-a302-acb6191ea490/rendering/04.obj", "1.88438367844")</f>
        <v>1.88438367844</v>
      </c>
      <c r="H1620" s="134" t="str">
        <f>HYPERLINK(AB2 &amp; "/mouse/3dw_bfce62cc-0b7f-4f06-a302-acb6191ea490/rendering/05.obj", "1.60637676716")</f>
        <v>1.60637676716</v>
      </c>
      <c r="I1620" s="41" t="str">
        <f>HYPERLINK(AB2 &amp; "/mouse/3dw_bfce62cc-0b7f-4f06-a302-acb6191ea490/rendering/06.obj", "2.092253685")</f>
        <v>2.092253685</v>
      </c>
      <c r="J1620" s="91" t="str">
        <f>HYPERLINK(AB2 &amp; "/mouse/3dw_bfce62cc-0b7f-4f06-a302-acb6191ea490/rendering/07.obj", "1.91076588631")</f>
        <v>1.91076588631</v>
      </c>
      <c r="K1620" s="6" t="str">
        <f>HYPERLINK(AB2 &amp; "/mouse/3dw_bfce62cc-0b7f-4f06-a302-acb6191ea490/rendering/08.obj", "1.87564706802")</f>
        <v>1.87564706802</v>
      </c>
      <c r="L1620" s="93" t="str">
        <f>HYPERLINK(AB2 &amp; "/mouse/3dw_bfce62cc-0b7f-4f06-a302-acb6191ea490/rendering/09.obj", "1.68834114075")</f>
        <v>1.68834114075</v>
      </c>
      <c r="M1620" s="17" t="str">
        <f>HYPERLINK(AB2 &amp; "/mouse/3dw_bfce62cc-0b7f-4f06-a302-acb6191ea490/rendering/10.obj", "2.00372815132")</f>
        <v>2.00372815132</v>
      </c>
      <c r="N1620" s="41" t="str">
        <f>HYPERLINK(AB2 &amp; "/mouse/3dw_bfce62cc-0b7f-4f06-a302-acb6191ea490/rendering/11.obj", "1.83274555206")</f>
        <v>1.83274555206</v>
      </c>
      <c r="O1620" s="43" t="str">
        <f>HYPERLINK(AB2 &amp; "/mouse/3dw_bfce62cc-0b7f-4f06-a302-acb6191ea490/rendering/12.obj", "2.69919323921")</f>
        <v>2.69919323921</v>
      </c>
      <c r="P1620" s="67" t="str">
        <f>HYPERLINK(AB2 &amp; "/mouse/3dw_bfce62cc-0b7f-4f06-a302-acb6191ea490/rendering/13.obj", "2.14245271683")</f>
        <v>2.14245271683</v>
      </c>
      <c r="Q1620" s="33" t="str">
        <f>HYPERLINK(AB2 &amp; "/mouse/3dw_bfce62cc-0b7f-4f06-a302-acb6191ea490/rendering/14.obj", "1.75247657299")</f>
        <v>1.75247657299</v>
      </c>
      <c r="R1620" s="5" t="str">
        <f>HYPERLINK(AB2 &amp; "/mouse/3dw_bfce62cc-0b7f-4f06-a302-acb6191ea490/rendering/15.obj", "1.81261026859")</f>
        <v>1.81261026859</v>
      </c>
      <c r="S1620" s="134" t="str">
        <f>HYPERLINK(AB2 &amp; "/mouse/3dw_bfce62cc-0b7f-4f06-a302-acb6191ea490/rendering/16.obj", "1.60747492313")</f>
        <v>1.60747492313</v>
      </c>
      <c r="T1620" s="212" t="str">
        <f>HYPERLINK(AB2 &amp; "/mouse/3dw_bfce62cc-0b7f-4f06-a302-acb6191ea490/rendering/17.obj", "2.81143808365")</f>
        <v>2.81143808365</v>
      </c>
      <c r="U1620" s="107" t="str">
        <f>HYPERLINK(AB2 &amp; "/mouse/3dw_bfce62cc-0b7f-4f06-a302-acb6191ea490/rendering/18.obj", "2.12444853783")</f>
        <v>2.12444853783</v>
      </c>
      <c r="V1620" s="93" t="str">
        <f>HYPERLINK(AB2 &amp; "/mouse/3dw_bfce62cc-0b7f-4f06-a302-acb6191ea490/rendering/19.obj", "1.69007706642")</f>
        <v>1.69007706642</v>
      </c>
      <c r="W1620" s="12" t="s">
        <v>32</v>
      </c>
      <c r="X1620" s="13">
        <v>1.962921226024628</v>
      </c>
      <c r="Y1620" s="13">
        <v>0.358918559198035</v>
      </c>
      <c r="Z1620" s="76">
        <v>0.18284919152101109</v>
      </c>
    </row>
    <row r="1621" spans="1:26" x14ac:dyDescent="0.2">
      <c r="A1621" s="1">
        <v>1619</v>
      </c>
      <c r="B1621" s="2" t="s">
        <v>356</v>
      </c>
      <c r="C1621" s="13" t="str">
        <f>HYPERLINK(AC2 &amp; "/mouse/3dw_bfce62cc-0b7f-4f06-a302-acb6191ea490/rendering/00.xyz", "0.0")</f>
        <v>0.0</v>
      </c>
      <c r="D1621" s="13" t="str">
        <f>HYPERLINK(AC2 &amp; "/mouse/3dw_bfce62cc-0b7f-4f06-a302-acb6191ea490/rendering/01.xyz", "0.0")</f>
        <v>0.0</v>
      </c>
      <c r="E1621" s="13" t="str">
        <f>HYPERLINK(AC2 &amp; "/mouse/3dw_bfce62cc-0b7f-4f06-a302-acb6191ea490/rendering/02.xyz", "0.0")</f>
        <v>0.0</v>
      </c>
      <c r="F1621" s="13" t="str">
        <f>HYPERLINK(AC2 &amp; "/mouse/3dw_bfce62cc-0b7f-4f06-a302-acb6191ea490/rendering/03.xyz", "0.0")</f>
        <v>0.0</v>
      </c>
      <c r="G1621" s="13" t="str">
        <f>HYPERLINK(AC2 &amp; "/mouse/3dw_bfce62cc-0b7f-4f06-a302-acb6191ea490/rendering/04.xyz", "0.0")</f>
        <v>0.0</v>
      </c>
      <c r="H1621" s="13" t="str">
        <f>HYPERLINK(AC2 &amp; "/mouse/3dw_bfce62cc-0b7f-4f06-a302-acb6191ea490/rendering/05.xyz", "0.0")</f>
        <v>0.0</v>
      </c>
      <c r="I1621" s="13" t="str">
        <f>HYPERLINK(AC2 &amp; "/mouse/3dw_bfce62cc-0b7f-4f06-a302-acb6191ea490/rendering/06.xyz", "0.0")</f>
        <v>0.0</v>
      </c>
      <c r="J1621" s="13" t="str">
        <f>HYPERLINK(AC2 &amp; "/mouse/3dw_bfce62cc-0b7f-4f06-a302-acb6191ea490/rendering/07.xyz", "0.0")</f>
        <v>0.0</v>
      </c>
      <c r="K1621" s="13" t="str">
        <f>HYPERLINK(AC2 &amp; "/mouse/3dw_bfce62cc-0b7f-4f06-a302-acb6191ea490/rendering/08.xyz", "0.0")</f>
        <v>0.0</v>
      </c>
      <c r="L1621" s="13" t="str">
        <f>HYPERLINK(AC2 &amp; "/mouse/3dw_bfce62cc-0b7f-4f06-a302-acb6191ea490/rendering/09.xyz", "0.0")</f>
        <v>0.0</v>
      </c>
      <c r="M1621" s="13" t="str">
        <f>HYPERLINK(AC2 &amp; "/mouse/3dw_bfce62cc-0b7f-4f06-a302-acb6191ea490/rendering/10.xyz", "0.0")</f>
        <v>0.0</v>
      </c>
      <c r="N1621" s="13" t="str">
        <f>HYPERLINK(AC2 &amp; "/mouse/3dw_bfce62cc-0b7f-4f06-a302-acb6191ea490/rendering/11.xyz", "0.0")</f>
        <v>0.0</v>
      </c>
      <c r="O1621" s="13" t="str">
        <f>HYPERLINK(AC2 &amp; "/mouse/3dw_bfce62cc-0b7f-4f06-a302-acb6191ea490/rendering/12.xyz", "0.0")</f>
        <v>0.0</v>
      </c>
      <c r="P1621" s="13" t="str">
        <f>HYPERLINK(AC2 &amp; "/mouse/3dw_bfce62cc-0b7f-4f06-a302-acb6191ea490/rendering/13.xyz", "0.0")</f>
        <v>0.0</v>
      </c>
      <c r="Q1621" s="13" t="str">
        <f>HYPERLINK(AC2 &amp; "/mouse/3dw_bfce62cc-0b7f-4f06-a302-acb6191ea490/rendering/14.xyz", "0.0")</f>
        <v>0.0</v>
      </c>
      <c r="R1621" s="13" t="str">
        <f>HYPERLINK(AC2 &amp; "/mouse/3dw_bfce62cc-0b7f-4f06-a302-acb6191ea490/rendering/15.xyz", "0.0")</f>
        <v>0.0</v>
      </c>
      <c r="S1621" s="13" t="str">
        <f>HYPERLINK(AC2 &amp; "/mouse/3dw_bfce62cc-0b7f-4f06-a302-acb6191ea490/rendering/16.xyz", "0.0")</f>
        <v>0.0</v>
      </c>
      <c r="T1621" s="13" t="str">
        <f>HYPERLINK(AC2 &amp; "/mouse/3dw_bfce62cc-0b7f-4f06-a302-acb6191ea490/rendering/17.xyz", "0.0")</f>
        <v>0.0</v>
      </c>
      <c r="U1621" s="13" t="str">
        <f>HYPERLINK(AC2 &amp; "/mouse/3dw_bfce62cc-0b7f-4f06-a302-acb6191ea490/rendering/18.xyz", "0.0")</f>
        <v>0.0</v>
      </c>
      <c r="V1621" s="13" t="str">
        <f>HYPERLINK(AC2 &amp; "/mouse/3dw_bfce62cc-0b7f-4f06-a302-acb6191ea490/rendering/19.xyz", "0.0")</f>
        <v>0.0</v>
      </c>
      <c r="W1621" s="12" t="s">
        <v>33</v>
      </c>
      <c r="X1621" s="13">
        <v>0</v>
      </c>
      <c r="Y1621" s="13">
        <v>0</v>
      </c>
      <c r="Z1621" s="13">
        <v>0</v>
      </c>
    </row>
    <row r="1622" spans="1:26" x14ac:dyDescent="0.2">
      <c r="A1622" s="1">
        <v>1620</v>
      </c>
      <c r="B1622" s="2" t="s">
        <v>357</v>
      </c>
      <c r="C1622" s="130" t="str">
        <f>HYPERLINK(AA2 &amp; "/mouse/3dw_c9182edf-d969-48b8-9335-2bec694a5e45/rendering/00.obj", "0.900634994507")</f>
        <v>0.900634994507</v>
      </c>
      <c r="D1622" s="61" t="str">
        <f>HYPERLINK(AA2 &amp; "/mouse/3dw_c9182edf-d969-48b8-9335-2bec694a5e45/rendering/01.obj", "1.1431137085")</f>
        <v>1.1431137085</v>
      </c>
      <c r="E1622" s="154" t="str">
        <f>HYPERLINK(AA2 &amp; "/mouse/3dw_c9182edf-d969-48b8-9335-2bec694a5e45/rendering/02.obj", "2.86333496094")</f>
        <v>2.86333496094</v>
      </c>
      <c r="F1622" s="98" t="str">
        <f>HYPERLINK(AA2 &amp; "/mouse/3dw_c9182edf-d969-48b8-9335-2bec694a5e45/rendering/03.obj", "1.26124610901")</f>
        <v>1.26124610901</v>
      </c>
      <c r="G1622" s="20" t="str">
        <f>HYPERLINK(AA2 &amp; "/mouse/3dw_c9182edf-d969-48b8-9335-2bec694a5e45/rendering/04.obj", "4.08183959961")</f>
        <v>4.08183959961</v>
      </c>
      <c r="H1622" s="98" t="str">
        <f>HYPERLINK(AA2 &amp; "/mouse/3dw_c9182edf-d969-48b8-9335-2bec694a5e45/rendering/05.obj", "1.26205718994")</f>
        <v>1.26205718994</v>
      </c>
      <c r="I1622" s="176" t="str">
        <f>HYPERLINK(AA2 &amp; "/mouse/3dw_c9182edf-d969-48b8-9335-2bec694a5e45/rendering/06.obj", "1.12069488525")</f>
        <v>1.12069488525</v>
      </c>
      <c r="J1622" s="56" t="str">
        <f>HYPERLINK(AA2 &amp; "/mouse/3dw_c9182edf-d969-48b8-9335-2bec694a5e45/rendering/07.obj", "1.13272155762")</f>
        <v>1.13272155762</v>
      </c>
      <c r="K1622" s="90" t="str">
        <f>HYPERLINK(AA2 &amp; "/mouse/3dw_c9182edf-d969-48b8-9335-2bec694a5e45/rendering/08.obj", "1.4838609314")</f>
        <v>1.4838609314</v>
      </c>
      <c r="L1622" s="97" t="str">
        <f>HYPERLINK(AA2 &amp; "/mouse/3dw_c9182edf-d969-48b8-9335-2bec694a5e45/rendering/09.obj", "0.929213638306")</f>
        <v>0.929213638306</v>
      </c>
      <c r="M1622" s="227" t="str">
        <f>HYPERLINK(AA2 &amp; "/mouse/3dw_c9182edf-d969-48b8-9335-2bec694a5e45/rendering/10.obj", "0.80651802063")</f>
        <v>0.80651802063</v>
      </c>
      <c r="N1622" s="157" t="str">
        <f>HYPERLINK(AA2 &amp; "/mouse/3dw_c9182edf-d969-48b8-9335-2bec694a5e45/rendering/11.obj", "2.32694976807")</f>
        <v>2.32694976807</v>
      </c>
      <c r="O1622" s="48" t="str">
        <f>HYPERLINK(AA2 &amp; "/mouse/3dw_c9182edf-d969-48b8-9335-2bec694a5e45/rendering/12.obj", "1.6052444458")</f>
        <v>1.6052444458</v>
      </c>
      <c r="P1622" s="94" t="str">
        <f>HYPERLINK(AA2 &amp; "/mouse/3dw_c9182edf-d969-48b8-9335-2bec694a5e45/rendering/13.obj", "1.76309967041")</f>
        <v>1.76309967041</v>
      </c>
      <c r="Q1622" s="94" t="str">
        <f>HYPERLINK(AA2 &amp; "/mouse/3dw_c9182edf-d969-48b8-9335-2bec694a5e45/rendering/14.obj", "1.52154159546")</f>
        <v>1.52154159546</v>
      </c>
      <c r="R1622" s="90" t="str">
        <f>HYPERLINK(AA2 &amp; "/mouse/3dw_c9182edf-d969-48b8-9335-2bec694a5e45/rendering/15.obj", "1.80161239624")</f>
        <v>1.80161239624</v>
      </c>
      <c r="S1622" s="193" t="str">
        <f>HYPERLINK(AA2 &amp; "/mouse/3dw_c9182edf-d969-48b8-9335-2bec694a5e45/rendering/16.obj", "1.09904998779")</f>
        <v>1.09904998779</v>
      </c>
      <c r="T1622" s="126" t="str">
        <f>HYPERLINK(AA2 &amp; "/mouse/3dw_c9182edf-d969-48b8-9335-2bec694a5e45/rendering/17.obj", "2.4656362915")</f>
        <v>2.4656362915</v>
      </c>
      <c r="U1622" s="162" t="str">
        <f>HYPERLINK(AA2 &amp; "/mouse/3dw_c9182edf-d969-48b8-9335-2bec694a5e45/rendering/18.obj", "2.33803878784")</f>
        <v>2.33803878784</v>
      </c>
      <c r="V1622" s="179" t="str">
        <f>HYPERLINK(AA2 &amp; "/mouse/3dw_c9182edf-d969-48b8-9335-2bec694a5e45/rendering/19.obj", "0.936372375488")</f>
        <v>0.936372375488</v>
      </c>
      <c r="W1622" s="12" t="s">
        <v>29</v>
      </c>
      <c r="X1622" s="13">
        <v>1.642139045715332</v>
      </c>
      <c r="Y1622" s="13">
        <v>0.79922625455761487</v>
      </c>
      <c r="Z1622" s="147">
        <v>0.4866982833414476</v>
      </c>
    </row>
    <row r="1623" spans="1:26" x14ac:dyDescent="0.2">
      <c r="A1623" s="1">
        <v>1621</v>
      </c>
      <c r="B1623" s="2" t="s">
        <v>357</v>
      </c>
      <c r="C1623" s="150" t="str">
        <f>HYPERLINK(AA2 &amp; "/mouse/3dw_c9182edf-d969-48b8-9335-2bec694a5e45/rendering/00.obj", "4.2278046608")</f>
        <v>4.2278046608</v>
      </c>
      <c r="D1623" s="171" t="str">
        <f>HYPERLINK(AA2 &amp; "/mouse/3dw_c9182edf-d969-48b8-9335-2bec694a5e45/rendering/01.obj", "6.36822271347")</f>
        <v>6.36822271347</v>
      </c>
      <c r="E1623" s="179" t="str">
        <f>HYPERLINK(AA2 &amp; "/mouse/3dw_c9182edf-d969-48b8-9335-2bec694a5e45/rendering/02.obj", "13.0701274872")</f>
        <v>13.0701274872</v>
      </c>
      <c r="F1623" s="129" t="str">
        <f>HYPERLINK(AA2 &amp; "/mouse/3dw_c9182edf-d969-48b8-9335-2bec694a5e45/rendering/03.obj", "6.8688492775")</f>
        <v>6.8688492775</v>
      </c>
      <c r="G1623" s="20" t="str">
        <f>HYPERLINK(AA2 &amp; "/mouse/3dw_c9182edf-d969-48b8-9335-2bec694a5e45/rendering/04.obj", "26.5251274109")</f>
        <v>26.5251274109</v>
      </c>
      <c r="H1623" s="76" t="str">
        <f>HYPERLINK(AA2 &amp; "/mouse/3dw_c9182edf-d969-48b8-9335-2bec694a5e45/rendering/05.obj", "7.46831083298")</f>
        <v>7.46831083298</v>
      </c>
      <c r="I1623" s="86" t="str">
        <f>HYPERLINK(AA2 &amp; "/mouse/3dw_c9182edf-d969-48b8-9335-2bec694a5e45/rendering/06.obj", "6.70724344254")</f>
        <v>6.70724344254</v>
      </c>
      <c r="J1623" s="61" t="str">
        <f>HYPERLINK(AA2 &amp; "/mouse/3dw_c9182edf-d969-48b8-9335-2bec694a5e45/rendering/07.obj", "6.39603376389")</f>
        <v>6.39603376389</v>
      </c>
      <c r="K1623" s="134" t="str">
        <f>HYPERLINK(AA2 &amp; "/mouse/3dw_c9182edf-d969-48b8-9335-2bec694a5e45/rendering/08.obj", "7.5159907341")</f>
        <v>7.5159907341</v>
      </c>
      <c r="L1623" s="147" t="str">
        <f>HYPERLINK(AA2 &amp; "/mouse/3dw_c9182edf-d969-48b8-9335-2bec694a5e45/rendering/09.obj", "4.68544244766")</f>
        <v>4.68544244766</v>
      </c>
      <c r="M1623" s="195" t="str">
        <f>HYPERLINK(AA2 &amp; "/mouse/3dw_c9182edf-d969-48b8-9335-2bec694a5e45/rendering/10.obj", "4.1403427124")</f>
        <v>4.1403427124</v>
      </c>
      <c r="N1623" s="201" t="str">
        <f>HYPERLINK(AA2 &amp; "/mouse/3dw_c9182edf-d969-48b8-9335-2bec694a5e45/rendering/11.obj", "14.4713850021")</f>
        <v>14.4713850021</v>
      </c>
      <c r="O1623" s="78" t="str">
        <f>HYPERLINK(AA2 &amp; "/mouse/3dw_c9182edf-d969-48b8-9335-2bec694a5e45/rendering/12.obj", "8.59475421906")</f>
        <v>8.59475421906</v>
      </c>
      <c r="P1623" s="87" t="str">
        <f>HYPERLINK(AA2 &amp; "/mouse/3dw_c9182edf-d969-48b8-9335-2bec694a5e45/rendering/13.obj", "7.07550477982")</f>
        <v>7.07550477982</v>
      </c>
      <c r="Q1623" s="10" t="str">
        <f>HYPERLINK(AA2 &amp; "/mouse/3dw_c9182edf-d969-48b8-9335-2bec694a5e45/rendering/14.obj", "9.64383220673")</f>
        <v>9.64383220673</v>
      </c>
      <c r="R1623" s="33" t="str">
        <f>HYPERLINK(AA2 &amp; "/mouse/3dw_c9182edf-d969-48b8-9335-2bec694a5e45/rendering/15.obj", "10.147310257")</f>
        <v>10.147310257</v>
      </c>
      <c r="S1623" s="172" t="str">
        <f>HYPERLINK(AA2 &amp; "/mouse/3dw_c9182edf-d969-48b8-9335-2bec694a5e45/rendering/16.obj", "5.63664102554")</f>
        <v>5.63664102554</v>
      </c>
      <c r="T1623" s="240" t="str">
        <f>HYPERLINK(AA2 &amp; "/mouse/3dw_c9182edf-d969-48b8-9335-2bec694a5e45/rendering/17.obj", "15.1374559402")</f>
        <v>15.1374559402</v>
      </c>
      <c r="U1623" s="15" t="str">
        <f>HYPERLINK(AA2 &amp; "/mouse/3dw_c9182edf-d969-48b8-9335-2bec694a5e45/rendering/18.obj", "13.7901096344")</f>
        <v>13.7901096344</v>
      </c>
      <c r="V1623" s="213" t="str">
        <f>HYPERLINK(AA2 &amp; "/mouse/3dw_c9182edf-d969-48b8-9335-2bec694a5e45/rendering/19.obj", "4.61841440201")</f>
        <v>4.61841440201</v>
      </c>
      <c r="W1623" s="12" t="s">
        <v>30</v>
      </c>
      <c r="X1623" s="13">
        <v>9.1544451475143429</v>
      </c>
      <c r="Y1623" s="13">
        <v>5.2102642061985351</v>
      </c>
      <c r="Z1623" s="225">
        <v>0.56915128358306344</v>
      </c>
    </row>
    <row r="1624" spans="1:26" x14ac:dyDescent="0.2">
      <c r="A1624" s="1">
        <v>1622</v>
      </c>
      <c r="B1624" s="2" t="s">
        <v>357</v>
      </c>
      <c r="C1624" s="121" t="str">
        <f>HYPERLINK(AB2 &amp; "/mouse/3dw_c9182edf-d969-48b8-9335-2bec694a5e45/rendering/00.obj", "1.39604095459")</f>
        <v>1.39604095459</v>
      </c>
      <c r="D1624" s="59" t="str">
        <f>HYPERLINK(AB2 &amp; "/mouse/3dw_c9182edf-d969-48b8-9335-2bec694a5e45/rendering/01.obj", "1.27955062866")</f>
        <v>1.27955062866</v>
      </c>
      <c r="E1624" s="11" t="str">
        <f>HYPERLINK(AB2 &amp; "/mouse/3dw_c9182edf-d969-48b8-9335-2bec694a5e45/rendering/02.obj", "0.800193328857")</f>
        <v>0.800193328857</v>
      </c>
      <c r="F1624" s="175" t="str">
        <f>HYPERLINK(AB2 &amp; "/mouse/3dw_c9182edf-d969-48b8-9335-2bec694a5e45/rendering/03.obj", "0.789509735107")</f>
        <v>0.789509735107</v>
      </c>
      <c r="G1624" s="75" t="str">
        <f>HYPERLINK(AB2 &amp; "/mouse/3dw_c9182edf-d969-48b8-9335-2bec694a5e45/rendering/04.obj", "0.803087463379")</f>
        <v>0.803087463379</v>
      </c>
      <c r="H1624" s="8" t="str">
        <f>HYPERLINK(AB2 &amp; "/mouse/3dw_c9182edf-d969-48b8-9335-2bec694a5e45/rendering/05.obj", "0.883902511597")</f>
        <v>0.883902511597</v>
      </c>
      <c r="I1624" s="60" t="str">
        <f>HYPERLINK(AB2 &amp; "/mouse/3dw_c9182edf-d969-48b8-9335-2bec694a5e45/rendering/06.obj", "1.08514190674")</f>
        <v>1.08514190674</v>
      </c>
      <c r="J1624" s="80" t="str">
        <f>HYPERLINK(AB2 &amp; "/mouse/3dw_c9182edf-d969-48b8-9335-2bec694a5e45/rendering/07.obj", "1.18498916626")</f>
        <v>1.18498916626</v>
      </c>
      <c r="K1624" s="26" t="str">
        <f>HYPERLINK(AB2 &amp; "/mouse/3dw_c9182edf-d969-48b8-9335-2bec694a5e45/rendering/08.obj", "0.96617477417")</f>
        <v>0.96617477417</v>
      </c>
      <c r="L1624" s="64" t="str">
        <f>HYPERLINK(AB2 &amp; "/mouse/3dw_c9182edf-d969-48b8-9335-2bec694a5e45/rendering/09.obj", "1.20238113403")</f>
        <v>1.20238113403</v>
      </c>
      <c r="M1624" s="65" t="str">
        <f>HYPERLINK(AB2 &amp; "/mouse/3dw_c9182edf-d969-48b8-9335-2bec694a5e45/rendering/10.obj", "1.17113128662")</f>
        <v>1.17113128662</v>
      </c>
      <c r="N1624" s="78" t="str">
        <f>HYPERLINK(AB2 &amp; "/mouse/3dw_c9182edf-d969-48b8-9335-2bec694a5e45/rendering/11.obj", "1.09454444885")</f>
        <v>1.09454444885</v>
      </c>
      <c r="O1624" s="60" t="str">
        <f>HYPERLINK(AB2 &amp; "/mouse/3dw_c9182edf-d969-48b8-9335-2bec694a5e45/rendering/12.obj", "0.979022521973")</f>
        <v>0.979022521973</v>
      </c>
      <c r="P1624" s="108" t="str">
        <f>HYPERLINK(AB2 &amp; "/mouse/3dw_c9182edf-d969-48b8-9335-2bec694a5e45/rendering/13.obj", "0.778406143188")</f>
        <v>0.778406143188</v>
      </c>
      <c r="Q1624" s="58" t="str">
        <f>HYPERLINK(AB2 &amp; "/mouse/3dw_c9182edf-d969-48b8-9335-2bec694a5e45/rendering/14.obj", "0.782004699707")</f>
        <v>0.782004699707</v>
      </c>
      <c r="R1624" s="6" t="str">
        <f>HYPERLINK(AB2 &amp; "/mouse/3dw_c9182edf-d969-48b8-9335-2bec694a5e45/rendering/15.obj", "1.08039863586")</f>
        <v>1.08039863586</v>
      </c>
      <c r="S1624" s="68" t="str">
        <f>HYPERLINK(AB2 &amp; "/mouse/3dw_c9182edf-d969-48b8-9335-2bec694a5e45/rendering/16.obj", "1.0754410553")</f>
        <v>1.0754410553</v>
      </c>
      <c r="T1624" s="170" t="str">
        <f>HYPERLINK(AB2 &amp; "/mouse/3dw_c9182edf-d969-48b8-9335-2bec694a5e45/rendering/17.obj", "1.29294891357")</f>
        <v>1.29294891357</v>
      </c>
      <c r="U1624" s="47" t="str">
        <f>HYPERLINK(AB2 &amp; "/mouse/3dw_c9182edf-d969-48b8-9335-2bec694a5e45/rendering/18.obj", "1.02385353088")</f>
        <v>1.02385353088</v>
      </c>
      <c r="V1624" s="35" t="str">
        <f>HYPERLINK(AB2 &amp; "/mouse/3dw_c9182edf-d969-48b8-9335-2bec694a5e45/rendering/19.obj", "0.970805511475")</f>
        <v>0.970805511475</v>
      </c>
      <c r="W1624" s="12" t="s">
        <v>31</v>
      </c>
      <c r="X1624" s="13">
        <v>1.031976417541504</v>
      </c>
      <c r="Y1624" s="13">
        <v>0.1829327313805594</v>
      </c>
      <c r="Z1624" s="117">
        <v>0.1772644493334096</v>
      </c>
    </row>
    <row r="1625" spans="1:26" x14ac:dyDescent="0.2">
      <c r="A1625" s="1">
        <v>1623</v>
      </c>
      <c r="B1625" s="2" t="s">
        <v>357</v>
      </c>
      <c r="C1625" s="56" t="str">
        <f>HYPERLINK(AB2 &amp; "/mouse/3dw_c9182edf-d969-48b8-9335-2bec694a5e45/rendering/00.obj", "6.50841760635")</f>
        <v>6.50841760635</v>
      </c>
      <c r="D1625" s="157" t="str">
        <f>HYPERLINK(AB2 &amp; "/mouse/3dw_c9182edf-d969-48b8-9335-2bec694a5e45/rendering/01.obj", "7.04417657852")</f>
        <v>7.04417657852</v>
      </c>
      <c r="E1625" s="14" t="str">
        <f>HYPERLINK(AB2 &amp; "/mouse/3dw_c9182edf-d969-48b8-9335-2bec694a5e45/rendering/02.obj", "3.53719377518")</f>
        <v>3.53719377518</v>
      </c>
      <c r="F1625" s="151" t="str">
        <f>HYPERLINK(AB2 &amp; "/mouse/3dw_c9182edf-d969-48b8-9335-2bec694a5e45/rendering/03.obj", "3.19485139847")</f>
        <v>3.19485139847</v>
      </c>
      <c r="G1625" s="119" t="str">
        <f>HYPERLINK(AB2 &amp; "/mouse/3dw_c9182edf-d969-48b8-9335-2bec694a5e45/rendering/04.obj", "3.65331363678")</f>
        <v>3.65331363678</v>
      </c>
      <c r="H1625" s="50" t="str">
        <f>HYPERLINK(AB2 &amp; "/mouse/3dw_c9182edf-d969-48b8-9335-2bec694a5e45/rendering/05.obj", "3.98791360855")</f>
        <v>3.98791360855</v>
      </c>
      <c r="I1625" s="27" t="str">
        <f>HYPERLINK(AB2 &amp; "/mouse/3dw_c9182edf-d969-48b8-9335-2bec694a5e45/rendering/06.obj", "5.32152891159")</f>
        <v>5.32152891159</v>
      </c>
      <c r="J1625" s="11" t="str">
        <f>HYPERLINK(AB2 &amp; "/mouse/3dw_c9182edf-d969-48b8-9335-2bec694a5e45/rendering/07.obj", "6.09096813202")</f>
        <v>6.09096813202</v>
      </c>
      <c r="K1625" s="29" t="str">
        <f>HYPERLINK(AB2 &amp; "/mouse/3dw_c9182edf-d969-48b8-9335-2bec694a5e45/rendering/08.obj", "4.32688570023")</f>
        <v>4.32688570023</v>
      </c>
      <c r="L1625" s="113" t="str">
        <f>HYPERLINK(AB2 &amp; "/mouse/3dw_c9182edf-d969-48b8-9335-2bec694a5e45/rendering/09.obj", "6.33336496353")</f>
        <v>6.33336496353</v>
      </c>
      <c r="M1625" s="72" t="str">
        <f>HYPERLINK(AB2 &amp; "/mouse/3dw_c9182edf-d969-48b8-9335-2bec694a5e45/rendering/10.obj", "5.14008378983")</f>
        <v>5.14008378983</v>
      </c>
      <c r="N1625" s="35" t="str">
        <f>HYPERLINK(AB2 &amp; "/mouse/3dw_c9182edf-d969-48b8-9335-2bec694a5e45/rendering/11.obj", "5.26607275009")</f>
        <v>5.26607275009</v>
      </c>
      <c r="O1625" s="17" t="str">
        <f>HYPERLINK(AB2 &amp; "/mouse/3dw_c9182edf-d969-48b8-9335-2bec694a5e45/rendering/12.obj", "4.87884235382")</f>
        <v>4.87884235382</v>
      </c>
      <c r="P1625" s="185" t="str">
        <f>HYPERLINK(AB2 &amp; "/mouse/3dw_c9182edf-d969-48b8-9335-2bec694a5e45/rendering/13.obj", "3.27983045578")</f>
        <v>3.27983045578</v>
      </c>
      <c r="Q1625" s="58" t="str">
        <f>HYPERLINK(AB2 &amp; "/mouse/3dw_c9182edf-d969-48b8-9335-2bec694a5e45/rendering/14.obj", "3.76980090141")</f>
        <v>3.76980090141</v>
      </c>
      <c r="R1625" s="71" t="str">
        <f>HYPERLINK(AB2 &amp; "/mouse/3dw_c9182edf-d969-48b8-9335-2bec694a5e45/rendering/15.obj", "5.55727958679")</f>
        <v>5.55727958679</v>
      </c>
      <c r="S1625" s="73" t="str">
        <f>HYPERLINK(AB2 &amp; "/mouse/3dw_c9182edf-d969-48b8-9335-2bec694a5e45/rendering/16.obj", "4.79418182373")</f>
        <v>4.79418182373</v>
      </c>
      <c r="T1625" s="43" t="str">
        <f>HYPERLINK(AB2 &amp; "/mouse/3dw_c9182edf-d969-48b8-9335-2bec694a5e45/rendering/17.obj", "6.84117889404")</f>
        <v>6.84117889404</v>
      </c>
      <c r="U1625" s="34" t="str">
        <f>HYPERLINK(AB2 &amp; "/mouse/3dw_c9182edf-d969-48b8-9335-2bec694a5e45/rendering/18.obj", "5.20884990692")</f>
        <v>5.20884990692</v>
      </c>
      <c r="V1625" s="6" t="str">
        <f>HYPERLINK(AB2 &amp; "/mouse/3dw_c9182edf-d969-48b8-9335-2bec694a5e45/rendering/19.obj", "4.73966836929")</f>
        <v>4.73966836929</v>
      </c>
      <c r="W1625" s="12" t="s">
        <v>32</v>
      </c>
      <c r="X1625" s="13">
        <v>4.9737201571464542</v>
      </c>
      <c r="Y1625" s="13">
        <v>1.153964372381258</v>
      </c>
      <c r="Z1625" s="98">
        <v>0.23201232395899721</v>
      </c>
    </row>
    <row r="1626" spans="1:26" x14ac:dyDescent="0.2">
      <c r="A1626" s="1">
        <v>1624</v>
      </c>
      <c r="B1626" s="2" t="s">
        <v>357</v>
      </c>
      <c r="C1626" s="13" t="str">
        <f>HYPERLINK(AC2 &amp; "/mouse/3dw_c9182edf-d969-48b8-9335-2bec694a5e45/rendering/00.xyz", "0.0")</f>
        <v>0.0</v>
      </c>
      <c r="D1626" s="13" t="str">
        <f>HYPERLINK(AC2 &amp; "/mouse/3dw_c9182edf-d969-48b8-9335-2bec694a5e45/rendering/01.xyz", "0.0")</f>
        <v>0.0</v>
      </c>
      <c r="E1626" s="13" t="str">
        <f>HYPERLINK(AC2 &amp; "/mouse/3dw_c9182edf-d969-48b8-9335-2bec694a5e45/rendering/02.xyz", "0.0")</f>
        <v>0.0</v>
      </c>
      <c r="F1626" s="13" t="str">
        <f>HYPERLINK(AC2 &amp; "/mouse/3dw_c9182edf-d969-48b8-9335-2bec694a5e45/rendering/03.xyz", "0.0")</f>
        <v>0.0</v>
      </c>
      <c r="G1626" s="13" t="str">
        <f>HYPERLINK(AC2 &amp; "/mouse/3dw_c9182edf-d969-48b8-9335-2bec694a5e45/rendering/04.xyz", "0.0")</f>
        <v>0.0</v>
      </c>
      <c r="H1626" s="13" t="str">
        <f>HYPERLINK(AC2 &amp; "/mouse/3dw_c9182edf-d969-48b8-9335-2bec694a5e45/rendering/05.xyz", "0.0")</f>
        <v>0.0</v>
      </c>
      <c r="I1626" s="13" t="str">
        <f>HYPERLINK(AC2 &amp; "/mouse/3dw_c9182edf-d969-48b8-9335-2bec694a5e45/rendering/06.xyz", "0.0")</f>
        <v>0.0</v>
      </c>
      <c r="J1626" s="13" t="str">
        <f>HYPERLINK(AC2 &amp; "/mouse/3dw_c9182edf-d969-48b8-9335-2bec694a5e45/rendering/07.xyz", "0.0")</f>
        <v>0.0</v>
      </c>
      <c r="K1626" s="13" t="str">
        <f>HYPERLINK(AC2 &amp; "/mouse/3dw_c9182edf-d969-48b8-9335-2bec694a5e45/rendering/08.xyz", "0.0")</f>
        <v>0.0</v>
      </c>
      <c r="L1626" s="13" t="str">
        <f>HYPERLINK(AC2 &amp; "/mouse/3dw_c9182edf-d969-48b8-9335-2bec694a5e45/rendering/09.xyz", "0.0")</f>
        <v>0.0</v>
      </c>
      <c r="M1626" s="13" t="str">
        <f>HYPERLINK(AC2 &amp; "/mouse/3dw_c9182edf-d969-48b8-9335-2bec694a5e45/rendering/10.xyz", "0.0")</f>
        <v>0.0</v>
      </c>
      <c r="N1626" s="13" t="str">
        <f>HYPERLINK(AC2 &amp; "/mouse/3dw_c9182edf-d969-48b8-9335-2bec694a5e45/rendering/11.xyz", "0.0")</f>
        <v>0.0</v>
      </c>
      <c r="O1626" s="13" t="str">
        <f>HYPERLINK(AC2 &amp; "/mouse/3dw_c9182edf-d969-48b8-9335-2bec694a5e45/rendering/12.xyz", "0.0")</f>
        <v>0.0</v>
      </c>
      <c r="P1626" s="13" t="str">
        <f>HYPERLINK(AC2 &amp; "/mouse/3dw_c9182edf-d969-48b8-9335-2bec694a5e45/rendering/13.xyz", "0.0")</f>
        <v>0.0</v>
      </c>
      <c r="Q1626" s="13" t="str">
        <f>HYPERLINK(AC2 &amp; "/mouse/3dw_c9182edf-d969-48b8-9335-2bec694a5e45/rendering/14.xyz", "0.0")</f>
        <v>0.0</v>
      </c>
      <c r="R1626" s="13" t="str">
        <f>HYPERLINK(AC2 &amp; "/mouse/3dw_c9182edf-d969-48b8-9335-2bec694a5e45/rendering/15.xyz", "0.0")</f>
        <v>0.0</v>
      </c>
      <c r="S1626" s="13" t="str">
        <f>HYPERLINK(AC2 &amp; "/mouse/3dw_c9182edf-d969-48b8-9335-2bec694a5e45/rendering/16.xyz", "0.0")</f>
        <v>0.0</v>
      </c>
      <c r="T1626" s="13" t="str">
        <f>HYPERLINK(AC2 &amp; "/mouse/3dw_c9182edf-d969-48b8-9335-2bec694a5e45/rendering/17.xyz", "0.0")</f>
        <v>0.0</v>
      </c>
      <c r="U1626" s="13" t="str">
        <f>HYPERLINK(AC2 &amp; "/mouse/3dw_c9182edf-d969-48b8-9335-2bec694a5e45/rendering/18.xyz", "0.0")</f>
        <v>0.0</v>
      </c>
      <c r="V1626" s="13" t="str">
        <f>HYPERLINK(AC2 &amp; "/mouse/3dw_c9182edf-d969-48b8-9335-2bec694a5e45/rendering/19.xyz", "0.0")</f>
        <v>0.0</v>
      </c>
      <c r="W1626" s="12" t="s">
        <v>33</v>
      </c>
      <c r="X1626" s="13">
        <v>0</v>
      </c>
      <c r="Y1626" s="13">
        <v>0</v>
      </c>
      <c r="Z1626" s="13">
        <v>0</v>
      </c>
    </row>
    <row r="1627" spans="1:26" x14ac:dyDescent="0.2">
      <c r="A1627" s="1">
        <v>1625</v>
      </c>
      <c r="B1627" s="2" t="s">
        <v>358</v>
      </c>
      <c r="C1627" s="57" t="str">
        <f>HYPERLINK(AA2 &amp; "/mouse/3dw_c9e3733c-aa81-4cba-8ec2-71b39c9df141/rendering/00.obj", "1.00554130554")</f>
        <v>1.00554130554</v>
      </c>
      <c r="D1627" s="196" t="str">
        <f>HYPERLINK(AA2 &amp; "/mouse/3dw_c9e3733c-aa81-4cba-8ec2-71b39c9df141/rendering/01.obj", "0.883583450317")</f>
        <v>0.883583450317</v>
      </c>
      <c r="E1627" s="31" t="str">
        <f>HYPERLINK(AA2 &amp; "/mouse/3dw_c9e3733c-aa81-4cba-8ec2-71b39c9df141/rendering/02.obj", "1.24225021362")</f>
        <v>1.24225021362</v>
      </c>
      <c r="F1627" s="124" t="str">
        <f>HYPERLINK(AA2 &amp; "/mouse/3dw_c9e3733c-aa81-4cba-8ec2-71b39c9df141/rendering/03.obj", "0.910629272461")</f>
        <v>0.910629272461</v>
      </c>
      <c r="G1627" s="39" t="str">
        <f>HYPERLINK(AA2 &amp; "/mouse/3dw_c9e3733c-aa81-4cba-8ec2-71b39c9df141/rendering/04.obj", "1.34048126221")</f>
        <v>1.34048126221</v>
      </c>
      <c r="H1627" s="73" t="str">
        <f>HYPERLINK(AA2 &amp; "/mouse/3dw_c9e3733c-aa81-4cba-8ec2-71b39c9df141/rendering/05.obj", "1.52106521606")</f>
        <v>1.52106521606</v>
      </c>
      <c r="I1627" s="20" t="str">
        <f>HYPERLINK(AA2 &amp; "/mouse/3dw_c9e3733c-aa81-4cba-8ec2-71b39c9df141/rendering/06.obj", "2.94150909424")</f>
        <v>2.94150909424</v>
      </c>
      <c r="J1627" s="186" t="str">
        <f>HYPERLINK(AA2 &amp; "/mouse/3dw_c9e3733c-aa81-4cba-8ec2-71b39c9df141/rendering/07.obj", "2.34841400146")</f>
        <v>2.34841400146</v>
      </c>
      <c r="K1627" s="193" t="str">
        <f>HYPERLINK(AA2 &amp; "/mouse/3dw_c9e3733c-aa81-4cba-8ec2-71b39c9df141/rendering/08.obj", "0.981874694824")</f>
        <v>0.981874694824</v>
      </c>
      <c r="L1627" s="65" t="str">
        <f>HYPERLINK(AA2 &amp; "/mouse/3dw_c9e3733c-aa81-4cba-8ec2-71b39c9df141/rendering/09.obj", "1.27376541138")</f>
        <v>1.27376541138</v>
      </c>
      <c r="M1627" s="85" t="str">
        <f>HYPERLINK(AA2 &amp; "/mouse/3dw_c9e3733c-aa81-4cba-8ec2-71b39c9df141/rendering/10.obj", "1.03202613831")</f>
        <v>1.03202613831</v>
      </c>
      <c r="N1627" s="71" t="str">
        <f>HYPERLINK(AA2 &amp; "/mouse/3dw_c9e3733c-aa81-4cba-8ec2-71b39c9df141/rendering/11.obj", "1.29391708374")</f>
        <v>1.29391708374</v>
      </c>
      <c r="O1627" s="101" t="str">
        <f>HYPERLINK(AA2 &amp; "/mouse/3dw_c9e3733c-aa81-4cba-8ec2-71b39c9df141/rendering/12.obj", "2.02442871094")</f>
        <v>2.02442871094</v>
      </c>
      <c r="P1627" s="55" t="str">
        <f>HYPERLINK(AA2 &amp; "/mouse/3dw_c9e3733c-aa81-4cba-8ec2-71b39c9df141/rendering/13.obj", "1.18648544312")</f>
        <v>1.18648544312</v>
      </c>
      <c r="Q1627" s="6" t="str">
        <f>HYPERLINK(AA2 &amp; "/mouse/3dw_c9e3733c-aa81-4cba-8ec2-71b39c9df141/rendering/14.obj", "1.40378509521")</f>
        <v>1.40378509521</v>
      </c>
      <c r="R1627" s="118" t="str">
        <f>HYPERLINK(AA2 &amp; "/mouse/3dw_c9e3733c-aa81-4cba-8ec2-71b39c9df141/rendering/15.obj", "1.03962203979")</f>
        <v>1.03962203979</v>
      </c>
      <c r="S1627" s="6" t="str">
        <f>HYPERLINK(AA2 &amp; "/mouse/3dw_c9e3733c-aa81-4cba-8ec2-71b39c9df141/rendering/16.obj", "1.40265945435")</f>
        <v>1.40265945435</v>
      </c>
      <c r="T1627" s="20" t="str">
        <f>HYPERLINK(AA2 &amp; "/mouse/3dw_c9e3733c-aa81-4cba-8ec2-71b39c9df141/rendering/17.obj", "2.7911706543")</f>
        <v>2.7911706543</v>
      </c>
      <c r="U1627" s="136" t="str">
        <f>HYPERLINK(AA2 &amp; "/mouse/3dw_c9e3733c-aa81-4cba-8ec2-71b39c9df141/rendering/18.obj", "1.12186233521")</f>
        <v>1.12186233521</v>
      </c>
      <c r="V1627" s="32" t="str">
        <f>HYPERLINK(AA2 &amp; "/mouse/3dw_c9e3733c-aa81-4cba-8ec2-71b39c9df141/rendering/19.obj", "1.62273681641")</f>
        <v>1.62273681641</v>
      </c>
      <c r="W1627" s="12" t="s">
        <v>29</v>
      </c>
      <c r="X1627" s="13">
        <v>1.468390384674072</v>
      </c>
      <c r="Y1627" s="13">
        <v>0.58532853514465366</v>
      </c>
      <c r="Z1627" s="52">
        <v>0.39861915554192001</v>
      </c>
    </row>
    <row r="1628" spans="1:26" x14ac:dyDescent="0.2">
      <c r="A1628" s="1">
        <v>1626</v>
      </c>
      <c r="B1628" s="2" t="s">
        <v>358</v>
      </c>
      <c r="C1628" s="124" t="str">
        <f>HYPERLINK(AA2 &amp; "/mouse/3dw_c9e3733c-aa81-4cba-8ec2-71b39c9df141/rendering/00.obj", "3.43381595612")</f>
        <v>3.43381595612</v>
      </c>
      <c r="D1628" s="163" t="str">
        <f>HYPERLINK(AA2 &amp; "/mouse/3dw_c9e3733c-aa81-4cba-8ec2-71b39c9df141/rendering/01.obj", "3.11635994911")</f>
        <v>3.11635994911</v>
      </c>
      <c r="E1628" s="28" t="str">
        <f>HYPERLINK(AA2 &amp; "/mouse/3dw_c9e3733c-aa81-4cba-8ec2-71b39c9df141/rendering/02.obj", "4.93835020065")</f>
        <v>4.93835020065</v>
      </c>
      <c r="F1628" s="52" t="str">
        <f>HYPERLINK(AA2 &amp; "/mouse/3dw_c9e3733c-aa81-4cba-8ec2-71b39c9df141/rendering/03.obj", "3.33408522606")</f>
        <v>3.33408522606</v>
      </c>
      <c r="G1628" s="71" t="str">
        <f>HYPERLINK(AA2 &amp; "/mouse/3dw_c9e3733c-aa81-4cba-8ec2-71b39c9df141/rendering/04.obj", "4.90450668335")</f>
        <v>4.90450668335</v>
      </c>
      <c r="H1628" s="117" t="str">
        <f>HYPERLINK(AA2 &amp; "/mouse/3dw_c9e3733c-aa81-4cba-8ec2-71b39c9df141/rendering/05.obj", "6.55610370636")</f>
        <v>6.55610370636</v>
      </c>
      <c r="I1628" s="20" t="str">
        <f>HYPERLINK(AA2 &amp; "/mouse/3dw_c9e3733c-aa81-4cba-8ec2-71b39c9df141/rendering/06.obj", "10.2054920197")</f>
        <v>10.2054920197</v>
      </c>
      <c r="J1628" s="202" t="str">
        <f>HYPERLINK(AA2 &amp; "/mouse/3dw_c9e3733c-aa81-4cba-8ec2-71b39c9df141/rendering/07.obj", "9.05874347687")</f>
        <v>9.05874347687</v>
      </c>
      <c r="K1628" s="182" t="str">
        <f>HYPERLINK(AA2 &amp; "/mouse/3dw_c9e3733c-aa81-4cba-8ec2-71b39c9df141/rendering/08.obj", "3.70682525635")</f>
        <v>3.70682525635</v>
      </c>
      <c r="L1628" s="7" t="str">
        <f>HYPERLINK(AA2 &amp; "/mouse/3dw_c9e3733c-aa81-4cba-8ec2-71b39c9df141/rendering/09.obj", "4.01637887955")</f>
        <v>4.01637887955</v>
      </c>
      <c r="M1628" s="103" t="str">
        <f>HYPERLINK(AA2 &amp; "/mouse/3dw_c9e3733c-aa81-4cba-8ec2-71b39c9df141/rendering/10.obj", "3.75181007385")</f>
        <v>3.75181007385</v>
      </c>
      <c r="N1628" s="24" t="str">
        <f>HYPERLINK(AA2 &amp; "/mouse/3dw_c9e3733c-aa81-4cba-8ec2-71b39c9df141/rendering/11.obj", "4.63370323181")</f>
        <v>4.63370323181</v>
      </c>
      <c r="O1628" s="61" t="str">
        <f>HYPERLINK(AA2 &amp; "/mouse/3dw_c9e3733c-aa81-4cba-8ec2-71b39c9df141/rendering/12.obj", "7.24518156052")</f>
        <v>7.24518156052</v>
      </c>
      <c r="P1628" s="4" t="str">
        <f>HYPERLINK(AA2 &amp; "/mouse/3dw_c9e3733c-aa81-4cba-8ec2-71b39c9df141/rendering/13.obj", "3.98468708992")</f>
        <v>3.98468708992</v>
      </c>
      <c r="Q1628" s="10" t="str">
        <f>HYPERLINK(AA2 &amp; "/mouse/3dw_c9e3733c-aa81-4cba-8ec2-71b39c9df141/rendering/14.obj", "5.8706741333")</f>
        <v>5.8706741333</v>
      </c>
      <c r="R1628" s="113" t="str">
        <f>HYPERLINK(AA2 &amp; "/mouse/3dw_c9e3733c-aa81-4cba-8ec2-71b39c9df141/rendering/15.obj", "4.03456640244")</f>
        <v>4.03456640244</v>
      </c>
      <c r="S1628" s="91" t="str">
        <f>HYPERLINK(AA2 &amp; "/mouse/3dw_c9e3733c-aa81-4cba-8ec2-71b39c9df141/rendering/16.obj", "5.70292472839")</f>
        <v>5.70292472839</v>
      </c>
      <c r="T1628" s="20" t="str">
        <f>HYPERLINK(AA2 &amp; "/mouse/3dw_c9e3733c-aa81-4cba-8ec2-71b39c9df141/rendering/17.obj", "12.8627414703")</f>
        <v>12.8627414703</v>
      </c>
      <c r="U1628" s="182" t="str">
        <f>HYPERLINK(AA2 &amp; "/mouse/3dw_c9e3733c-aa81-4cba-8ec2-71b39c9df141/rendering/18.obj", "3.70929026604")</f>
        <v>3.70929026604</v>
      </c>
      <c r="V1628" s="28" t="str">
        <f>HYPERLINK(AA2 &amp; "/mouse/3dw_c9e3733c-aa81-4cba-8ec2-71b39c9df141/rendering/19.obj", "6.1861243248")</f>
        <v>6.1861243248</v>
      </c>
      <c r="W1628" s="12" t="s">
        <v>30</v>
      </c>
      <c r="X1628" s="13">
        <v>5.5626182317733761</v>
      </c>
      <c r="Y1628" s="13">
        <v>2.5093213328665458</v>
      </c>
      <c r="Z1628" s="130">
        <v>0.45110435919068431</v>
      </c>
    </row>
    <row r="1629" spans="1:26" x14ac:dyDescent="0.2">
      <c r="A1629" s="1">
        <v>1627</v>
      </c>
      <c r="B1629" s="2" t="s">
        <v>358</v>
      </c>
      <c r="C1629" s="109" t="str">
        <f>HYPERLINK(AB2 &amp; "/mouse/3dw_c9e3733c-aa81-4cba-8ec2-71b39c9df141/rendering/00.obj", "0.874066009521")</f>
        <v>0.874066009521</v>
      </c>
      <c r="D1629" s="70" t="str">
        <f>HYPERLINK(AB2 &amp; "/mouse/3dw_c9e3733c-aa81-4cba-8ec2-71b39c9df141/rendering/01.obj", "1.21890480042")</f>
        <v>1.21890480042</v>
      </c>
      <c r="E1629" s="92" t="str">
        <f>HYPERLINK(AB2 &amp; "/mouse/3dw_c9e3733c-aa81-4cba-8ec2-71b39c9df141/rendering/02.obj", "0.946037216187")</f>
        <v>0.946037216187</v>
      </c>
      <c r="F1629" s="77" t="str">
        <f>HYPERLINK(AB2 &amp; "/mouse/3dw_c9e3733c-aa81-4cba-8ec2-71b39c9df141/rendering/03.obj", "0.87789352417")</f>
        <v>0.87789352417</v>
      </c>
      <c r="G1629" s="69" t="str">
        <f>HYPERLINK(AB2 &amp; "/mouse/3dw_c9e3733c-aa81-4cba-8ec2-71b39c9df141/rendering/04.obj", "1.04875991821")</f>
        <v>1.04875991821</v>
      </c>
      <c r="H1629" s="13" t="str">
        <f>HYPERLINK(AB2 &amp; "/mouse/3dw_c9e3733c-aa81-4cba-8ec2-71b39c9df141/rendering/05.obj", "1.08210189819")</f>
        <v>1.08210189819</v>
      </c>
      <c r="I1629" s="40" t="str">
        <f>HYPERLINK(AB2 &amp; "/mouse/3dw_c9e3733c-aa81-4cba-8ec2-71b39c9df141/rendering/06.obj", "1.26355262756")</f>
        <v>1.26355262756</v>
      </c>
      <c r="J1629" s="133" t="str">
        <f>HYPERLINK(AB2 &amp; "/mouse/3dw_c9e3733c-aa81-4cba-8ec2-71b39c9df141/rendering/07.obj", "0.968709564209")</f>
        <v>0.968709564209</v>
      </c>
      <c r="K1629" s="35" t="str">
        <f>HYPERLINK(AB2 &amp; "/mouse/3dw_c9e3733c-aa81-4cba-8ec2-71b39c9df141/rendering/08.obj", "1.14237182617")</f>
        <v>1.14237182617</v>
      </c>
      <c r="L1629" s="29" t="str">
        <f>HYPERLINK(AB2 &amp; "/mouse/3dw_c9e3733c-aa81-4cba-8ec2-71b39c9df141/rendering/09.obj", "0.938594207764")</f>
        <v>0.938594207764</v>
      </c>
      <c r="M1629" s="41" t="str">
        <f>HYPERLINK(AB2 &amp; "/mouse/3dw_c9e3733c-aa81-4cba-8ec2-71b39c9df141/rendering/10.obj", "1.00749855042")</f>
        <v>1.00749855042</v>
      </c>
      <c r="N1629" s="73" t="str">
        <f>HYPERLINK(AB2 &amp; "/mouse/3dw_c9e3733c-aa81-4cba-8ec2-71b39c9df141/rendering/11.obj", "1.11796730042")</f>
        <v>1.11796730042</v>
      </c>
      <c r="O1629" s="99" t="str">
        <f>HYPERLINK(AB2 &amp; "/mouse/3dw_c9e3733c-aa81-4cba-8ec2-71b39c9df141/rendering/12.obj", "0.788435516357")</f>
        <v>0.788435516357</v>
      </c>
      <c r="P1629" s="250" t="str">
        <f>HYPERLINK(AB2 &amp; "/mouse/3dw_c9e3733c-aa81-4cba-8ec2-71b39c9df141/rendering/13.obj", "1.82225738525")</f>
        <v>1.82225738525</v>
      </c>
      <c r="Q1629" s="78" t="str">
        <f>HYPERLINK(AB2 &amp; "/mouse/3dw_c9e3733c-aa81-4cba-8ec2-71b39c9df141/rendering/14.obj", "1.14792205811")</f>
        <v>1.14792205811</v>
      </c>
      <c r="R1629" s="31" t="str">
        <f>HYPERLINK(AB2 &amp; "/mouse/3dw_c9e3733c-aa81-4cba-8ec2-71b39c9df141/rendering/15.obj", "0.910965576172")</f>
        <v>0.910965576172</v>
      </c>
      <c r="S1629" s="30" t="str">
        <f>HYPERLINK(AB2 &amp; "/mouse/3dw_c9e3733c-aa81-4cba-8ec2-71b39c9df141/rendering/16.obj", "1.07507568359")</f>
        <v>1.07507568359</v>
      </c>
      <c r="T1629" s="107" t="str">
        <f>HYPERLINK(AB2 &amp; "/mouse/3dw_c9e3733c-aa81-4cba-8ec2-71b39c9df141/rendering/17.obj", "1.17067855835")</f>
        <v>1.17067855835</v>
      </c>
      <c r="U1629" s="119" t="str">
        <f>HYPERLINK(AB2 &amp; "/mouse/3dw_c9e3733c-aa81-4cba-8ec2-71b39c9df141/rendering/18.obj", "1.36564163208")</f>
        <v>1.36564163208</v>
      </c>
      <c r="V1629" s="11" t="str">
        <f>HYPERLINK(AB2 &amp; "/mouse/3dw_c9e3733c-aa81-4cba-8ec2-71b39c9df141/rendering/19.obj", "0.837320709229")</f>
        <v>0.837320709229</v>
      </c>
      <c r="W1629" s="12" t="s">
        <v>31</v>
      </c>
      <c r="X1629" s="13">
        <v>1.080237728118896</v>
      </c>
      <c r="Y1629" s="13">
        <v>0.2253896327434976</v>
      </c>
      <c r="Z1629" s="49">
        <v>0.20864817704153549</v>
      </c>
    </row>
    <row r="1630" spans="1:26" x14ac:dyDescent="0.2">
      <c r="A1630" s="1">
        <v>1628</v>
      </c>
      <c r="B1630" s="2" t="s">
        <v>358</v>
      </c>
      <c r="C1630" s="32" t="str">
        <f>HYPERLINK(AB2 &amp; "/mouse/3dw_c9e3733c-aa81-4cba-8ec2-71b39c9df141/rendering/00.obj", "3.10104966164")</f>
        <v>3.10104966164</v>
      </c>
      <c r="D1630" s="51" t="str">
        <f>HYPERLINK(AB2 &amp; "/mouse/3dw_c9e3733c-aa81-4cba-8ec2-71b39c9df141/rendering/01.obj", "3.74885678291")</f>
        <v>3.74885678291</v>
      </c>
      <c r="E1630" s="87" t="str">
        <f>HYPERLINK(AB2 &amp; "/mouse/3dw_c9e3733c-aa81-4cba-8ec2-71b39c9df141/rendering/02.obj", "2.6749997139")</f>
        <v>2.6749997139</v>
      </c>
      <c r="F1630" s="94" t="str">
        <f>HYPERLINK(AB2 &amp; "/mouse/3dw_c9e3733c-aa81-4cba-8ec2-71b39c9df141/rendering/03.obj", "3.20928907394")</f>
        <v>3.20928907394</v>
      </c>
      <c r="G1630" s="8" t="str">
        <f>HYPERLINK(AB2 &amp; "/mouse/3dw_c9e3733c-aa81-4cba-8ec2-71b39c9df141/rendering/04.obj", "2.97168183327")</f>
        <v>2.97168183327</v>
      </c>
      <c r="H1630" s="50" t="str">
        <f>HYPERLINK(AB2 &amp; "/mouse/3dw_c9e3733c-aa81-4cba-8ec2-71b39c9df141/rendering/05.obj", "2.77366566658")</f>
        <v>2.77366566658</v>
      </c>
      <c r="I1630" s="98" t="str">
        <f>HYPERLINK(AB2 &amp; "/mouse/3dw_c9e3733c-aa81-4cba-8ec2-71b39c9df141/rendering/06.obj", "4.27040338516")</f>
        <v>4.27040338516</v>
      </c>
      <c r="J1630" s="34" t="str">
        <f>HYPERLINK(AB2 &amp; "/mouse/3dw_c9e3733c-aa81-4cba-8ec2-71b39c9df141/rendering/07.obj", "3.29478931427")</f>
        <v>3.29478931427</v>
      </c>
      <c r="K1630" s="84" t="str">
        <f>HYPERLINK(AB2 &amp; "/mouse/3dw_c9e3733c-aa81-4cba-8ec2-71b39c9df141/rendering/08.obj", "2.96049880981")</f>
        <v>2.96049880981</v>
      </c>
      <c r="L1630" s="63" t="str">
        <f>HYPERLINK(AB2 &amp; "/mouse/3dw_c9e3733c-aa81-4cba-8ec2-71b39c9df141/rendering/09.obj", "3.05192279816")</f>
        <v>3.05192279816</v>
      </c>
      <c r="M1630" s="68" t="str">
        <f>HYPERLINK(AB2 &amp; "/mouse/3dw_c9e3733c-aa81-4cba-8ec2-71b39c9df141/rendering/10.obj", "3.32139539719")</f>
        <v>3.32139539719</v>
      </c>
      <c r="N1630" s="78" t="str">
        <f>HYPERLINK(AB2 &amp; "/mouse/3dw_c9e3733c-aa81-4cba-8ec2-71b39c9df141/rendering/11.obj", "3.67504048347")</f>
        <v>3.67504048347</v>
      </c>
      <c r="O1630" s="59" t="str">
        <f>HYPERLINK(AB2 &amp; "/mouse/3dw_c9e3733c-aa81-4cba-8ec2-71b39c9df141/rendering/12.obj", "2.63262200356")</f>
        <v>2.63262200356</v>
      </c>
      <c r="P1630" s="20" t="str">
        <f>HYPERLINK(AB2 &amp; "/mouse/3dw_c9e3733c-aa81-4cba-8ec2-71b39c9df141/rendering/13.obj", "6.53162002563")</f>
        <v>6.53162002563</v>
      </c>
      <c r="Q1630" s="68" t="str">
        <f>HYPERLINK(AB2 &amp; "/mouse/3dw_c9e3733c-aa81-4cba-8ec2-71b39c9df141/rendering/14.obj", "3.32594108582")</f>
        <v>3.32594108582</v>
      </c>
      <c r="R1630" s="67" t="str">
        <f>HYPERLINK(AB2 &amp; "/mouse/3dw_c9e3733c-aa81-4cba-8ec2-71b39c9df141/rendering/15.obj", "3.14929986")</f>
        <v>3.14929986</v>
      </c>
      <c r="S1630" s="23" t="str">
        <f>HYPERLINK(AB2 &amp; "/mouse/3dw_c9e3733c-aa81-4cba-8ec2-71b39c9df141/rendering/16.obj", "3.60797643661")</f>
        <v>3.60797643661</v>
      </c>
      <c r="T1630" s="69" t="str">
        <f>HYPERLINK(AB2 &amp; "/mouse/3dw_c9e3733c-aa81-4cba-8ec2-71b39c9df141/rendering/17.obj", "3.56876921654")</f>
        <v>3.56876921654</v>
      </c>
      <c r="U1630" s="123" t="str">
        <f>HYPERLINK(AB2 &amp; "/mouse/3dw_c9e3733c-aa81-4cba-8ec2-71b39c9df141/rendering/18.obj", "4.74841308594")</f>
        <v>4.74841308594</v>
      </c>
      <c r="V1630" s="49" t="str">
        <f>HYPERLINK(AB2 &amp; "/mouse/3dw_c9e3733c-aa81-4cba-8ec2-71b39c9df141/rendering/19.obj", "2.74715900421")</f>
        <v>2.74715900421</v>
      </c>
      <c r="W1630" s="12" t="s">
        <v>32</v>
      </c>
      <c r="X1630" s="13">
        <v>3.4682696819305421</v>
      </c>
      <c r="Y1630" s="13">
        <v>0.87180346520463192</v>
      </c>
      <c r="Z1630" s="170">
        <v>0.25136553531193689</v>
      </c>
    </row>
    <row r="1631" spans="1:26" x14ac:dyDescent="0.2">
      <c r="A1631" s="1">
        <v>1629</v>
      </c>
      <c r="B1631" s="2" t="s">
        <v>358</v>
      </c>
      <c r="C1631" s="13" t="str">
        <f>HYPERLINK(AC2 &amp; "/mouse/3dw_c9e3733c-aa81-4cba-8ec2-71b39c9df141/rendering/00.xyz", "0.0")</f>
        <v>0.0</v>
      </c>
      <c r="D1631" s="13" t="str">
        <f>HYPERLINK(AC2 &amp; "/mouse/3dw_c9e3733c-aa81-4cba-8ec2-71b39c9df141/rendering/01.xyz", "0.0")</f>
        <v>0.0</v>
      </c>
      <c r="E1631" s="13" t="str">
        <f>HYPERLINK(AC2 &amp; "/mouse/3dw_c9e3733c-aa81-4cba-8ec2-71b39c9df141/rendering/02.xyz", "0.0")</f>
        <v>0.0</v>
      </c>
      <c r="F1631" s="13" t="str">
        <f>HYPERLINK(AC2 &amp; "/mouse/3dw_c9e3733c-aa81-4cba-8ec2-71b39c9df141/rendering/03.xyz", "0.0")</f>
        <v>0.0</v>
      </c>
      <c r="G1631" s="13" t="str">
        <f>HYPERLINK(AC2 &amp; "/mouse/3dw_c9e3733c-aa81-4cba-8ec2-71b39c9df141/rendering/04.xyz", "0.0")</f>
        <v>0.0</v>
      </c>
      <c r="H1631" s="13" t="str">
        <f>HYPERLINK(AC2 &amp; "/mouse/3dw_c9e3733c-aa81-4cba-8ec2-71b39c9df141/rendering/05.xyz", "0.0")</f>
        <v>0.0</v>
      </c>
      <c r="I1631" s="13" t="str">
        <f>HYPERLINK(AC2 &amp; "/mouse/3dw_c9e3733c-aa81-4cba-8ec2-71b39c9df141/rendering/06.xyz", "0.0")</f>
        <v>0.0</v>
      </c>
      <c r="J1631" s="13" t="str">
        <f>HYPERLINK(AC2 &amp; "/mouse/3dw_c9e3733c-aa81-4cba-8ec2-71b39c9df141/rendering/07.xyz", "0.0")</f>
        <v>0.0</v>
      </c>
      <c r="K1631" s="13" t="str">
        <f>HYPERLINK(AC2 &amp; "/mouse/3dw_c9e3733c-aa81-4cba-8ec2-71b39c9df141/rendering/08.xyz", "0.0")</f>
        <v>0.0</v>
      </c>
      <c r="L1631" s="13" t="str">
        <f>HYPERLINK(AC2 &amp; "/mouse/3dw_c9e3733c-aa81-4cba-8ec2-71b39c9df141/rendering/09.xyz", "0.0")</f>
        <v>0.0</v>
      </c>
      <c r="M1631" s="13" t="str">
        <f>HYPERLINK(AC2 &amp; "/mouse/3dw_c9e3733c-aa81-4cba-8ec2-71b39c9df141/rendering/10.xyz", "0.0")</f>
        <v>0.0</v>
      </c>
      <c r="N1631" s="13" t="str">
        <f>HYPERLINK(AC2 &amp; "/mouse/3dw_c9e3733c-aa81-4cba-8ec2-71b39c9df141/rendering/11.xyz", "0.0")</f>
        <v>0.0</v>
      </c>
      <c r="O1631" s="13" t="str">
        <f>HYPERLINK(AC2 &amp; "/mouse/3dw_c9e3733c-aa81-4cba-8ec2-71b39c9df141/rendering/12.xyz", "0.0")</f>
        <v>0.0</v>
      </c>
      <c r="P1631" s="13" t="str">
        <f>HYPERLINK(AC2 &amp; "/mouse/3dw_c9e3733c-aa81-4cba-8ec2-71b39c9df141/rendering/13.xyz", "0.0")</f>
        <v>0.0</v>
      </c>
      <c r="Q1631" s="13" t="str">
        <f>HYPERLINK(AC2 &amp; "/mouse/3dw_c9e3733c-aa81-4cba-8ec2-71b39c9df141/rendering/14.xyz", "0.0")</f>
        <v>0.0</v>
      </c>
      <c r="R1631" s="13" t="str">
        <f>HYPERLINK(AC2 &amp; "/mouse/3dw_c9e3733c-aa81-4cba-8ec2-71b39c9df141/rendering/15.xyz", "0.0")</f>
        <v>0.0</v>
      </c>
      <c r="S1631" s="13" t="str">
        <f>HYPERLINK(AC2 &amp; "/mouse/3dw_c9e3733c-aa81-4cba-8ec2-71b39c9df141/rendering/16.xyz", "0.0")</f>
        <v>0.0</v>
      </c>
      <c r="T1631" s="13" t="str">
        <f>HYPERLINK(AC2 &amp; "/mouse/3dw_c9e3733c-aa81-4cba-8ec2-71b39c9df141/rendering/17.xyz", "0.0")</f>
        <v>0.0</v>
      </c>
      <c r="U1631" s="13" t="str">
        <f>HYPERLINK(AC2 &amp; "/mouse/3dw_c9e3733c-aa81-4cba-8ec2-71b39c9df141/rendering/18.xyz", "0.0")</f>
        <v>0.0</v>
      </c>
      <c r="V1631" s="13" t="str">
        <f>HYPERLINK(AC2 &amp; "/mouse/3dw_c9e3733c-aa81-4cba-8ec2-71b39c9df141/rendering/19.xyz", "0.0")</f>
        <v>0.0</v>
      </c>
      <c r="W1631" s="12" t="s">
        <v>33</v>
      </c>
      <c r="X1631" s="13">
        <v>0</v>
      </c>
      <c r="Y1631" s="13">
        <v>0</v>
      </c>
      <c r="Z1631" s="13">
        <v>0</v>
      </c>
    </row>
    <row r="1632" spans="1:26" x14ac:dyDescent="0.2">
      <c r="A1632" s="1">
        <v>1630</v>
      </c>
      <c r="B1632" s="2" t="s">
        <v>359</v>
      </c>
      <c r="C1632" s="214" t="str">
        <f>HYPERLINK(AA2 &amp; "/mouse/3dw_ca91e976-7daf-4898-a818-6dfd145d9214/rendering/00.obj", "2.15355285645")</f>
        <v>2.15355285645</v>
      </c>
      <c r="D1632" s="121" t="str">
        <f>HYPERLINK(AA2 &amp; "/mouse/3dw_ca91e976-7daf-4898-a818-6dfd145d9214/rendering/01.obj", "7.62712402344")</f>
        <v>7.62712402344</v>
      </c>
      <c r="E1632" s="195" t="str">
        <f>HYPERLINK(AA2 &amp; "/mouse/3dw_ca91e976-7daf-4898-a818-6dfd145d9214/rendering/02.obj", "2.55833724976")</f>
        <v>2.55833724976</v>
      </c>
      <c r="F1632" s="52" t="str">
        <f>HYPERLINK(AA2 &amp; "/mouse/3dw_ca91e976-7daf-4898-a818-6dfd145d9214/rendering/03.obj", "3.38876556396")</f>
        <v>3.38876556396</v>
      </c>
      <c r="G1632" s="58" t="str">
        <f>HYPERLINK(AA2 &amp; "/mouse/3dw_ca91e976-7daf-4898-a818-6dfd145d9214/rendering/04.obj", "7.01140136719")</f>
        <v>7.01140136719</v>
      </c>
      <c r="H1632" s="20" t="str">
        <f>HYPERLINK(AA2 &amp; "/mouse/3dw_ca91e976-7daf-4898-a818-6dfd145d9214/rendering/05.obj", "14.0809521484")</f>
        <v>14.0809521484</v>
      </c>
      <c r="I1632" s="214" t="str">
        <f>HYPERLINK(AA2 &amp; "/mouse/3dw_ca91e976-7daf-4898-a818-6dfd145d9214/rendering/06.obj", "9.09906860352")</f>
        <v>9.09906860352</v>
      </c>
      <c r="J1632" s="101" t="str">
        <f>HYPERLINK(AA2 &amp; "/mouse/3dw_ca91e976-7daf-4898-a818-6dfd145d9214/rendering/07.obj", "3.50418518066")</f>
        <v>3.50418518066</v>
      </c>
      <c r="K1632" s="130" t="str">
        <f>HYPERLINK(AA2 &amp; "/mouse/3dw_ca91e976-7daf-4898-a818-6dfd145d9214/rendering/08.obj", "3.09296630859")</f>
        <v>3.09296630859</v>
      </c>
      <c r="L1632" s="68" t="str">
        <f>HYPERLINK(AA2 &amp; "/mouse/3dw_ca91e976-7daf-4898-a818-6dfd145d9214/rendering/09.obj", "5.38793762207")</f>
        <v>5.38793762207</v>
      </c>
      <c r="M1632" s="92" t="str">
        <f>HYPERLINK(AA2 &amp; "/mouse/3dw_ca91e976-7daf-4898-a818-6dfd145d9214/rendering/10.obj", "6.32344909668")</f>
        <v>6.32344909668</v>
      </c>
      <c r="N1632" s="105" t="str">
        <f>HYPERLINK(AA2 &amp; "/mouse/3dw_ca91e976-7daf-4898-a818-6dfd145d9214/rendering/11.obj", "8.52256835938")</f>
        <v>8.52256835938</v>
      </c>
      <c r="O1632" s="182" t="str">
        <f>HYPERLINK(AA2 &amp; "/mouse/3dw_ca91e976-7daf-4898-a818-6dfd145d9214/rendering/12.obj", "7.51539306641")</f>
        <v>7.51539306641</v>
      </c>
      <c r="P1632" s="172" t="str">
        <f>HYPERLINK(AA2 &amp; "/mouse/3dw_ca91e976-7daf-4898-a818-6dfd145d9214/rendering/13.obj", "3.46577636719")</f>
        <v>3.46577636719</v>
      </c>
      <c r="Q1632" s="214" t="str">
        <f>HYPERLINK(AA2 &amp; "/mouse/3dw_ca91e976-7daf-4898-a818-6dfd145d9214/rendering/14.obj", "2.16279190063")</f>
        <v>2.16279190063</v>
      </c>
      <c r="R1632" s="46" t="str">
        <f>HYPERLINK(AA2 &amp; "/mouse/3dw_ca91e976-7daf-4898-a818-6dfd145d9214/rendering/15.obj", "5.54418945312")</f>
        <v>5.54418945312</v>
      </c>
      <c r="S1632" s="221" t="str">
        <f>HYPERLINK(AA2 &amp; "/mouse/3dw_ca91e976-7daf-4898-a818-6dfd145d9214/rendering/16.obj", "2.49746826172")</f>
        <v>2.49746826172</v>
      </c>
      <c r="T1632" s="159" t="str">
        <f>HYPERLINK(AA2 &amp; "/mouse/3dw_ca91e976-7daf-4898-a818-6dfd145d9214/rendering/17.obj", "8.27942016602")</f>
        <v>8.27942016602</v>
      </c>
      <c r="U1632" s="42" t="str">
        <f>HYPERLINK(AA2 &amp; "/mouse/3dw_ca91e976-7daf-4898-a818-6dfd145d9214/rendering/18.obj", "4.87022613525")</f>
        <v>4.87022613525</v>
      </c>
      <c r="V1632" s="47" t="str">
        <f>HYPERLINK(AA2 &amp; "/mouse/3dw_ca91e976-7daf-4898-a818-6dfd145d9214/rendering/19.obj", "5.59028076172")</f>
        <v>5.59028076172</v>
      </c>
      <c r="W1632" s="12" t="s">
        <v>29</v>
      </c>
      <c r="X1632" s="13">
        <v>5.633792724609374</v>
      </c>
      <c r="Y1632" s="13">
        <v>2.9447748046070661</v>
      </c>
      <c r="Z1632" s="22">
        <v>0.52269846417028865</v>
      </c>
    </row>
    <row r="1633" spans="1:26" x14ac:dyDescent="0.2">
      <c r="A1633" s="1">
        <v>1631</v>
      </c>
      <c r="B1633" s="2" t="s">
        <v>359</v>
      </c>
      <c r="C1633" s="259" t="str">
        <f>HYPERLINK(AA2 &amp; "/mouse/3dw_ca91e976-7daf-4898-a818-6dfd145d9214/rendering/00.obj", "6.99687337875")</f>
        <v>6.99687337875</v>
      </c>
      <c r="D1633" s="4" t="str">
        <f>HYPERLINK(AA2 &amp; "/mouse/3dw_ca91e976-7daf-4898-a818-6dfd145d9214/rendering/01.obj", "43.1743507385")</f>
        <v>43.1743507385</v>
      </c>
      <c r="E1633" s="236" t="str">
        <f>HYPERLINK(AA2 &amp; "/mouse/3dw_ca91e976-7daf-4898-a818-6dfd145d9214/rendering/02.obj", "8.74802494049")</f>
        <v>8.74802494049</v>
      </c>
      <c r="F1633" s="250" t="str">
        <f>HYPERLINK(AA2 &amp; "/mouse/3dw_ca91e976-7daf-4898-a818-6dfd145d9214/rendering/03.obj", "10.5876531601")</f>
        <v>10.5876531601</v>
      </c>
      <c r="G1633" s="41" t="str">
        <f>HYPERLINK(AA2 &amp; "/mouse/3dw_ca91e976-7daf-4898-a818-6dfd145d9214/rendering/04.obj", "35.8775215149")</f>
        <v>35.8775215149</v>
      </c>
      <c r="H1633" s="20" t="str">
        <f>HYPERLINK(AA2 &amp; "/mouse/3dw_ca91e976-7daf-4898-a818-6dfd145d9214/rendering/05.obj", "163.371276855")</f>
        <v>163.371276855</v>
      </c>
      <c r="I1633" s="20" t="str">
        <f>HYPERLINK(AA2 &amp; "/mouse/3dw_ca91e976-7daf-4898-a818-6dfd145d9214/rendering/06.obj", "90.3003005981")</f>
        <v>90.3003005981</v>
      </c>
      <c r="J1633" s="224" t="str">
        <f>HYPERLINK(AA2 &amp; "/mouse/3dw_ca91e976-7daf-4898-a818-6dfd145d9214/rendering/07.obj", "9.85679626465")</f>
        <v>9.85679626465</v>
      </c>
      <c r="K1633" s="214" t="str">
        <f>HYPERLINK(AA2 &amp; "/mouse/3dw_ca91e976-7daf-4898-a818-6dfd145d9214/rendering/08.obj", "12.898015976")</f>
        <v>12.898015976</v>
      </c>
      <c r="L1633" s="62" t="str">
        <f>HYPERLINK(AA2 &amp; "/mouse/3dw_ca91e976-7daf-4898-a818-6dfd145d9214/rendering/09.obj", "13.5419111252")</f>
        <v>13.5419111252</v>
      </c>
      <c r="M1633" s="13" t="str">
        <f>HYPERLINK(AA2 &amp; "/mouse/3dw_ca91e976-7daf-4898-a818-6dfd145d9214/rendering/10.obj", "33.690826416")</f>
        <v>33.690826416</v>
      </c>
      <c r="N1633" s="248" t="str">
        <f>HYPERLINK(AA2 &amp; "/mouse/3dw_ca91e976-7daf-4898-a818-6dfd145d9214/rendering/11.obj", "55.7496376038")</f>
        <v>55.7496376038</v>
      </c>
      <c r="O1633" s="215" t="str">
        <f>HYPERLINK(AA2 &amp; "/mouse/3dw_ca91e976-7daf-4898-a818-6dfd145d9214/rendering/12.obj", "56.0868530273")</f>
        <v>56.0868530273</v>
      </c>
      <c r="P1633" s="224" t="str">
        <f>HYPERLINK(AA2 &amp; "/mouse/3dw_ca91e976-7daf-4898-a818-6dfd145d9214/rendering/13.obj", "9.82337665558")</f>
        <v>9.82337665558</v>
      </c>
      <c r="Q1633" s="184" t="str">
        <f>HYPERLINK(AA2 &amp; "/mouse/3dw_ca91e976-7daf-4898-a818-6dfd145d9214/rendering/14.obj", "8.90111541748")</f>
        <v>8.90111541748</v>
      </c>
      <c r="R1633" s="96" t="str">
        <f>HYPERLINK(AA2 &amp; "/mouse/3dw_ca91e976-7daf-4898-a818-6dfd145d9214/rendering/15.obj", "21.4537658691")</f>
        <v>21.4537658691</v>
      </c>
      <c r="S1633" s="20" t="str">
        <f>HYPERLINK(AA2 &amp; "/mouse/3dw_ca91e976-7daf-4898-a818-6dfd145d9214/rendering/16.obj", "6.54254150391")</f>
        <v>6.54254150391</v>
      </c>
      <c r="T1633" s="149" t="str">
        <f>HYPERLINK(AA2 &amp; "/mouse/3dw_ca91e976-7daf-4898-a818-6dfd145d9214/rendering/17.obj", "45.1764831543")</f>
        <v>45.1764831543</v>
      </c>
      <c r="U1633" s="157" t="str">
        <f>HYPERLINK(AA2 &amp; "/mouse/3dw_ca91e976-7daf-4898-a818-6dfd145d9214/rendering/18.obj", "19.631855011")</f>
        <v>19.631855011</v>
      </c>
      <c r="V1633" s="132" t="str">
        <f>HYPERLINK(AA2 &amp; "/mouse/3dw_ca91e976-7daf-4898-a818-6dfd145d9214/rendering/19.obj", "19.5143184662")</f>
        <v>19.5143184662</v>
      </c>
      <c r="W1633" s="12" t="s">
        <v>30</v>
      </c>
      <c r="X1633" s="13">
        <v>33.596174883842473</v>
      </c>
      <c r="Y1633" s="13">
        <v>36.729225963636942</v>
      </c>
      <c r="Z1633" s="20">
        <v>1.0932561843908379</v>
      </c>
    </row>
    <row r="1634" spans="1:26" x14ac:dyDescent="0.2">
      <c r="A1634" s="1">
        <v>1632</v>
      </c>
      <c r="B1634" s="2" t="s">
        <v>359</v>
      </c>
      <c r="C1634" s="29" t="str">
        <f>HYPERLINK(AB2 &amp; "/mouse/3dw_ca91e976-7daf-4898-a818-6dfd145d9214/rendering/00.obj", "2.48624435425")</f>
        <v>2.48624435425</v>
      </c>
      <c r="D1634" s="51" t="str">
        <f>HYPERLINK(AB2 &amp; "/mouse/3dw_ca91e976-7daf-4898-a818-6dfd145d9214/rendering/01.obj", "2.02037811279")</f>
        <v>2.02037811279</v>
      </c>
      <c r="E1634" s="73" t="str">
        <f>HYPERLINK(AB2 &amp; "/mouse/3dw_ca91e976-7daf-4898-a818-6dfd145d9214/rendering/02.obj", "2.27806228638")</f>
        <v>2.27806228638</v>
      </c>
      <c r="F1634" s="94" t="str">
        <f>HYPERLINK(AB2 &amp; "/mouse/3dw_ca91e976-7daf-4898-a818-6dfd145d9214/rendering/03.obj", "2.03405044556")</f>
        <v>2.03405044556</v>
      </c>
      <c r="G1634" s="70" t="str">
        <f>HYPERLINK(AB2 &amp; "/mouse/3dw_ca91e976-7daf-4898-a818-6dfd145d9214/rendering/04.obj", "1.92067901611")</f>
        <v>1.92067901611</v>
      </c>
      <c r="H1634" s="34" t="str">
        <f>HYPERLINK(AB2 &amp; "/mouse/3dw_ca91e976-7daf-4898-a818-6dfd145d9214/rendering/05.obj", "2.09359634399")</f>
        <v>2.09359634399</v>
      </c>
      <c r="I1634" s="29" t="str">
        <f>HYPERLINK(AB2 &amp; "/mouse/3dw_ca91e976-7daf-4898-a818-6dfd145d9214/rendering/06.obj", "2.48783401489")</f>
        <v>2.48783401489</v>
      </c>
      <c r="J1634" s="43" t="str">
        <f>HYPERLINK(AB2 &amp; "/mouse/3dw_ca91e976-7daf-4898-a818-6dfd145d9214/rendering/07.obj", "3.02372833252")</f>
        <v>3.02372833252</v>
      </c>
      <c r="K1634" s="74" t="str">
        <f>HYPERLINK(AB2 &amp; "/mouse/3dw_ca91e976-7daf-4898-a818-6dfd145d9214/rendering/08.obj", "2.16960632324")</f>
        <v>2.16960632324</v>
      </c>
      <c r="L1634" s="117" t="str">
        <f>HYPERLINK(AB2 &amp; "/mouse/3dw_ca91e976-7daf-4898-a818-6dfd145d9214/rendering/09.obj", "1.80638290405")</f>
        <v>1.80638290405</v>
      </c>
      <c r="M1634" s="25" t="str">
        <f>HYPERLINK(AB2 &amp; "/mouse/3dw_ca91e976-7daf-4898-a818-6dfd145d9214/rendering/10.obj", "2.2252633667")</f>
        <v>2.2252633667</v>
      </c>
      <c r="N1634" s="36" t="str">
        <f>HYPERLINK(AB2 &amp; "/mouse/3dw_ca91e976-7daf-4898-a818-6dfd145d9214/rendering/11.obj", "2.66832763672")</f>
        <v>2.66832763672</v>
      </c>
      <c r="O1634" s="106" t="str">
        <f>HYPERLINK(AB2 &amp; "/mouse/3dw_ca91e976-7daf-4898-a818-6dfd145d9214/rendering/12.obj", "1.94783782959")</f>
        <v>1.94783782959</v>
      </c>
      <c r="P1634" s="36" t="str">
        <f>HYPERLINK(AB2 &amp; "/mouse/3dw_ca91e976-7daf-4898-a818-6dfd145d9214/rendering/13.obj", "1.72830429077")</f>
        <v>1.72830429077</v>
      </c>
      <c r="Q1634" s="29" t="str">
        <f>HYPERLINK(AB2 &amp; "/mouse/3dw_ca91e976-7daf-4898-a818-6dfd145d9214/rendering/14.obj", "1.90895172119")</f>
        <v>1.90895172119</v>
      </c>
      <c r="R1634" s="8" t="str">
        <f>HYPERLINK(AB2 &amp; "/mouse/3dw_ca91e976-7daf-4898-a818-6dfd145d9214/rendering/15.obj", "1.88812713623")</f>
        <v>1.88812713623</v>
      </c>
      <c r="S1634" s="10" t="str">
        <f>HYPERLINK(AB2 &amp; "/mouse/3dw_ca91e976-7daf-4898-a818-6dfd145d9214/rendering/16.obj", "2.0754296875")</f>
        <v>2.0754296875</v>
      </c>
      <c r="T1634" s="171" t="str">
        <f>HYPERLINK(AB2 &amp; "/mouse/3dw_ca91e976-7daf-4898-a818-6dfd145d9214/rendering/17.obj", "2.87258850098")</f>
        <v>2.87258850098</v>
      </c>
      <c r="U1634" s="46" t="str">
        <f>HYPERLINK(AB2 &amp; "/mouse/3dw_ca91e976-7daf-4898-a818-6dfd145d9214/rendering/18.obj", "2.16042358398")</f>
        <v>2.16042358398</v>
      </c>
      <c r="V1634" s="25" t="str">
        <f>HYPERLINK(AB2 &amp; "/mouse/3dw_ca91e976-7daf-4898-a818-6dfd145d9214/rendering/19.obj", "2.17650024414")</f>
        <v>2.17650024414</v>
      </c>
      <c r="W1634" s="12" t="s">
        <v>31</v>
      </c>
      <c r="X1634" s="13">
        <v>2.19861580657959</v>
      </c>
      <c r="Y1634" s="13">
        <v>0.34003002974152868</v>
      </c>
      <c r="Z1634" s="31">
        <v>0.154656410967279</v>
      </c>
    </row>
    <row r="1635" spans="1:26" x14ac:dyDescent="0.2">
      <c r="A1635" s="1">
        <v>1633</v>
      </c>
      <c r="B1635" s="2" t="s">
        <v>359</v>
      </c>
      <c r="C1635" s="158" t="str">
        <f>HYPERLINK(AB2 &amp; "/mouse/3dw_ca91e976-7daf-4898-a818-6dfd145d9214/rendering/00.obj", "8.67907524109")</f>
        <v>8.67907524109</v>
      </c>
      <c r="D1635" s="32" t="str">
        <f>HYPERLINK(AB2 &amp; "/mouse/3dw_ca91e976-7daf-4898-a818-6dfd145d9214/rendering/01.obj", "5.50576639175")</f>
        <v>5.50576639175</v>
      </c>
      <c r="E1635" s="106" t="str">
        <f>HYPERLINK(AB2 &amp; "/mouse/3dw_ca91e976-7daf-4898-a818-6dfd145d9214/rendering/02.obj", "5.45719242096")</f>
        <v>5.45719242096</v>
      </c>
      <c r="F1635" s="6" t="str">
        <f>HYPERLINK(AB2 &amp; "/mouse/3dw_ca91e976-7daf-4898-a818-6dfd145d9214/rendering/03.obj", "5.87979316711")</f>
        <v>5.87979316711</v>
      </c>
      <c r="G1635" s="35" t="str">
        <f>HYPERLINK(AB2 &amp; "/mouse/3dw_ca91e976-7daf-4898-a818-6dfd145d9214/rendering/04.obj", "5.79483938217")</f>
        <v>5.79483938217</v>
      </c>
      <c r="H1635" s="106" t="str">
        <f>HYPERLINK(AB2 &amp; "/mouse/3dw_ca91e976-7daf-4898-a818-6dfd145d9214/rendering/05.obj", "5.45745277405")</f>
        <v>5.45745277405</v>
      </c>
      <c r="I1635" s="109" t="str">
        <f>HYPERLINK(AB2 &amp; "/mouse/3dw_ca91e976-7daf-4898-a818-6dfd145d9214/rendering/06.obj", "7.32705307007")</f>
        <v>7.32705307007</v>
      </c>
      <c r="J1635" s="35" t="str">
        <f>HYPERLINK(AB2 &amp; "/mouse/3dw_ca91e976-7daf-4898-a818-6dfd145d9214/rendering/07.obj", "6.50771045685")</f>
        <v>6.50771045685</v>
      </c>
      <c r="K1635" s="152" t="str">
        <f>HYPERLINK(AB2 &amp; "/mouse/3dw_ca91e976-7daf-4898-a818-6dfd145d9214/rendering/08.obj", "8.66295146942")</f>
        <v>8.66295146942</v>
      </c>
      <c r="L1635" s="93" t="str">
        <f>HYPERLINK(AB2 &amp; "/mouse/3dw_ca91e976-7daf-4898-a818-6dfd145d9214/rendering/09.obj", "5.28926086426")</f>
        <v>5.28926086426</v>
      </c>
      <c r="M1635" s="24" t="str">
        <f>HYPERLINK(AB2 &amp; "/mouse/3dw_ca91e976-7daf-4898-a818-6dfd145d9214/rendering/10.obj", "5.12821578979")</f>
        <v>5.12821578979</v>
      </c>
      <c r="N1635" s="4" t="str">
        <f>HYPERLINK(AB2 &amp; "/mouse/3dw_ca91e976-7daf-4898-a818-6dfd145d9214/rendering/11.obj", "7.90134048462")</f>
        <v>7.90134048462</v>
      </c>
      <c r="O1635" s="119" t="str">
        <f>HYPERLINK(AB2 &amp; "/mouse/3dw_ca91e976-7daf-4898-a818-6dfd145d9214/rendering/12.obj", "4.52377796173")</f>
        <v>4.52377796173</v>
      </c>
      <c r="P1635" s="14" t="str">
        <f>HYPERLINK(AB2 &amp; "/mouse/3dw_ca91e976-7daf-4898-a818-6dfd145d9214/rendering/13.obj", "4.36214494705")</f>
        <v>4.36214494705</v>
      </c>
      <c r="Q1635" s="64" t="str">
        <f>HYPERLINK(AB2 &amp; "/mouse/3dw_ca91e976-7daf-4898-a818-6dfd145d9214/rendering/14.obj", "7.1722741127")</f>
        <v>7.1722741127</v>
      </c>
      <c r="R1635" s="72" t="str">
        <f>HYPERLINK(AB2 &amp; "/mouse/3dw_ca91e976-7daf-4898-a818-6dfd145d9214/rendering/15.obj", "6.35436153412")</f>
        <v>6.35436153412</v>
      </c>
      <c r="S1635" s="82" t="str">
        <f>HYPERLINK(AB2 &amp; "/mouse/3dw_ca91e976-7daf-4898-a818-6dfd145d9214/rendering/16.obj", "4.88361501694")</f>
        <v>4.88361501694</v>
      </c>
      <c r="T1635" s="41" t="str">
        <f>HYPERLINK(AB2 &amp; "/mouse/3dw_ca91e976-7daf-4898-a818-6dfd145d9214/rendering/17.obj", "6.57087182999")</f>
        <v>6.57087182999</v>
      </c>
      <c r="U1635" s="30" t="str">
        <f>HYPERLINK(AB2 &amp; "/mouse/3dw_ca91e976-7daf-4898-a818-6dfd145d9214/rendering/18.obj", "6.12078285217")</f>
        <v>6.12078285217</v>
      </c>
      <c r="V1635" s="32" t="str">
        <f>HYPERLINK(AB2 &amp; "/mouse/3dw_ca91e976-7daf-4898-a818-6dfd145d9214/rendering/19.obj", "5.51441049576")</f>
        <v>5.51441049576</v>
      </c>
      <c r="W1635" s="12" t="s">
        <v>32</v>
      </c>
      <c r="X1635" s="13">
        <v>6.1546445131301883</v>
      </c>
      <c r="Y1635" s="13">
        <v>1.219908797568428</v>
      </c>
      <c r="Z1635" s="50">
        <v>0.19820946522027399</v>
      </c>
    </row>
    <row r="1636" spans="1:26" x14ac:dyDescent="0.2">
      <c r="A1636" s="1">
        <v>1634</v>
      </c>
      <c r="B1636" s="2" t="s">
        <v>359</v>
      </c>
      <c r="C1636" s="13" t="str">
        <f>HYPERLINK(AC2 &amp; "/mouse/3dw_ca91e976-7daf-4898-a818-6dfd145d9214/rendering/00.xyz", "0.0")</f>
        <v>0.0</v>
      </c>
      <c r="D1636" s="13" t="str">
        <f>HYPERLINK(AC2 &amp; "/mouse/3dw_ca91e976-7daf-4898-a818-6dfd145d9214/rendering/01.xyz", "0.0")</f>
        <v>0.0</v>
      </c>
      <c r="E1636" s="13" t="str">
        <f>HYPERLINK(AC2 &amp; "/mouse/3dw_ca91e976-7daf-4898-a818-6dfd145d9214/rendering/02.xyz", "0.0")</f>
        <v>0.0</v>
      </c>
      <c r="F1636" s="13" t="str">
        <f>HYPERLINK(AC2 &amp; "/mouse/3dw_ca91e976-7daf-4898-a818-6dfd145d9214/rendering/03.xyz", "0.0")</f>
        <v>0.0</v>
      </c>
      <c r="G1636" s="13" t="str">
        <f>HYPERLINK(AC2 &amp; "/mouse/3dw_ca91e976-7daf-4898-a818-6dfd145d9214/rendering/04.xyz", "0.0")</f>
        <v>0.0</v>
      </c>
      <c r="H1636" s="13" t="str">
        <f>HYPERLINK(AC2 &amp; "/mouse/3dw_ca91e976-7daf-4898-a818-6dfd145d9214/rendering/05.xyz", "0.0")</f>
        <v>0.0</v>
      </c>
      <c r="I1636" s="13" t="str">
        <f>HYPERLINK(AC2 &amp; "/mouse/3dw_ca91e976-7daf-4898-a818-6dfd145d9214/rendering/06.xyz", "0.0")</f>
        <v>0.0</v>
      </c>
      <c r="J1636" s="13" t="str">
        <f>HYPERLINK(AC2 &amp; "/mouse/3dw_ca91e976-7daf-4898-a818-6dfd145d9214/rendering/07.xyz", "0.0")</f>
        <v>0.0</v>
      </c>
      <c r="K1636" s="13" t="str">
        <f>HYPERLINK(AC2 &amp; "/mouse/3dw_ca91e976-7daf-4898-a818-6dfd145d9214/rendering/08.xyz", "0.0")</f>
        <v>0.0</v>
      </c>
      <c r="L1636" s="13" t="str">
        <f>HYPERLINK(AC2 &amp; "/mouse/3dw_ca91e976-7daf-4898-a818-6dfd145d9214/rendering/09.xyz", "0.0")</f>
        <v>0.0</v>
      </c>
      <c r="M1636" s="13" t="str">
        <f>HYPERLINK(AC2 &amp; "/mouse/3dw_ca91e976-7daf-4898-a818-6dfd145d9214/rendering/10.xyz", "0.0")</f>
        <v>0.0</v>
      </c>
      <c r="N1636" s="13" t="str">
        <f>HYPERLINK(AC2 &amp; "/mouse/3dw_ca91e976-7daf-4898-a818-6dfd145d9214/rendering/11.xyz", "0.0")</f>
        <v>0.0</v>
      </c>
      <c r="O1636" s="13" t="str">
        <f>HYPERLINK(AC2 &amp; "/mouse/3dw_ca91e976-7daf-4898-a818-6dfd145d9214/rendering/12.xyz", "0.0")</f>
        <v>0.0</v>
      </c>
      <c r="P1636" s="13" t="str">
        <f>HYPERLINK(AC2 &amp; "/mouse/3dw_ca91e976-7daf-4898-a818-6dfd145d9214/rendering/13.xyz", "0.0")</f>
        <v>0.0</v>
      </c>
      <c r="Q1636" s="13" t="str">
        <f>HYPERLINK(AC2 &amp; "/mouse/3dw_ca91e976-7daf-4898-a818-6dfd145d9214/rendering/14.xyz", "0.0")</f>
        <v>0.0</v>
      </c>
      <c r="R1636" s="13" t="str">
        <f>HYPERLINK(AC2 &amp; "/mouse/3dw_ca91e976-7daf-4898-a818-6dfd145d9214/rendering/15.xyz", "0.0")</f>
        <v>0.0</v>
      </c>
      <c r="S1636" s="13" t="str">
        <f>HYPERLINK(AC2 &amp; "/mouse/3dw_ca91e976-7daf-4898-a818-6dfd145d9214/rendering/16.xyz", "0.0")</f>
        <v>0.0</v>
      </c>
      <c r="T1636" s="13" t="str">
        <f>HYPERLINK(AC2 &amp; "/mouse/3dw_ca91e976-7daf-4898-a818-6dfd145d9214/rendering/17.xyz", "0.0")</f>
        <v>0.0</v>
      </c>
      <c r="U1636" s="13" t="str">
        <f>HYPERLINK(AC2 &amp; "/mouse/3dw_ca91e976-7daf-4898-a818-6dfd145d9214/rendering/18.xyz", "0.0")</f>
        <v>0.0</v>
      </c>
      <c r="V1636" s="13" t="str">
        <f>HYPERLINK(AC2 &amp; "/mouse/3dw_ca91e976-7daf-4898-a818-6dfd145d9214/rendering/19.xyz", "0.0")</f>
        <v>0.0</v>
      </c>
      <c r="W1636" s="12" t="s">
        <v>33</v>
      </c>
      <c r="X1636" s="13">
        <v>0</v>
      </c>
      <c r="Y1636" s="13">
        <v>0</v>
      </c>
      <c r="Z1636" s="13">
        <v>0</v>
      </c>
    </row>
    <row r="1637" spans="1:26" x14ac:dyDescent="0.2">
      <c r="A1637" s="1">
        <v>1635</v>
      </c>
      <c r="B1637" s="2" t="s">
        <v>360</v>
      </c>
      <c r="C1637" s="149" t="str">
        <f>HYPERLINK(AA2 &amp; "/mouse/3dw_d0828b3d-697b-4b50-93b3-32ae530a54e0/rendering/00.obj", "1.81860992432")</f>
        <v>1.81860992432</v>
      </c>
      <c r="D1637" s="123" t="str">
        <f>HYPERLINK(AA2 &amp; "/mouse/3dw_d0828b3d-697b-4b50-93b3-32ae530a54e0/rendering/01.obj", "3.79316497803")</f>
        <v>3.79316497803</v>
      </c>
      <c r="E1637" s="26" t="str">
        <f>HYPERLINK(AA2 &amp; "/mouse/3dw_d0828b3d-697b-4b50-93b3-32ae530a54e0/rendering/02.obj", "2.94928344727")</f>
        <v>2.94928344727</v>
      </c>
      <c r="F1637" s="194" t="str">
        <f>HYPERLINK(AA2 &amp; "/mouse/3dw_d0828b3d-697b-4b50-93b3-32ae530a54e0/rendering/03.obj", "4.49366271973")</f>
        <v>4.49366271973</v>
      </c>
      <c r="G1637" s="20" t="str">
        <f>HYPERLINK(AA2 &amp; "/mouse/3dw_d0828b3d-697b-4b50-93b3-32ae530a54e0/rendering/04.obj", "5.29016784668")</f>
        <v>5.29016784668</v>
      </c>
      <c r="H1637" s="54" t="str">
        <f>HYPERLINK(AA2 &amp; "/mouse/3dw_d0828b3d-697b-4b50-93b3-32ae530a54e0/rendering/05.obj", "3.67652618408")</f>
        <v>3.67652618408</v>
      </c>
      <c r="I1637" s="77" t="str">
        <f>HYPERLINK(AA2 &amp; "/mouse/3dw_d0828b3d-697b-4b50-93b3-32ae530a54e0/rendering/06.obj", "2.24856216431")</f>
        <v>2.24856216431</v>
      </c>
      <c r="J1637" s="100" t="str">
        <f>HYPERLINK(AA2 &amp; "/mouse/3dw_d0828b3d-697b-4b50-93b3-32ae530a54e0/rendering/07.obj", "1.94141921997")</f>
        <v>1.94141921997</v>
      </c>
      <c r="K1637" s="32" t="str">
        <f>HYPERLINK(AA2 &amp; "/mouse/3dw_d0828b3d-697b-4b50-93b3-32ae530a54e0/rendering/08.obj", "2.47940673828")</f>
        <v>2.47940673828</v>
      </c>
      <c r="L1637" s="95" t="str">
        <f>HYPERLINK(AA2 &amp; "/mouse/3dw_d0828b3d-697b-4b50-93b3-32ae530a54e0/rendering/09.obj", "1.9881413269")</f>
        <v>1.9881413269</v>
      </c>
      <c r="M1637" s="186" t="str">
        <f>HYPERLINK(AA2 &amp; "/mouse/3dw_d0828b3d-697b-4b50-93b3-32ae530a54e0/rendering/10.obj", "4.43490020752")</f>
        <v>4.43490020752</v>
      </c>
      <c r="N1637" s="185" t="str">
        <f>HYPERLINK(AA2 &amp; "/mouse/3dw_d0828b3d-697b-4b50-93b3-32ae530a54e0/rendering/11.obj", "1.82895217896")</f>
        <v>1.82895217896</v>
      </c>
      <c r="O1637" s="28" t="str">
        <f>HYPERLINK(AA2 &amp; "/mouse/3dw_d0828b3d-697b-4b50-93b3-32ae530a54e0/rendering/12.obj", "2.46037185669")</f>
        <v>2.46037185669</v>
      </c>
      <c r="P1637" s="5" t="str">
        <f>HYPERLINK(AA2 &amp; "/mouse/3dw_d0828b3d-697b-4b50-93b3-32ae530a54e0/rendering/13.obj", "2.98599578857")</f>
        <v>2.98599578857</v>
      </c>
      <c r="Q1637" s="8" t="str">
        <f>HYPERLINK(AA2 &amp; "/mouse/3dw_d0828b3d-697b-4b50-93b3-32ae530a54e0/rendering/14.obj", "2.37011993408")</f>
        <v>2.37011993408</v>
      </c>
      <c r="R1637" s="230" t="str">
        <f>HYPERLINK(AA2 &amp; "/mouse/3dw_d0828b3d-697b-4b50-93b3-32ae530a54e0/rendering/15.obj", "1.50811981201")</f>
        <v>1.50811981201</v>
      </c>
      <c r="S1637" s="143" t="str">
        <f>HYPERLINK(AA2 &amp; "/mouse/3dw_d0828b3d-697b-4b50-93b3-32ae530a54e0/rendering/16.obj", "1.46488052368")</f>
        <v>1.46488052368</v>
      </c>
      <c r="T1637" s="75" t="str">
        <f>HYPERLINK(AA2 &amp; "/mouse/3dw_d0828b3d-697b-4b50-93b3-32ae530a54e0/rendering/17.obj", "2.15652191162")</f>
        <v>2.15652191162</v>
      </c>
      <c r="U1637" s="94" t="str">
        <f>HYPERLINK(AA2 &amp; "/mouse/3dw_d0828b3d-697b-4b50-93b3-32ae530a54e0/rendering/18.obj", "2.56582702637")</f>
        <v>2.56582702637</v>
      </c>
      <c r="V1637" s="78" t="str">
        <f>HYPERLINK(AA2 &amp; "/mouse/3dw_d0828b3d-697b-4b50-93b3-32ae530a54e0/rendering/19.obj", "2.93979858398")</f>
        <v>2.93979858398</v>
      </c>
      <c r="W1637" s="12" t="s">
        <v>29</v>
      </c>
      <c r="X1637" s="13">
        <v>2.7697216186523441</v>
      </c>
      <c r="Y1637" s="13">
        <v>1.0364563183525799</v>
      </c>
      <c r="Z1637" s="43">
        <v>0.3742095636517021</v>
      </c>
    </row>
    <row r="1638" spans="1:26" x14ac:dyDescent="0.2">
      <c r="A1638" s="1">
        <v>1636</v>
      </c>
      <c r="B1638" s="2" t="s">
        <v>360</v>
      </c>
      <c r="C1638" s="137" t="str">
        <f>HYPERLINK(AA2 &amp; "/mouse/3dw_d0828b3d-697b-4b50-93b3-32ae530a54e0/rendering/00.obj", "5.32961797714")</f>
        <v>5.32961797714</v>
      </c>
      <c r="D1638" s="78" t="str">
        <f>HYPERLINK(AA2 &amp; "/mouse/3dw_d0828b3d-697b-4b50-93b3-32ae530a54e0/rendering/01.obj", "7.89303779602")</f>
        <v>7.89303779602</v>
      </c>
      <c r="E1638" s="47" t="str">
        <f>HYPERLINK(AA2 &amp; "/mouse/3dw_d0828b3d-697b-4b50-93b3-32ae530a54e0/rendering/02.obj", "8.33097362518")</f>
        <v>8.33097362518</v>
      </c>
      <c r="F1638" s="206" t="str">
        <f>HYPERLINK(AA2 &amp; "/mouse/3dw_d0828b3d-697b-4b50-93b3-32ae530a54e0/rendering/03.obj", "13.3683338165")</f>
        <v>13.3683338165</v>
      </c>
      <c r="G1638" s="20" t="str">
        <f>HYPERLINK(AA2 &amp; "/mouse/3dw_d0828b3d-697b-4b50-93b3-32ae530a54e0/rendering/04.obj", "21.7380142212")</f>
        <v>21.7380142212</v>
      </c>
      <c r="H1638" s="168" t="str">
        <f>HYPERLINK(AA2 &amp; "/mouse/3dw_d0828b3d-697b-4b50-93b3-32ae530a54e0/rendering/05.obj", "11.1160364151")</f>
        <v>11.1160364151</v>
      </c>
      <c r="I1638" s="85" t="str">
        <f>HYPERLINK(AA2 &amp; "/mouse/3dw_d0828b3d-697b-4b50-93b3-32ae530a54e0/rendering/06.obj", "5.90409851074")</f>
        <v>5.90409851074</v>
      </c>
      <c r="J1638" s="158" t="str">
        <f>HYPERLINK(AA2 &amp; "/mouse/3dw_d0828b3d-697b-4b50-93b3-32ae530a54e0/rendering/07.obj", "4.96753168106")</f>
        <v>4.96753168106</v>
      </c>
      <c r="K1638" s="10" t="str">
        <f>HYPERLINK(AA2 &amp; "/mouse/3dw_d0828b3d-697b-4b50-93b3-32ae530a54e0/rendering/08.obj", "7.9323759079")</f>
        <v>7.9323759079</v>
      </c>
      <c r="L1638" s="54" t="str">
        <f>HYPERLINK(AA2 &amp; "/mouse/3dw_d0828b3d-697b-4b50-93b3-32ae530a54e0/rendering/09.obj", "5.64692878723")</f>
        <v>5.64692878723</v>
      </c>
      <c r="M1638" s="183" t="str">
        <f>HYPERLINK(AA2 &amp; "/mouse/3dw_d0828b3d-697b-4b50-93b3-32ae530a54e0/rendering/10.obj", "14.7340517044")</f>
        <v>14.7340517044</v>
      </c>
      <c r="N1638" s="123" t="str">
        <f>HYPERLINK(AA2 &amp; "/mouse/3dw_d0828b3d-697b-4b50-93b3-32ae530a54e0/rendering/11.obj", "5.31641817093")</f>
        <v>5.31641817093</v>
      </c>
      <c r="O1638" s="81" t="str">
        <f>HYPERLINK(AA2 &amp; "/mouse/3dw_d0828b3d-697b-4b50-93b3-32ae530a54e0/rendering/12.obj", "10.2352256775")</f>
        <v>10.2352256775</v>
      </c>
      <c r="P1638" s="25" t="str">
        <f>HYPERLINK(AA2 &amp; "/mouse/3dw_d0828b3d-697b-4b50-93b3-32ae530a54e0/rendering/13.obj", "8.32217407227")</f>
        <v>8.32217407227</v>
      </c>
      <c r="Q1638" s="6" t="str">
        <f>HYPERLINK(AA2 &amp; "/mouse/3dw_d0828b3d-697b-4b50-93b3-32ae530a54e0/rendering/14.obj", "8.01415538788")</f>
        <v>8.01415538788</v>
      </c>
      <c r="R1638" s="150" t="str">
        <f>HYPERLINK(AA2 &amp; "/mouse/3dw_d0828b3d-697b-4b50-93b3-32ae530a54e0/rendering/15.obj", "3.87863373756")</f>
        <v>3.87863373756</v>
      </c>
      <c r="S1638" s="227" t="str">
        <f>HYPERLINK(AA2 &amp; "/mouse/3dw_d0828b3d-697b-4b50-93b3-32ae530a54e0/rendering/16.obj", "4.13106155396")</f>
        <v>4.13106155396</v>
      </c>
      <c r="T1638" s="170" t="str">
        <f>HYPERLINK(AA2 &amp; "/mouse/3dw_d0828b3d-697b-4b50-93b3-32ae530a54e0/rendering/17.obj", "6.28055477142")</f>
        <v>6.28055477142</v>
      </c>
      <c r="U1638" s="77" t="str">
        <f>HYPERLINK(AA2 &amp; "/mouse/3dw_d0828b3d-697b-4b50-93b3-32ae530a54e0/rendering/18.obj", "6.83893156052")</f>
        <v>6.83893156052</v>
      </c>
      <c r="V1638" s="72" t="str">
        <f>HYPERLINK(AA2 &amp; "/mouse/3dw_d0828b3d-697b-4b50-93b3-32ae530a54e0/rendering/19.obj", "8.14115524292")</f>
        <v>8.14115524292</v>
      </c>
      <c r="W1638" s="12" t="s">
        <v>30</v>
      </c>
      <c r="X1638" s="13">
        <v>8.4059655308723453</v>
      </c>
      <c r="Y1638" s="13">
        <v>4.1489505277039536</v>
      </c>
      <c r="Z1638" s="213">
        <v>0.49357215568708002</v>
      </c>
    </row>
    <row r="1639" spans="1:26" x14ac:dyDescent="0.2">
      <c r="A1639" s="1">
        <v>1637</v>
      </c>
      <c r="B1639" s="2" t="s">
        <v>360</v>
      </c>
      <c r="C1639" s="84" t="str">
        <f>HYPERLINK(AB2 &amp; "/mouse/3dw_d0828b3d-697b-4b50-93b3-32ae530a54e0/rendering/00.obj", "1.53532531738")</f>
        <v>1.53532531738</v>
      </c>
      <c r="D1639" s="25" t="str">
        <f>HYPERLINK(AB2 &amp; "/mouse/3dw_d0828b3d-697b-4b50-93b3-32ae530a54e0/rendering/01.obj", "1.81795166016")</f>
        <v>1.81795166016</v>
      </c>
      <c r="E1639" s="60" t="str">
        <f>HYPERLINK(AB2 &amp; "/mouse/3dw_d0828b3d-697b-4b50-93b3-32ae530a54e0/rendering/02.obj", "1.70471237183")</f>
        <v>1.70471237183</v>
      </c>
      <c r="F1639" s="35" t="str">
        <f>HYPERLINK(AB2 &amp; "/mouse/3dw_d0828b3d-697b-4b50-93b3-32ae530a54e0/rendering/03.obj", "1.8984475708")</f>
        <v>1.8984475708</v>
      </c>
      <c r="G1639" s="5" t="str">
        <f>HYPERLINK(AB2 &amp; "/mouse/3dw_d0828b3d-697b-4b50-93b3-32ae530a54e0/rendering/04.obj", "1.65697570801")</f>
        <v>1.65697570801</v>
      </c>
      <c r="H1639" s="133" t="str">
        <f>HYPERLINK(AB2 &amp; "/mouse/3dw_d0828b3d-697b-4b50-93b3-32ae530a54e0/rendering/05.obj", "1.97873046875")</f>
        <v>1.97873046875</v>
      </c>
      <c r="I1639" s="33" t="str">
        <f>HYPERLINK(AB2 &amp; "/mouse/3dw_d0828b3d-697b-4b50-93b3-32ae530a54e0/rendering/06.obj", "1.59938751221")</f>
        <v>1.59938751221</v>
      </c>
      <c r="J1639" s="40" t="str">
        <f>HYPERLINK(AB2 &amp; "/mouse/3dw_d0828b3d-697b-4b50-93b3-32ae530a54e0/rendering/07.obj", "2.10462905884")</f>
        <v>2.10462905884</v>
      </c>
      <c r="K1639" s="10" t="str">
        <f>HYPERLINK(AB2 &amp; "/mouse/3dw_d0828b3d-697b-4b50-93b3-32ae530a54e0/rendering/08.obj", "1.89755004883")</f>
        <v>1.89755004883</v>
      </c>
      <c r="L1639" s="90" t="str">
        <f>HYPERLINK(AB2 &amp; "/mouse/3dw_d0828b3d-697b-4b50-93b3-32ae530a54e0/rendering/09.obj", "1.62468032837")</f>
        <v>1.62468032837</v>
      </c>
      <c r="M1639" s="13" t="str">
        <f>HYPERLINK(AB2 &amp; "/mouse/3dw_d0828b3d-697b-4b50-93b3-32ae530a54e0/rendering/10.obj", "1.80030395508")</f>
        <v>1.80030395508</v>
      </c>
      <c r="N1639" s="65" t="str">
        <f>HYPERLINK(AB2 &amp; "/mouse/3dw_d0828b3d-697b-4b50-93b3-32ae530a54e0/rendering/11.obj", "2.03806640625")</f>
        <v>2.03806640625</v>
      </c>
      <c r="O1639" s="33" t="str">
        <f>HYPERLINK(AB2 &amp; "/mouse/3dw_d0828b3d-697b-4b50-93b3-32ae530a54e0/rendering/12.obj", "1.60005706787")</f>
        <v>1.60005706787</v>
      </c>
      <c r="P1639" s="41" t="str">
        <f>HYPERLINK(AB2 &amp; "/mouse/3dw_d0828b3d-697b-4b50-93b3-32ae530a54e0/rendering/13.obj", "1.67516265869")</f>
        <v>1.67516265869</v>
      </c>
      <c r="Q1639" s="63" t="str">
        <f>HYPERLINK(AB2 &amp; "/mouse/3dw_d0828b3d-697b-4b50-93b3-32ae530a54e0/rendering/14.obj", "1.57664886475")</f>
        <v>1.57664886475</v>
      </c>
      <c r="R1639" s="109" t="str">
        <f>HYPERLINK(AB2 &amp; "/mouse/3dw_d0828b3d-697b-4b50-93b3-32ae530a54e0/rendering/15.obj", "2.13747131348")</f>
        <v>2.13747131348</v>
      </c>
      <c r="S1639" s="91" t="str">
        <f>HYPERLINK(AB2 &amp; "/mouse/3dw_d0828b3d-697b-4b50-93b3-32ae530a54e0/rendering/16.obj", "1.74668762207")</f>
        <v>1.74668762207</v>
      </c>
      <c r="T1639" s="69" t="str">
        <f>HYPERLINK(AB2 &amp; "/mouse/3dw_d0828b3d-697b-4b50-93b3-32ae530a54e0/rendering/17.obj", "1.85043014526")</f>
        <v>1.85043014526</v>
      </c>
      <c r="U1639" s="17" t="str">
        <f>HYPERLINK(AB2 &amp; "/mouse/3dw_d0828b3d-697b-4b50-93b3-32ae530a54e0/rendering/18.obj", "1.83382202148")</f>
        <v>1.83382202148</v>
      </c>
      <c r="V1639" s="69" t="str">
        <f>HYPERLINK(AB2 &amp; "/mouse/3dw_d0828b3d-697b-4b50-93b3-32ae530a54e0/rendering/19.obj", "1.85055633545")</f>
        <v>1.85055633545</v>
      </c>
      <c r="W1639" s="12" t="s">
        <v>31</v>
      </c>
      <c r="X1639" s="13">
        <v>1.7963798217773439</v>
      </c>
      <c r="Y1639" s="13">
        <v>0.1731585106593749</v>
      </c>
      <c r="Z1639" s="90">
        <v>9.6393039244925038E-2</v>
      </c>
    </row>
    <row r="1640" spans="1:26" x14ac:dyDescent="0.2">
      <c r="A1640" s="1">
        <v>1638</v>
      </c>
      <c r="B1640" s="2" t="s">
        <v>360</v>
      </c>
      <c r="C1640" s="74" t="str">
        <f>HYPERLINK(AB2 &amp; "/mouse/3dw_d0828b3d-697b-4b50-93b3-32ae530a54e0/rendering/00.obj", "3.59484505653")</f>
        <v>3.59484505653</v>
      </c>
      <c r="D1640" s="26" t="str">
        <f>HYPERLINK(AB2 &amp; "/mouse/3dw_d0828b3d-697b-4b50-93b3-32ae530a54e0/rendering/01.obj", "3.41009736061")</f>
        <v>3.41009736061</v>
      </c>
      <c r="E1640" s="78" t="str">
        <f>HYPERLINK(AB2 &amp; "/mouse/3dw_d0828b3d-697b-4b50-93b3-32ae530a54e0/rendering/02.obj", "3.42748427391")</f>
        <v>3.42748427391</v>
      </c>
      <c r="F1640" s="5" t="str">
        <f>HYPERLINK(AB2 &amp; "/mouse/3dw_d0828b3d-697b-4b50-93b3-32ae530a54e0/rendering/03.obj", "3.92581772804")</f>
        <v>3.92581772804</v>
      </c>
      <c r="G1640" s="10" t="str">
        <f>HYPERLINK(AB2 &amp; "/mouse/3dw_d0828b3d-697b-4b50-93b3-32ae530a54e0/rendering/04.obj", "3.44986534119")</f>
        <v>3.44986534119</v>
      </c>
      <c r="H1640" s="92" t="str">
        <f>HYPERLINK(AB2 &amp; "/mouse/3dw_d0828b3d-697b-4b50-93b3-32ae530a54e0/rendering/05.obj", "4.09823131561")</f>
        <v>4.09823131561</v>
      </c>
      <c r="I1640" s="35" t="str">
        <f>HYPERLINK(AB2 &amp; "/mouse/3dw_d0828b3d-697b-4b50-93b3-32ae530a54e0/rendering/06.obj", "3.43140983582")</f>
        <v>3.43140983582</v>
      </c>
      <c r="J1640" s="30" t="str">
        <f>HYPERLINK(AB2 &amp; "/mouse/3dw_d0828b3d-697b-4b50-93b3-32ae530a54e0/rendering/07.obj", "3.63181519508")</f>
        <v>3.63181519508</v>
      </c>
      <c r="K1640" s="73" t="str">
        <f>HYPERLINK(AB2 &amp; "/mouse/3dw_d0828b3d-697b-4b50-93b3-32ae530a54e0/rendering/08.obj", "3.77513766289")</f>
        <v>3.77513766289</v>
      </c>
      <c r="L1640" s="34" t="str">
        <f>HYPERLINK(AB2 &amp; "/mouse/3dw_d0828b3d-697b-4b50-93b3-32ae530a54e0/rendering/09.obj", "3.82651805878")</f>
        <v>3.82651805878</v>
      </c>
      <c r="M1640" s="41" t="str">
        <f>HYPERLINK(AB2 &amp; "/mouse/3dw_d0828b3d-697b-4b50-93b3-32ae530a54e0/rendering/10.obj", "3.40354180336")</f>
        <v>3.40354180336</v>
      </c>
      <c r="N1640" s="68" t="str">
        <f>HYPERLINK(AB2 &amp; "/mouse/3dw_d0828b3d-697b-4b50-93b3-32ae530a54e0/rendering/11.obj", "3.493309021")</f>
        <v>3.493309021</v>
      </c>
      <c r="O1640" s="69" t="str">
        <f>HYPERLINK(AB2 &amp; "/mouse/3dw_d0828b3d-697b-4b50-93b3-32ae530a54e0/rendering/12.obj", "3.75901055336")</f>
        <v>3.75901055336</v>
      </c>
      <c r="P1640" s="25" t="str">
        <f>HYPERLINK(AB2 &amp; "/mouse/3dw_d0828b3d-697b-4b50-93b3-32ae530a54e0/rendering/13.obj", "3.61124801636")</f>
        <v>3.61124801636</v>
      </c>
      <c r="Q1640" s="110" t="str">
        <f>HYPERLINK(AB2 &amp; "/mouse/3dw_d0828b3d-697b-4b50-93b3-32ae530a54e0/rendering/14.obj", "4.00850725174")</f>
        <v>4.00850725174</v>
      </c>
      <c r="R1640" s="63" t="str">
        <f>HYPERLINK(AB2 &amp; "/mouse/3dw_d0828b3d-697b-4b50-93b3-32ae530a54e0/rendering/15.obj", "3.2072262764")</f>
        <v>3.2072262764</v>
      </c>
      <c r="S1640" s="78" t="str">
        <f>HYPERLINK(AB2 &amp; "/mouse/3dw_d0828b3d-697b-4b50-93b3-32ae530a54e0/rendering/16.obj", "3.42259192467")</f>
        <v>3.42259192467</v>
      </c>
      <c r="T1640" s="68" t="str">
        <f>HYPERLINK(AB2 &amp; "/mouse/3dw_d0828b3d-697b-4b50-93b3-32ae530a54e0/rendering/17.obj", "3.49413251877")</f>
        <v>3.49413251877</v>
      </c>
      <c r="U1640" s="34" t="str">
        <f>HYPERLINK(AB2 &amp; "/mouse/3dw_d0828b3d-697b-4b50-93b3-32ae530a54e0/rendering/18.obj", "3.47343754768")</f>
        <v>3.47343754768</v>
      </c>
      <c r="V1640" s="175" t="str">
        <f>HYPERLINK(AB2 &amp; "/mouse/3dw_d0828b3d-697b-4b50-93b3-32ae530a54e0/rendering/19.obj", "4.4993314743")</f>
        <v>4.4993314743</v>
      </c>
      <c r="W1640" s="12" t="s">
        <v>32</v>
      </c>
      <c r="X1640" s="13">
        <v>3.6471779108047491</v>
      </c>
      <c r="Y1640" s="13">
        <v>0.29780215145915379</v>
      </c>
      <c r="Z1640" s="107">
        <v>8.165276242130011E-2</v>
      </c>
    </row>
    <row r="1641" spans="1:26" x14ac:dyDescent="0.2">
      <c r="A1641" s="1">
        <v>1639</v>
      </c>
      <c r="B1641" s="2" t="s">
        <v>360</v>
      </c>
      <c r="C1641" s="13" t="str">
        <f>HYPERLINK(AC2 &amp; "/mouse/3dw_d0828b3d-697b-4b50-93b3-32ae530a54e0/rendering/00.xyz", "0.0")</f>
        <v>0.0</v>
      </c>
      <c r="D1641" s="13" t="str">
        <f>HYPERLINK(AC2 &amp; "/mouse/3dw_d0828b3d-697b-4b50-93b3-32ae530a54e0/rendering/01.xyz", "0.0")</f>
        <v>0.0</v>
      </c>
      <c r="E1641" s="13" t="str">
        <f>HYPERLINK(AC2 &amp; "/mouse/3dw_d0828b3d-697b-4b50-93b3-32ae530a54e0/rendering/02.xyz", "0.0")</f>
        <v>0.0</v>
      </c>
      <c r="F1641" s="13" t="str">
        <f>HYPERLINK(AC2 &amp; "/mouse/3dw_d0828b3d-697b-4b50-93b3-32ae530a54e0/rendering/03.xyz", "0.0")</f>
        <v>0.0</v>
      </c>
      <c r="G1641" s="13" t="str">
        <f>HYPERLINK(AC2 &amp; "/mouse/3dw_d0828b3d-697b-4b50-93b3-32ae530a54e0/rendering/04.xyz", "0.0")</f>
        <v>0.0</v>
      </c>
      <c r="H1641" s="13" t="str">
        <f>HYPERLINK(AC2 &amp; "/mouse/3dw_d0828b3d-697b-4b50-93b3-32ae530a54e0/rendering/05.xyz", "0.0")</f>
        <v>0.0</v>
      </c>
      <c r="I1641" s="13" t="str">
        <f>HYPERLINK(AC2 &amp; "/mouse/3dw_d0828b3d-697b-4b50-93b3-32ae530a54e0/rendering/06.xyz", "0.0")</f>
        <v>0.0</v>
      </c>
      <c r="J1641" s="13" t="str">
        <f>HYPERLINK(AC2 &amp; "/mouse/3dw_d0828b3d-697b-4b50-93b3-32ae530a54e0/rendering/07.xyz", "0.0")</f>
        <v>0.0</v>
      </c>
      <c r="K1641" s="13" t="str">
        <f>HYPERLINK(AC2 &amp; "/mouse/3dw_d0828b3d-697b-4b50-93b3-32ae530a54e0/rendering/08.xyz", "0.0")</f>
        <v>0.0</v>
      </c>
      <c r="L1641" s="13" t="str">
        <f>HYPERLINK(AC2 &amp; "/mouse/3dw_d0828b3d-697b-4b50-93b3-32ae530a54e0/rendering/09.xyz", "0.0")</f>
        <v>0.0</v>
      </c>
      <c r="M1641" s="13" t="str">
        <f>HYPERLINK(AC2 &amp; "/mouse/3dw_d0828b3d-697b-4b50-93b3-32ae530a54e0/rendering/10.xyz", "0.0")</f>
        <v>0.0</v>
      </c>
      <c r="N1641" s="13" t="str">
        <f>HYPERLINK(AC2 &amp; "/mouse/3dw_d0828b3d-697b-4b50-93b3-32ae530a54e0/rendering/11.xyz", "0.0")</f>
        <v>0.0</v>
      </c>
      <c r="O1641" s="13" t="str">
        <f>HYPERLINK(AC2 &amp; "/mouse/3dw_d0828b3d-697b-4b50-93b3-32ae530a54e0/rendering/12.xyz", "0.0")</f>
        <v>0.0</v>
      </c>
      <c r="P1641" s="13" t="str">
        <f>HYPERLINK(AC2 &amp; "/mouse/3dw_d0828b3d-697b-4b50-93b3-32ae530a54e0/rendering/13.xyz", "0.0")</f>
        <v>0.0</v>
      </c>
      <c r="Q1641" s="13" t="str">
        <f>HYPERLINK(AC2 &amp; "/mouse/3dw_d0828b3d-697b-4b50-93b3-32ae530a54e0/rendering/14.xyz", "0.0")</f>
        <v>0.0</v>
      </c>
      <c r="R1641" s="13" t="str">
        <f>HYPERLINK(AC2 &amp; "/mouse/3dw_d0828b3d-697b-4b50-93b3-32ae530a54e0/rendering/15.xyz", "0.0")</f>
        <v>0.0</v>
      </c>
      <c r="S1641" s="13" t="str">
        <f>HYPERLINK(AC2 &amp; "/mouse/3dw_d0828b3d-697b-4b50-93b3-32ae530a54e0/rendering/16.xyz", "0.0")</f>
        <v>0.0</v>
      </c>
      <c r="T1641" s="13" t="str">
        <f>HYPERLINK(AC2 &amp; "/mouse/3dw_d0828b3d-697b-4b50-93b3-32ae530a54e0/rendering/17.xyz", "0.0")</f>
        <v>0.0</v>
      </c>
      <c r="U1641" s="13" t="str">
        <f>HYPERLINK(AC2 &amp; "/mouse/3dw_d0828b3d-697b-4b50-93b3-32ae530a54e0/rendering/18.xyz", "0.0")</f>
        <v>0.0</v>
      </c>
      <c r="V1641" s="13" t="str">
        <f>HYPERLINK(AC2 &amp; "/mouse/3dw_d0828b3d-697b-4b50-93b3-32ae530a54e0/rendering/19.xyz", "0.0")</f>
        <v>0.0</v>
      </c>
      <c r="W1641" s="12" t="s">
        <v>33</v>
      </c>
      <c r="X1641" s="13">
        <v>0</v>
      </c>
      <c r="Y1641" s="13">
        <v>0</v>
      </c>
      <c r="Z1641" s="13">
        <v>0</v>
      </c>
    </row>
    <row r="1642" spans="1:26" x14ac:dyDescent="0.2">
      <c r="A1642" s="1">
        <v>1640</v>
      </c>
      <c r="B1642" s="2" t="s">
        <v>361</v>
      </c>
      <c r="C1642" s="90" t="str">
        <f>HYPERLINK(AA2 &amp; "/mouse/3dw_d1978d26-76d6-474f-8b56-ba924310dd64/rendering/00.obj", "3.6551651001")</f>
        <v>3.6551651001</v>
      </c>
      <c r="D1642" s="88" t="str">
        <f>HYPERLINK(AA2 &amp; "/mouse/3dw_d1978d26-76d6-474f-8b56-ba924310dd64/rendering/01.obj", "2.66065490723")</f>
        <v>2.66065490723</v>
      </c>
      <c r="E1642" s="68" t="str">
        <f>HYPERLINK(AA2 &amp; "/mouse/3dw_d1978d26-76d6-474f-8b56-ba924310dd64/rendering/02.obj", "3.19605621338")</f>
        <v>3.19605621338</v>
      </c>
      <c r="F1642" s="7" t="str">
        <f>HYPERLINK(AA2 &amp; "/mouse/3dw_d1978d26-76d6-474f-8b56-ba924310dd64/rendering/03.obj", "2.41127166748")</f>
        <v>2.41127166748</v>
      </c>
      <c r="G1642" s="104" t="str">
        <f>HYPERLINK(AA2 &amp; "/mouse/3dw_d1978d26-76d6-474f-8b56-ba924310dd64/rendering/04.obj", "1.75277755737")</f>
        <v>1.75277755737</v>
      </c>
      <c r="H1642" s="53" t="str">
        <f>HYPERLINK(AA2 &amp; "/mouse/3dw_d1978d26-76d6-474f-8b56-ba924310dd64/rendering/05.obj", "4.71544891357")</f>
        <v>4.71544891357</v>
      </c>
      <c r="I1642" s="238" t="str">
        <f>HYPERLINK(AA2 &amp; "/mouse/3dw_d1978d26-76d6-474f-8b56-ba924310dd64/rendering/06.obj", "5.69024108887")</f>
        <v>5.69024108887</v>
      </c>
      <c r="J1642" s="142" t="str">
        <f>HYPERLINK(AA2 &amp; "/mouse/3dw_d1978d26-76d6-474f-8b56-ba924310dd64/rendering/07.obj", "2.02315353394")</f>
        <v>2.02315353394</v>
      </c>
      <c r="K1642" s="77" t="str">
        <f>HYPERLINK(AA2 &amp; "/mouse/3dw_d1978d26-76d6-474f-8b56-ba924310dd64/rendering/08.obj", "2.71492584229")</f>
        <v>2.71492584229</v>
      </c>
      <c r="L1642" s="103" t="str">
        <f>HYPERLINK(AA2 &amp; "/mouse/3dw_d1978d26-76d6-474f-8b56-ba924310dd64/rendering/09.obj", "2.25699127197")</f>
        <v>2.25699127197</v>
      </c>
      <c r="M1642" s="192" t="str">
        <f>HYPERLINK(AA2 &amp; "/mouse/3dw_d1978d26-76d6-474f-8b56-ba924310dd64/rendering/10.obj", "2.0963923645")</f>
        <v>2.0963923645</v>
      </c>
      <c r="N1642" s="132" t="str">
        <f>HYPERLINK(AA2 &amp; "/mouse/3dw_d1978d26-76d6-474f-8b56-ba924310dd64/rendering/11.obj", "1.94309310913")</f>
        <v>1.94309310913</v>
      </c>
      <c r="O1642" s="149" t="str">
        <f>HYPERLINK(AA2 &amp; "/mouse/3dw_d1978d26-76d6-474f-8b56-ba924310dd64/rendering/12.obj", "2.18939697266")</f>
        <v>2.18939697266</v>
      </c>
      <c r="P1642" s="108" t="str">
        <f>HYPERLINK(AA2 &amp; "/mouse/3dw_d1978d26-76d6-474f-8b56-ba924310dd64/rendering/13.obj", "2.51479309082")</f>
        <v>2.51479309082</v>
      </c>
      <c r="Q1642" s="212" t="str">
        <f>HYPERLINK(AA2 &amp; "/mouse/3dw_d1978d26-76d6-474f-8b56-ba924310dd64/rendering/14.obj", "1.89597747803")</f>
        <v>1.89597747803</v>
      </c>
      <c r="R1642" s="138" t="str">
        <f>HYPERLINK(AA2 &amp; "/mouse/3dw_d1978d26-76d6-474f-8b56-ba924310dd64/rendering/15.obj", "2.21438537598")</f>
        <v>2.21438537598</v>
      </c>
      <c r="S1642" s="20" t="str">
        <f>HYPERLINK(AA2 &amp; "/mouse/3dw_d1978d26-76d6-474f-8b56-ba924310dd64/rendering/16.obj", "13.8546044922")</f>
        <v>13.8546044922</v>
      </c>
      <c r="T1642" s="75" t="str">
        <f>HYPERLINK(AA2 &amp; "/mouse/3dw_d1978d26-76d6-474f-8b56-ba924310dd64/rendering/17.obj", "2.60176574707")</f>
        <v>2.60176574707</v>
      </c>
      <c r="U1642" s="98" t="str">
        <f>HYPERLINK(AA2 &amp; "/mouse/3dw_d1978d26-76d6-474f-8b56-ba924310dd64/rendering/18.obj", "4.10085266113")</f>
        <v>4.10085266113</v>
      </c>
      <c r="V1642" s="182" t="str">
        <f>HYPERLINK(AA2 &amp; "/mouse/3dw_d1978d26-76d6-474f-8b56-ba924310dd64/rendering/19.obj", "2.22574020386")</f>
        <v>2.22574020386</v>
      </c>
      <c r="W1642" s="12" t="s">
        <v>29</v>
      </c>
      <c r="X1642" s="13">
        <v>3.335684379577637</v>
      </c>
      <c r="Y1642" s="13">
        <v>2.612025474996893</v>
      </c>
      <c r="Z1642" s="232">
        <v>0.78305534270230548</v>
      </c>
    </row>
    <row r="1643" spans="1:26" x14ac:dyDescent="0.2">
      <c r="A1643" s="1">
        <v>1641</v>
      </c>
      <c r="B1643" s="2" t="s">
        <v>361</v>
      </c>
      <c r="C1643" s="26" t="str">
        <f>HYPERLINK(AA2 &amp; "/mouse/3dw_d1978d26-76d6-474f-8b56-ba924310dd64/rendering/00.obj", "9.94945812225")</f>
        <v>9.94945812225</v>
      </c>
      <c r="D1643" s="197" t="str">
        <f>HYPERLINK(AA2 &amp; "/mouse/3dw_d1978d26-76d6-474f-8b56-ba924310dd64/rendering/01.obj", "4.62190389633")</f>
        <v>4.62190389633</v>
      </c>
      <c r="E1643" s="100" t="str">
        <f>HYPERLINK(AA2 &amp; "/mouse/3dw_d1978d26-76d6-474f-8b56-ba924310dd64/rendering/02.obj", "7.45092630386")</f>
        <v>7.45092630386</v>
      </c>
      <c r="F1643" s="188" t="str">
        <f>HYPERLINK(AA2 &amp; "/mouse/3dw_d1978d26-76d6-474f-8b56-ba924310dd64/rendering/03.obj", "3.01072025299")</f>
        <v>3.01072025299</v>
      </c>
      <c r="G1643" s="214" t="str">
        <f>HYPERLINK(AA2 &amp; "/mouse/3dw_d1978d26-76d6-474f-8b56-ba924310dd64/rendering/04.obj", "4.07701683044")</f>
        <v>4.07701683044</v>
      </c>
      <c r="H1643" s="187" t="str">
        <f>HYPERLINK(AA2 &amp; "/mouse/3dw_d1978d26-76d6-474f-8b56-ba924310dd64/rendering/05.obj", "6.89292383194")</f>
        <v>6.89292383194</v>
      </c>
      <c r="I1643" s="184" t="str">
        <f>HYPERLINK(AA2 &amp; "/mouse/3dw_d1978d26-76d6-474f-8b56-ba924310dd64/rendering/06.obj", "18.4251422882")</f>
        <v>18.4251422882</v>
      </c>
      <c r="J1643" s="233" t="str">
        <f>HYPERLINK(AA2 &amp; "/mouse/3dw_d1978d26-76d6-474f-8b56-ba924310dd64/rendering/07.obj", "3.17580842972")</f>
        <v>3.17580842972</v>
      </c>
      <c r="K1643" s="97" t="str">
        <f>HYPERLINK(AA2 &amp; "/mouse/3dw_d1978d26-76d6-474f-8b56-ba924310dd64/rendering/08.obj", "5.99938774109")</f>
        <v>5.99938774109</v>
      </c>
      <c r="L1643" s="253" t="str">
        <f>HYPERLINK(AA2 &amp; "/mouse/3dw_d1978d26-76d6-474f-8b56-ba924310dd64/rendering/09.obj", "2.89887332916")</f>
        <v>2.89887332916</v>
      </c>
      <c r="M1643" s="184" t="str">
        <f>HYPERLINK(AA2 &amp; "/mouse/3dw_d1978d26-76d6-474f-8b56-ba924310dd64/rendering/10.obj", "2.79610776901")</f>
        <v>2.79610776901</v>
      </c>
      <c r="N1643" s="229" t="str">
        <f>HYPERLINK(AA2 &amp; "/mouse/3dw_d1978d26-76d6-474f-8b56-ba924310dd64/rendering/11.obj", "3.38407087326")</f>
        <v>3.38407087326</v>
      </c>
      <c r="O1643" s="165" t="str">
        <f>HYPERLINK(AA2 &amp; "/mouse/3dw_d1978d26-76d6-474f-8b56-ba924310dd64/rendering/12.obj", "3.27774119377")</f>
        <v>3.27774119377</v>
      </c>
      <c r="P1643" s="239" t="str">
        <f>HYPERLINK(AA2 &amp; "/mouse/3dw_d1978d26-76d6-474f-8b56-ba924310dd64/rendering/13.obj", "4.17572641373")</f>
        <v>4.17572641373</v>
      </c>
      <c r="Q1643" s="155" t="str">
        <f>HYPERLINK(AA2 &amp; "/mouse/3dw_d1978d26-76d6-474f-8b56-ba924310dd64/rendering/14.obj", "3.44689917564")</f>
        <v>3.44689917564</v>
      </c>
      <c r="R1643" s="127" t="str">
        <f>HYPERLINK(AA2 &amp; "/mouse/3dw_d1978d26-76d6-474f-8b56-ba924310dd64/rendering/15.obj", "5.09396839142")</f>
        <v>5.09396839142</v>
      </c>
      <c r="S1643" s="20" t="str">
        <f>HYPERLINK(AA2 &amp; "/mouse/3dw_d1978d26-76d6-474f-8b56-ba924310dd64/rendering/16.obj", "103.532302856")</f>
        <v>103.532302856</v>
      </c>
      <c r="T1643" s="246" t="str">
        <f>HYPERLINK(AA2 &amp; "/mouse/3dw_d1978d26-76d6-474f-8b56-ba924310dd64/rendering/17.obj", "4.13909053802")</f>
        <v>4.13909053802</v>
      </c>
      <c r="U1643" s="89" t="str">
        <f>HYPERLINK(AA2 &amp; "/mouse/3dw_d1978d26-76d6-474f-8b56-ba924310dd64/rendering/18.obj", "13.3677558899")</f>
        <v>13.3677558899</v>
      </c>
      <c r="V1643" s="154" t="str">
        <f>HYPERLINK(AA2 &amp; "/mouse/3dw_d1978d26-76d6-474f-8b56-ba924310dd64/rendering/19.obj", "2.71764612198")</f>
        <v>2.71764612198</v>
      </c>
      <c r="W1643" s="12" t="s">
        <v>30</v>
      </c>
      <c r="X1643" s="13">
        <v>10.6216735124588</v>
      </c>
      <c r="Y1643" s="13">
        <v>21.6726441212152</v>
      </c>
      <c r="Z1643" s="20">
        <v>2.0404170864218378</v>
      </c>
    </row>
    <row r="1644" spans="1:26" x14ac:dyDescent="0.2">
      <c r="A1644" s="1">
        <v>1642</v>
      </c>
      <c r="B1644" s="2" t="s">
        <v>361</v>
      </c>
      <c r="C1644" s="52" t="str">
        <f>HYPERLINK(AB2 &amp; "/mouse/3dw_d1978d26-76d6-474f-8b56-ba924310dd64/rendering/00.obj", "1.23284713745")</f>
        <v>1.23284713745</v>
      </c>
      <c r="D1644" s="44" t="str">
        <f>HYPERLINK(AB2 &amp; "/mouse/3dw_d1978d26-76d6-474f-8b56-ba924310dd64/rendering/01.obj", "1.65209716797")</f>
        <v>1.65209716797</v>
      </c>
      <c r="E1644" s="33" t="str">
        <f>HYPERLINK(AB2 &amp; "/mouse/3dw_d1978d26-76d6-474f-8b56-ba924310dd64/rendering/02.obj", "1.83290527344")</f>
        <v>1.83290527344</v>
      </c>
      <c r="F1644" s="151" t="str">
        <f>HYPERLINK(AB2 &amp; "/mouse/3dw_d1978d26-76d6-474f-8b56-ba924310dd64/rendering/03.obj", "2.79012695313")</f>
        <v>2.79012695313</v>
      </c>
      <c r="G1644" s="119" t="str">
        <f>HYPERLINK(AB2 &amp; "/mouse/3dw_d1978d26-76d6-474f-8b56-ba924310dd64/rendering/04.obj", "1.50794555664")</f>
        <v>1.50794555664</v>
      </c>
      <c r="H1644" s="72" t="str">
        <f>HYPERLINK(AB2 &amp; "/mouse/3dw_d1978d26-76d6-474f-8b56-ba924310dd64/rendering/05.obj", "2.11967712402")</f>
        <v>2.11967712402</v>
      </c>
      <c r="I1644" s="79" t="str">
        <f>HYPERLINK(AB2 &amp; "/mouse/3dw_d1978d26-76d6-474f-8b56-ba924310dd64/rendering/06.obj", "1.72812225342")</f>
        <v>1.72812225342</v>
      </c>
      <c r="J1644" s="117" t="str">
        <f>HYPERLINK(AB2 &amp; "/mouse/3dw_d1978d26-76d6-474f-8b56-ba924310dd64/rendering/07.obj", "1.68931381226")</f>
        <v>1.68931381226</v>
      </c>
      <c r="K1644" s="103" t="str">
        <f>HYPERLINK(AB2 &amp; "/mouse/3dw_d1978d26-76d6-474f-8b56-ba924310dd64/rendering/08.obj", "1.38669921875")</f>
        <v>1.38669921875</v>
      </c>
      <c r="L1644" s="198" t="str">
        <f>HYPERLINK(AB2 &amp; "/mouse/3dw_d1978d26-76d6-474f-8b56-ba924310dd64/rendering/09.obj", "2.84818847656")</f>
        <v>2.84818847656</v>
      </c>
      <c r="M1644" s="67" t="str">
        <f>HYPERLINK(AB2 &amp; "/mouse/3dw_d1978d26-76d6-474f-8b56-ba924310dd64/rendering/10.obj", "2.24168640137")</f>
        <v>2.24168640137</v>
      </c>
      <c r="N1644" s="64" t="str">
        <f>HYPERLINK(AB2 &amp; "/mouse/3dw_d1978d26-76d6-474f-8b56-ba924310dd64/rendering/11.obj", "2.39062149048")</f>
        <v>2.39062149048</v>
      </c>
      <c r="O1644" s="75" t="str">
        <f>HYPERLINK(AB2 &amp; "/mouse/3dw_d1978d26-76d6-474f-8b56-ba924310dd64/rendering/12.obj", "2.50785690308")</f>
        <v>2.50785690308</v>
      </c>
      <c r="P1644" s="25" t="str">
        <f>HYPERLINK(AB2 &amp; "/mouse/3dw_d1978d26-76d6-474f-8b56-ba924310dd64/rendering/13.obj", "2.03039047241")</f>
        <v>2.03039047241</v>
      </c>
      <c r="Q1644" s="89" t="str">
        <f>HYPERLINK(AB2 &amp; "/mouse/3dw_d1978d26-76d6-474f-8b56-ba924310dd64/rendering/14.obj", "1.52157546997")</f>
        <v>1.52157546997</v>
      </c>
      <c r="R1644" s="29" t="str">
        <f>HYPERLINK(AB2 &amp; "/mouse/3dw_d1978d26-76d6-474f-8b56-ba924310dd64/rendering/15.obj", "2.31847946167")</f>
        <v>2.31847946167</v>
      </c>
      <c r="S1644" s="8" t="str">
        <f>HYPERLINK(AB2 &amp; "/mouse/3dw_d1978d26-76d6-474f-8b56-ba924310dd64/rendering/16.obj", "2.34840606689")</f>
        <v>2.34840606689</v>
      </c>
      <c r="T1644" s="24" t="str">
        <f>HYPERLINK(AB2 &amp; "/mouse/3dw_d1978d26-76d6-474f-8b56-ba924310dd64/rendering/17.obj", "2.39785858154")</f>
        <v>2.39785858154</v>
      </c>
      <c r="U1644" s="24" t="str">
        <f>HYPERLINK(AB2 &amp; "/mouse/3dw_d1978d26-76d6-474f-8b56-ba924310dd64/rendering/18.obj", "1.70732757568")</f>
        <v>1.70732757568</v>
      </c>
      <c r="V1644" s="101" t="str">
        <f>HYPERLINK(AB2 &amp; "/mouse/3dw_d1978d26-76d6-474f-8b56-ba924310dd64/rendering/19.obj", "2.83059753418")</f>
        <v>2.83059753418</v>
      </c>
      <c r="W1644" s="12" t="s">
        <v>31</v>
      </c>
      <c r="X1644" s="13">
        <v>2.0541361465454102</v>
      </c>
      <c r="Y1644" s="13">
        <v>0.48378705914474263</v>
      </c>
      <c r="Z1644" s="136">
        <v>0.23551849762167049</v>
      </c>
    </row>
    <row r="1645" spans="1:26" x14ac:dyDescent="0.2">
      <c r="A1645" s="1">
        <v>1643</v>
      </c>
      <c r="B1645" s="2" t="s">
        <v>361</v>
      </c>
      <c r="C1645" s="82" t="str">
        <f>HYPERLINK(AB2 &amp; "/mouse/3dw_d1978d26-76d6-474f-8b56-ba924310dd64/rendering/00.obj", "1.81907260418")</f>
        <v>1.81907260418</v>
      </c>
      <c r="D1645" s="36" t="str">
        <f>HYPERLINK(AB2 &amp; "/mouse/3dw_d1978d26-76d6-474f-8b56-ba924310dd64/rendering/01.obj", "1.79484808445")</f>
        <v>1.79484808445</v>
      </c>
      <c r="E1645" s="5" t="str">
        <f>HYPERLINK(AB2 &amp; "/mouse/3dw_d1978d26-76d6-474f-8b56-ba924310dd64/rendering/02.obj", "2.4606051445")</f>
        <v>2.4606051445</v>
      </c>
      <c r="F1645" s="29" t="str">
        <f>HYPERLINK(AB2 &amp; "/mouse/3dw_d1978d26-76d6-474f-8b56-ba924310dd64/rendering/03.obj", "2.58772110939")</f>
        <v>2.58772110939</v>
      </c>
      <c r="G1645" s="32" t="str">
        <f>HYPERLINK(AB2 &amp; "/mouse/3dw_d1978d26-76d6-474f-8b56-ba924310dd64/rendering/04.obj", "2.04479670525")</f>
        <v>2.04479670525</v>
      </c>
      <c r="H1645" s="27" t="str">
        <f>HYPERLINK(AB2 &amp; "/mouse/3dw_d1978d26-76d6-474f-8b56-ba924310dd64/rendering/05.obj", "2.12786722183")</f>
        <v>2.12786722183</v>
      </c>
      <c r="I1645" s="24" t="str">
        <f>HYPERLINK(AB2 &amp; "/mouse/3dw_d1978d26-76d6-474f-8b56-ba924310dd64/rendering/06.obj", "1.90193045139")</f>
        <v>1.90193045139</v>
      </c>
      <c r="J1645" s="27" t="str">
        <f>HYPERLINK(AB2 &amp; "/mouse/3dw_d1978d26-76d6-474f-8b56-ba924310dd64/rendering/07.obj", "2.12630200386")</f>
        <v>2.12630200386</v>
      </c>
      <c r="K1645" s="79" t="str">
        <f>HYPERLINK(AB2 &amp; "/mouse/3dw_d1978d26-76d6-474f-8b56-ba924310dd64/rendering/08.obj", "1.92888844013")</f>
        <v>1.92888844013</v>
      </c>
      <c r="L1645" s="107" t="str">
        <f>HYPERLINK(AB2 &amp; "/mouse/3dw_d1978d26-76d6-474f-8b56-ba924310dd64/rendering/09.obj", "2.47633671761")</f>
        <v>2.47633671761</v>
      </c>
      <c r="M1645" s="58" t="str">
        <f>HYPERLINK(AB2 &amp; "/mouse/3dw_d1978d26-76d6-474f-8b56-ba924310dd64/rendering/10.obj", "2.84548616409")</f>
        <v>2.84548616409</v>
      </c>
      <c r="N1645" s="95" t="str">
        <f>HYPERLINK(AB2 &amp; "/mouse/3dw_d1978d26-76d6-474f-8b56-ba924310dd64/rendering/11.obj", "2.93042349815")</f>
        <v>2.93042349815</v>
      </c>
      <c r="O1645" s="51" t="str">
        <f>HYPERLINK(AB2 &amp; "/mouse/3dw_d1978d26-76d6-474f-8b56-ba924310dd64/rendering/12.obj", "2.10475707054")</f>
        <v>2.10475707054</v>
      </c>
      <c r="P1645" s="48" t="str">
        <f>HYPERLINK(AB2 &amp; "/mouse/3dw_d1978d26-76d6-474f-8b56-ba924310dd64/rendering/13.obj", "2.34477806091")</f>
        <v>2.34477806091</v>
      </c>
      <c r="Q1645" s="41" t="str">
        <f>HYPERLINK(AB2 &amp; "/mouse/3dw_d1978d26-76d6-474f-8b56-ba924310dd64/rendering/14.obj", "2.13410496712")</f>
        <v>2.13410496712</v>
      </c>
      <c r="R1645" s="25" t="str">
        <f>HYPERLINK(AB2 &amp; "/mouse/3dw_d1978d26-76d6-474f-8b56-ba924310dd64/rendering/15.obj", "2.26603674889")</f>
        <v>2.26603674889</v>
      </c>
      <c r="S1645" s="17" t="str">
        <f>HYPERLINK(AB2 &amp; "/mouse/3dw_d1978d26-76d6-474f-8b56-ba924310dd64/rendering/16.obj", "2.33160281181")</f>
        <v>2.33160281181</v>
      </c>
      <c r="T1645" s="198" t="str">
        <f>HYPERLINK(AB2 &amp; "/mouse/3dw_d1978d26-76d6-474f-8b56-ba924310dd64/rendering/17.obj", "3.17369008064")</f>
        <v>3.17369008064</v>
      </c>
      <c r="U1645" s="46" t="str">
        <f>HYPERLINK(AB2 &amp; "/mouse/3dw_d1978d26-76d6-474f-8b56-ba924310dd64/rendering/18.obj", "2.24829792976")</f>
        <v>2.24829792976</v>
      </c>
      <c r="V1645" s="5" t="str">
        <f>HYPERLINK(AB2 &amp; "/mouse/3dw_d1978d26-76d6-474f-8b56-ba924310dd64/rendering/19.obj", "2.109167099")</f>
        <v>2.109167099</v>
      </c>
      <c r="W1645" s="12" t="s">
        <v>32</v>
      </c>
      <c r="X1645" s="13">
        <v>2.287835645675659</v>
      </c>
      <c r="Y1645" s="13">
        <v>0.36135209399511659</v>
      </c>
      <c r="Z1645" s="79">
        <v>0.15794495320418861</v>
      </c>
    </row>
    <row r="1646" spans="1:26" x14ac:dyDescent="0.2">
      <c r="A1646" s="1">
        <v>1644</v>
      </c>
      <c r="B1646" s="2" t="s">
        <v>361</v>
      </c>
      <c r="C1646" s="13" t="str">
        <f>HYPERLINK(AC2 &amp; "/mouse/3dw_d1978d26-76d6-474f-8b56-ba924310dd64/rendering/00.xyz", "0.0")</f>
        <v>0.0</v>
      </c>
      <c r="D1646" s="13" t="str">
        <f>HYPERLINK(AC2 &amp; "/mouse/3dw_d1978d26-76d6-474f-8b56-ba924310dd64/rendering/01.xyz", "0.0")</f>
        <v>0.0</v>
      </c>
      <c r="E1646" s="13" t="str">
        <f>HYPERLINK(AC2 &amp; "/mouse/3dw_d1978d26-76d6-474f-8b56-ba924310dd64/rendering/02.xyz", "0.0")</f>
        <v>0.0</v>
      </c>
      <c r="F1646" s="13" t="str">
        <f>HYPERLINK(AC2 &amp; "/mouse/3dw_d1978d26-76d6-474f-8b56-ba924310dd64/rendering/03.xyz", "0.0")</f>
        <v>0.0</v>
      </c>
      <c r="G1646" s="13" t="str">
        <f>HYPERLINK(AC2 &amp; "/mouse/3dw_d1978d26-76d6-474f-8b56-ba924310dd64/rendering/04.xyz", "0.0")</f>
        <v>0.0</v>
      </c>
      <c r="H1646" s="13" t="str">
        <f>HYPERLINK(AC2 &amp; "/mouse/3dw_d1978d26-76d6-474f-8b56-ba924310dd64/rendering/05.xyz", "0.0")</f>
        <v>0.0</v>
      </c>
      <c r="I1646" s="13" t="str">
        <f>HYPERLINK(AC2 &amp; "/mouse/3dw_d1978d26-76d6-474f-8b56-ba924310dd64/rendering/06.xyz", "0.0")</f>
        <v>0.0</v>
      </c>
      <c r="J1646" s="13" t="str">
        <f>HYPERLINK(AC2 &amp; "/mouse/3dw_d1978d26-76d6-474f-8b56-ba924310dd64/rendering/07.xyz", "0.0")</f>
        <v>0.0</v>
      </c>
      <c r="K1646" s="13" t="str">
        <f>HYPERLINK(AC2 &amp; "/mouse/3dw_d1978d26-76d6-474f-8b56-ba924310dd64/rendering/08.xyz", "0.0")</f>
        <v>0.0</v>
      </c>
      <c r="L1646" s="13" t="str">
        <f>HYPERLINK(AC2 &amp; "/mouse/3dw_d1978d26-76d6-474f-8b56-ba924310dd64/rendering/09.xyz", "0.0")</f>
        <v>0.0</v>
      </c>
      <c r="M1646" s="13" t="str">
        <f>HYPERLINK(AC2 &amp; "/mouse/3dw_d1978d26-76d6-474f-8b56-ba924310dd64/rendering/10.xyz", "0.0")</f>
        <v>0.0</v>
      </c>
      <c r="N1646" s="13" t="str">
        <f>HYPERLINK(AC2 &amp; "/mouse/3dw_d1978d26-76d6-474f-8b56-ba924310dd64/rendering/11.xyz", "0.0")</f>
        <v>0.0</v>
      </c>
      <c r="O1646" s="13" t="str">
        <f>HYPERLINK(AC2 &amp; "/mouse/3dw_d1978d26-76d6-474f-8b56-ba924310dd64/rendering/12.xyz", "0.0")</f>
        <v>0.0</v>
      </c>
      <c r="P1646" s="13" t="str">
        <f>HYPERLINK(AC2 &amp; "/mouse/3dw_d1978d26-76d6-474f-8b56-ba924310dd64/rendering/13.xyz", "0.0")</f>
        <v>0.0</v>
      </c>
      <c r="Q1646" s="13" t="str">
        <f>HYPERLINK(AC2 &amp; "/mouse/3dw_d1978d26-76d6-474f-8b56-ba924310dd64/rendering/14.xyz", "0.0")</f>
        <v>0.0</v>
      </c>
      <c r="R1646" s="13" t="str">
        <f>HYPERLINK(AC2 &amp; "/mouse/3dw_d1978d26-76d6-474f-8b56-ba924310dd64/rendering/15.xyz", "0.0")</f>
        <v>0.0</v>
      </c>
      <c r="S1646" s="13" t="str">
        <f>HYPERLINK(AC2 &amp; "/mouse/3dw_d1978d26-76d6-474f-8b56-ba924310dd64/rendering/16.xyz", "0.0")</f>
        <v>0.0</v>
      </c>
      <c r="T1646" s="13" t="str">
        <f>HYPERLINK(AC2 &amp; "/mouse/3dw_d1978d26-76d6-474f-8b56-ba924310dd64/rendering/17.xyz", "0.0")</f>
        <v>0.0</v>
      </c>
      <c r="U1646" s="13" t="str">
        <f>HYPERLINK(AC2 &amp; "/mouse/3dw_d1978d26-76d6-474f-8b56-ba924310dd64/rendering/18.xyz", "0.0")</f>
        <v>0.0</v>
      </c>
      <c r="V1646" s="13" t="str">
        <f>HYPERLINK(AC2 &amp; "/mouse/3dw_d1978d26-76d6-474f-8b56-ba924310dd64/rendering/19.xyz", "0.0")</f>
        <v>0.0</v>
      </c>
      <c r="W1646" s="12" t="s">
        <v>33</v>
      </c>
      <c r="X1646" s="13">
        <v>0</v>
      </c>
      <c r="Y1646" s="13">
        <v>0</v>
      </c>
      <c r="Z1646" s="13">
        <v>0</v>
      </c>
    </row>
    <row r="1647" spans="1:26" x14ac:dyDescent="0.2">
      <c r="A1647" s="1">
        <v>1645</v>
      </c>
      <c r="B1647" s="2" t="s">
        <v>362</v>
      </c>
      <c r="C1647" s="83" t="str">
        <f>HYPERLINK(AA2 &amp; "/mouse/3dw_d38179ab-d438-4927-920c-5f08e0384062/rendering/00.obj", "0.75853225708")</f>
        <v>0.75853225708</v>
      </c>
      <c r="D1647" s="38" t="str">
        <f>HYPERLINK(AA2 &amp; "/mouse/3dw_d38179ab-d438-4927-920c-5f08e0384062/rendering/01.obj", "0.816094970703")</f>
        <v>0.816094970703</v>
      </c>
      <c r="E1647" s="133" t="str">
        <f>HYPERLINK(AA2 &amp; "/mouse/3dw_d38179ab-d438-4927-920c-5f08e0384062/rendering/02.obj", "0.803748016357")</f>
        <v>0.803748016357</v>
      </c>
      <c r="F1647" s="34" t="str">
        <f>HYPERLINK(AA2 &amp; "/mouse/3dw_d38179ab-d438-4927-920c-5f08e0384062/rendering/03.obj", "0.85094619751")</f>
        <v>0.85094619751</v>
      </c>
      <c r="G1647" s="10" t="str">
        <f>HYPERLINK(AA2 &amp; "/mouse/3dw_d38179ab-d438-4927-920c-5f08e0384062/rendering/04.obj", "0.943521118164")</f>
        <v>0.943521118164</v>
      </c>
      <c r="H1647" s="109" t="str">
        <f>HYPERLINK(AA2 &amp; "/mouse/3dw_d38179ab-d438-4927-920c-5f08e0384062/rendering/05.obj", "0.724839019775")</f>
        <v>0.724839019775</v>
      </c>
      <c r="I1647" s="94" t="str">
        <f>HYPERLINK(AA2 &amp; "/mouse/3dw_d38179ab-d438-4927-920c-5f08e0384062/rendering/06.obj", "0.961297988892")</f>
        <v>0.961297988892</v>
      </c>
      <c r="J1647" s="72" t="str">
        <f>HYPERLINK(AA2 &amp; "/mouse/3dw_d38179ab-d438-4927-920c-5f08e0384062/rendering/07.obj", "0.866578521729")</f>
        <v>0.866578521729</v>
      </c>
      <c r="K1647" s="73" t="str">
        <f>HYPERLINK(AA2 &amp; "/mouse/3dw_d38179ab-d438-4927-920c-5f08e0384062/rendering/08.obj", "0.927654571533")</f>
        <v>0.927654571533</v>
      </c>
      <c r="L1647" s="37" t="str">
        <f>HYPERLINK(AA2 &amp; "/mouse/3dw_d38179ab-d438-4927-920c-5f08e0384062/rendering/09.obj", "0.739384689331")</f>
        <v>0.739384689331</v>
      </c>
      <c r="M1647" s="108" t="str">
        <f>HYPERLINK(AA2 &amp; "/mouse/3dw_d38179ab-d438-4927-920c-5f08e0384062/rendering/10.obj", "0.674279327393")</f>
        <v>0.674279327393</v>
      </c>
      <c r="N1647" s="128" t="str">
        <f>HYPERLINK(AA2 &amp; "/mouse/3dw_d38179ab-d438-4927-920c-5f08e0384062/rendering/11.obj", "0.546426010132")</f>
        <v>0.546426010132</v>
      </c>
      <c r="O1647" s="20" t="str">
        <f>HYPERLINK(AA2 &amp; "/mouse/3dw_d38179ab-d438-4927-920c-5f08e0384062/rendering/12.obj", "2.61682067871")</f>
        <v>2.61682067871</v>
      </c>
      <c r="P1647" s="139" t="str">
        <f>HYPERLINK(AA2 &amp; "/mouse/3dw_d38179ab-d438-4927-920c-5f08e0384062/rendering/13.obj", "0.463977470398")</f>
        <v>0.463977470398</v>
      </c>
      <c r="Q1647" s="49" t="str">
        <f>HYPERLINK(AA2 &amp; "/mouse/3dw_d38179ab-d438-4927-920c-5f08e0384062/rendering/14.obj", "1.08171554565")</f>
        <v>1.08171554565</v>
      </c>
      <c r="R1647" s="120" t="str">
        <f>HYPERLINK(AA2 &amp; "/mouse/3dw_d38179ab-d438-4927-920c-5f08e0384062/rendering/15.obj", "0.706104431152")</f>
        <v>0.706104431152</v>
      </c>
      <c r="S1647" s="6" t="str">
        <f>HYPERLINK(AA2 &amp; "/mouse/3dw_d38179ab-d438-4927-920c-5f08e0384062/rendering/16.obj", "0.937397384644")</f>
        <v>0.937397384644</v>
      </c>
      <c r="T1647" s="37" t="str">
        <f>HYPERLINK(AA2 &amp; "/mouse/3dw_d38179ab-d438-4927-920c-5f08e0384062/rendering/17.obj", "1.05220588684")</f>
        <v>1.05220588684</v>
      </c>
      <c r="U1647" s="13" t="str">
        <f>HYPERLINK(AA2 &amp; "/mouse/3dw_d38179ab-d438-4927-920c-5f08e0384062/rendering/18.obj", "0.894871444702")</f>
        <v>0.894871444702</v>
      </c>
      <c r="V1647" s="128" t="str">
        <f>HYPERLINK(AA2 &amp; "/mouse/3dw_d38179ab-d438-4927-920c-5f08e0384062/rendering/19.obj", "0.545732154846")</f>
        <v>0.545732154846</v>
      </c>
      <c r="W1647" s="12" t="s">
        <v>29</v>
      </c>
      <c r="X1647" s="13">
        <v>0.89560638427734385</v>
      </c>
      <c r="Y1647" s="13">
        <v>0.42641624505233061</v>
      </c>
      <c r="Z1647" s="104">
        <v>0.47612014891609078</v>
      </c>
    </row>
    <row r="1648" spans="1:26" x14ac:dyDescent="0.2">
      <c r="A1648" s="1">
        <v>1646</v>
      </c>
      <c r="B1648" s="2" t="s">
        <v>362</v>
      </c>
      <c r="C1648" s="71" t="str">
        <f>HYPERLINK(AA2 &amp; "/mouse/3dw_d38179ab-d438-4927-920c-5f08e0384062/rendering/00.obj", "4.86576795578")</f>
        <v>4.86576795578</v>
      </c>
      <c r="D1648" s="93" t="str">
        <f>HYPERLINK(AA2 &amp; "/mouse/3dw_d38179ab-d438-4927-920c-5f08e0384062/rendering/01.obj", "4.74147510529")</f>
        <v>4.74147510529</v>
      </c>
      <c r="E1648" s="11" t="str">
        <f>HYPERLINK(AA2 &amp; "/mouse/3dw_d38179ab-d438-4927-920c-5f08e0384062/rendering/02.obj", "4.26427173615")</f>
        <v>4.26427173615</v>
      </c>
      <c r="F1648" s="108" t="str">
        <f>HYPERLINK(AA2 &amp; "/mouse/3dw_d38179ab-d438-4927-920c-5f08e0384062/rendering/03.obj", "4.14979410172")</f>
        <v>4.14979410172</v>
      </c>
      <c r="G1648" s="107" t="str">
        <f>HYPERLINK(AA2 &amp; "/mouse/3dw_d38179ab-d438-4927-920c-5f08e0384062/rendering/04.obj", "5.96045207977")</f>
        <v>5.96045207977</v>
      </c>
      <c r="H1648" s="140" t="str">
        <f>HYPERLINK(AA2 &amp; "/mouse/3dw_d38179ab-d438-4927-920c-5f08e0384062/rendering/05.obj", "3.59651684761")</f>
        <v>3.59651684761</v>
      </c>
      <c r="I1648" s="136" t="str">
        <f>HYPERLINK(AA2 &amp; "/mouse/3dw_d38179ab-d438-4927-920c-5f08e0384062/rendering/06.obj", "6.81175470352")</f>
        <v>6.81175470352</v>
      </c>
      <c r="J1648" s="23" t="str">
        <f>HYPERLINK(AA2 &amp; "/mouse/3dw_d38179ab-d438-4927-920c-5f08e0384062/rendering/07.obj", "5.71276950836")</f>
        <v>5.71276950836</v>
      </c>
      <c r="K1648" s="91" t="str">
        <f>HYPERLINK(AA2 &amp; "/mouse/3dw_d38179ab-d438-4927-920c-5f08e0384062/rendering/08.obj", "5.64527702332")</f>
        <v>5.64527702332</v>
      </c>
      <c r="L1648" s="27" t="str">
        <f>HYPERLINK(AA2 &amp; "/mouse/3dw_d38179ab-d438-4927-920c-5f08e0384062/rendering/09.obj", "5.11129999161")</f>
        <v>5.11129999161</v>
      </c>
      <c r="M1648" s="86" t="str">
        <f>HYPERLINK(AA2 &amp; "/mouse/3dw_d38179ab-d438-4927-920c-5f08e0384062/rendering/10.obj", "4.02811098099")</f>
        <v>4.02811098099</v>
      </c>
      <c r="N1648" s="159" t="str">
        <f>HYPERLINK(AA2 &amp; "/mouse/3dw_d38179ab-d438-4927-920c-5f08e0384062/rendering/11.obj", "2.91563463211")</f>
        <v>2.91563463211</v>
      </c>
      <c r="O1648" s="20" t="str">
        <f>HYPERLINK(AA2 &amp; "/mouse/3dw_d38179ab-d438-4927-920c-5f08e0384062/rendering/12.obj", "21.0489578247")</f>
        <v>21.0489578247</v>
      </c>
      <c r="P1648" s="16" t="str">
        <f>HYPERLINK(AA2 &amp; "/mouse/3dw_d38179ab-d438-4927-920c-5f08e0384062/rendering/13.obj", "2.51556634903")</f>
        <v>2.51556634903</v>
      </c>
      <c r="Q1648" s="39" t="str">
        <f>HYPERLINK(AA2 &amp; "/mouse/3dw_d38179ab-d438-4927-920c-5f08e0384062/rendering/14.obj", "5.0263338089")</f>
        <v>5.0263338089</v>
      </c>
      <c r="R1648" s="118" t="str">
        <f>HYPERLINK(AA2 &amp; "/mouse/3dw_d38179ab-d438-4927-920c-5f08e0384062/rendering/15.obj", "3.88696789742")</f>
        <v>3.88696789742</v>
      </c>
      <c r="S1648" s="30" t="str">
        <f>HYPERLINK(AA2 &amp; "/mouse/3dw_d38179ab-d438-4927-920c-5f08e0384062/rendering/16.obj", "5.52543020248")</f>
        <v>5.52543020248</v>
      </c>
      <c r="T1648" s="109" t="str">
        <f>HYPERLINK(AA2 &amp; "/mouse/3dw_d38179ab-d438-4927-920c-5f08e0384062/rendering/17.obj", "6.54749202728")</f>
        <v>6.54749202728</v>
      </c>
      <c r="U1648" s="32" t="str">
        <f>HYPERLINK(AA2 &amp; "/mouse/3dw_d38179ab-d438-4927-920c-5f08e0384062/rendering/18.obj", "4.91909360886")</f>
        <v>4.91909360886</v>
      </c>
      <c r="V1648" s="148" t="str">
        <f>HYPERLINK(AA2 &amp; "/mouse/3dw_d38179ab-d438-4927-920c-5f08e0384062/rendering/19.obj", "2.83198142052")</f>
        <v>2.83198142052</v>
      </c>
      <c r="W1648" s="12" t="s">
        <v>30</v>
      </c>
      <c r="X1648" s="13">
        <v>5.5052473902702328</v>
      </c>
      <c r="Y1648" s="13">
        <v>3.7483516220334798</v>
      </c>
      <c r="Z1648" s="229">
        <v>0.68086887950906172</v>
      </c>
    </row>
    <row r="1649" spans="1:26" x14ac:dyDescent="0.2">
      <c r="A1649" s="1">
        <v>1647</v>
      </c>
      <c r="B1649" s="2" t="s">
        <v>362</v>
      </c>
      <c r="C1649" s="13" t="str">
        <f>HYPERLINK(AB2 &amp; "/mouse/3dw_d38179ab-d438-4927-920c-5f08e0384062/rendering/00.obj", "0.624350967407")</f>
        <v>0.624350967407</v>
      </c>
      <c r="D1649" s="5" t="str">
        <f>HYPERLINK(AB2 &amp; "/mouse/3dw_d38179ab-d438-4927-920c-5f08e0384062/rendering/01.obj", "0.672850341797")</f>
        <v>0.672850341797</v>
      </c>
      <c r="E1649" s="26" t="str">
        <f>HYPERLINK(AB2 &amp; "/mouse/3dw_d38179ab-d438-4927-920c-5f08e0384062/rendering/02.obj", "0.583491363525")</f>
        <v>0.583491363525</v>
      </c>
      <c r="F1649" s="78" t="str">
        <f>HYPERLINK(AB2 &amp; "/mouse/3dw_d38179ab-d438-4927-920c-5f08e0384062/rendering/03.obj", "0.663148651123")</f>
        <v>0.663148651123</v>
      </c>
      <c r="G1649" s="63" t="str">
        <f>HYPERLINK(AB2 &amp; "/mouse/3dw_d38179ab-d438-4927-920c-5f08e0384062/rendering/04.obj", "0.548813056946")</f>
        <v>0.548813056946</v>
      </c>
      <c r="H1649" s="113" t="str">
        <f>HYPERLINK(AB2 &amp; "/mouse/3dw_d38179ab-d438-4927-920c-5f08e0384062/rendering/05.obj", "0.795400238037")</f>
        <v>0.795400238037</v>
      </c>
      <c r="I1649" s="24" t="str">
        <f>HYPERLINK(AB2 &amp; "/mouse/3dw_d38179ab-d438-4927-920c-5f08e0384062/rendering/06.obj", "0.520114250183")</f>
        <v>0.520114250183</v>
      </c>
      <c r="J1649" s="91" t="str">
        <f>HYPERLINK(AB2 &amp; "/mouse/3dw_d38179ab-d438-4927-920c-5f08e0384062/rendering/07.obj", "0.641289825439")</f>
        <v>0.641289825439</v>
      </c>
      <c r="K1649" s="64" t="str">
        <f>HYPERLINK(AB2 &amp; "/mouse/3dw_d38179ab-d438-4927-920c-5f08e0384062/rendering/08.obj", "0.726533203125")</f>
        <v>0.726533203125</v>
      </c>
      <c r="L1649" s="48" t="str">
        <f>HYPERLINK(AB2 &amp; "/mouse/3dw_d38179ab-d438-4927-920c-5f08e0384062/rendering/09.obj", "0.609824523926")</f>
        <v>0.609824523926</v>
      </c>
      <c r="M1649" s="70" t="str">
        <f>HYPERLINK(AB2 &amp; "/mouse/3dw_d38179ab-d438-4927-920c-5f08e0384062/rendering/10.obj", "0.703447189331")</f>
        <v>0.703447189331</v>
      </c>
      <c r="N1649" s="65" t="str">
        <f>HYPERLINK(AB2 &amp; "/mouse/3dw_d38179ab-d438-4927-920c-5f08e0384062/rendering/11.obj", "0.540255966187")</f>
        <v>0.540255966187</v>
      </c>
      <c r="O1649" s="28" t="str">
        <f>HYPERLINK(AB2 &amp; "/mouse/3dw_d38179ab-d438-4927-920c-5f08e0384062/rendering/12.obj", "0.554037628174")</f>
        <v>0.554037628174</v>
      </c>
      <c r="P1649" s="65" t="str">
        <f>HYPERLINK(AB2 &amp; "/mouse/3dw_d38179ab-d438-4927-920c-5f08e0384062/rendering/13.obj", "0.541556434631")</f>
        <v>0.541556434631</v>
      </c>
      <c r="Q1649" s="50" t="str">
        <f>HYPERLINK(AB2 &amp; "/mouse/3dw_d38179ab-d438-4927-920c-5f08e0384062/rendering/14.obj", "0.748428573608")</f>
        <v>0.748428573608</v>
      </c>
      <c r="R1649" s="106" t="str">
        <f>HYPERLINK(AB2 &amp; "/mouse/3dw_d38179ab-d438-4927-920c-5f08e0384062/rendering/15.obj", "0.552117385864")</f>
        <v>0.552117385864</v>
      </c>
      <c r="S1649" s="65" t="str">
        <f>HYPERLINK(AB2 &amp; "/mouse/3dw_d38179ab-d438-4927-920c-5f08e0384062/rendering/16.obj", "0.540517730713")</f>
        <v>0.540517730713</v>
      </c>
      <c r="T1649" s="38" t="str">
        <f>HYPERLINK(AB2 &amp; "/mouse/3dw_d38179ab-d438-4927-920c-5f08e0384062/rendering/17.obj", "0.68114944458")</f>
        <v>0.68114944458</v>
      </c>
      <c r="U1649" s="51" t="str">
        <f>HYPERLINK(AB2 &amp; "/mouse/3dw_d38179ab-d438-4927-920c-5f08e0384062/rendering/18.obj", "0.573590660095")</f>
        <v>0.573590660095</v>
      </c>
      <c r="V1649" s="27" t="str">
        <f>HYPERLINK(AB2 &amp; "/mouse/3dw_d38179ab-d438-4927-920c-5f08e0384062/rendering/19.obj", "0.668288040161")</f>
        <v>0.668288040161</v>
      </c>
      <c r="W1649" s="12" t="s">
        <v>31</v>
      </c>
      <c r="X1649" s="13">
        <v>0.62446027374267588</v>
      </c>
      <c r="Y1649" s="13">
        <v>7.8356930142606987E-2</v>
      </c>
      <c r="Z1649" s="92">
        <v>0.1254794475122942</v>
      </c>
    </row>
    <row r="1650" spans="1:26" x14ac:dyDescent="0.2">
      <c r="A1650" s="1">
        <v>1648</v>
      </c>
      <c r="B1650" s="2" t="s">
        <v>362</v>
      </c>
      <c r="C1650" s="23" t="str">
        <f>HYPERLINK(AB2 &amp; "/mouse/3dw_d38179ab-d438-4927-920c-5f08e0384062/rendering/00.obj", "3.02867603302")</f>
        <v>3.02867603302</v>
      </c>
      <c r="D1650" s="67" t="str">
        <f>HYPERLINK(AB2 &amp; "/mouse/3dw_d38179ab-d438-4927-920c-5f08e0384062/rendering/01.obj", "3.18599390984")</f>
        <v>3.18599390984</v>
      </c>
      <c r="E1650" s="10" t="str">
        <f>HYPERLINK(AB2 &amp; "/mouse/3dw_d38179ab-d438-4927-920c-5f08e0384062/rendering/02.obj", "2.75232696533")</f>
        <v>2.75232696533</v>
      </c>
      <c r="F1650" s="13" t="str">
        <f>HYPERLINK(AB2 &amp; "/mouse/3dw_d38179ab-d438-4927-920c-5f08e0384062/rendering/03.obj", "2.91535043716")</f>
        <v>2.91535043716</v>
      </c>
      <c r="G1650" s="71" t="str">
        <f>HYPERLINK(AB2 &amp; "/mouse/3dw_d38179ab-d438-4927-920c-5f08e0384062/rendering/04.obj", "2.57146382332")</f>
        <v>2.57146382332</v>
      </c>
      <c r="H1650" s="26" t="str">
        <f>HYPERLINK(AB2 &amp; "/mouse/3dw_d38179ab-d438-4927-920c-5f08e0384062/rendering/05.obj", "3.1046526432")</f>
        <v>3.1046526432</v>
      </c>
      <c r="I1650" s="71" t="str">
        <f>HYPERLINK(AB2 &amp; "/mouse/3dw_d38179ab-d438-4927-920c-5f08e0384062/rendering/06.obj", "2.56891036034")</f>
        <v>2.56891036034</v>
      </c>
      <c r="J1650" s="73" t="str">
        <f>HYPERLINK(AB2 &amp; "/mouse/3dw_d38179ab-d438-4927-920c-5f08e0384062/rendering/07.obj", "3.01854252815")</f>
        <v>3.01854252815</v>
      </c>
      <c r="K1650" s="14" t="str">
        <f>HYPERLINK(AB2 &amp; "/mouse/3dw_d38179ab-d438-4927-920c-5f08e0384062/rendering/08.obj", "3.75622820854")</f>
        <v>3.75622820854</v>
      </c>
      <c r="L1650" s="25" t="str">
        <f>HYPERLINK(AB2 &amp; "/mouse/3dw_d38179ab-d438-4927-920c-5f08e0384062/rendering/09.obj", "2.95020747185")</f>
        <v>2.95020747185</v>
      </c>
      <c r="M1650" s="32" t="str">
        <f>HYPERLINK(AB2 &amp; "/mouse/3dw_d38179ab-d438-4927-920c-5f08e0384062/rendering/10.obj", "3.21730875969")</f>
        <v>3.21730875969</v>
      </c>
      <c r="N1650" s="28" t="str">
        <f>HYPERLINK(AB2 &amp; "/mouse/3dw_d38179ab-d438-4927-920c-5f08e0384062/rendering/11.obj", "2.58845305443")</f>
        <v>2.58845305443</v>
      </c>
      <c r="O1650" s="26" t="str">
        <f>HYPERLINK(AB2 &amp; "/mouse/3dw_d38179ab-d438-4927-920c-5f08e0384062/rendering/12.obj", "2.72722768784")</f>
        <v>2.72722768784</v>
      </c>
      <c r="P1650" s="28" t="str">
        <f>HYPERLINK(AB2 &amp; "/mouse/3dw_d38179ab-d438-4927-920c-5f08e0384062/rendering/13.obj", "2.58507370949")</f>
        <v>2.58507370949</v>
      </c>
      <c r="Q1650" s="26" t="str">
        <f>HYPERLINK(AB2 &amp; "/mouse/3dw_d38179ab-d438-4927-920c-5f08e0384062/rendering/14.obj", "3.09932637215")</f>
        <v>3.09932637215</v>
      </c>
      <c r="R1650" s="94" t="str">
        <f>HYPERLINK(AB2 &amp; "/mouse/3dw_d38179ab-d438-4927-920c-5f08e0384062/rendering/15.obj", "2.70176172256")</f>
        <v>2.70176172256</v>
      </c>
      <c r="S1650" s="70" t="str">
        <f>HYPERLINK(AB2 &amp; "/mouse/3dw_d38179ab-d438-4927-920c-5f08e0384062/rendering/16.obj", "2.5403649807")</f>
        <v>2.5403649807</v>
      </c>
      <c r="T1650" s="40" t="str">
        <f>HYPERLINK(AB2 &amp; "/mouse/3dw_d38179ab-d438-4927-920c-5f08e0384062/rendering/17.obj", "3.40831661224")</f>
        <v>3.40831661224</v>
      </c>
      <c r="U1650" s="110" t="str">
        <f>HYPERLINK(AB2 &amp; "/mouse/3dw_d38179ab-d438-4927-920c-5f08e0384062/rendering/18.obj", "2.62810397148")</f>
        <v>2.62810397148</v>
      </c>
      <c r="V1650" s="47" t="str">
        <f>HYPERLINK(AB2 &amp; "/mouse/3dw_d38179ab-d438-4927-920c-5f08e0384062/rendering/19.obj", "2.93533706665")</f>
        <v>2.93533706665</v>
      </c>
      <c r="W1650" s="12" t="s">
        <v>32</v>
      </c>
      <c r="X1650" s="13">
        <v>2.9141813158988952</v>
      </c>
      <c r="Y1650" s="13">
        <v>0.31576998226746111</v>
      </c>
      <c r="Z1650" s="33">
        <v>0.1083563265417684</v>
      </c>
    </row>
    <row r="1651" spans="1:26" x14ac:dyDescent="0.2">
      <c r="A1651" s="1">
        <v>1649</v>
      </c>
      <c r="B1651" s="2" t="s">
        <v>362</v>
      </c>
      <c r="C1651" s="13" t="str">
        <f>HYPERLINK(AC2 &amp; "/mouse/3dw_d38179ab-d438-4927-920c-5f08e0384062/rendering/00.xyz", "0.0")</f>
        <v>0.0</v>
      </c>
      <c r="D1651" s="13" t="str">
        <f>HYPERLINK(AC2 &amp; "/mouse/3dw_d38179ab-d438-4927-920c-5f08e0384062/rendering/01.xyz", "0.0")</f>
        <v>0.0</v>
      </c>
      <c r="E1651" s="13" t="str">
        <f>HYPERLINK(AC2 &amp; "/mouse/3dw_d38179ab-d438-4927-920c-5f08e0384062/rendering/02.xyz", "0.0")</f>
        <v>0.0</v>
      </c>
      <c r="F1651" s="13" t="str">
        <f>HYPERLINK(AC2 &amp; "/mouse/3dw_d38179ab-d438-4927-920c-5f08e0384062/rendering/03.xyz", "0.0")</f>
        <v>0.0</v>
      </c>
      <c r="G1651" s="13" t="str">
        <f>HYPERLINK(AC2 &amp; "/mouse/3dw_d38179ab-d438-4927-920c-5f08e0384062/rendering/04.xyz", "0.0")</f>
        <v>0.0</v>
      </c>
      <c r="H1651" s="13" t="str">
        <f>HYPERLINK(AC2 &amp; "/mouse/3dw_d38179ab-d438-4927-920c-5f08e0384062/rendering/05.xyz", "0.0")</f>
        <v>0.0</v>
      </c>
      <c r="I1651" s="13" t="str">
        <f>HYPERLINK(AC2 &amp; "/mouse/3dw_d38179ab-d438-4927-920c-5f08e0384062/rendering/06.xyz", "0.0")</f>
        <v>0.0</v>
      </c>
      <c r="J1651" s="13" t="str">
        <f>HYPERLINK(AC2 &amp; "/mouse/3dw_d38179ab-d438-4927-920c-5f08e0384062/rendering/07.xyz", "0.0")</f>
        <v>0.0</v>
      </c>
      <c r="K1651" s="13" t="str">
        <f>HYPERLINK(AC2 &amp; "/mouse/3dw_d38179ab-d438-4927-920c-5f08e0384062/rendering/08.xyz", "0.0")</f>
        <v>0.0</v>
      </c>
      <c r="L1651" s="13" t="str">
        <f>HYPERLINK(AC2 &amp; "/mouse/3dw_d38179ab-d438-4927-920c-5f08e0384062/rendering/09.xyz", "0.0")</f>
        <v>0.0</v>
      </c>
      <c r="M1651" s="13" t="str">
        <f>HYPERLINK(AC2 &amp; "/mouse/3dw_d38179ab-d438-4927-920c-5f08e0384062/rendering/10.xyz", "0.0")</f>
        <v>0.0</v>
      </c>
      <c r="N1651" s="13" t="str">
        <f>HYPERLINK(AC2 &amp; "/mouse/3dw_d38179ab-d438-4927-920c-5f08e0384062/rendering/11.xyz", "0.0")</f>
        <v>0.0</v>
      </c>
      <c r="O1651" s="13" t="str">
        <f>HYPERLINK(AC2 &amp; "/mouse/3dw_d38179ab-d438-4927-920c-5f08e0384062/rendering/12.xyz", "0.0")</f>
        <v>0.0</v>
      </c>
      <c r="P1651" s="13" t="str">
        <f>HYPERLINK(AC2 &amp; "/mouse/3dw_d38179ab-d438-4927-920c-5f08e0384062/rendering/13.xyz", "0.0")</f>
        <v>0.0</v>
      </c>
      <c r="Q1651" s="13" t="str">
        <f>HYPERLINK(AC2 &amp; "/mouse/3dw_d38179ab-d438-4927-920c-5f08e0384062/rendering/14.xyz", "0.0")</f>
        <v>0.0</v>
      </c>
      <c r="R1651" s="13" t="str">
        <f>HYPERLINK(AC2 &amp; "/mouse/3dw_d38179ab-d438-4927-920c-5f08e0384062/rendering/15.xyz", "0.0")</f>
        <v>0.0</v>
      </c>
      <c r="S1651" s="13" t="str">
        <f>HYPERLINK(AC2 &amp; "/mouse/3dw_d38179ab-d438-4927-920c-5f08e0384062/rendering/16.xyz", "0.0")</f>
        <v>0.0</v>
      </c>
      <c r="T1651" s="13" t="str">
        <f>HYPERLINK(AC2 &amp; "/mouse/3dw_d38179ab-d438-4927-920c-5f08e0384062/rendering/17.xyz", "0.0")</f>
        <v>0.0</v>
      </c>
      <c r="U1651" s="13" t="str">
        <f>HYPERLINK(AC2 &amp; "/mouse/3dw_d38179ab-d438-4927-920c-5f08e0384062/rendering/18.xyz", "0.0")</f>
        <v>0.0</v>
      </c>
      <c r="V1651" s="13" t="str">
        <f>HYPERLINK(AC2 &amp; "/mouse/3dw_d38179ab-d438-4927-920c-5f08e0384062/rendering/19.xyz", "0.0")</f>
        <v>0.0</v>
      </c>
      <c r="W1651" s="12" t="s">
        <v>33</v>
      </c>
      <c r="X1651" s="13">
        <v>0</v>
      </c>
      <c r="Y1651" s="13">
        <v>0</v>
      </c>
      <c r="Z1651" s="13">
        <v>0</v>
      </c>
    </row>
    <row r="1652" spans="1:26" x14ac:dyDescent="0.2">
      <c r="A1652" s="1">
        <v>1650</v>
      </c>
      <c r="B1652" s="2" t="s">
        <v>363</v>
      </c>
      <c r="C1652" s="234" t="str">
        <f>HYPERLINK(AA2 &amp; "/mouse/3dw_e0cb672a-0581-4981-a8e7-cf5a4b3701f1/rendering/00.obj", "7.09196777344")</f>
        <v>7.09196777344</v>
      </c>
      <c r="D1652" s="95" t="str">
        <f>HYPERLINK(AA2 &amp; "/mouse/3dw_e0cb672a-0581-4981-a8e7-cf5a4b3701f1/rendering/01.obj", "2.92497711182")</f>
        <v>2.92497711182</v>
      </c>
      <c r="E1652" s="24" t="str">
        <f>HYPERLINK(AA2 &amp; "/mouse/3dw_e0cb672a-0581-4981-a8e7-cf5a4b3701f1/rendering/02.obj", "4.75567596436")</f>
        <v>4.75567596436</v>
      </c>
      <c r="F1652" s="20" t="str">
        <f>HYPERLINK(AA2 &amp; "/mouse/3dw_e0cb672a-0581-4981-a8e7-cf5a4b3701f1/rendering/03.obj", "8.45636779785")</f>
        <v>8.45636779785</v>
      </c>
      <c r="G1652" s="162" t="str">
        <f>HYPERLINK(AA2 &amp; "/mouse/3dw_e0cb672a-0581-4981-a8e7-cf5a4b3701f1/rendering/04.obj", "5.8071862793")</f>
        <v>5.8071862793</v>
      </c>
      <c r="H1652" s="142" t="str">
        <f>HYPERLINK(AA2 &amp; "/mouse/3dw_e0cb672a-0581-4981-a8e7-cf5a4b3701f1/rendering/05.obj", "2.46556625366")</f>
        <v>2.46556625366</v>
      </c>
      <c r="I1652" s="215" t="str">
        <f>HYPERLINK(AA2 &amp; "/mouse/3dw_e0cb672a-0581-4981-a8e7-cf5a4b3701f1/rendering/06.obj", "1.34698196411")</f>
        <v>1.34698196411</v>
      </c>
      <c r="J1652" s="6" t="str">
        <f>HYPERLINK(AA2 &amp; "/mouse/3dw_e0cb672a-0581-4981-a8e7-cf5a4b3701f1/rendering/07.obj", "4.25365661621")</f>
        <v>4.25365661621</v>
      </c>
      <c r="K1652" s="150" t="str">
        <f>HYPERLINK(AA2 &amp; "/mouse/3dw_e0cb672a-0581-4981-a8e7-cf5a4b3701f1/rendering/08.obj", "1.88248046875")</f>
        <v>1.88248046875</v>
      </c>
      <c r="L1652" s="182" t="str">
        <f>HYPERLINK(AA2 &amp; "/mouse/3dw_e0cb672a-0581-4981-a8e7-cf5a4b3701f1/rendering/09.obj", "2.71652770996")</f>
        <v>2.71652770996</v>
      </c>
      <c r="M1652" s="20" t="str">
        <f>HYPERLINK(AA2 &amp; "/mouse/3dw_e0cb672a-0581-4981-a8e7-cf5a4b3701f1/rendering/10.obj", "9.12711425781")</f>
        <v>9.12711425781</v>
      </c>
      <c r="N1652" s="35" t="str">
        <f>HYPERLINK(AA2 &amp; "/mouse/3dw_e0cb672a-0581-4981-a8e7-cf5a4b3701f1/rendering/11.obj", "3.8359262085")</f>
        <v>3.8359262085</v>
      </c>
      <c r="O1652" s="85" t="str">
        <f>HYPERLINK(AA2 &amp; "/mouse/3dw_e0cb672a-0581-4981-a8e7-cf5a4b3701f1/rendering/12.obj", "2.86965148926")</f>
        <v>2.86965148926</v>
      </c>
      <c r="P1652" s="234" t="str">
        <f>HYPERLINK(AA2 &amp; "/mouse/3dw_e0cb672a-0581-4981-a8e7-cf5a4b3701f1/rendering/13.obj", "7.09470336914")</f>
        <v>7.09470336914</v>
      </c>
      <c r="Q1652" s="137" t="str">
        <f>HYPERLINK(AA2 &amp; "/mouse/3dw_e0cb672a-0581-4981-a8e7-cf5a4b3701f1/rendering/14.obj", "2.57888214111")</f>
        <v>2.57888214111</v>
      </c>
      <c r="R1652" s="160" t="str">
        <f>HYPERLINK(AA2 &amp; "/mouse/3dw_e0cb672a-0581-4981-a8e7-cf5a4b3701f1/rendering/15.obj", "1.9241973877")</f>
        <v>1.9241973877</v>
      </c>
      <c r="S1652" s="41" t="str">
        <f>HYPERLINK(AA2 &amp; "/mouse/3dw_e0cb672a-0581-4981-a8e7-cf5a4b3701f1/rendering/16.obj", "3.80228759766")</f>
        <v>3.80228759766</v>
      </c>
      <c r="T1652" s="62" t="str">
        <f>HYPERLINK(AA2 &amp; "/mouse/3dw_e0cb672a-0581-4981-a8e7-cf5a4b3701f1/rendering/17.obj", "1.64245834351")</f>
        <v>1.64245834351</v>
      </c>
      <c r="U1652" s="56" t="str">
        <f>HYPERLINK(AA2 &amp; "/mouse/3dw_e0cb672a-0581-4981-a8e7-cf5a4b3701f1/rendering/18.obj", "5.33421569824")</f>
        <v>5.33421569824</v>
      </c>
      <c r="V1652" s="256" t="str">
        <f>HYPERLINK(AA2 &amp; "/mouse/3dw_e0cb672a-0581-4981-a8e7-cf5a4b3701f1/rendering/19.obj", "1.54474029541")</f>
        <v>1.54474029541</v>
      </c>
      <c r="W1652" s="12" t="s">
        <v>29</v>
      </c>
      <c r="X1652" s="13">
        <v>4.0727782363891603</v>
      </c>
      <c r="Y1652" s="13">
        <v>2.3108209126886292</v>
      </c>
      <c r="Z1652" s="197">
        <v>0.56738196350640357</v>
      </c>
    </row>
    <row r="1653" spans="1:26" x14ac:dyDescent="0.2">
      <c r="A1653" s="1">
        <v>1651</v>
      </c>
      <c r="B1653" s="2" t="s">
        <v>363</v>
      </c>
      <c r="C1653" s="20" t="str">
        <f>HYPERLINK(AA2 &amp; "/mouse/3dw_e0cb672a-0581-4981-a8e7-cf5a4b3701f1/rendering/00.obj", "32.4099082947")</f>
        <v>32.4099082947</v>
      </c>
      <c r="D1653" s="102" t="str">
        <f>HYPERLINK(AA2 &amp; "/mouse/3dw_e0cb672a-0581-4981-a8e7-cf5a4b3701f1/rendering/01.obj", "7.11142539978")</f>
        <v>7.11142539978</v>
      </c>
      <c r="E1653" s="137" t="str">
        <f>HYPERLINK(AA2 &amp; "/mouse/3dw_e0cb672a-0581-4981-a8e7-cf5a4b3701f1/rendering/02.obj", "19.3603363037")</f>
        <v>19.3603363037</v>
      </c>
      <c r="F1653" s="20" t="str">
        <f>HYPERLINK(AA2 &amp; "/mouse/3dw_e0cb672a-0581-4981-a8e7-cf5a4b3701f1/rendering/03.obj", "34.7597770691")</f>
        <v>34.7597770691</v>
      </c>
      <c r="G1653" s="49" t="str">
        <f>HYPERLINK(AA2 &amp; "/mouse/3dw_e0cb672a-0581-4981-a8e7-cf5a4b3701f1/rendering/04.obj", "17.143119812")</f>
        <v>17.143119812</v>
      </c>
      <c r="H1653" s="21" t="str">
        <f>HYPERLINK(AA2 &amp; "/mouse/3dw_e0cb672a-0581-4981-a8e7-cf5a4b3701f1/rendering/05.obj", "6.32178640366")</f>
        <v>6.32178640366</v>
      </c>
      <c r="I1653" s="146" t="str">
        <f>HYPERLINK(AA2 &amp; "/mouse/3dw_e0cb672a-0581-4981-a8e7-cf5a4b3701f1/rendering/06.obj", "3.17010712624")</f>
        <v>3.17010712624</v>
      </c>
      <c r="J1653" s="96" t="str">
        <f>HYPERLINK(AA2 &amp; "/mouse/3dw_e0cb672a-0581-4981-a8e7-cf5a4b3701f1/rendering/07.obj", "9.03581047058")</f>
        <v>9.03581047058</v>
      </c>
      <c r="K1653" s="248" t="str">
        <f>HYPERLINK(AA2 &amp; "/mouse/3dw_e0cb672a-0581-4981-a8e7-cf5a4b3701f1/rendering/08.obj", "4.8371386528")</f>
        <v>4.8371386528</v>
      </c>
      <c r="L1653" s="122" t="str">
        <f>HYPERLINK(AA2 &amp; "/mouse/3dw_e0cb672a-0581-4981-a8e7-cf5a4b3701f1/rendering/09.obj", "8.45845603943")</f>
        <v>8.45845603943</v>
      </c>
      <c r="M1653" s="20" t="str">
        <f>HYPERLINK(AA2 &amp; "/mouse/3dw_e0cb672a-0581-4981-a8e7-cf5a4b3701f1/rendering/10.obj", "38.7557678223")</f>
        <v>38.7557678223</v>
      </c>
      <c r="N1653" s="134" t="str">
        <f>HYPERLINK(AA2 &amp; "/mouse/3dw_e0cb672a-0581-4981-a8e7-cf5a4b3701f1/rendering/11.obj", "16.7316551208")</f>
        <v>16.7316551208</v>
      </c>
      <c r="O1653" s="240" t="str">
        <f>HYPERLINK(AA2 &amp; "/mouse/3dw_e0cb672a-0581-4981-a8e7-cf5a4b3701f1/rendering/12.obj", "4.90022611618")</f>
        <v>4.90022611618</v>
      </c>
      <c r="P1653" s="20" t="str">
        <f>HYPERLINK(AA2 &amp; "/mouse/3dw_e0cb672a-0581-4981-a8e7-cf5a4b3701f1/rendering/13.obj", "33.5851783752")</f>
        <v>33.5851783752</v>
      </c>
      <c r="Q1653" s="174" t="str">
        <f>HYPERLINK(AA2 &amp; "/mouse/3dw_e0cb672a-0581-4981-a8e7-cf5a4b3701f1/rendering/14.obj", "6.73015594482")</f>
        <v>6.73015594482</v>
      </c>
      <c r="R1653" s="216" t="str">
        <f>HYPERLINK(AA2 &amp; "/mouse/3dw_e0cb672a-0581-4981-a8e7-cf5a4b3701f1/rendering/15.obj", "4.96578073502")</f>
        <v>4.96578073502</v>
      </c>
      <c r="S1653" s="100" t="str">
        <f>HYPERLINK(AA2 &amp; "/mouse/3dw_e0cb672a-0581-4981-a8e7-cf5a4b3701f1/rendering/16.obj", "9.90977954865")</f>
        <v>9.90977954865</v>
      </c>
      <c r="T1653" s="253" t="str">
        <f>HYPERLINK(AA2 &amp; "/mouse/3dw_e0cb672a-0581-4981-a8e7-cf5a4b3701f1/rendering/17.obj", "3.89371418953")</f>
        <v>3.89371418953</v>
      </c>
      <c r="U1653" s="4" t="str">
        <f>HYPERLINK(AA2 &amp; "/mouse/3dw_e0cb672a-0581-4981-a8e7-cf5a4b3701f1/rendering/18.obj", "18.2066917419")</f>
        <v>18.2066917419</v>
      </c>
      <c r="V1653" s="211" t="str">
        <f>HYPERLINK(AA2 &amp; "/mouse/3dw_e0cb672a-0581-4981-a8e7-cf5a4b3701f1/rendering/19.obj", "3.29099750519")</f>
        <v>3.29099750519</v>
      </c>
      <c r="W1653" s="12" t="s">
        <v>30</v>
      </c>
      <c r="X1653" s="13">
        <v>14.17889063358307</v>
      </c>
      <c r="Y1653" s="13">
        <v>11.49625610764712</v>
      </c>
      <c r="Z1653" s="20">
        <v>0.81080081684373362</v>
      </c>
    </row>
    <row r="1654" spans="1:26" x14ac:dyDescent="0.2">
      <c r="A1654" s="1">
        <v>1652</v>
      </c>
      <c r="B1654" s="2" t="s">
        <v>363</v>
      </c>
      <c r="C1654" s="244" t="str">
        <f>HYPERLINK(AB2 &amp; "/mouse/3dw_e0cb672a-0581-4981-a8e7-cf5a4b3701f1/rendering/00.obj", "1.3392666626")</f>
        <v>1.3392666626</v>
      </c>
      <c r="D1654" s="13" t="str">
        <f>HYPERLINK(AB2 &amp; "/mouse/3dw_e0cb672a-0581-4981-a8e7-cf5a4b3701f1/rendering/01.obj", "3.4830847168")</f>
        <v>3.4830847168</v>
      </c>
      <c r="E1654" s="72" t="str">
        <f>HYPERLINK(AB2 &amp; "/mouse/3dw_e0cb672a-0581-4981-a8e7-cf5a4b3701f1/rendering/02.obj", "3.59297546387")</f>
        <v>3.59297546387</v>
      </c>
      <c r="F1654" s="53" t="str">
        <f>HYPERLINK(AB2 &amp; "/mouse/3dw_e0cb672a-0581-4981-a8e7-cf5a4b3701f1/rendering/03.obj", "4.91039733887")</f>
        <v>4.91039733887</v>
      </c>
      <c r="G1654" s="214" t="str">
        <f>HYPERLINK(AB2 &amp; "/mouse/3dw_e0cb672a-0581-4981-a8e7-cf5a4b3701f1/rendering/04.obj", "1.32763214111")</f>
        <v>1.32763214111</v>
      </c>
      <c r="H1654" s="23" t="str">
        <f>HYPERLINK(AB2 &amp; "/mouse/3dw_e0cb672a-0581-4981-a8e7-cf5a4b3701f1/rendering/05.obj", "3.33291259766")</f>
        <v>3.33291259766</v>
      </c>
      <c r="I1654" s="220" t="str">
        <f>HYPERLINK(AB2 &amp; "/mouse/3dw_e0cb672a-0581-4981-a8e7-cf5a4b3701f1/rendering/06.obj", "5.83557678223")</f>
        <v>5.83557678223</v>
      </c>
      <c r="J1654" s="102" t="str">
        <f>HYPERLINK(AB2 &amp; "/mouse/3dw_e0cb672a-0581-4981-a8e7-cf5a4b3701f1/rendering/07.obj", "5.19998596191")</f>
        <v>5.19998596191</v>
      </c>
      <c r="K1654" s="191" t="str">
        <f>HYPERLINK(AB2 &amp; "/mouse/3dw_e0cb672a-0581-4981-a8e7-cf5a4b3701f1/rendering/08.obj", "1.90422424316")</f>
        <v>1.90422424316</v>
      </c>
      <c r="L1654" s="54" t="str">
        <f>HYPERLINK(AB2 &amp; "/mouse/3dw_e0cb672a-0581-4981-a8e7-cf5a4b3701f1/rendering/09.obj", "2.33472686768")</f>
        <v>2.33472686768</v>
      </c>
      <c r="M1654" s="139" t="str">
        <f>HYPERLINK(AB2 &amp; "/mouse/3dw_e0cb672a-0581-4981-a8e7-cf5a4b3701f1/rendering/10.obj", "5.14532287598")</f>
        <v>5.14532287598</v>
      </c>
      <c r="N1654" s="156" t="str">
        <f>HYPERLINK(AB2 &amp; "/mouse/3dw_e0cb672a-0581-4981-a8e7-cf5a4b3701f1/rendering/11.obj", "1.9202104187")</f>
        <v>1.9202104187</v>
      </c>
      <c r="O1654" s="203" t="str">
        <f>HYPERLINK(AB2 &amp; "/mouse/3dw_e0cb672a-0581-4981-a8e7-cf5a4b3701f1/rendering/12.obj", "5.08726165771")</f>
        <v>5.08726165771</v>
      </c>
      <c r="P1654" s="182" t="str">
        <f>HYPERLINK(AB2 &amp; "/mouse/3dw_e0cb672a-0581-4981-a8e7-cf5a4b3701f1/rendering/13.obj", "4.63373596191")</f>
        <v>4.63373596191</v>
      </c>
      <c r="Q1654" s="178" t="str">
        <f>HYPERLINK(AB2 &amp; "/mouse/3dw_e0cb672a-0581-4981-a8e7-cf5a4b3701f1/rendering/14.obj", "1.22505554199")</f>
        <v>1.22505554199</v>
      </c>
      <c r="R1654" s="245" t="str">
        <f>HYPERLINK(AB2 &amp; "/mouse/3dw_e0cb672a-0581-4981-a8e7-cf5a4b3701f1/rendering/15.obj", "0.968692932129")</f>
        <v>0.968692932129</v>
      </c>
      <c r="S1654" s="62" t="str">
        <f>HYPERLINK(AB2 &amp; "/mouse/3dw_e0cb672a-0581-4981-a8e7-cf5a4b3701f1/rendering/16.obj", "1.40176040649")</f>
        <v>1.40176040649</v>
      </c>
      <c r="T1654" s="113" t="str">
        <f>HYPERLINK(AB2 &amp; "/mouse/3dw_e0cb672a-0581-4981-a8e7-cf5a4b3701f1/rendering/17.obj", "4.42650695801")</f>
        <v>4.42650695801</v>
      </c>
      <c r="U1654" s="178" t="str">
        <f>HYPERLINK(AB2 &amp; "/mouse/3dw_e0cb672a-0581-4981-a8e7-cf5a4b3701f1/rendering/18.obj", "5.7233001709")</f>
        <v>5.7233001709</v>
      </c>
      <c r="V1654" s="115" t="str">
        <f>HYPERLINK(AB2 &amp; "/mouse/3dw_e0cb672a-0581-4981-a8e7-cf5a4b3701f1/rendering/19.obj", "5.68793334961")</f>
        <v>5.68793334961</v>
      </c>
      <c r="W1654" s="12" t="s">
        <v>31</v>
      </c>
      <c r="X1654" s="13">
        <v>3.474028152465821</v>
      </c>
      <c r="Y1654" s="13">
        <v>1.72092082676532</v>
      </c>
      <c r="Z1654" s="213">
        <v>0.4953675535253888</v>
      </c>
    </row>
    <row r="1655" spans="1:26" x14ac:dyDescent="0.2">
      <c r="A1655" s="1">
        <v>1653</v>
      </c>
      <c r="B1655" s="2" t="s">
        <v>363</v>
      </c>
      <c r="C1655" s="194" t="str">
        <f>HYPERLINK(AB2 &amp; "/mouse/3dw_e0cb672a-0581-4981-a8e7-cf5a4b3701f1/rendering/00.obj", "3.02703619003")</f>
        <v>3.02703619003</v>
      </c>
      <c r="D1655" s="106" t="str">
        <f>HYPERLINK(AB2 &amp; "/mouse/3dw_e0cb672a-0581-4981-a8e7-cf5a4b3701f1/rendering/01.obj", "7.11283063889")</f>
        <v>7.11283063889</v>
      </c>
      <c r="E1655" s="75" t="str">
        <f>HYPERLINK(AB2 &amp; "/mouse/3dw_e0cb672a-0581-4981-a8e7-cf5a4b3701f1/rendering/02.obj", "9.82522106171")</f>
        <v>9.82522106171</v>
      </c>
      <c r="F1655" s="132" t="str">
        <f>HYPERLINK(AB2 &amp; "/mouse/3dw_e0cb672a-0581-4981-a8e7-cf5a4b3701f1/rendering/03.obj", "11.4017601013")</f>
        <v>11.4017601013</v>
      </c>
      <c r="G1655" s="159" t="str">
        <f>HYPERLINK(AB2 &amp; "/mouse/3dw_e0cb672a-0581-4981-a8e7-cf5a4b3701f1/rendering/04.obj", "4.27104997635")</f>
        <v>4.27104997635</v>
      </c>
      <c r="H1655" s="64" t="str">
        <f>HYPERLINK(AB2 &amp; "/mouse/3dw_e0cb672a-0581-4981-a8e7-cf5a4b3701f1/rendering/05.obj", "9.37088489532")</f>
        <v>9.37088489532</v>
      </c>
      <c r="I1655" s="121" t="str">
        <f>HYPERLINK(AB2 &amp; "/mouse/3dw_e0cb672a-0581-4981-a8e7-cf5a4b3701f1/rendering/06.obj", "10.8755598068")</f>
        <v>10.8755598068</v>
      </c>
      <c r="J1655" s="112" t="str">
        <f>HYPERLINK(AB2 &amp; "/mouse/3dw_e0cb672a-0581-4981-a8e7-cf5a4b3701f1/rendering/07.obj", "12.810760498")</f>
        <v>12.810760498</v>
      </c>
      <c r="K1655" s="226" t="str">
        <f>HYPERLINK(AB2 &amp; "/mouse/3dw_e0cb672a-0581-4981-a8e7-cf5a4b3701f1/rendering/08.obj", "3.51040887833")</f>
        <v>3.51040887833</v>
      </c>
      <c r="L1655" s="92" t="str">
        <f>HYPERLINK(AB2 &amp; "/mouse/3dw_e0cb672a-0581-4981-a8e7-cf5a4b3701f1/rendering/09.obj", "7.03786230087")</f>
        <v>7.03786230087</v>
      </c>
      <c r="M1655" s="22" t="str">
        <f>HYPERLINK(AB2 &amp; "/mouse/3dw_e0cb672a-0581-4981-a8e7-cf5a4b3701f1/rendering/10.obj", "12.2369174957")</f>
        <v>12.2369174957</v>
      </c>
      <c r="N1655" s="58" t="str">
        <f>HYPERLINK(AB2 &amp; "/mouse/3dw_e0cb672a-0581-4981-a8e7-cf5a4b3701f1/rendering/11.obj", "6.09435176849")</f>
        <v>6.09435176849</v>
      </c>
      <c r="O1655" s="107" t="str">
        <f>HYPERLINK(AB2 &amp; "/mouse/3dw_e0cb672a-0581-4981-a8e7-cf5a4b3701f1/rendering/12.obj", "8.7167930603")</f>
        <v>8.7167930603</v>
      </c>
      <c r="P1655" s="233" t="str">
        <f>HYPERLINK(AB2 &amp; "/mouse/3dw_e0cb672a-0581-4981-a8e7-cf5a4b3701f1/rendering/13.obj", "13.6721563339")</f>
        <v>13.6721563339</v>
      </c>
      <c r="Q1655" s="205" t="str">
        <f>HYPERLINK(AB2 &amp; "/mouse/3dw_e0cb672a-0581-4981-a8e7-cf5a4b3701f1/rendering/14.obj", "2.6666405201")</f>
        <v>2.6666405201</v>
      </c>
      <c r="R1655" s="154" t="str">
        <f>HYPERLINK(AB2 &amp; "/mouse/3dw_e0cb672a-0581-4981-a8e7-cf5a4b3701f1/rendering/15.obj", "2.04097723961")</f>
        <v>2.04097723961</v>
      </c>
      <c r="S1655" s="237" t="str">
        <f>HYPERLINK(AB2 &amp; "/mouse/3dw_e0cb672a-0581-4981-a8e7-cf5a4b3701f1/rendering/16.obj", "2.62265729904")</f>
        <v>2.62265729904</v>
      </c>
      <c r="T1655" s="26" t="str">
        <f>HYPERLINK(AB2 &amp; "/mouse/3dw_e0cb672a-0581-4981-a8e7-cf5a4b3701f1/rendering/17.obj", "8.54296684265")</f>
        <v>8.54296684265</v>
      </c>
      <c r="U1655" s="188" t="str">
        <f>HYPERLINK(AB2 &amp; "/mouse/3dw_e0cb672a-0581-4981-a8e7-cf5a4b3701f1/rendering/18.obj", "13.8050451279")</f>
        <v>13.8050451279</v>
      </c>
      <c r="V1655" s="124" t="str">
        <f>HYPERLINK(AB2 &amp; "/mouse/3dw_e0cb672a-0581-4981-a8e7-cf5a4b3701f1/rendering/19.obj", "11.1090307236")</f>
        <v>11.1090307236</v>
      </c>
      <c r="W1655" s="12" t="s">
        <v>32</v>
      </c>
      <c r="X1655" s="13">
        <v>8.037545537948608</v>
      </c>
      <c r="Y1655" s="13">
        <v>3.8695702580595999</v>
      </c>
      <c r="Z1655" s="139">
        <v>0.48143680677014428</v>
      </c>
    </row>
    <row r="1656" spans="1:26" x14ac:dyDescent="0.2">
      <c r="A1656" s="1">
        <v>1654</v>
      </c>
      <c r="B1656" s="2" t="s">
        <v>363</v>
      </c>
      <c r="C1656" s="13" t="str">
        <f>HYPERLINK(AC2 &amp; "/mouse/3dw_e0cb672a-0581-4981-a8e7-cf5a4b3701f1/rendering/00.xyz", "0.0")</f>
        <v>0.0</v>
      </c>
      <c r="D1656" s="13" t="str">
        <f>HYPERLINK(AC2 &amp; "/mouse/3dw_e0cb672a-0581-4981-a8e7-cf5a4b3701f1/rendering/01.xyz", "0.0")</f>
        <v>0.0</v>
      </c>
      <c r="E1656" s="13" t="str">
        <f>HYPERLINK(AC2 &amp; "/mouse/3dw_e0cb672a-0581-4981-a8e7-cf5a4b3701f1/rendering/02.xyz", "0.0")</f>
        <v>0.0</v>
      </c>
      <c r="F1656" s="13" t="str">
        <f>HYPERLINK(AC2 &amp; "/mouse/3dw_e0cb672a-0581-4981-a8e7-cf5a4b3701f1/rendering/03.xyz", "0.0")</f>
        <v>0.0</v>
      </c>
      <c r="G1656" s="13" t="str">
        <f>HYPERLINK(AC2 &amp; "/mouse/3dw_e0cb672a-0581-4981-a8e7-cf5a4b3701f1/rendering/04.xyz", "0.0")</f>
        <v>0.0</v>
      </c>
      <c r="H1656" s="13" t="str">
        <f>HYPERLINK(AC2 &amp; "/mouse/3dw_e0cb672a-0581-4981-a8e7-cf5a4b3701f1/rendering/05.xyz", "0.0")</f>
        <v>0.0</v>
      </c>
      <c r="I1656" s="13" t="str">
        <f>HYPERLINK(AC2 &amp; "/mouse/3dw_e0cb672a-0581-4981-a8e7-cf5a4b3701f1/rendering/06.xyz", "0.0")</f>
        <v>0.0</v>
      </c>
      <c r="J1656" s="13" t="str">
        <f>HYPERLINK(AC2 &amp; "/mouse/3dw_e0cb672a-0581-4981-a8e7-cf5a4b3701f1/rendering/07.xyz", "0.0")</f>
        <v>0.0</v>
      </c>
      <c r="K1656" s="13" t="str">
        <f>HYPERLINK(AC2 &amp; "/mouse/3dw_e0cb672a-0581-4981-a8e7-cf5a4b3701f1/rendering/08.xyz", "0.0")</f>
        <v>0.0</v>
      </c>
      <c r="L1656" s="13" t="str">
        <f>HYPERLINK(AC2 &amp; "/mouse/3dw_e0cb672a-0581-4981-a8e7-cf5a4b3701f1/rendering/09.xyz", "0.0")</f>
        <v>0.0</v>
      </c>
      <c r="M1656" s="13" t="str">
        <f>HYPERLINK(AC2 &amp; "/mouse/3dw_e0cb672a-0581-4981-a8e7-cf5a4b3701f1/rendering/10.xyz", "0.0")</f>
        <v>0.0</v>
      </c>
      <c r="N1656" s="13" t="str">
        <f>HYPERLINK(AC2 &amp; "/mouse/3dw_e0cb672a-0581-4981-a8e7-cf5a4b3701f1/rendering/11.xyz", "0.0")</f>
        <v>0.0</v>
      </c>
      <c r="O1656" s="13" t="str">
        <f>HYPERLINK(AC2 &amp; "/mouse/3dw_e0cb672a-0581-4981-a8e7-cf5a4b3701f1/rendering/12.xyz", "0.0")</f>
        <v>0.0</v>
      </c>
      <c r="P1656" s="13" t="str">
        <f>HYPERLINK(AC2 &amp; "/mouse/3dw_e0cb672a-0581-4981-a8e7-cf5a4b3701f1/rendering/13.xyz", "0.0")</f>
        <v>0.0</v>
      </c>
      <c r="Q1656" s="13" t="str">
        <f>HYPERLINK(AC2 &amp; "/mouse/3dw_e0cb672a-0581-4981-a8e7-cf5a4b3701f1/rendering/14.xyz", "0.0")</f>
        <v>0.0</v>
      </c>
      <c r="R1656" s="13" t="str">
        <f>HYPERLINK(AC2 &amp; "/mouse/3dw_e0cb672a-0581-4981-a8e7-cf5a4b3701f1/rendering/15.xyz", "0.0")</f>
        <v>0.0</v>
      </c>
      <c r="S1656" s="13" t="str">
        <f>HYPERLINK(AC2 &amp; "/mouse/3dw_e0cb672a-0581-4981-a8e7-cf5a4b3701f1/rendering/16.xyz", "0.0")</f>
        <v>0.0</v>
      </c>
      <c r="T1656" s="13" t="str">
        <f>HYPERLINK(AC2 &amp; "/mouse/3dw_e0cb672a-0581-4981-a8e7-cf5a4b3701f1/rendering/17.xyz", "0.0")</f>
        <v>0.0</v>
      </c>
      <c r="U1656" s="13" t="str">
        <f>HYPERLINK(AC2 &amp; "/mouse/3dw_e0cb672a-0581-4981-a8e7-cf5a4b3701f1/rendering/18.xyz", "0.0")</f>
        <v>0.0</v>
      </c>
      <c r="V1656" s="13" t="str">
        <f>HYPERLINK(AC2 &amp; "/mouse/3dw_e0cb672a-0581-4981-a8e7-cf5a4b3701f1/rendering/19.xyz", "0.0")</f>
        <v>0.0</v>
      </c>
      <c r="W1656" s="12" t="s">
        <v>33</v>
      </c>
      <c r="X1656" s="13">
        <v>0</v>
      </c>
      <c r="Y1656" s="13">
        <v>0</v>
      </c>
      <c r="Z1656" s="13">
        <v>0</v>
      </c>
    </row>
    <row r="1657" spans="1:26" x14ac:dyDescent="0.2">
      <c r="A1657" s="1">
        <v>1655</v>
      </c>
      <c r="B1657" s="2" t="s">
        <v>364</v>
      </c>
      <c r="C1657" s="8" t="str">
        <f>HYPERLINK(AA2 &amp; "/mouse/3dw_eaab2357-835a-4dd6-ada8-bb08b1eee83b/rendering/00.obj", "3.26494598389")</f>
        <v>3.26494598389</v>
      </c>
      <c r="D1657" s="53" t="str">
        <f>HYPERLINK(AA2 &amp; "/mouse/3dw_eaab2357-835a-4dd6-ada8-bb08b1eee83b/rendering/01.obj", "5.37061828613")</f>
        <v>5.37061828613</v>
      </c>
      <c r="E1657" s="162" t="str">
        <f>HYPERLINK(AA2 &amp; "/mouse/3dw_eaab2357-835a-4dd6-ada8-bb08b1eee83b/rendering/02.obj", "2.18550842285")</f>
        <v>2.18550842285</v>
      </c>
      <c r="F1657" s="15" t="str">
        <f>HYPERLINK(AA2 &amp; "/mouse/3dw_eaab2357-835a-4dd6-ada8-bb08b1eee83b/rendering/03.obj", "1.87477600098")</f>
        <v>1.87477600098</v>
      </c>
      <c r="G1657" s="20" t="str">
        <f>HYPERLINK(AA2 &amp; "/mouse/3dw_eaab2357-835a-4dd6-ada8-bb08b1eee83b/rendering/04.obj", "8.01307922363")</f>
        <v>8.01307922363</v>
      </c>
      <c r="H1657" s="20" t="str">
        <f>HYPERLINK(AA2 &amp; "/mouse/3dw_eaab2357-835a-4dd6-ada8-bb08b1eee83b/rendering/05.obj", "7.96119567871")</f>
        <v>7.96119567871</v>
      </c>
      <c r="I1657" s="162" t="str">
        <f>HYPERLINK(AA2 &amp; "/mouse/3dw_eaab2357-835a-4dd6-ada8-bb08b1eee83b/rendering/06.obj", "2.19099121094")</f>
        <v>2.19099121094</v>
      </c>
      <c r="J1657" s="100" t="str">
        <f>HYPERLINK(AA2 &amp; "/mouse/3dw_eaab2357-835a-4dd6-ada8-bb08b1eee83b/rendering/07.obj", "2.66201812744")</f>
        <v>2.66201812744</v>
      </c>
      <c r="K1657" s="196" t="str">
        <f>HYPERLINK(AA2 &amp; "/mouse/3dw_eaab2357-835a-4dd6-ada8-bb08b1eee83b/rendering/08.obj", "2.30109069824")</f>
        <v>2.30109069824</v>
      </c>
      <c r="L1657" s="140" t="str">
        <f>HYPERLINK(AA2 &amp; "/mouse/3dw_eaab2357-835a-4dd6-ada8-bb08b1eee83b/rendering/09.obj", "2.49098571777")</f>
        <v>2.49098571777</v>
      </c>
      <c r="M1657" s="128" t="str">
        <f>HYPERLINK(AA2 &amp; "/mouse/3dw_eaab2357-835a-4dd6-ada8-bb08b1eee83b/rendering/10.obj", "2.31880981445")</f>
        <v>2.31880981445</v>
      </c>
      <c r="N1657" s="40" t="str">
        <f>HYPERLINK(AA2 &amp; "/mouse/3dw_eaab2357-835a-4dd6-ada8-bb08b1eee83b/rendering/11.obj", "4.45459228516")</f>
        <v>4.45459228516</v>
      </c>
      <c r="O1657" s="192" t="str">
        <f>HYPERLINK(AA2 &amp; "/mouse/3dw_eaab2357-835a-4dd6-ada8-bb08b1eee83b/rendering/12.obj", "5.2163104248")</f>
        <v>5.2163104248</v>
      </c>
      <c r="P1657" s="7" t="str">
        <f>HYPERLINK(AA2 &amp; "/mouse/3dw_eaab2357-835a-4dd6-ada8-bb08b1eee83b/rendering/13.obj", "2.75253234863")</f>
        <v>2.75253234863</v>
      </c>
      <c r="Q1657" s="56" t="str">
        <f>HYPERLINK(AA2 &amp; "/mouse/3dw_eaab2357-835a-4dd6-ada8-bb08b1eee83b/rendering/14.obj", "2.63325195313")</f>
        <v>2.63325195313</v>
      </c>
      <c r="R1657" s="129" t="str">
        <f>HYPERLINK(AA2 &amp; "/mouse/3dw_eaab2357-835a-4dd6-ada8-bb08b1eee83b/rendering/15.obj", "4.75838348389")</f>
        <v>4.75838348389</v>
      </c>
      <c r="S1657" s="53" t="str">
        <f>HYPERLINK(AA2 &amp; "/mouse/3dw_eaab2357-835a-4dd6-ada8-bb08b1eee83b/rendering/16.obj", "2.23502807617")</f>
        <v>2.23502807617</v>
      </c>
      <c r="T1657" s="106" t="str">
        <f>HYPERLINK(AA2 &amp; "/mouse/3dw_eaab2357-835a-4dd6-ada8-bb08b1eee83b/rendering/17.obj", "4.24430938721")</f>
        <v>4.24430938721</v>
      </c>
      <c r="U1657" s="200" t="str">
        <f>HYPERLINK(AA2 &amp; "/mouse/3dw_eaab2357-835a-4dd6-ada8-bb08b1eee83b/rendering/18.obj", "1.9896661377")</f>
        <v>1.9896661377</v>
      </c>
      <c r="V1657" s="20" t="str">
        <f>HYPERLINK(AA2 &amp; "/mouse/3dw_eaab2357-835a-4dd6-ada8-bb08b1eee83b/rendering/19.obj", "7.18866699219")</f>
        <v>7.18866699219</v>
      </c>
      <c r="W1657" s="12" t="s">
        <v>29</v>
      </c>
      <c r="X1657" s="13">
        <v>3.8053380126953109</v>
      </c>
      <c r="Y1657" s="13">
        <v>1.967074355592874</v>
      </c>
      <c r="Z1657" s="218">
        <v>0.51692500088831783</v>
      </c>
    </row>
    <row r="1658" spans="1:26" x14ac:dyDescent="0.2">
      <c r="A1658" s="1">
        <v>1656</v>
      </c>
      <c r="B1658" s="2" t="s">
        <v>364</v>
      </c>
      <c r="C1658" s="126" t="str">
        <f>HYPERLINK(AA2 &amp; "/mouse/3dw_eaab2357-835a-4dd6-ada8-bb08b1eee83b/rendering/00.obj", "6.33066177368")</f>
        <v>6.33066177368</v>
      </c>
      <c r="D1658" s="132" t="str">
        <f>HYPERLINK(AA2 &amp; "/mouse/3dw_eaab2357-835a-4dd6-ada8-bb08b1eee83b/rendering/01.obj", "7.36296129227")</f>
        <v>7.36296129227</v>
      </c>
      <c r="E1658" s="126" t="str">
        <f>HYPERLINK(AA2 &amp; "/mouse/3dw_eaab2357-835a-4dd6-ada8-bb08b1eee83b/rendering/02.obj", "6.34897851944")</f>
        <v>6.34897851944</v>
      </c>
      <c r="F1658" s="164" t="str">
        <f>HYPERLINK(AA2 &amp; "/mouse/3dw_eaab2357-835a-4dd6-ada8-bb08b1eee83b/rendering/03.obj", "4.62013959885")</f>
        <v>4.62013959885</v>
      </c>
      <c r="G1658" s="20" t="str">
        <f>HYPERLINK(AA2 &amp; "/mouse/3dw_eaab2357-835a-4dd6-ada8-bb08b1eee83b/rendering/04.obj", "31.9327888489")</f>
        <v>31.9327888489</v>
      </c>
      <c r="H1658" s="20" t="str">
        <f>HYPERLINK(AA2 &amp; "/mouse/3dw_eaab2357-835a-4dd6-ada8-bb08b1eee83b/rendering/05.obj", "42.4061508179")</f>
        <v>42.4061508179</v>
      </c>
      <c r="I1658" s="16" t="str">
        <f>HYPERLINK(AA2 &amp; "/mouse/3dw_eaab2357-835a-4dd6-ada8-bb08b1eee83b/rendering/06.obj", "5.78675317764")</f>
        <v>5.78675317764</v>
      </c>
      <c r="J1658" s="188" t="str">
        <f>HYPERLINK(AA2 &amp; "/mouse/3dw_eaab2357-835a-4dd6-ada8-bb08b1eee83b/rendering/07.obj", "3.5799279213")</f>
        <v>3.5799279213</v>
      </c>
      <c r="K1658" s="188" t="str">
        <f>HYPERLINK(AA2 &amp; "/mouse/3dw_eaab2357-835a-4dd6-ada8-bb08b1eee83b/rendering/08.obj", "3.57876038551")</f>
        <v>3.57876038551</v>
      </c>
      <c r="L1658" s="191" t="str">
        <f>HYPERLINK(AA2 &amp; "/mouse/3dw_eaab2357-835a-4dd6-ada8-bb08b1eee83b/rendering/09.obj", "6.94286060333")</f>
        <v>6.94286060333</v>
      </c>
      <c r="M1658" s="251" t="str">
        <f>HYPERLINK(AA2 &amp; "/mouse/3dw_eaab2357-835a-4dd6-ada8-bb08b1eee83b/rendering/10.obj", "5.23879671097")</f>
        <v>5.23879671097</v>
      </c>
      <c r="N1658" s="101" t="str">
        <f>HYPERLINK(AA2 &amp; "/mouse/3dw_eaab2357-835a-4dd6-ada8-bb08b1eee83b/rendering/11.obj", "7.90903234482")</f>
        <v>7.90903234482</v>
      </c>
      <c r="O1658" s="212" t="str">
        <f>HYPERLINK(AA2 &amp; "/mouse/3dw_eaab2357-835a-4dd6-ada8-bb08b1eee83b/rendering/12.obj", "18.1836585999")</f>
        <v>18.1836585999</v>
      </c>
      <c r="P1658" s="149" t="str">
        <f>HYPERLINK(AA2 &amp; "/mouse/3dw_eaab2357-835a-4dd6-ada8-bb08b1eee83b/rendering/13.obj", "8.34157848358")</f>
        <v>8.34157848358</v>
      </c>
      <c r="Q1658" s="101" t="str">
        <f>HYPERLINK(AA2 &amp; "/mouse/3dw_eaab2357-835a-4dd6-ada8-bb08b1eee83b/rendering/14.obj", "7.90968847275")</f>
        <v>7.90968847275</v>
      </c>
      <c r="R1658" s="25" t="str">
        <f>HYPERLINK(AA2 &amp; "/mouse/3dw_eaab2357-835a-4dd6-ada8-bb08b1eee83b/rendering/15.obj", "12.5588760376")</f>
        <v>12.5588760376</v>
      </c>
      <c r="S1658" s="173" t="str">
        <f>HYPERLINK(AA2 &amp; "/mouse/3dw_eaab2357-835a-4dd6-ada8-bb08b1eee83b/rendering/16.obj", "3.95591616631")</f>
        <v>3.95591616631</v>
      </c>
      <c r="T1658" s="64" t="str">
        <f>HYPERLINK(AA2 &amp; "/mouse/3dw_eaab2357-835a-4dd6-ada8-bb08b1eee83b/rendering/17.obj", "14.7977285385")</f>
        <v>14.7977285385</v>
      </c>
      <c r="U1658" s="167" t="str">
        <f>HYPERLINK(AA2 &amp; "/mouse/3dw_eaab2357-835a-4dd6-ada8-bb08b1eee83b/rendering/18.obj", "5.03191518784")</f>
        <v>5.03191518784</v>
      </c>
      <c r="V1658" s="20" t="str">
        <f>HYPERLINK(AA2 &amp; "/mouse/3dw_eaab2357-835a-4dd6-ada8-bb08b1eee83b/rendering/19.obj", "51.1911087036")</f>
        <v>51.1911087036</v>
      </c>
      <c r="W1658" s="12" t="s">
        <v>30</v>
      </c>
      <c r="X1658" s="13">
        <v>12.70041410923004</v>
      </c>
      <c r="Y1658" s="13">
        <v>13.12672599853696</v>
      </c>
      <c r="Z1658" s="20">
        <v>1.0335667707871901</v>
      </c>
    </row>
    <row r="1659" spans="1:26" x14ac:dyDescent="0.2">
      <c r="A1659" s="1">
        <v>1657</v>
      </c>
      <c r="B1659" s="2" t="s">
        <v>364</v>
      </c>
      <c r="C1659" s="166" t="str">
        <f>HYPERLINK(AB2 &amp; "/mouse/3dw_eaab2357-835a-4dd6-ada8-bb08b1eee83b/rendering/00.obj", "4.04673919678")</f>
        <v>4.04673919678</v>
      </c>
      <c r="D1659" s="132" t="str">
        <f>HYPERLINK(AB2 &amp; "/mouse/3dw_eaab2357-835a-4dd6-ada8-bb08b1eee83b/rendering/01.obj", "1.82235641479")</f>
        <v>1.82235641479</v>
      </c>
      <c r="E1659" s="151" t="str">
        <f>HYPERLINK(AB2 &amp; "/mouse/3dw_eaab2357-835a-4dd6-ada8-bb08b1eee83b/rendering/02.obj", "4.27268310547")</f>
        <v>4.27268310547</v>
      </c>
      <c r="F1659" s="55" t="str">
        <f>HYPERLINK(AB2 &amp; "/mouse/3dw_eaab2357-835a-4dd6-ada8-bb08b1eee83b/rendering/03.obj", "3.74892120361")</f>
        <v>3.74892120361</v>
      </c>
      <c r="G1659" s="123" t="str">
        <f>HYPERLINK(AB2 &amp; "/mouse/3dw_eaab2357-835a-4dd6-ada8-bb08b1eee83b/rendering/04.obj", "1.98382522583")</f>
        <v>1.98382522583</v>
      </c>
      <c r="H1659" s="230" t="str">
        <f>HYPERLINK(AB2 &amp; "/mouse/3dw_eaab2357-835a-4dd6-ada8-bb08b1eee83b/rendering/05.obj", "1.70991577148")</f>
        <v>1.70991577148</v>
      </c>
      <c r="I1659" s="41" t="str">
        <f>HYPERLINK(AB2 &amp; "/mouse/3dw_eaab2357-835a-4dd6-ada8-bb08b1eee83b/rendering/06.obj", "2.93000244141")</f>
        <v>2.93000244141</v>
      </c>
      <c r="J1659" s="105" t="str">
        <f>HYPERLINK(AB2 &amp; "/mouse/3dw_eaab2357-835a-4dd6-ada8-bb08b1eee83b/rendering/07.obj", "1.52810241699")</f>
        <v>1.52810241699</v>
      </c>
      <c r="K1659" s="90" t="str">
        <f>HYPERLINK(AB2 &amp; "/mouse/3dw_eaab2357-835a-4dd6-ada8-bb08b1eee83b/rendering/08.obj", "2.8464855957")</f>
        <v>2.8464855957</v>
      </c>
      <c r="L1659" s="10" t="str">
        <f>HYPERLINK(AB2 &amp; "/mouse/3dw_eaab2357-835a-4dd6-ada8-bb08b1eee83b/rendering/09.obj", "2.97474243164")</f>
        <v>2.97474243164</v>
      </c>
      <c r="M1659" s="82" t="str">
        <f>HYPERLINK(AB2 &amp; "/mouse/3dw_eaab2357-835a-4dd6-ada8-bb08b1eee83b/rendering/10.obj", "2.49701858521")</f>
        <v>2.49701858521</v>
      </c>
      <c r="N1659" s="212" t="str">
        <f>HYPERLINK(AB2 &amp; "/mouse/3dw_eaab2357-835a-4dd6-ada8-bb08b1eee83b/rendering/11.obj", "1.78852203369")</f>
        <v>1.78852203369</v>
      </c>
      <c r="O1659" s="29" t="str">
        <f>HYPERLINK(AB2 &amp; "/mouse/3dw_eaab2357-835a-4dd6-ada8-bb08b1eee83b/rendering/12.obj", "2.73509490967")</f>
        <v>2.73509490967</v>
      </c>
      <c r="P1659" s="133" t="str">
        <f>HYPERLINK(AB2 &amp; "/mouse/3dw_eaab2357-835a-4dd6-ada8-bb08b1eee83b/rendering/13.obj", "3.46087219238")</f>
        <v>3.46087219238</v>
      </c>
      <c r="Q1659" s="90" t="str">
        <f>HYPERLINK(AB2 &amp; "/mouse/3dw_eaab2357-835a-4dd6-ada8-bb08b1eee83b/rendering/14.obj", "3.44601745605")</f>
        <v>3.44601745605</v>
      </c>
      <c r="R1659" s="150" t="str">
        <f>HYPERLINK(AB2 &amp; "/mouse/3dw_eaab2357-835a-4dd6-ada8-bb08b1eee83b/rendering/15.obj", "4.83375518799")</f>
        <v>4.83375518799</v>
      </c>
      <c r="S1659" s="93" t="str">
        <f>HYPERLINK(AB2 &amp; "/mouse/3dw_eaab2357-835a-4dd6-ada8-bb08b1eee83b/rendering/16.obj", "3.580546875")</f>
        <v>3.580546875</v>
      </c>
      <c r="T1659" s="127" t="str">
        <f>HYPERLINK(AB2 &amp; "/mouse/3dw_eaab2357-835a-4dd6-ada8-bb08b1eee83b/rendering/17.obj", "4.7759854126")</f>
        <v>4.7759854126</v>
      </c>
      <c r="U1659" s="131" t="str">
        <f>HYPERLINK(AB2 &amp; "/mouse/3dw_eaab2357-835a-4dd6-ada8-bb08b1eee83b/rendering/18.obj", "4.59339385986")</f>
        <v>4.59339385986</v>
      </c>
      <c r="V1659" s="34" t="str">
        <f>HYPERLINK(AB2 &amp; "/mouse/3dw_eaab2357-835a-4dd6-ada8-bb08b1eee83b/rendering/19.obj", "3.2930557251")</f>
        <v>3.2930557251</v>
      </c>
      <c r="W1659" s="12" t="s">
        <v>31</v>
      </c>
      <c r="X1659" s="13">
        <v>3.1434018020629888</v>
      </c>
      <c r="Y1659" s="13">
        <v>1.0204197067860561</v>
      </c>
      <c r="Z1659" s="103">
        <v>0.32462274027977062</v>
      </c>
    </row>
    <row r="1660" spans="1:26" x14ac:dyDescent="0.2">
      <c r="A1660" s="1">
        <v>1658</v>
      </c>
      <c r="B1660" s="2" t="s">
        <v>364</v>
      </c>
      <c r="C1660" s="121" t="str">
        <f>HYPERLINK(AB2 &amp; "/mouse/3dw_eaab2357-835a-4dd6-ada8-bb08b1eee83b/rendering/00.obj", "9.72506904602")</f>
        <v>9.72506904602</v>
      </c>
      <c r="D1660" s="160" t="str">
        <f>HYPERLINK(AB2 &amp; "/mouse/3dw_eaab2357-835a-4dd6-ada8-bb08b1eee83b/rendering/01.obj", "3.39993596077")</f>
        <v>3.39993596077</v>
      </c>
      <c r="E1660" s="257" t="str">
        <f>HYPERLINK(AB2 &amp; "/mouse/3dw_eaab2357-835a-4dd6-ada8-bb08b1eee83b/rendering/02.obj", "12.3289833069")</f>
        <v>12.3289833069</v>
      </c>
      <c r="F1660" s="6" t="str">
        <f>HYPERLINK(AB2 &amp; "/mouse/3dw_eaab2357-835a-4dd6-ada8-bb08b1eee83b/rendering/03.obj", "6.87223672867")</f>
        <v>6.87223672867</v>
      </c>
      <c r="G1660" s="230" t="str">
        <f>HYPERLINK(AB2 &amp; "/mouse/3dw_eaab2357-835a-4dd6-ada8-bb08b1eee83b/rendering/04.obj", "3.91495347023")</f>
        <v>3.91495347023</v>
      </c>
      <c r="H1660" s="142" t="str">
        <f>HYPERLINK(AB2 &amp; "/mouse/3dw_eaab2357-835a-4dd6-ada8-bb08b1eee83b/rendering/05.obj", "4.35448169708")</f>
        <v>4.35448169708</v>
      </c>
      <c r="I1660" s="230" t="str">
        <f>HYPERLINK(AB2 &amp; "/mouse/3dw_eaab2357-835a-4dd6-ada8-bb08b1eee83b/rendering/06.obj", "3.90080118179")</f>
        <v>3.90080118179</v>
      </c>
      <c r="J1660" s="155" t="str">
        <f>HYPERLINK(AB2 &amp; "/mouse/3dw_eaab2357-835a-4dd6-ada8-bb08b1eee83b/rendering/07.obj", "2.32146477699")</f>
        <v>2.32146477699</v>
      </c>
      <c r="K1660" s="131" t="str">
        <f>HYPERLINK(AB2 &amp; "/mouse/3dw_eaab2357-835a-4dd6-ada8-bb08b1eee83b/rendering/08.obj", "3.86004948616")</f>
        <v>3.86004948616</v>
      </c>
      <c r="L1660" s="160" t="str">
        <f>HYPERLINK(AB2 &amp; "/mouse/3dw_eaab2357-835a-4dd6-ada8-bb08b1eee83b/rendering/09.obj", "3.38230204582")</f>
        <v>3.38230204582</v>
      </c>
      <c r="M1660" s="87" t="str">
        <f>HYPERLINK(AB2 &amp; "/mouse/3dw_eaab2357-835a-4dd6-ada8-bb08b1eee83b/rendering/10.obj", "8.82633304596")</f>
        <v>8.82633304596</v>
      </c>
      <c r="N1660" s="174" t="str">
        <f>HYPERLINK(AB2 &amp; "/mouse/3dw_eaab2357-835a-4dd6-ada8-bb08b1eee83b/rendering/11.obj", "3.41541385651")</f>
        <v>3.41541385651</v>
      </c>
      <c r="O1660" s="119" t="str">
        <f>HYPERLINK(AB2 &amp; "/mouse/3dw_eaab2357-835a-4dd6-ada8-bb08b1eee83b/rendering/12.obj", "5.28903102875")</f>
        <v>5.28903102875</v>
      </c>
      <c r="P1660" s="20" t="str">
        <f>HYPERLINK(AB2 &amp; "/mouse/3dw_eaab2357-835a-4dd6-ada8-bb08b1eee83b/rendering/13.obj", "13.2921409607")</f>
        <v>13.2921409607</v>
      </c>
      <c r="Q1660" s="140" t="str">
        <f>HYPERLINK(AB2 &amp; "/mouse/3dw_eaab2357-835a-4dd6-ada8-bb08b1eee83b/rendering/14.obj", "4.71062517166")</f>
        <v>4.71062517166</v>
      </c>
      <c r="R1660" s="211" t="str">
        <f>HYPERLINK(AB2 &amp; "/mouse/3dw_eaab2357-835a-4dd6-ada8-bb08b1eee83b/rendering/15.obj", "12.7231006622")</f>
        <v>12.7231006622</v>
      </c>
      <c r="S1660" s="63" t="str">
        <f>HYPERLINK(AB2 &amp; "/mouse/3dw_eaab2357-835a-4dd6-ada8-bb08b1eee83b/rendering/16.obj", "8.05441856384")</f>
        <v>8.05441856384</v>
      </c>
      <c r="T1660" s="20" t="str">
        <f>HYPERLINK(AB2 &amp; "/mouse/3dw_eaab2357-835a-4dd6-ada8-bb08b1eee83b/rendering/17.obj", "18.4022674561")</f>
        <v>18.4022674561</v>
      </c>
      <c r="U1660" s="212" t="str">
        <f>HYPERLINK(AB2 &amp; "/mouse/3dw_eaab2357-835a-4dd6-ada8-bb08b1eee83b/rendering/18.obj", "10.296880722")</f>
        <v>10.296880722</v>
      </c>
      <c r="V1660" s="193" t="str">
        <f>HYPERLINK(AB2 &amp; "/mouse/3dw_eaab2357-835a-4dd6-ada8-bb08b1eee83b/rendering/19.obj", "4.82162094116")</f>
        <v>4.82162094116</v>
      </c>
      <c r="W1660" s="12" t="s">
        <v>32</v>
      </c>
      <c r="X1660" s="13">
        <v>7.1946055054664608</v>
      </c>
      <c r="Y1660" s="13">
        <v>4.256976835667035</v>
      </c>
      <c r="Z1660" s="206">
        <v>0.59169009787021465</v>
      </c>
    </row>
    <row r="1661" spans="1:26" x14ac:dyDescent="0.2">
      <c r="A1661" s="1">
        <v>1659</v>
      </c>
      <c r="B1661" s="2" t="s">
        <v>364</v>
      </c>
      <c r="C1661" s="13" t="str">
        <f>HYPERLINK(AC2 &amp; "/mouse/3dw_eaab2357-835a-4dd6-ada8-bb08b1eee83b/rendering/00.xyz", "0.0")</f>
        <v>0.0</v>
      </c>
      <c r="D1661" s="13" t="str">
        <f>HYPERLINK(AC2 &amp; "/mouse/3dw_eaab2357-835a-4dd6-ada8-bb08b1eee83b/rendering/01.xyz", "0.0")</f>
        <v>0.0</v>
      </c>
      <c r="E1661" s="13" t="str">
        <f>HYPERLINK(AC2 &amp; "/mouse/3dw_eaab2357-835a-4dd6-ada8-bb08b1eee83b/rendering/02.xyz", "0.0")</f>
        <v>0.0</v>
      </c>
      <c r="F1661" s="13" t="str">
        <f>HYPERLINK(AC2 &amp; "/mouse/3dw_eaab2357-835a-4dd6-ada8-bb08b1eee83b/rendering/03.xyz", "0.0")</f>
        <v>0.0</v>
      </c>
      <c r="G1661" s="13" t="str">
        <f>HYPERLINK(AC2 &amp; "/mouse/3dw_eaab2357-835a-4dd6-ada8-bb08b1eee83b/rendering/04.xyz", "0.0")</f>
        <v>0.0</v>
      </c>
      <c r="H1661" s="13" t="str">
        <f>HYPERLINK(AC2 &amp; "/mouse/3dw_eaab2357-835a-4dd6-ada8-bb08b1eee83b/rendering/05.xyz", "0.0")</f>
        <v>0.0</v>
      </c>
      <c r="I1661" s="13" t="str">
        <f>HYPERLINK(AC2 &amp; "/mouse/3dw_eaab2357-835a-4dd6-ada8-bb08b1eee83b/rendering/06.xyz", "0.0")</f>
        <v>0.0</v>
      </c>
      <c r="J1661" s="13" t="str">
        <f>HYPERLINK(AC2 &amp; "/mouse/3dw_eaab2357-835a-4dd6-ada8-bb08b1eee83b/rendering/07.xyz", "0.0")</f>
        <v>0.0</v>
      </c>
      <c r="K1661" s="13" t="str">
        <f>HYPERLINK(AC2 &amp; "/mouse/3dw_eaab2357-835a-4dd6-ada8-bb08b1eee83b/rendering/08.xyz", "0.0")</f>
        <v>0.0</v>
      </c>
      <c r="L1661" s="13" t="str">
        <f>HYPERLINK(AC2 &amp; "/mouse/3dw_eaab2357-835a-4dd6-ada8-bb08b1eee83b/rendering/09.xyz", "0.0")</f>
        <v>0.0</v>
      </c>
      <c r="M1661" s="13" t="str">
        <f>HYPERLINK(AC2 &amp; "/mouse/3dw_eaab2357-835a-4dd6-ada8-bb08b1eee83b/rendering/10.xyz", "0.0")</f>
        <v>0.0</v>
      </c>
      <c r="N1661" s="13" t="str">
        <f>HYPERLINK(AC2 &amp; "/mouse/3dw_eaab2357-835a-4dd6-ada8-bb08b1eee83b/rendering/11.xyz", "0.0")</f>
        <v>0.0</v>
      </c>
      <c r="O1661" s="13" t="str">
        <f>HYPERLINK(AC2 &amp; "/mouse/3dw_eaab2357-835a-4dd6-ada8-bb08b1eee83b/rendering/12.xyz", "0.0")</f>
        <v>0.0</v>
      </c>
      <c r="P1661" s="13" t="str">
        <f>HYPERLINK(AC2 &amp; "/mouse/3dw_eaab2357-835a-4dd6-ada8-bb08b1eee83b/rendering/13.xyz", "0.0")</f>
        <v>0.0</v>
      </c>
      <c r="Q1661" s="13" t="str">
        <f>HYPERLINK(AC2 &amp; "/mouse/3dw_eaab2357-835a-4dd6-ada8-bb08b1eee83b/rendering/14.xyz", "0.0")</f>
        <v>0.0</v>
      </c>
      <c r="R1661" s="13" t="str">
        <f>HYPERLINK(AC2 &amp; "/mouse/3dw_eaab2357-835a-4dd6-ada8-bb08b1eee83b/rendering/15.xyz", "0.0")</f>
        <v>0.0</v>
      </c>
      <c r="S1661" s="13" t="str">
        <f>HYPERLINK(AC2 &amp; "/mouse/3dw_eaab2357-835a-4dd6-ada8-bb08b1eee83b/rendering/16.xyz", "0.0")</f>
        <v>0.0</v>
      </c>
      <c r="T1661" s="13" t="str">
        <f>HYPERLINK(AC2 &amp; "/mouse/3dw_eaab2357-835a-4dd6-ada8-bb08b1eee83b/rendering/17.xyz", "0.0")</f>
        <v>0.0</v>
      </c>
      <c r="U1661" s="13" t="str">
        <f>HYPERLINK(AC2 &amp; "/mouse/3dw_eaab2357-835a-4dd6-ada8-bb08b1eee83b/rendering/18.xyz", "0.0")</f>
        <v>0.0</v>
      </c>
      <c r="V1661" s="13" t="str">
        <f>HYPERLINK(AC2 &amp; "/mouse/3dw_eaab2357-835a-4dd6-ada8-bb08b1eee83b/rendering/19.xyz", "0.0")</f>
        <v>0.0</v>
      </c>
      <c r="W1661" s="12" t="s">
        <v>33</v>
      </c>
      <c r="X1661" s="13">
        <v>0</v>
      </c>
      <c r="Y1661" s="13">
        <v>0</v>
      </c>
      <c r="Z1661" s="13">
        <v>0</v>
      </c>
    </row>
    <row r="1662" spans="1:26" x14ac:dyDescent="0.2">
      <c r="A1662" s="1">
        <v>1660</v>
      </c>
      <c r="B1662" s="2" t="s">
        <v>365</v>
      </c>
      <c r="C1662" s="168" t="str">
        <f>HYPERLINK(AA2 &amp; "/mouse/3dw_eb99799c-cb24-4edf-a7f6-dfff33615888/rendering/00.obj", "3.74404693604")</f>
        <v>3.74404693604</v>
      </c>
      <c r="D1662" s="20" t="str">
        <f>HYPERLINK(AA2 &amp; "/mouse/3dw_eb99799c-cb24-4edf-a7f6-dfff33615888/rendering/01.obj", "5.13501464844")</f>
        <v>5.13501464844</v>
      </c>
      <c r="E1662" s="76" t="str">
        <f>HYPERLINK(AA2 &amp; "/mouse/3dw_eb99799c-cb24-4edf-a7f6-dfff33615888/rendering/02.obj", "2.31616134644")</f>
        <v>2.31616134644</v>
      </c>
      <c r="F1662" s="84" t="str">
        <f>HYPERLINK(AA2 &amp; "/mouse/3dw_eb99799c-cb24-4edf-a7f6-dfff33615888/rendering/03.obj", "2.41749145508")</f>
        <v>2.41749145508</v>
      </c>
      <c r="G1662" s="11" t="str">
        <f>HYPERLINK(AA2 &amp; "/mouse/3dw_eb99799c-cb24-4edf-a7f6-dfff33615888/rendering/04.obj", "2.19803421021")</f>
        <v>2.19803421021</v>
      </c>
      <c r="H1662" s="170" t="str">
        <f>HYPERLINK(AA2 &amp; "/mouse/3dw_eb99799c-cb24-4edf-a7f6-dfff33615888/rendering/05.obj", "2.11465545654")</f>
        <v>2.11465545654</v>
      </c>
      <c r="I1662" s="20" t="str">
        <f>HYPERLINK(AA2 &amp; "/mouse/3dw_eb99799c-cb24-4edf-a7f6-dfff33615888/rendering/06.obj", "5.43729125977")</f>
        <v>5.43729125977</v>
      </c>
      <c r="J1662" s="118" t="str">
        <f>HYPERLINK(AA2 &amp; "/mouse/3dw_eb99799c-cb24-4edf-a7f6-dfff33615888/rendering/07.obj", "1.99948791504")</f>
        <v>1.99948791504</v>
      </c>
      <c r="K1662" s="27" t="str">
        <f>HYPERLINK(AA2 &amp; "/mouse/3dw_eb99799c-cb24-4edf-a7f6-dfff33615888/rendering/08.obj", "2.63065734863")</f>
        <v>2.63065734863</v>
      </c>
      <c r="L1662" s="93" t="str">
        <f>HYPERLINK(AA2 &amp; "/mouse/3dw_eb99799c-cb24-4edf-a7f6-dfff33615888/rendering/09.obj", "3.22742523193")</f>
        <v>3.22742523193</v>
      </c>
      <c r="M1662" s="78" t="str">
        <f>HYPERLINK(AA2 &amp; "/mouse/3dw_eb99799c-cb24-4edf-a7f6-dfff33615888/rendering/10.obj", "3.00668395996")</f>
        <v>3.00668395996</v>
      </c>
      <c r="N1662" s="166" t="str">
        <f>HYPERLINK(AA2 &amp; "/mouse/3dw_eb99799c-cb24-4edf-a7f6-dfff33615888/rendering/11.obj", "2.0190007019")</f>
        <v>2.0190007019</v>
      </c>
      <c r="O1662" s="186" t="str">
        <f>HYPERLINK(AA2 &amp; "/mouse/3dw_eb99799c-cb24-4edf-a7f6-dfff33615888/rendering/12.obj", "4.53929595947")</f>
        <v>4.53929595947</v>
      </c>
      <c r="P1662" s="35" t="str">
        <f>HYPERLINK(AA2 &amp; "/mouse/3dw_eb99799c-cb24-4edf-a7f6-dfff33615888/rendering/13.obj", "2.67256958008")</f>
        <v>2.67256958008</v>
      </c>
      <c r="Q1662" s="185" t="str">
        <f>HYPERLINK(AA2 &amp; "/mouse/3dw_eb99799c-cb24-4edf-a7f6-dfff33615888/rendering/14.obj", "1.86507843018")</f>
        <v>1.86507843018</v>
      </c>
      <c r="R1662" s="30" t="str">
        <f>HYPERLINK(AA2 &amp; "/mouse/3dw_eb99799c-cb24-4edf-a7f6-dfff33615888/rendering/15.obj", "2.82052246094")</f>
        <v>2.82052246094</v>
      </c>
      <c r="S1662" s="162" t="str">
        <f>HYPERLINK(AA2 &amp; "/mouse/3dw_eb99799c-cb24-4edf-a7f6-dfff33615888/rendering/16.obj", "1.63165130615")</f>
        <v>1.63165130615</v>
      </c>
      <c r="T1662" s="135" t="str">
        <f>HYPERLINK(AA2 &amp; "/mouse/3dw_eb99799c-cb24-4edf-a7f6-dfff33615888/rendering/17.obj", "2.10550231934")</f>
        <v>2.10550231934</v>
      </c>
      <c r="U1662" s="10" t="str">
        <f>HYPERLINK(AA2 &amp; "/mouse/3dw_eb99799c-cb24-4edf-a7f6-dfff33615888/rendering/18.obj", "2.68046966553")</f>
        <v>2.68046966553</v>
      </c>
      <c r="V1662" s="135" t="str">
        <f>HYPERLINK(AA2 &amp; "/mouse/3dw_eb99799c-cb24-4edf-a7f6-dfff33615888/rendering/19.obj", "2.11017990112")</f>
        <v>2.11017990112</v>
      </c>
      <c r="W1662" s="12" t="s">
        <v>29</v>
      </c>
      <c r="X1662" s="13">
        <v>2.8335610046386721</v>
      </c>
      <c r="Y1662" s="13">
        <v>1.0546807438932</v>
      </c>
      <c r="Z1662" s="192">
        <v>0.37221035374450662</v>
      </c>
    </row>
    <row r="1663" spans="1:26" x14ac:dyDescent="0.2">
      <c r="A1663" s="1">
        <v>1661</v>
      </c>
      <c r="B1663" s="2" t="s">
        <v>365</v>
      </c>
      <c r="C1663" s="30" t="str">
        <f>HYPERLINK(AA2 &amp; "/mouse/3dw_eb99799c-cb24-4edf-a7f6-dfff33615888/rendering/00.obj", "8.15834331512")</f>
        <v>8.15834331512</v>
      </c>
      <c r="D1663" s="20" t="str">
        <f>HYPERLINK(AA2 &amp; "/mouse/3dw_eb99799c-cb24-4edf-a7f6-dfff33615888/rendering/01.obj", "20.724571228")</f>
        <v>20.724571228</v>
      </c>
      <c r="E1663" s="140" t="str">
        <f>HYPERLINK(AA2 &amp; "/mouse/3dw_eb99799c-cb24-4edf-a7f6-dfff33615888/rendering/02.obj", "5.31977844238")</f>
        <v>5.31977844238</v>
      </c>
      <c r="F1663" s="134" t="str">
        <f>HYPERLINK(AA2 &amp; "/mouse/3dw_eb99799c-cb24-4edf-a7f6-dfff33615888/rendering/03.obj", "6.6552901268")</f>
        <v>6.6552901268</v>
      </c>
      <c r="G1663" s="14" t="str">
        <f>HYPERLINK(AA2 &amp; "/mouse/3dw_eb99799c-cb24-4edf-a7f6-dfff33615888/rendering/04.obj", "5.76177024841")</f>
        <v>5.76177024841</v>
      </c>
      <c r="H1663" s="143" t="str">
        <f>HYPERLINK(AA2 &amp; "/mouse/3dw_eb99799c-cb24-4edf-a7f6-dfff33615888/rendering/05.obj", "4.28028774261")</f>
        <v>4.28028774261</v>
      </c>
      <c r="I1663" s="20" t="str">
        <f>HYPERLINK(AA2 &amp; "/mouse/3dw_eb99799c-cb24-4edf-a7f6-dfff33615888/rendering/06.obj", "18.0286312103")</f>
        <v>18.0286312103</v>
      </c>
      <c r="J1663" s="162" t="str">
        <f>HYPERLINK(AA2 &amp; "/mouse/3dw_eb99799c-cb24-4edf-a7f6-dfff33615888/rendering/07.obj", "4.67559289932")</f>
        <v>4.67559289932</v>
      </c>
      <c r="K1663" s="26" t="str">
        <f>HYPERLINK(AA2 &amp; "/mouse/3dw_eb99799c-cb24-4edf-a7f6-dfff33615888/rendering/08.obj", "7.59550714493")</f>
        <v>7.59550714493</v>
      </c>
      <c r="L1663" s="217" t="str">
        <f>HYPERLINK(AA2 &amp; "/mouse/3dw_eb99799c-cb24-4edf-a7f6-dfff33615888/rendering/09.obj", "13.255437851")</f>
        <v>13.255437851</v>
      </c>
      <c r="M1663" s="48" t="str">
        <f>HYPERLINK(AA2 &amp; "/mouse/3dw_eb99799c-cb24-4edf-a7f6-dfff33615888/rendering/10.obj", "8.3219499588")</f>
        <v>8.3219499588</v>
      </c>
      <c r="N1663" s="61" t="str">
        <f>HYPERLINK(AA2 &amp; "/mouse/3dw_eb99799c-cb24-4edf-a7f6-dfff33615888/rendering/11.obj", "5.67496490479")</f>
        <v>5.67496490479</v>
      </c>
      <c r="O1663" s="227" t="str">
        <f>HYPERLINK(AA2 &amp; "/mouse/3dw_eb99799c-cb24-4edf-a7f6-dfff33615888/rendering/12.obj", "12.2568120956")</f>
        <v>12.2568120956</v>
      </c>
      <c r="P1663" s="88" t="str">
        <f>HYPERLINK(AA2 &amp; "/mouse/3dw_eb99799c-cb24-4edf-a7f6-dfff33615888/rendering/13.obj", "6.48198890686")</f>
        <v>6.48198890686</v>
      </c>
      <c r="Q1663" s="122" t="str">
        <f>HYPERLINK(AA2 &amp; "/mouse/3dw_eb99799c-cb24-4edf-a7f6-dfff33615888/rendering/14.obj", "4.85877037048")</f>
        <v>4.85877037048</v>
      </c>
      <c r="R1663" s="50" t="str">
        <f>HYPERLINK(AA2 &amp; "/mouse/3dw_eb99799c-cb24-4edf-a7f6-dfff33615888/rendering/15.obj", "9.74881649017")</f>
        <v>9.74881649017</v>
      </c>
      <c r="S1663" s="105" t="str">
        <f>HYPERLINK(AA2 &amp; "/mouse/3dw_eb99799c-cb24-4edf-a7f6-dfff33615888/rendering/16.obj", "3.94981646538")</f>
        <v>3.94981646538</v>
      </c>
      <c r="T1663" s="108" t="str">
        <f>HYPERLINK(AA2 &amp; "/mouse/3dw_eb99799c-cb24-4edf-a7f6-dfff33615888/rendering/17.obj", "6.11594772339")</f>
        <v>6.11594772339</v>
      </c>
      <c r="U1663" s="11" t="str">
        <f>HYPERLINK(AA2 &amp; "/mouse/3dw_eb99799c-cb24-4edf-a7f6-dfff33615888/rendering/18.obj", "6.30804204941")</f>
        <v>6.30804204941</v>
      </c>
      <c r="V1663" s="159" t="str">
        <f>HYPERLINK(AA2 &amp; "/mouse/3dw_eb99799c-cb24-4edf-a7f6-dfff33615888/rendering/19.obj", "4.30924654007")</f>
        <v>4.30924654007</v>
      </c>
      <c r="W1663" s="12" t="s">
        <v>30</v>
      </c>
      <c r="X1663" s="13">
        <v>8.1240782856941216</v>
      </c>
      <c r="Y1663" s="13">
        <v>4.495419674975861</v>
      </c>
      <c r="Z1663" s="21">
        <v>0.55334519398858451</v>
      </c>
    </row>
    <row r="1664" spans="1:26" x14ac:dyDescent="0.2">
      <c r="A1664" s="1">
        <v>1662</v>
      </c>
      <c r="B1664" s="2" t="s">
        <v>365</v>
      </c>
      <c r="C1664" s="50" t="str">
        <f>HYPERLINK(AB2 &amp; "/mouse/3dw_eb99799c-cb24-4edf-a7f6-dfff33615888/rendering/00.obj", "2.14801544189")</f>
        <v>2.14801544189</v>
      </c>
      <c r="D1664" s="50" t="str">
        <f>HYPERLINK(AB2 &amp; "/mouse/3dw_eb99799c-cb24-4edf-a7f6-dfff33615888/rendering/01.obj", "1.43485321045")</f>
        <v>1.43485321045</v>
      </c>
      <c r="E1664" s="31" t="str">
        <f>HYPERLINK(AB2 &amp; "/mouse/3dw_eb99799c-cb24-4edf-a7f6-dfff33615888/rendering/02.obj", "1.51060882568")</f>
        <v>1.51060882568</v>
      </c>
      <c r="F1664" s="47" t="str">
        <f>HYPERLINK(AB2 &amp; "/mouse/3dw_eb99799c-cb24-4edf-a7f6-dfff33615888/rendering/03.obj", "1.77921600342")</f>
        <v>1.77921600342</v>
      </c>
      <c r="G1664" s="60" t="str">
        <f>HYPERLINK(AB2 &amp; "/mouse/3dw_eb99799c-cb24-4edf-a7f6-dfff33615888/rendering/04.obj", "1.88276123047")</f>
        <v>1.88276123047</v>
      </c>
      <c r="H1664" s="74" t="str">
        <f>HYPERLINK(AB2 &amp; "/mouse/3dw_eb99799c-cb24-4edf-a7f6-dfff33615888/rendering/05.obj", "1.76722518921")</f>
        <v>1.76722518921</v>
      </c>
      <c r="I1664" s="73" t="str">
        <f>HYPERLINK(AB2 &amp; "/mouse/3dw_eb99799c-cb24-4edf-a7f6-dfff33615888/rendering/06.obj", "1.8560105896")</f>
        <v>1.8560105896</v>
      </c>
      <c r="J1664" s="94" t="str">
        <f>HYPERLINK(AB2 &amp; "/mouse/3dw_eb99799c-cb24-4edf-a7f6-dfff33615888/rendering/07.obj", "1.65928268433")</f>
        <v>1.65928268433</v>
      </c>
      <c r="K1664" s="68" t="str">
        <f>HYPERLINK(AB2 &amp; "/mouse/3dw_eb99799c-cb24-4edf-a7f6-dfff33615888/rendering/08.obj", "1.86435791016")</f>
        <v>1.86435791016</v>
      </c>
      <c r="L1664" s="46" t="str">
        <f>HYPERLINK(AB2 &amp; "/mouse/3dw_eb99799c-cb24-4edf-a7f6-dfff33615888/rendering/09.obj", "1.75863494873")</f>
        <v>1.75863494873</v>
      </c>
      <c r="M1664" s="69" t="str">
        <f>HYPERLINK(AB2 &amp; "/mouse/3dw_eb99799c-cb24-4edf-a7f6-dfff33615888/rendering/10.obj", "1.84474700928")</f>
        <v>1.84474700928</v>
      </c>
      <c r="N1664" s="60" t="str">
        <f>HYPERLINK(AB2 &amp; "/mouse/3dw_eb99799c-cb24-4edf-a7f6-dfff33615888/rendering/11.obj", "1.70101074219")</f>
        <v>1.70101074219</v>
      </c>
      <c r="O1664" s="75" t="str">
        <f>HYPERLINK(AB2 &amp; "/mouse/3dw_eb99799c-cb24-4edf-a7f6-dfff33615888/rendering/12.obj", "2.1884197998")</f>
        <v>2.1884197998</v>
      </c>
      <c r="P1664" s="25" t="str">
        <f>HYPERLINK(AB2 &amp; "/mouse/3dw_eb99799c-cb24-4edf-a7f6-dfff33615888/rendering/13.obj", "1.8113293457")</f>
        <v>1.8113293457</v>
      </c>
      <c r="Q1664" s="84" t="str">
        <f>HYPERLINK(AB2 &amp; "/mouse/3dw_eb99799c-cb24-4edf-a7f6-dfff33615888/rendering/14.obj", "1.52744873047")</f>
        <v>1.52744873047</v>
      </c>
      <c r="R1664" s="78" t="str">
        <f>HYPERLINK(AB2 &amp; "/mouse/3dw_eb99799c-cb24-4edf-a7f6-dfff33615888/rendering/15.obj", "1.68165603638")</f>
        <v>1.68165603638</v>
      </c>
      <c r="S1664" s="70" t="str">
        <f>HYPERLINK(AB2 &amp; "/mouse/3dw_eb99799c-cb24-4edf-a7f6-dfff33615888/rendering/16.obj", "1.56381134033")</f>
        <v>1.56381134033</v>
      </c>
      <c r="T1664" s="74" t="str">
        <f>HYPERLINK(AB2 &amp; "/mouse/3dw_eb99799c-cb24-4edf-a7f6-dfff33615888/rendering/17.obj", "1.81594497681")</f>
        <v>1.81594497681</v>
      </c>
      <c r="U1664" s="76" t="str">
        <f>HYPERLINK(AB2 &amp; "/mouse/3dw_eb99799c-cb24-4edf-a7f6-dfff33615888/rendering/18.obj", "2.1202230835")</f>
        <v>2.1202230835</v>
      </c>
      <c r="V1664" s="41" t="str">
        <f>HYPERLINK(AB2 &amp; "/mouse/3dw_eb99799c-cb24-4edf-a7f6-dfff33615888/rendering/19.obj", "1.90970779419")</f>
        <v>1.90970779419</v>
      </c>
      <c r="W1664" s="12" t="s">
        <v>31</v>
      </c>
      <c r="X1664" s="13">
        <v>1.7912632446289061</v>
      </c>
      <c r="Y1664" s="13">
        <v>0.1994394144226502</v>
      </c>
      <c r="Z1664" s="28">
        <v>0.1113400919829446</v>
      </c>
    </row>
    <row r="1665" spans="1:26" x14ac:dyDescent="0.2">
      <c r="A1665" s="1">
        <v>1663</v>
      </c>
      <c r="B1665" s="2" t="s">
        <v>365</v>
      </c>
      <c r="C1665" s="27" t="str">
        <f>HYPERLINK(AB2 &amp; "/mouse/3dw_eb99799c-cb24-4edf-a7f6-dfff33615888/rendering/00.obj", "4.28525495529")</f>
        <v>4.28525495529</v>
      </c>
      <c r="D1665" s="64" t="str">
        <f>HYPERLINK(AB2 &amp; "/mouse/3dw_eb99799c-cb24-4edf-a7f6-dfff33615888/rendering/01.obj", "3.33734035492")</f>
        <v>3.33734035492</v>
      </c>
      <c r="E1665" s="84" t="str">
        <f>HYPERLINK(AB2 &amp; "/mouse/3dw_eb99799c-cb24-4edf-a7f6-dfff33615888/rendering/02.obj", "3.41098880768")</f>
        <v>3.41098880768</v>
      </c>
      <c r="F1665" s="23" t="str">
        <f>HYPERLINK(AB2 &amp; "/mouse/3dw_eb99799c-cb24-4edf-a7f6-dfff33615888/rendering/03.obj", "3.84120631218")</f>
        <v>3.84120631218</v>
      </c>
      <c r="G1665" s="6" t="str">
        <f>HYPERLINK(AB2 &amp; "/mouse/3dw_eb99799c-cb24-4edf-a7f6-dfff33615888/rendering/04.obj", "3.81987595558")</f>
        <v>3.81987595558</v>
      </c>
      <c r="H1665" s="13" t="str">
        <f>HYPERLINK(AB2 &amp; "/mouse/3dw_eb99799c-cb24-4edf-a7f6-dfff33615888/rendering/05.obj", "3.99397826195")</f>
        <v>3.99397826195</v>
      </c>
      <c r="I1665" s="73" t="str">
        <f>HYPERLINK(AB2 &amp; "/mouse/3dw_eb99799c-cb24-4edf-a7f6-dfff33615888/rendering/06.obj", "3.85568094254")</f>
        <v>3.85568094254</v>
      </c>
      <c r="J1665" s="30" t="str">
        <f>HYPERLINK(AB2 &amp; "/mouse/3dw_eb99799c-cb24-4edf-a7f6-dfff33615888/rendering/07.obj", "3.97779011726")</f>
        <v>3.97779011726</v>
      </c>
      <c r="K1665" s="38" t="str">
        <f>HYPERLINK(AB2 &amp; "/mouse/3dw_eb99799c-cb24-4edf-a7f6-dfff33615888/rendering/08.obj", "4.35256814957")</f>
        <v>4.35256814957</v>
      </c>
      <c r="L1665" s="32" t="str">
        <f>HYPERLINK(AB2 &amp; "/mouse/3dw_eb99799c-cb24-4edf-a7f6-dfff33615888/rendering/09.obj", "3.57960700989")</f>
        <v>3.57960700989</v>
      </c>
      <c r="M1665" s="6" t="str">
        <f>HYPERLINK(AB2 &amp; "/mouse/3dw_eb99799c-cb24-4edf-a7f6-dfff33615888/rendering/10.obj", "4.17985057831")</f>
        <v>4.17985057831</v>
      </c>
      <c r="N1665" s="27" t="str">
        <f>HYPERLINK(AB2 &amp; "/mouse/3dw_eb99799c-cb24-4edf-a7f6-dfff33615888/rendering/11.obj", "4.27565336227")</f>
        <v>4.27565336227</v>
      </c>
      <c r="O1665" s="118" t="str">
        <f>HYPERLINK(AB2 &amp; "/mouse/3dw_eb99799c-cb24-4edf-a7f6-dfff33615888/rendering/12.obj", "5.17581367493")</f>
        <v>5.17581367493</v>
      </c>
      <c r="P1665" s="60" t="str">
        <f>HYPERLINK(AB2 &amp; "/mouse/3dw_eb99799c-cb24-4edf-a7f6-dfff33615888/rendering/13.obj", "3.79575800896")</f>
        <v>3.79575800896</v>
      </c>
      <c r="Q1665" s="29" t="str">
        <f>HYPERLINK(AB2 &amp; "/mouse/3dw_eb99799c-cb24-4edf-a7f6-dfff33615888/rendering/14.obj", "3.47635102272")</f>
        <v>3.47635102272</v>
      </c>
      <c r="R1665" s="73" t="str">
        <f>HYPERLINK(AB2 &amp; "/mouse/3dw_eb99799c-cb24-4edf-a7f6-dfff33615888/rendering/15.obj", "4.1449213028")</f>
        <v>4.1449213028</v>
      </c>
      <c r="S1665" s="32" t="str">
        <f>HYPERLINK(AB2 &amp; "/mouse/3dw_eb99799c-cb24-4edf-a7f6-dfff33615888/rendering/16.obj", "3.58419299126")</f>
        <v>3.58419299126</v>
      </c>
      <c r="T1665" s="17" t="str">
        <f>HYPERLINK(AB2 &amp; "/mouse/3dw_eb99799c-cb24-4edf-a7f6-dfff33615888/rendering/17.obj", "4.08577394485")</f>
        <v>4.08577394485</v>
      </c>
      <c r="U1665" s="64" t="str">
        <f>HYPERLINK(AB2 &amp; "/mouse/3dw_eb99799c-cb24-4edf-a7f6-dfff33615888/rendering/18.obj", "4.65847826004")</f>
        <v>4.65847826004</v>
      </c>
      <c r="V1665" s="73" t="str">
        <f>HYPERLINK(AB2 &amp; "/mouse/3dw_eb99799c-cb24-4edf-a7f6-dfff33615888/rendering/19.obj", "4.14451742172")</f>
        <v>4.14451742172</v>
      </c>
      <c r="W1665" s="12" t="s">
        <v>32</v>
      </c>
      <c r="X1665" s="13">
        <v>3.9987800717353821</v>
      </c>
      <c r="Y1665" s="13">
        <v>0.43069539072022178</v>
      </c>
      <c r="Z1665" s="33">
        <v>0.10770669629082889</v>
      </c>
    </row>
    <row r="1666" spans="1:26" x14ac:dyDescent="0.2">
      <c r="A1666" s="1">
        <v>1664</v>
      </c>
      <c r="B1666" s="2" t="s">
        <v>365</v>
      </c>
      <c r="C1666" s="13" t="str">
        <f>HYPERLINK(AC2 &amp; "/mouse/3dw_eb99799c-cb24-4edf-a7f6-dfff33615888/rendering/00.xyz", "0.0")</f>
        <v>0.0</v>
      </c>
      <c r="D1666" s="13" t="str">
        <f>HYPERLINK(AC2 &amp; "/mouse/3dw_eb99799c-cb24-4edf-a7f6-dfff33615888/rendering/01.xyz", "0.0")</f>
        <v>0.0</v>
      </c>
      <c r="E1666" s="13" t="str">
        <f>HYPERLINK(AC2 &amp; "/mouse/3dw_eb99799c-cb24-4edf-a7f6-dfff33615888/rendering/02.xyz", "0.0")</f>
        <v>0.0</v>
      </c>
      <c r="F1666" s="13" t="str">
        <f>HYPERLINK(AC2 &amp; "/mouse/3dw_eb99799c-cb24-4edf-a7f6-dfff33615888/rendering/03.xyz", "0.0")</f>
        <v>0.0</v>
      </c>
      <c r="G1666" s="13" t="str">
        <f>HYPERLINK(AC2 &amp; "/mouse/3dw_eb99799c-cb24-4edf-a7f6-dfff33615888/rendering/04.xyz", "0.0")</f>
        <v>0.0</v>
      </c>
      <c r="H1666" s="13" t="str">
        <f>HYPERLINK(AC2 &amp; "/mouse/3dw_eb99799c-cb24-4edf-a7f6-dfff33615888/rendering/05.xyz", "0.0")</f>
        <v>0.0</v>
      </c>
      <c r="I1666" s="13" t="str">
        <f>HYPERLINK(AC2 &amp; "/mouse/3dw_eb99799c-cb24-4edf-a7f6-dfff33615888/rendering/06.xyz", "0.0")</f>
        <v>0.0</v>
      </c>
      <c r="J1666" s="13" t="str">
        <f>HYPERLINK(AC2 &amp; "/mouse/3dw_eb99799c-cb24-4edf-a7f6-dfff33615888/rendering/07.xyz", "0.0")</f>
        <v>0.0</v>
      </c>
      <c r="K1666" s="13" t="str">
        <f>HYPERLINK(AC2 &amp; "/mouse/3dw_eb99799c-cb24-4edf-a7f6-dfff33615888/rendering/08.xyz", "0.0")</f>
        <v>0.0</v>
      </c>
      <c r="L1666" s="13" t="str">
        <f>HYPERLINK(AC2 &amp; "/mouse/3dw_eb99799c-cb24-4edf-a7f6-dfff33615888/rendering/09.xyz", "0.0")</f>
        <v>0.0</v>
      </c>
      <c r="M1666" s="13" t="str">
        <f>HYPERLINK(AC2 &amp; "/mouse/3dw_eb99799c-cb24-4edf-a7f6-dfff33615888/rendering/10.xyz", "0.0")</f>
        <v>0.0</v>
      </c>
      <c r="N1666" s="13" t="str">
        <f>HYPERLINK(AC2 &amp; "/mouse/3dw_eb99799c-cb24-4edf-a7f6-dfff33615888/rendering/11.xyz", "0.0")</f>
        <v>0.0</v>
      </c>
      <c r="O1666" s="13" t="str">
        <f>HYPERLINK(AC2 &amp; "/mouse/3dw_eb99799c-cb24-4edf-a7f6-dfff33615888/rendering/12.xyz", "0.0")</f>
        <v>0.0</v>
      </c>
      <c r="P1666" s="13" t="str">
        <f>HYPERLINK(AC2 &amp; "/mouse/3dw_eb99799c-cb24-4edf-a7f6-dfff33615888/rendering/13.xyz", "0.0")</f>
        <v>0.0</v>
      </c>
      <c r="Q1666" s="13" t="str">
        <f>HYPERLINK(AC2 &amp; "/mouse/3dw_eb99799c-cb24-4edf-a7f6-dfff33615888/rendering/14.xyz", "0.0")</f>
        <v>0.0</v>
      </c>
      <c r="R1666" s="13" t="str">
        <f>HYPERLINK(AC2 &amp; "/mouse/3dw_eb99799c-cb24-4edf-a7f6-dfff33615888/rendering/15.xyz", "0.0")</f>
        <v>0.0</v>
      </c>
      <c r="S1666" s="13" t="str">
        <f>HYPERLINK(AC2 &amp; "/mouse/3dw_eb99799c-cb24-4edf-a7f6-dfff33615888/rendering/16.xyz", "0.0")</f>
        <v>0.0</v>
      </c>
      <c r="T1666" s="13" t="str">
        <f>HYPERLINK(AC2 &amp; "/mouse/3dw_eb99799c-cb24-4edf-a7f6-dfff33615888/rendering/17.xyz", "0.0")</f>
        <v>0.0</v>
      </c>
      <c r="U1666" s="13" t="str">
        <f>HYPERLINK(AC2 &amp; "/mouse/3dw_eb99799c-cb24-4edf-a7f6-dfff33615888/rendering/18.xyz", "0.0")</f>
        <v>0.0</v>
      </c>
      <c r="V1666" s="13" t="str">
        <f>HYPERLINK(AC2 &amp; "/mouse/3dw_eb99799c-cb24-4edf-a7f6-dfff33615888/rendering/19.xyz", "0.0")</f>
        <v>0.0</v>
      </c>
      <c r="W1666" s="12" t="s">
        <v>33</v>
      </c>
      <c r="X1666" s="13">
        <v>0</v>
      </c>
      <c r="Y1666" s="13">
        <v>0</v>
      </c>
      <c r="Z1666" s="13">
        <v>0</v>
      </c>
    </row>
    <row r="1667" spans="1:26" x14ac:dyDescent="0.2">
      <c r="A1667" s="1">
        <v>1665</v>
      </c>
      <c r="B1667" s="2" t="s">
        <v>366</v>
      </c>
      <c r="C1667" s="207" t="str">
        <f>HYPERLINK(AA2 &amp; "/mouse/3dw_f12974fd-544f-4947-b4d8-c45d50bdfe90/rendering/00.obj", "5.46234680176")</f>
        <v>5.46234680176</v>
      </c>
      <c r="D1667" s="100" t="str">
        <f>HYPERLINK(AA2 &amp; "/mouse/3dw_f12974fd-544f-4947-b4d8-c45d50bdfe90/rendering/01.obj", "2.21573181152")</f>
        <v>2.21573181152</v>
      </c>
      <c r="E1667" s="20" t="str">
        <f>HYPERLINK(AA2 &amp; "/mouse/3dw_f12974fd-544f-4947-b4d8-c45d50bdfe90/rendering/02.obj", "5.92156738281")</f>
        <v>5.92156738281</v>
      </c>
      <c r="F1667" s="35" t="str">
        <f>HYPERLINK(AA2 &amp; "/mouse/3dw_f12974fd-544f-4947-b4d8-c45d50bdfe90/rendering/03.obj", "3.34087646484")</f>
        <v>3.34087646484</v>
      </c>
      <c r="G1667" s="64" t="str">
        <f>HYPERLINK(AA2 &amp; "/mouse/3dw_f12974fd-544f-4947-b4d8-c45d50bdfe90/rendering/04.obj", "2.63698852539")</f>
        <v>2.63698852539</v>
      </c>
      <c r="H1667" s="85" t="str">
        <f>HYPERLINK(AA2 &amp; "/mouse/3dw_f12974fd-544f-4947-b4d8-c45d50bdfe90/rendering/05.obj", "4.09235778809")</f>
        <v>4.09235778809</v>
      </c>
      <c r="I1667" s="71" t="str">
        <f>HYPERLINK(AA2 &amp; "/mouse/3dw_f12974fd-544f-4947-b4d8-c45d50bdfe90/rendering/06.obj", "2.78619873047")</f>
        <v>2.78619873047</v>
      </c>
      <c r="J1667" s="171" t="str">
        <f>HYPERLINK(AA2 &amp; "/mouse/3dw_f12974fd-544f-4947-b4d8-c45d50bdfe90/rendering/07.obj", "2.19554962158")</f>
        <v>2.19554962158</v>
      </c>
      <c r="K1667" s="55" t="str">
        <f>HYPERLINK(AA2 &amp; "/mouse/3dw_f12974fd-544f-4947-b4d8-c45d50bdfe90/rendering/08.obj", "2.54259689331")</f>
        <v>2.54259689331</v>
      </c>
      <c r="L1667" s="43" t="str">
        <f>HYPERLINK(AA2 &amp; "/mouse/3dw_f12974fd-544f-4947-b4d8-c45d50bdfe90/rendering/09.obj", "1.97706451416")</f>
        <v>1.97706451416</v>
      </c>
      <c r="M1667" s="169" t="str">
        <f>HYPERLINK(AA2 &amp; "/mouse/3dw_f12974fd-544f-4947-b4d8-c45d50bdfe90/rendering/10.obj", "2.16714630127")</f>
        <v>2.16714630127</v>
      </c>
      <c r="N1667" s="181" t="str">
        <f>HYPERLINK(AA2 &amp; "/mouse/3dw_f12974fd-544f-4947-b4d8-c45d50bdfe90/rendering/11.obj", "4.556925354")</f>
        <v>4.556925354</v>
      </c>
      <c r="O1667" s="75" t="str">
        <f>HYPERLINK(AA2 &amp; "/mouse/3dw_f12974fd-544f-4947-b4d8-c45d50bdfe90/rendering/12.obj", "3.8515802002")</f>
        <v>3.8515802002</v>
      </c>
      <c r="P1667" s="231" t="str">
        <f>HYPERLINK(AA2 &amp; "/mouse/3dw_f12974fd-544f-4947-b4d8-c45d50bdfe90/rendering/13.obj", "1.34018035889")</f>
        <v>1.34018035889</v>
      </c>
      <c r="Q1667" s="80" t="str">
        <f>HYPERLINK(AA2 &amp; "/mouse/3dw_f12974fd-544f-4947-b4d8-c45d50bdfe90/rendering/14.obj", "2.68878967285")</f>
        <v>2.68878967285</v>
      </c>
      <c r="R1667" s="117" t="str">
        <f>HYPERLINK(AA2 &amp; "/mouse/3dw_f12974fd-544f-4947-b4d8-c45d50bdfe90/rendering/15.obj", "2.60118713379")</f>
        <v>2.60118713379</v>
      </c>
      <c r="S1667" s="77" t="str">
        <f>HYPERLINK(AA2 &amp; "/mouse/3dw_f12974fd-544f-4947-b4d8-c45d50bdfe90/rendering/16.obj", "2.5693649292")</f>
        <v>2.5693649292</v>
      </c>
      <c r="T1667" s="144" t="str">
        <f>HYPERLINK(AA2 &amp; "/mouse/3dw_f12974fd-544f-4947-b4d8-c45d50bdfe90/rendering/17.obj", "1.56271240234")</f>
        <v>1.56271240234</v>
      </c>
      <c r="U1667" s="20" t="str">
        <f>HYPERLINK(AA2 &amp; "/mouse/3dw_f12974fd-544f-4947-b4d8-c45d50bdfe90/rendering/18.obj", "6.64229431152")</f>
        <v>6.64229431152</v>
      </c>
      <c r="V1667" s="192" t="str">
        <f>HYPERLINK(AA2 &amp; "/mouse/3dw_f12974fd-544f-4947-b4d8-c45d50bdfe90/rendering/19.obj", "1.9788494873")</f>
        <v>1.9788494873</v>
      </c>
      <c r="W1667" s="12" t="s">
        <v>29</v>
      </c>
      <c r="X1667" s="13">
        <v>3.156515434265136</v>
      </c>
      <c r="Y1667" s="13">
        <v>1.4409646467368571</v>
      </c>
      <c r="Z1667" s="230">
        <v>0.45650486327253648</v>
      </c>
    </row>
    <row r="1668" spans="1:26" x14ac:dyDescent="0.2">
      <c r="A1668" s="1">
        <v>1666</v>
      </c>
      <c r="B1668" s="2" t="s">
        <v>366</v>
      </c>
      <c r="C1668" s="206" t="str">
        <f>HYPERLINK(AA2 &amp; "/mouse/3dw_f12974fd-544f-4947-b4d8-c45d50bdfe90/rendering/00.obj", "14.5240001678")</f>
        <v>14.5240001678</v>
      </c>
      <c r="D1668" s="220" t="str">
        <f>HYPERLINK(AA2 &amp; "/mouse/3dw_f12974fd-544f-4947-b4d8-c45d50bdfe90/rendering/01.obj", "2.92146921158")</f>
        <v>2.92146921158</v>
      </c>
      <c r="E1668" s="20" t="str">
        <f>HYPERLINK(AA2 &amp; "/mouse/3dw_f12974fd-544f-4947-b4d8-c45d50bdfe90/rendering/02.obj", "30.2833709717")</f>
        <v>30.2833709717</v>
      </c>
      <c r="F1668" s="47" t="str">
        <f>HYPERLINK(AA2 &amp; "/mouse/3dw_f12974fd-544f-4947-b4d8-c45d50bdfe90/rendering/03.obj", "9.20715522766")</f>
        <v>9.20715522766</v>
      </c>
      <c r="G1668" s="43" t="str">
        <f>HYPERLINK(AA2 &amp; "/mouse/3dw_f12974fd-544f-4947-b4d8-c45d50bdfe90/rendering/04.obj", "5.70168304443")</f>
        <v>5.70168304443</v>
      </c>
      <c r="H1668" s="28" t="str">
        <f>HYPERLINK(AA2 &amp; "/mouse/3dw_f12974fd-544f-4947-b4d8-c45d50bdfe90/rendering/05.obj", "8.12573432922")</f>
        <v>8.12573432922</v>
      </c>
      <c r="I1668" s="187" t="str">
        <f>HYPERLINK(AA2 &amp; "/mouse/3dw_f12974fd-544f-4947-b4d8-c45d50bdfe90/rendering/06.obj", "5.92877626419")</f>
        <v>5.92877626419</v>
      </c>
      <c r="J1668" s="128" t="str">
        <f>HYPERLINK(AA2 &amp; "/mouse/3dw_f12974fd-544f-4947-b4d8-c45d50bdfe90/rendering/07.obj", "5.56811189651")</f>
        <v>5.56811189651</v>
      </c>
      <c r="K1668" s="226" t="str">
        <f>HYPERLINK(AA2 &amp; "/mouse/3dw_f12974fd-544f-4947-b4d8-c45d50bdfe90/rendering/08.obj", "3.98162579536")</f>
        <v>3.98162579536</v>
      </c>
      <c r="L1668" s="239" t="str">
        <f>HYPERLINK(AA2 &amp; "/mouse/3dw_f12974fd-544f-4947-b4d8-c45d50bdfe90/rendering/09.obj", "3.58946204185")</f>
        <v>3.58946204185</v>
      </c>
      <c r="M1668" s="167" t="str">
        <f>HYPERLINK(AA2 &amp; "/mouse/3dw_f12974fd-544f-4947-b4d8-c45d50bdfe90/rendering/10.obj", "3.60280632973")</f>
        <v>3.60280632973</v>
      </c>
      <c r="N1668" s="33" t="str">
        <f>HYPERLINK(AA2 &amp; "/mouse/3dw_f12974fd-544f-4947-b4d8-c45d50bdfe90/rendering/11.obj", "10.1305866241")</f>
        <v>10.1305866241</v>
      </c>
      <c r="O1668" s="43" t="str">
        <f>HYPERLINK(AA2 &amp; "/mouse/3dw_f12974fd-544f-4947-b4d8-c45d50bdfe90/rendering/12.obj", "5.7004199028")</f>
        <v>5.7004199028</v>
      </c>
      <c r="P1668" s="224" t="str">
        <f>HYPERLINK(AA2 &amp; "/mouse/3dw_f12974fd-544f-4947-b4d8-c45d50bdfe90/rendering/13.obj", "2.68391776085")</f>
        <v>2.68391776085</v>
      </c>
      <c r="Q1668" s="67" t="str">
        <f>HYPERLINK(AA2 &amp; "/mouse/3dw_f12974fd-544f-4947-b4d8-c45d50bdfe90/rendering/14.obj", "9.9713344574")</f>
        <v>9.9713344574</v>
      </c>
      <c r="R1668" s="25" t="str">
        <f>HYPERLINK(AA2 &amp; "/mouse/3dw_f12974fd-544f-4947-b4d8-c45d50bdfe90/rendering/15.obj", "9.01880168915")</f>
        <v>9.01880168915</v>
      </c>
      <c r="S1668" s="118" t="str">
        <f>HYPERLINK(AA2 &amp; "/mouse/3dw_f12974fd-544f-4947-b4d8-c45d50bdfe90/rendering/16.obj", "6.45819234848")</f>
        <v>6.45819234848</v>
      </c>
      <c r="T1668" s="258" t="str">
        <f>HYPERLINK(AA2 &amp; "/mouse/3dw_f12974fd-544f-4947-b4d8-c45d50bdfe90/rendering/17.obj", "2.19657039642")</f>
        <v>2.19657039642</v>
      </c>
      <c r="U1668" s="20" t="str">
        <f>HYPERLINK(AA2 &amp; "/mouse/3dw_f12974fd-544f-4947-b4d8-c45d50bdfe90/rendering/18.obj", "38.1841850281")</f>
        <v>38.1841850281</v>
      </c>
      <c r="V1668" s="143" t="str">
        <f>HYPERLINK(AA2 &amp; "/mouse/3dw_f12974fd-544f-4947-b4d8-c45d50bdfe90/rendering/19.obj", "4.82763910294")</f>
        <v>4.82763910294</v>
      </c>
      <c r="W1668" s="12" t="s">
        <v>30</v>
      </c>
      <c r="X1668" s="13">
        <v>9.1302921295166009</v>
      </c>
      <c r="Y1668" s="13">
        <v>8.9762589061929532</v>
      </c>
      <c r="Z1668" s="20">
        <v>0.98312943100410932</v>
      </c>
    </row>
    <row r="1669" spans="1:26" x14ac:dyDescent="0.2">
      <c r="A1669" s="1">
        <v>1667</v>
      </c>
      <c r="B1669" s="2" t="s">
        <v>366</v>
      </c>
      <c r="C1669" s="152" t="str">
        <f>HYPERLINK(AB2 &amp; "/mouse/3dw_f12974fd-544f-4947-b4d8-c45d50bdfe90/rendering/00.obj", "3.57602142334")</f>
        <v>3.57602142334</v>
      </c>
      <c r="D1669" s="61" t="str">
        <f>HYPERLINK(AB2 &amp; "/mouse/3dw_f12974fd-544f-4947-b4d8-c45d50bdfe90/rendering/01.obj", "3.31200073242")</f>
        <v>3.31200073242</v>
      </c>
      <c r="E1669" s="27" t="str">
        <f>HYPERLINK(AB2 &amp; "/mouse/3dw_f12974fd-544f-4947-b4d8-c45d50bdfe90/rendering/02.obj", "2.36166992187")</f>
        <v>2.36166992187</v>
      </c>
      <c r="F1669" s="110" t="str">
        <f>HYPERLINK(AB2 &amp; "/mouse/3dw_f12974fd-544f-4947-b4d8-c45d50bdfe90/rendering/03.obj", "2.29585693359")</f>
        <v>2.29585693359</v>
      </c>
      <c r="G1669" s="49" t="str">
        <f>HYPERLINK(AB2 &amp; "/mouse/3dw_f12974fd-544f-4947-b4d8-c45d50bdfe90/rendering/04.obj", "2.01457946777")</f>
        <v>2.01457946777</v>
      </c>
      <c r="H1669" s="61" t="str">
        <f>HYPERLINK(AB2 &amp; "/mouse/3dw_f12974fd-544f-4947-b4d8-c45d50bdfe90/rendering/05.obj", "3.31640930176")</f>
        <v>3.31640930176</v>
      </c>
      <c r="I1669" s="6" t="str">
        <f>HYPERLINK(AB2 &amp; "/mouse/3dw_f12974fd-544f-4947-b4d8-c45d50bdfe90/rendering/06.obj", "2.42738250732")</f>
        <v>2.42738250732</v>
      </c>
      <c r="J1669" s="23" t="str">
        <f>HYPERLINK(AB2 &amp; "/mouse/3dw_f12974fd-544f-4947-b4d8-c45d50bdfe90/rendering/07.obj", "2.44893585205")</f>
        <v>2.44893585205</v>
      </c>
      <c r="K1669" s="61" t="str">
        <f>HYPERLINK(AB2 &amp; "/mouse/3dw_f12974fd-544f-4947-b4d8-c45d50bdfe90/rendering/08.obj", "3.3145501709")</f>
        <v>3.3145501709</v>
      </c>
      <c r="L1669" s="175" t="str">
        <f>HYPERLINK(AB2 &amp; "/mouse/3dw_f12974fd-544f-4947-b4d8-c45d50bdfe90/rendering/09.obj", "3.13912963867")</f>
        <v>3.13912963867</v>
      </c>
      <c r="M1669" s="110" t="str">
        <f>HYPERLINK(AB2 &amp; "/mouse/3dw_f12974fd-544f-4947-b4d8-c45d50bdfe90/rendering/10.obj", "2.29277740479")</f>
        <v>2.29277740479</v>
      </c>
      <c r="N1669" s="78" t="str">
        <f>HYPERLINK(AB2 &amp; "/mouse/3dw_f12974fd-544f-4947-b4d8-c45d50bdfe90/rendering/11.obj", "2.39197006226")</f>
        <v>2.39197006226</v>
      </c>
      <c r="O1669" s="8" t="str">
        <f>HYPERLINK(AB2 &amp; "/mouse/3dw_f12974fd-544f-4947-b4d8-c45d50bdfe90/rendering/12.obj", "2.17893218994")</f>
        <v>2.17893218994</v>
      </c>
      <c r="P1669" s="86" t="str">
        <f>HYPERLINK(AB2 &amp; "/mouse/3dw_f12974fd-544f-4947-b4d8-c45d50bdfe90/rendering/13.obj", "1.86149414063")</f>
        <v>1.86149414063</v>
      </c>
      <c r="Q1669" s="86" t="str">
        <f>HYPERLINK(AB2 &amp; "/mouse/3dw_f12974fd-544f-4947-b4d8-c45d50bdfe90/rendering/14.obj", "1.86549560547")</f>
        <v>1.86549560547</v>
      </c>
      <c r="R1669" s="79" t="str">
        <f>HYPERLINK(AB2 &amp; "/mouse/3dw_f12974fd-544f-4947-b4d8-c45d50bdfe90/rendering/15.obj", "2.14210510254")</f>
        <v>2.14210510254</v>
      </c>
      <c r="S1669" s="94" t="str">
        <f>HYPERLINK(AB2 &amp; "/mouse/3dw_f12974fd-544f-4947-b4d8-c45d50bdfe90/rendering/16.obj", "2.73431182861")</f>
        <v>2.73431182861</v>
      </c>
      <c r="T1669" s="67" t="str">
        <f>HYPERLINK(AB2 &amp; "/mouse/3dw_f12974fd-544f-4947-b4d8-c45d50bdfe90/rendering/17.obj", "2.77654266357")</f>
        <v>2.77654266357</v>
      </c>
      <c r="U1669" s="68" t="str">
        <f>HYPERLINK(AB2 &amp; "/mouse/3dw_f12974fd-544f-4947-b4d8-c45d50bdfe90/rendering/18.obj", "2.65632141113")</f>
        <v>2.65632141113</v>
      </c>
      <c r="V1669" s="85" t="str">
        <f>HYPERLINK(AB2 &amp; "/mouse/3dw_f12974fd-544f-4947-b4d8-c45d50bdfe90/rendering/19.obj", "1.78869445801")</f>
        <v>1.78869445801</v>
      </c>
      <c r="W1669" s="12" t="s">
        <v>31</v>
      </c>
      <c r="X1669" s="13">
        <v>2.54475904083252</v>
      </c>
      <c r="Y1669" s="13">
        <v>0.52809878749488126</v>
      </c>
      <c r="Z1669" s="49">
        <v>0.20752408342839149</v>
      </c>
    </row>
    <row r="1670" spans="1:26" x14ac:dyDescent="0.2">
      <c r="A1670" s="1">
        <v>1668</v>
      </c>
      <c r="B1670" s="2" t="s">
        <v>366</v>
      </c>
      <c r="C1670" s="14" t="str">
        <f>HYPERLINK(AB2 &amp; "/mouse/3dw_f12974fd-544f-4947-b4d8-c45d50bdfe90/rendering/00.obj", "4.96711730957")</f>
        <v>4.96711730957</v>
      </c>
      <c r="D1670" s="51" t="str">
        <f>HYPERLINK(AB2 &amp; "/mouse/3dw_f12974fd-544f-4947-b4d8-c45d50bdfe90/rendering/01.obj", "3.55005073547")</f>
        <v>3.55005073547</v>
      </c>
      <c r="E1670" s="8" t="str">
        <f>HYPERLINK(AB2 &amp; "/mouse/3dw_f12974fd-544f-4947-b4d8-c45d50bdfe90/rendering/02.obj", "4.40624666214")</f>
        <v>4.40624666214</v>
      </c>
      <c r="F1670" s="77" t="str">
        <f>HYPERLINK(AB2 &amp; "/mouse/3dw_f12974fd-544f-4947-b4d8-c45d50bdfe90/rendering/03.obj", "4.57069730759")</f>
        <v>4.57069730759</v>
      </c>
      <c r="G1670" s="11" t="str">
        <f>HYPERLINK(AB2 &amp; "/mouse/3dw_f12974fd-544f-4947-b4d8-c45d50bdfe90/rendering/04.obj", "2.98340010643")</f>
        <v>2.98340010643</v>
      </c>
      <c r="H1670" s="48" t="str">
        <f>HYPERLINK(AB2 &amp; "/mouse/3dw_f12974fd-544f-4947-b4d8-c45d50bdfe90/rendering/05.obj", "3.76177334785")</f>
        <v>3.76177334785</v>
      </c>
      <c r="I1670" s="64" t="str">
        <f>HYPERLINK(AB2 &amp; "/mouse/3dw_f12974fd-544f-4947-b4d8-c45d50bdfe90/rendering/06.obj", "3.2212023735")</f>
        <v>3.2212023735</v>
      </c>
      <c r="J1670" s="64" t="str">
        <f>HYPERLINK(AB2 &amp; "/mouse/3dw_f12974fd-544f-4947-b4d8-c45d50bdfe90/rendering/07.obj", "3.21304869652")</f>
        <v>3.21304869652</v>
      </c>
      <c r="K1670" s="46" t="str">
        <f>HYPERLINK(AB2 &amp; "/mouse/3dw_f12974fd-544f-4947-b4d8-c45d50bdfe90/rendering/08.obj", "3.91362977028")</f>
        <v>3.91362977028</v>
      </c>
      <c r="L1670" s="92" t="str">
        <f>HYPERLINK(AB2 &amp; "/mouse/3dw_f12974fd-544f-4947-b4d8-c45d50bdfe90/rendering/09.obj", "4.33178424835")</f>
        <v>4.33178424835</v>
      </c>
      <c r="M1670" s="8" t="str">
        <f>HYPERLINK(AB2 &amp; "/mouse/3dw_f12974fd-544f-4947-b4d8-c45d50bdfe90/rendering/10.obj", "3.30669593811")</f>
        <v>3.30669593811</v>
      </c>
      <c r="N1670" s="19" t="str">
        <f>HYPERLINK(AB2 &amp; "/mouse/3dw_f12974fd-544f-4947-b4d8-c45d50bdfe90/rendering/11.obj", "2.84277272224")</f>
        <v>2.84277272224</v>
      </c>
      <c r="O1670" s="81" t="str">
        <f>HYPERLINK(AB2 &amp; "/mouse/3dw_f12974fd-544f-4947-b4d8-c45d50bdfe90/rendering/12.obj", "3.01604819298")</f>
        <v>3.01604819298</v>
      </c>
      <c r="P1670" s="32" t="str">
        <f>HYPERLINK(AB2 &amp; "/mouse/3dw_f12974fd-544f-4947-b4d8-c45d50bdfe90/rendering/13.obj", "4.26145935059")</f>
        <v>4.26145935059</v>
      </c>
      <c r="Q1670" s="17" t="str">
        <f>HYPERLINK(AB2 &amp; "/mouse/3dw_f12974fd-544f-4947-b4d8-c45d50bdfe90/rendering/14.obj", "3.93533015251")</f>
        <v>3.93533015251</v>
      </c>
      <c r="R1670" s="107" t="str">
        <f>HYPERLINK(AB2 &amp; "/mouse/3dw_f12974fd-544f-4947-b4d8-c45d50bdfe90/rendering/15.obj", "3.52944564819")</f>
        <v>3.52944564819</v>
      </c>
      <c r="S1670" s="46" t="str">
        <f>HYPERLINK(AB2 &amp; "/mouse/3dw_f12974fd-544f-4947-b4d8-c45d50bdfe90/rendering/16.obj", "3.91478729248")</f>
        <v>3.91478729248</v>
      </c>
      <c r="T1670" s="92" t="str">
        <f>HYPERLINK(AB2 &amp; "/mouse/3dw_f12974fd-544f-4947-b4d8-c45d50bdfe90/rendering/17.obj", "3.37889647484")</f>
        <v>3.37889647484</v>
      </c>
      <c r="U1670" s="132" t="str">
        <f>HYPERLINK(AB2 &amp; "/mouse/3dw_f12974fd-544f-4947-b4d8-c45d50bdfe90/rendering/18.obj", "5.46272420883")</f>
        <v>5.46272420883</v>
      </c>
      <c r="V1670" s="64" t="str">
        <f>HYPERLINK(AB2 &amp; "/mouse/3dw_f12974fd-544f-4947-b4d8-c45d50bdfe90/rendering/19.obj", "4.4868144989")</f>
        <v>4.4868144989</v>
      </c>
      <c r="W1670" s="12" t="s">
        <v>32</v>
      </c>
      <c r="X1670" s="13">
        <v>3.8526962518692018</v>
      </c>
      <c r="Y1670" s="13">
        <v>0.68846469012715883</v>
      </c>
      <c r="Z1670" s="117">
        <v>0.17869685153433479</v>
      </c>
    </row>
    <row r="1671" spans="1:26" x14ac:dyDescent="0.2">
      <c r="A1671" s="1">
        <v>1669</v>
      </c>
      <c r="B1671" s="2" t="s">
        <v>366</v>
      </c>
      <c r="C1671" s="13" t="str">
        <f>HYPERLINK(AC2 &amp; "/mouse/3dw_f12974fd-544f-4947-b4d8-c45d50bdfe90/rendering/00.xyz", "0.0")</f>
        <v>0.0</v>
      </c>
      <c r="D1671" s="13" t="str">
        <f>HYPERLINK(AC2 &amp; "/mouse/3dw_f12974fd-544f-4947-b4d8-c45d50bdfe90/rendering/01.xyz", "0.0")</f>
        <v>0.0</v>
      </c>
      <c r="E1671" s="13" t="str">
        <f>HYPERLINK(AC2 &amp; "/mouse/3dw_f12974fd-544f-4947-b4d8-c45d50bdfe90/rendering/02.xyz", "0.0")</f>
        <v>0.0</v>
      </c>
      <c r="F1671" s="13" t="str">
        <f>HYPERLINK(AC2 &amp; "/mouse/3dw_f12974fd-544f-4947-b4d8-c45d50bdfe90/rendering/03.xyz", "0.0")</f>
        <v>0.0</v>
      </c>
      <c r="G1671" s="13" t="str">
        <f>HYPERLINK(AC2 &amp; "/mouse/3dw_f12974fd-544f-4947-b4d8-c45d50bdfe90/rendering/04.xyz", "0.0")</f>
        <v>0.0</v>
      </c>
      <c r="H1671" s="13" t="str">
        <f>HYPERLINK(AC2 &amp; "/mouse/3dw_f12974fd-544f-4947-b4d8-c45d50bdfe90/rendering/05.xyz", "0.0")</f>
        <v>0.0</v>
      </c>
      <c r="I1671" s="13" t="str">
        <f>HYPERLINK(AC2 &amp; "/mouse/3dw_f12974fd-544f-4947-b4d8-c45d50bdfe90/rendering/06.xyz", "0.0")</f>
        <v>0.0</v>
      </c>
      <c r="J1671" s="13" t="str">
        <f>HYPERLINK(AC2 &amp; "/mouse/3dw_f12974fd-544f-4947-b4d8-c45d50bdfe90/rendering/07.xyz", "0.0")</f>
        <v>0.0</v>
      </c>
      <c r="K1671" s="13" t="str">
        <f>HYPERLINK(AC2 &amp; "/mouse/3dw_f12974fd-544f-4947-b4d8-c45d50bdfe90/rendering/08.xyz", "0.0")</f>
        <v>0.0</v>
      </c>
      <c r="L1671" s="13" t="str">
        <f>HYPERLINK(AC2 &amp; "/mouse/3dw_f12974fd-544f-4947-b4d8-c45d50bdfe90/rendering/09.xyz", "0.0")</f>
        <v>0.0</v>
      </c>
      <c r="M1671" s="13" t="str">
        <f>HYPERLINK(AC2 &amp; "/mouse/3dw_f12974fd-544f-4947-b4d8-c45d50bdfe90/rendering/10.xyz", "0.0")</f>
        <v>0.0</v>
      </c>
      <c r="N1671" s="13" t="str">
        <f>HYPERLINK(AC2 &amp; "/mouse/3dw_f12974fd-544f-4947-b4d8-c45d50bdfe90/rendering/11.xyz", "0.0")</f>
        <v>0.0</v>
      </c>
      <c r="O1671" s="13" t="str">
        <f>HYPERLINK(AC2 &amp; "/mouse/3dw_f12974fd-544f-4947-b4d8-c45d50bdfe90/rendering/12.xyz", "0.0")</f>
        <v>0.0</v>
      </c>
      <c r="P1671" s="13" t="str">
        <f>HYPERLINK(AC2 &amp; "/mouse/3dw_f12974fd-544f-4947-b4d8-c45d50bdfe90/rendering/13.xyz", "0.0")</f>
        <v>0.0</v>
      </c>
      <c r="Q1671" s="13" t="str">
        <f>HYPERLINK(AC2 &amp; "/mouse/3dw_f12974fd-544f-4947-b4d8-c45d50bdfe90/rendering/14.xyz", "0.0")</f>
        <v>0.0</v>
      </c>
      <c r="R1671" s="13" t="str">
        <f>HYPERLINK(AC2 &amp; "/mouse/3dw_f12974fd-544f-4947-b4d8-c45d50bdfe90/rendering/15.xyz", "0.0")</f>
        <v>0.0</v>
      </c>
      <c r="S1671" s="13" t="str">
        <f>HYPERLINK(AC2 &amp; "/mouse/3dw_f12974fd-544f-4947-b4d8-c45d50bdfe90/rendering/16.xyz", "0.0")</f>
        <v>0.0</v>
      </c>
      <c r="T1671" s="13" t="str">
        <f>HYPERLINK(AC2 &amp; "/mouse/3dw_f12974fd-544f-4947-b4d8-c45d50bdfe90/rendering/17.xyz", "0.0")</f>
        <v>0.0</v>
      </c>
      <c r="U1671" s="13" t="str">
        <f>HYPERLINK(AC2 &amp; "/mouse/3dw_f12974fd-544f-4947-b4d8-c45d50bdfe90/rendering/18.xyz", "0.0")</f>
        <v>0.0</v>
      </c>
      <c r="V1671" s="13" t="str">
        <f>HYPERLINK(AC2 &amp; "/mouse/3dw_f12974fd-544f-4947-b4d8-c45d50bdfe90/rendering/19.xyz", "0.0")</f>
        <v>0.0</v>
      </c>
      <c r="W1671" s="12" t="s">
        <v>33</v>
      </c>
      <c r="X1671" s="13">
        <v>0</v>
      </c>
      <c r="Y1671" s="13">
        <v>0</v>
      </c>
      <c r="Z1671" s="13">
        <v>0</v>
      </c>
    </row>
    <row r="1672" spans="1:26" x14ac:dyDescent="0.2">
      <c r="A1672" s="1">
        <v>1670</v>
      </c>
      <c r="B1672" s="2" t="s">
        <v>367</v>
      </c>
      <c r="C1672" s="223" t="str">
        <f>HYPERLINK(AA2 &amp; "/mouse/3dw_fa4a56d9-1de7-44a9-88cb-c19bcff5618f/rendering/00.obj", "0.867978897095")</f>
        <v>0.867978897095</v>
      </c>
      <c r="D1672" s="195" t="str">
        <f>HYPERLINK(AA2 &amp; "/mouse/3dw_fa4a56d9-1de7-44a9-88cb-c19bcff5618f/rendering/01.obj", "0.892728042603")</f>
        <v>0.892728042603</v>
      </c>
      <c r="E1672" s="55" t="str">
        <f>HYPERLINK(AA2 &amp; "/mouse/3dw_fa4a56d9-1de7-44a9-88cb-c19bcff5618f/rendering/02.obj", "1.5907270813")</f>
        <v>1.5907270813</v>
      </c>
      <c r="F1672" s="149" t="str">
        <f>HYPERLINK(AA2 &amp; "/mouse/3dw_fa4a56d9-1de7-44a9-88cb-c19bcff5618f/rendering/03.obj", "1.29379943848")</f>
        <v>1.29379943848</v>
      </c>
      <c r="G1672" s="142" t="str">
        <f>HYPERLINK(AA2 &amp; "/mouse/3dw_fa4a56d9-1de7-44a9-88cb-c19bcff5618f/rendering/04.obj", "1.19595054626")</f>
        <v>1.19595054626</v>
      </c>
      <c r="H1672" s="187" t="str">
        <f>HYPERLINK(AA2 &amp; "/mouse/3dw_fa4a56d9-1de7-44a9-88cb-c19bcff5618f/rendering/05.obj", "1.28193634033")</f>
        <v>1.28193634033</v>
      </c>
      <c r="I1672" s="16" t="str">
        <f>HYPERLINK(AA2 &amp; "/mouse/3dw_fa4a56d9-1de7-44a9-88cb-c19bcff5618f/rendering/06.obj", "0.897458724976")</f>
        <v>0.897458724976</v>
      </c>
      <c r="J1672" s="95" t="str">
        <f>HYPERLINK(AA2 &amp; "/mouse/3dw_fa4a56d9-1de7-44a9-88cb-c19bcff5618f/rendering/07.obj", "1.41732727051")</f>
        <v>1.41732727051</v>
      </c>
      <c r="K1672" s="156" t="str">
        <f>HYPERLINK(AA2 &amp; "/mouse/3dw_fa4a56d9-1de7-44a9-88cb-c19bcff5618f/rendering/08.obj", "1.08875152588")</f>
        <v>1.08875152588</v>
      </c>
      <c r="L1672" s="41" t="str">
        <f>HYPERLINK(AA2 &amp; "/mouse/3dw_fa4a56d9-1de7-44a9-88cb-c19bcff5618f/rendering/09.obj", "1.83616668701")</f>
        <v>1.83616668701</v>
      </c>
      <c r="M1672" s="157" t="str">
        <f>HYPERLINK(AA2 &amp; "/mouse/3dw_fa4a56d9-1de7-44a9-88cb-c19bcff5618f/rendering/10.obj", "1.15062332153")</f>
        <v>1.15062332153</v>
      </c>
      <c r="N1672" s="97" t="str">
        <f>HYPERLINK(AA2 &amp; "/mouse/3dw_fa4a56d9-1de7-44a9-88cb-c19bcff5618f/rendering/11.obj", "1.11647369385")</f>
        <v>1.11647369385</v>
      </c>
      <c r="O1672" s="20" t="str">
        <f>HYPERLINK(AA2 &amp; "/mouse/3dw_fa4a56d9-1de7-44a9-88cb-c19bcff5618f/rendering/12.obj", "4.39121704102")</f>
        <v>4.39121704102</v>
      </c>
      <c r="P1672" s="192" t="str">
        <f>HYPERLINK(AA2 &amp; "/mouse/3dw_fa4a56d9-1de7-44a9-88cb-c19bcff5618f/rendering/13.obj", "2.70638122559")</f>
        <v>2.70638122559</v>
      </c>
      <c r="Q1672" s="20" t="str">
        <f>HYPERLINK(AA2 &amp; "/mouse/3dw_fa4a56d9-1de7-44a9-88cb-c19bcff5618f/rendering/14.obj", "3.96347991943")</f>
        <v>3.96347991943</v>
      </c>
      <c r="R1672" s="20" t="str">
        <f>HYPERLINK(AA2 &amp; "/mouse/3dw_fa4a56d9-1de7-44a9-88cb-c19bcff5618f/rendering/15.obj", "9.11403503418")</f>
        <v>9.11403503418</v>
      </c>
      <c r="S1672" s="118" t="str">
        <f>HYPERLINK(AA2 &amp; "/mouse/3dw_fa4a56d9-1de7-44a9-88cb-c19bcff5618f/rendering/16.obj", "1.3900302124")</f>
        <v>1.3900302124</v>
      </c>
      <c r="T1672" s="43" t="str">
        <f>HYPERLINK(AA2 &amp; "/mouse/3dw_fa4a56d9-1de7-44a9-88cb-c19bcff5618f/rendering/17.obj", "1.23059928894")</f>
        <v>1.23059928894</v>
      </c>
      <c r="U1672" s="156" t="str">
        <f>HYPERLINK(AA2 &amp; "/mouse/3dw_fa4a56d9-1de7-44a9-88cb-c19bcff5618f/rendering/18.obj", "1.08708229065")</f>
        <v>1.08708229065</v>
      </c>
      <c r="V1672" s="150" t="str">
        <f>HYPERLINK(AA2 &amp; "/mouse/3dw_fa4a56d9-1de7-44a9-88cb-c19bcff5618f/rendering/19.obj", "0.912337493896")</f>
        <v>0.912337493896</v>
      </c>
      <c r="W1672" s="12" t="s">
        <v>29</v>
      </c>
      <c r="X1672" s="13">
        <v>1.9712542037963869</v>
      </c>
      <c r="Y1672" s="13">
        <v>1.8959934168376571</v>
      </c>
      <c r="Z1672" s="20">
        <v>0.9618208616555961</v>
      </c>
    </row>
    <row r="1673" spans="1:26" x14ac:dyDescent="0.2">
      <c r="A1673" s="1">
        <v>1671</v>
      </c>
      <c r="B1673" s="2" t="s">
        <v>367</v>
      </c>
      <c r="C1673" s="233" t="str">
        <f>HYPERLINK(AA2 &amp; "/mouse/3dw_fa4a56d9-1de7-44a9-88cb-c19bcff5618f/rendering/00.obj", "1.97356283665")</f>
        <v>1.97356283665</v>
      </c>
      <c r="D1673" s="9" t="str">
        <f>HYPERLINK(AA2 &amp; "/mouse/3dw_fa4a56d9-1de7-44a9-88cb-c19bcff5618f/rendering/01.obj", "2.25566244125")</f>
        <v>2.25566244125</v>
      </c>
      <c r="E1673" s="118" t="str">
        <f>HYPERLINK(AA2 &amp; "/mouse/3dw_fa4a56d9-1de7-44a9-88cb-c19bcff5618f/rendering/02.obj", "4.66427659988")</f>
        <v>4.66427659988</v>
      </c>
      <c r="F1673" s="228" t="str">
        <f>HYPERLINK(AA2 &amp; "/mouse/3dw_fa4a56d9-1de7-44a9-88cb-c19bcff5618f/rendering/03.obj", "3.08681917191")</f>
        <v>3.08681917191</v>
      </c>
      <c r="G1673" s="200" t="str">
        <f>HYPERLINK(AA2 &amp; "/mouse/3dw_fa4a56d9-1de7-44a9-88cb-c19bcff5618f/rendering/04.obj", "3.4367814064")</f>
        <v>3.4367814064</v>
      </c>
      <c r="H1673" s="167" t="str">
        <f>HYPERLINK(AA2 &amp; "/mouse/3dw_fa4a56d9-1de7-44a9-88cb-c19bcff5618f/rendering/05.obj", "2.6117682457")</f>
        <v>2.6117682457</v>
      </c>
      <c r="I1673" s="165" t="str">
        <f>HYPERLINK(AA2 &amp; "/mouse/3dw_fa4a56d9-1de7-44a9-88cb-c19bcff5618f/rendering/06.obj", "2.04227852821")</f>
        <v>2.04227852821</v>
      </c>
      <c r="J1673" s="144" t="str">
        <f>HYPERLINK(AA2 &amp; "/mouse/3dw_fa4a56d9-1de7-44a9-88cb-c19bcff5618f/rendering/07.obj", "3.27549743652")</f>
        <v>3.27549743652</v>
      </c>
      <c r="K1673" s="251" t="str">
        <f>HYPERLINK(AA2 &amp; "/mouse/3dw_fa4a56d9-1de7-44a9-88cb-c19bcff5618f/rendering/08.obj", "2.7253408432")</f>
        <v>2.7253408432</v>
      </c>
      <c r="L1673" s="100" t="str">
        <f>HYPERLINK(AA2 &amp; "/mouse/3dw_fa4a56d9-1de7-44a9-88cb-c19bcff5618f/rendering/09.obj", "4.6240811348")</f>
        <v>4.6240811348</v>
      </c>
      <c r="M1673" s="217" t="str">
        <f>HYPERLINK(AA2 &amp; "/mouse/3dw_fa4a56d9-1de7-44a9-88cb-c19bcff5618f/rendering/10.obj", "2.4236831665")</f>
        <v>2.4236831665</v>
      </c>
      <c r="N1673" s="164" t="str">
        <f>HYPERLINK(AA2 &amp; "/mouse/3dw_fa4a56d9-1de7-44a9-88cb-c19bcff5618f/rendering/11.obj", "2.3970053196")</f>
        <v>2.3970053196</v>
      </c>
      <c r="O1673" s="20" t="str">
        <f>HYPERLINK(AA2 &amp; "/mouse/3dw_fa4a56d9-1de7-44a9-88cb-c19bcff5618f/rendering/12.obj", "14.9729089737")</f>
        <v>14.9729089737</v>
      </c>
      <c r="P1673" s="39" t="str">
        <f>HYPERLINK(AA2 &amp; "/mouse/3dw_fa4a56d9-1de7-44a9-88cb-c19bcff5618f/rendering/13.obj", "7.15323972702")</f>
        <v>7.15323972702</v>
      </c>
      <c r="Q1673" s="222" t="str">
        <f>HYPERLINK(AA2 &amp; "/mouse/3dw_fa4a56d9-1de7-44a9-88cb-c19bcff5618f/rendering/14.obj", "11.5254154205")</f>
        <v>11.5254154205</v>
      </c>
      <c r="R1673" s="20" t="str">
        <f>HYPERLINK(AA2 &amp; "/mouse/3dw_fa4a56d9-1de7-44a9-88cb-c19bcff5618f/rendering/15.obj", "51.7854347229")</f>
        <v>51.7854347229</v>
      </c>
      <c r="S1673" s="203" t="str">
        <f>HYPERLINK(AA2 &amp; "/mouse/3dw_fa4a56d9-1de7-44a9-88cb-c19bcff5618f/rendering/16.obj", "3.52680182457")</f>
        <v>3.52680182457</v>
      </c>
      <c r="T1673" s="161" t="str">
        <f>HYPERLINK(AA2 &amp; "/mouse/3dw_fa4a56d9-1de7-44a9-88cb-c19bcff5618f/rendering/17.obj", "2.74166917801")</f>
        <v>2.74166917801</v>
      </c>
      <c r="U1673" s="256" t="str">
        <f>HYPERLINK(AA2 &amp; "/mouse/3dw_fa4a56d9-1de7-44a9-88cb-c19bcff5618f/rendering/18.obj", "2.51122283936")</f>
        <v>2.51122283936</v>
      </c>
      <c r="V1673" s="237" t="str">
        <f>HYPERLINK(AA2 &amp; "/mouse/3dw_fa4a56d9-1de7-44a9-88cb-c19bcff5618f/rendering/19.obj", "2.14926457405")</f>
        <v>2.14926457405</v>
      </c>
      <c r="W1673" s="12" t="s">
        <v>30</v>
      </c>
      <c r="X1673" s="13">
        <v>6.5941357195377348</v>
      </c>
      <c r="Y1673" s="13">
        <v>10.87515607702322</v>
      </c>
      <c r="Z1673" s="20">
        <v>1.6492162945329241</v>
      </c>
    </row>
    <row r="1674" spans="1:26" x14ac:dyDescent="0.2">
      <c r="A1674" s="1">
        <v>1672</v>
      </c>
      <c r="B1674" s="2" t="s">
        <v>367</v>
      </c>
      <c r="C1674" s="113" t="str">
        <f>HYPERLINK(AB2 &amp; "/mouse/3dw_fa4a56d9-1de7-44a9-88cb-c19bcff5618f/rendering/00.obj", "0.894905700684")</f>
        <v>0.894905700684</v>
      </c>
      <c r="D1674" s="70" t="str">
        <f>HYPERLINK(AB2 &amp; "/mouse/3dw_fa4a56d9-1de7-44a9-88cb-c19bcff5618f/rendering/01.obj", "1.07579696655")</f>
        <v>1.07579696655</v>
      </c>
      <c r="E1674" s="67" t="str">
        <f>HYPERLINK(AB2 &amp; "/mouse/3dw_fa4a56d9-1de7-44a9-88cb-c19bcff5618f/rendering/02.obj", "1.34982330322")</f>
        <v>1.34982330322</v>
      </c>
      <c r="F1674" s="44" t="str">
        <f>HYPERLINK(AB2 &amp; "/mouse/3dw_fa4a56d9-1de7-44a9-88cb-c19bcff5618f/rendering/03.obj", "0.994159240723")</f>
        <v>0.994159240723</v>
      </c>
      <c r="G1674" s="84" t="str">
        <f>HYPERLINK(AB2 &amp; "/mouse/3dw_fa4a56d9-1de7-44a9-88cb-c19bcff5618f/rendering/04.obj", "1.05270973206")</f>
        <v>1.05270973206</v>
      </c>
      <c r="H1674" s="170" t="str">
        <f>HYPERLINK(AB2 &amp; "/mouse/3dw_fa4a56d9-1de7-44a9-88cb-c19bcff5618f/rendering/05.obj", "0.923546905518")</f>
        <v>0.923546905518</v>
      </c>
      <c r="I1674" s="136" t="str">
        <f>HYPERLINK(AB2 &amp; "/mouse/3dw_fa4a56d9-1de7-44a9-88cb-c19bcff5618f/rendering/06.obj", "0.942035522461")</f>
        <v>0.942035522461</v>
      </c>
      <c r="J1674" s="99" t="str">
        <f>HYPERLINK(AB2 &amp; "/mouse/3dw_fa4a56d9-1de7-44a9-88cb-c19bcff5618f/rendering/07.obj", "0.898012237549")</f>
        <v>0.898012237549</v>
      </c>
      <c r="K1674" s="94" t="str">
        <f>HYPERLINK(AB2 &amp; "/mouse/3dw_fa4a56d9-1de7-44a9-88cb-c19bcff5618f/rendering/08.obj", "1.14177062988")</f>
        <v>1.14177062988</v>
      </c>
      <c r="L1674" s="129" t="str">
        <f>HYPERLINK(AB2 &amp; "/mouse/3dw_fa4a56d9-1de7-44a9-88cb-c19bcff5618f/rendering/09.obj", "1.5422706604")</f>
        <v>1.5422706604</v>
      </c>
      <c r="M1674" s="31" t="str">
        <f>HYPERLINK(AB2 &amp; "/mouse/3dw_fa4a56d9-1de7-44a9-88cb-c19bcff5618f/rendering/10.obj", "1.04305305481")</f>
        <v>1.04305305481</v>
      </c>
      <c r="N1674" s="29" t="str">
        <f>HYPERLINK(AB2 &amp; "/mouse/3dw_fa4a56d9-1de7-44a9-88cb-c19bcff5618f/rendering/11.obj", "1.39368896484")</f>
        <v>1.39368896484</v>
      </c>
      <c r="O1674" s="90" t="str">
        <f>HYPERLINK(AB2 &amp; "/mouse/3dw_fa4a56d9-1de7-44a9-88cb-c19bcff5618f/rendering/12.obj", "1.116509552")</f>
        <v>1.116509552</v>
      </c>
      <c r="P1674" s="20" t="str">
        <f>HYPERLINK(AB2 &amp; "/mouse/3dw_fa4a56d9-1de7-44a9-88cb-c19bcff5618f/rendering/13.obj", "2.85478210449")</f>
        <v>2.85478210449</v>
      </c>
      <c r="Q1674" s="83" t="str">
        <f>HYPERLINK(AB2 &amp; "/mouse/3dw_fa4a56d9-1de7-44a9-88cb-c19bcff5618f/rendering/14.obj", "1.42043701172")</f>
        <v>1.42043701172</v>
      </c>
      <c r="R1674" s="232" t="str">
        <f>HYPERLINK(AB2 &amp; "/mouse/3dw_fa4a56d9-1de7-44a9-88cb-c19bcff5618f/rendering/15.obj", "2.19946899414")</f>
        <v>2.19946899414</v>
      </c>
      <c r="S1674" s="93" t="str">
        <f>HYPERLINK(AB2 &amp; "/mouse/3dw_fa4a56d9-1de7-44a9-88cb-c19bcff5618f/rendering/16.obj", "1.06226776123")</f>
        <v>1.06226776123</v>
      </c>
      <c r="T1674" s="49" t="str">
        <f>HYPERLINK(AB2 &amp; "/mouse/3dw_fa4a56d9-1de7-44a9-88cb-c19bcff5618f/rendering/17.obj", "0.97846862793")</f>
        <v>0.97846862793</v>
      </c>
      <c r="U1674" s="129" t="str">
        <f>HYPERLINK(AB2 &amp; "/mouse/3dw_fa4a56d9-1de7-44a9-88cb-c19bcff5618f/rendering/18.obj", "0.927781524658")</f>
        <v>0.927781524658</v>
      </c>
      <c r="V1674" s="14" t="str">
        <f>HYPERLINK(AB2 &amp; "/mouse/3dw_fa4a56d9-1de7-44a9-88cb-c19bcff5618f/rendering/19.obj", "0.877342376709")</f>
        <v>0.877342376709</v>
      </c>
      <c r="W1674" s="12" t="s">
        <v>31</v>
      </c>
      <c r="X1674" s="13">
        <v>1.2344415435791021</v>
      </c>
      <c r="Y1674" s="13">
        <v>0.48099973909321858</v>
      </c>
      <c r="Z1674" s="128">
        <v>0.38964966919261551</v>
      </c>
    </row>
    <row r="1675" spans="1:26" x14ac:dyDescent="0.2">
      <c r="A1675" s="1">
        <v>1673</v>
      </c>
      <c r="B1675" s="2" t="s">
        <v>367</v>
      </c>
      <c r="C1675" s="75" t="str">
        <f>HYPERLINK(AB2 &amp; "/mouse/3dw_fa4a56d9-1de7-44a9-88cb-c19bcff5618f/rendering/00.obj", "2.00315666199")</f>
        <v>2.00315666199</v>
      </c>
      <c r="D1675" s="24" t="str">
        <f>HYPERLINK(AB2 &amp; "/mouse/3dw_fa4a56d9-1de7-44a9-88cb-c19bcff5618f/rendering/01.obj", "2.13538432121")</f>
        <v>2.13538432121</v>
      </c>
      <c r="E1675" s="133" t="str">
        <f>HYPERLINK(AB2 &amp; "/mouse/3dw_fa4a56d9-1de7-44a9-88cb-c19bcff5618f/rendering/02.obj", "2.83028292656")</f>
        <v>2.83028292656</v>
      </c>
      <c r="F1675" s="72" t="str">
        <f>HYPERLINK(AB2 &amp; "/mouse/3dw_fa4a56d9-1de7-44a9-88cb-c19bcff5618f/rendering/03.obj", "2.48273038864")</f>
        <v>2.48273038864</v>
      </c>
      <c r="G1675" s="55" t="str">
        <f>HYPERLINK(AB2 &amp; "/mouse/3dw_fa4a56d9-1de7-44a9-88cb-c19bcff5618f/rendering/04.obj", "2.07241487503")</f>
        <v>2.07241487503</v>
      </c>
      <c r="H1675" s="50" t="str">
        <f>HYPERLINK(AB2 &amp; "/mouse/3dw_fa4a56d9-1de7-44a9-88cb-c19bcff5618f/rendering/05.obj", "2.05234670639")</f>
        <v>2.05234670639</v>
      </c>
      <c r="I1675" s="66" t="str">
        <f>HYPERLINK(AB2 &amp; "/mouse/3dw_fa4a56d9-1de7-44a9-88cb-c19bcff5618f/rendering/06.obj", "2.15181398392")</f>
        <v>2.15181398392</v>
      </c>
      <c r="J1675" s="129" t="str">
        <f>HYPERLINK(AB2 &amp; "/mouse/3dw_fa4a56d9-1de7-44a9-88cb-c19bcff5618f/rendering/07.obj", "1.92628490925")</f>
        <v>1.92628490925</v>
      </c>
      <c r="K1675" s="26" t="str">
        <f>HYPERLINK(AB2 &amp; "/mouse/3dw_fa4a56d9-1de7-44a9-88cb-c19bcff5618f/rendering/08.obj", "2.40100431442")</f>
        <v>2.40100431442</v>
      </c>
      <c r="L1675" s="181" t="str">
        <f>HYPERLINK(AB2 &amp; "/mouse/3dw_fa4a56d9-1de7-44a9-88cb-c19bcff5618f/rendering/09.obj", "3.70632314682")</f>
        <v>3.70632314682</v>
      </c>
      <c r="M1675" s="77" t="str">
        <f>HYPERLINK(AB2 &amp; "/mouse/3dw_fa4a56d9-1de7-44a9-88cb-c19bcff5618f/rendering/10.obj", "2.08422541618")</f>
        <v>2.08422541618</v>
      </c>
      <c r="N1675" s="46" t="str">
        <f>HYPERLINK(AB2 &amp; "/mouse/3dw_fa4a56d9-1de7-44a9-88cb-c19bcff5618f/rendering/11.obj", "2.60768532753")</f>
        <v>2.60768532753</v>
      </c>
      <c r="O1675" s="5" t="str">
        <f>HYPERLINK(AB2 &amp; "/mouse/3dw_fa4a56d9-1de7-44a9-88cb-c19bcff5618f/rendering/12.obj", "2.36797761917")</f>
        <v>2.36797761917</v>
      </c>
      <c r="P1675" s="20" t="str">
        <f>HYPERLINK(AB2 &amp; "/mouse/3dw_fa4a56d9-1de7-44a9-88cb-c19bcff5618f/rendering/13.obj", "4.7433757782")</f>
        <v>4.7433757782</v>
      </c>
      <c r="Q1675" s="103" t="str">
        <f>HYPERLINK(AB2 &amp; "/mouse/3dw_fa4a56d9-1de7-44a9-88cb-c19bcff5618f/rendering/14.obj", "3.39719343185")</f>
        <v>3.39719343185</v>
      </c>
      <c r="R1675" s="174" t="str">
        <f>HYPERLINK(AB2 &amp; "/mouse/3dw_fa4a56d9-1de7-44a9-88cb-c19bcff5618f/rendering/15.obj", "3.91919231415")</f>
        <v>3.91919231415</v>
      </c>
      <c r="S1675" s="80" t="str">
        <f>HYPERLINK(AB2 &amp; "/mouse/3dw_fa4a56d9-1de7-44a9-88cb-c19bcff5618f/rendering/16.obj", "2.18812632561")</f>
        <v>2.18812632561</v>
      </c>
      <c r="T1675" s="27" t="str">
        <f>HYPERLINK(AB2 &amp; "/mouse/3dw_fa4a56d9-1de7-44a9-88cb-c19bcff5618f/rendering/17.obj", "2.38520264626")</f>
        <v>2.38520264626</v>
      </c>
      <c r="U1675" s="55" t="str">
        <f>HYPERLINK(AB2 &amp; "/mouse/3dw_fa4a56d9-1de7-44a9-88cb-c19bcff5618f/rendering/18.obj", "2.06905269623")</f>
        <v>2.06905269623</v>
      </c>
      <c r="V1675" s="14" t="str">
        <f>HYPERLINK(AB2 &amp; "/mouse/3dw_fa4a56d9-1de7-44a9-88cb-c19bcff5618f/rendering/19.obj", "1.82298910618")</f>
        <v>1.82298910618</v>
      </c>
      <c r="W1675" s="12" t="s">
        <v>32</v>
      </c>
      <c r="X1675" s="13">
        <v>2.567338144779205</v>
      </c>
      <c r="Y1675" s="13">
        <v>0.75846260238199237</v>
      </c>
      <c r="Z1675" s="85">
        <v>0.29542762176628712</v>
      </c>
    </row>
    <row r="1676" spans="1:26" x14ac:dyDescent="0.2">
      <c r="A1676" s="1">
        <v>1674</v>
      </c>
      <c r="B1676" s="2" t="s">
        <v>367</v>
      </c>
      <c r="C1676" s="13" t="str">
        <f>HYPERLINK(AC2 &amp; "/mouse/3dw_fa4a56d9-1de7-44a9-88cb-c19bcff5618f/rendering/00.xyz", "0.0")</f>
        <v>0.0</v>
      </c>
      <c r="D1676" s="13" t="str">
        <f>HYPERLINK(AC2 &amp; "/mouse/3dw_fa4a56d9-1de7-44a9-88cb-c19bcff5618f/rendering/01.xyz", "0.0")</f>
        <v>0.0</v>
      </c>
      <c r="E1676" s="13" t="str">
        <f>HYPERLINK(AC2 &amp; "/mouse/3dw_fa4a56d9-1de7-44a9-88cb-c19bcff5618f/rendering/02.xyz", "0.0")</f>
        <v>0.0</v>
      </c>
      <c r="F1676" s="13" t="str">
        <f>HYPERLINK(AC2 &amp; "/mouse/3dw_fa4a56d9-1de7-44a9-88cb-c19bcff5618f/rendering/03.xyz", "0.0")</f>
        <v>0.0</v>
      </c>
      <c r="G1676" s="13" t="str">
        <f>HYPERLINK(AC2 &amp; "/mouse/3dw_fa4a56d9-1de7-44a9-88cb-c19bcff5618f/rendering/04.xyz", "0.0")</f>
        <v>0.0</v>
      </c>
      <c r="H1676" s="13" t="str">
        <f>HYPERLINK(AC2 &amp; "/mouse/3dw_fa4a56d9-1de7-44a9-88cb-c19bcff5618f/rendering/05.xyz", "0.0")</f>
        <v>0.0</v>
      </c>
      <c r="I1676" s="13" t="str">
        <f>HYPERLINK(AC2 &amp; "/mouse/3dw_fa4a56d9-1de7-44a9-88cb-c19bcff5618f/rendering/06.xyz", "0.0")</f>
        <v>0.0</v>
      </c>
      <c r="J1676" s="13" t="str">
        <f>HYPERLINK(AC2 &amp; "/mouse/3dw_fa4a56d9-1de7-44a9-88cb-c19bcff5618f/rendering/07.xyz", "0.0")</f>
        <v>0.0</v>
      </c>
      <c r="K1676" s="13" t="str">
        <f>HYPERLINK(AC2 &amp; "/mouse/3dw_fa4a56d9-1de7-44a9-88cb-c19bcff5618f/rendering/08.xyz", "0.0")</f>
        <v>0.0</v>
      </c>
      <c r="L1676" s="13" t="str">
        <f>HYPERLINK(AC2 &amp; "/mouse/3dw_fa4a56d9-1de7-44a9-88cb-c19bcff5618f/rendering/09.xyz", "0.0")</f>
        <v>0.0</v>
      </c>
      <c r="M1676" s="13" t="str">
        <f>HYPERLINK(AC2 &amp; "/mouse/3dw_fa4a56d9-1de7-44a9-88cb-c19bcff5618f/rendering/10.xyz", "0.0")</f>
        <v>0.0</v>
      </c>
      <c r="N1676" s="13" t="str">
        <f>HYPERLINK(AC2 &amp; "/mouse/3dw_fa4a56d9-1de7-44a9-88cb-c19bcff5618f/rendering/11.xyz", "0.0")</f>
        <v>0.0</v>
      </c>
      <c r="O1676" s="13" t="str">
        <f>HYPERLINK(AC2 &amp; "/mouse/3dw_fa4a56d9-1de7-44a9-88cb-c19bcff5618f/rendering/12.xyz", "0.0")</f>
        <v>0.0</v>
      </c>
      <c r="P1676" s="13" t="str">
        <f>HYPERLINK(AC2 &amp; "/mouse/3dw_fa4a56d9-1de7-44a9-88cb-c19bcff5618f/rendering/13.xyz", "0.0")</f>
        <v>0.0</v>
      </c>
      <c r="Q1676" s="13" t="str">
        <f>HYPERLINK(AC2 &amp; "/mouse/3dw_fa4a56d9-1de7-44a9-88cb-c19bcff5618f/rendering/14.xyz", "0.0")</f>
        <v>0.0</v>
      </c>
      <c r="R1676" s="13" t="str">
        <f>HYPERLINK(AC2 &amp; "/mouse/3dw_fa4a56d9-1de7-44a9-88cb-c19bcff5618f/rendering/15.xyz", "0.0")</f>
        <v>0.0</v>
      </c>
      <c r="S1676" s="13" t="str">
        <f>HYPERLINK(AC2 &amp; "/mouse/3dw_fa4a56d9-1de7-44a9-88cb-c19bcff5618f/rendering/16.xyz", "0.0")</f>
        <v>0.0</v>
      </c>
      <c r="T1676" s="13" t="str">
        <f>HYPERLINK(AC2 &amp; "/mouse/3dw_fa4a56d9-1de7-44a9-88cb-c19bcff5618f/rendering/17.xyz", "0.0")</f>
        <v>0.0</v>
      </c>
      <c r="U1676" s="13" t="str">
        <f>HYPERLINK(AC2 &amp; "/mouse/3dw_fa4a56d9-1de7-44a9-88cb-c19bcff5618f/rendering/18.xyz", "0.0")</f>
        <v>0.0</v>
      </c>
      <c r="V1676" s="13" t="str">
        <f>HYPERLINK(AC2 &amp; "/mouse/3dw_fa4a56d9-1de7-44a9-88cb-c19bcff5618f/rendering/19.xyz", "0.0")</f>
        <v>0.0</v>
      </c>
      <c r="W1676" s="12" t="s">
        <v>33</v>
      </c>
      <c r="X1676" s="13">
        <v>0</v>
      </c>
      <c r="Y1676" s="13">
        <v>0</v>
      </c>
      <c r="Z1676" s="13">
        <v>0</v>
      </c>
    </row>
    <row r="1677" spans="1:26" x14ac:dyDescent="0.2">
      <c r="A1677" s="1">
        <v>1675</v>
      </c>
      <c r="B1677" s="2" t="s">
        <v>368</v>
      </c>
      <c r="C1677" s="114" t="str">
        <f>HYPERLINK(AA2 &amp; "/mug/sn_d0a3fdd33c7e1eb040bc4e38b9ba163e/rendering/00.obj", "5.12265625")</f>
        <v>5.12265625</v>
      </c>
      <c r="D1677" s="147" t="str">
        <f>HYPERLINK(AA2 &amp; "/mug/sn_d0a3fdd33c7e1eb040bc4e38b9ba163e/rendering/01.obj", "14.0976818848")</f>
        <v>14.0976818848</v>
      </c>
      <c r="E1677" s="196" t="str">
        <f>HYPERLINK(AA2 &amp; "/mug/sn_d0a3fdd33c7e1eb040bc4e38b9ba163e/rendering/02.obj", "5.72443969727")</f>
        <v>5.72443969727</v>
      </c>
      <c r="F1677" s="181" t="str">
        <f>HYPERLINK(AA2 &amp; "/mug/sn_d0a3fdd33c7e1eb040bc4e38b9ba163e/rendering/03.obj", "5.26019958496")</f>
        <v>5.26019958496</v>
      </c>
      <c r="G1677" s="55" t="str">
        <f>HYPERLINK(AA2 &amp; "/mug/sn_d0a3fdd33c7e1eb040bc4e38b9ba163e/rendering/04.obj", "11.3294787598")</f>
        <v>11.3294787598</v>
      </c>
      <c r="H1677" s="187" t="str">
        <f>HYPERLINK(AA2 &amp; "/mug/sn_d0a3fdd33c7e1eb040bc4e38b9ba163e/rendering/05.obj", "6.18021362305")</f>
        <v>6.18021362305</v>
      </c>
      <c r="I1677" s="148" t="str">
        <f>HYPERLINK(AA2 &amp; "/mug/sn_d0a3fdd33c7e1eb040bc4e38b9ba163e/rendering/06.obj", "4.88397033691")</f>
        <v>4.88397033691</v>
      </c>
      <c r="J1677" s="181" t="str">
        <f>HYPERLINK(AA2 &amp; "/mug/sn_d0a3fdd33c7e1eb040bc4e38b9ba163e/rendering/07.obj", "5.26395751953")</f>
        <v>5.26395751953</v>
      </c>
      <c r="K1677" s="22" t="str">
        <f>HYPERLINK(AA2 &amp; "/mug/sn_d0a3fdd33c7e1eb040bc4e38b9ba163e/rendering/08.obj", "14.4280310059")</f>
        <v>14.4280310059</v>
      </c>
      <c r="L1677" s="44" t="str">
        <f>HYPERLINK(AA2 &amp; "/mug/sn_d0a3fdd33c7e1eb040bc4e38b9ba163e/rendering/09.obj", "7.63377502441")</f>
        <v>7.63377502441</v>
      </c>
      <c r="M1677" s="20" t="str">
        <f>HYPERLINK(AA2 &amp; "/mug/sn_d0a3fdd33c7e1eb040bc4e38b9ba163e/rendering/10.obj", "18.1703796387")</f>
        <v>18.1703796387</v>
      </c>
      <c r="N1677" s="196" t="str">
        <f>HYPERLINK(AA2 &amp; "/mug/sn_d0a3fdd33c7e1eb040bc4e38b9ba163e/rendering/11.obj", "5.72948059082")</f>
        <v>5.72948059082</v>
      </c>
      <c r="O1677" s="20" t="str">
        <f>HYPERLINK(AA2 &amp; "/mug/sn_d0a3fdd33c7e1eb040bc4e38b9ba163e/rendering/12.obj", "17.8237792969")</f>
        <v>17.8237792969</v>
      </c>
      <c r="P1677" s="130" t="str">
        <f>HYPERLINK(AA2 &amp; "/mug/sn_d0a3fdd33c7e1eb040bc4e38b9ba163e/rendering/13.obj", "13.7462255859")</f>
        <v>13.7462255859</v>
      </c>
      <c r="Q1677" s="141" t="str">
        <f>HYPERLINK(AA2 &amp; "/mug/sn_d0a3fdd33c7e1eb040bc4e38b9ba163e/rendering/14.obj", "4.27319030762")</f>
        <v>4.27319030762</v>
      </c>
      <c r="R1677" s="20" t="str">
        <f>HYPERLINK(AA2 &amp; "/mug/sn_d0a3fdd33c7e1eb040bc4e38b9ba163e/rendering/15.obj", "21.3762890625")</f>
        <v>21.3762890625</v>
      </c>
      <c r="S1677" s="118" t="str">
        <f>HYPERLINK(AA2 &amp; "/mug/sn_d0a3fdd33c7e1eb040bc4e38b9ba163e/rendering/16.obj", "6.71314697266")</f>
        <v>6.71314697266</v>
      </c>
      <c r="T1677" s="43" t="str">
        <f>HYPERLINK(AA2 &amp; "/mug/sn_d0a3fdd33c7e1eb040bc4e38b9ba163e/rendering/17.obj", "5.93979553223")</f>
        <v>5.93979553223</v>
      </c>
      <c r="U1677" s="37" t="str">
        <f>HYPERLINK(AA2 &amp; "/mug/sn_d0a3fdd33c7e1eb040bc4e38b9ba163e/rendering/18.obj", "11.1378039551")</f>
        <v>11.1378039551</v>
      </c>
      <c r="V1677" s="147" t="str">
        <f>HYPERLINK(AA2 &amp; "/mug/sn_d0a3fdd33c7e1eb040bc4e38b9ba163e/rendering/19.obj", "4.8660647583")</f>
        <v>4.8660647583</v>
      </c>
      <c r="W1677" s="12" t="s">
        <v>29</v>
      </c>
      <c r="X1677" s="13">
        <v>9.4850279693603508</v>
      </c>
      <c r="Y1677" s="13">
        <v>5.2133737636676134</v>
      </c>
      <c r="Z1677" s="141">
        <v>0.54964242388198159</v>
      </c>
    </row>
    <row r="1678" spans="1:26" x14ac:dyDescent="0.2">
      <c r="A1678" s="1">
        <v>1676</v>
      </c>
      <c r="B1678" s="2" t="s">
        <v>368</v>
      </c>
      <c r="C1678" s="161" t="str">
        <f>HYPERLINK(AA2 &amp; "/mug/sn_d0a3fdd33c7e1eb040bc4e38b9ba163e/rendering/00.obj", "8.95915603638")</f>
        <v>8.95915603638</v>
      </c>
      <c r="D1678" s="224" t="str">
        <f>HYPERLINK(AA2 &amp; "/mug/sn_d0a3fdd33c7e1eb040bc4e38b9ba163e/rendering/01.obj", "36.9144248962")</f>
        <v>36.9144248962</v>
      </c>
      <c r="E1678" s="203" t="str">
        <f>HYPERLINK(AA2 &amp; "/mug/sn_d0a3fdd33c7e1eb040bc4e38b9ba163e/rendering/02.obj", "11.5846529007")</f>
        <v>11.5846529007</v>
      </c>
      <c r="F1678" s="148" t="str">
        <f>HYPERLINK(AA2 &amp; "/mug/sn_d0a3fdd33c7e1eb040bc4e38b9ba163e/rendering/03.obj", "11.1234264374")</f>
        <v>11.1234264374</v>
      </c>
      <c r="G1678" s="73" t="str">
        <f>HYPERLINK(AA2 &amp; "/mug/sn_d0a3fdd33c7e1eb040bc4e38b9ba163e/rendering/04.obj", "22.4056339264")</f>
        <v>22.4056339264</v>
      </c>
      <c r="H1678" s="16" t="str">
        <f>HYPERLINK(AA2 &amp; "/mug/sn_d0a3fdd33c7e1eb040bc4e38b9ba163e/rendering/05.obj", "9.88935184479")</f>
        <v>9.88935184479</v>
      </c>
      <c r="I1678" s="194" t="str">
        <f>HYPERLINK(AA2 &amp; "/mug/sn_d0a3fdd33c7e1eb040bc4e38b9ba163e/rendering/06.obj", "8.17405128479")</f>
        <v>8.17405128479</v>
      </c>
      <c r="J1678" s="256" t="str">
        <f>HYPERLINK(AA2 &amp; "/mug/sn_d0a3fdd33c7e1eb040bc4e38b9ba163e/rendering/07.obj", "8.20710468292")</f>
        <v>8.20710468292</v>
      </c>
      <c r="K1678" s="164" t="str">
        <f>HYPERLINK(AA2 &amp; "/mug/sn_d0a3fdd33c7e1eb040bc4e38b9ba163e/rendering/08.obj", "35.3863296509")</f>
        <v>35.3863296509</v>
      </c>
      <c r="L1678" s="179" t="str">
        <f>HYPERLINK(AA2 &amp; "/mug/sn_d0a3fdd33c7e1eb040bc4e38b9ba163e/rendering/09.obj", "12.3724050522")</f>
        <v>12.3724050522</v>
      </c>
      <c r="M1678" s="20" t="str">
        <f>HYPERLINK(AA2 &amp; "/mug/sn_d0a3fdd33c7e1eb040bc4e38b9ba163e/rendering/10.obj", "48.6701507568")</f>
        <v>48.6701507568</v>
      </c>
      <c r="N1678" s="225" t="str">
        <f>HYPERLINK(AA2 &amp; "/mug/sn_d0a3fdd33c7e1eb040bc4e38b9ba163e/rendering/11.obj", "9.29776859283")</f>
        <v>9.29776859283</v>
      </c>
      <c r="O1678" s="20" t="str">
        <f>HYPERLINK(AA2 &amp; "/mug/sn_d0a3fdd33c7e1eb040bc4e38b9ba163e/rendering/12.obj", "41.7010116577")</f>
        <v>41.7010116577</v>
      </c>
      <c r="P1678" s="252" t="str">
        <f>HYPERLINK(AA2 &amp; "/mug/sn_d0a3fdd33c7e1eb040bc4e38b9ba163e/rendering/13.obj", "35.5698394775")</f>
        <v>35.5698394775</v>
      </c>
      <c r="Q1678" s="62" t="str">
        <f>HYPERLINK(AA2 &amp; "/mug/sn_d0a3fdd33c7e1eb040bc4e38b9ba163e/rendering/14.obj", "8.73462200165")</f>
        <v>8.73462200165</v>
      </c>
      <c r="R1678" s="20" t="str">
        <f>HYPERLINK(AA2 &amp; "/mug/sn_d0a3fdd33c7e1eb040bc4e38b9ba163e/rendering/15.obj", "65.1073379517")</f>
        <v>65.1073379517</v>
      </c>
      <c r="S1678" s="148" t="str">
        <f>HYPERLINK(AA2 &amp; "/mug/sn_d0a3fdd33c7e1eb040bc4e38b9ba163e/rendering/16.obj", "11.1283445358")</f>
        <v>11.1283445358</v>
      </c>
      <c r="T1678" s="131" t="str">
        <f>HYPERLINK(AA2 &amp; "/mug/sn_d0a3fdd33c7e1eb040bc4e38b9ba163e/rendering/17.obj", "11.6269311905")</f>
        <v>11.6269311905</v>
      </c>
      <c r="U1678" s="135" t="str">
        <f>HYPERLINK(AA2 &amp; "/mug/sn_d0a3fdd33c7e1eb040bc4e38b9ba163e/rendering/18.obj", "27.1697616577")</f>
        <v>27.1697616577</v>
      </c>
      <c r="V1678" s="167" t="str">
        <f>HYPERLINK(AA2 &amp; "/mug/sn_d0a3fdd33c7e1eb040bc4e38b9ba163e/rendering/19.obj", "8.56469917297")</f>
        <v>8.56469917297</v>
      </c>
      <c r="W1678" s="12" t="s">
        <v>30</v>
      </c>
      <c r="X1678" s="13">
        <v>21.629350185394291</v>
      </c>
      <c r="Y1678" s="13">
        <v>16.323000621117242</v>
      </c>
      <c r="Z1678" s="247">
        <v>0.75466902524606205</v>
      </c>
    </row>
    <row r="1679" spans="1:26" x14ac:dyDescent="0.2">
      <c r="A1679" s="1">
        <v>1677</v>
      </c>
      <c r="B1679" s="2" t="s">
        <v>368</v>
      </c>
      <c r="C1679" s="30" t="str">
        <f>HYPERLINK(AB2 &amp; "/mug/sn_d0a3fdd33c7e1eb040bc4e38b9ba163e/rendering/00.obj", "3.97990722656")</f>
        <v>3.97990722656</v>
      </c>
      <c r="D1679" s="27" t="str">
        <f>HYPERLINK(AB2 &amp; "/mug/sn_d0a3fdd33c7e1eb040bc4e38b9ba163e/rendering/01.obj", "3.71765625")</f>
        <v>3.71765625</v>
      </c>
      <c r="E1679" s="48" t="str">
        <f>HYPERLINK(AB2 &amp; "/mug/sn_d0a3fdd33c7e1eb040bc4e38b9ba163e/rendering/02.obj", "4.09601257324")</f>
        <v>4.09601257324</v>
      </c>
      <c r="F1679" s="13" t="str">
        <f>HYPERLINK(AB2 &amp; "/mug/sn_d0a3fdd33c7e1eb040bc4e38b9ba163e/rendering/03.obj", "3.98714569092")</f>
        <v>3.98714569092</v>
      </c>
      <c r="G1679" s="23" t="str">
        <f>HYPERLINK(AB2 &amp; "/mug/sn_d0a3fdd33c7e1eb040bc4e38b9ba163e/rendering/04.obj", "4.15476226807")</f>
        <v>4.15476226807</v>
      </c>
      <c r="H1679" s="90" t="str">
        <f>HYPERLINK(AB2 &amp; "/mug/sn_d0a3fdd33c7e1eb040bc4e38b9ba163e/rendering/05.obj", "3.61229736328")</f>
        <v>3.61229736328</v>
      </c>
      <c r="I1679" s="23" t="str">
        <f>HYPERLINK(AB2 &amp; "/mug/sn_d0a3fdd33c7e1eb040bc4e38b9ba163e/rendering/06.obj", "4.14992736816")</f>
        <v>4.14992736816</v>
      </c>
      <c r="J1679" s="29" t="str">
        <f>HYPERLINK(AB2 &amp; "/mug/sn_d0a3fdd33c7e1eb040bc4e38b9ba163e/rendering/07.obj", "4.52312591553")</f>
        <v>4.52312591553</v>
      </c>
      <c r="K1679" s="94" t="str">
        <f>HYPERLINK(AB2 &amp; "/mug/sn_d0a3fdd33c7e1eb040bc4e38b9ba163e/rendering/08.obj", "4.2920526123")</f>
        <v>4.2920526123</v>
      </c>
      <c r="L1679" s="66" t="str">
        <f>HYPERLINK(AB2 &amp; "/mug/sn_d0a3fdd33c7e1eb040bc4e38b9ba163e/rendering/09.obj", "4.64978515625")</f>
        <v>4.64978515625</v>
      </c>
      <c r="M1679" s="81" t="str">
        <f>HYPERLINK(AB2 &amp; "/mug/sn_d0a3fdd33c7e1eb040bc4e38b9ba163e/rendering/10.obj", "3.12689086914")</f>
        <v>3.12689086914</v>
      </c>
      <c r="N1679" s="71" t="str">
        <f>HYPERLINK(AB2 &amp; "/mug/sn_d0a3fdd33c7e1eb040bc4e38b9ba163e/rendering/11.obj", "4.47296203613")</f>
        <v>4.47296203613</v>
      </c>
      <c r="O1679" s="48" t="str">
        <f>HYPERLINK(AB2 &amp; "/mug/sn_d0a3fdd33c7e1eb040bc4e38b9ba163e/rendering/12.obj", "4.09278198242")</f>
        <v>4.09278198242</v>
      </c>
      <c r="P1679" s="26" t="str">
        <f>HYPERLINK(AB2 &amp; "/mug/sn_d0a3fdd33c7e1eb040bc4e38b9ba163e/rendering/13.obj", "3.74596374512")</f>
        <v>3.74596374512</v>
      </c>
      <c r="Q1679" s="33" t="str">
        <f>HYPERLINK(AB2 &amp; "/mug/sn_d0a3fdd33c7e1eb040bc4e38b9ba163e/rendering/14.obj", "3.56757629395")</f>
        <v>3.56757629395</v>
      </c>
      <c r="R1679" s="72" t="str">
        <f>HYPERLINK(AB2 &amp; "/mug/sn_d0a3fdd33c7e1eb040bc4e38b9ba163e/rendering/15.obj", "3.86114562988")</f>
        <v>3.86114562988</v>
      </c>
      <c r="S1679" s="68" t="str">
        <f>HYPERLINK(AB2 &amp; "/mug/sn_d0a3fdd33c7e1eb040bc4e38b9ba163e/rendering/16.obj", "3.83016387939")</f>
        <v>3.83016387939</v>
      </c>
      <c r="T1679" s="46" t="str">
        <f>HYPERLINK(AB2 &amp; "/mug/sn_d0a3fdd33c7e1eb040bc4e38b9ba163e/rendering/17.obj", "3.92716796875")</f>
        <v>3.92716796875</v>
      </c>
      <c r="U1679" s="60" t="str">
        <f>HYPERLINK(AB2 &amp; "/mug/sn_d0a3fdd33c7e1eb040bc4e38b9ba163e/rendering/18.obj", "3.79579498291")</f>
        <v>3.79579498291</v>
      </c>
      <c r="V1679" s="67" t="str">
        <f>HYPERLINK(AB2 &amp; "/mug/sn_d0a3fdd33c7e1eb040bc4e38b9ba163e/rendering/19.obj", "4.37379394531")</f>
        <v>4.37379394531</v>
      </c>
      <c r="W1679" s="12" t="s">
        <v>31</v>
      </c>
      <c r="X1679" s="13">
        <v>3.997845687866211</v>
      </c>
      <c r="Y1679" s="13">
        <v>0.35695436822463922</v>
      </c>
      <c r="Z1679" s="38">
        <v>8.9286679900633714E-2</v>
      </c>
    </row>
    <row r="1680" spans="1:26" x14ac:dyDescent="0.2">
      <c r="A1680" s="1">
        <v>1678</v>
      </c>
      <c r="B1680" s="2" t="s">
        <v>368</v>
      </c>
      <c r="C1680" s="79" t="str">
        <f>HYPERLINK(AB2 &amp; "/mug/sn_d0a3fdd33c7e1eb040bc4e38b9ba163e/rendering/00.obj", "4.56405591965")</f>
        <v>4.56405591965</v>
      </c>
      <c r="D1680" s="106" t="str">
        <f>HYPERLINK(AB2 &amp; "/mug/sn_d0a3fdd33c7e1eb040bc4e38b9ba163e/rendering/01.obj", "4.79465484619")</f>
        <v>4.79465484619</v>
      </c>
      <c r="E1680" s="33" t="str">
        <f>HYPERLINK(AB2 &amp; "/mug/sn_d0a3fdd33c7e1eb040bc4e38b9ba163e/rendering/02.obj", "5.99654579163")</f>
        <v>5.99654579163</v>
      </c>
      <c r="F1680" s="6" t="str">
        <f>HYPERLINK(AB2 &amp; "/mug/sn_d0a3fdd33c7e1eb040bc4e38b9ba163e/rendering/03.obj", "5.66783952713")</f>
        <v>5.66783952713</v>
      </c>
      <c r="G1680" s="79" t="str">
        <f>HYPERLINK(AB2 &amp; "/mug/sn_d0a3fdd33c7e1eb040bc4e38b9ba163e/rendering/04.obj", "6.27232456207")</f>
        <v>6.27232456207</v>
      </c>
      <c r="H1680" s="87" t="str">
        <f>HYPERLINK(AB2 &amp; "/mug/sn_d0a3fdd33c7e1eb040bc4e38b9ba163e/rendering/05.obj", "4.18408250809")</f>
        <v>4.18408250809</v>
      </c>
      <c r="I1680" s="90" t="str">
        <f>HYPERLINK(AB2 &amp; "/mug/sn_d0a3fdd33c7e1eb040bc4e38b9ba163e/rendering/06.obj", "5.93027591705")</f>
        <v>5.93027591705</v>
      </c>
      <c r="J1680" s="51" t="str">
        <f>HYPERLINK(AB2 &amp; "/mug/sn_d0a3fdd33c7e1eb040bc4e38b9ba163e/rendering/07.obj", "5.84238481522")</f>
        <v>5.84238481522</v>
      </c>
      <c r="K1680" s="149" t="str">
        <f>HYPERLINK(AB2 &amp; "/mug/sn_d0a3fdd33c7e1eb040bc4e38b9ba163e/rendering/08.obj", "7.28023147583")</f>
        <v>7.28023147583</v>
      </c>
      <c r="L1680" s="17" t="str">
        <f>HYPERLINK(AB2 &amp; "/mug/sn_d0a3fdd33c7e1eb040bc4e38b9ba163e/rendering/09.obj", "5.51943492889")</f>
        <v>5.51943492889</v>
      </c>
      <c r="M1680" s="37" t="str">
        <f>HYPERLINK(AB2 &amp; "/mug/sn_d0a3fdd33c7e1eb040bc4e38b9ba163e/rendering/10.obj", "4.46724033356")</f>
        <v>4.46724033356</v>
      </c>
      <c r="N1680" s="5" t="str">
        <f>HYPERLINK(AB2 &amp; "/mug/sn_d0a3fdd33c7e1eb040bc4e38b9ba163e/rendering/11.obj", "4.99405288696")</f>
        <v>4.99405288696</v>
      </c>
      <c r="O1680" s="47" t="str">
        <f>HYPERLINK(AB2 &amp; "/mug/sn_d0a3fdd33c7e1eb040bc4e38b9ba163e/rendering/12.obj", "5.37695503235")</f>
        <v>5.37695503235</v>
      </c>
      <c r="P1680" s="133" t="str">
        <f>HYPERLINK(AB2 &amp; "/mug/sn_d0a3fdd33c7e1eb040bc4e38b9ba163e/rendering/13.obj", "4.86602449417")</f>
        <v>4.86602449417</v>
      </c>
      <c r="Q1680" s="72" t="str">
        <f>HYPERLINK(AB2 &amp; "/mug/sn_d0a3fdd33c7e1eb040bc4e38b9ba163e/rendering/14.obj", "5.59429264069")</f>
        <v>5.59429264069</v>
      </c>
      <c r="R1680" s="60" t="str">
        <f>HYPERLINK(AB2 &amp; "/mug/sn_d0a3fdd33c7e1eb040bc4e38b9ba163e/rendering/15.obj", "5.13627195358")</f>
        <v>5.13627195358</v>
      </c>
      <c r="S1680" s="90" t="str">
        <f>HYPERLINK(AB2 &amp; "/mug/sn_d0a3fdd33c7e1eb040bc4e38b9ba163e/rendering/16.obj", "5.92725324631")</f>
        <v>5.92725324631</v>
      </c>
      <c r="T1680" s="26" t="str">
        <f>HYPERLINK(AB2 &amp; "/mug/sn_d0a3fdd33c7e1eb040bc4e38b9ba163e/rendering/17.obj", "5.06751537323")</f>
        <v>5.06751537323</v>
      </c>
      <c r="U1680" s="74" t="str">
        <f>HYPERLINK(AB2 &amp; "/mug/sn_d0a3fdd33c7e1eb040bc4e38b9ba163e/rendering/18.obj", "5.48979854584")</f>
        <v>5.48979854584</v>
      </c>
      <c r="V1680" s="17" t="str">
        <f>HYPERLINK(AB2 &amp; "/mug/sn_d0a3fdd33c7e1eb040bc4e38b9ba163e/rendering/19.obj", "5.299015522")</f>
        <v>5.299015522</v>
      </c>
      <c r="W1680" s="12" t="s">
        <v>32</v>
      </c>
      <c r="X1680" s="13">
        <v>5.4135125160217283</v>
      </c>
      <c r="Y1680" s="13">
        <v>0.6924462503955382</v>
      </c>
      <c r="Z1680" s="70">
        <v>0.12791071385651881</v>
      </c>
    </row>
    <row r="1681" spans="1:26" x14ac:dyDescent="0.2">
      <c r="A1681" s="1">
        <v>1679</v>
      </c>
      <c r="B1681" s="2" t="s">
        <v>368</v>
      </c>
      <c r="C1681" s="13" t="str">
        <f>HYPERLINK(AC2 &amp; "/mug/sn_d0a3fdd33c7e1eb040bc4e38b9ba163e/rendering/00.xyz", "0.0")</f>
        <v>0.0</v>
      </c>
      <c r="D1681" s="13" t="str">
        <f>HYPERLINK(AC2 &amp; "/mug/sn_d0a3fdd33c7e1eb040bc4e38b9ba163e/rendering/01.xyz", "0.0")</f>
        <v>0.0</v>
      </c>
      <c r="E1681" s="13" t="str">
        <f>HYPERLINK(AC2 &amp; "/mug/sn_d0a3fdd33c7e1eb040bc4e38b9ba163e/rendering/02.xyz", "0.0")</f>
        <v>0.0</v>
      </c>
      <c r="F1681" s="13" t="str">
        <f>HYPERLINK(AC2 &amp; "/mug/sn_d0a3fdd33c7e1eb040bc4e38b9ba163e/rendering/03.xyz", "0.0")</f>
        <v>0.0</v>
      </c>
      <c r="G1681" s="13" t="str">
        <f>HYPERLINK(AC2 &amp; "/mug/sn_d0a3fdd33c7e1eb040bc4e38b9ba163e/rendering/04.xyz", "0.0")</f>
        <v>0.0</v>
      </c>
      <c r="H1681" s="13" t="str">
        <f>HYPERLINK(AC2 &amp; "/mug/sn_d0a3fdd33c7e1eb040bc4e38b9ba163e/rendering/05.xyz", "0.0")</f>
        <v>0.0</v>
      </c>
      <c r="I1681" s="13" t="str">
        <f>HYPERLINK(AC2 &amp; "/mug/sn_d0a3fdd33c7e1eb040bc4e38b9ba163e/rendering/06.xyz", "0.0")</f>
        <v>0.0</v>
      </c>
      <c r="J1681" s="13" t="str">
        <f>HYPERLINK(AC2 &amp; "/mug/sn_d0a3fdd33c7e1eb040bc4e38b9ba163e/rendering/07.xyz", "0.0")</f>
        <v>0.0</v>
      </c>
      <c r="K1681" s="13" t="str">
        <f>HYPERLINK(AC2 &amp; "/mug/sn_d0a3fdd33c7e1eb040bc4e38b9ba163e/rendering/08.xyz", "0.0")</f>
        <v>0.0</v>
      </c>
      <c r="L1681" s="13" t="str">
        <f>HYPERLINK(AC2 &amp; "/mug/sn_d0a3fdd33c7e1eb040bc4e38b9ba163e/rendering/09.xyz", "0.0")</f>
        <v>0.0</v>
      </c>
      <c r="M1681" s="13" t="str">
        <f>HYPERLINK(AC2 &amp; "/mug/sn_d0a3fdd33c7e1eb040bc4e38b9ba163e/rendering/10.xyz", "0.0")</f>
        <v>0.0</v>
      </c>
      <c r="N1681" s="13" t="str">
        <f>HYPERLINK(AC2 &amp; "/mug/sn_d0a3fdd33c7e1eb040bc4e38b9ba163e/rendering/11.xyz", "0.0")</f>
        <v>0.0</v>
      </c>
      <c r="O1681" s="13" t="str">
        <f>HYPERLINK(AC2 &amp; "/mug/sn_d0a3fdd33c7e1eb040bc4e38b9ba163e/rendering/12.xyz", "0.0")</f>
        <v>0.0</v>
      </c>
      <c r="P1681" s="13" t="str">
        <f>HYPERLINK(AC2 &amp; "/mug/sn_d0a3fdd33c7e1eb040bc4e38b9ba163e/rendering/13.xyz", "0.0")</f>
        <v>0.0</v>
      </c>
      <c r="Q1681" s="13" t="str">
        <f>HYPERLINK(AC2 &amp; "/mug/sn_d0a3fdd33c7e1eb040bc4e38b9ba163e/rendering/14.xyz", "0.0")</f>
        <v>0.0</v>
      </c>
      <c r="R1681" s="13" t="str">
        <f>HYPERLINK(AC2 &amp; "/mug/sn_d0a3fdd33c7e1eb040bc4e38b9ba163e/rendering/15.xyz", "0.0")</f>
        <v>0.0</v>
      </c>
      <c r="S1681" s="13" t="str">
        <f>HYPERLINK(AC2 &amp; "/mug/sn_d0a3fdd33c7e1eb040bc4e38b9ba163e/rendering/16.xyz", "0.0")</f>
        <v>0.0</v>
      </c>
      <c r="T1681" s="13" t="str">
        <f>HYPERLINK(AC2 &amp; "/mug/sn_d0a3fdd33c7e1eb040bc4e38b9ba163e/rendering/17.xyz", "0.0")</f>
        <v>0.0</v>
      </c>
      <c r="U1681" s="13" t="str">
        <f>HYPERLINK(AC2 &amp; "/mug/sn_d0a3fdd33c7e1eb040bc4e38b9ba163e/rendering/18.xyz", "0.0")</f>
        <v>0.0</v>
      </c>
      <c r="V1681" s="13" t="str">
        <f>HYPERLINK(AC2 &amp; "/mug/sn_d0a3fdd33c7e1eb040bc4e38b9ba163e/rendering/19.xyz", "0.0")</f>
        <v>0.0</v>
      </c>
      <c r="W1681" s="12" t="s">
        <v>33</v>
      </c>
      <c r="X1681" s="13">
        <v>0</v>
      </c>
      <c r="Y1681" s="13">
        <v>0</v>
      </c>
      <c r="Z1681" s="13">
        <v>0</v>
      </c>
    </row>
    <row r="1682" spans="1:26" x14ac:dyDescent="0.2">
      <c r="A1682" s="1">
        <v>1680</v>
      </c>
      <c r="B1682" s="2" t="s">
        <v>369</v>
      </c>
      <c r="C1682" s="138" t="str">
        <f>HYPERLINK(AA2 &amp; "/mug/sn_d309d5f8038df4121198791a5b8655c/rendering/00.obj", "4.27432525635")</f>
        <v>4.27432525635</v>
      </c>
      <c r="D1682" s="20" t="str">
        <f>HYPERLINK(AA2 &amp; "/mug/sn_d309d5f8038df4121198791a5b8655c/rendering/01.obj", "13.7927880859")</f>
        <v>13.7927880859</v>
      </c>
      <c r="E1682" s="39" t="str">
        <f>HYPERLINK(AA2 &amp; "/mug/sn_d309d5f8038df4121198791a5b8655c/rendering/02.obj", "7.02503234863")</f>
        <v>7.02503234863</v>
      </c>
      <c r="F1682" s="68" t="str">
        <f>HYPERLINK(AA2 &amp; "/mug/sn_d309d5f8038df4121198791a5b8655c/rendering/03.obj", "6.19599609375")</f>
        <v>6.19599609375</v>
      </c>
      <c r="G1682" s="19" t="str">
        <f>HYPERLINK(AA2 &amp; "/mug/sn_d309d5f8038df4121198791a5b8655c/rendering/04.obj", "8.14973022461")</f>
        <v>8.14973022461</v>
      </c>
      <c r="H1682" s="92" t="str">
        <f>HYPERLINK(AA2 &amp; "/mug/sn_d309d5f8038df4121198791a5b8655c/rendering/05.obj", "7.26228881836")</f>
        <v>7.26228881836</v>
      </c>
      <c r="I1682" s="187" t="str">
        <f>HYPERLINK(AA2 &amp; "/mug/sn_d309d5f8038df4121198791a5b8655c/rendering/06.obj", "8.71977172852")</f>
        <v>8.71977172852</v>
      </c>
      <c r="J1682" s="57" t="str">
        <f>HYPERLINK(AA2 &amp; "/mug/sn_d309d5f8038df4121198791a5b8655c/rendering/07.obj", "8.50791259766")</f>
        <v>8.50791259766</v>
      </c>
      <c r="K1682" s="163" t="str">
        <f>HYPERLINK(AA2 &amp; "/mug/sn_d309d5f8038df4121198791a5b8655c/rendering/08.obj", "3.62147216797")</f>
        <v>3.62147216797</v>
      </c>
      <c r="L1682" s="181" t="str">
        <f>HYPERLINK(AA2 &amp; "/mug/sn_d309d5f8038df4121198791a5b8655c/rendering/09.obj", "3.58498718262")</f>
        <v>3.58498718262</v>
      </c>
      <c r="M1682" s="213" t="str">
        <f>HYPERLINK(AA2 &amp; "/mug/sn_d309d5f8038df4121198791a5b8655c/rendering/10.obj", "3.26171356201")</f>
        <v>3.26171356201</v>
      </c>
      <c r="N1682" s="171" t="str">
        <f>HYPERLINK(AA2 &amp; "/mug/sn_d309d5f8038df4121198791a5b8655c/rendering/11.obj", "4.48878112793")</f>
        <v>4.48878112793</v>
      </c>
      <c r="O1682" s="170" t="str">
        <f>HYPERLINK(AA2 &amp; "/mug/sn_d309d5f8038df4121198791a5b8655c/rendering/12.obj", "4.83187744141")</f>
        <v>4.83187744141</v>
      </c>
      <c r="P1682" s="20" t="str">
        <f>HYPERLINK(AA2 &amp; "/mug/sn_d309d5f8038df4121198791a5b8655c/rendering/13.obj", "11.8988537598")</f>
        <v>11.8988537598</v>
      </c>
      <c r="Q1682" s="172" t="str">
        <f>HYPERLINK(AA2 &amp; "/mug/sn_d309d5f8038df4121198791a5b8655c/rendering/14.obj", "3.985027771")</f>
        <v>3.985027771</v>
      </c>
      <c r="R1682" s="153" t="str">
        <f>HYPERLINK(AA2 &amp; "/mug/sn_d309d5f8038df4121198791a5b8655c/rendering/15.obj", "4.16454345703")</f>
        <v>4.16454345703</v>
      </c>
      <c r="S1682" s="192" t="str">
        <f>HYPERLINK(AA2 &amp; "/mug/sn_d309d5f8038df4121198791a5b8655c/rendering/16.obj", "4.06602600098")</f>
        <v>4.06602600098</v>
      </c>
      <c r="T1682" s="20" t="str">
        <f>HYPERLINK(AA2 &amp; "/mug/sn_d309d5f8038df4121198791a5b8655c/rendering/17.obj", "14.1135058594")</f>
        <v>14.1135058594</v>
      </c>
      <c r="U1682" s="52" t="str">
        <f>HYPERLINK(AA2 &amp; "/mug/sn_d309d5f8038df4121198791a5b8655c/rendering/18.obj", "3.87252044678")</f>
        <v>3.87252044678</v>
      </c>
      <c r="V1682" s="143" t="str">
        <f>HYPERLINK(AA2 &amp; "/mug/sn_d309d5f8038df4121198791a5b8655c/rendering/19.obj", "3.41930847168")</f>
        <v>3.41930847168</v>
      </c>
      <c r="W1682" s="12" t="s">
        <v>29</v>
      </c>
      <c r="X1682" s="13">
        <v>6.4618231201171881</v>
      </c>
      <c r="Y1682" s="13">
        <v>3.361900783371301</v>
      </c>
      <c r="Z1682" s="127">
        <v>0.52027124866740881</v>
      </c>
    </row>
    <row r="1683" spans="1:26" x14ac:dyDescent="0.2">
      <c r="A1683" s="1">
        <v>1681</v>
      </c>
      <c r="B1683" s="2" t="s">
        <v>369</v>
      </c>
      <c r="C1683" s="59" t="str">
        <f>HYPERLINK(AA2 &amp; "/mug/sn_d309d5f8038df4121198791a5b8655c/rendering/00.obj", "9.24006080627")</f>
        <v>9.24006080627</v>
      </c>
      <c r="D1683" s="20" t="str">
        <f>HYPERLINK(AA2 &amp; "/mug/sn_d309d5f8038df4121198791a5b8655c/rendering/01.obj", "27.2057876587")</f>
        <v>27.2057876587</v>
      </c>
      <c r="E1683" s="73" t="str">
        <f>HYPERLINK(AA2 &amp; "/mug/sn_d309d5f8038df4121198791a5b8655c/rendering/02.obj", "11.7448301315")</f>
        <v>11.7448301315</v>
      </c>
      <c r="F1683" s="30" t="str">
        <f>HYPERLINK(AA2 &amp; "/mug/sn_d309d5f8038df4121198791a5b8655c/rendering/03.obj", "12.1046457291")</f>
        <v>12.1046457291</v>
      </c>
      <c r="G1683" s="42" t="str">
        <f>HYPERLINK(AA2 &amp; "/mug/sn_d309d5f8038df4121198791a5b8655c/rendering/04.obj", "13.844247818")</f>
        <v>13.844247818</v>
      </c>
      <c r="H1683" s="73" t="str">
        <f>HYPERLINK(AA2 &amp; "/mug/sn_d309d5f8038df4121198791a5b8655c/rendering/05.obj", "12.6181974411")</f>
        <v>12.6181974411</v>
      </c>
      <c r="I1683" s="203" t="str">
        <f>HYPERLINK(AA2 &amp; "/mug/sn_d309d5f8038df4121198791a5b8655c/rendering/06.obj", "17.8546333313")</f>
        <v>17.8546333313</v>
      </c>
      <c r="J1683" s="86" t="str">
        <f>HYPERLINK(AA2 &amp; "/mug/sn_d309d5f8038df4121198791a5b8655c/rendering/07.obj", "15.4135713577")</f>
        <v>15.4135713577</v>
      </c>
      <c r="K1683" s="53" t="str">
        <f>HYPERLINK(AA2 &amp; "/mug/sn_d309d5f8038df4121198791a5b8655c/rendering/08.obj", "7.15841388702")</f>
        <v>7.15841388702</v>
      </c>
      <c r="L1683" s="179" t="str">
        <f>HYPERLINK(AA2 &amp; "/mug/sn_d309d5f8038df4121198791a5b8655c/rendering/09.obj", "6.96629476547")</f>
        <v>6.96629476547</v>
      </c>
      <c r="M1683" s="22" t="str">
        <f>HYPERLINK(AA2 &amp; "/mug/sn_d309d5f8038df4121198791a5b8655c/rendering/10.obj", "5.82886743546")</f>
        <v>5.82886743546</v>
      </c>
      <c r="N1683" s="135" t="str">
        <f>HYPERLINK(AA2 &amp; "/mug/sn_d309d5f8038df4121198791a5b8655c/rendering/11.obj", "9.06434345245")</f>
        <v>9.06434345245</v>
      </c>
      <c r="O1683" s="8" t="str">
        <f>HYPERLINK(AA2 &amp; "/mug/sn_d309d5f8038df4121198791a5b8655c/rendering/12.obj", "10.4339666367")</f>
        <v>10.4339666367</v>
      </c>
      <c r="P1683" s="20" t="str">
        <f>HYPERLINK(AA2 &amp; "/mug/sn_d309d5f8038df4121198791a5b8655c/rendering/13.obj", "22.3847560883")</f>
        <v>22.3847560883</v>
      </c>
      <c r="Q1683" s="54" t="str">
        <f>HYPERLINK(AA2 &amp; "/mug/sn_d309d5f8038df4121198791a5b8655c/rendering/14.obj", "8.16657733917")</f>
        <v>8.16657733917</v>
      </c>
      <c r="R1683" s="132" t="str">
        <f>HYPERLINK(AA2 &amp; "/mug/sn_d309d5f8038df4121198791a5b8655c/rendering/15.obj", "7.08865976334")</f>
        <v>7.08865976334</v>
      </c>
      <c r="S1683" s="137" t="str">
        <f>HYPERLINK(AA2 &amp; "/mug/sn_d309d5f8038df4121198791a5b8655c/rendering/16.obj", "7.72031259537")</f>
        <v>7.72031259537</v>
      </c>
      <c r="T1683" s="20" t="str">
        <f>HYPERLINK(AA2 &amp; "/mug/sn_d309d5f8038df4121198791a5b8655c/rendering/17.obj", "26.3693256378")</f>
        <v>26.3693256378</v>
      </c>
      <c r="U1683" s="105" t="str">
        <f>HYPERLINK(AA2 &amp; "/mug/sn_d309d5f8038df4121198791a5b8655c/rendering/18.obj", "5.92909622192")</f>
        <v>5.92909622192</v>
      </c>
      <c r="V1683" s="145" t="str">
        <f>HYPERLINK(AA2 &amp; "/mug/sn_d309d5f8038df4121198791a5b8655c/rendering/19.obj", "6.20808410645")</f>
        <v>6.20808410645</v>
      </c>
      <c r="W1683" s="12" t="s">
        <v>30</v>
      </c>
      <c r="X1683" s="13">
        <v>12.1672336101532</v>
      </c>
      <c r="Y1683" s="13">
        <v>6.4337007276915061</v>
      </c>
      <c r="Z1683" s="160">
        <v>0.52877268028475854</v>
      </c>
    </row>
    <row r="1684" spans="1:26" x14ac:dyDescent="0.2">
      <c r="A1684" s="1">
        <v>1682</v>
      </c>
      <c r="B1684" s="2" t="s">
        <v>369</v>
      </c>
      <c r="C1684" s="55" t="str">
        <f>HYPERLINK(AB2 &amp; "/mug/sn_d309d5f8038df4121198791a5b8655c/rendering/00.obj", "5.92495727539")</f>
        <v>5.92495727539</v>
      </c>
      <c r="D1684" s="51" t="str">
        <f>HYPERLINK(AB2 &amp; "/mug/sn_d309d5f8038df4121198791a5b8655c/rendering/01.obj", "5.36166259766")</f>
        <v>5.36166259766</v>
      </c>
      <c r="E1684" s="76" t="str">
        <f>HYPERLINK(AB2 &amp; "/mug/sn_d309d5f8038df4121198791a5b8655c/rendering/02.obj", "4.05821929932")</f>
        <v>4.05821929932</v>
      </c>
      <c r="F1684" s="28" t="str">
        <f>HYPERLINK(AB2 &amp; "/mug/sn_d309d5f8038df4121198791a5b8655c/rendering/03.obj", "4.41847137451")</f>
        <v>4.41847137451</v>
      </c>
      <c r="G1684" s="55" t="str">
        <f>HYPERLINK(AB2 &amp; "/mug/sn_d309d5f8038df4121198791a5b8655c/rendering/04.obj", "4.00772216797")</f>
        <v>4.00772216797</v>
      </c>
      <c r="H1684" s="43" t="str">
        <f>HYPERLINK(AB2 &amp; "/mug/sn_d309d5f8038df4121198791a5b8655c/rendering/05.obj", "6.82452758789")</f>
        <v>6.82452758789</v>
      </c>
      <c r="I1684" s="160" t="str">
        <f>HYPERLINK(AB2 &amp; "/mug/sn_d309d5f8038df4121198791a5b8655c/rendering/06.obj", "7.5991607666")</f>
        <v>7.5991607666</v>
      </c>
      <c r="J1684" s="36" t="str">
        <f>HYPERLINK(AB2 &amp; "/mug/sn_d309d5f8038df4121198791a5b8655c/rendering/07.obj", "3.90559020996")</f>
        <v>3.90559020996</v>
      </c>
      <c r="K1684" s="120" t="str">
        <f>HYPERLINK(AB2 &amp; "/mug/sn_d309d5f8038df4121198791a5b8655c/rendering/08.obj", "6.01315429688")</f>
        <v>6.01315429688</v>
      </c>
      <c r="L1684" s="69" t="str">
        <f>HYPERLINK(AB2 &amp; "/mug/sn_d309d5f8038df4121198791a5b8655c/rendering/09.obj", "4.81305877686")</f>
        <v>4.81305877686</v>
      </c>
      <c r="M1684" s="37" t="str">
        <f>HYPERLINK(AB2 &amp; "/mug/sn_d309d5f8038df4121198791a5b8655c/rendering/10.obj", "4.1091595459")</f>
        <v>4.1091595459</v>
      </c>
      <c r="N1684" s="67" t="str">
        <f>HYPERLINK(AB2 &amp; "/mug/sn_d309d5f8038df4121198791a5b8655c/rendering/11.obj", "4.50124755859")</f>
        <v>4.50124755859</v>
      </c>
      <c r="O1684" s="64" t="str">
        <f>HYPERLINK(AB2 &amp; "/mug/sn_d309d5f8038df4121198791a5b8655c/rendering/12.obj", "5.77806518555")</f>
        <v>5.77806518555</v>
      </c>
      <c r="P1684" s="90" t="str">
        <f>HYPERLINK(AB2 &amp; "/mug/sn_d309d5f8038df4121198791a5b8655c/rendering/13.obj", "5.44590637207")</f>
        <v>5.44590637207</v>
      </c>
      <c r="Q1684" s="34" t="str">
        <f>HYPERLINK(AB2 &amp; "/mug/sn_d309d5f8038df4121198791a5b8655c/rendering/14.obj", "5.20238037109")</f>
        <v>5.20238037109</v>
      </c>
      <c r="R1684" s="8" t="str">
        <f>HYPERLINK(AB2 &amp; "/mug/sn_d309d5f8038df4121198791a5b8655c/rendering/15.obj", "5.68418945312")</f>
        <v>5.68418945312</v>
      </c>
      <c r="S1684" s="134" t="str">
        <f>HYPERLINK(AB2 &amp; "/mug/sn_d309d5f8038df4121198791a5b8655c/rendering/16.obj", "4.06925476074")</f>
        <v>4.06925476074</v>
      </c>
      <c r="T1684" s="133" t="str">
        <f>HYPERLINK(AB2 &amp; "/mug/sn_d309d5f8038df4121198791a5b8655c/rendering/17.obj", "5.46729858398")</f>
        <v>5.46729858398</v>
      </c>
      <c r="U1684" s="179" t="str">
        <f>HYPERLINK(AB2 &amp; "/mug/sn_d309d5f8038df4121198791a5b8655c/rendering/18.obj", "2.84402496338")</f>
        <v>2.84402496338</v>
      </c>
      <c r="V1684" s="193" t="str">
        <f>HYPERLINK(AB2 &amp; "/mug/sn_d309d5f8038df4121198791a5b8655c/rendering/19.obj", "3.32387390137")</f>
        <v>3.32387390137</v>
      </c>
      <c r="W1684" s="12" t="s">
        <v>31</v>
      </c>
      <c r="X1684" s="13">
        <v>4.9675962524414059</v>
      </c>
      <c r="Y1684" s="13">
        <v>1.149276074273416</v>
      </c>
      <c r="Z1684" s="98">
        <v>0.2313545658443126</v>
      </c>
    </row>
    <row r="1685" spans="1:26" x14ac:dyDescent="0.2">
      <c r="A1685" s="1">
        <v>1683</v>
      </c>
      <c r="B1685" s="2" t="s">
        <v>369</v>
      </c>
      <c r="C1685" s="119" t="str">
        <f>HYPERLINK(AB2 &amp; "/mug/sn_d309d5f8038df4121198791a5b8655c/rendering/00.obj", "9.59915828705")</f>
        <v>9.59915828705</v>
      </c>
      <c r="D1685" s="66" t="str">
        <f>HYPERLINK(AB2 &amp; "/mug/sn_d309d5f8038df4121198791a5b8655c/rendering/01.obj", "6.35778284073")</f>
        <v>6.35778284073</v>
      </c>
      <c r="E1685" s="136" t="str">
        <f>HYPERLINK(AB2 &amp; "/mug/sn_d309d5f8038df4121198791a5b8655c/rendering/02.obj", "5.77785682678")</f>
        <v>5.77785682678</v>
      </c>
      <c r="F1685" s="107" t="str">
        <f>HYPERLINK(AB2 &amp; "/mug/sn_d309d5f8038df4121198791a5b8655c/rendering/03.obj", "6.95199346542")</f>
        <v>6.95199346542</v>
      </c>
      <c r="G1685" s="84" t="str">
        <f>HYPERLINK(AB2 &amp; "/mug/sn_d309d5f8038df4121198791a5b8655c/rendering/04.obj", "6.47236680984")</f>
        <v>6.47236680984</v>
      </c>
      <c r="H1685" s="181" t="str">
        <f>HYPERLINK(AB2 &amp; "/mug/sn_d309d5f8038df4121198791a5b8655c/rendering/05.obj", "10.9437761307")</f>
        <v>10.9437761307</v>
      </c>
      <c r="I1685" s="160" t="str">
        <f>HYPERLINK(AB2 &amp; "/mug/sn_d309d5f8038df4121198791a5b8655c/rendering/06.obj", "11.5929136276")</f>
        <v>11.5929136276</v>
      </c>
      <c r="J1685" s="109" t="str">
        <f>HYPERLINK(AB2 &amp; "/mug/sn_d309d5f8038df4121198791a5b8655c/rendering/07.obj", "6.15195894241")</f>
        <v>6.15195894241</v>
      </c>
      <c r="K1685" s="95" t="str">
        <f>HYPERLINK(AB2 &amp; "/mug/sn_d309d5f8038df4121198791a5b8655c/rendering/08.obj", "9.71078586578")</f>
        <v>9.71078586578</v>
      </c>
      <c r="L1685" s="34" t="str">
        <f>HYPERLINK(AB2 &amp; "/mug/sn_d309d5f8038df4121198791a5b8655c/rendering/09.obj", "7.96176433563")</f>
        <v>7.96176433563</v>
      </c>
      <c r="M1685" s="49" t="str">
        <f>HYPERLINK(AB2 &amp; "/mug/sn_d309d5f8038df4121198791a5b8655c/rendering/10.obj", "6.00568914413")</f>
        <v>6.00568914413</v>
      </c>
      <c r="N1685" s="17" t="str">
        <f>HYPERLINK(AB2 &amp; "/mug/sn_d309d5f8038df4121198791a5b8655c/rendering/11.obj", "7.42267513275")</f>
        <v>7.42267513275</v>
      </c>
      <c r="O1685" s="175" t="str">
        <f>HYPERLINK(AB2 &amp; "/mug/sn_d309d5f8038df4121198791a5b8655c/rendering/12.obj", "9.34409618378")</f>
        <v>9.34409618378</v>
      </c>
      <c r="P1685" s="25" t="str">
        <f>HYPERLINK(AB2 &amp; "/mug/sn_d309d5f8038df4121198791a5b8655c/rendering/13.obj", "7.67266130447")</f>
        <v>7.67266130447</v>
      </c>
      <c r="Q1685" s="63" t="str">
        <f>HYPERLINK(AB2 &amp; "/mug/sn_d309d5f8038df4121198791a5b8655c/rendering/14.obj", "8.50610637665")</f>
        <v>8.50610637665</v>
      </c>
      <c r="R1685" s="64" t="str">
        <f>HYPERLINK(AB2 &amp; "/mug/sn_d309d5f8038df4121198791a5b8655c/rendering/15.obj", "8.82797718048")</f>
        <v>8.82797718048</v>
      </c>
      <c r="S1685" s="84" t="str">
        <f>HYPERLINK(AB2 &amp; "/mug/sn_d309d5f8038df4121198791a5b8655c/rendering/16.obj", "6.46535348892")</f>
        <v>6.46535348892</v>
      </c>
      <c r="T1685" s="93" t="str">
        <f>HYPERLINK(AB2 &amp; "/mug/sn_d309d5f8038df4121198791a5b8655c/rendering/17.obj", "6.51152515411")</f>
        <v>6.51152515411</v>
      </c>
      <c r="U1685" s="132" t="str">
        <f>HYPERLINK(AB2 &amp; "/mug/sn_d309d5f8038df4121198791a5b8655c/rendering/18.obj", "4.41242933273")</f>
        <v>4.41242933273</v>
      </c>
      <c r="V1685" s="187" t="str">
        <f>HYPERLINK(AB2 &amp; "/mug/sn_d309d5f8038df4121198791a5b8655c/rendering/19.obj", "4.93810272217")</f>
        <v>4.93810272217</v>
      </c>
      <c r="W1685" s="12" t="s">
        <v>32</v>
      </c>
      <c r="X1685" s="13">
        <v>7.5813486576080322</v>
      </c>
      <c r="Y1685" s="13">
        <v>1.897625479783918</v>
      </c>
      <c r="Z1685" s="129">
        <v>0.25030183486939528</v>
      </c>
    </row>
    <row r="1686" spans="1:26" x14ac:dyDescent="0.2">
      <c r="A1686" s="1">
        <v>1684</v>
      </c>
      <c r="B1686" s="2" t="s">
        <v>369</v>
      </c>
      <c r="C1686" s="13" t="str">
        <f>HYPERLINK(AC2 &amp; "/mug/sn_d309d5f8038df4121198791a5b8655c/rendering/00.xyz", "0.0")</f>
        <v>0.0</v>
      </c>
      <c r="D1686" s="13" t="str">
        <f>HYPERLINK(AC2 &amp; "/mug/sn_d309d5f8038df4121198791a5b8655c/rendering/01.xyz", "0.0")</f>
        <v>0.0</v>
      </c>
      <c r="E1686" s="13" t="str">
        <f>HYPERLINK(AC2 &amp; "/mug/sn_d309d5f8038df4121198791a5b8655c/rendering/02.xyz", "0.0")</f>
        <v>0.0</v>
      </c>
      <c r="F1686" s="13" t="str">
        <f>HYPERLINK(AC2 &amp; "/mug/sn_d309d5f8038df4121198791a5b8655c/rendering/03.xyz", "0.0")</f>
        <v>0.0</v>
      </c>
      <c r="G1686" s="13" t="str">
        <f>HYPERLINK(AC2 &amp; "/mug/sn_d309d5f8038df4121198791a5b8655c/rendering/04.xyz", "0.0")</f>
        <v>0.0</v>
      </c>
      <c r="H1686" s="13" t="str">
        <f>HYPERLINK(AC2 &amp; "/mug/sn_d309d5f8038df4121198791a5b8655c/rendering/05.xyz", "0.0")</f>
        <v>0.0</v>
      </c>
      <c r="I1686" s="13" t="str">
        <f>HYPERLINK(AC2 &amp; "/mug/sn_d309d5f8038df4121198791a5b8655c/rendering/06.xyz", "0.0")</f>
        <v>0.0</v>
      </c>
      <c r="J1686" s="13" t="str">
        <f>HYPERLINK(AC2 &amp; "/mug/sn_d309d5f8038df4121198791a5b8655c/rendering/07.xyz", "0.0")</f>
        <v>0.0</v>
      </c>
      <c r="K1686" s="13" t="str">
        <f>HYPERLINK(AC2 &amp; "/mug/sn_d309d5f8038df4121198791a5b8655c/rendering/08.xyz", "0.0")</f>
        <v>0.0</v>
      </c>
      <c r="L1686" s="13" t="str">
        <f>HYPERLINK(AC2 &amp; "/mug/sn_d309d5f8038df4121198791a5b8655c/rendering/09.xyz", "0.0")</f>
        <v>0.0</v>
      </c>
      <c r="M1686" s="13" t="str">
        <f>HYPERLINK(AC2 &amp; "/mug/sn_d309d5f8038df4121198791a5b8655c/rendering/10.xyz", "0.0")</f>
        <v>0.0</v>
      </c>
      <c r="N1686" s="13" t="str">
        <f>HYPERLINK(AC2 &amp; "/mug/sn_d309d5f8038df4121198791a5b8655c/rendering/11.xyz", "0.0")</f>
        <v>0.0</v>
      </c>
      <c r="O1686" s="13" t="str">
        <f>HYPERLINK(AC2 &amp; "/mug/sn_d309d5f8038df4121198791a5b8655c/rendering/12.xyz", "0.0")</f>
        <v>0.0</v>
      </c>
      <c r="P1686" s="13" t="str">
        <f>HYPERLINK(AC2 &amp; "/mug/sn_d309d5f8038df4121198791a5b8655c/rendering/13.xyz", "0.0")</f>
        <v>0.0</v>
      </c>
      <c r="Q1686" s="13" t="str">
        <f>HYPERLINK(AC2 &amp; "/mug/sn_d309d5f8038df4121198791a5b8655c/rendering/14.xyz", "0.0")</f>
        <v>0.0</v>
      </c>
      <c r="R1686" s="13" t="str">
        <f>HYPERLINK(AC2 &amp; "/mug/sn_d309d5f8038df4121198791a5b8655c/rendering/15.xyz", "0.0")</f>
        <v>0.0</v>
      </c>
      <c r="S1686" s="13" t="str">
        <f>HYPERLINK(AC2 &amp; "/mug/sn_d309d5f8038df4121198791a5b8655c/rendering/16.xyz", "0.0")</f>
        <v>0.0</v>
      </c>
      <c r="T1686" s="13" t="str">
        <f>HYPERLINK(AC2 &amp; "/mug/sn_d309d5f8038df4121198791a5b8655c/rendering/17.xyz", "0.0")</f>
        <v>0.0</v>
      </c>
      <c r="U1686" s="13" t="str">
        <f>HYPERLINK(AC2 &amp; "/mug/sn_d309d5f8038df4121198791a5b8655c/rendering/18.xyz", "0.0")</f>
        <v>0.0</v>
      </c>
      <c r="V1686" s="13" t="str">
        <f>HYPERLINK(AC2 &amp; "/mug/sn_d309d5f8038df4121198791a5b8655c/rendering/19.xyz", "0.0")</f>
        <v>0.0</v>
      </c>
      <c r="W1686" s="12" t="s">
        <v>33</v>
      </c>
      <c r="X1686" s="13">
        <v>0</v>
      </c>
      <c r="Y1686" s="13">
        <v>0</v>
      </c>
      <c r="Z1686" s="13">
        <v>0</v>
      </c>
    </row>
    <row r="1687" spans="1:26" x14ac:dyDescent="0.2">
      <c r="A1687" s="1">
        <v>1685</v>
      </c>
      <c r="B1687" s="2" t="s">
        <v>370</v>
      </c>
      <c r="C1687" s="52" t="str">
        <f>HYPERLINK(AA2 &amp; "/mug/sn_d32cd77c6630b77de47c0353c18d58e/rendering/00.obj", "3.93700744629")</f>
        <v>3.93700744629</v>
      </c>
      <c r="D1687" s="120" t="str">
        <f>HYPERLINK(AA2 &amp; "/mug/sn_d32cd77c6630b77de47c0353c18d58e/rendering/01.obj", "5.18287963867")</f>
        <v>5.18287963867</v>
      </c>
      <c r="E1687" s="28" t="str">
        <f>HYPERLINK(AA2 &amp; "/mug/sn_d32cd77c6630b77de47c0353c18d58e/rendering/02.obj", "5.84219604492")</f>
        <v>5.84219604492</v>
      </c>
      <c r="F1687" s="20" t="str">
        <f>HYPERLINK(AA2 &amp; "/mug/sn_d32cd77c6630b77de47c0353c18d58e/rendering/03.obj", "13.2483618164")</f>
        <v>13.2483618164</v>
      </c>
      <c r="G1687" s="28" t="str">
        <f>HYPERLINK(AA2 &amp; "/mug/sn_d32cd77c6630b77de47c0353c18d58e/rendering/04.obj", "5.83031311035")</f>
        <v>5.83031311035</v>
      </c>
      <c r="H1687" s="128" t="str">
        <f>HYPERLINK(AA2 &amp; "/mug/sn_d32cd77c6630b77de47c0353c18d58e/rendering/05.obj", "3.99310699463")</f>
        <v>3.99310699463</v>
      </c>
      <c r="I1687" s="117" t="str">
        <f>HYPERLINK(AA2 &amp; "/mug/sn_d32cd77c6630b77de47c0353c18d58e/rendering/06.obj", "7.73276489258")</f>
        <v>7.73276489258</v>
      </c>
      <c r="J1687" s="106" t="str">
        <f>HYPERLINK(AA2 &amp; "/mug/sn_d32cd77c6630b77de47c0353c18d58e/rendering/07.obj", "7.31465698242")</f>
        <v>7.31465698242</v>
      </c>
      <c r="K1687" s="96" t="str">
        <f>HYPERLINK(AA2 &amp; "/mug/sn_d32cd77c6630b77de47c0353c18d58e/rendering/08.obj", "8.9445526123")</f>
        <v>8.9445526123</v>
      </c>
      <c r="L1687" s="110" t="str">
        <f>HYPERLINK(AA2 &amp; "/mug/sn_d32cd77c6630b77de47c0353c18d58e/rendering/09.obj", "5.91424499512")</f>
        <v>5.91424499512</v>
      </c>
      <c r="M1687" s="78" t="str">
        <f>HYPERLINK(AA2 &amp; "/mug/sn_d32cd77c6630b77de47c0353c18d58e/rendering/10.obj", "6.16460693359")</f>
        <v>6.16460693359</v>
      </c>
      <c r="N1687" s="13" t="str">
        <f>HYPERLINK(AA2 &amp; "/mug/sn_d32cd77c6630b77de47c0353c18d58e/rendering/11.obj", "6.55016906738")</f>
        <v>6.55016906738</v>
      </c>
      <c r="O1687" s="182" t="str">
        <f>HYPERLINK(AA2 &amp; "/mug/sn_d32cd77c6630b77de47c0353c18d58e/rendering/12.obj", "4.37054290771")</f>
        <v>4.37054290771</v>
      </c>
      <c r="P1687" s="163" t="str">
        <f>HYPERLINK(AA2 &amp; "/mug/sn_d32cd77c6630b77de47c0353c18d58e/rendering/13.obj", "3.66238830566")</f>
        <v>3.66238830566</v>
      </c>
      <c r="Q1687" s="75" t="str">
        <f>HYPERLINK(AA2 &amp; "/mug/sn_d32cd77c6630b77de47c0353c18d58e/rendering/14.obj", "5.11871917725")</f>
        <v>5.11871917725</v>
      </c>
      <c r="R1687" s="82" t="str">
        <f>HYPERLINK(AA2 &amp; "/mug/sn_d32cd77c6630b77de47c0353c18d58e/rendering/15.obj", "5.21690490723")</f>
        <v>5.21690490723</v>
      </c>
      <c r="S1687" s="137" t="str">
        <f>HYPERLINK(AA2 &amp; "/mug/sn_d32cd77c6630b77de47c0353c18d58e/rendering/16.obj", "4.17051513672")</f>
        <v>4.17051513672</v>
      </c>
      <c r="T1687" s="151" t="str">
        <f>HYPERLINK(AA2 &amp; "/mug/sn_d32cd77c6630b77de47c0353c18d58e/rendering/17.obj", "4.2059588623")</f>
        <v>4.2059588623</v>
      </c>
      <c r="U1687" s="94" t="str">
        <f>HYPERLINK(AA2 &amp; "/mug/sn_d32cd77c6630b77de47c0353c18d58e/rendering/18.obj", "6.07421630859")</f>
        <v>6.07421630859</v>
      </c>
      <c r="V1687" s="20" t="str">
        <f>HYPERLINK(AA2 &amp; "/mug/sn_d32cd77c6630b77de47c0353c18d58e/rendering/19.obj", "17.864765625")</f>
        <v>17.864765625</v>
      </c>
      <c r="W1687" s="12" t="s">
        <v>29</v>
      </c>
      <c r="X1687" s="13">
        <v>6.5669435882568354</v>
      </c>
      <c r="Y1687" s="13">
        <v>3.359365511045616</v>
      </c>
      <c r="Z1687" s="105">
        <v>0.51155693145482684</v>
      </c>
    </row>
    <row r="1688" spans="1:26" x14ac:dyDescent="0.2">
      <c r="A1688" s="1">
        <v>1686</v>
      </c>
      <c r="B1688" s="2" t="s">
        <v>370</v>
      </c>
      <c r="C1688" s="151" t="str">
        <f>HYPERLINK(AA2 &amp; "/mug/sn_d32cd77c6630b77de47c0353c18d58e/rendering/00.obj", "7.28575611115")</f>
        <v>7.28575611115</v>
      </c>
      <c r="D1688" s="128" t="str">
        <f>HYPERLINK(AA2 &amp; "/mug/sn_d32cd77c6630b77de47c0353c18d58e/rendering/01.obj", "6.92750358582")</f>
        <v>6.92750358582</v>
      </c>
      <c r="E1688" s="31" t="str">
        <f>HYPERLINK(AA2 &amp; "/mug/sn_d32cd77c6630b77de47c0353c18d58e/rendering/02.obj", "9.6170873642")</f>
        <v>9.6170873642</v>
      </c>
      <c r="F1688" s="20" t="str">
        <f>HYPERLINK(AA2 &amp; "/mug/sn_d32cd77c6630b77de47c0353c18d58e/rendering/03.obj", "23.8145027161")</f>
        <v>23.8145027161</v>
      </c>
      <c r="G1688" s="29" t="str">
        <f>HYPERLINK(AA2 &amp; "/mug/sn_d32cd77c6630b77de47c0353c18d58e/rendering/04.obj", "9.91044616699")</f>
        <v>9.91044616699</v>
      </c>
      <c r="H1688" s="176" t="str">
        <f>HYPERLINK(AA2 &amp; "/mug/sn_d32cd77c6630b77de47c0353c18d58e/rendering/05.obj", "7.74639606476")</f>
        <v>7.74639606476</v>
      </c>
      <c r="I1688" s="69" t="str">
        <f>HYPERLINK(AA2 &amp; "/mug/sn_d32cd77c6630b77de47c0353c18d58e/rendering/06.obj", "11.710691452")</f>
        <v>11.710691452</v>
      </c>
      <c r="J1688" s="10" t="str">
        <f>HYPERLINK(AA2 &amp; "/mug/sn_d32cd77c6630b77de47c0353c18d58e/rendering/07.obj", "10.7620954514")</f>
        <v>10.7620954514</v>
      </c>
      <c r="K1688" s="175" t="str">
        <f>HYPERLINK(AA2 &amp; "/mug/sn_d32cd77c6630b77de47c0353c18d58e/rendering/08.obj", "14.0482330322")</f>
        <v>14.0482330322</v>
      </c>
      <c r="L1688" s="31" t="str">
        <f>HYPERLINK(AA2 &amp; "/mug/sn_d32cd77c6630b77de47c0353c18d58e/rendering/09.obj", "9.59749698639")</f>
        <v>9.59749698639</v>
      </c>
      <c r="M1688" s="63" t="str">
        <f>HYPERLINK(AA2 &amp; "/mug/sn_d32cd77c6630b77de47c0353c18d58e/rendering/10.obj", "9.99109077454")</f>
        <v>9.99109077454</v>
      </c>
      <c r="N1688" s="31" t="str">
        <f>HYPERLINK(AA2 &amp; "/mug/sn_d32cd77c6630b77de47c0353c18d58e/rendering/11.obj", "9.60459327698")</f>
        <v>9.60459327698</v>
      </c>
      <c r="O1688" s="54" t="str">
        <f>HYPERLINK(AA2 &amp; "/mug/sn_d32cd77c6630b77de47c0353c18d58e/rendering/12.obj", "7.64164113998")</f>
        <v>7.64164113998</v>
      </c>
      <c r="P1688" s="156" t="str">
        <f>HYPERLINK(AA2 &amp; "/mug/sn_d32cd77c6630b77de47c0353c18d58e/rendering/13.obj", "6.28502178192")</f>
        <v>6.28502178192</v>
      </c>
      <c r="Q1688" s="82" t="str">
        <f>HYPERLINK(AA2 &amp; "/mug/sn_d32cd77c6630b77de47c0353c18d58e/rendering/14.obj", "9.03826618195")</f>
        <v>9.03826618195</v>
      </c>
      <c r="R1688" s="149" t="str">
        <f>HYPERLINK(AA2 &amp; "/mug/sn_d32cd77c6630b77de47c0353c18d58e/rendering/15.obj", "7.4558429718")</f>
        <v>7.4558429718</v>
      </c>
      <c r="S1688" s="140" t="str">
        <f>HYPERLINK(AA2 &amp; "/mug/sn_d32cd77c6630b77de47c0353c18d58e/rendering/16.obj", "7.42051172256")</f>
        <v>7.42051172256</v>
      </c>
      <c r="T1688" s="149" t="str">
        <f>HYPERLINK(AA2 &amp; "/mug/sn_d32cd77c6630b77de47c0353c18d58e/rendering/17.obj", "7.45733165741")</f>
        <v>7.45733165741</v>
      </c>
      <c r="U1688" s="98" t="str">
        <f>HYPERLINK(AA2 &amp; "/mug/sn_d32cd77c6630b77de47c0353c18d58e/rendering/18.obj", "8.73880672455")</f>
        <v>8.73880672455</v>
      </c>
      <c r="V1688" s="20" t="str">
        <f>HYPERLINK(AA2 &amp; "/mug/sn_d32cd77c6630b77de47c0353c18d58e/rendering/19.obj", "42.5276794434")</f>
        <v>42.5276794434</v>
      </c>
      <c r="W1688" s="12" t="s">
        <v>30</v>
      </c>
      <c r="X1688" s="13">
        <v>11.379049730300901</v>
      </c>
      <c r="Y1688" s="13">
        <v>8.0454321696926705</v>
      </c>
      <c r="Z1688" s="224">
        <v>0.7070390199867701</v>
      </c>
    </row>
    <row r="1689" spans="1:26" x14ac:dyDescent="0.2">
      <c r="A1689" s="1">
        <v>1687</v>
      </c>
      <c r="B1689" s="2" t="s">
        <v>370</v>
      </c>
      <c r="C1689" s="11" t="str">
        <f>HYPERLINK(AB2 &amp; "/mug/sn_d32cd77c6630b77de47c0353c18d58e/rendering/00.obj", "3.99950195313")</f>
        <v>3.99950195313</v>
      </c>
      <c r="D1689" s="30" t="str">
        <f>HYPERLINK(AB2 &amp; "/mug/sn_d32cd77c6630b77de47c0353c18d58e/rendering/01.obj", "5.18137390137")</f>
        <v>5.18137390137</v>
      </c>
      <c r="E1689" s="51" t="str">
        <f>HYPERLINK(AB2 &amp; "/mug/sn_d32cd77c6630b77de47c0353c18d58e/rendering/02.obj", "4.74103637695")</f>
        <v>4.74103637695</v>
      </c>
      <c r="F1689" s="83" t="str">
        <f>HYPERLINK(AB2 &amp; "/mug/sn_d32cd77c6630b77de47c0353c18d58e/rendering/03.obj", "5.93353027344")</f>
        <v>5.93353027344</v>
      </c>
      <c r="G1689" s="31" t="str">
        <f>HYPERLINK(AB2 &amp; "/mug/sn_d32cd77c6630b77de47c0353c18d58e/rendering/04.obj", "4.34307495117")</f>
        <v>4.34307495117</v>
      </c>
      <c r="H1689" s="30" t="str">
        <f>HYPERLINK(AB2 &amp; "/mug/sn_d32cd77c6630b77de47c0353c18d58e/rendering/05.obj", "5.13078369141")</f>
        <v>5.13078369141</v>
      </c>
      <c r="I1689" s="84" t="str">
        <f>HYPERLINK(AB2 &amp; "/mug/sn_d32cd77c6630b77de47c0353c18d58e/rendering/06.obj", "5.90653076172")</f>
        <v>5.90653076172</v>
      </c>
      <c r="J1689" s="70" t="str">
        <f>HYPERLINK(AB2 &amp; "/mug/sn_d32cd77c6630b77de47c0353c18d58e/rendering/07.obj", "5.81200805664")</f>
        <v>5.81200805664</v>
      </c>
      <c r="K1689" s="92" t="str">
        <f>HYPERLINK(AB2 &amp; "/mug/sn_d32cd77c6630b77de47c0353c18d58e/rendering/08.obj", "4.51019165039")</f>
        <v>4.51019165039</v>
      </c>
      <c r="L1689" s="73" t="str">
        <f>HYPERLINK(AB2 &amp; "/mug/sn_d32cd77c6630b77de47c0353c18d58e/rendering/09.obj", "4.9640423584")</f>
        <v>4.9640423584</v>
      </c>
      <c r="M1689" s="91" t="str">
        <f>HYPERLINK(AB2 &amp; "/mug/sn_d32cd77c6630b77de47c0353c18d58e/rendering/10.obj", "5.28219238281")</f>
        <v>5.28219238281</v>
      </c>
      <c r="N1689" s="90" t="str">
        <f>HYPERLINK(AB2 &amp; "/mug/sn_d32cd77c6630b77de47c0353c18d58e/rendering/11.obj", "4.65691894531")</f>
        <v>4.65691894531</v>
      </c>
      <c r="O1689" s="120" t="str">
        <f>HYPERLINK(AB2 &amp; "/mug/sn_d32cd77c6630b77de47c0353c18d58e/rendering/12.obj", "6.24198791504")</f>
        <v>6.24198791504</v>
      </c>
      <c r="P1689" s="35" t="str">
        <f>HYPERLINK(AB2 &amp; "/mug/sn_d32cd77c6630b77de47c0353c18d58e/rendering/13.obj", "4.84437744141")</f>
        <v>4.84437744141</v>
      </c>
      <c r="Q1689" s="13" t="str">
        <f>HYPERLINK(AB2 &amp; "/mug/sn_d32cd77c6630b77de47c0353c18d58e/rendering/14.obj", "5.16134033203")</f>
        <v>5.16134033203</v>
      </c>
      <c r="R1689" s="17" t="str">
        <f>HYPERLINK(AB2 &amp; "/mug/sn_d32cd77c6630b77de47c0353c18d58e/rendering/15.obj", "5.04398193359")</f>
        <v>5.04398193359</v>
      </c>
      <c r="S1689" s="55" t="str">
        <f>HYPERLINK(AB2 &amp; "/mug/sn_d32cd77c6630b77de47c0353c18d58e/rendering/16.obj", "4.15060241699")</f>
        <v>4.15060241699</v>
      </c>
      <c r="T1689" s="30" t="str">
        <f>HYPERLINK(AB2 &amp; "/mug/sn_d32cd77c6630b77de47c0353c18d58e/rendering/17.obj", "5.17970947266")</f>
        <v>5.17970947266</v>
      </c>
      <c r="U1689" s="33" t="str">
        <f>HYPERLINK(AB2 &amp; "/mug/sn_d32cd77c6630b77de47c0353c18d58e/rendering/18.obj", "4.59377258301")</f>
        <v>4.59377258301</v>
      </c>
      <c r="V1689" s="162" t="str">
        <f>HYPERLINK(AB2 &amp; "/mug/sn_d32cd77c6630b77de47c0353c18d58e/rendering/19.obj", "7.33375976563")</f>
        <v>7.33375976563</v>
      </c>
      <c r="W1689" s="12" t="s">
        <v>31</v>
      </c>
      <c r="X1689" s="13">
        <v>5.1505358581542966</v>
      </c>
      <c r="Y1689" s="13">
        <v>0.76965933292732069</v>
      </c>
      <c r="Z1689" s="80">
        <v>0.14943286565198849</v>
      </c>
    </row>
    <row r="1690" spans="1:26" x14ac:dyDescent="0.2">
      <c r="A1690" s="1">
        <v>1688</v>
      </c>
      <c r="B1690" s="2" t="s">
        <v>370</v>
      </c>
      <c r="C1690" s="31" t="str">
        <f>HYPERLINK(AB2 &amp; "/mug/sn_d32cd77c6630b77de47c0353c18d58e/rendering/00.obj", "6.19193267822")</f>
        <v>6.19193267822</v>
      </c>
      <c r="D1690" s="6" t="str">
        <f>HYPERLINK(AB2 &amp; "/mug/sn_d32cd77c6630b77de47c0353c18d58e/rendering/01.obj", "6.9959859848")</f>
        <v>6.9959859848</v>
      </c>
      <c r="E1690" s="63" t="str">
        <f>HYPERLINK(AB2 &amp; "/mug/sn_d32cd77c6630b77de47c0353c18d58e/rendering/02.obj", "6.44368219376")</f>
        <v>6.44368219376</v>
      </c>
      <c r="F1690" s="24" t="str">
        <f>HYPERLINK(AB2 &amp; "/mug/sn_d32cd77c6630b77de47c0353c18d58e/rendering/03.obj", "8.57783031464")</f>
        <v>8.57783031464</v>
      </c>
      <c r="G1690" s="34" t="str">
        <f>HYPERLINK(AB2 &amp; "/mug/sn_d32cd77c6630b77de47c0353c18d58e/rendering/04.obj", "6.98039627075")</f>
        <v>6.98039627075</v>
      </c>
      <c r="H1690" s="68" t="str">
        <f>HYPERLINK(AB2 &amp; "/mug/sn_d32cd77c6630b77de47c0353c18d58e/rendering/05.obj", "7.02907800674")</f>
        <v>7.02907800674</v>
      </c>
      <c r="I1690" s="26" t="str">
        <f>HYPERLINK(AB2 &amp; "/mug/sn_d32cd77c6630b77de47c0353c18d58e/rendering/06.obj", "7.80149745941")</f>
        <v>7.80149745941</v>
      </c>
      <c r="J1690" s="35" t="str">
        <f>HYPERLINK(AB2 &amp; "/mug/sn_d32cd77c6630b77de47c0353c18d58e/rendering/07.obj", "7.77067232132")</f>
        <v>7.77067232132</v>
      </c>
      <c r="K1690" s="46" t="str">
        <f>HYPERLINK(AB2 &amp; "/mug/sn_d32cd77c6630b77de47c0353c18d58e/rendering/08.obj", "7.47058296204")</f>
        <v>7.47058296204</v>
      </c>
      <c r="L1690" s="68" t="str">
        <f>HYPERLINK(AB2 &amp; "/mug/sn_d32cd77c6630b77de47c0353c18d58e/rendering/09.obj", "7.01888084412")</f>
        <v>7.01888084412</v>
      </c>
      <c r="M1690" s="74" t="str">
        <f>HYPERLINK(AB2 &amp; "/mug/sn_d32cd77c6630b77de47c0353c18d58e/rendering/10.obj", "7.23182058334")</f>
        <v>7.23182058334</v>
      </c>
      <c r="N1690" s="25" t="str">
        <f>HYPERLINK(AB2 &amp; "/mug/sn_d32cd77c6630b77de47c0353c18d58e/rendering/11.obj", "7.26390552521")</f>
        <v>7.26390552521</v>
      </c>
      <c r="O1690" s="40" t="str">
        <f>HYPERLINK(AB2 &amp; "/mug/sn_d32cd77c6630b77de47c0353c18d58e/rendering/12.obj", "8.59383487701")</f>
        <v>8.59383487701</v>
      </c>
      <c r="P1690" s="69" t="str">
        <f>HYPERLINK(AB2 &amp; "/mug/sn_d32cd77c6630b77de47c0353c18d58e/rendering/13.obj", "7.10854530334")</f>
        <v>7.10854530334</v>
      </c>
      <c r="Q1690" s="78" t="str">
        <f>HYPERLINK(AB2 &amp; "/mug/sn_d32cd77c6630b77de47c0353c18d58e/rendering/14.obj", "6.8892288208")</f>
        <v>6.8892288208</v>
      </c>
      <c r="R1690" s="73" t="str">
        <f>HYPERLINK(AB2 &amp; "/mug/sn_d32cd77c6630b77de47c0353c18d58e/rendering/15.obj", "7.06644582748")</f>
        <v>7.06644582748</v>
      </c>
      <c r="S1690" s="106" t="str">
        <f>HYPERLINK(AB2 &amp; "/mug/sn_d32cd77c6630b77de47c0353c18d58e/rendering/16.obj", "6.50758266449")</f>
        <v>6.50758266449</v>
      </c>
      <c r="T1690" s="69" t="str">
        <f>HYPERLINK(AB2 &amp; "/mug/sn_d32cd77c6630b77de47c0353c18d58e/rendering/17.obj", "7.12971019745")</f>
        <v>7.12971019745</v>
      </c>
      <c r="U1690" s="28" t="str">
        <f>HYPERLINK(AB2 &amp; "/mug/sn_d32cd77c6630b77de47c0353c18d58e/rendering/18.obj", "6.51199483871")</f>
        <v>6.51199483871</v>
      </c>
      <c r="V1690" s="198" t="str">
        <f>HYPERLINK(AB2 &amp; "/mug/sn_d32cd77c6630b77de47c0353c18d58e/rendering/19.obj", "10.1865558624")</f>
        <v>10.1865558624</v>
      </c>
      <c r="W1690" s="12" t="s">
        <v>32</v>
      </c>
      <c r="X1690" s="13">
        <v>7.3385081768035887</v>
      </c>
      <c r="Y1690" s="13">
        <v>0.89340334191922222</v>
      </c>
      <c r="Z1690" s="63">
        <v>0.12174182005318129</v>
      </c>
    </row>
    <row r="1691" spans="1:26" x14ac:dyDescent="0.2">
      <c r="A1691" s="1">
        <v>1689</v>
      </c>
      <c r="B1691" s="2" t="s">
        <v>370</v>
      </c>
      <c r="C1691" s="13" t="str">
        <f>HYPERLINK(AC2 &amp; "/mug/sn_d32cd77c6630b77de47c0353c18d58e/rendering/00.xyz", "0.0")</f>
        <v>0.0</v>
      </c>
      <c r="D1691" s="13" t="str">
        <f>HYPERLINK(AC2 &amp; "/mug/sn_d32cd77c6630b77de47c0353c18d58e/rendering/01.xyz", "0.0")</f>
        <v>0.0</v>
      </c>
      <c r="E1691" s="13" t="str">
        <f>HYPERLINK(AC2 &amp; "/mug/sn_d32cd77c6630b77de47c0353c18d58e/rendering/02.xyz", "0.0")</f>
        <v>0.0</v>
      </c>
      <c r="F1691" s="13" t="str">
        <f>HYPERLINK(AC2 &amp; "/mug/sn_d32cd77c6630b77de47c0353c18d58e/rendering/03.xyz", "0.0")</f>
        <v>0.0</v>
      </c>
      <c r="G1691" s="13" t="str">
        <f>HYPERLINK(AC2 &amp; "/mug/sn_d32cd77c6630b77de47c0353c18d58e/rendering/04.xyz", "0.0")</f>
        <v>0.0</v>
      </c>
      <c r="H1691" s="13" t="str">
        <f>HYPERLINK(AC2 &amp; "/mug/sn_d32cd77c6630b77de47c0353c18d58e/rendering/05.xyz", "0.0")</f>
        <v>0.0</v>
      </c>
      <c r="I1691" s="13" t="str">
        <f>HYPERLINK(AC2 &amp; "/mug/sn_d32cd77c6630b77de47c0353c18d58e/rendering/06.xyz", "0.0")</f>
        <v>0.0</v>
      </c>
      <c r="J1691" s="13" t="str">
        <f>HYPERLINK(AC2 &amp; "/mug/sn_d32cd77c6630b77de47c0353c18d58e/rendering/07.xyz", "0.0")</f>
        <v>0.0</v>
      </c>
      <c r="K1691" s="13" t="str">
        <f>HYPERLINK(AC2 &amp; "/mug/sn_d32cd77c6630b77de47c0353c18d58e/rendering/08.xyz", "0.0")</f>
        <v>0.0</v>
      </c>
      <c r="L1691" s="13" t="str">
        <f>HYPERLINK(AC2 &amp; "/mug/sn_d32cd77c6630b77de47c0353c18d58e/rendering/09.xyz", "0.0")</f>
        <v>0.0</v>
      </c>
      <c r="M1691" s="13" t="str">
        <f>HYPERLINK(AC2 &amp; "/mug/sn_d32cd77c6630b77de47c0353c18d58e/rendering/10.xyz", "0.0")</f>
        <v>0.0</v>
      </c>
      <c r="N1691" s="13" t="str">
        <f>HYPERLINK(AC2 &amp; "/mug/sn_d32cd77c6630b77de47c0353c18d58e/rendering/11.xyz", "0.0")</f>
        <v>0.0</v>
      </c>
      <c r="O1691" s="13" t="str">
        <f>HYPERLINK(AC2 &amp; "/mug/sn_d32cd77c6630b77de47c0353c18d58e/rendering/12.xyz", "0.0")</f>
        <v>0.0</v>
      </c>
      <c r="P1691" s="13" t="str">
        <f>HYPERLINK(AC2 &amp; "/mug/sn_d32cd77c6630b77de47c0353c18d58e/rendering/13.xyz", "0.0")</f>
        <v>0.0</v>
      </c>
      <c r="Q1691" s="13" t="str">
        <f>HYPERLINK(AC2 &amp; "/mug/sn_d32cd77c6630b77de47c0353c18d58e/rendering/14.xyz", "0.0")</f>
        <v>0.0</v>
      </c>
      <c r="R1691" s="13" t="str">
        <f>HYPERLINK(AC2 &amp; "/mug/sn_d32cd77c6630b77de47c0353c18d58e/rendering/15.xyz", "0.0")</f>
        <v>0.0</v>
      </c>
      <c r="S1691" s="13" t="str">
        <f>HYPERLINK(AC2 &amp; "/mug/sn_d32cd77c6630b77de47c0353c18d58e/rendering/16.xyz", "0.0")</f>
        <v>0.0</v>
      </c>
      <c r="T1691" s="13" t="str">
        <f>HYPERLINK(AC2 &amp; "/mug/sn_d32cd77c6630b77de47c0353c18d58e/rendering/17.xyz", "0.0")</f>
        <v>0.0</v>
      </c>
      <c r="U1691" s="13" t="str">
        <f>HYPERLINK(AC2 &amp; "/mug/sn_d32cd77c6630b77de47c0353c18d58e/rendering/18.xyz", "0.0")</f>
        <v>0.0</v>
      </c>
      <c r="V1691" s="13" t="str">
        <f>HYPERLINK(AC2 &amp; "/mug/sn_d32cd77c6630b77de47c0353c18d58e/rendering/19.xyz", "0.0")</f>
        <v>0.0</v>
      </c>
      <c r="W1691" s="12" t="s">
        <v>33</v>
      </c>
      <c r="X1691" s="13">
        <v>0</v>
      </c>
      <c r="Y1691" s="13">
        <v>0</v>
      </c>
      <c r="Z1691" s="13">
        <v>0</v>
      </c>
    </row>
    <row r="1692" spans="1:26" x14ac:dyDescent="0.2">
      <c r="A1692" s="1">
        <v>1690</v>
      </c>
      <c r="B1692" s="2" t="s">
        <v>371</v>
      </c>
      <c r="C1692" s="138" t="str">
        <f>HYPERLINK(AA2 &amp; "/mug/sn_d38295b8d83e8cdec712af445786fe/rendering/00.obj", "2.53396148682")</f>
        <v>2.53396148682</v>
      </c>
      <c r="D1692" s="55" t="str">
        <f>HYPERLINK(AA2 &amp; "/mug/sn_d38295b8d83e8cdec712af445786fe/rendering/01.obj", "3.08166015625")</f>
        <v>3.08166015625</v>
      </c>
      <c r="E1692" s="31" t="str">
        <f>HYPERLINK(AA2 &amp; "/mug/sn_d38295b8d83e8cdec712af445786fe/rendering/02.obj", "3.22845397949")</f>
        <v>3.22845397949</v>
      </c>
      <c r="F1692" s="14" t="str">
        <f>HYPERLINK(AA2 &amp; "/mug/sn_d38295b8d83e8cdec712af445786fe/rendering/03.obj", "2.71489440918")</f>
        <v>2.71489440918</v>
      </c>
      <c r="G1692" s="172" t="str">
        <f>HYPERLINK(AA2 &amp; "/mug/sn_d38295b8d83e8cdec712af445786fe/rendering/04.obj", "5.29395935059")</f>
        <v>5.29395935059</v>
      </c>
      <c r="H1692" s="108" t="str">
        <f>HYPERLINK(AA2 &amp; "/mug/sn_d38295b8d83e8cdec712af445786fe/rendering/05.obj", "2.87897338867")</f>
        <v>2.87897338867</v>
      </c>
      <c r="I1692" s="168" t="str">
        <f>HYPERLINK(AA2 &amp; "/mug/sn_d38295b8d83e8cdec712af445786fe/rendering/06.obj", "2.58679138184")</f>
        <v>2.58679138184</v>
      </c>
      <c r="J1692" s="66" t="str">
        <f>HYPERLINK(AA2 &amp; "/mug/sn_d38295b8d83e8cdec712af445786fe/rendering/07.obj", "3.20459716797")</f>
        <v>3.20459716797</v>
      </c>
      <c r="K1692" s="143" t="str">
        <f>HYPERLINK(AA2 &amp; "/mug/sn_d38295b8d83e8cdec712af445786fe/rendering/08.obj", "5.62628051758")</f>
        <v>5.62628051758</v>
      </c>
      <c r="L1692" s="93" t="str">
        <f>HYPERLINK(AA2 &amp; "/mug/sn_d38295b8d83e8cdec712af445786fe/rendering/09.obj", "3.29165924072")</f>
        <v>3.29165924072</v>
      </c>
      <c r="M1692" s="64" t="str">
        <f>HYPERLINK(AA2 &amp; "/mug/sn_d38295b8d83e8cdec712af445786fe/rendering/10.obj", "3.19378845215")</f>
        <v>3.19378845215</v>
      </c>
      <c r="N1692" s="138" t="str">
        <f>HYPERLINK(AA2 &amp; "/mug/sn_d38295b8d83e8cdec712af445786fe/rendering/11.obj", "2.53838775635")</f>
        <v>2.53838775635</v>
      </c>
      <c r="O1692" s="33" t="str">
        <f>HYPERLINK(AA2 &amp; "/mug/sn_d38295b8d83e8cdec712af445786fe/rendering/12.obj", "4.23948455811")</f>
        <v>4.23948455811</v>
      </c>
      <c r="P1692" s="170" t="str">
        <f>HYPERLINK(AA2 &amp; "/mug/sn_d38295b8d83e8cdec712af445786fe/rendering/13.obj", "2.85655517578")</f>
        <v>2.85655517578</v>
      </c>
      <c r="Q1692" s="113" t="str">
        <f>HYPERLINK(AA2 &amp; "/mug/sn_d38295b8d83e8cdec712af445786fe/rendering/14.obj", "2.77163146973")</f>
        <v>2.77163146973</v>
      </c>
      <c r="R1692" s="159" t="str">
        <f>HYPERLINK(AA2 &amp; "/mug/sn_d38295b8d83e8cdec712af445786fe/rendering/15.obj", "5.61578735352")</f>
        <v>5.61578735352</v>
      </c>
      <c r="S1692" s="27" t="str">
        <f>HYPERLINK(AA2 &amp; "/mug/sn_d38295b8d83e8cdec712af445786fe/rendering/16.obj", "3.55676086426")</f>
        <v>3.55676086426</v>
      </c>
      <c r="T1692" s="233" t="str">
        <f>HYPERLINK(AA2 &amp; "/mug/sn_d38295b8d83e8cdec712af445786fe/rendering/17.obj", "6.49907958984")</f>
        <v>6.49907958984</v>
      </c>
      <c r="U1692" s="20" t="str">
        <f>HYPERLINK(AA2 &amp; "/mug/sn_d38295b8d83e8cdec712af445786fe/rendering/18.obj", "7.84053588867")</f>
        <v>7.84053588867</v>
      </c>
      <c r="V1692" s="108" t="str">
        <f>HYPERLINK(AA2 &amp; "/mug/sn_d38295b8d83e8cdec712af445786fe/rendering/19.obj", "2.88148803711")</f>
        <v>2.88148803711</v>
      </c>
      <c r="W1692" s="12" t="s">
        <v>29</v>
      </c>
      <c r="X1692" s="13">
        <v>3.8217365112304691</v>
      </c>
      <c r="Y1692" s="13">
        <v>1.4836549276013651</v>
      </c>
      <c r="Z1692" s="198">
        <v>0.38821486600175847</v>
      </c>
    </row>
    <row r="1693" spans="1:26" x14ac:dyDescent="0.2">
      <c r="A1693" s="1">
        <v>1691</v>
      </c>
      <c r="B1693" s="2" t="s">
        <v>371</v>
      </c>
      <c r="C1693" s="103" t="str">
        <f>HYPERLINK(AA2 &amp; "/mug/sn_d38295b8d83e8cdec712af445786fe/rendering/00.obj", "4.82102251053")</f>
        <v>4.82102251053</v>
      </c>
      <c r="D1693" s="98" t="str">
        <f>HYPERLINK(AA2 &amp; "/mug/sn_d38295b8d83e8cdec712af445786fe/rendering/01.obj", "5.48679256439")</f>
        <v>5.48679256439</v>
      </c>
      <c r="E1693" s="93" t="str">
        <f>HYPERLINK(AA2 &amp; "/mug/sn_d38295b8d83e8cdec712af445786fe/rendering/02.obj", "6.13134908676")</f>
        <v>6.13134908676</v>
      </c>
      <c r="F1693" s="99" t="str">
        <f>HYPERLINK(AA2 &amp; "/mug/sn_d38295b8d83e8cdec712af445786fe/rendering/03.obj", "5.20263719559")</f>
        <v>5.20263719559</v>
      </c>
      <c r="G1693" s="118" t="str">
        <f>HYPERLINK(AA2 &amp; "/mug/sn_d38295b8d83e8cdec712af445786fe/rendering/04.obj", "9.21137619019")</f>
        <v>9.21137619019</v>
      </c>
      <c r="H1693" s="44" t="str">
        <f>HYPERLINK(AA2 &amp; "/mug/sn_d38295b8d83e8cdec712af445786fe/rendering/05.obj", "5.71944665909")</f>
        <v>5.71944665909</v>
      </c>
      <c r="I1693" s="113" t="str">
        <f>HYPERLINK(AA2 &amp; "/mug/sn_d38295b8d83e8cdec712af445786fe/rendering/06.obj", "5.17458724976")</f>
        <v>5.17458724976</v>
      </c>
      <c r="J1693" s="117" t="str">
        <f>HYPERLINK(AA2 &amp; "/mug/sn_d38295b8d83e8cdec712af445786fe/rendering/07.obj", "5.86817646027")</f>
        <v>5.86817646027</v>
      </c>
      <c r="K1693" s="89" t="str">
        <f>HYPERLINK(AA2 &amp; "/mug/sn_d38295b8d83e8cdec712af445786fe/rendering/08.obj", "8.96329212189")</f>
        <v>8.96329212189</v>
      </c>
      <c r="L1693" s="82" t="str">
        <f>HYPERLINK(AA2 &amp; "/mug/sn_d38295b8d83e8cdec712af445786fe/rendering/09.obj", "5.66660404205")</f>
        <v>5.66660404205</v>
      </c>
      <c r="M1693" s="31" t="str">
        <f>HYPERLINK(AA2 &amp; "/mug/sn_d38295b8d83e8cdec712af445786fe/rendering/10.obj", "6.01938962936")</f>
        <v>6.01938962936</v>
      </c>
      <c r="N1693" s="57" t="str">
        <f>HYPERLINK(AA2 &amp; "/mug/sn_d38295b8d83e8cdec712af445786fe/rendering/11.obj", "4.88707637787")</f>
        <v>4.88707637787</v>
      </c>
      <c r="O1693" s="69" t="str">
        <f>HYPERLINK(AA2 &amp; "/mug/sn_d38295b8d83e8cdec712af445786fe/rendering/12.obj", "6.92380237579")</f>
        <v>6.92380237579</v>
      </c>
      <c r="P1693" s="170" t="str">
        <f>HYPERLINK(AA2 &amp; "/mug/sn_d38295b8d83e8cdec712af445786fe/rendering/13.obj", "5.33753204346")</f>
        <v>5.33753204346</v>
      </c>
      <c r="Q1693" s="99" t="str">
        <f>HYPERLINK(AA2 &amp; "/mug/sn_d38295b8d83e8cdec712af445786fe/rendering/14.obj", "5.19180297852")</f>
        <v>5.19180297852</v>
      </c>
      <c r="R1693" s="16" t="str">
        <f>HYPERLINK(AA2 &amp; "/mug/sn_d38295b8d83e8cdec712af445786fe/rendering/15.obj", "11.0013408661")</f>
        <v>11.0013408661</v>
      </c>
      <c r="S1693" s="60" t="str">
        <f>HYPERLINK(AA2 &amp; "/mug/sn_d38295b8d83e8cdec712af445786fe/rendering/16.obj", "6.74957799911")</f>
        <v>6.74957799911</v>
      </c>
      <c r="T1693" s="20" t="str">
        <f>HYPERLINK(AA2 &amp; "/mug/sn_d38295b8d83e8cdec712af445786fe/rendering/17.obj", "13.0539579391")</f>
        <v>13.0539579391</v>
      </c>
      <c r="U1693" s="20" t="str">
        <f>HYPERLINK(AA2 &amp; "/mug/sn_d38295b8d83e8cdec712af445786fe/rendering/18.obj", "15.5961408615")</f>
        <v>15.5961408615</v>
      </c>
      <c r="V1693" s="75" t="str">
        <f>HYPERLINK(AA2 &amp; "/mug/sn_d38295b8d83e8cdec712af445786fe/rendering/19.obj", "5.55378770828")</f>
        <v>5.55378770828</v>
      </c>
      <c r="W1693" s="12" t="s">
        <v>30</v>
      </c>
      <c r="X1693" s="13">
        <v>7.1279846429824829</v>
      </c>
      <c r="Y1693" s="13">
        <v>2.8952121142700129</v>
      </c>
      <c r="Z1693" s="152">
        <v>0.4061754141292036</v>
      </c>
    </row>
    <row r="1694" spans="1:26" x14ac:dyDescent="0.2">
      <c r="A1694" s="1">
        <v>1692</v>
      </c>
      <c r="B1694" s="2" t="s">
        <v>371</v>
      </c>
      <c r="C1694" s="26" t="str">
        <f>HYPERLINK(AB2 &amp; "/mug/sn_d38295b8d83e8cdec712af445786fe/rendering/00.obj", "3.0569619751")</f>
        <v>3.0569619751</v>
      </c>
      <c r="D1694" s="6" t="str">
        <f>HYPERLINK(AB2 &amp; "/mug/sn_d38295b8d83e8cdec712af445786fe/rendering/01.obj", "3.11917053223")</f>
        <v>3.11917053223</v>
      </c>
      <c r="E1694" s="73" t="str">
        <f>HYPERLINK(AB2 &amp; "/mug/sn_d38295b8d83e8cdec712af445786fe/rendering/02.obj", "3.15508850098")</f>
        <v>3.15508850098</v>
      </c>
      <c r="F1694" s="172" t="str">
        <f>HYPERLINK(AB2 &amp; "/mug/sn_d38295b8d83e8cdec712af445786fe/rendering/03.obj", "4.52322998047")</f>
        <v>4.52322998047</v>
      </c>
      <c r="G1694" s="23" t="str">
        <f>HYPERLINK(AB2 &amp; "/mug/sn_d38295b8d83e8cdec712af445786fe/rendering/04.obj", "3.39583129883")</f>
        <v>3.39583129883</v>
      </c>
      <c r="H1694" s="60" t="str">
        <f>HYPERLINK(AB2 &amp; "/mug/sn_d38295b8d83e8cdec712af445786fe/rendering/05.obj", "3.09715454102")</f>
        <v>3.09715454102</v>
      </c>
      <c r="I1694" s="68" t="str">
        <f>HYPERLINK(AB2 &amp; "/mug/sn_d38295b8d83e8cdec712af445786fe/rendering/06.obj", "3.13379882813")</f>
        <v>3.13379882813</v>
      </c>
      <c r="J1694" s="69" t="str">
        <f>HYPERLINK(AB2 &amp; "/mug/sn_d38295b8d83e8cdec712af445786fe/rendering/07.obj", "3.36421295166")</f>
        <v>3.36421295166</v>
      </c>
      <c r="K1694" s="73" t="str">
        <f>HYPERLINK(AB2 &amp; "/mug/sn_d38295b8d83e8cdec712af445786fe/rendering/08.obj", "3.1525793457")</f>
        <v>3.1525793457</v>
      </c>
      <c r="L1694" s="35" t="str">
        <f>HYPERLINK(AB2 &amp; "/mug/sn_d38295b8d83e8cdec712af445786fe/rendering/09.obj", "3.08082458496")</f>
        <v>3.08082458496</v>
      </c>
      <c r="M1694" s="41" t="str">
        <f>HYPERLINK(AB2 &amp; "/mug/sn_d38295b8d83e8cdec712af445786fe/rendering/10.obj", "3.04991882324")</f>
        <v>3.04991882324</v>
      </c>
      <c r="N1694" s="26" t="str">
        <f>HYPERLINK(AB2 &amp; "/mug/sn_d38295b8d83e8cdec712af445786fe/rendering/11.obj", "3.06048431396")</f>
        <v>3.06048431396</v>
      </c>
      <c r="O1694" s="35" t="str">
        <f>HYPERLINK(AB2 &amp; "/mug/sn_d38295b8d83e8cdec712af445786fe/rendering/12.obj", "3.08119628906")</f>
        <v>3.08119628906</v>
      </c>
      <c r="P1694" s="13" t="str">
        <f>HYPERLINK(AB2 &amp; "/mug/sn_d38295b8d83e8cdec712af445786fe/rendering/13.obj", "3.27365539551")</f>
        <v>3.27365539551</v>
      </c>
      <c r="Q1694" s="78" t="str">
        <f>HYPERLINK(AB2 &amp; "/mug/sn_d38295b8d83e8cdec712af445786fe/rendering/14.obj", "3.0684552002")</f>
        <v>3.0684552002</v>
      </c>
      <c r="R1694" s="39" t="str">
        <f>HYPERLINK(AB2 &amp; "/mug/sn_d38295b8d83e8cdec712af445786fe/rendering/15.obj", "3.54634460449")</f>
        <v>3.54634460449</v>
      </c>
      <c r="S1694" s="72" t="str">
        <f>HYPERLINK(AB2 &amp; "/mug/sn_d38295b8d83e8cdec712af445786fe/rendering/16.obj", "3.37379089355")</f>
        <v>3.37379089355</v>
      </c>
      <c r="T1694" s="94" t="str">
        <f>HYPERLINK(AB2 &amp; "/mug/sn_d38295b8d83e8cdec712af445786fe/rendering/17.obj", "3.03196228027")</f>
        <v>3.03196228027</v>
      </c>
      <c r="U1694" s="73" t="str">
        <f>HYPERLINK(AB2 &amp; "/mug/sn_d38295b8d83e8cdec712af445786fe/rendering/18.obj", "3.38333679199")</f>
        <v>3.38333679199</v>
      </c>
      <c r="V1694" s="34" t="str">
        <f>HYPERLINK(AB2 &amp; "/mug/sn_d38295b8d83e8cdec712af445786fe/rendering/19.obj", "3.423019104")</f>
        <v>3.423019104</v>
      </c>
      <c r="W1694" s="12" t="s">
        <v>31</v>
      </c>
      <c r="X1694" s="13">
        <v>3.2685508117675788</v>
      </c>
      <c r="Y1694" s="13">
        <v>0.32582722376119688</v>
      </c>
      <c r="Z1694" s="110">
        <v>9.9685531149810977E-2</v>
      </c>
    </row>
    <row r="1695" spans="1:26" x14ac:dyDescent="0.2">
      <c r="A1695" s="1">
        <v>1693</v>
      </c>
      <c r="B1695" s="2" t="s">
        <v>371</v>
      </c>
      <c r="C1695" s="6" t="str">
        <f>HYPERLINK(AB2 &amp; "/mug/sn_d38295b8d83e8cdec712af445786fe/rendering/00.obj", "4.98071670532")</f>
        <v>4.98071670532</v>
      </c>
      <c r="D1695" s="48" t="str">
        <f>HYPERLINK(AB2 &amp; "/mug/sn_d38295b8d83e8cdec712af445786fe/rendering/01.obj", "5.10044908524")</f>
        <v>5.10044908524</v>
      </c>
      <c r="E1695" s="26" t="str">
        <f>HYPERLINK(AB2 &amp; "/mug/sn_d38295b8d83e8cdec712af445786fe/rendering/02.obj", "4.88935375214")</f>
        <v>4.88935375214</v>
      </c>
      <c r="F1695" s="90" t="str">
        <f>HYPERLINK(AB2 &amp; "/mug/sn_d38295b8d83e8cdec712af445786fe/rendering/03.obj", "5.71252584457")</f>
        <v>5.71252584457</v>
      </c>
      <c r="G1695" s="83" t="str">
        <f>HYPERLINK(AB2 &amp; "/mug/sn_d38295b8d83e8cdec712af445786fe/rendering/04.obj", "6.01612567902")</f>
        <v>6.01612567902</v>
      </c>
      <c r="H1695" s="47" t="str">
        <f>HYPERLINK(AB2 &amp; "/mug/sn_d38295b8d83e8cdec712af445786fe/rendering/05.obj", "5.2539768219")</f>
        <v>5.2539768219</v>
      </c>
      <c r="I1695" s="78" t="str">
        <f>HYPERLINK(AB2 &amp; "/mug/sn_d38295b8d83e8cdec712af445786fe/rendering/06.obj", "4.89257526398")</f>
        <v>4.89257526398</v>
      </c>
      <c r="J1695" s="72" t="str">
        <f>HYPERLINK(AB2 &amp; "/mug/sn_d38295b8d83e8cdec712af445786fe/rendering/07.obj", "5.3886590004")</f>
        <v>5.3886590004</v>
      </c>
      <c r="K1695" s="6" t="str">
        <f>HYPERLINK(AB2 &amp; "/mug/sn_d38295b8d83e8cdec712af445786fe/rendering/08.obj", "4.98547077179")</f>
        <v>4.98547077179</v>
      </c>
      <c r="L1695" s="27" t="str">
        <f>HYPERLINK(AB2 &amp; "/mug/sn_d38295b8d83e8cdec712af445786fe/rendering/09.obj", "4.84981155396")</f>
        <v>4.84981155396</v>
      </c>
      <c r="M1695" s="17" t="str">
        <f>HYPERLINK(AB2 &amp; "/mug/sn_d38295b8d83e8cdec712af445786fe/rendering/10.obj", "5.11010885239")</f>
        <v>5.11010885239</v>
      </c>
      <c r="N1695" s="17" t="str">
        <f>HYPERLINK(AB2 &amp; "/mug/sn_d38295b8d83e8cdec712af445786fe/rendering/11.obj", "5.10591506958")</f>
        <v>5.10591506958</v>
      </c>
      <c r="O1695" s="73" t="str">
        <f>HYPERLINK(AB2 &amp; "/mug/sn_d38295b8d83e8cdec712af445786fe/rendering/12.obj", "5.02690792084")</f>
        <v>5.02690792084</v>
      </c>
      <c r="P1695" s="91" t="str">
        <f>HYPERLINK(AB2 &amp; "/mug/sn_d38295b8d83e8cdec712af445786fe/rendering/13.obj", "5.36366558075")</f>
        <v>5.36366558075</v>
      </c>
      <c r="Q1695" s="74" t="str">
        <f>HYPERLINK(AB2 &amp; "/mug/sn_d38295b8d83e8cdec712af445786fe/rendering/14.obj", "5.14874172211")</f>
        <v>5.14874172211</v>
      </c>
      <c r="R1695" s="108" t="str">
        <f>HYPERLINK(AB2 &amp; "/mug/sn_d38295b8d83e8cdec712af445786fe/rendering/15.obj", "6.50080394745")</f>
        <v>6.50080394745</v>
      </c>
      <c r="S1695" s="69" t="str">
        <f>HYPERLINK(AB2 &amp; "/mug/sn_d38295b8d83e8cdec712af445786fe/rendering/16.obj", "5.06172418594")</f>
        <v>5.06172418594</v>
      </c>
      <c r="T1695" s="34" t="str">
        <f>HYPERLINK(AB2 &amp; "/mug/sn_d38295b8d83e8cdec712af445786fe/rendering/17.obj", "4.96311235428")</f>
        <v>4.96311235428</v>
      </c>
      <c r="U1695" s="6" t="str">
        <f>HYPERLINK(AB2 &amp; "/mug/sn_d38295b8d83e8cdec712af445786fe/rendering/18.obj", "4.98487329483")</f>
        <v>4.98487329483</v>
      </c>
      <c r="V1695" s="23" t="str">
        <f>HYPERLINK(AB2 &amp; "/mug/sn_d38295b8d83e8cdec712af445786fe/rendering/19.obj", "5.01529884338")</f>
        <v>5.01529884338</v>
      </c>
      <c r="W1695" s="12" t="s">
        <v>32</v>
      </c>
      <c r="X1695" s="13">
        <v>5.2175408124923708</v>
      </c>
      <c r="Y1695" s="13">
        <v>0.4063733075351208</v>
      </c>
      <c r="Z1695" s="5">
        <v>7.7885985397975269E-2</v>
      </c>
    </row>
    <row r="1696" spans="1:26" x14ac:dyDescent="0.2">
      <c r="A1696" s="1">
        <v>1694</v>
      </c>
      <c r="B1696" s="2" t="s">
        <v>371</v>
      </c>
      <c r="C1696" s="13" t="str">
        <f>HYPERLINK(AC2 &amp; "/mug/sn_d38295b8d83e8cdec712af445786fe/rendering/00.xyz", "0.0")</f>
        <v>0.0</v>
      </c>
      <c r="D1696" s="13" t="str">
        <f>HYPERLINK(AC2 &amp; "/mug/sn_d38295b8d83e8cdec712af445786fe/rendering/01.xyz", "0.0")</f>
        <v>0.0</v>
      </c>
      <c r="E1696" s="13" t="str">
        <f>HYPERLINK(AC2 &amp; "/mug/sn_d38295b8d83e8cdec712af445786fe/rendering/02.xyz", "0.0")</f>
        <v>0.0</v>
      </c>
      <c r="F1696" s="13" t="str">
        <f>HYPERLINK(AC2 &amp; "/mug/sn_d38295b8d83e8cdec712af445786fe/rendering/03.xyz", "0.0")</f>
        <v>0.0</v>
      </c>
      <c r="G1696" s="13" t="str">
        <f>HYPERLINK(AC2 &amp; "/mug/sn_d38295b8d83e8cdec712af445786fe/rendering/04.xyz", "0.0")</f>
        <v>0.0</v>
      </c>
      <c r="H1696" s="13" t="str">
        <f>HYPERLINK(AC2 &amp; "/mug/sn_d38295b8d83e8cdec712af445786fe/rendering/05.xyz", "0.0")</f>
        <v>0.0</v>
      </c>
      <c r="I1696" s="13" t="str">
        <f>HYPERLINK(AC2 &amp; "/mug/sn_d38295b8d83e8cdec712af445786fe/rendering/06.xyz", "0.0")</f>
        <v>0.0</v>
      </c>
      <c r="J1696" s="13" t="str">
        <f>HYPERLINK(AC2 &amp; "/mug/sn_d38295b8d83e8cdec712af445786fe/rendering/07.xyz", "0.0")</f>
        <v>0.0</v>
      </c>
      <c r="K1696" s="13" t="str">
        <f>HYPERLINK(AC2 &amp; "/mug/sn_d38295b8d83e8cdec712af445786fe/rendering/08.xyz", "0.0")</f>
        <v>0.0</v>
      </c>
      <c r="L1696" s="13" t="str">
        <f>HYPERLINK(AC2 &amp; "/mug/sn_d38295b8d83e8cdec712af445786fe/rendering/09.xyz", "0.0")</f>
        <v>0.0</v>
      </c>
      <c r="M1696" s="13" t="str">
        <f>HYPERLINK(AC2 &amp; "/mug/sn_d38295b8d83e8cdec712af445786fe/rendering/10.xyz", "0.0")</f>
        <v>0.0</v>
      </c>
      <c r="N1696" s="13" t="str">
        <f>HYPERLINK(AC2 &amp; "/mug/sn_d38295b8d83e8cdec712af445786fe/rendering/11.xyz", "0.0")</f>
        <v>0.0</v>
      </c>
      <c r="O1696" s="13" t="str">
        <f>HYPERLINK(AC2 &amp; "/mug/sn_d38295b8d83e8cdec712af445786fe/rendering/12.xyz", "0.0")</f>
        <v>0.0</v>
      </c>
      <c r="P1696" s="13" t="str">
        <f>HYPERLINK(AC2 &amp; "/mug/sn_d38295b8d83e8cdec712af445786fe/rendering/13.xyz", "0.0")</f>
        <v>0.0</v>
      </c>
      <c r="Q1696" s="13" t="str">
        <f>HYPERLINK(AC2 &amp; "/mug/sn_d38295b8d83e8cdec712af445786fe/rendering/14.xyz", "0.0")</f>
        <v>0.0</v>
      </c>
      <c r="R1696" s="13" t="str">
        <f>HYPERLINK(AC2 &amp; "/mug/sn_d38295b8d83e8cdec712af445786fe/rendering/15.xyz", "0.0")</f>
        <v>0.0</v>
      </c>
      <c r="S1696" s="13" t="str">
        <f>HYPERLINK(AC2 &amp; "/mug/sn_d38295b8d83e8cdec712af445786fe/rendering/16.xyz", "0.0")</f>
        <v>0.0</v>
      </c>
      <c r="T1696" s="13" t="str">
        <f>HYPERLINK(AC2 &amp; "/mug/sn_d38295b8d83e8cdec712af445786fe/rendering/17.xyz", "0.0")</f>
        <v>0.0</v>
      </c>
      <c r="U1696" s="13" t="str">
        <f>HYPERLINK(AC2 &amp; "/mug/sn_d38295b8d83e8cdec712af445786fe/rendering/18.xyz", "0.0")</f>
        <v>0.0</v>
      </c>
      <c r="V1696" s="13" t="str">
        <f>HYPERLINK(AC2 &amp; "/mug/sn_d38295b8d83e8cdec712af445786fe/rendering/19.xyz", "0.0")</f>
        <v>0.0</v>
      </c>
      <c r="W1696" s="12" t="s">
        <v>33</v>
      </c>
      <c r="X1696" s="13">
        <v>0</v>
      </c>
      <c r="Y1696" s="13">
        <v>0</v>
      </c>
      <c r="Z1696" s="13">
        <v>0</v>
      </c>
    </row>
    <row r="1697" spans="1:26" x14ac:dyDescent="0.2">
      <c r="A1697" s="1">
        <v>1695</v>
      </c>
      <c r="B1697" s="2" t="s">
        <v>372</v>
      </c>
      <c r="C1697" s="109" t="str">
        <f>HYPERLINK(AA2 &amp; "/mug/sn_d46b98f63a017578ea456f4bbbc96af9/rendering/00.obj", "3.05077270508")</f>
        <v>3.05077270508</v>
      </c>
      <c r="D1697" s="90" t="str">
        <f>HYPERLINK(AA2 &amp; "/mug/sn_d46b98f63a017578ea456f4bbbc96af9/rendering/01.obj", "3.40277160645")</f>
        <v>3.40277160645</v>
      </c>
      <c r="E1697" s="83" t="str">
        <f>HYPERLINK(AA2 &amp; "/mug/sn_d46b98f63a017578ea456f4bbbc96af9/rendering/02.obj", "3.19765106201")</f>
        <v>3.19765106201</v>
      </c>
      <c r="F1697" s="4" t="str">
        <f>HYPERLINK(AA2 &amp; "/mug/sn_d46b98f63a017578ea456f4bbbc96af9/rendering/03.obj", "4.84380950928")</f>
        <v>4.84380950928</v>
      </c>
      <c r="G1697" s="74" t="str">
        <f>HYPERLINK(AA2 &amp; "/mug/sn_d46b98f63a017578ea456f4bbbc96af9/rendering/04.obj", "3.82088378906")</f>
        <v>3.82088378906</v>
      </c>
      <c r="H1697" s="78" t="str">
        <f>HYPERLINK(AA2 &amp; "/mug/sn_d46b98f63a017578ea456f4bbbc96af9/rendering/05.obj", "3.53802124023")</f>
        <v>3.53802124023</v>
      </c>
      <c r="I1697" s="64" t="str">
        <f>HYPERLINK(AA2 &amp; "/mug/sn_d46b98f63a017578ea456f4bbbc96af9/rendering/06.obj", "3.14750793457")</f>
        <v>3.14750793457</v>
      </c>
      <c r="J1697" s="133" t="str">
        <f>HYPERLINK(AA2 &amp; "/mug/sn_d46b98f63a017578ea456f4bbbc96af9/rendering/07.obj", "3.37910186768")</f>
        <v>3.37910186768</v>
      </c>
      <c r="K1697" s="92" t="str">
        <f>HYPERLINK(AA2 &amp; "/mug/sn_d46b98f63a017578ea456f4bbbc96af9/rendering/08.obj", "3.30494628906")</f>
        <v>3.30494628906</v>
      </c>
      <c r="L1697" s="25" t="str">
        <f>HYPERLINK(AA2 &amp; "/mug/sn_d46b98f63a017578ea456f4bbbc96af9/rendering/09.obj", "3.73161407471")</f>
        <v>3.73161407471</v>
      </c>
      <c r="M1697" s="79" t="str">
        <f>HYPERLINK(AA2 &amp; "/mug/sn_d46b98f63a017578ea456f4bbbc96af9/rendering/10.obj", "3.16802947998")</f>
        <v>3.16802947998</v>
      </c>
      <c r="N1697" s="13" t="str">
        <f>HYPERLINK(AA2 &amp; "/mug/sn_d46b98f63a017578ea456f4bbbc96af9/rendering/11.obj", "3.77467163086")</f>
        <v>3.77467163086</v>
      </c>
      <c r="O1697" s="41" t="str">
        <f>HYPERLINK(AA2 &amp; "/mug/sn_d46b98f63a017578ea456f4bbbc96af9/rendering/12.obj", "3.51012512207")</f>
        <v>3.51012512207</v>
      </c>
      <c r="P1697" s="71" t="str">
        <f>HYPERLINK(AA2 &amp; "/mug/sn_d46b98f63a017578ea456f4bbbc96af9/rendering/13.obj", "3.32502960205")</f>
        <v>3.32502960205</v>
      </c>
      <c r="Q1697" s="17" t="str">
        <f>HYPERLINK(AA2 &amp; "/mug/sn_d46b98f63a017578ea456f4bbbc96af9/rendering/14.obj", "3.69549682617")</f>
        <v>3.69549682617</v>
      </c>
      <c r="R1697" s="24" t="str">
        <f>HYPERLINK(AA2 &amp; "/mug/sn_d46b98f63a017578ea456f4bbbc96af9/rendering/15.obj", "3.13993896484")</f>
        <v>3.13993896484</v>
      </c>
      <c r="S1697" s="38" t="str">
        <f>HYPERLINK(AA2 &amp; "/mug/sn_d46b98f63a017578ea456f4bbbc96af9/rendering/16.obj", "3.43357910156")</f>
        <v>3.43357910156</v>
      </c>
      <c r="T1697" s="20" t="str">
        <f>HYPERLINK(AA2 &amp; "/mug/sn_d46b98f63a017578ea456f4bbbc96af9/rendering/17.obj", "7.28124755859")</f>
        <v>7.28124755859</v>
      </c>
      <c r="U1697" s="91" t="str">
        <f>HYPERLINK(AA2 &amp; "/mug/sn_d46b98f63a017578ea456f4bbbc96af9/rendering/18.obj", "3.66471282959")</f>
        <v>3.66471282959</v>
      </c>
      <c r="V1697" s="57" t="str">
        <f>HYPERLINK(AA2 &amp; "/mug/sn_d46b98f63a017578ea456f4bbbc96af9/rendering/19.obj", "4.95524749756")</f>
        <v>4.95524749756</v>
      </c>
      <c r="W1697" s="12" t="s">
        <v>29</v>
      </c>
      <c r="X1697" s="13">
        <v>3.768257934570312</v>
      </c>
      <c r="Y1697" s="13">
        <v>0.94434026055970988</v>
      </c>
      <c r="Z1697" s="129">
        <v>0.25060393342405091</v>
      </c>
    </row>
    <row r="1698" spans="1:26" x14ac:dyDescent="0.2">
      <c r="A1698" s="1">
        <v>1696</v>
      </c>
      <c r="B1698" s="2" t="s">
        <v>372</v>
      </c>
      <c r="C1698" s="40" t="str">
        <f>HYPERLINK(AA2 &amp; "/mug/sn_d46b98f63a017578ea456f4bbbc96af9/rendering/00.obj", "6.22119092941")</f>
        <v>6.22119092941</v>
      </c>
      <c r="D1698" s="83" t="str">
        <f>HYPERLINK(AA2 &amp; "/mug/sn_d46b98f63a017578ea456f4bbbc96af9/rendering/01.obj", "6.34688186646")</f>
        <v>6.34688186646</v>
      </c>
      <c r="E1698" s="40" t="str">
        <f>HYPERLINK(AA2 &amp; "/mug/sn_d46b98f63a017578ea456f4bbbc96af9/rendering/02.obj", "6.2058262825")</f>
        <v>6.2058262825</v>
      </c>
      <c r="F1698" s="75" t="str">
        <f>HYPERLINK(AA2 &amp; "/mug/sn_d46b98f63a017578ea456f4bbbc96af9/rendering/03.obj", "9.15146350861")</f>
        <v>9.15146350861</v>
      </c>
      <c r="G1698" s="17" t="str">
        <f>HYPERLINK(AA2 &amp; "/mug/sn_d46b98f63a017578ea456f4bbbc96af9/rendering/04.obj", "7.64279413223")</f>
        <v>7.64279413223</v>
      </c>
      <c r="H1698" s="72" t="str">
        <f>HYPERLINK(AA2 &amp; "/mug/sn_d46b98f63a017578ea456f4bbbc96af9/rendering/05.obj", "7.75266170502")</f>
        <v>7.75266170502</v>
      </c>
      <c r="I1698" s="71" t="str">
        <f>HYPERLINK(AA2 &amp; "/mug/sn_d46b98f63a017578ea456f4bbbc96af9/rendering/06.obj", "6.62204837799")</f>
        <v>6.62204837799</v>
      </c>
      <c r="J1698" s="90" t="str">
        <f>HYPERLINK(AA2 &amp; "/mug/sn_d46b98f63a017578ea456f4bbbc96af9/rendering/07.obj", "6.78086662292")</f>
        <v>6.78086662292</v>
      </c>
      <c r="K1698" s="80" t="str">
        <f>HYPERLINK(AA2 &amp; "/mug/sn_d46b98f63a017578ea456f4bbbc96af9/rendering/08.obj", "6.37128734589")</f>
        <v>6.37128734589</v>
      </c>
      <c r="L1698" s="27" t="str">
        <f>HYPERLINK(AA2 &amp; "/mug/sn_d46b98f63a017578ea456f4bbbc96af9/rendering/09.obj", "8.01562786102")</f>
        <v>8.01562786102</v>
      </c>
      <c r="M1698" s="79" t="str">
        <f>HYPERLINK(AA2 &amp; "/mug/sn_d46b98f63a017578ea456f4bbbc96af9/rendering/10.obj", "6.31575918198")</f>
        <v>6.31575918198</v>
      </c>
      <c r="N1698" s="90" t="str">
        <f>HYPERLINK(AA2 &amp; "/mug/sn_d46b98f63a017578ea456f4bbbc96af9/rendering/11.obj", "8.21428489685")</f>
        <v>8.21428489685</v>
      </c>
      <c r="O1698" s="63" t="str">
        <f>HYPERLINK(AA2 &amp; "/mug/sn_d46b98f63a017578ea456f4bbbc96af9/rendering/12.obj", "6.58772850037")</f>
        <v>6.58772850037</v>
      </c>
      <c r="P1698" s="107" t="str">
        <f>HYPERLINK(AA2 &amp; "/mug/sn_d46b98f63a017578ea456f4bbbc96af9/rendering/13.obj", "6.88110685349")</f>
        <v>6.88110685349</v>
      </c>
      <c r="Q1698" s="107" t="str">
        <f>HYPERLINK(AA2 &amp; "/mug/sn_d46b98f63a017578ea456f4bbbc96af9/rendering/14.obj", "6.87334632874")</f>
        <v>6.87334632874</v>
      </c>
      <c r="R1698" s="109" t="str">
        <f>HYPERLINK(AA2 &amp; "/mug/sn_d46b98f63a017578ea456f4bbbc96af9/rendering/15.obj", "6.07816123962")</f>
        <v>6.07816123962</v>
      </c>
      <c r="S1698" s="8" t="str">
        <f>HYPERLINK(AA2 &amp; "/mug/sn_d46b98f63a017578ea456f4bbbc96af9/rendering/16.obj", "6.43264770508")</f>
        <v>6.43264770508</v>
      </c>
      <c r="T1698" s="20" t="str">
        <f>HYPERLINK(AA2 &amp; "/mug/sn_d46b98f63a017578ea456f4bbbc96af9/rendering/17.obj", "15.7053689957")</f>
        <v>15.7053689957</v>
      </c>
      <c r="U1698" s="38" t="str">
        <f>HYPERLINK(AA2 &amp; "/mug/sn_d46b98f63a017578ea456f4bbbc96af9/rendering/18.obj", "6.82192373276")</f>
        <v>6.82192373276</v>
      </c>
      <c r="V1698" s="109" t="str">
        <f>HYPERLINK(AA2 &amp; "/mug/sn_d46b98f63a017578ea456f4bbbc96af9/rendering/19.obj", "8.9102191925")</f>
        <v>8.9102191925</v>
      </c>
      <c r="W1698" s="12" t="s">
        <v>30</v>
      </c>
      <c r="X1698" s="13">
        <v>7.4965597629547123</v>
      </c>
      <c r="Y1698" s="13">
        <v>2.0825117455716371</v>
      </c>
      <c r="Z1698" s="7">
        <v>0.27779565713097581</v>
      </c>
    </row>
    <row r="1699" spans="1:26" x14ac:dyDescent="0.2">
      <c r="A1699" s="1">
        <v>1697</v>
      </c>
      <c r="B1699" s="2" t="s">
        <v>372</v>
      </c>
      <c r="C1699" s="6" t="str">
        <f>HYPERLINK(AB2 &amp; "/mug/sn_d46b98f63a017578ea456f4bbbc96af9/rendering/00.obj", "3.55203918457")</f>
        <v>3.55203918457</v>
      </c>
      <c r="D1699" s="69" t="str">
        <f>HYPERLINK(AB2 &amp; "/mug/sn_d46b98f63a017578ea456f4bbbc96af9/rendering/01.obj", "3.83182678223")</f>
        <v>3.83182678223</v>
      </c>
      <c r="E1699" s="26" t="str">
        <f>HYPERLINK(AB2 &amp; "/mug/sn_d46b98f63a017578ea456f4bbbc96af9/rendering/02.obj", "3.96091491699")</f>
        <v>3.96091491699</v>
      </c>
      <c r="F1699" s="27" t="str">
        <f>HYPERLINK(AB2 &amp; "/mug/sn_d46b98f63a017578ea456f4bbbc96af9/rendering/03.obj", "3.46111083984")</f>
        <v>3.46111083984</v>
      </c>
      <c r="G1699" s="110" t="str">
        <f>HYPERLINK(AB2 &amp; "/mug/sn_d46b98f63a017578ea456f4bbbc96af9/rendering/04.obj", "3.35702392578")</f>
        <v>3.35702392578</v>
      </c>
      <c r="H1699" s="69" t="str">
        <f>HYPERLINK(AB2 &amp; "/mug/sn_d46b98f63a017578ea456f4bbbc96af9/rendering/05.obj", "3.60631408691")</f>
        <v>3.60631408691</v>
      </c>
      <c r="I1699" s="39" t="str">
        <f>HYPERLINK(AB2 &amp; "/mug/sn_d46b98f63a017578ea456f4bbbc96af9/rendering/06.obj", "3.39382232666")</f>
        <v>3.39382232666</v>
      </c>
      <c r="J1699" s="109" t="str">
        <f>HYPERLINK(AB2 &amp; "/mug/sn_d46b98f63a017578ea456f4bbbc96af9/rendering/07.obj", "4.42277709961")</f>
        <v>4.42277709961</v>
      </c>
      <c r="K1699" s="69" t="str">
        <f>HYPERLINK(AB2 &amp; "/mug/sn_d46b98f63a017578ea456f4bbbc96af9/rendering/08.obj", "3.60306671143")</f>
        <v>3.60306671143</v>
      </c>
      <c r="L1699" s="51" t="str">
        <f>HYPERLINK(AB2 &amp; "/mug/sn_d46b98f63a017578ea456f4bbbc96af9/rendering/09.obj", "3.42442596436")</f>
        <v>3.42442596436</v>
      </c>
      <c r="M1699" s="67" t="str">
        <f>HYPERLINK(AB2 &amp; "/mug/sn_d46b98f63a017578ea456f4bbbc96af9/rendering/10.obj", "3.36990905762")</f>
        <v>3.36990905762</v>
      </c>
      <c r="N1699" s="30" t="str">
        <f>HYPERLINK(AB2 &amp; "/mug/sn_d46b98f63a017578ea456f4bbbc96af9/rendering/11.obj", "3.70762756348")</f>
        <v>3.70762756348</v>
      </c>
      <c r="O1699" s="92" t="str">
        <f>HYPERLINK(AB2 &amp; "/mug/sn_d46b98f63a017578ea456f4bbbc96af9/rendering/12.obj", "3.25412414551")</f>
        <v>3.25412414551</v>
      </c>
      <c r="P1699" s="71" t="str">
        <f>HYPERLINK(AB2 &amp; "/mug/sn_d46b98f63a017578ea456f4bbbc96af9/rendering/13.obj", "3.2807711792")</f>
        <v>3.2807711792</v>
      </c>
      <c r="Q1699" s="81" t="str">
        <f>HYPERLINK(AB2 &amp; "/mug/sn_d46b98f63a017578ea456f4bbbc96af9/rendering/14.obj", "4.52478881836")</f>
        <v>4.52478881836</v>
      </c>
      <c r="R1699" s="72" t="str">
        <f>HYPERLINK(AB2 &amp; "/mug/sn_d46b98f63a017578ea456f4bbbc96af9/rendering/15.obj", "3.83787261963")</f>
        <v>3.83787261963</v>
      </c>
      <c r="S1699" s="133" t="str">
        <f>HYPERLINK(AB2 &amp; "/mug/sn_d46b98f63a017578ea456f4bbbc96af9/rendering/16.obj", "4.1024029541")</f>
        <v>4.1024029541</v>
      </c>
      <c r="T1699" s="25" t="str">
        <f>HYPERLINK(AB2 &amp; "/mug/sn_d46b98f63a017578ea456f4bbbc96af9/rendering/17.obj", "3.67984008789")</f>
        <v>3.67984008789</v>
      </c>
      <c r="U1699" s="66" t="str">
        <f>HYPERLINK(AB2 &amp; "/mug/sn_d46b98f63a017578ea456f4bbbc96af9/rendering/18.obj", "4.3192175293")</f>
        <v>4.3192175293</v>
      </c>
      <c r="V1699" s="30" t="str">
        <f>HYPERLINK(AB2 &amp; "/mug/sn_d46b98f63a017578ea456f4bbbc96af9/rendering/19.obj", "3.70080932617")</f>
        <v>3.70080932617</v>
      </c>
      <c r="W1699" s="12" t="s">
        <v>31</v>
      </c>
      <c r="X1699" s="13">
        <v>3.7195342559814462</v>
      </c>
      <c r="Y1699" s="13">
        <v>0.36832792093372968</v>
      </c>
      <c r="Z1699" s="110">
        <v>9.9025279936974728E-2</v>
      </c>
    </row>
    <row r="1700" spans="1:26" x14ac:dyDescent="0.2">
      <c r="A1700" s="1">
        <v>1698</v>
      </c>
      <c r="B1700" s="2" t="s">
        <v>372</v>
      </c>
      <c r="C1700" s="74" t="str">
        <f>HYPERLINK(AB2 &amp; "/mug/sn_d46b98f63a017578ea456f4bbbc96af9/rendering/00.obj", "6.5087184906")</f>
        <v>6.5087184906</v>
      </c>
      <c r="D1700" s="27" t="str">
        <f>HYPERLINK(AB2 &amp; "/mug/sn_d46b98f63a017578ea456f4bbbc96af9/rendering/01.obj", "7.05496501923")</f>
        <v>7.05496501923</v>
      </c>
      <c r="E1700" s="73" t="str">
        <f>HYPERLINK(AB2 &amp; "/mug/sn_d46b98f63a017578ea456f4bbbc96af9/rendering/02.obj", "6.3632349968")</f>
        <v>6.3632349968</v>
      </c>
      <c r="F1700" s="34" t="str">
        <f>HYPERLINK(AB2 &amp; "/mug/sn_d46b98f63a017578ea456f4bbbc96af9/rendering/03.obj", "6.28075456619")</f>
        <v>6.28075456619</v>
      </c>
      <c r="G1700" s="26" t="str">
        <f>HYPERLINK(AB2 &amp; "/mug/sn_d46b98f63a017578ea456f4bbbc96af9/rendering/04.obj", "6.16254520416")</f>
        <v>6.16254520416</v>
      </c>
      <c r="H1700" s="17" t="str">
        <f>HYPERLINK(AB2 &amp; "/mug/sn_d46b98f63a017578ea456f4bbbc96af9/rendering/05.obj", "6.45014476776")</f>
        <v>6.45014476776</v>
      </c>
      <c r="I1700" s="78" t="str">
        <f>HYPERLINK(AB2 &amp; "/mug/sn_d46b98f63a017578ea456f4bbbc96af9/rendering/06.obj", "6.18346118927")</f>
        <v>6.18346118927</v>
      </c>
      <c r="J1700" s="67" t="str">
        <f>HYPERLINK(AB2 &amp; "/mug/sn_d46b98f63a017578ea456f4bbbc96af9/rendering/07.obj", "7.2134680748")</f>
        <v>7.2134680748</v>
      </c>
      <c r="K1700" s="47" t="str">
        <f>HYPERLINK(AB2 &amp; "/mug/sn_d46b98f63a017578ea456f4bbbc96af9/rendering/08.obj", "6.64594936371")</f>
        <v>6.64594936371</v>
      </c>
      <c r="L1700" s="69" t="str">
        <f>HYPERLINK(AB2 &amp; "/mug/sn_d46b98f63a017578ea456f4bbbc96af9/rendering/09.obj", "6.40106773376")</f>
        <v>6.40106773376</v>
      </c>
      <c r="M1700" s="26" t="str">
        <f>HYPERLINK(AB2 &amp; "/mug/sn_d46b98f63a017578ea456f4bbbc96af9/rendering/10.obj", "6.16022825241")</f>
        <v>6.16022825241</v>
      </c>
      <c r="N1700" s="13" t="str">
        <f>HYPERLINK(AB2 &amp; "/mug/sn_d46b98f63a017578ea456f4bbbc96af9/rendering/11.obj", "6.57459068298")</f>
        <v>6.57459068298</v>
      </c>
      <c r="O1700" s="35" t="str">
        <f>HYPERLINK(AB2 &amp; "/mug/sn_d46b98f63a017578ea456f4bbbc96af9/rendering/12.obj", "6.21111106873")</f>
        <v>6.21111106873</v>
      </c>
      <c r="P1700" s="25" t="str">
        <f>HYPERLINK(AB2 &amp; "/mug/sn_d46b98f63a017578ea456f4bbbc96af9/rendering/13.obj", "6.51468324661")</f>
        <v>6.51468324661</v>
      </c>
      <c r="Q1700" s="63" t="str">
        <f>HYPERLINK(AB2 &amp; "/mug/sn_d46b98f63a017578ea456f4bbbc96af9/rendering/14.obj", "7.39228391647")</f>
        <v>7.39228391647</v>
      </c>
      <c r="R1700" s="10" t="str">
        <f>HYPERLINK(AB2 &amp; "/mug/sn_d46b98f63a017578ea456f4bbbc96af9/rendering/15.obj", "6.24048519135")</f>
        <v>6.24048519135</v>
      </c>
      <c r="S1700" s="55" t="str">
        <f>HYPERLINK(AB2 &amp; "/mug/sn_d46b98f63a017578ea456f4bbbc96af9/rendering/16.obj", "7.86690187454")</f>
        <v>7.86690187454</v>
      </c>
      <c r="T1700" s="25" t="str">
        <f>HYPERLINK(AB2 &amp; "/mug/sn_d46b98f63a017578ea456f4bbbc96af9/rendering/17.obj", "6.66625547409")</f>
        <v>6.66625547409</v>
      </c>
      <c r="U1700" s="47" t="str">
        <f>HYPERLINK(AB2 &amp; "/mug/sn_d46b98f63a017578ea456f4bbbc96af9/rendering/18.obj", "6.5479183197")</f>
        <v>6.5479183197</v>
      </c>
      <c r="V1700" s="48" t="str">
        <f>HYPERLINK(AB2 &amp; "/mug/sn_d46b98f63a017578ea456f4bbbc96af9/rendering/19.obj", "6.44952297211")</f>
        <v>6.44952297211</v>
      </c>
      <c r="W1700" s="12" t="s">
        <v>32</v>
      </c>
      <c r="X1700" s="13">
        <v>6.5944145202636717</v>
      </c>
      <c r="Y1700" s="13">
        <v>0.44285111739145611</v>
      </c>
      <c r="Z1700" s="41">
        <v>6.7155486818524873E-2</v>
      </c>
    </row>
    <row r="1701" spans="1:26" x14ac:dyDescent="0.2">
      <c r="A1701" s="1">
        <v>1699</v>
      </c>
      <c r="B1701" s="2" t="s">
        <v>372</v>
      </c>
      <c r="C1701" s="13" t="str">
        <f>HYPERLINK(AC2 &amp; "/mug/sn_d46b98f63a017578ea456f4bbbc96af9/rendering/00.xyz", "0.0")</f>
        <v>0.0</v>
      </c>
      <c r="D1701" s="13" t="str">
        <f>HYPERLINK(AC2 &amp; "/mug/sn_d46b98f63a017578ea456f4bbbc96af9/rendering/01.xyz", "0.0")</f>
        <v>0.0</v>
      </c>
      <c r="E1701" s="13" t="str">
        <f>HYPERLINK(AC2 &amp; "/mug/sn_d46b98f63a017578ea456f4bbbc96af9/rendering/02.xyz", "0.0")</f>
        <v>0.0</v>
      </c>
      <c r="F1701" s="13" t="str">
        <f>HYPERLINK(AC2 &amp; "/mug/sn_d46b98f63a017578ea456f4bbbc96af9/rendering/03.xyz", "0.0")</f>
        <v>0.0</v>
      </c>
      <c r="G1701" s="13" t="str">
        <f>HYPERLINK(AC2 &amp; "/mug/sn_d46b98f63a017578ea456f4bbbc96af9/rendering/04.xyz", "0.0")</f>
        <v>0.0</v>
      </c>
      <c r="H1701" s="13" t="str">
        <f>HYPERLINK(AC2 &amp; "/mug/sn_d46b98f63a017578ea456f4bbbc96af9/rendering/05.xyz", "0.0")</f>
        <v>0.0</v>
      </c>
      <c r="I1701" s="13" t="str">
        <f>HYPERLINK(AC2 &amp; "/mug/sn_d46b98f63a017578ea456f4bbbc96af9/rendering/06.xyz", "0.0")</f>
        <v>0.0</v>
      </c>
      <c r="J1701" s="13" t="str">
        <f>HYPERLINK(AC2 &amp; "/mug/sn_d46b98f63a017578ea456f4bbbc96af9/rendering/07.xyz", "0.0")</f>
        <v>0.0</v>
      </c>
      <c r="K1701" s="13" t="str">
        <f>HYPERLINK(AC2 &amp; "/mug/sn_d46b98f63a017578ea456f4bbbc96af9/rendering/08.xyz", "0.0")</f>
        <v>0.0</v>
      </c>
      <c r="L1701" s="13" t="str">
        <f>HYPERLINK(AC2 &amp; "/mug/sn_d46b98f63a017578ea456f4bbbc96af9/rendering/09.xyz", "0.0")</f>
        <v>0.0</v>
      </c>
      <c r="M1701" s="13" t="str">
        <f>HYPERLINK(AC2 &amp; "/mug/sn_d46b98f63a017578ea456f4bbbc96af9/rendering/10.xyz", "0.0")</f>
        <v>0.0</v>
      </c>
      <c r="N1701" s="13" t="str">
        <f>HYPERLINK(AC2 &amp; "/mug/sn_d46b98f63a017578ea456f4bbbc96af9/rendering/11.xyz", "0.0")</f>
        <v>0.0</v>
      </c>
      <c r="O1701" s="13" t="str">
        <f>HYPERLINK(AC2 &amp; "/mug/sn_d46b98f63a017578ea456f4bbbc96af9/rendering/12.xyz", "0.0")</f>
        <v>0.0</v>
      </c>
      <c r="P1701" s="13" t="str">
        <f>HYPERLINK(AC2 &amp; "/mug/sn_d46b98f63a017578ea456f4bbbc96af9/rendering/13.xyz", "0.0")</f>
        <v>0.0</v>
      </c>
      <c r="Q1701" s="13" t="str">
        <f>HYPERLINK(AC2 &amp; "/mug/sn_d46b98f63a017578ea456f4bbbc96af9/rendering/14.xyz", "0.0")</f>
        <v>0.0</v>
      </c>
      <c r="R1701" s="13" t="str">
        <f>HYPERLINK(AC2 &amp; "/mug/sn_d46b98f63a017578ea456f4bbbc96af9/rendering/15.xyz", "0.0")</f>
        <v>0.0</v>
      </c>
      <c r="S1701" s="13" t="str">
        <f>HYPERLINK(AC2 &amp; "/mug/sn_d46b98f63a017578ea456f4bbbc96af9/rendering/16.xyz", "0.0")</f>
        <v>0.0</v>
      </c>
      <c r="T1701" s="13" t="str">
        <f>HYPERLINK(AC2 &amp; "/mug/sn_d46b98f63a017578ea456f4bbbc96af9/rendering/17.xyz", "0.0")</f>
        <v>0.0</v>
      </c>
      <c r="U1701" s="13" t="str">
        <f>HYPERLINK(AC2 &amp; "/mug/sn_d46b98f63a017578ea456f4bbbc96af9/rendering/18.xyz", "0.0")</f>
        <v>0.0</v>
      </c>
      <c r="V1701" s="13" t="str">
        <f>HYPERLINK(AC2 &amp; "/mug/sn_d46b98f63a017578ea456f4bbbc96af9/rendering/19.xyz", "0.0")</f>
        <v>0.0</v>
      </c>
      <c r="W1701" s="12" t="s">
        <v>33</v>
      </c>
      <c r="X1701" s="13">
        <v>0</v>
      </c>
      <c r="Y1701" s="13">
        <v>0</v>
      </c>
      <c r="Z1701" s="13">
        <v>0</v>
      </c>
    </row>
    <row r="1702" spans="1:26" x14ac:dyDescent="0.2">
      <c r="A1702" s="1">
        <v>1700</v>
      </c>
      <c r="B1702" s="2" t="s">
        <v>373</v>
      </c>
      <c r="C1702" s="40" t="str">
        <f>HYPERLINK(AA2 &amp; "/mug/sn_d55c0f9d25cbd476f8d402a0606df195/rendering/00.obj", "10.1051873779")</f>
        <v>10.1051873779</v>
      </c>
      <c r="D1702" s="11" t="str">
        <f>HYPERLINK(AA2 &amp; "/mug/sn_d55c0f9d25cbd476f8d402a0606df195/rendering/01.obj", "6.67963867187")</f>
        <v>6.67963867187</v>
      </c>
      <c r="E1702" s="67" t="str">
        <f>HYPERLINK(AA2 &amp; "/mug/sn_d55c0f9d25cbd476f8d402a0606df195/rendering/02.obj", "7.8252923584")</f>
        <v>7.8252923584</v>
      </c>
      <c r="F1702" s="108" t="str">
        <f>HYPERLINK(AA2 &amp; "/mug/sn_d55c0f9d25cbd476f8d402a0606df195/rendering/03.obj", "10.7460449219")</f>
        <v>10.7460449219</v>
      </c>
      <c r="G1702" s="171" t="str">
        <f>HYPERLINK(AA2 &amp; "/mug/sn_d55c0f9d25cbd476f8d402a0606df195/rendering/04.obj", "5.99368164062")</f>
        <v>5.99368164062</v>
      </c>
      <c r="H1702" s="66" t="str">
        <f>HYPERLINK(AA2 &amp; "/mug/sn_d55c0f9d25cbd476f8d402a0606df195/rendering/05.obj", "7.23931518555")</f>
        <v>7.23931518555</v>
      </c>
      <c r="I1702" s="135" t="str">
        <f>HYPERLINK(AA2 &amp; "/mug/sn_d55c0f9d25cbd476f8d402a0606df195/rendering/06.obj", "6.42503051758")</f>
        <v>6.42503051758</v>
      </c>
      <c r="J1702" s="26" t="str">
        <f>HYPERLINK(AA2 &amp; "/mug/sn_d55c0f9d25cbd476f8d402a0606df195/rendering/07.obj", "8.08102905273")</f>
        <v>8.08102905273</v>
      </c>
      <c r="K1702" s="20" t="str">
        <f>HYPERLINK(AA2 &amp; "/mug/sn_d55c0f9d25cbd476f8d402a0606df195/rendering/08.obj", "19.7616918945")</f>
        <v>19.7616918945</v>
      </c>
      <c r="L1702" s="129" t="str">
        <f>HYPERLINK(AA2 &amp; "/mug/sn_d55c0f9d25cbd476f8d402a0606df195/rendering/09.obj", "6.48450256348")</f>
        <v>6.48450256348</v>
      </c>
      <c r="M1702" s="28" t="str">
        <f>HYPERLINK(AA2 &amp; "/mug/sn_d55c0f9d25cbd476f8d402a0606df195/rendering/10.obj", "7.67571899414")</f>
        <v>7.67571899414</v>
      </c>
      <c r="N1702" s="20" t="str">
        <f>HYPERLINK(AA2 &amp; "/mug/sn_d55c0f9d25cbd476f8d402a0606df195/rendering/11.obj", "17.8912365723")</f>
        <v>17.8912365723</v>
      </c>
      <c r="O1702" s="157" t="str">
        <f>HYPERLINK(AA2 &amp; "/mug/sn_d55c0f9d25cbd476f8d402a0606df195/rendering/12.obj", "5.03022033691")</f>
        <v>5.03022033691</v>
      </c>
      <c r="P1702" s="55" t="str">
        <f>HYPERLINK(AA2 &amp; "/mug/sn_d55c0f9d25cbd476f8d402a0606df195/rendering/13.obj", "6.96244262695")</f>
        <v>6.96244262695</v>
      </c>
      <c r="Q1702" s="135" t="str">
        <f>HYPERLINK(AA2 &amp; "/mug/sn_d55c0f9d25cbd476f8d402a0606df195/rendering/14.obj", "6.42997802734")</f>
        <v>6.42997802734</v>
      </c>
      <c r="R1702" s="59" t="str">
        <f>HYPERLINK(AA2 &amp; "/mug/sn_d55c0f9d25cbd476f8d402a0606df195/rendering/15.obj", "10.6963330078")</f>
        <v>10.6963330078</v>
      </c>
      <c r="S1702" s="135" t="str">
        <f>HYPERLINK(AA2 &amp; "/mug/sn_d55c0f9d25cbd476f8d402a0606df195/rendering/16.obj", "6.41299682617")</f>
        <v>6.41299682617</v>
      </c>
      <c r="T1702" s="58" t="str">
        <f>HYPERLINK(AA2 &amp; "/mug/sn_d55c0f9d25cbd476f8d402a0606df195/rendering/17.obj", "6.53511535645")</f>
        <v>6.53511535645</v>
      </c>
      <c r="U1702" s="85" t="str">
        <f>HYPERLINK(AA2 &amp; "/mug/sn_d55c0f9d25cbd476f8d402a0606df195/rendering/18.obj", "6.06576904297")</f>
        <v>6.06576904297</v>
      </c>
      <c r="V1702" s="67" t="str">
        <f>HYPERLINK(AA2 &amp; "/mug/sn_d55c0f9d25cbd476f8d402a0606df195/rendering/19.obj", "9.41440673828")</f>
        <v>9.41440673828</v>
      </c>
      <c r="W1702" s="12" t="s">
        <v>29</v>
      </c>
      <c r="X1702" s="13">
        <v>8.6227815856933603</v>
      </c>
      <c r="Y1702" s="13">
        <v>3.752957311268863</v>
      </c>
      <c r="Z1702" s="97">
        <v>0.43523743167699491</v>
      </c>
    </row>
    <row r="1703" spans="1:26" x14ac:dyDescent="0.2">
      <c r="A1703" s="1">
        <v>1701</v>
      </c>
      <c r="B1703" s="2" t="s">
        <v>373</v>
      </c>
      <c r="C1703" s="89" t="str">
        <f>HYPERLINK(AA2 &amp; "/mug/sn_d55c0f9d25cbd476f8d402a0606df195/rendering/00.obj", "24.197177887")</f>
        <v>24.197177887</v>
      </c>
      <c r="D1703" s="56" t="str">
        <f>HYPERLINK(AA2 &amp; "/mug/sn_d55c0f9d25cbd476f8d402a0606df195/rendering/01.obj", "13.2741508484")</f>
        <v>13.2741508484</v>
      </c>
      <c r="E1703" s="110" t="str">
        <f>HYPERLINK(AA2 &amp; "/mug/sn_d55c0f9d25cbd476f8d402a0606df195/rendering/02.obj", "17.2964878082")</f>
        <v>17.2964878082</v>
      </c>
      <c r="F1703" s="34" t="str">
        <f>HYPERLINK(AA2 &amp; "/mug/sn_d55c0f9d25cbd476f8d402a0606df195/rendering/03.obj", "18.3152999878")</f>
        <v>18.3152999878</v>
      </c>
      <c r="G1703" s="181" t="str">
        <f>HYPERLINK(AA2 &amp; "/mug/sn_d55c0f9d25cbd476f8d402a0606df195/rendering/04.obj", "10.7044944763")</f>
        <v>10.7044944763</v>
      </c>
      <c r="H1703" s="86" t="str">
        <f>HYPERLINK(AA2 &amp; "/mug/sn_d55c0f9d25cbd476f8d402a0606df195/rendering/05.obj", "14.0622711182")</f>
        <v>14.0622711182</v>
      </c>
      <c r="I1703" s="118" t="str">
        <f>HYPERLINK(AA2 &amp; "/mug/sn_d55c0f9d25cbd476f8d402a0606df195/rendering/06.obj", "13.5878667831")</f>
        <v>13.5878667831</v>
      </c>
      <c r="J1703" s="58" t="str">
        <f>HYPERLINK(AA2 &amp; "/mug/sn_d55c0f9d25cbd476f8d402a0606df195/rendering/07.obj", "14.5543403625")</f>
        <v>14.5543403625</v>
      </c>
      <c r="K1703" s="20" t="str">
        <f>HYPERLINK(AA2 &amp; "/mug/sn_d55c0f9d25cbd476f8d402a0606df195/rendering/08.obj", "56.5986633301")</f>
        <v>56.5986633301</v>
      </c>
      <c r="L1703" s="179" t="str">
        <f>HYPERLINK(AA2 &amp; "/mug/sn_d55c0f9d25cbd476f8d402a0606df195/rendering/09.obj", "11.0081319809")</f>
        <v>11.0081319809</v>
      </c>
      <c r="M1703" s="58" t="str">
        <f>HYPERLINK(AA2 &amp; "/mug/sn_d55c0f9d25cbd476f8d402a0606df195/rendering/10.obj", "14.5545501709")</f>
        <v>14.5545501709</v>
      </c>
      <c r="N1703" s="20" t="str">
        <f>HYPERLINK(AA2 &amp; "/mug/sn_d55c0f9d25cbd476f8d402a0606df195/rendering/11.obj", "57.7450447083")</f>
        <v>57.7450447083</v>
      </c>
      <c r="O1703" s="127" t="str">
        <f>HYPERLINK(AA2 &amp; "/mug/sn_d55c0f9d25cbd476f8d402a0606df195/rendering/12.obj", "9.24227142334")</f>
        <v>9.24227142334</v>
      </c>
      <c r="P1703" s="140" t="str">
        <f>HYPERLINK(AA2 &amp; "/mug/sn_d55c0f9d25cbd476f8d402a0606df195/rendering/13.obj", "12.5780925751")</f>
        <v>12.5780925751</v>
      </c>
      <c r="Q1703" s="192" t="str">
        <f>HYPERLINK(AA2 &amp; "/mug/sn_d55c0f9d25cbd476f8d402a0606df195/rendering/14.obj", "12.088716507")</f>
        <v>12.088716507</v>
      </c>
      <c r="R1703" s="87" t="str">
        <f>HYPERLINK(AA2 &amp; "/mug/sn_d55c0f9d25cbd476f8d402a0606df195/rendering/15.obj", "23.5726642609")</f>
        <v>23.5726642609</v>
      </c>
      <c r="S1703" s="41" t="str">
        <f>HYPERLINK(AA2 &amp; "/mug/sn_d55c0f9d25cbd476f8d402a0606df195/rendering/16.obj", "17.9202632904")</f>
        <v>17.9202632904</v>
      </c>
      <c r="T1703" s="121" t="str">
        <f>HYPERLINK(AA2 &amp; "/mug/sn_d55c0f9d25cbd476f8d402a0606df195/rendering/17.obj", "12.4378843307")</f>
        <v>12.4378843307</v>
      </c>
      <c r="U1703" s="114" t="str">
        <f>HYPERLINK(AA2 &amp; "/mug/sn_d55c0f9d25cbd476f8d402a0606df195/rendering/18.obj", "10.3758077621")</f>
        <v>10.3758077621</v>
      </c>
      <c r="V1703" s="35" t="str">
        <f>HYPERLINK(AA2 &amp; "/mug/sn_d55c0f9d25cbd476f8d402a0606df195/rendering/19.obj", "20.3685054779")</f>
        <v>20.3685054779</v>
      </c>
      <c r="W1703" s="12" t="s">
        <v>30</v>
      </c>
      <c r="X1703" s="13">
        <v>19.224134254455571</v>
      </c>
      <c r="Y1703" s="13">
        <v>13.282487737025219</v>
      </c>
      <c r="Z1703" s="165">
        <v>0.69092774536500889</v>
      </c>
    </row>
    <row r="1704" spans="1:26" x14ac:dyDescent="0.2">
      <c r="A1704" s="1">
        <v>1702</v>
      </c>
      <c r="B1704" s="2" t="s">
        <v>373</v>
      </c>
      <c r="C1704" s="88" t="str">
        <f>HYPERLINK(AB2 &amp; "/mug/sn_d55c0f9d25cbd476f8d402a0606df195/rendering/00.obj", "7.98898864746")</f>
        <v>7.98898864746</v>
      </c>
      <c r="D1704" s="13" t="str">
        <f>HYPERLINK(AB2 &amp; "/mug/sn_d55c0f9d25cbd476f8d402a0606df195/rendering/01.obj", "6.62970031738")</f>
        <v>6.62970031738</v>
      </c>
      <c r="E1704" s="83" t="str">
        <f>HYPERLINK(AB2 &amp; "/mug/sn_d55c0f9d25cbd476f8d402a0606df195/rendering/02.obj", "5.61776733398")</f>
        <v>5.61776733398</v>
      </c>
      <c r="F1704" s="33" t="str">
        <f>HYPERLINK(AB2 &amp; "/mug/sn_d55c0f9d25cbd476f8d402a0606df195/rendering/03.obj", "5.9274597168")</f>
        <v>5.9274597168</v>
      </c>
      <c r="G1704" s="60" t="str">
        <f>HYPERLINK(AB2 &amp; "/mug/sn_d55c0f9d25cbd476f8d402a0606df195/rendering/04.obj", "6.98403930664")</f>
        <v>6.98403930664</v>
      </c>
      <c r="H1704" s="17" t="str">
        <f>HYPERLINK(AB2 &amp; "/mug/sn_d55c0f9d25cbd476f8d402a0606df195/rendering/05.obj", "6.49488891602")</f>
        <v>6.49488891602</v>
      </c>
      <c r="I1704" s="65" t="str">
        <f>HYPERLINK(AB2 &amp; "/mug/sn_d55c0f9d25cbd476f8d402a0606df195/rendering/06.obj", "5.75104248047")</f>
        <v>5.75104248047</v>
      </c>
      <c r="J1704" s="48" t="str">
        <f>HYPERLINK(AB2 &amp; "/mug/sn_d55c0f9d25cbd476f8d402a0606df195/rendering/07.obj", "6.47284301758")</f>
        <v>6.47284301758</v>
      </c>
      <c r="K1704" s="207" t="str">
        <f>HYPERLINK(AB2 &amp; "/mug/sn_d55c0f9d25cbd476f8d402a0606df195/rendering/08.obj", "11.4802856445")</f>
        <v>11.4802856445</v>
      </c>
      <c r="L1704" s="17" t="str">
        <f>HYPERLINK(AB2 &amp; "/mug/sn_d55c0f9d25cbd476f8d402a0606df195/rendering/09.obj", "6.50900817871")</f>
        <v>6.50900817871</v>
      </c>
      <c r="M1704" s="27" t="str">
        <f>HYPERLINK(AB2 &amp; "/mug/sn_d55c0f9d25cbd476f8d402a0606df195/rendering/10.obj", "6.1720501709")</f>
        <v>6.1720501709</v>
      </c>
      <c r="N1704" s="55" t="str">
        <f>HYPERLINK(AB2 &amp; "/mug/sn_d55c0f9d25cbd476f8d402a0606df195/rendering/11.obj", "5.35449584961")</f>
        <v>5.35449584961</v>
      </c>
      <c r="O1704" s="42" t="str">
        <f>HYPERLINK(AB2 &amp; "/mug/sn_d55c0f9d25cbd476f8d402a0606df195/rendering/12.obj", "5.72704589844")</f>
        <v>5.72704589844</v>
      </c>
      <c r="P1704" s="38" t="str">
        <f>HYPERLINK(AB2 &amp; "/mug/sn_d55c0f9d25cbd476f8d402a0606df195/rendering/13.obj", "6.04751098633")</f>
        <v>6.04751098633</v>
      </c>
      <c r="Q1704" s="51" t="str">
        <f>HYPERLINK(AB2 &amp; "/mug/sn_d55c0f9d25cbd476f8d402a0606df195/rendering/14.obj", "6.10407592773")</f>
        <v>6.10407592773</v>
      </c>
      <c r="R1704" s="84" t="str">
        <f>HYPERLINK(AB2 &amp; "/mug/sn_d55c0f9d25cbd476f8d402a0606df195/rendering/15.obj", "5.67793640137")</f>
        <v>5.67793640137</v>
      </c>
      <c r="S1704" s="102" t="str">
        <f>HYPERLINK(AB2 &amp; "/mug/sn_d55c0f9d25cbd476f8d402a0606df195/rendering/16.obj", "9.94373413086")</f>
        <v>9.94373413086</v>
      </c>
      <c r="T1704" s="10" t="str">
        <f>HYPERLINK(AB2 &amp; "/mug/sn_d55c0f9d25cbd476f8d402a0606df195/rendering/17.obj", "6.27599121094")</f>
        <v>6.27599121094</v>
      </c>
      <c r="U1704" s="33" t="str">
        <f>HYPERLINK(AB2 &amp; "/mug/sn_d55c0f9d25cbd476f8d402a0606df195/rendering/18.obj", "5.91139648438")</f>
        <v>5.91139648438</v>
      </c>
      <c r="V1704" s="80" t="str">
        <f>HYPERLINK(AB2 &amp; "/mug/sn_d55c0f9d25cbd476f8d402a0606df195/rendering/19.obj", "5.65762573242")</f>
        <v>5.65762573242</v>
      </c>
      <c r="W1704" s="12" t="s">
        <v>31</v>
      </c>
      <c r="X1704" s="13">
        <v>6.6363943176269533</v>
      </c>
      <c r="Y1704" s="13">
        <v>1.493106026832322</v>
      </c>
      <c r="Z1704" s="11">
        <v>0.22498753922238729</v>
      </c>
    </row>
    <row r="1705" spans="1:26" x14ac:dyDescent="0.2">
      <c r="A1705" s="1">
        <v>1703</v>
      </c>
      <c r="B1705" s="2" t="s">
        <v>373</v>
      </c>
      <c r="C1705" s="14" t="str">
        <f>HYPERLINK(AB2 &amp; "/mug/sn_d55c0f9d25cbd476f8d402a0606df195/rendering/00.obj", "14.0340948105")</f>
        <v>14.0340948105</v>
      </c>
      <c r="D1705" s="28" t="str">
        <f>HYPERLINK(AB2 &amp; "/mug/sn_d55c0f9d25cbd476f8d402a0606df195/rendering/01.obj", "12.0725698471")</f>
        <v>12.0725698471</v>
      </c>
      <c r="E1705" s="39" t="str">
        <f>HYPERLINK(AB2 &amp; "/mug/sn_d55c0f9d25cbd476f8d402a0606df195/rendering/02.obj", "9.94462490082")</f>
        <v>9.94462490082</v>
      </c>
      <c r="F1705" s="10" t="str">
        <f>HYPERLINK(AB2 &amp; "/mug/sn_d55c0f9d25cbd476f8d402a0606df195/rendering/03.obj", "10.2561073303")</f>
        <v>10.2561073303</v>
      </c>
      <c r="G1705" s="94" t="str">
        <f>HYPERLINK(AB2 &amp; "/mug/sn_d55c0f9d25cbd476f8d402a0606df195/rendering/04.obj", "10.0747661591")</f>
        <v>10.0747661591</v>
      </c>
      <c r="H1705" s="63" t="str">
        <f>HYPERLINK(AB2 &amp; "/mug/sn_d55c0f9d25cbd476f8d402a0606df195/rendering/05.obj", "9.55041885376")</f>
        <v>9.55041885376</v>
      </c>
      <c r="I1705" s="48" t="str">
        <f>HYPERLINK(AB2 &amp; "/mug/sn_d55c0f9d25cbd476f8d402a0606df195/rendering/06.obj", "10.5975847244")</f>
        <v>10.5975847244</v>
      </c>
      <c r="J1705" s="25" t="str">
        <f>HYPERLINK(AB2 &amp; "/mug/sn_d55c0f9d25cbd476f8d402a0606df195/rendering/07.obj", "10.7323026657")</f>
        <v>10.7323026657</v>
      </c>
      <c r="K1705" s="20" t="str">
        <f>HYPERLINK(AB2 &amp; "/mug/sn_d55c0f9d25cbd476f8d402a0606df195/rendering/08.obj", "24.3008365631")</f>
        <v>24.3008365631</v>
      </c>
      <c r="L1705" s="76" t="str">
        <f>HYPERLINK(AB2 &amp; "/mug/sn_d55c0f9d25cbd476f8d402a0606df195/rendering/09.obj", "8.88062667847")</f>
        <v>8.88062667847</v>
      </c>
      <c r="M1705" s="75" t="str">
        <f>HYPERLINK(AB2 &amp; "/mug/sn_d55c0f9d25cbd476f8d402a0606df195/rendering/10.obj", "8.44968509674")</f>
        <v>8.44968509674</v>
      </c>
      <c r="N1705" s="134" t="str">
        <f>HYPERLINK(AB2 &amp; "/mug/sn_d55c0f9d25cbd476f8d402a0606df195/rendering/11.obj", "8.89189720154")</f>
        <v>8.89189720154</v>
      </c>
      <c r="O1705" s="50" t="str">
        <f>HYPERLINK(AB2 &amp; "/mug/sn_d55c0f9d25cbd476f8d402a0606df195/rendering/12.obj", "8.70209693909")</f>
        <v>8.70209693909</v>
      </c>
      <c r="P1705" s="98" t="str">
        <f>HYPERLINK(AB2 &amp; "/mug/sn_d55c0f9d25cbd476f8d402a0606df195/rendering/13.obj", "8.35056877136")</f>
        <v>8.35056877136</v>
      </c>
      <c r="Q1705" s="175" t="str">
        <f>HYPERLINK(AB2 &amp; "/mug/sn_d55c0f9d25cbd476f8d402a0606df195/rendering/14.obj", "8.32733345032")</f>
        <v>8.32733345032</v>
      </c>
      <c r="R1705" s="110" t="str">
        <f>HYPERLINK(AB2 &amp; "/mug/sn_d55c0f9d25cbd476f8d402a0606df195/rendering/15.obj", "9.79355430603")</f>
        <v>9.79355430603</v>
      </c>
      <c r="S1705" s="165" t="str">
        <f>HYPERLINK(AB2 &amp; "/mug/sn_d55c0f9d25cbd476f8d402a0606df195/rendering/16.obj", "18.3861637115")</f>
        <v>18.3861637115</v>
      </c>
      <c r="T1705" s="129" t="str">
        <f>HYPERLINK(AB2 &amp; "/mug/sn_d55c0f9d25cbd476f8d402a0606df195/rendering/17.obj", "8.14867019653")</f>
        <v>8.14867019653</v>
      </c>
      <c r="U1705" s="75" t="str">
        <f>HYPERLINK(AB2 &amp; "/mug/sn_d55c0f9d25cbd476f8d402a0606df195/rendering/18.obj", "8.4731054306")</f>
        <v>8.4731054306</v>
      </c>
      <c r="V1705" s="42" t="str">
        <f>HYPERLINK(AB2 &amp; "/mug/sn_d55c0f9d25cbd476f8d402a0606df195/rendering/19.obj", "9.3782491684")</f>
        <v>9.3782491684</v>
      </c>
      <c r="W1705" s="12" t="s">
        <v>32</v>
      </c>
      <c r="X1705" s="13">
        <v>10.867262840271</v>
      </c>
      <c r="Y1705" s="13">
        <v>3.8717784048934871</v>
      </c>
      <c r="Z1705" s="153">
        <v>0.35627907981996843</v>
      </c>
    </row>
    <row r="1706" spans="1:26" x14ac:dyDescent="0.2">
      <c r="A1706" s="1">
        <v>1704</v>
      </c>
      <c r="B1706" s="2" t="s">
        <v>373</v>
      </c>
      <c r="C1706" s="13" t="str">
        <f>HYPERLINK(AC2 &amp; "/mug/sn_d55c0f9d25cbd476f8d402a0606df195/rendering/00.xyz", "0.0")</f>
        <v>0.0</v>
      </c>
      <c r="D1706" s="13" t="str">
        <f>HYPERLINK(AC2 &amp; "/mug/sn_d55c0f9d25cbd476f8d402a0606df195/rendering/01.xyz", "0.0")</f>
        <v>0.0</v>
      </c>
      <c r="E1706" s="13" t="str">
        <f>HYPERLINK(AC2 &amp; "/mug/sn_d55c0f9d25cbd476f8d402a0606df195/rendering/02.xyz", "0.0")</f>
        <v>0.0</v>
      </c>
      <c r="F1706" s="13" t="str">
        <f>HYPERLINK(AC2 &amp; "/mug/sn_d55c0f9d25cbd476f8d402a0606df195/rendering/03.xyz", "0.0")</f>
        <v>0.0</v>
      </c>
      <c r="G1706" s="13" t="str">
        <f>HYPERLINK(AC2 &amp; "/mug/sn_d55c0f9d25cbd476f8d402a0606df195/rendering/04.xyz", "0.0")</f>
        <v>0.0</v>
      </c>
      <c r="H1706" s="13" t="str">
        <f>HYPERLINK(AC2 &amp; "/mug/sn_d55c0f9d25cbd476f8d402a0606df195/rendering/05.xyz", "0.0")</f>
        <v>0.0</v>
      </c>
      <c r="I1706" s="13" t="str">
        <f>HYPERLINK(AC2 &amp; "/mug/sn_d55c0f9d25cbd476f8d402a0606df195/rendering/06.xyz", "0.0")</f>
        <v>0.0</v>
      </c>
      <c r="J1706" s="13" t="str">
        <f>HYPERLINK(AC2 &amp; "/mug/sn_d55c0f9d25cbd476f8d402a0606df195/rendering/07.xyz", "0.0")</f>
        <v>0.0</v>
      </c>
      <c r="K1706" s="13" t="str">
        <f>HYPERLINK(AC2 &amp; "/mug/sn_d55c0f9d25cbd476f8d402a0606df195/rendering/08.xyz", "0.0")</f>
        <v>0.0</v>
      </c>
      <c r="L1706" s="13" t="str">
        <f>HYPERLINK(AC2 &amp; "/mug/sn_d55c0f9d25cbd476f8d402a0606df195/rendering/09.xyz", "0.0")</f>
        <v>0.0</v>
      </c>
      <c r="M1706" s="13" t="str">
        <f>HYPERLINK(AC2 &amp; "/mug/sn_d55c0f9d25cbd476f8d402a0606df195/rendering/10.xyz", "0.0")</f>
        <v>0.0</v>
      </c>
      <c r="N1706" s="13" t="str">
        <f>HYPERLINK(AC2 &amp; "/mug/sn_d55c0f9d25cbd476f8d402a0606df195/rendering/11.xyz", "0.0")</f>
        <v>0.0</v>
      </c>
      <c r="O1706" s="13" t="str">
        <f>HYPERLINK(AC2 &amp; "/mug/sn_d55c0f9d25cbd476f8d402a0606df195/rendering/12.xyz", "0.0")</f>
        <v>0.0</v>
      </c>
      <c r="P1706" s="13" t="str">
        <f>HYPERLINK(AC2 &amp; "/mug/sn_d55c0f9d25cbd476f8d402a0606df195/rendering/13.xyz", "0.0")</f>
        <v>0.0</v>
      </c>
      <c r="Q1706" s="13" t="str">
        <f>HYPERLINK(AC2 &amp; "/mug/sn_d55c0f9d25cbd476f8d402a0606df195/rendering/14.xyz", "0.0")</f>
        <v>0.0</v>
      </c>
      <c r="R1706" s="13" t="str">
        <f>HYPERLINK(AC2 &amp; "/mug/sn_d55c0f9d25cbd476f8d402a0606df195/rendering/15.xyz", "0.0")</f>
        <v>0.0</v>
      </c>
      <c r="S1706" s="13" t="str">
        <f>HYPERLINK(AC2 &amp; "/mug/sn_d55c0f9d25cbd476f8d402a0606df195/rendering/16.xyz", "0.0")</f>
        <v>0.0</v>
      </c>
      <c r="T1706" s="13" t="str">
        <f>HYPERLINK(AC2 &amp; "/mug/sn_d55c0f9d25cbd476f8d402a0606df195/rendering/17.xyz", "0.0")</f>
        <v>0.0</v>
      </c>
      <c r="U1706" s="13" t="str">
        <f>HYPERLINK(AC2 &amp; "/mug/sn_d55c0f9d25cbd476f8d402a0606df195/rendering/18.xyz", "0.0")</f>
        <v>0.0</v>
      </c>
      <c r="V1706" s="13" t="str">
        <f>HYPERLINK(AC2 &amp; "/mug/sn_d55c0f9d25cbd476f8d402a0606df195/rendering/19.xyz", "0.0")</f>
        <v>0.0</v>
      </c>
      <c r="W1706" s="12" t="s">
        <v>33</v>
      </c>
      <c r="X1706" s="13">
        <v>0</v>
      </c>
      <c r="Y1706" s="13">
        <v>0</v>
      </c>
      <c r="Z1706" s="13">
        <v>0</v>
      </c>
    </row>
    <row r="1707" spans="1:26" x14ac:dyDescent="0.2">
      <c r="A1707" s="1">
        <v>1705</v>
      </c>
      <c r="B1707" s="2" t="s">
        <v>374</v>
      </c>
      <c r="C1707" s="135" t="str">
        <f>HYPERLINK(AA2 &amp; "/mug/sn_d75af64aa166c24eacbe2257d0988c9c/rendering/00.obj", "7.72135864258")</f>
        <v>7.72135864258</v>
      </c>
      <c r="D1707" s="121" t="str">
        <f>HYPERLINK(AA2 &amp; "/mug/sn_d75af64aa166c24eacbe2257d0988c9c/rendering/01.obj", "3.98373840332")</f>
        <v>3.98373840332</v>
      </c>
      <c r="E1707" s="149" t="str">
        <f>HYPERLINK(AA2 &amp; "/mug/sn_d75af64aa166c24eacbe2257d0988c9c/rendering/02.obj", "4.04154418945")</f>
        <v>4.04154418945</v>
      </c>
      <c r="F1707" s="149" t="str">
        <f>HYPERLINK(AA2 &amp; "/mug/sn_d75af64aa166c24eacbe2257d0988c9c/rendering/03.obj", "8.25483337402")</f>
        <v>8.25483337402</v>
      </c>
      <c r="G1707" s="106" t="str">
        <f>HYPERLINK(AA2 &amp; "/mug/sn_d75af64aa166c24eacbe2257d0988c9c/rendering/04.obj", "5.44695922852")</f>
        <v>5.44695922852</v>
      </c>
      <c r="H1707" s="80" t="str">
        <f>HYPERLINK(AA2 &amp; "/mug/sn_d75af64aa166c24eacbe2257d0988c9c/rendering/05.obj", "7.05368041992")</f>
        <v>7.05368041992</v>
      </c>
      <c r="I1707" s="48" t="str">
        <f>HYPERLINK(AA2 &amp; "/mug/sn_d75af64aa166c24eacbe2257d0988c9c/rendering/06.obj", "6.00762390137")</f>
        <v>6.00762390137</v>
      </c>
      <c r="J1707" s="212" t="str">
        <f>HYPERLINK(AA2 &amp; "/mug/sn_d75af64aa166c24eacbe2257d0988c9c/rendering/07.obj", "3.49335510254")</f>
        <v>3.49335510254</v>
      </c>
      <c r="K1707" s="69" t="str">
        <f>HYPERLINK(AA2 &amp; "/mug/sn_d75af64aa166c24eacbe2257d0988c9c/rendering/08.obj", "5.96786010742")</f>
        <v>5.96786010742</v>
      </c>
      <c r="L1707" s="64" t="str">
        <f>HYPERLINK(AA2 &amp; "/mug/sn_d75af64aa166c24eacbe2257d0988c9c/rendering/09.obj", "7.16491088867")</f>
        <v>7.16491088867</v>
      </c>
      <c r="M1707" s="106" t="str">
        <f>HYPERLINK(AA2 &amp; "/mug/sn_d75af64aa166c24eacbe2257d0988c9c/rendering/10.obj", "5.43462646484")</f>
        <v>5.43462646484</v>
      </c>
      <c r="N1707" s="49" t="str">
        <f>HYPERLINK(AA2 &amp; "/mug/sn_d75af64aa166c24eacbe2257d0988c9c/rendering/11.obj", "4.86157043457")</f>
        <v>4.86157043457</v>
      </c>
      <c r="O1707" s="120" t="str">
        <f>HYPERLINK(AA2 &amp; "/mug/sn_d75af64aa166c24eacbe2257d0988c9c/rendering/12.obj", "7.45100708008")</f>
        <v>7.45100708008</v>
      </c>
      <c r="P1707" s="57" t="str">
        <f>HYPERLINK(AA2 &amp; "/mug/sn_d75af64aa166c24eacbe2257d0988c9c/rendering/13.obj", "4.21446044922")</f>
        <v>4.21446044922</v>
      </c>
      <c r="Q1707" s="11" t="str">
        <f>HYPERLINK(AA2 &amp; "/mug/sn_d75af64aa166c24eacbe2257d0988c9c/rendering/14.obj", "7.5244732666")</f>
        <v>7.5244732666</v>
      </c>
      <c r="R1707" s="96" t="str">
        <f>HYPERLINK(AA2 &amp; "/mug/sn_d75af64aa166c24eacbe2257d0988c9c/rendering/15.obj", "3.91817016602")</f>
        <v>3.91817016602</v>
      </c>
      <c r="S1707" s="91" t="str">
        <f>HYPERLINK(AA2 &amp; "/mug/sn_d75af64aa166c24eacbe2257d0988c9c/rendering/16.obj", "5.97639038086")</f>
        <v>5.97639038086</v>
      </c>
      <c r="T1707" s="121" t="str">
        <f>HYPERLINK(AA2 &amp; "/mug/sn_d75af64aa166c24eacbe2257d0988c9c/rendering/17.obj", "8.32014892578")</f>
        <v>8.32014892578</v>
      </c>
      <c r="U1707" s="128" t="str">
        <f>HYPERLINK(AA2 &amp; "/mug/sn_d75af64aa166c24eacbe2257d0988c9c/rendering/18.obj", "3.73940826416")</f>
        <v>3.73940826416</v>
      </c>
      <c r="V1707" s="20" t="str">
        <f>HYPERLINK(AA2 &amp; "/mug/sn_d75af64aa166c24eacbe2257d0988c9c/rendering/19.obj", "12.3128979492")</f>
        <v>12.3128979492</v>
      </c>
      <c r="W1707" s="12" t="s">
        <v>29</v>
      </c>
      <c r="X1707" s="13">
        <v>6.1444508819580088</v>
      </c>
      <c r="Y1707" s="13">
        <v>2.103595040752483</v>
      </c>
      <c r="Z1707" s="149">
        <v>0.34235688121932628</v>
      </c>
    </row>
    <row r="1708" spans="1:26" x14ac:dyDescent="0.2">
      <c r="A1708" s="1">
        <v>1706</v>
      </c>
      <c r="B1708" s="2" t="s">
        <v>374</v>
      </c>
      <c r="C1708" s="41" t="str">
        <f>HYPERLINK(AA2 &amp; "/mug/sn_d75af64aa166c24eacbe2257d0988c9c/rendering/00.obj", "14.576171875")</f>
        <v>14.576171875</v>
      </c>
      <c r="D1708" s="123" t="str">
        <f>HYPERLINK(AA2 &amp; "/mug/sn_d75af64aa166c24eacbe2257d0988c9c/rendering/01.obj", "8.623087883")</f>
        <v>8.623087883</v>
      </c>
      <c r="E1708" s="151" t="str">
        <f>HYPERLINK(AA2 &amp; "/mug/sn_d75af64aa166c24eacbe2257d0988c9c/rendering/02.obj", "8.7540473938")</f>
        <v>8.7540473938</v>
      </c>
      <c r="F1708" s="128" t="str">
        <f>HYPERLINK(AA2 &amp; "/mug/sn_d75af64aa166c24eacbe2257d0988c9c/rendering/03.obj", "18.9944877625")</f>
        <v>18.9944877625</v>
      </c>
      <c r="G1708" s="84" t="str">
        <f>HYPERLINK(AA2 &amp; "/mug/sn_d75af64aa166c24eacbe2257d0988c9c/rendering/04.obj", "11.6679868698")</f>
        <v>11.6679868698</v>
      </c>
      <c r="H1708" s="39" t="str">
        <f>HYPERLINK(AA2 &amp; "/mug/sn_d75af64aa166c24eacbe2257d0988c9c/rendering/05.obj", "14.8373727798")</f>
        <v>14.8373727798</v>
      </c>
      <c r="I1708" s="11" t="str">
        <f>HYPERLINK(AA2 &amp; "/mug/sn_d75af64aa166c24eacbe2257d0988c9c/rendering/06.obj", "10.6183214188")</f>
        <v>10.6183214188</v>
      </c>
      <c r="J1708" s="139" t="str">
        <f>HYPERLINK(AA2 &amp; "/mug/sn_d75af64aa166c24eacbe2257d0988c9c/rendering/07.obj", "7.09227800369")</f>
        <v>7.09227800369</v>
      </c>
      <c r="K1708" s="88" t="str">
        <f>HYPERLINK(AA2 &amp; "/mug/sn_d75af64aa166c24eacbe2257d0988c9c/rendering/08.obj", "10.9039649963")</f>
        <v>10.9039649963</v>
      </c>
      <c r="L1708" s="171" t="str">
        <f>HYPERLINK(AA2 &amp; "/mug/sn_d75af64aa166c24eacbe2257d0988c9c/rendering/09.obj", "17.8331623077")</f>
        <v>17.8331623077</v>
      </c>
      <c r="M1708" s="79" t="str">
        <f>HYPERLINK(AA2 &amp; "/mug/sn_d75af64aa166c24eacbe2257d0988c9c/rendering/10.obj", "11.511806488")</f>
        <v>11.511806488</v>
      </c>
      <c r="N1708" s="93" t="str">
        <f>HYPERLINK(AA2 &amp; "/mug/sn_d75af64aa166c24eacbe2257d0988c9c/rendering/11.obj", "15.5515518188")</f>
        <v>15.5515518188</v>
      </c>
      <c r="O1708" s="75" t="str">
        <f>HYPERLINK(AA2 &amp; "/mug/sn_d75af64aa166c24eacbe2257d0988c9c/rendering/12.obj", "16.6746520996")</f>
        <v>16.6746520996</v>
      </c>
      <c r="P1708" s="57" t="str">
        <f>HYPERLINK(AA2 &amp; "/mug/sn_d75af64aa166c24eacbe2257d0988c9c/rendering/13.obj", "9.37072086334")</f>
        <v>9.37072086334</v>
      </c>
      <c r="Q1708" s="65" t="str">
        <f>HYPERLINK(AA2 &amp; "/mug/sn_d75af64aa166c24eacbe2257d0988c9c/rendering/14.obj", "15.4714584351")</f>
        <v>15.4714584351</v>
      </c>
      <c r="R1708" s="162" t="str">
        <f>HYPERLINK(AA2 &amp; "/mug/sn_d75af64aa166c24eacbe2257d0988c9c/rendering/15.obj", "7.87670707703")</f>
        <v>7.87670707703</v>
      </c>
      <c r="S1708" s="39" t="str">
        <f>HYPERLINK(AA2 &amp; "/mug/sn_d75af64aa166c24eacbe2257d0988c9c/rendering/16.obj", "14.8491315842")</f>
        <v>14.8491315842</v>
      </c>
      <c r="T1708" s="176" t="str">
        <f>HYPERLINK(AA2 &amp; "/mug/sn_d75af64aa166c24eacbe2257d0988c9c/rendering/17.obj", "18.0208320618")</f>
        <v>18.0208320618</v>
      </c>
      <c r="U1708" s="159" t="str">
        <f>HYPERLINK(AA2 &amp; "/mug/sn_d75af64aa166c24eacbe2257d0988c9c/rendering/18.obj", "7.24641180038")</f>
        <v>7.24641180038</v>
      </c>
      <c r="V1708" s="20" t="str">
        <f>HYPERLINK(AA2 &amp; "/mug/sn_d75af64aa166c24eacbe2257d0988c9c/rendering/19.obj", "32.8101768494")</f>
        <v>32.8101768494</v>
      </c>
      <c r="W1708" s="12" t="s">
        <v>30</v>
      </c>
      <c r="X1708" s="13">
        <v>13.6642165184021</v>
      </c>
      <c r="Y1708" s="13">
        <v>5.7540752007731522</v>
      </c>
      <c r="Z1708" s="111">
        <v>0.42110538815188769</v>
      </c>
    </row>
    <row r="1709" spans="1:26" x14ac:dyDescent="0.2">
      <c r="A1709" s="1">
        <v>1707</v>
      </c>
      <c r="B1709" s="2" t="s">
        <v>374</v>
      </c>
      <c r="C1709" s="31" t="str">
        <f>HYPERLINK(AB2 &amp; "/mug/sn_d75af64aa166c24eacbe2257d0988c9c/rendering/00.obj", "2.60048736572")</f>
        <v>2.60048736572</v>
      </c>
      <c r="D1709" s="88" t="str">
        <f>HYPERLINK(AB2 &amp; "/mug/sn_d75af64aa166c24eacbe2257d0988c9c/rendering/01.obj", "3.70360473633")</f>
        <v>3.70360473633</v>
      </c>
      <c r="E1709" s="32" t="str">
        <f>HYPERLINK(AB2 &amp; "/mug/sn_d75af64aa166c24eacbe2257d0988c9c/rendering/02.obj", "2.75353363037")</f>
        <v>2.75353363037</v>
      </c>
      <c r="F1709" s="31" t="str">
        <f>HYPERLINK(AB2 &amp; "/mug/sn_d75af64aa166c24eacbe2257d0988c9c/rendering/03.obj", "2.59849304199")</f>
        <v>2.59849304199</v>
      </c>
      <c r="G1709" s="25" t="str">
        <f>HYPERLINK(AB2 &amp; "/mug/sn_d75af64aa166c24eacbe2257d0988c9c/rendering/04.obj", "3.11024963379")</f>
        <v>3.11024963379</v>
      </c>
      <c r="H1709" s="60" t="str">
        <f>HYPERLINK(AB2 &amp; "/mug/sn_d75af64aa166c24eacbe2257d0988c9c/rendering/05.obj", "2.9237121582")</f>
        <v>2.9237121582</v>
      </c>
      <c r="I1709" s="10" t="str">
        <f>HYPERLINK(AB2 &amp; "/mug/sn_d75af64aa166c24eacbe2257d0988c9c/rendering/06.obj", "3.24541900635")</f>
        <v>3.24541900635</v>
      </c>
      <c r="J1709" s="109" t="str">
        <f>HYPERLINK(AB2 &amp; "/mug/sn_d75af64aa166c24eacbe2257d0988c9c/rendering/07.obj", "3.66989929199")</f>
        <v>3.66989929199</v>
      </c>
      <c r="K1709" s="72" t="str">
        <f>HYPERLINK(AB2 &amp; "/mug/sn_d75af64aa166c24eacbe2257d0988c9c/rendering/08.obj", "3.18442504883")</f>
        <v>3.18442504883</v>
      </c>
      <c r="L1709" s="10" t="str">
        <f>HYPERLINK(AB2 &amp; "/mug/sn_d75af64aa166c24eacbe2257d0988c9c/rendering/09.obj", "2.9078515625")</f>
        <v>2.9078515625</v>
      </c>
      <c r="M1709" s="33" t="str">
        <f>HYPERLINK(AB2 &amp; "/mug/sn_d75af64aa166c24eacbe2257d0988c9c/rendering/10.obj", "2.74453613281")</f>
        <v>2.74453613281</v>
      </c>
      <c r="N1709" s="70" t="str">
        <f>HYPERLINK(AB2 &amp; "/mug/sn_d75af64aa166c24eacbe2257d0988c9c/rendering/11.obj", "3.4700668335")</f>
        <v>3.4700668335</v>
      </c>
      <c r="O1709" s="46" t="str">
        <f>HYPERLINK(AB2 &amp; "/mug/sn_d75af64aa166c24eacbe2257d0988c9c/rendering/12.obj", "3.03047058105")</f>
        <v>3.03047058105</v>
      </c>
      <c r="P1709" s="81" t="str">
        <f>HYPERLINK(AB2 &amp; "/mug/sn_d75af64aa166c24eacbe2257d0988c9c/rendering/13.obj", "3.74820587158")</f>
        <v>3.74820587158</v>
      </c>
      <c r="Q1709" s="13" t="str">
        <f>HYPERLINK(AB2 &amp; "/mug/sn_d75af64aa166c24eacbe2257d0988c9c/rendering/14.obj", "3.07402618408")</f>
        <v>3.07402618408</v>
      </c>
      <c r="R1709" s="106" t="str">
        <f>HYPERLINK(AB2 &amp; "/mug/sn_d75af64aa166c24eacbe2257d0988c9c/rendering/15.obj", "2.724765625")</f>
        <v>2.724765625</v>
      </c>
      <c r="S1709" s="110" t="str">
        <f>HYPERLINK(AB2 &amp; "/mug/sn_d75af64aa166c24eacbe2257d0988c9c/rendering/16.obj", "2.77860351562")</f>
        <v>2.77860351562</v>
      </c>
      <c r="T1709" s="17" t="str">
        <f>HYPERLINK(AB2 &amp; "/mug/sn_d75af64aa166c24eacbe2257d0988c9c/rendering/17.obj", "3.01834411621")</f>
        <v>3.01834411621</v>
      </c>
      <c r="U1709" s="107" t="str">
        <f>HYPERLINK(AB2 &amp; "/mug/sn_d75af64aa166c24eacbe2257d0988c9c/rendering/18.obj", "3.33625976562")</f>
        <v>3.33625976562</v>
      </c>
      <c r="V1709" s="69" t="str">
        <f>HYPERLINK(AB2 &amp; "/mug/sn_d75af64aa166c24eacbe2257d0988c9c/rendering/19.obj", "2.99220703125")</f>
        <v>2.99220703125</v>
      </c>
      <c r="W1709" s="12" t="s">
        <v>31</v>
      </c>
      <c r="X1709" s="13">
        <v>3.080758056640625</v>
      </c>
      <c r="Y1709" s="13">
        <v>0.34686767718393541</v>
      </c>
      <c r="Z1709" s="28">
        <v>0.1125916643912547</v>
      </c>
    </row>
    <row r="1710" spans="1:26" x14ac:dyDescent="0.2">
      <c r="A1710" s="1">
        <v>1708</v>
      </c>
      <c r="B1710" s="2" t="s">
        <v>374</v>
      </c>
      <c r="C1710" s="51" t="str">
        <f>HYPERLINK(AB2 &amp; "/mug/sn_d75af64aa166c24eacbe2257d0988c9c/rendering/00.obj", "5.92440271378")</f>
        <v>5.92440271378</v>
      </c>
      <c r="D1710" s="95" t="str">
        <f>HYPERLINK(AB2 &amp; "/mug/sn_d75af64aa166c24eacbe2257d0988c9c/rendering/01.obj", "7.0156826973")</f>
        <v>7.0156826973</v>
      </c>
      <c r="E1710" s="41" t="str">
        <f>HYPERLINK(AB2 &amp; "/mug/sn_d75af64aa166c24eacbe2257d0988c9c/rendering/02.obj", "5.11860752106")</f>
        <v>5.11860752106</v>
      </c>
      <c r="F1710" s="17" t="str">
        <f>HYPERLINK(AB2 &amp; "/mug/sn_d75af64aa166c24eacbe2257d0988c9c/rendering/03.obj", "5.3704123497")</f>
        <v>5.3704123497</v>
      </c>
      <c r="G1710" s="39" t="str">
        <f>HYPERLINK(AB2 &amp; "/mug/sn_d75af64aa166c24eacbe2257d0988c9c/rendering/04.obj", "5.01145887375")</f>
        <v>5.01145887375</v>
      </c>
      <c r="H1710" s="5" t="str">
        <f>HYPERLINK(AB2 &amp; "/mug/sn_d75af64aa166c24eacbe2257d0988c9c/rendering/05.obj", "5.05426692963")</f>
        <v>5.05426692963</v>
      </c>
      <c r="I1710" s="48" t="str">
        <f>HYPERLINK(AB2 &amp; "/mug/sn_d75af64aa166c24eacbe2257d0988c9c/rendering/06.obj", "5.35180997849")</f>
        <v>5.35180997849</v>
      </c>
      <c r="J1710" s="70" t="str">
        <f>HYPERLINK(AB2 &amp; "/mug/sn_d75af64aa166c24eacbe2257d0988c9c/rendering/07.obj", "6.17499017715")</f>
        <v>6.17499017715</v>
      </c>
      <c r="K1710" s="91" t="str">
        <f>HYPERLINK(AB2 &amp; "/mug/sn_d75af64aa166c24eacbe2257d0988c9c/rendering/08.obj", "5.33305549622")</f>
        <v>5.33305549622</v>
      </c>
      <c r="L1710" s="78" t="str">
        <f>HYPERLINK(AB2 &amp; "/mug/sn_d75af64aa166c24eacbe2257d0988c9c/rendering/09.obj", "5.82009649277")</f>
        <v>5.82009649277</v>
      </c>
      <c r="M1710" s="32" t="str">
        <f>HYPERLINK(AB2 &amp; "/mug/sn_d75af64aa166c24eacbe2257d0988c9c/rendering/10.obj", "4.9098572731")</f>
        <v>4.9098572731</v>
      </c>
      <c r="N1710" s="135" t="str">
        <f>HYPERLINK(AB2 &amp; "/mug/sn_d75af64aa166c24eacbe2257d0988c9c/rendering/11.obj", "6.88469362259")</f>
        <v>6.88469362259</v>
      </c>
      <c r="O1710" s="90" t="str">
        <f>HYPERLINK(AB2 &amp; "/mug/sn_d75af64aa166c24eacbe2257d0988c9c/rendering/12.obj", "4.96341943741")</f>
        <v>4.96341943741</v>
      </c>
      <c r="P1710" s="48" t="str">
        <f>HYPERLINK(AB2 &amp; "/mug/sn_d75af64aa166c24eacbe2257d0988c9c/rendering/13.obj", "5.62148475647")</f>
        <v>5.62148475647</v>
      </c>
      <c r="Q1710" s="107" t="str">
        <f>HYPERLINK(AB2 &amp; "/mug/sn_d75af64aa166c24eacbe2257d0988c9c/rendering/14.obj", "5.02675771713")</f>
        <v>5.02675771713</v>
      </c>
      <c r="R1710" s="69" t="str">
        <f>HYPERLINK(AB2 &amp; "/mug/sn_d75af64aa166c24eacbe2257d0988c9c/rendering/15.obj", "5.63929653168")</f>
        <v>5.63929653168</v>
      </c>
      <c r="S1710" s="107" t="str">
        <f>HYPERLINK(AB2 &amp; "/mug/sn_d75af64aa166c24eacbe2257d0988c9c/rendering/16.obj", "5.02146244049")</f>
        <v>5.02146244049</v>
      </c>
      <c r="T1710" s="92" t="str">
        <f>HYPERLINK(AB2 &amp; "/mug/sn_d75af64aa166c24eacbe2257d0988c9c/rendering/17.obj", "4.80016994476")</f>
        <v>4.80016994476</v>
      </c>
      <c r="U1710" s="73" t="str">
        <f>HYPERLINK(AB2 &amp; "/mug/sn_d75af64aa166c24eacbe2257d0988c9c/rendering/18.obj", "5.68205308914")</f>
        <v>5.68205308914</v>
      </c>
      <c r="V1710" s="90" t="str">
        <f>HYPERLINK(AB2 &amp; "/mug/sn_d75af64aa166c24eacbe2257d0988c9c/rendering/19.obj", "4.95528411865")</f>
        <v>4.95528411865</v>
      </c>
      <c r="W1710" s="12" t="s">
        <v>32</v>
      </c>
      <c r="X1710" s="13">
        <v>5.4839631080627438</v>
      </c>
      <c r="Y1710" s="13">
        <v>0.61400646648575685</v>
      </c>
      <c r="Z1710" s="28">
        <v>0.1119640038393073</v>
      </c>
    </row>
    <row r="1711" spans="1:26" x14ac:dyDescent="0.2">
      <c r="A1711" s="1">
        <v>1709</v>
      </c>
      <c r="B1711" s="2" t="s">
        <v>374</v>
      </c>
      <c r="C1711" s="13" t="str">
        <f>HYPERLINK(AC2 &amp; "/mug/sn_d75af64aa166c24eacbe2257d0988c9c/rendering/00.xyz", "0.0")</f>
        <v>0.0</v>
      </c>
      <c r="D1711" s="13" t="str">
        <f>HYPERLINK(AC2 &amp; "/mug/sn_d75af64aa166c24eacbe2257d0988c9c/rendering/01.xyz", "0.0")</f>
        <v>0.0</v>
      </c>
      <c r="E1711" s="13" t="str">
        <f>HYPERLINK(AC2 &amp; "/mug/sn_d75af64aa166c24eacbe2257d0988c9c/rendering/02.xyz", "0.0")</f>
        <v>0.0</v>
      </c>
      <c r="F1711" s="13" t="str">
        <f>HYPERLINK(AC2 &amp; "/mug/sn_d75af64aa166c24eacbe2257d0988c9c/rendering/03.xyz", "0.0")</f>
        <v>0.0</v>
      </c>
      <c r="G1711" s="13" t="str">
        <f>HYPERLINK(AC2 &amp; "/mug/sn_d75af64aa166c24eacbe2257d0988c9c/rendering/04.xyz", "0.0")</f>
        <v>0.0</v>
      </c>
      <c r="H1711" s="13" t="str">
        <f>HYPERLINK(AC2 &amp; "/mug/sn_d75af64aa166c24eacbe2257d0988c9c/rendering/05.xyz", "0.0")</f>
        <v>0.0</v>
      </c>
      <c r="I1711" s="13" t="str">
        <f>HYPERLINK(AC2 &amp; "/mug/sn_d75af64aa166c24eacbe2257d0988c9c/rendering/06.xyz", "0.0")</f>
        <v>0.0</v>
      </c>
      <c r="J1711" s="13" t="str">
        <f>HYPERLINK(AC2 &amp; "/mug/sn_d75af64aa166c24eacbe2257d0988c9c/rendering/07.xyz", "0.0")</f>
        <v>0.0</v>
      </c>
      <c r="K1711" s="13" t="str">
        <f>HYPERLINK(AC2 &amp; "/mug/sn_d75af64aa166c24eacbe2257d0988c9c/rendering/08.xyz", "0.0")</f>
        <v>0.0</v>
      </c>
      <c r="L1711" s="13" t="str">
        <f>HYPERLINK(AC2 &amp; "/mug/sn_d75af64aa166c24eacbe2257d0988c9c/rendering/09.xyz", "0.0")</f>
        <v>0.0</v>
      </c>
      <c r="M1711" s="13" t="str">
        <f>HYPERLINK(AC2 &amp; "/mug/sn_d75af64aa166c24eacbe2257d0988c9c/rendering/10.xyz", "0.0")</f>
        <v>0.0</v>
      </c>
      <c r="N1711" s="13" t="str">
        <f>HYPERLINK(AC2 &amp; "/mug/sn_d75af64aa166c24eacbe2257d0988c9c/rendering/11.xyz", "0.0")</f>
        <v>0.0</v>
      </c>
      <c r="O1711" s="13" t="str">
        <f>HYPERLINK(AC2 &amp; "/mug/sn_d75af64aa166c24eacbe2257d0988c9c/rendering/12.xyz", "0.0")</f>
        <v>0.0</v>
      </c>
      <c r="P1711" s="13" t="str">
        <f>HYPERLINK(AC2 &amp; "/mug/sn_d75af64aa166c24eacbe2257d0988c9c/rendering/13.xyz", "0.0")</f>
        <v>0.0</v>
      </c>
      <c r="Q1711" s="13" t="str">
        <f>HYPERLINK(AC2 &amp; "/mug/sn_d75af64aa166c24eacbe2257d0988c9c/rendering/14.xyz", "0.0")</f>
        <v>0.0</v>
      </c>
      <c r="R1711" s="13" t="str">
        <f>HYPERLINK(AC2 &amp; "/mug/sn_d75af64aa166c24eacbe2257d0988c9c/rendering/15.xyz", "0.0")</f>
        <v>0.0</v>
      </c>
      <c r="S1711" s="13" t="str">
        <f>HYPERLINK(AC2 &amp; "/mug/sn_d75af64aa166c24eacbe2257d0988c9c/rendering/16.xyz", "0.0")</f>
        <v>0.0</v>
      </c>
      <c r="T1711" s="13" t="str">
        <f>HYPERLINK(AC2 &amp; "/mug/sn_d75af64aa166c24eacbe2257d0988c9c/rendering/17.xyz", "0.0")</f>
        <v>0.0</v>
      </c>
      <c r="U1711" s="13" t="str">
        <f>HYPERLINK(AC2 &amp; "/mug/sn_d75af64aa166c24eacbe2257d0988c9c/rendering/18.xyz", "0.0")</f>
        <v>0.0</v>
      </c>
      <c r="V1711" s="13" t="str">
        <f>HYPERLINK(AC2 &amp; "/mug/sn_d75af64aa166c24eacbe2257d0988c9c/rendering/19.xyz", "0.0")</f>
        <v>0.0</v>
      </c>
      <c r="W1711" s="12" t="s">
        <v>33</v>
      </c>
      <c r="X1711" s="13">
        <v>0</v>
      </c>
      <c r="Y1711" s="13">
        <v>0</v>
      </c>
      <c r="Z1711" s="13">
        <v>0</v>
      </c>
    </row>
    <row r="1712" spans="1:26" x14ac:dyDescent="0.2">
      <c r="A1712" s="1">
        <v>1710</v>
      </c>
      <c r="B1712" s="2" t="s">
        <v>375</v>
      </c>
      <c r="C1712" s="108" t="str">
        <f>HYPERLINK(AA2 &amp; "/mug/sn_d7ba704184d424dfd56d9106430c3fe/rendering/00.obj", "4.84257720947")</f>
        <v>4.84257720947</v>
      </c>
      <c r="D1712" s="4" t="str">
        <f>HYPERLINK(AA2 &amp; "/mug/sn_d7ba704184d424dfd56d9106430c3fe/rendering/01.obj", "4.60404663086")</f>
        <v>4.60404663086</v>
      </c>
      <c r="E1712" s="159" t="str">
        <f>HYPERLINK(AA2 &amp; "/mug/sn_d7ba704184d424dfd56d9106430c3fe/rendering/02.obj", "3.40059509277")</f>
        <v>3.40059509277</v>
      </c>
      <c r="F1712" s="54" t="str">
        <f>HYPERLINK(AA2 &amp; "/mug/sn_d7ba704184d424dfd56d9106430c3fe/rendering/03.obj", "4.31839904785")</f>
        <v>4.31839904785</v>
      </c>
      <c r="G1712" s="61" t="str">
        <f>HYPERLINK(AA2 &amp; "/mug/sn_d7ba704184d424dfd56d9106430c3fe/rendering/04.obj", "4.46825714111")</f>
        <v>4.46825714111</v>
      </c>
      <c r="H1712" s="213" t="str">
        <f>HYPERLINK(AA2 &amp; "/mug/sn_d7ba704184d424dfd56d9106430c3fe/rendering/05.obj", "9.58829956055")</f>
        <v>9.58829956055</v>
      </c>
      <c r="I1712" s="147" t="str">
        <f>HYPERLINK(AA2 &amp; "/mug/sn_d7ba704184d424dfd56d9106430c3fe/rendering/06.obj", "3.28353546143")</f>
        <v>3.28353546143</v>
      </c>
      <c r="J1712" s="20" t="str">
        <f>HYPERLINK(AA2 &amp; "/mug/sn_d7ba704184d424dfd56d9106430c3fe/rendering/07.obj", "14.2129919434")</f>
        <v>14.2129919434</v>
      </c>
      <c r="K1712" s="88" t="str">
        <f>HYPERLINK(AA2 &amp; "/mug/sn_d7ba704184d424dfd56d9106430c3fe/rendering/08.obj", "7.72067749023")</f>
        <v>7.72067749023</v>
      </c>
      <c r="L1712" s="223" t="str">
        <f>HYPERLINK(AA2 &amp; "/mug/sn_d7ba704184d424dfd56d9106430c3fe/rendering/09.obj", "10.0216699219")</f>
        <v>10.0216699219</v>
      </c>
      <c r="M1712" s="60" t="str">
        <f>HYPERLINK(AA2 &amp; "/mug/sn_d7ba704184d424dfd56d9106430c3fe/rendering/10.obj", "6.75266174316")</f>
        <v>6.75266174316</v>
      </c>
      <c r="N1712" s="131" t="str">
        <f>HYPERLINK(AA2 &amp; "/mug/sn_d7ba704184d424dfd56d9106430c3fe/rendering/11.obj", "3.45562561035")</f>
        <v>3.45562561035</v>
      </c>
      <c r="O1712" s="44" t="str">
        <f>HYPERLINK(AA2 &amp; "/mug/sn_d7ba704184d424dfd56d9106430c3fe/rendering/12.obj", "5.15301025391")</f>
        <v>5.15301025391</v>
      </c>
      <c r="P1712" s="209" t="str">
        <f>HYPERLINK(AA2 &amp; "/mug/sn_d7ba704184d424dfd56d9106430c3fe/rendering/13.obj", "11.2807104492")</f>
        <v>11.2807104492</v>
      </c>
      <c r="Q1712" s="66" t="str">
        <f>HYPERLINK(AA2 &amp; "/mug/sn_d7ba704184d424dfd56d9106430c3fe/rendering/14.obj", "7.45927734375")</f>
        <v>7.45927734375</v>
      </c>
      <c r="R1712" s="36" t="str">
        <f>HYPERLINK(AA2 &amp; "/mug/sn_d7ba704184d424dfd56d9106430c3fe/rendering/15.obj", "5.04134307861")</f>
        <v>5.04134307861</v>
      </c>
      <c r="S1712" s="47" t="str">
        <f>HYPERLINK(AA2 &amp; "/mug/sn_d7ba704184d424dfd56d9106430c3fe/rendering/16.obj", "6.36151245117")</f>
        <v>6.36151245117</v>
      </c>
      <c r="T1712" s="185" t="str">
        <f>HYPERLINK(AA2 &amp; "/mug/sn_d7ba704184d424dfd56d9106430c3fe/rendering/17.obj", "4.23110565186")</f>
        <v>4.23110565186</v>
      </c>
      <c r="U1712" s="74" t="str">
        <f>HYPERLINK(AA2 &amp; "/mug/sn_d7ba704184d424dfd56d9106430c3fe/rendering/18.obj", "6.50854187012")</f>
        <v>6.50854187012</v>
      </c>
      <c r="V1712" s="33" t="str">
        <f>HYPERLINK(AA2 &amp; "/mug/sn_d7ba704184d424dfd56d9106430c3fe/rendering/19.obj", "5.71702270508")</f>
        <v>5.71702270508</v>
      </c>
      <c r="W1712" s="12" t="s">
        <v>29</v>
      </c>
      <c r="X1712" s="13">
        <v>6.4210930328369136</v>
      </c>
      <c r="Y1712" s="13">
        <v>2.8355443780137639</v>
      </c>
      <c r="Z1712" s="163">
        <v>0.44159839508834953</v>
      </c>
    </row>
    <row r="1713" spans="1:26" x14ac:dyDescent="0.2">
      <c r="A1713" s="1">
        <v>1711</v>
      </c>
      <c r="B1713" s="2" t="s">
        <v>375</v>
      </c>
      <c r="C1713" s="123" t="str">
        <f>HYPERLINK(AA2 &amp; "/mug/sn_d7ba704184d424dfd56d9106430c3fe/rendering/00.obj", "8.58113288879")</f>
        <v>8.58113288879</v>
      </c>
      <c r="D1713" s="182" t="str">
        <f>HYPERLINK(AA2 &amp; "/mug/sn_d7ba704184d424dfd56d9106430c3fe/rendering/01.obj", "9.05125236511")</f>
        <v>9.05125236511</v>
      </c>
      <c r="E1713" s="22" t="str">
        <f>HYPERLINK(AA2 &amp; "/mug/sn_d7ba704184d424dfd56d9106430c3fe/rendering/02.obj", "6.51245594025")</f>
        <v>6.51245594025</v>
      </c>
      <c r="F1713" s="56" t="str">
        <f>HYPERLINK(AA2 &amp; "/mug/sn_d7ba704184d424dfd56d9106430c3fe/rendering/03.obj", "9.39541721344")</f>
        <v>9.39541721344</v>
      </c>
      <c r="G1713" s="131" t="str">
        <f>HYPERLINK(AA2 &amp; "/mug/sn_d7ba704184d424dfd56d9106430c3fe/rendering/04.obj", "7.30513858795")</f>
        <v>7.30513858795</v>
      </c>
      <c r="H1713" s="112" t="str">
        <f>HYPERLINK(AA2 &amp; "/mug/sn_d7ba704184d424dfd56d9106430c3fe/rendering/05.obj", "21.6574745178")</f>
        <v>21.6574745178</v>
      </c>
      <c r="I1713" s="191" t="str">
        <f>HYPERLINK(AA2 &amp; "/mug/sn_d7ba704184d424dfd56d9106430c3fe/rendering/06.obj", "7.41925573349")</f>
        <v>7.41925573349</v>
      </c>
      <c r="J1713" s="20" t="str">
        <f>HYPERLINK(AA2 &amp; "/mug/sn_d7ba704184d424dfd56d9106430c3fe/rendering/07.obj", "46.7837333679")</f>
        <v>46.7837333679</v>
      </c>
      <c r="K1713" s="43" t="str">
        <f>HYPERLINK(AA2 &amp; "/mug/sn_d7ba704184d424dfd56d9106430c3fe/rendering/08.obj", "18.700094223")</f>
        <v>18.700094223</v>
      </c>
      <c r="L1713" s="165" t="str">
        <f>HYPERLINK(AA2 &amp; "/mug/sn_d7ba704184d424dfd56d9106430c3fe/rendering/09.obj", "22.989315033")</f>
        <v>22.989315033</v>
      </c>
      <c r="M1713" s="74" t="str">
        <f>HYPERLINK(AA2 &amp; "/mug/sn_d7ba704184d424dfd56d9106430c3fe/rendering/10.obj", "13.4154052734")</f>
        <v>13.4154052734</v>
      </c>
      <c r="N1713" s="126" t="str">
        <f>HYPERLINK(AA2 &amp; "/mug/sn_d7ba704184d424dfd56d9106430c3fe/rendering/11.obj", "6.78592729568")</f>
        <v>6.78592729568</v>
      </c>
      <c r="O1713" s="54" t="str">
        <f>HYPERLINK(AA2 &amp; "/mug/sn_d7ba704184d424dfd56d9106430c3fe/rendering/12.obj", "9.15580272675")</f>
        <v>9.15580272675</v>
      </c>
      <c r="P1713" s="186" t="str">
        <f>HYPERLINK(AA2 &amp; "/mug/sn_d7ba704184d424dfd56d9106430c3fe/rendering/13.obj", "21.737865448")</f>
        <v>21.737865448</v>
      </c>
      <c r="Q1713" s="60" t="str">
        <f>HYPERLINK(AA2 &amp; "/mug/sn_d7ba704184d424dfd56d9106430c3fe/rendering/14.obj", "14.2838973999")</f>
        <v>14.2838973999</v>
      </c>
      <c r="R1713" s="96" t="str">
        <f>HYPERLINK(AA2 &amp; "/mug/sn_d7ba704184d424dfd56d9106430c3fe/rendering/15.obj", "8.6466255188")</f>
        <v>8.6466255188</v>
      </c>
      <c r="S1713" s="71" t="str">
        <f>HYPERLINK(AA2 &amp; "/mug/sn_d7ba704184d424dfd56d9106430c3fe/rendering/16.obj", "11.9998865128")</f>
        <v>11.9998865128</v>
      </c>
      <c r="T1713" s="139" t="str">
        <f>HYPERLINK(AA2 &amp; "/mug/sn_d7ba704184d424dfd56d9106430c3fe/rendering/17.obj", "7.06565523148")</f>
        <v>7.06565523148</v>
      </c>
      <c r="U1713" s="86" t="str">
        <f>HYPERLINK(AA2 &amp; "/mug/sn_d7ba704184d424dfd56d9106430c3fe/rendering/18.obj", "9.96482658386")</f>
        <v>9.96482658386</v>
      </c>
      <c r="V1713" s="136" t="str">
        <f>HYPERLINK(AA2 &amp; "/mug/sn_d7ba704184d424dfd56d9106430c3fe/rendering/19.obj", "10.3703575134")</f>
        <v>10.3703575134</v>
      </c>
      <c r="W1713" s="12" t="s">
        <v>30</v>
      </c>
      <c r="X1713" s="13">
        <v>13.59107596874237</v>
      </c>
      <c r="Y1713" s="13">
        <v>9.2147127224228118</v>
      </c>
      <c r="Z1713" s="220">
        <v>0.67799729348989002</v>
      </c>
    </row>
    <row r="1714" spans="1:26" x14ac:dyDescent="0.2">
      <c r="A1714" s="1">
        <v>1712</v>
      </c>
      <c r="B1714" s="2" t="s">
        <v>375</v>
      </c>
      <c r="C1714" s="6" t="str">
        <f>HYPERLINK(AB2 &amp; "/mug/sn_d7ba704184d424dfd56d9106430c3fe/rendering/00.obj", "3.09747070312")</f>
        <v>3.09747070312</v>
      </c>
      <c r="D1714" s="46" t="str">
        <f>HYPERLINK(AB2 &amp; "/mug/sn_d7ba704184d424dfd56d9106430c3fe/rendering/01.obj", "3.30964660645")</f>
        <v>3.30964660645</v>
      </c>
      <c r="E1714" s="34" t="str">
        <f>HYPERLINK(AB2 &amp; "/mug/sn_d7ba704184d424dfd56d9106430c3fe/rendering/02.obj", "3.09373657227")</f>
        <v>3.09373657227</v>
      </c>
      <c r="F1714" s="78" t="str">
        <f>HYPERLINK(AB2 &amp; "/mug/sn_d7ba704184d424dfd56d9106430c3fe/rendering/03.obj", "3.04785461426")</f>
        <v>3.04785461426</v>
      </c>
      <c r="G1714" s="47" t="str">
        <f>HYPERLINK(AB2 &amp; "/mug/sn_d7ba704184d424dfd56d9106430c3fe/rendering/04.obj", "3.22160827637")</f>
        <v>3.22160827637</v>
      </c>
      <c r="H1714" s="90" t="str">
        <f>HYPERLINK(AB2 &amp; "/mug/sn_d7ba704184d424dfd56d9106430c3fe/rendering/05.obj", "2.94348937988")</f>
        <v>2.94348937988</v>
      </c>
      <c r="I1714" s="110" t="str">
        <f>HYPERLINK(AB2 &amp; "/mug/sn_d7ba704184d424dfd56d9106430c3fe/rendering/06.obj", "2.93051940918")</f>
        <v>2.93051940918</v>
      </c>
      <c r="J1714" s="41" t="str">
        <f>HYPERLINK(AB2 &amp; "/mug/sn_d7ba704184d424dfd56d9106430c3fe/rendering/07.obj", "3.46961608887")</f>
        <v>3.46961608887</v>
      </c>
      <c r="K1714" s="48" t="str">
        <f>HYPERLINK(AB2 &amp; "/mug/sn_d7ba704184d424dfd56d9106430c3fe/rendering/08.obj", "3.17028991699")</f>
        <v>3.17028991699</v>
      </c>
      <c r="L1714" s="72" t="str">
        <f>HYPERLINK(AB2 &amp; "/mug/sn_d7ba704184d424dfd56d9106430c3fe/rendering/09.obj", "3.35573028564")</f>
        <v>3.35573028564</v>
      </c>
      <c r="M1714" s="17" t="str">
        <f>HYPERLINK(AB2 &amp; "/mug/sn_d7ba704184d424dfd56d9106430c3fe/rendering/10.obj", "3.18130310059")</f>
        <v>3.18130310059</v>
      </c>
      <c r="N1714" s="27" t="str">
        <f>HYPERLINK(AB2 &amp; "/mug/sn_d7ba704184d424dfd56d9106430c3fe/rendering/11.obj", "3.0248236084")</f>
        <v>3.0248236084</v>
      </c>
      <c r="O1714" s="75" t="str">
        <f>HYPERLINK(AB2 &amp; "/mug/sn_d7ba704184d424dfd56d9106430c3fe/rendering/12.obj", "3.96443603516")</f>
        <v>3.96443603516</v>
      </c>
      <c r="P1714" s="24" t="str">
        <f>HYPERLINK(AB2 &amp; "/mug/sn_d7ba704184d424dfd56d9106430c3fe/rendering/13.obj", "3.79153259277")</f>
        <v>3.79153259277</v>
      </c>
      <c r="Q1714" s="30" t="str">
        <f>HYPERLINK(AB2 &amp; "/mug/sn_d7ba704184d424dfd56d9106430c3fe/rendering/14.obj", "3.23516357422")</f>
        <v>3.23516357422</v>
      </c>
      <c r="R1714" s="72" t="str">
        <f>HYPERLINK(AB2 &amp; "/mug/sn_d7ba704184d424dfd56d9106430c3fe/rendering/15.obj", "3.35335388184")</f>
        <v>3.35335388184</v>
      </c>
      <c r="S1714" s="73" t="str">
        <f>HYPERLINK(AB2 &amp; "/mug/sn_d7ba704184d424dfd56d9106430c3fe/rendering/16.obj", "3.12881713867")</f>
        <v>3.12881713867</v>
      </c>
      <c r="T1714" s="68" t="str">
        <f>HYPERLINK(AB2 &amp; "/mug/sn_d7ba704184d424dfd56d9106430c3fe/rendering/17.obj", "3.39256622314")</f>
        <v>3.39256622314</v>
      </c>
      <c r="U1714" s="10" t="str">
        <f>HYPERLINK(AB2 &amp; "/mug/sn_d7ba704184d424dfd56d9106430c3fe/rendering/18.obj", "3.07281280518")</f>
        <v>3.07281280518</v>
      </c>
      <c r="V1714" s="47" t="str">
        <f>HYPERLINK(AB2 &amp; "/mug/sn_d7ba704184d424dfd56d9106430c3fe/rendering/19.obj", "3.22034057617")</f>
        <v>3.22034057617</v>
      </c>
      <c r="W1714" s="12" t="s">
        <v>31</v>
      </c>
      <c r="X1714" s="13">
        <v>3.250255569458008</v>
      </c>
      <c r="Y1714" s="13">
        <v>0.2541630125754904</v>
      </c>
      <c r="Z1714" s="5">
        <v>7.8197854643742071E-2</v>
      </c>
    </row>
    <row r="1715" spans="1:26" x14ac:dyDescent="0.2">
      <c r="A1715" s="1">
        <v>1713</v>
      </c>
      <c r="B1715" s="2" t="s">
        <v>375</v>
      </c>
      <c r="C1715" s="27" t="str">
        <f>HYPERLINK(AB2 &amp; "/mug/sn_d7ba704184d424dfd56d9106430c3fe/rendering/00.obj", "5.70681667328")</f>
        <v>5.70681667328</v>
      </c>
      <c r="D1715" s="29" t="str">
        <f>HYPERLINK(AB2 &amp; "/mug/sn_d7ba704184d424dfd56d9106430c3fe/rendering/01.obj", "6.95284128189")</f>
        <v>6.95284128189</v>
      </c>
      <c r="E1715" s="69" t="str">
        <f>HYPERLINK(AB2 &amp; "/mug/sn_d7ba704184d424dfd56d9106430c3fe/rendering/02.obj", "5.95784854889")</f>
        <v>5.95784854889</v>
      </c>
      <c r="F1715" s="90" t="str">
        <f>HYPERLINK(AB2 &amp; "/mug/sn_d7ba704184d424dfd56d9106430c3fe/rendering/03.obj", "6.72492170334")</f>
        <v>6.72492170334</v>
      </c>
      <c r="G1715" s="78" t="str">
        <f>HYPERLINK(AB2 &amp; "/mug/sn_d7ba704184d424dfd56d9106430c3fe/rendering/04.obj", "5.77962255478")</f>
        <v>5.77962255478</v>
      </c>
      <c r="H1715" s="48" t="str">
        <f>HYPERLINK(AB2 &amp; "/mug/sn_d7ba704184d424dfd56d9106430c3fe/rendering/05.obj", "6.28198671341")</f>
        <v>6.28198671341</v>
      </c>
      <c r="I1715" s="33" t="str">
        <f>HYPERLINK(AB2 &amp; "/mug/sn_d7ba704184d424dfd56d9106430c3fe/rendering/06.obj", "5.47886276245")</f>
        <v>5.47886276245</v>
      </c>
      <c r="J1715" s="47" t="str">
        <f>HYPERLINK(AB2 &amp; "/mug/sn_d7ba704184d424dfd56d9106430c3fe/rendering/07.obj", "6.18732643127")</f>
        <v>6.18732643127</v>
      </c>
      <c r="K1715" s="72" t="str">
        <f>HYPERLINK(AB2 &amp; "/mug/sn_d7ba704184d424dfd56d9106430c3fe/rendering/08.obj", "6.34694766998")</f>
        <v>6.34694766998</v>
      </c>
      <c r="L1715" s="33" t="str">
        <f>HYPERLINK(AB2 &amp; "/mug/sn_d7ba704184d424dfd56d9106430c3fe/rendering/09.obj", "6.8025894165")</f>
        <v>6.8025894165</v>
      </c>
      <c r="M1715" s="51" t="str">
        <f>HYPERLINK(AB2 &amp; "/mug/sn_d7ba704184d424dfd56d9106430c3fe/rendering/10.obj", "6.63134908676")</f>
        <v>6.63134908676</v>
      </c>
      <c r="N1715" s="40" t="str">
        <f>HYPERLINK(AB2 &amp; "/mug/sn_d7ba704184d424dfd56d9106430c3fe/rendering/11.obj", "5.08716392517")</f>
        <v>5.08716392517</v>
      </c>
      <c r="O1715" s="99" t="str">
        <f>HYPERLINK(AB2 &amp; "/mug/sn_d7ba704184d424dfd56d9106430c3fe/rendering/12.obj", "7.80453634262")</f>
        <v>7.80453634262</v>
      </c>
      <c r="P1715" s="74" t="str">
        <f>HYPERLINK(AB2 &amp; "/mug/sn_d7ba704184d424dfd56d9106430c3fe/rendering/13.obj", "6.24048042297")</f>
        <v>6.24048042297</v>
      </c>
      <c r="Q1715" s="39" t="str">
        <f>HYPERLINK(AB2 &amp; "/mug/sn_d7ba704184d424dfd56d9106430c3fe/rendering/14.obj", "5.61750364304")</f>
        <v>5.61750364304</v>
      </c>
      <c r="R1715" s="91" t="str">
        <f>HYPERLINK(AB2 &amp; "/mug/sn_d7ba704184d424dfd56d9106430c3fe/rendering/15.obj", "5.97502756119")</f>
        <v>5.97502756119</v>
      </c>
      <c r="S1715" s="25" t="str">
        <f>HYPERLINK(AB2 &amp; "/mug/sn_d7ba704184d424dfd56d9106430c3fe/rendering/16.obj", "6.07700490952")</f>
        <v>6.07700490952</v>
      </c>
      <c r="T1715" s="10" t="str">
        <f>HYPERLINK(AB2 &amp; "/mug/sn_d7ba704184d424dfd56d9106430c3fe/rendering/17.obj", "5.81536197662")</f>
        <v>5.81536197662</v>
      </c>
      <c r="U1715" s="70" t="str">
        <f>HYPERLINK(AB2 &amp; "/mug/sn_d7ba704184d424dfd56d9106430c3fe/rendering/18.obj", "5.36241817474")</f>
        <v>5.36241817474</v>
      </c>
      <c r="V1715" s="47" t="str">
        <f>HYPERLINK(AB2 &amp; "/mug/sn_d7ba704184d424dfd56d9106430c3fe/rendering/19.obj", "6.09210443497")</f>
        <v>6.09210443497</v>
      </c>
      <c r="W1715" s="12" t="s">
        <v>32</v>
      </c>
      <c r="X1715" s="13">
        <v>6.1461357116699222</v>
      </c>
      <c r="Y1715" s="13">
        <v>0.60997188988826656</v>
      </c>
      <c r="Z1715" s="110">
        <v>9.9244780542363825E-2</v>
      </c>
    </row>
    <row r="1716" spans="1:26" x14ac:dyDescent="0.2">
      <c r="A1716" s="1">
        <v>1714</v>
      </c>
      <c r="B1716" s="2" t="s">
        <v>375</v>
      </c>
      <c r="C1716" s="13" t="str">
        <f>HYPERLINK(AC2 &amp; "/mug/sn_d7ba704184d424dfd56d9106430c3fe/rendering/00.xyz", "0.0")</f>
        <v>0.0</v>
      </c>
      <c r="D1716" s="13" t="str">
        <f>HYPERLINK(AC2 &amp; "/mug/sn_d7ba704184d424dfd56d9106430c3fe/rendering/01.xyz", "0.0")</f>
        <v>0.0</v>
      </c>
      <c r="E1716" s="13" t="str">
        <f>HYPERLINK(AC2 &amp; "/mug/sn_d7ba704184d424dfd56d9106430c3fe/rendering/02.xyz", "0.0")</f>
        <v>0.0</v>
      </c>
      <c r="F1716" s="13" t="str">
        <f>HYPERLINK(AC2 &amp; "/mug/sn_d7ba704184d424dfd56d9106430c3fe/rendering/03.xyz", "0.0")</f>
        <v>0.0</v>
      </c>
      <c r="G1716" s="13" t="str">
        <f>HYPERLINK(AC2 &amp; "/mug/sn_d7ba704184d424dfd56d9106430c3fe/rendering/04.xyz", "0.0")</f>
        <v>0.0</v>
      </c>
      <c r="H1716" s="13" t="str">
        <f>HYPERLINK(AC2 &amp; "/mug/sn_d7ba704184d424dfd56d9106430c3fe/rendering/05.xyz", "0.0")</f>
        <v>0.0</v>
      </c>
      <c r="I1716" s="13" t="str">
        <f>HYPERLINK(AC2 &amp; "/mug/sn_d7ba704184d424dfd56d9106430c3fe/rendering/06.xyz", "0.0")</f>
        <v>0.0</v>
      </c>
      <c r="J1716" s="13" t="str">
        <f>HYPERLINK(AC2 &amp; "/mug/sn_d7ba704184d424dfd56d9106430c3fe/rendering/07.xyz", "0.0")</f>
        <v>0.0</v>
      </c>
      <c r="K1716" s="13" t="str">
        <f>HYPERLINK(AC2 &amp; "/mug/sn_d7ba704184d424dfd56d9106430c3fe/rendering/08.xyz", "0.0")</f>
        <v>0.0</v>
      </c>
      <c r="L1716" s="13" t="str">
        <f>HYPERLINK(AC2 &amp; "/mug/sn_d7ba704184d424dfd56d9106430c3fe/rendering/09.xyz", "0.0")</f>
        <v>0.0</v>
      </c>
      <c r="M1716" s="13" t="str">
        <f>HYPERLINK(AC2 &amp; "/mug/sn_d7ba704184d424dfd56d9106430c3fe/rendering/10.xyz", "0.0")</f>
        <v>0.0</v>
      </c>
      <c r="N1716" s="13" t="str">
        <f>HYPERLINK(AC2 &amp; "/mug/sn_d7ba704184d424dfd56d9106430c3fe/rendering/11.xyz", "0.0")</f>
        <v>0.0</v>
      </c>
      <c r="O1716" s="13" t="str">
        <f>HYPERLINK(AC2 &amp; "/mug/sn_d7ba704184d424dfd56d9106430c3fe/rendering/12.xyz", "0.0")</f>
        <v>0.0</v>
      </c>
      <c r="P1716" s="13" t="str">
        <f>HYPERLINK(AC2 &amp; "/mug/sn_d7ba704184d424dfd56d9106430c3fe/rendering/13.xyz", "0.0")</f>
        <v>0.0</v>
      </c>
      <c r="Q1716" s="13" t="str">
        <f>HYPERLINK(AC2 &amp; "/mug/sn_d7ba704184d424dfd56d9106430c3fe/rendering/14.xyz", "0.0")</f>
        <v>0.0</v>
      </c>
      <c r="R1716" s="13" t="str">
        <f>HYPERLINK(AC2 &amp; "/mug/sn_d7ba704184d424dfd56d9106430c3fe/rendering/15.xyz", "0.0")</f>
        <v>0.0</v>
      </c>
      <c r="S1716" s="13" t="str">
        <f>HYPERLINK(AC2 &amp; "/mug/sn_d7ba704184d424dfd56d9106430c3fe/rendering/16.xyz", "0.0")</f>
        <v>0.0</v>
      </c>
      <c r="T1716" s="13" t="str">
        <f>HYPERLINK(AC2 &amp; "/mug/sn_d7ba704184d424dfd56d9106430c3fe/rendering/17.xyz", "0.0")</f>
        <v>0.0</v>
      </c>
      <c r="U1716" s="13" t="str">
        <f>HYPERLINK(AC2 &amp; "/mug/sn_d7ba704184d424dfd56d9106430c3fe/rendering/18.xyz", "0.0")</f>
        <v>0.0</v>
      </c>
      <c r="V1716" s="13" t="str">
        <f>HYPERLINK(AC2 &amp; "/mug/sn_d7ba704184d424dfd56d9106430c3fe/rendering/19.xyz", "0.0")</f>
        <v>0.0</v>
      </c>
      <c r="W1716" s="12" t="s">
        <v>33</v>
      </c>
      <c r="X1716" s="13">
        <v>0</v>
      </c>
      <c r="Y1716" s="13">
        <v>0</v>
      </c>
      <c r="Z1716" s="13">
        <v>0</v>
      </c>
    </row>
    <row r="1717" spans="1:26" x14ac:dyDescent="0.2">
      <c r="A1717" s="1">
        <v>1715</v>
      </c>
      <c r="B1717" s="2" t="s">
        <v>376</v>
      </c>
      <c r="C1717" s="140" t="str">
        <f>HYPERLINK(AA2 &amp; "/mug/sn_d96c252cda44cba71047874d2f3335a/rendering/00.obj", "3.35899536133")</f>
        <v>3.35899536133</v>
      </c>
      <c r="D1717" s="88" t="str">
        <f>HYPERLINK(AA2 &amp; "/mug/sn_d96c252cda44cba71047874d2f3335a/rendering/01.obj", "4.09519012451")</f>
        <v>4.09519012451</v>
      </c>
      <c r="E1717" s="82" t="str">
        <f>HYPERLINK(AA2 &amp; "/mug/sn_d96c252cda44cba71047874d2f3335a/rendering/02.obj", "4.09180969238")</f>
        <v>4.09180969238</v>
      </c>
      <c r="F1717" s="20" t="str">
        <f>HYPERLINK(AA2 &amp; "/mug/sn_d96c252cda44cba71047874d2f3335a/rendering/03.obj", "10.1073352051")</f>
        <v>10.1073352051</v>
      </c>
      <c r="G1717" s="81" t="str">
        <f>HYPERLINK(AA2 &amp; "/mug/sn_d96c252cda44cba71047874d2f3335a/rendering/04.obj", "4.02218505859")</f>
        <v>4.02218505859</v>
      </c>
      <c r="H1717" s="27" t="str">
        <f>HYPERLINK(AA2 &amp; "/mug/sn_d96c252cda44cba71047874d2f3335a/rendering/05.obj", "4.77177825928")</f>
        <v>4.77177825928</v>
      </c>
      <c r="I1717" s="24" t="str">
        <f>HYPERLINK(AA2 &amp; "/mug/sn_d96c252cda44cba71047874d2f3335a/rendering/06.obj", "4.27480712891")</f>
        <v>4.27480712891</v>
      </c>
      <c r="J1717" s="110" t="str">
        <f>HYPERLINK(AA2 &amp; "/mug/sn_d96c252cda44cba71047874d2f3335a/rendering/07.obj", "4.63258972168")</f>
        <v>4.63258972168</v>
      </c>
      <c r="K1717" s="8" t="str">
        <f>HYPERLINK(AA2 &amp; "/mug/sn_d96c252cda44cba71047874d2f3335a/rendering/08.obj", "5.87235961914")</f>
        <v>5.87235961914</v>
      </c>
      <c r="L1717" s="20" t="str">
        <f>HYPERLINK(AA2 &amp; "/mug/sn_d96c252cda44cba71047874d2f3335a/rendering/09.obj", "11.6178381348")</f>
        <v>11.6178381348</v>
      </c>
      <c r="M1717" s="49" t="str">
        <f>HYPERLINK(AA2 &amp; "/mug/sn_d96c252cda44cba71047874d2f3335a/rendering/10.obj", "4.06999389648")</f>
        <v>4.06999389648</v>
      </c>
      <c r="N1717" s="118" t="str">
        <f>HYPERLINK(AA2 &amp; "/mug/sn_d96c252cda44cba71047874d2f3335a/rendering/11.obj", "6.64926757813")</f>
        <v>6.64926757813</v>
      </c>
      <c r="O1717" s="156" t="str">
        <f>HYPERLINK(AA2 &amp; "/mug/sn_d96c252cda44cba71047874d2f3335a/rendering/12.obj", "2.84110595703")</f>
        <v>2.84110595703</v>
      </c>
      <c r="P1717" s="79" t="str">
        <f>HYPERLINK(AA2 &amp; "/mug/sn_d96c252cda44cba71047874d2f3335a/rendering/13.obj", "5.95593261719")</f>
        <v>5.95593261719</v>
      </c>
      <c r="Q1717" s="88" t="str">
        <f>HYPERLINK(AA2 &amp; "/mug/sn_d96c252cda44cba71047874d2f3335a/rendering/14.obj", "4.09637420654")</f>
        <v>4.09637420654</v>
      </c>
      <c r="R1717" s="55" t="str">
        <f>HYPERLINK(AA2 &amp; "/mug/sn_d96c252cda44cba71047874d2f3335a/rendering/15.obj", "4.15712219238")</f>
        <v>4.15712219238</v>
      </c>
      <c r="S1717" s="41" t="str">
        <f>HYPERLINK(AA2 &amp; "/mug/sn_d96c252cda44cba71047874d2f3335a/rendering/16.obj", "4.78779663086")</f>
        <v>4.78779663086</v>
      </c>
      <c r="T1717" s="80" t="str">
        <f>HYPERLINK(AA2 &amp; "/mug/sn_d96c252cda44cba71047874d2f3335a/rendering/17.obj", "5.90658691406")</f>
        <v>5.90658691406</v>
      </c>
      <c r="U1717" s="181" t="str">
        <f>HYPERLINK(AA2 &amp; "/mug/sn_d96c252cda44cba71047874d2f3335a/rendering/18.obj", "2.86525115967")</f>
        <v>2.86525115967</v>
      </c>
      <c r="V1717" s="67" t="str">
        <f>HYPERLINK(AA2 &amp; "/mug/sn_d96c252cda44cba71047874d2f3335a/rendering/19.obj", "4.66713439941")</f>
        <v>4.66713439941</v>
      </c>
      <c r="W1717" s="12" t="s">
        <v>29</v>
      </c>
      <c r="X1717" s="13">
        <v>5.1420726928710936</v>
      </c>
      <c r="Y1717" s="13">
        <v>2.150173854988279</v>
      </c>
      <c r="Z1717" s="132">
        <v>0.41815314240291718</v>
      </c>
    </row>
    <row r="1718" spans="1:26" x14ac:dyDescent="0.2">
      <c r="A1718" s="1">
        <v>1716</v>
      </c>
      <c r="B1718" s="2" t="s">
        <v>376</v>
      </c>
      <c r="C1718" s="151" t="str">
        <f>HYPERLINK(AA2 &amp; "/mug/sn_d96c252cda44cba71047874d2f3335a/rendering/00.obj", "6.70374441147")</f>
        <v>6.70374441147</v>
      </c>
      <c r="D1718" s="95" t="str">
        <f>HYPERLINK(AA2 &amp; "/mug/sn_d96c252cda44cba71047874d2f3335a/rendering/01.obj", "7.51971912384")</f>
        <v>7.51971912384</v>
      </c>
      <c r="E1718" s="40" t="str">
        <f>HYPERLINK(AA2 &amp; "/mug/sn_d96c252cda44cba71047874d2f3335a/rendering/02.obj", "8.68158721924")</f>
        <v>8.68158721924</v>
      </c>
      <c r="F1718" s="20" t="str">
        <f>HYPERLINK(AA2 &amp; "/mug/sn_d96c252cda44cba71047874d2f3335a/rendering/03.obj", "21.2222194672")</f>
        <v>21.2222194672</v>
      </c>
      <c r="G1718" s="79" t="str">
        <f>HYPERLINK(AA2 &amp; "/mug/sn_d96c252cda44cba71047874d2f3335a/rendering/04.obj", "8.81268692017")</f>
        <v>8.81268692017</v>
      </c>
      <c r="H1718" s="68" t="str">
        <f>HYPERLINK(AA2 &amp; "/mug/sn_d96c252cda44cba71047874d2f3335a/rendering/05.obj", "10.0107383728")</f>
        <v>10.0107383728</v>
      </c>
      <c r="I1718" s="110" t="str">
        <f>HYPERLINK(AA2 &amp; "/mug/sn_d96c252cda44cba71047874d2f3335a/rendering/06.obj", "9.41273593903")</f>
        <v>9.41273593903</v>
      </c>
      <c r="J1718" s="76" t="str">
        <f>HYPERLINK(AA2 &amp; "/mug/sn_d96c252cda44cba71047874d2f3335a/rendering/07.obj", "8.54709815979")</f>
        <v>8.54709815979</v>
      </c>
      <c r="K1718" s="109" t="str">
        <f>HYPERLINK(AA2 &amp; "/mug/sn_d96c252cda44cba71047874d2f3335a/rendering/08.obj", "12.4305381775")</f>
        <v>12.4305381775</v>
      </c>
      <c r="L1718" s="20" t="str">
        <f>HYPERLINK(AA2 &amp; "/mug/sn_d96c252cda44cba71047874d2f3335a/rendering/09.obj", "25.8521900177")</f>
        <v>25.8521900177</v>
      </c>
      <c r="M1718" s="33" t="str">
        <f>HYPERLINK(AA2 &amp; "/mug/sn_d96c252cda44cba71047874d2f3335a/rendering/10.obj", "9.33120346069")</f>
        <v>9.33120346069</v>
      </c>
      <c r="N1718" s="110" t="str">
        <f>HYPERLINK(AA2 &amp; "/mug/sn_d96c252cda44cba71047874d2f3335a/rendering/11.obj", "11.4847106934")</f>
        <v>11.4847106934</v>
      </c>
      <c r="O1718" s="200" t="str">
        <f>HYPERLINK(AA2 &amp; "/mug/sn_d96c252cda44cba71047874d2f3335a/rendering/12.obj", "5.44904088974")</f>
        <v>5.44904088974</v>
      </c>
      <c r="P1718" s="80" t="str">
        <f>HYPERLINK(AA2 &amp; "/mug/sn_d96c252cda44cba71047874d2f3335a/rendering/13.obj", "12.0245704651")</f>
        <v>12.0245704651</v>
      </c>
      <c r="Q1718" s="72" t="str">
        <f>HYPERLINK(AA2 &amp; "/mug/sn_d96c252cda44cba71047874d2f3335a/rendering/14.obj", "10.1135778427")</f>
        <v>10.1135778427</v>
      </c>
      <c r="R1718" s="129" t="str">
        <f>HYPERLINK(AA2 &amp; "/mug/sn_d96c252cda44cba71047874d2f3335a/rendering/15.obj", "7.84945631027")</f>
        <v>7.84945631027</v>
      </c>
      <c r="S1718" s="109" t="str">
        <f>HYPERLINK(AA2 &amp; "/mug/sn_d96c252cda44cba71047874d2f3335a/rendering/16.obj", "8.47389793396")</f>
        <v>8.47389793396</v>
      </c>
      <c r="T1718" s="69" t="str">
        <f>HYPERLINK(AA2 &amp; "/mug/sn_d96c252cda44cba71047874d2f3335a/rendering/17.obj", "10.7634057999")</f>
        <v>10.7634057999</v>
      </c>
      <c r="U1718" s="145" t="str">
        <f>HYPERLINK(AA2 &amp; "/mug/sn_d96c252cda44cba71047874d2f3335a/rendering/18.obj", "5.33132314682")</f>
        <v>5.33132314682</v>
      </c>
      <c r="V1718" s="70" t="str">
        <f>HYPERLINK(AA2 &amp; "/mug/sn_d96c252cda44cba71047874d2f3335a/rendering/19.obj", "9.13077259064")</f>
        <v>9.13077259064</v>
      </c>
      <c r="W1718" s="12" t="s">
        <v>30</v>
      </c>
      <c r="X1718" s="13">
        <v>10.457260847091669</v>
      </c>
      <c r="Y1718" s="13">
        <v>4.7913475354686001</v>
      </c>
      <c r="Z1718" s="114">
        <v>0.45818380219530891</v>
      </c>
    </row>
    <row r="1719" spans="1:26" x14ac:dyDescent="0.2">
      <c r="A1719" s="1">
        <v>1717</v>
      </c>
      <c r="B1719" s="2" t="s">
        <v>376</v>
      </c>
      <c r="C1719" s="78" t="str">
        <f>HYPERLINK(AB2 &amp; "/mug/sn_d96c252cda44cba71047874d2f3335a/rendering/00.obj", "4.0496875")</f>
        <v>4.0496875</v>
      </c>
      <c r="D1719" s="8" t="str">
        <f>HYPERLINK(AB2 &amp; "/mug/sn_d96c252cda44cba71047874d2f3335a/rendering/01.obj", "3.27787414551")</f>
        <v>3.27787414551</v>
      </c>
      <c r="E1719" s="8" t="str">
        <f>HYPERLINK(AB2 &amp; "/mug/sn_d96c252cda44cba71047874d2f3335a/rendering/02.obj", "4.36162353516")</f>
        <v>4.36162353516</v>
      </c>
      <c r="F1719" s="170" t="str">
        <f>HYPERLINK(AB2 &amp; "/mug/sn_d96c252cda44cba71047874d2f3335a/rendering/03.obj", "4.78896911621")</f>
        <v>4.78896911621</v>
      </c>
      <c r="G1719" s="37" t="str">
        <f>HYPERLINK(AB2 &amp; "/mug/sn_d96c252cda44cba71047874d2f3335a/rendering/04.obj", "4.48059448242")</f>
        <v>4.48059448242</v>
      </c>
      <c r="H1719" s="55" t="str">
        <f>HYPERLINK(AB2 &amp; "/mug/sn_d96c252cda44cba71047874d2f3335a/rendering/05.obj", "3.08217956543")</f>
        <v>3.08217956543</v>
      </c>
      <c r="I1719" s="78" t="str">
        <f>HYPERLINK(AB2 &amp; "/mug/sn_d96c252cda44cba71047874d2f3335a/rendering/06.obj", "3.58685882568")</f>
        <v>3.58685882568</v>
      </c>
      <c r="J1719" s="60" t="str">
        <f>HYPERLINK(AB2 &amp; "/mug/sn_d96c252cda44cba71047874d2f3335a/rendering/07.obj", "3.6260534668")</f>
        <v>3.6260534668</v>
      </c>
      <c r="K1719" s="92" t="str">
        <f>HYPERLINK(AB2 &amp; "/mug/sn_d96c252cda44cba71047874d2f3335a/rendering/08.obj", "3.34171661377")</f>
        <v>3.34171661377</v>
      </c>
      <c r="L1719" s="26" t="str">
        <f>HYPERLINK(AB2 &amp; "/mug/sn_d96c252cda44cba71047874d2f3335a/rendering/09.obj", "3.57475463867")</f>
        <v>3.57475463867</v>
      </c>
      <c r="M1719" s="76" t="str">
        <f>HYPERLINK(AB2 &amp; "/mug/sn_d96c252cda44cba71047874d2f3335a/rendering/10.obj", "3.12021118164")</f>
        <v>3.12021118164</v>
      </c>
      <c r="N1719" s="66" t="str">
        <f>HYPERLINK(AB2 &amp; "/mug/sn_d96c252cda44cba71047874d2f3335a/rendering/11.obj", "4.43646270752")</f>
        <v>4.43646270752</v>
      </c>
      <c r="O1719" s="109" t="str">
        <f>HYPERLINK(AB2 &amp; "/mug/sn_d96c252cda44cba71047874d2f3335a/rendering/12.obj", "3.09718444824")</f>
        <v>3.09718444824</v>
      </c>
      <c r="P1719" s="34" t="str">
        <f>HYPERLINK(AB2 &amp; "/mug/sn_d96c252cda44cba71047874d2f3335a/rendering/13.obj", "3.62797790527")</f>
        <v>3.62797790527</v>
      </c>
      <c r="Q1719" s="175" t="str">
        <f>HYPERLINK(AB2 &amp; "/mug/sn_d96c252cda44cba71047874d2f3335a/rendering/14.obj", "4.70729736328")</f>
        <v>4.70729736328</v>
      </c>
      <c r="R1719" s="30" t="str">
        <f>HYPERLINK(AB2 &amp; "/mug/sn_d96c252cda44cba71047874d2f3335a/rendering/15.obj", "3.83402130127")</f>
        <v>3.83402130127</v>
      </c>
      <c r="S1719" s="70" t="str">
        <f>HYPERLINK(AB2 &amp; "/mug/sn_d96c252cda44cba71047874d2f3335a/rendering/16.obj", "3.33113098145")</f>
        <v>3.33113098145</v>
      </c>
      <c r="T1719" s="107" t="str">
        <f>HYPERLINK(AB2 &amp; "/mug/sn_d96c252cda44cba71047874d2f3335a/rendering/17.obj", "3.49839477539")</f>
        <v>3.49839477539</v>
      </c>
      <c r="U1719" s="57" t="str">
        <f>HYPERLINK(AB2 &amp; "/mug/sn_d96c252cda44cba71047874d2f3335a/rendering/18.obj", "5.02775939941")</f>
        <v>5.02775939941</v>
      </c>
      <c r="V1719" s="5" t="str">
        <f>HYPERLINK(AB2 &amp; "/mug/sn_d96c252cda44cba71047874d2f3335a/rendering/19.obj", "3.52462310791")</f>
        <v>3.52462310791</v>
      </c>
      <c r="W1719" s="12" t="s">
        <v>31</v>
      </c>
      <c r="X1719" s="13">
        <v>3.8187687530517578</v>
      </c>
      <c r="Y1719" s="13">
        <v>0.5935246361181068</v>
      </c>
      <c r="Z1719" s="31">
        <v>0.1554230367166887</v>
      </c>
    </row>
    <row r="1720" spans="1:26" x14ac:dyDescent="0.2">
      <c r="A1720" s="1">
        <v>1718</v>
      </c>
      <c r="B1720" s="2" t="s">
        <v>376</v>
      </c>
      <c r="C1720" s="46" t="str">
        <f>HYPERLINK(AB2 &amp; "/mug/sn_d96c252cda44cba71047874d2f3335a/rendering/00.obj", "5.79437017441")</f>
        <v>5.79437017441</v>
      </c>
      <c r="D1720" s="78" t="str">
        <f>HYPERLINK(AB2 &amp; "/mug/sn_d96c252cda44cba71047874d2f3335a/rendering/01.obj", "6.24932050705")</f>
        <v>6.24932050705</v>
      </c>
      <c r="E1720" s="73" t="str">
        <f>HYPERLINK(AB2 &amp; "/mug/sn_d96c252cda44cba71047874d2f3335a/rendering/02.obj", "5.68332195282")</f>
        <v>5.68332195282</v>
      </c>
      <c r="F1720" s="91" t="str">
        <f>HYPERLINK(AB2 &amp; "/mug/sn_d96c252cda44cba71047874d2f3335a/rendering/03.obj", "6.05981874466")</f>
        <v>6.05981874466</v>
      </c>
      <c r="G1720" s="6" t="str">
        <f>HYPERLINK(AB2 &amp; "/mug/sn_d96c252cda44cba71047874d2f3335a/rendering/04.obj", "5.63751840591")</f>
        <v>5.63751840591</v>
      </c>
      <c r="H1720" s="51" t="str">
        <f>HYPERLINK(AB2 &amp; "/mug/sn_d96c252cda44cba71047874d2f3335a/rendering/05.obj", "5.42347335815")</f>
        <v>5.42347335815</v>
      </c>
      <c r="I1720" s="47" t="str">
        <f>HYPERLINK(AB2 &amp; "/mug/sn_d96c252cda44cba71047874d2f3335a/rendering/06.obj", "5.95188999176")</f>
        <v>5.95188999176</v>
      </c>
      <c r="J1720" s="34" t="str">
        <f>HYPERLINK(AB2 &amp; "/mug/sn_d96c252cda44cba71047874d2f3335a/rendering/07.obj", "5.60919952393")</f>
        <v>5.60919952393</v>
      </c>
      <c r="K1720" s="90" t="str">
        <f>HYPERLINK(AB2 &amp; "/mug/sn_d96c252cda44cba71047874d2f3335a/rendering/08.obj", "5.33955144882")</f>
        <v>5.33955144882</v>
      </c>
      <c r="L1720" s="91" t="str">
        <f>HYPERLINK(AB2 &amp; "/mug/sn_d96c252cda44cba71047874d2f3335a/rendering/09.obj", "5.73170614243")</f>
        <v>5.73170614243</v>
      </c>
      <c r="M1720" s="93" t="str">
        <f>HYPERLINK(AB2 &amp; "/mug/sn_d96c252cda44cba71047874d2f3335a/rendering/10.obj", "5.07848596573")</f>
        <v>5.07848596573</v>
      </c>
      <c r="N1720" s="73" t="str">
        <f>HYPERLINK(AB2 &amp; "/mug/sn_d96c252cda44cba71047874d2f3335a/rendering/11.obj", "6.116792202")</f>
        <v>6.116792202</v>
      </c>
      <c r="O1720" s="35" t="str">
        <f>HYPERLINK(AB2 &amp; "/mug/sn_d96c252cda44cba71047874d2f3335a/rendering/12.obj", "5.55547046661")</f>
        <v>5.55547046661</v>
      </c>
      <c r="P1720" s="26" t="str">
        <f>HYPERLINK(AB2 &amp; "/mug/sn_d96c252cda44cba71047874d2f3335a/rendering/13.obj", "5.5218629837")</f>
        <v>5.5218629837</v>
      </c>
      <c r="Q1720" s="13" t="str">
        <f>HYPERLINK(AB2 &amp; "/mug/sn_d96c252cda44cba71047874d2f3335a/rendering/14.obj", "5.88674211502")</f>
        <v>5.88674211502</v>
      </c>
      <c r="R1720" s="17" t="str">
        <f>HYPERLINK(AB2 &amp; "/mug/sn_d96c252cda44cba71047874d2f3335a/rendering/15.obj", "6.01156711578")</f>
        <v>6.01156711578</v>
      </c>
      <c r="S1720" s="78" t="str">
        <f>HYPERLINK(AB2 &amp; "/mug/sn_d96c252cda44cba71047874d2f3335a/rendering/16.obj", "5.53427648544")</f>
        <v>5.53427648544</v>
      </c>
      <c r="T1720" s="25" t="str">
        <f>HYPERLINK(AB2 &amp; "/mug/sn_d96c252cda44cba71047874d2f3335a/rendering/17.obj", "5.9599647522")</f>
        <v>5.9599647522</v>
      </c>
      <c r="U1720" s="227" t="str">
        <f>HYPERLINK(AB2 &amp; "/mug/sn_d96c252cda44cba71047874d2f3335a/rendering/18.obj", "8.89644908905")</f>
        <v>8.89644908905</v>
      </c>
      <c r="V1720" s="13" t="str">
        <f>HYPERLINK(AB2 &amp; "/mug/sn_d96c252cda44cba71047874d2f3335a/rendering/19.obj", "5.89639568329")</f>
        <v>5.89639568329</v>
      </c>
      <c r="W1720" s="12" t="s">
        <v>32</v>
      </c>
      <c r="X1720" s="13">
        <v>5.8969088554382321</v>
      </c>
      <c r="Y1720" s="13">
        <v>0.74308158552344494</v>
      </c>
      <c r="Z1720" s="70">
        <v>0.12601205203267851</v>
      </c>
    </row>
    <row r="1721" spans="1:26" x14ac:dyDescent="0.2">
      <c r="A1721" s="1">
        <v>1719</v>
      </c>
      <c r="B1721" s="2" t="s">
        <v>376</v>
      </c>
      <c r="C1721" s="13" t="str">
        <f>HYPERLINK(AC2 &amp; "/mug/sn_d96c252cda44cba71047874d2f3335a/rendering/00.xyz", "0.0")</f>
        <v>0.0</v>
      </c>
      <c r="D1721" s="13" t="str">
        <f>HYPERLINK(AC2 &amp; "/mug/sn_d96c252cda44cba71047874d2f3335a/rendering/01.xyz", "0.0")</f>
        <v>0.0</v>
      </c>
      <c r="E1721" s="13" t="str">
        <f>HYPERLINK(AC2 &amp; "/mug/sn_d96c252cda44cba71047874d2f3335a/rendering/02.xyz", "0.0")</f>
        <v>0.0</v>
      </c>
      <c r="F1721" s="13" t="str">
        <f>HYPERLINK(AC2 &amp; "/mug/sn_d96c252cda44cba71047874d2f3335a/rendering/03.xyz", "0.0")</f>
        <v>0.0</v>
      </c>
      <c r="G1721" s="13" t="str">
        <f>HYPERLINK(AC2 &amp; "/mug/sn_d96c252cda44cba71047874d2f3335a/rendering/04.xyz", "0.0")</f>
        <v>0.0</v>
      </c>
      <c r="H1721" s="13" t="str">
        <f>HYPERLINK(AC2 &amp; "/mug/sn_d96c252cda44cba71047874d2f3335a/rendering/05.xyz", "0.0")</f>
        <v>0.0</v>
      </c>
      <c r="I1721" s="13" t="str">
        <f>HYPERLINK(AC2 &amp; "/mug/sn_d96c252cda44cba71047874d2f3335a/rendering/06.xyz", "0.0")</f>
        <v>0.0</v>
      </c>
      <c r="J1721" s="13" t="str">
        <f>HYPERLINK(AC2 &amp; "/mug/sn_d96c252cda44cba71047874d2f3335a/rendering/07.xyz", "0.0")</f>
        <v>0.0</v>
      </c>
      <c r="K1721" s="13" t="str">
        <f>HYPERLINK(AC2 &amp; "/mug/sn_d96c252cda44cba71047874d2f3335a/rendering/08.xyz", "0.0")</f>
        <v>0.0</v>
      </c>
      <c r="L1721" s="13" t="str">
        <f>HYPERLINK(AC2 &amp; "/mug/sn_d96c252cda44cba71047874d2f3335a/rendering/09.xyz", "0.0")</f>
        <v>0.0</v>
      </c>
      <c r="M1721" s="13" t="str">
        <f>HYPERLINK(AC2 &amp; "/mug/sn_d96c252cda44cba71047874d2f3335a/rendering/10.xyz", "0.0")</f>
        <v>0.0</v>
      </c>
      <c r="N1721" s="13" t="str">
        <f>HYPERLINK(AC2 &amp; "/mug/sn_d96c252cda44cba71047874d2f3335a/rendering/11.xyz", "0.0")</f>
        <v>0.0</v>
      </c>
      <c r="O1721" s="13" t="str">
        <f>HYPERLINK(AC2 &amp; "/mug/sn_d96c252cda44cba71047874d2f3335a/rendering/12.xyz", "0.0")</f>
        <v>0.0</v>
      </c>
      <c r="P1721" s="13" t="str">
        <f>HYPERLINK(AC2 &amp; "/mug/sn_d96c252cda44cba71047874d2f3335a/rendering/13.xyz", "0.0")</f>
        <v>0.0</v>
      </c>
      <c r="Q1721" s="13" t="str">
        <f>HYPERLINK(AC2 &amp; "/mug/sn_d96c252cda44cba71047874d2f3335a/rendering/14.xyz", "0.0")</f>
        <v>0.0</v>
      </c>
      <c r="R1721" s="13" t="str">
        <f>HYPERLINK(AC2 &amp; "/mug/sn_d96c252cda44cba71047874d2f3335a/rendering/15.xyz", "0.0")</f>
        <v>0.0</v>
      </c>
      <c r="S1721" s="13" t="str">
        <f>HYPERLINK(AC2 &amp; "/mug/sn_d96c252cda44cba71047874d2f3335a/rendering/16.xyz", "0.0")</f>
        <v>0.0</v>
      </c>
      <c r="T1721" s="13" t="str">
        <f>HYPERLINK(AC2 &amp; "/mug/sn_d96c252cda44cba71047874d2f3335a/rendering/17.xyz", "0.0")</f>
        <v>0.0</v>
      </c>
      <c r="U1721" s="13" t="str">
        <f>HYPERLINK(AC2 &amp; "/mug/sn_d96c252cda44cba71047874d2f3335a/rendering/18.xyz", "0.0")</f>
        <v>0.0</v>
      </c>
      <c r="V1721" s="13" t="str">
        <f>HYPERLINK(AC2 &amp; "/mug/sn_d96c252cda44cba71047874d2f3335a/rendering/19.xyz", "0.0")</f>
        <v>0.0</v>
      </c>
      <c r="W1721" s="12" t="s">
        <v>33</v>
      </c>
      <c r="X1721" s="13">
        <v>0</v>
      </c>
      <c r="Y1721" s="13">
        <v>0</v>
      </c>
      <c r="Z1721" s="13">
        <v>0</v>
      </c>
    </row>
    <row r="1722" spans="1:26" x14ac:dyDescent="0.2">
      <c r="A1722" s="1">
        <v>1720</v>
      </c>
      <c r="B1722" s="2" t="s">
        <v>377</v>
      </c>
      <c r="C1722" s="38" t="str">
        <f>HYPERLINK(AA2 &amp; "/mug/sn_da267df487d2a521d9f818dd0aa1a251/rendering/00.obj", "2.65249023438")</f>
        <v>2.65249023438</v>
      </c>
      <c r="D1722" s="6" t="str">
        <f>HYPERLINK(AA2 &amp; "/mug/sn_da267df487d2a521d9f818dd0aa1a251/rendering/01.obj", "3.05124847412")</f>
        <v>3.05124847412</v>
      </c>
      <c r="E1722" s="65" t="str">
        <f>HYPERLINK(AA2 &amp; "/mug/sn_da267df487d2a521d9f818dd0aa1a251/rendering/02.obj", "2.52428070068")</f>
        <v>2.52428070068</v>
      </c>
      <c r="F1722" s="41" t="str">
        <f>HYPERLINK(AA2 &amp; "/mug/sn_da267df487d2a521d9f818dd0aa1a251/rendering/03.obj", "3.11551116943")</f>
        <v>3.11551116943</v>
      </c>
      <c r="G1722" s="69" t="str">
        <f>HYPERLINK(AA2 &amp; "/mug/sn_da267df487d2a521d9f818dd0aa1a251/rendering/04.obj", "3.00225402832")</f>
        <v>3.00225402832</v>
      </c>
      <c r="H1722" s="69" t="str">
        <f>HYPERLINK(AA2 &amp; "/mug/sn_da267df487d2a521d9f818dd0aa1a251/rendering/05.obj", "2.83281097412")</f>
        <v>2.83281097412</v>
      </c>
      <c r="I1722" s="39" t="str">
        <f>HYPERLINK(AA2 &amp; "/mug/sn_da267df487d2a521d9f818dd0aa1a251/rendering/06.obj", "2.66942199707")</f>
        <v>2.66942199707</v>
      </c>
      <c r="J1722" s="11" t="str">
        <f>HYPERLINK(AA2 &amp; "/mug/sn_da267df487d2a521d9f818dd0aa1a251/rendering/07.obj", "3.57139007568")</f>
        <v>3.57139007568</v>
      </c>
      <c r="K1722" s="65" t="str">
        <f>HYPERLINK(AA2 &amp; "/mug/sn_da267df487d2a521d9f818dd0aa1a251/rendering/08.obj", "2.52971817017")</f>
        <v>2.52971817017</v>
      </c>
      <c r="L1722" s="64" t="str">
        <f>HYPERLINK(AA2 &amp; "/mug/sn_da267df487d2a521d9f818dd0aa1a251/rendering/09.obj", "3.39700775146")</f>
        <v>3.39700775146</v>
      </c>
      <c r="M1722" s="66" t="str">
        <f>HYPERLINK(AA2 &amp; "/mug/sn_da267df487d2a521d9f818dd0aa1a251/rendering/10.obj", "3.39076599121")</f>
        <v>3.39076599121</v>
      </c>
      <c r="N1722" s="25" t="str">
        <f>HYPERLINK(AA2 &amp; "/mug/sn_da267df487d2a521d9f818dd0aa1a251/rendering/11.obj", "2.88138427734")</f>
        <v>2.88138427734</v>
      </c>
      <c r="O1722" s="94" t="str">
        <f>HYPERLINK(AA2 &amp; "/mug/sn_da267df487d2a521d9f818dd0aa1a251/rendering/12.obj", "3.12802368164")</f>
        <v>3.12802368164</v>
      </c>
      <c r="P1722" s="23" t="str">
        <f>HYPERLINK(AA2 &amp; "/mug/sn_da267df487d2a521d9f818dd0aa1a251/rendering/13.obj", "2.80287872314")</f>
        <v>2.80287872314</v>
      </c>
      <c r="Q1722" s="94" t="str">
        <f>HYPERLINK(AA2 &amp; "/mug/sn_da267df487d2a521d9f818dd0aa1a251/rendering/14.obj", "2.70477050781")</f>
        <v>2.70477050781</v>
      </c>
      <c r="R1722" s="79" t="str">
        <f>HYPERLINK(AA2 &amp; "/mug/sn_da267df487d2a521d9f818dd0aa1a251/rendering/15.obj", "2.4545980835")</f>
        <v>2.4545980835</v>
      </c>
      <c r="S1722" s="136" t="str">
        <f>HYPERLINK(AA2 &amp; "/mug/sn_da267df487d2a521d9f818dd0aa1a251/rendering/16.obj", "3.61099487305")</f>
        <v>3.61099487305</v>
      </c>
      <c r="T1722" s="84" t="str">
        <f>HYPERLINK(AA2 &amp; "/mug/sn_da267df487d2a521d9f818dd0aa1a251/rendering/17.obj", "2.49544952393")</f>
        <v>2.49544952393</v>
      </c>
      <c r="U1722" s="74" t="str">
        <f>HYPERLINK(AA2 &amp; "/mug/sn_da267df487d2a521d9f818dd0aa1a251/rendering/18.obj", "2.87780273437")</f>
        <v>2.87780273437</v>
      </c>
      <c r="V1722" s="90" t="str">
        <f>HYPERLINK(AA2 &amp; "/mug/sn_da267df487d2a521d9f818dd0aa1a251/rendering/19.obj", "2.6422253418")</f>
        <v>2.6422253418</v>
      </c>
      <c r="W1722" s="12" t="s">
        <v>29</v>
      </c>
      <c r="X1722" s="13">
        <v>2.9167513656616211</v>
      </c>
      <c r="Y1722" s="13">
        <v>0.3495997262804158</v>
      </c>
      <c r="Z1722" s="63">
        <v>0.1198592826238771</v>
      </c>
    </row>
    <row r="1723" spans="1:26" x14ac:dyDescent="0.2">
      <c r="A1723" s="1">
        <v>1721</v>
      </c>
      <c r="B1723" s="2" t="s">
        <v>377</v>
      </c>
      <c r="C1723" s="91" t="str">
        <f>HYPERLINK(AA2 &amp; "/mug/sn_da267df487d2a521d9f818dd0aa1a251/rendering/00.obj", "5.91821336746")</f>
        <v>5.91821336746</v>
      </c>
      <c r="D1723" s="30" t="str">
        <f>HYPERLINK(AA2 &amp; "/mug/sn_da267df487d2a521d9f818dd0aa1a251/rendering/01.obj", "6.10664892197")</f>
        <v>6.10664892197</v>
      </c>
      <c r="E1723" s="39" t="str">
        <f>HYPERLINK(AA2 &amp; "/mug/sn_da267df487d2a521d9f818dd0aa1a251/rendering/02.obj", "5.5473151207")</f>
        <v>5.5473151207</v>
      </c>
      <c r="F1723" s="13" t="str">
        <f>HYPERLINK(AA2 &amp; "/mug/sn_da267df487d2a521d9f818dd0aa1a251/rendering/03.obj", "6.06914281845")</f>
        <v>6.06914281845</v>
      </c>
      <c r="G1723" s="47" t="str">
        <f>HYPERLINK(AA2 &amp; "/mug/sn_da267df487d2a521d9f818dd0aa1a251/rendering/04.obj", "6.13222026825")</f>
        <v>6.13222026825</v>
      </c>
      <c r="H1723" s="27" t="str">
        <f>HYPERLINK(AA2 &amp; "/mug/sn_da267df487d2a521d9f818dd0aa1a251/rendering/05.obj", "6.51697349548")</f>
        <v>6.51697349548</v>
      </c>
      <c r="I1723" s="72" t="str">
        <f>HYPERLINK(AA2 &amp; "/mug/sn_da267df487d2a521d9f818dd0aa1a251/rendering/06.obj", "5.88593959808")</f>
        <v>5.88593959808</v>
      </c>
      <c r="J1723" s="109" t="str">
        <f>HYPERLINK(AA2 &amp; "/mug/sn_da267df487d2a521d9f818dd0aa1a251/rendering/07.obj", "7.23257398605")</f>
        <v>7.23257398605</v>
      </c>
      <c r="K1723" s="47" t="str">
        <f>HYPERLINK(AA2 &amp; "/mug/sn_da267df487d2a521d9f818dd0aa1a251/rendering/08.obj", "6.13816833496")</f>
        <v>6.13816833496</v>
      </c>
      <c r="L1723" s="46" t="str">
        <f>HYPERLINK(AA2 &amp; "/mug/sn_da267df487d2a521d9f818dd0aa1a251/rendering/09.obj", "6.1825966835")</f>
        <v>6.1825966835</v>
      </c>
      <c r="M1723" s="46" t="str">
        <f>HYPERLINK(AA2 &amp; "/mug/sn_da267df487d2a521d9f818dd0aa1a251/rendering/10.obj", "5.96714305878")</f>
        <v>5.96714305878</v>
      </c>
      <c r="N1723" s="46" t="str">
        <f>HYPERLINK(AA2 &amp; "/mug/sn_da267df487d2a521d9f818dd0aa1a251/rendering/11.obj", "6.17980289459")</f>
        <v>6.17980289459</v>
      </c>
      <c r="O1723" s="39" t="str">
        <f>HYPERLINK(AA2 &amp; "/mug/sn_da267df487d2a521d9f818dd0aa1a251/rendering/12.obj", "6.59755849838")</f>
        <v>6.59755849838</v>
      </c>
      <c r="P1723" s="94" t="str">
        <f>HYPERLINK(AA2 &amp; "/mug/sn_da267df487d2a521d9f818dd0aa1a251/rendering/13.obj", "5.6368098259")</f>
        <v>5.6368098259</v>
      </c>
      <c r="Q1723" s="35" t="str">
        <f>HYPERLINK(AA2 &amp; "/mug/sn_da267df487d2a521d9f818dd0aa1a251/rendering/14.obj", "5.7218747139")</f>
        <v>5.7218747139</v>
      </c>
      <c r="R1723" s="39" t="str">
        <f>HYPERLINK(AA2 &amp; "/mug/sn_da267df487d2a521d9f818dd0aa1a251/rendering/15.obj", "5.56447458267")</f>
        <v>5.56447458267</v>
      </c>
      <c r="S1723" s="26" t="str">
        <f>HYPERLINK(AA2 &amp; "/mug/sn_da267df487d2a521d9f818dd0aa1a251/rendering/16.obj", "6.46708679199")</f>
        <v>6.46708679199</v>
      </c>
      <c r="T1723" s="34" t="str">
        <f>HYPERLINK(AA2 &amp; "/mug/sn_da267df487d2a521d9f818dd0aa1a251/rendering/17.obj", "5.77625083923")</f>
        <v>5.77625083923</v>
      </c>
      <c r="U1723" s="72" t="str">
        <f>HYPERLINK(AA2 &amp; "/mug/sn_da267df487d2a521d9f818dd0aa1a251/rendering/18.obj", "6.28979253769")</f>
        <v>6.28979253769</v>
      </c>
      <c r="V1723" s="26" t="str">
        <f>HYPERLINK(AA2 &amp; "/mug/sn_da267df487d2a521d9f818dd0aa1a251/rendering/19.obj", "5.69714355469")</f>
        <v>5.69714355469</v>
      </c>
      <c r="W1723" s="12" t="s">
        <v>30</v>
      </c>
      <c r="X1723" s="13">
        <v>6.0813864946365346</v>
      </c>
      <c r="Y1723" s="13">
        <v>0.39987997372997092</v>
      </c>
      <c r="Z1723" s="26">
        <v>6.5754737687309314E-2</v>
      </c>
    </row>
    <row r="1724" spans="1:26" x14ac:dyDescent="0.2">
      <c r="A1724" s="1">
        <v>1722</v>
      </c>
      <c r="B1724" s="2" t="s">
        <v>377</v>
      </c>
      <c r="C1724" s="78" t="str">
        <f>HYPERLINK(AB2 &amp; "/mug/sn_da267df487d2a521d9f818dd0aa1a251/rendering/00.obj", "2.80537658691")</f>
        <v>2.80537658691</v>
      </c>
      <c r="D1724" s="74" t="str">
        <f>HYPERLINK(AB2 &amp; "/mug/sn_da267df487d2a521d9f818dd0aa1a251/rendering/01.obj", "2.94554748535")</f>
        <v>2.94554748535</v>
      </c>
      <c r="E1724" s="91" t="str">
        <f>HYPERLINK(AB2 &amp; "/mug/sn_da267df487d2a521d9f818dd0aa1a251/rendering/02.obj", "2.91610473633")</f>
        <v>2.91610473633</v>
      </c>
      <c r="F1724" s="69" t="str">
        <f>HYPERLINK(AB2 &amp; "/mug/sn_da267df487d2a521d9f818dd0aa1a251/rendering/03.obj", "2.90563446045")</f>
        <v>2.90563446045</v>
      </c>
      <c r="G1724" s="13" t="str">
        <f>HYPERLINK(AB2 &amp; "/mug/sn_da267df487d2a521d9f818dd0aa1a251/rendering/04.obj", "2.99523376465")</f>
        <v>2.99523376465</v>
      </c>
      <c r="H1724" s="90" t="str">
        <f>HYPERLINK(AB2 &amp; "/mug/sn_da267df487d2a521d9f818dd0aa1a251/rendering/05.obj", "3.27784484863")</f>
        <v>3.27784484863</v>
      </c>
      <c r="I1724" s="67" t="str">
        <f>HYPERLINK(AB2 &amp; "/mug/sn_da267df487d2a521d9f818dd0aa1a251/rendering/06.obj", "2.71791412354")</f>
        <v>2.71791412354</v>
      </c>
      <c r="J1724" s="23" t="str">
        <f>HYPERLINK(AB2 &amp; "/mug/sn_da267df487d2a521d9f818dd0aa1a251/rendering/07.obj", "2.8776763916")</f>
        <v>2.8776763916</v>
      </c>
      <c r="K1724" s="46" t="str">
        <f>HYPERLINK(AB2 &amp; "/mug/sn_da267df487d2a521d9f818dd0aa1a251/rendering/08.obj", "3.04072814941")</f>
        <v>3.04072814941</v>
      </c>
      <c r="L1724" s="84" t="str">
        <f>HYPERLINK(AB2 &amp; "/mug/sn_da267df487d2a521d9f818dd0aa1a251/rendering/09.obj", "3.43111450195")</f>
        <v>3.43111450195</v>
      </c>
      <c r="M1724" s="60" t="str">
        <f>HYPERLINK(AB2 &amp; "/mug/sn_da267df487d2a521d9f818dd0aa1a251/rendering/10.obj", "3.14831665039")</f>
        <v>3.14831665039</v>
      </c>
      <c r="N1724" s="47" t="str">
        <f>HYPERLINK(AB2 &amp; "/mug/sn_da267df487d2a521d9f818dd0aa1a251/rendering/11.obj", "3.01498443604")</f>
        <v>3.01498443604</v>
      </c>
      <c r="O1724" s="34" t="str">
        <f>HYPERLINK(AB2 &amp; "/mug/sn_da267df487d2a521d9f818dd0aa1a251/rendering/12.obj", "2.85007019043")</f>
        <v>2.85007019043</v>
      </c>
      <c r="P1724" s="30" t="str">
        <f>HYPERLINK(AB2 &amp; "/mug/sn_da267df487d2a521d9f818dd0aa1a251/rendering/13.obj", "2.98096740723")</f>
        <v>2.98096740723</v>
      </c>
      <c r="Q1724" s="17" t="str">
        <f>HYPERLINK(AB2 &amp; "/mug/sn_da267df487d2a521d9f818dd0aa1a251/rendering/14.obj", "2.92873016357")</f>
        <v>2.92873016357</v>
      </c>
      <c r="R1724" s="25" t="str">
        <f>HYPERLINK(AB2 &amp; "/mug/sn_da267df487d2a521d9f818dd0aa1a251/rendering/15.obj", "3.01996154785")</f>
        <v>3.01996154785</v>
      </c>
      <c r="S1724" s="25" t="str">
        <f>HYPERLINK(AB2 &amp; "/mug/sn_da267df487d2a521d9f818dd0aa1a251/rendering/16.obj", "3.02055664063")</f>
        <v>3.02055664063</v>
      </c>
      <c r="T1724" s="48" t="str">
        <f>HYPERLINK(AB2 &amp; "/mug/sn_da267df487d2a521d9f818dd0aa1a251/rendering/17.obj", "2.92286315918")</f>
        <v>2.92286315918</v>
      </c>
      <c r="U1724" s="17" t="str">
        <f>HYPERLINK(AB2 &amp; "/mug/sn_da267df487d2a521d9f818dd0aa1a251/rendering/18.obj", "3.05022644043")</f>
        <v>3.05022644043</v>
      </c>
      <c r="V1724" s="30" t="str">
        <f>HYPERLINK(AB2 &amp; "/mug/sn_da267df487d2a521d9f818dd0aa1a251/rendering/19.obj", "2.98149353027")</f>
        <v>2.98149353027</v>
      </c>
      <c r="W1724" s="12" t="s">
        <v>31</v>
      </c>
      <c r="X1724" s="13">
        <v>2.9915672607421882</v>
      </c>
      <c r="Y1724" s="13">
        <v>0.15401592975941431</v>
      </c>
      <c r="Z1724" s="60">
        <v>5.1483358499251668E-2</v>
      </c>
    </row>
    <row r="1725" spans="1:26" x14ac:dyDescent="0.2">
      <c r="A1725" s="1">
        <v>1723</v>
      </c>
      <c r="B1725" s="2" t="s">
        <v>377</v>
      </c>
      <c r="C1725" s="48" t="str">
        <f>HYPERLINK(AB2 &amp; "/mug/sn_da267df487d2a521d9f818dd0aa1a251/rendering/00.obj", "5.7049574852")</f>
        <v>5.7049574852</v>
      </c>
      <c r="D1725" s="48" t="str">
        <f>HYPERLINK(AB2 &amp; "/mug/sn_da267df487d2a521d9f818dd0aa1a251/rendering/01.obj", "5.98175239563")</f>
        <v>5.98175239563</v>
      </c>
      <c r="E1725" s="69" t="str">
        <f>HYPERLINK(AB2 &amp; "/mug/sn_da267df487d2a521d9f818dd0aa1a251/rendering/02.obj", "5.67005777359")</f>
        <v>5.67005777359</v>
      </c>
      <c r="F1725" s="30" t="str">
        <f>HYPERLINK(AB2 &amp; "/mug/sn_da267df487d2a521d9f818dd0aa1a251/rendering/03.obj", "5.87037801743")</f>
        <v>5.87037801743</v>
      </c>
      <c r="G1725" s="6" t="str">
        <f>HYPERLINK(AB2 &amp; "/mug/sn_da267df487d2a521d9f818dd0aa1a251/rendering/04.obj", "5.58508110046")</f>
        <v>5.58508110046</v>
      </c>
      <c r="H1725" s="91" t="str">
        <f>HYPERLINK(AB2 &amp; "/mug/sn_da267df487d2a521d9f818dd0aa1a251/rendering/05.obj", "5.69169616699")</f>
        <v>5.69169616699</v>
      </c>
      <c r="I1725" s="6" t="str">
        <f>HYPERLINK(AB2 &amp; "/mug/sn_da267df487d2a521d9f818dd0aa1a251/rendering/06.obj", "5.58458042145")</f>
        <v>5.58458042145</v>
      </c>
      <c r="J1725" s="34" t="str">
        <f>HYPERLINK(AB2 &amp; "/mug/sn_da267df487d2a521d9f818dd0aa1a251/rendering/07.obj", "5.56981229782")</f>
        <v>5.56981229782</v>
      </c>
      <c r="K1725" s="73" t="str">
        <f>HYPERLINK(AB2 &amp; "/mug/sn_da267df487d2a521d9f818dd0aa1a251/rendering/08.obj", "6.04840946198")</f>
        <v>6.04840946198</v>
      </c>
      <c r="L1725" s="80" t="str">
        <f>HYPERLINK(AB2 &amp; "/mug/sn_da267df487d2a521d9f818dd0aa1a251/rendering/09.obj", "6.72599077225")</f>
        <v>6.72599077225</v>
      </c>
      <c r="M1725" s="47" t="str">
        <f>HYPERLINK(AB2 &amp; "/mug/sn_da267df487d2a521d9f818dd0aa1a251/rendering/10.obj", "5.80072402954")</f>
        <v>5.80072402954</v>
      </c>
      <c r="N1725" s="91" t="str">
        <f>HYPERLINK(AB2 &amp; "/mug/sn_da267df487d2a521d9f818dd0aa1a251/rendering/11.obj", "5.99475717545")</f>
        <v>5.99475717545</v>
      </c>
      <c r="O1725" s="13" t="str">
        <f>HYPERLINK(AB2 &amp; "/mug/sn_da267df487d2a521d9f818dd0aa1a251/rendering/12.obj", "5.86261177063")</f>
        <v>5.86261177063</v>
      </c>
      <c r="P1725" s="47" t="str">
        <f>HYPERLINK(AB2 &amp; "/mug/sn_da267df487d2a521d9f818dd0aa1a251/rendering/13.obj", "5.89370155334")</f>
        <v>5.89370155334</v>
      </c>
      <c r="Q1725" s="17" t="str">
        <f>HYPERLINK(AB2 &amp; "/mug/sn_da267df487d2a521d9f818dd0aa1a251/rendering/14.obj", "5.73053026199")</f>
        <v>5.73053026199</v>
      </c>
      <c r="R1725" s="72" t="str">
        <f>HYPERLINK(AB2 &amp; "/mug/sn_da267df487d2a521d9f818dd0aa1a251/rendering/15.obj", "6.0388212204")</f>
        <v>6.0388212204</v>
      </c>
      <c r="S1725" s="13" t="str">
        <f>HYPERLINK(AB2 &amp; "/mug/sn_da267df487d2a521d9f818dd0aa1a251/rendering/16.obj", "5.84172534943")</f>
        <v>5.84172534943</v>
      </c>
      <c r="T1725" s="25" t="str">
        <f>HYPERLINK(AB2 &amp; "/mug/sn_da267df487d2a521d9f818dd0aa1a251/rendering/17.obj", "5.7774810791")</f>
        <v>5.7774810791</v>
      </c>
      <c r="U1725" s="25" t="str">
        <f>HYPERLINK(AB2 &amp; "/mug/sn_da267df487d2a521d9f818dd0aa1a251/rendering/18.obj", "5.78251981735")</f>
        <v>5.78251981735</v>
      </c>
      <c r="V1725" s="25" t="str">
        <f>HYPERLINK(AB2 &amp; "/mug/sn_da267df487d2a521d9f818dd0aa1a251/rendering/19.obj", "5.77388858795")</f>
        <v>5.77388858795</v>
      </c>
      <c r="W1725" s="12" t="s">
        <v>32</v>
      </c>
      <c r="X1725" s="13">
        <v>5.8464738368988041</v>
      </c>
      <c r="Y1725" s="13">
        <v>0.24626356749099271</v>
      </c>
      <c r="Z1725" s="68">
        <v>4.2121725737785977E-2</v>
      </c>
    </row>
    <row r="1726" spans="1:26" x14ac:dyDescent="0.2">
      <c r="A1726" s="1">
        <v>1724</v>
      </c>
      <c r="B1726" s="2" t="s">
        <v>377</v>
      </c>
      <c r="C1726" s="13" t="str">
        <f>HYPERLINK(AC2 &amp; "/mug/sn_da267df487d2a521d9f818dd0aa1a251/rendering/00.xyz", "0.0")</f>
        <v>0.0</v>
      </c>
      <c r="D1726" s="13" t="str">
        <f>HYPERLINK(AC2 &amp; "/mug/sn_da267df487d2a521d9f818dd0aa1a251/rendering/01.xyz", "0.0")</f>
        <v>0.0</v>
      </c>
      <c r="E1726" s="13" t="str">
        <f>HYPERLINK(AC2 &amp; "/mug/sn_da267df487d2a521d9f818dd0aa1a251/rendering/02.xyz", "0.0")</f>
        <v>0.0</v>
      </c>
      <c r="F1726" s="13" t="str">
        <f>HYPERLINK(AC2 &amp; "/mug/sn_da267df487d2a521d9f818dd0aa1a251/rendering/03.xyz", "0.0")</f>
        <v>0.0</v>
      </c>
      <c r="G1726" s="13" t="str">
        <f>HYPERLINK(AC2 &amp; "/mug/sn_da267df487d2a521d9f818dd0aa1a251/rendering/04.xyz", "0.0")</f>
        <v>0.0</v>
      </c>
      <c r="H1726" s="13" t="str">
        <f>HYPERLINK(AC2 &amp; "/mug/sn_da267df487d2a521d9f818dd0aa1a251/rendering/05.xyz", "0.0")</f>
        <v>0.0</v>
      </c>
      <c r="I1726" s="13" t="str">
        <f>HYPERLINK(AC2 &amp; "/mug/sn_da267df487d2a521d9f818dd0aa1a251/rendering/06.xyz", "0.0")</f>
        <v>0.0</v>
      </c>
      <c r="J1726" s="13" t="str">
        <f>HYPERLINK(AC2 &amp; "/mug/sn_da267df487d2a521d9f818dd0aa1a251/rendering/07.xyz", "0.0")</f>
        <v>0.0</v>
      </c>
      <c r="K1726" s="13" t="str">
        <f>HYPERLINK(AC2 &amp; "/mug/sn_da267df487d2a521d9f818dd0aa1a251/rendering/08.xyz", "0.0")</f>
        <v>0.0</v>
      </c>
      <c r="L1726" s="13" t="str">
        <f>HYPERLINK(AC2 &amp; "/mug/sn_da267df487d2a521d9f818dd0aa1a251/rendering/09.xyz", "0.0")</f>
        <v>0.0</v>
      </c>
      <c r="M1726" s="13" t="str">
        <f>HYPERLINK(AC2 &amp; "/mug/sn_da267df487d2a521d9f818dd0aa1a251/rendering/10.xyz", "0.0")</f>
        <v>0.0</v>
      </c>
      <c r="N1726" s="13" t="str">
        <f>HYPERLINK(AC2 &amp; "/mug/sn_da267df487d2a521d9f818dd0aa1a251/rendering/11.xyz", "0.0")</f>
        <v>0.0</v>
      </c>
      <c r="O1726" s="13" t="str">
        <f>HYPERLINK(AC2 &amp; "/mug/sn_da267df487d2a521d9f818dd0aa1a251/rendering/12.xyz", "0.0")</f>
        <v>0.0</v>
      </c>
      <c r="P1726" s="13" t="str">
        <f>HYPERLINK(AC2 &amp; "/mug/sn_da267df487d2a521d9f818dd0aa1a251/rendering/13.xyz", "0.0")</f>
        <v>0.0</v>
      </c>
      <c r="Q1726" s="13" t="str">
        <f>HYPERLINK(AC2 &amp; "/mug/sn_da267df487d2a521d9f818dd0aa1a251/rendering/14.xyz", "0.0")</f>
        <v>0.0</v>
      </c>
      <c r="R1726" s="13" t="str">
        <f>HYPERLINK(AC2 &amp; "/mug/sn_da267df487d2a521d9f818dd0aa1a251/rendering/15.xyz", "0.0")</f>
        <v>0.0</v>
      </c>
      <c r="S1726" s="13" t="str">
        <f>HYPERLINK(AC2 &amp; "/mug/sn_da267df487d2a521d9f818dd0aa1a251/rendering/16.xyz", "0.0")</f>
        <v>0.0</v>
      </c>
      <c r="T1726" s="13" t="str">
        <f>HYPERLINK(AC2 &amp; "/mug/sn_da267df487d2a521d9f818dd0aa1a251/rendering/17.xyz", "0.0")</f>
        <v>0.0</v>
      </c>
      <c r="U1726" s="13" t="str">
        <f>HYPERLINK(AC2 &amp; "/mug/sn_da267df487d2a521d9f818dd0aa1a251/rendering/18.xyz", "0.0")</f>
        <v>0.0</v>
      </c>
      <c r="V1726" s="13" t="str">
        <f>HYPERLINK(AC2 &amp; "/mug/sn_da267df487d2a521d9f818dd0aa1a251/rendering/19.xyz", "0.0")</f>
        <v>0.0</v>
      </c>
      <c r="W1726" s="12" t="s">
        <v>33</v>
      </c>
      <c r="X1726" s="13">
        <v>0</v>
      </c>
      <c r="Y1726" s="13">
        <v>0</v>
      </c>
      <c r="Z1726" s="13">
        <v>0</v>
      </c>
    </row>
    <row r="1727" spans="1:26" x14ac:dyDescent="0.2">
      <c r="A1727" s="1">
        <v>1725</v>
      </c>
      <c r="B1727" s="2" t="s">
        <v>378</v>
      </c>
      <c r="C1727" s="28" t="str">
        <f>HYPERLINK(AA2 &amp; "/mug/sn_daee5cf285b8d210eeb8d422649e5f2b/rendering/00.obj", "4.41677062988")</f>
        <v>4.41677062988</v>
      </c>
      <c r="D1727" s="58" t="str">
        <f>HYPERLINK(AA2 &amp; "/mug/sn_daee5cf285b8d210eeb8d422649e5f2b/rendering/01.obj", "6.18423339844")</f>
        <v>6.18423339844</v>
      </c>
      <c r="E1727" s="91" t="str">
        <f>HYPERLINK(AA2 &amp; "/mug/sn_daee5cf285b8d210eeb8d422649e5f2b/rendering/02.obj", "4.83961120605")</f>
        <v>4.83961120605</v>
      </c>
      <c r="F1727" s="138" t="str">
        <f>HYPERLINK(AA2 &amp; "/mug/sn_daee5cf285b8d210eeb8d422649e5f2b/rendering/03.obj", "3.29895019531")</f>
        <v>3.29895019531</v>
      </c>
      <c r="G1727" s="20" t="str">
        <f>HYPERLINK(AA2 &amp; "/mug/sn_daee5cf285b8d210eeb8d422649e5f2b/rendering/04.obj", "10.055333252")</f>
        <v>10.055333252</v>
      </c>
      <c r="H1727" s="133" t="str">
        <f>HYPERLINK(AA2 &amp; "/mug/sn_daee5cf285b8d210eeb8d422649e5f2b/rendering/05.obj", "4.46320068359")</f>
        <v>4.46320068359</v>
      </c>
      <c r="I1727" s="51" t="str">
        <f>HYPERLINK(AA2 &amp; "/mug/sn_daee5cf285b8d210eeb8d422649e5f2b/rendering/06.obj", "4.57852233887")</f>
        <v>4.57852233887</v>
      </c>
      <c r="J1727" s="84" t="str">
        <f>HYPERLINK(AA2 &amp; "/mug/sn_daee5cf285b8d210eeb8d422649e5f2b/rendering/07.obj", "5.70381469727")</f>
        <v>5.70381469727</v>
      </c>
      <c r="K1727" s="137" t="str">
        <f>HYPERLINK(AA2 &amp; "/mug/sn_daee5cf285b8d210eeb8d422649e5f2b/rendering/08.obj", "3.14966064453")</f>
        <v>3.14966064453</v>
      </c>
      <c r="L1727" s="90" t="str">
        <f>HYPERLINK(AA2 &amp; "/mug/sn_daee5cf285b8d210eeb8d422649e5f2b/rendering/09.obj", "5.45634460449")</f>
        <v>5.45634460449</v>
      </c>
      <c r="M1727" s="124" t="str">
        <f>HYPERLINK(AA2 &amp; "/mug/sn_daee5cf285b8d210eeb8d422649e5f2b/rendering/10.obj", "3.08565002441")</f>
        <v>3.08565002441</v>
      </c>
      <c r="N1727" s="50" t="str">
        <f>HYPERLINK(AA2 &amp; "/mug/sn_daee5cf285b8d210eeb8d422649e5f2b/rendering/11.obj", "3.99067077637")</f>
        <v>3.99067077637</v>
      </c>
      <c r="O1727" s="117" t="str">
        <f>HYPERLINK(AA2 &amp; "/mug/sn_daee5cf285b8d210eeb8d422649e5f2b/rendering/12.obj", "4.09993896484")</f>
        <v>4.09993896484</v>
      </c>
      <c r="P1727" s="55" t="str">
        <f>HYPERLINK(AA2 &amp; "/mug/sn_daee5cf285b8d210eeb8d422649e5f2b/rendering/13.obj", "4.0149710083")</f>
        <v>4.0149710083</v>
      </c>
      <c r="Q1727" s="20" t="str">
        <f>HYPERLINK(AA2 &amp; "/mug/sn_daee5cf285b8d210eeb8d422649e5f2b/rendering/14.obj", "10.5993432617")</f>
        <v>10.5993432617</v>
      </c>
      <c r="R1727" s="39" t="str">
        <f>HYPERLINK(AA2 &amp; "/mug/sn_daee5cf285b8d210eeb8d422649e5f2b/rendering/15.obj", "4.54000183105")</f>
        <v>4.54000183105</v>
      </c>
      <c r="S1727" s="76" t="str">
        <f>HYPERLINK(AA2 &amp; "/mug/sn_daee5cf285b8d210eeb8d422649e5f2b/rendering/16.obj", "5.88286804199")</f>
        <v>5.88286804199</v>
      </c>
      <c r="T1727" s="149" t="str">
        <f>HYPERLINK(AA2 &amp; "/mug/sn_daee5cf285b8d210eeb8d422649e5f2b/rendering/17.obj", "3.26936401367")</f>
        <v>3.26936401367</v>
      </c>
      <c r="U1727" s="51" t="str">
        <f>HYPERLINK(AA2 &amp; "/mug/sn_daee5cf285b8d210eeb8d422649e5f2b/rendering/18.obj", "4.57775085449")</f>
        <v>4.57775085449</v>
      </c>
      <c r="V1727" s="149" t="str">
        <f>HYPERLINK(AA2 &amp; "/mug/sn_daee5cf285b8d210eeb8d422649e5f2b/rendering/19.obj", "3.27268890381")</f>
        <v>3.27268890381</v>
      </c>
      <c r="W1727" s="12" t="s">
        <v>29</v>
      </c>
      <c r="X1727" s="13">
        <v>4.9739844665527349</v>
      </c>
      <c r="Y1727" s="13">
        <v>1.9970283921915919</v>
      </c>
      <c r="Z1727" s="52">
        <v>0.40149469818824152</v>
      </c>
    </row>
    <row r="1728" spans="1:26" x14ac:dyDescent="0.2">
      <c r="A1728" s="1">
        <v>1726</v>
      </c>
      <c r="B1728" s="2" t="s">
        <v>378</v>
      </c>
      <c r="C1728" s="75" t="str">
        <f>HYPERLINK(AA2 &amp; "/mug/sn_daee5cf285b8d210eeb8d422649e5f2b/rendering/00.obj", "7.71550559998")</f>
        <v>7.71550559998</v>
      </c>
      <c r="D1728" s="25" t="str">
        <f>HYPERLINK(AA2 &amp; "/mug/sn_daee5cf285b8d210eeb8d422649e5f2b/rendering/01.obj", "9.80069541931")</f>
        <v>9.80069541931</v>
      </c>
      <c r="E1728" s="13" t="str">
        <f>HYPERLINK(AA2 &amp; "/mug/sn_daee5cf285b8d210eeb8d422649e5f2b/rendering/02.obj", "9.94784069061")</f>
        <v>9.94784069061</v>
      </c>
      <c r="F1728" s="123" t="str">
        <f>HYPERLINK(AA2 &amp; "/mug/sn_daee5cf285b8d210eeb8d422649e5f2b/rendering/03.obj", "6.27339267731")</f>
        <v>6.27339267731</v>
      </c>
      <c r="G1728" s="20" t="str">
        <f>HYPERLINK(AA2 &amp; "/mug/sn_daee5cf285b8d210eeb8d422649e5f2b/rendering/04.obj", "23.3727626801")</f>
        <v>23.3727626801</v>
      </c>
      <c r="H1728" s="77" t="str">
        <f>HYPERLINK(AA2 &amp; "/mug/sn_daee5cf285b8d210eeb8d422649e5f2b/rendering/05.obj", "8.05317974091")</f>
        <v>8.05317974091</v>
      </c>
      <c r="I1728" s="17" t="str">
        <f>HYPERLINK(AA2 &amp; "/mug/sn_daee5cf285b8d210eeb8d422649e5f2b/rendering/06.obj", "9.71112823486")</f>
        <v>9.71112823486</v>
      </c>
      <c r="J1728" s="27" t="str">
        <f>HYPERLINK(AA2 &amp; "/mug/sn_daee5cf285b8d210eeb8d422649e5f2b/rendering/07.obj", "9.21649265289")</f>
        <v>9.21649265289</v>
      </c>
      <c r="K1728" s="182" t="str">
        <f>HYPERLINK(AA2 &amp; "/mug/sn_daee5cf285b8d210eeb8d422649e5f2b/rendering/08.obj", "6.60314702988")</f>
        <v>6.60314702988</v>
      </c>
      <c r="L1728" s="39" t="str">
        <f>HYPERLINK(AA2 &amp; "/mug/sn_daee5cf285b8d210eeb8d422649e5f2b/rendering/09.obj", "10.789390564")</f>
        <v>10.789390564</v>
      </c>
      <c r="M1728" s="153" t="str">
        <f>HYPERLINK(AA2 &amp; "/mug/sn_daee5cf285b8d210eeb8d422649e5f2b/rendering/10.obj", "6.38183021545")</f>
        <v>6.38183021545</v>
      </c>
      <c r="N1728" s="59" t="str">
        <f>HYPERLINK(AA2 &amp; "/mug/sn_daee5cf285b8d210eeb8d422649e5f2b/rendering/11.obj", "7.52546215057")</f>
        <v>7.52546215057</v>
      </c>
      <c r="O1728" s="119" t="str">
        <f>HYPERLINK(AA2 &amp; "/mug/sn_daee5cf285b8d210eeb8d422649e5f2b/rendering/12.obj", "7.30236816406")</f>
        <v>7.30236816406</v>
      </c>
      <c r="P1728" s="94" t="str">
        <f>HYPERLINK(AA2 &amp; "/mug/sn_daee5cf285b8d210eeb8d422649e5f2b/rendering/13.obj", "9.19462871552")</f>
        <v>9.19462871552</v>
      </c>
      <c r="Q1728" s="20" t="str">
        <f>HYPERLINK(AA2 &amp; "/mug/sn_daee5cf285b8d210eeb8d422649e5f2b/rendering/14.obj", "25.1570568085")</f>
        <v>25.1570568085</v>
      </c>
      <c r="R1728" s="64" t="str">
        <f>HYPERLINK(AA2 &amp; "/mug/sn_daee5cf285b8d210eeb8d422649e5f2b/rendering/15.obj", "8.29158496857")</f>
        <v>8.29158496857</v>
      </c>
      <c r="S1728" s="133" t="str">
        <f>HYPERLINK(AA2 &amp; "/mug/sn_daee5cf285b8d210eeb8d422649e5f2b/rendering/16.obj", "10.923871994")</f>
        <v>10.923871994</v>
      </c>
      <c r="T1728" s="100" t="str">
        <f>HYPERLINK(AA2 &amp; "/mug/sn_daee5cf285b8d210eeb8d422649e5f2b/rendering/17.obj", "6.95036411285")</f>
        <v>6.95036411285</v>
      </c>
      <c r="U1728" s="67" t="str">
        <f>HYPERLINK(AA2 &amp; "/mug/sn_daee5cf285b8d210eeb8d422649e5f2b/rendering/18.obj", "9.01541900635")</f>
        <v>9.01541900635</v>
      </c>
      <c r="V1728" s="101" t="str">
        <f>HYPERLINK(AA2 &amp; "/mug/sn_daee5cf285b8d210eeb8d422649e5f2b/rendering/19.obj", "6.16378211975")</f>
        <v>6.16378211975</v>
      </c>
      <c r="W1728" s="12" t="s">
        <v>30</v>
      </c>
      <c r="X1728" s="13">
        <v>9.9194951772689812</v>
      </c>
      <c r="Y1728" s="13">
        <v>5.0006723432277242</v>
      </c>
      <c r="Z1728" s="144">
        <v>0.50412568924747447</v>
      </c>
    </row>
    <row r="1729" spans="1:26" x14ac:dyDescent="0.2">
      <c r="A1729" s="1">
        <v>1727</v>
      </c>
      <c r="B1729" s="2" t="s">
        <v>378</v>
      </c>
      <c r="C1729" s="5" t="str">
        <f>HYPERLINK(AB2 &amp; "/mug/sn_daee5cf285b8d210eeb8d422649e5f2b/rendering/00.obj", "3.78951293945")</f>
        <v>3.78951293945</v>
      </c>
      <c r="D1729" s="93" t="str">
        <f>HYPERLINK(AB2 &amp; "/mug/sn_daee5cf285b8d210eeb8d422649e5f2b/rendering/01.obj", "4.00899719238")</f>
        <v>4.00899719238</v>
      </c>
      <c r="E1729" s="93" t="str">
        <f>HYPERLINK(AB2 &amp; "/mug/sn_daee5cf285b8d210eeb8d422649e5f2b/rendering/02.obj", "3.02820098877")</f>
        <v>3.02820098877</v>
      </c>
      <c r="F1729" s="69" t="str">
        <f>HYPERLINK(AB2 &amp; "/mug/sn_daee5cf285b8d210eeb8d422649e5f2b/rendering/03.obj", "3.4151953125")</f>
        <v>3.4151953125</v>
      </c>
      <c r="G1729" s="25" t="str">
        <f>HYPERLINK(AB2 &amp; "/mug/sn_daee5cf285b8d210eeb8d422649e5f2b/rendering/04.obj", "3.55812988281")</f>
        <v>3.55812988281</v>
      </c>
      <c r="H1729" s="26" t="str">
        <f>HYPERLINK(AB2 &amp; "/mug/sn_daee5cf285b8d210eeb8d422649e5f2b/rendering/05.obj", "3.74337982178")</f>
        <v>3.74337982178</v>
      </c>
      <c r="I1729" s="27" t="str">
        <f>HYPERLINK(AB2 &amp; "/mug/sn_daee5cf285b8d210eeb8d422649e5f2b/rendering/06.obj", "3.26602813721")</f>
        <v>3.26602813721</v>
      </c>
      <c r="J1729" s="90" t="str">
        <f>HYPERLINK(AB2 &amp; "/mug/sn_daee5cf285b8d210eeb8d422649e5f2b/rendering/07.obj", "3.84764587402")</f>
        <v>3.84764587402</v>
      </c>
      <c r="K1729" s="134" t="str">
        <f>HYPERLINK(AB2 &amp; "/mug/sn_daee5cf285b8d210eeb8d422649e5f2b/rendering/08.obj", "4.14945892334")</f>
        <v>4.14945892334</v>
      </c>
      <c r="L1729" s="72" t="str">
        <f>HYPERLINK(AB2 &amp; "/mug/sn_daee5cf285b8d210eeb8d422649e5f2b/rendering/09.obj", "3.39871032715")</f>
        <v>3.39871032715</v>
      </c>
      <c r="M1729" s="32" t="str">
        <f>HYPERLINK(AB2 &amp; "/mug/sn_daee5cf285b8d210eeb8d422649e5f2b/rendering/10.obj", "3.14980682373")</f>
        <v>3.14980682373</v>
      </c>
      <c r="N1729" s="13" t="str">
        <f>HYPERLINK(AB2 &amp; "/mug/sn_daee5cf285b8d210eeb8d422649e5f2b/rendering/11.obj", "3.51421356201")</f>
        <v>3.51421356201</v>
      </c>
      <c r="O1729" s="30" t="str">
        <f>HYPERLINK(AB2 &amp; "/mug/sn_daee5cf285b8d210eeb8d422649e5f2b/rendering/12.obj", "3.5318536377")</f>
        <v>3.5318536377</v>
      </c>
      <c r="P1729" s="68" t="str">
        <f>HYPERLINK(AB2 &amp; "/mug/sn_daee5cf285b8d210eeb8d422649e5f2b/rendering/13.obj", "3.66918701172")</f>
        <v>3.66918701172</v>
      </c>
      <c r="Q1729" s="65" t="str">
        <f>HYPERLINK(AB2 &amp; "/mug/sn_daee5cf285b8d210eeb8d422649e5f2b/rendering/14.obj", "3.04702575684")</f>
        <v>3.04702575684</v>
      </c>
      <c r="R1729" s="69" t="str">
        <f>HYPERLINK(AB2 &amp; "/mug/sn_daee5cf285b8d210eeb8d422649e5f2b/rendering/15.obj", "3.41513427734")</f>
        <v>3.41513427734</v>
      </c>
      <c r="S1729" s="47" t="str">
        <f>HYPERLINK(AB2 &amp; "/mug/sn_daee5cf285b8d210eeb8d422649e5f2b/rendering/16.obj", "3.54015258789")</f>
        <v>3.54015258789</v>
      </c>
      <c r="T1729" s="48" t="str">
        <f>HYPERLINK(AB2 &amp; "/mug/sn_daee5cf285b8d210eeb8d422649e5f2b/rendering/17.obj", "3.59414093018")</f>
        <v>3.59414093018</v>
      </c>
      <c r="U1729" s="51" t="str">
        <f>HYPERLINK(AB2 &amp; "/mug/sn_daee5cf285b8d210eeb8d422649e5f2b/rendering/18.obj", "3.23853851318")</f>
        <v>3.23853851318</v>
      </c>
      <c r="V1729" s="69" t="str">
        <f>HYPERLINK(AB2 &amp; "/mug/sn_daee5cf285b8d210eeb8d422649e5f2b/rendering/19.obj", "3.40993774414")</f>
        <v>3.40993774414</v>
      </c>
      <c r="W1729" s="12" t="s">
        <v>31</v>
      </c>
      <c r="X1729" s="13">
        <v>3.5157625122070311</v>
      </c>
      <c r="Y1729" s="13">
        <v>0.29067118824046317</v>
      </c>
      <c r="Z1729" s="107">
        <v>8.2676570795447019E-2</v>
      </c>
    </row>
    <row r="1730" spans="1:26" x14ac:dyDescent="0.2">
      <c r="A1730" s="1">
        <v>1728</v>
      </c>
      <c r="B1730" s="2" t="s">
        <v>378</v>
      </c>
      <c r="C1730" s="27" t="str">
        <f>HYPERLINK(AB2 &amp; "/mug/sn_daee5cf285b8d210eeb8d422649e5f2b/rendering/00.obj", "6.69317579269")</f>
        <v>6.69317579269</v>
      </c>
      <c r="D1730" s="91" t="str">
        <f>HYPERLINK(AB2 &amp; "/mug/sn_daee5cf285b8d210eeb8d422649e5f2b/rendering/01.obj", "6.42839431763")</f>
        <v>6.42839431763</v>
      </c>
      <c r="E1730" s="5" t="str">
        <f>HYPERLINK(AB2 &amp; "/mug/sn_daee5cf285b8d210eeb8d422649e5f2b/rendering/02.obj", "5.77172756195")</f>
        <v>5.77172756195</v>
      </c>
      <c r="F1730" s="35" t="str">
        <f>HYPERLINK(AB2 &amp; "/mug/sn_daee5cf285b8d210eeb8d422649e5f2b/rendering/03.obj", "5.88947629929")</f>
        <v>5.88947629929</v>
      </c>
      <c r="G1730" s="25" t="str">
        <f>HYPERLINK(AB2 &amp; "/mug/sn_daee5cf285b8d210eeb8d422649e5f2b/rendering/04.obj", "6.33319997787")</f>
        <v>6.33319997787</v>
      </c>
      <c r="H1730" s="39" t="str">
        <f>HYPERLINK(AB2 &amp; "/mug/sn_daee5cf285b8d210eeb8d422649e5f2b/rendering/05.obj", "6.79868745804")</f>
        <v>6.79868745804</v>
      </c>
      <c r="I1730" s="41" t="str">
        <f>HYPERLINK(AB2 &amp; "/mug/sn_daee5cf285b8d210eeb8d422649e5f2b/rendering/06.obj", "5.84281682968")</f>
        <v>5.84281682968</v>
      </c>
      <c r="J1730" s="13" t="str">
        <f>HYPERLINK(AB2 &amp; "/mug/sn_daee5cf285b8d210eeb8d422649e5f2b/rendering/07.obj", "6.26586389542")</f>
        <v>6.26586389542</v>
      </c>
      <c r="K1730" s="117" t="str">
        <f>HYPERLINK(AB2 &amp; "/mug/sn_daee5cf285b8d210eeb8d422649e5f2b/rendering/08.obj", "7.36576938629")</f>
        <v>7.36576938629</v>
      </c>
      <c r="L1730" s="41" t="str">
        <f>HYPERLINK(AB2 &amp; "/mug/sn_daee5cf285b8d210eeb8d422649e5f2b/rendering/09.obj", "5.83741855621")</f>
        <v>5.83741855621</v>
      </c>
      <c r="M1730" s="5" t="str">
        <f>HYPERLINK(AB2 &amp; "/mug/sn_daee5cf285b8d210eeb8d422649e5f2b/rendering/10.obj", "5.7832942009")</f>
        <v>5.7832942009</v>
      </c>
      <c r="N1730" s="25" t="str">
        <f>HYPERLINK(AB2 &amp; "/mug/sn_daee5cf285b8d210eeb8d422649e5f2b/rendering/11.obj", "6.18033456802")</f>
        <v>6.18033456802</v>
      </c>
      <c r="O1730" s="73" t="str">
        <f>HYPERLINK(AB2 &amp; "/mug/sn_daee5cf285b8d210eeb8d422649e5f2b/rendering/12.obj", "6.035115242")</f>
        <v>6.035115242</v>
      </c>
      <c r="P1730" s="133" t="str">
        <f>HYPERLINK(AB2 &amp; "/mug/sn_daee5cf285b8d210eeb8d422649e5f2b/rendering/13.obj", "6.88785839081")</f>
        <v>6.88785839081</v>
      </c>
      <c r="Q1730" s="73" t="str">
        <f>HYPERLINK(AB2 &amp; "/mug/sn_daee5cf285b8d210eeb8d422649e5f2b/rendering/14.obj", "6.04031562805")</f>
        <v>6.04031562805</v>
      </c>
      <c r="R1730" s="6" t="str">
        <f>HYPERLINK(AB2 &amp; "/mug/sn_daee5cf285b8d210eeb8d422649e5f2b/rendering/15.obj", "5.96233224869")</f>
        <v>5.96233224869</v>
      </c>
      <c r="S1730" s="35" t="str">
        <f>HYPERLINK(AB2 &amp; "/mug/sn_daee5cf285b8d210eeb8d422649e5f2b/rendering/16.obj", "6.61444711685")</f>
        <v>6.61444711685</v>
      </c>
      <c r="T1730" s="51" t="str">
        <f>HYPERLINK(AB2 &amp; "/mug/sn_daee5cf285b8d210eeb8d422649e5f2b/rendering/17.obj", "6.75428438187")</f>
        <v>6.75428438187</v>
      </c>
      <c r="U1730" s="39" t="str">
        <f>HYPERLINK(AB2 &amp; "/mug/sn_daee5cf285b8d210eeb8d422649e5f2b/rendering/18.obj", "5.71857595444")</f>
        <v>5.71857595444</v>
      </c>
      <c r="V1730" s="60" t="str">
        <f>HYPERLINK(AB2 &amp; "/mug/sn_daee5cf285b8d210eeb8d422649e5f2b/rendering/19.obj", "5.92547178268")</f>
        <v>5.92547178268</v>
      </c>
      <c r="W1730" s="12" t="s">
        <v>32</v>
      </c>
      <c r="X1730" s="13">
        <v>6.256427979469299</v>
      </c>
      <c r="Y1730" s="13">
        <v>0.45014445923897611</v>
      </c>
      <c r="Z1730" s="27">
        <v>7.1949115488285309E-2</v>
      </c>
    </row>
    <row r="1731" spans="1:26" x14ac:dyDescent="0.2">
      <c r="A1731" s="1">
        <v>1729</v>
      </c>
      <c r="B1731" s="2" t="s">
        <v>378</v>
      </c>
      <c r="C1731" s="13" t="str">
        <f>HYPERLINK(AC2 &amp; "/mug/sn_daee5cf285b8d210eeb8d422649e5f2b/rendering/00.xyz", "0.0")</f>
        <v>0.0</v>
      </c>
      <c r="D1731" s="13" t="str">
        <f>HYPERLINK(AC2 &amp; "/mug/sn_daee5cf285b8d210eeb8d422649e5f2b/rendering/01.xyz", "0.0")</f>
        <v>0.0</v>
      </c>
      <c r="E1731" s="13" t="str">
        <f>HYPERLINK(AC2 &amp; "/mug/sn_daee5cf285b8d210eeb8d422649e5f2b/rendering/02.xyz", "0.0")</f>
        <v>0.0</v>
      </c>
      <c r="F1731" s="13" t="str">
        <f>HYPERLINK(AC2 &amp; "/mug/sn_daee5cf285b8d210eeb8d422649e5f2b/rendering/03.xyz", "0.0")</f>
        <v>0.0</v>
      </c>
      <c r="G1731" s="13" t="str">
        <f>HYPERLINK(AC2 &amp; "/mug/sn_daee5cf285b8d210eeb8d422649e5f2b/rendering/04.xyz", "0.0")</f>
        <v>0.0</v>
      </c>
      <c r="H1731" s="13" t="str">
        <f>HYPERLINK(AC2 &amp; "/mug/sn_daee5cf285b8d210eeb8d422649e5f2b/rendering/05.xyz", "0.0")</f>
        <v>0.0</v>
      </c>
      <c r="I1731" s="13" t="str">
        <f>HYPERLINK(AC2 &amp; "/mug/sn_daee5cf285b8d210eeb8d422649e5f2b/rendering/06.xyz", "0.0")</f>
        <v>0.0</v>
      </c>
      <c r="J1731" s="13" t="str">
        <f>HYPERLINK(AC2 &amp; "/mug/sn_daee5cf285b8d210eeb8d422649e5f2b/rendering/07.xyz", "0.0")</f>
        <v>0.0</v>
      </c>
      <c r="K1731" s="13" t="str">
        <f>HYPERLINK(AC2 &amp; "/mug/sn_daee5cf285b8d210eeb8d422649e5f2b/rendering/08.xyz", "0.0")</f>
        <v>0.0</v>
      </c>
      <c r="L1731" s="13" t="str">
        <f>HYPERLINK(AC2 &amp; "/mug/sn_daee5cf285b8d210eeb8d422649e5f2b/rendering/09.xyz", "0.0")</f>
        <v>0.0</v>
      </c>
      <c r="M1731" s="13" t="str">
        <f>HYPERLINK(AC2 &amp; "/mug/sn_daee5cf285b8d210eeb8d422649e5f2b/rendering/10.xyz", "0.0")</f>
        <v>0.0</v>
      </c>
      <c r="N1731" s="13" t="str">
        <f>HYPERLINK(AC2 &amp; "/mug/sn_daee5cf285b8d210eeb8d422649e5f2b/rendering/11.xyz", "0.0")</f>
        <v>0.0</v>
      </c>
      <c r="O1731" s="13" t="str">
        <f>HYPERLINK(AC2 &amp; "/mug/sn_daee5cf285b8d210eeb8d422649e5f2b/rendering/12.xyz", "0.0")</f>
        <v>0.0</v>
      </c>
      <c r="P1731" s="13" t="str">
        <f>HYPERLINK(AC2 &amp; "/mug/sn_daee5cf285b8d210eeb8d422649e5f2b/rendering/13.xyz", "0.0")</f>
        <v>0.0</v>
      </c>
      <c r="Q1731" s="13" t="str">
        <f>HYPERLINK(AC2 &amp; "/mug/sn_daee5cf285b8d210eeb8d422649e5f2b/rendering/14.xyz", "0.0")</f>
        <v>0.0</v>
      </c>
      <c r="R1731" s="13" t="str">
        <f>HYPERLINK(AC2 &amp; "/mug/sn_daee5cf285b8d210eeb8d422649e5f2b/rendering/15.xyz", "0.0")</f>
        <v>0.0</v>
      </c>
      <c r="S1731" s="13" t="str">
        <f>HYPERLINK(AC2 &amp; "/mug/sn_daee5cf285b8d210eeb8d422649e5f2b/rendering/16.xyz", "0.0")</f>
        <v>0.0</v>
      </c>
      <c r="T1731" s="13" t="str">
        <f>HYPERLINK(AC2 &amp; "/mug/sn_daee5cf285b8d210eeb8d422649e5f2b/rendering/17.xyz", "0.0")</f>
        <v>0.0</v>
      </c>
      <c r="U1731" s="13" t="str">
        <f>HYPERLINK(AC2 &amp; "/mug/sn_daee5cf285b8d210eeb8d422649e5f2b/rendering/18.xyz", "0.0")</f>
        <v>0.0</v>
      </c>
      <c r="V1731" s="13" t="str">
        <f>HYPERLINK(AC2 &amp; "/mug/sn_daee5cf285b8d210eeb8d422649e5f2b/rendering/19.xyz", "0.0")</f>
        <v>0.0</v>
      </c>
      <c r="W1731" s="12" t="s">
        <v>33</v>
      </c>
      <c r="X1731" s="13">
        <v>0</v>
      </c>
      <c r="Y1731" s="13">
        <v>0</v>
      </c>
      <c r="Z1731" s="13">
        <v>0</v>
      </c>
    </row>
    <row r="1732" spans="1:26" x14ac:dyDescent="0.2">
      <c r="A1732" s="1">
        <v>1730</v>
      </c>
      <c r="B1732" s="2" t="s">
        <v>379</v>
      </c>
      <c r="C1732" s="20" t="str">
        <f>HYPERLINK(AA2 &amp; "/mug/sn_dc95c52ca0ad054d9765c10879d1ef74/rendering/00.obj", "10.1093469238")</f>
        <v>10.1093469238</v>
      </c>
      <c r="D1732" s="73" t="str">
        <f>HYPERLINK(AA2 &amp; "/mug/sn_dc95c52ca0ad054d9765c10879d1ef74/rendering/01.obj", "4.64570129395")</f>
        <v>4.64570129395</v>
      </c>
      <c r="E1732" s="170" t="str">
        <f>HYPERLINK(AA2 &amp; "/mug/sn_dc95c52ca0ad054d9765c10879d1ef74/rendering/02.obj", "6.04842163086")</f>
        <v>6.04842163086</v>
      </c>
      <c r="F1732" s="30" t="str">
        <f>HYPERLINK(AA2 &amp; "/mug/sn_dc95c52ca0ad054d9765c10879d1ef74/rendering/03.obj", "4.79918792725")</f>
        <v>4.79918792725</v>
      </c>
      <c r="G1732" s="33" t="str">
        <f>HYPERLINK(AA2 &amp; "/mug/sn_dc95c52ca0ad054d9765c10879d1ef74/rendering/04.obj", "5.34789428711")</f>
        <v>5.34789428711</v>
      </c>
      <c r="H1732" s="87" t="str">
        <f>HYPERLINK(AA2 &amp; "/mug/sn_dc95c52ca0ad054d9765c10879d1ef74/rendering/05.obj", "3.72919616699")</f>
        <v>3.72919616699</v>
      </c>
      <c r="I1732" s="51" t="str">
        <f>HYPERLINK(AA2 &amp; "/mug/sn_dc95c52ca0ad054d9765c10879d1ef74/rendering/06.obj", "4.44569519043")</f>
        <v>4.44569519043</v>
      </c>
      <c r="J1732" s="216" t="str">
        <f>HYPERLINK(AA2 &amp; "/mug/sn_dc95c52ca0ad054d9765c10879d1ef74/rendering/07.obj", "7.9617980957")</f>
        <v>7.9617980957</v>
      </c>
      <c r="K1732" s="171" t="str">
        <f>HYPERLINK(AA2 &amp; "/mug/sn_dc95c52ca0ad054d9765c10879d1ef74/rendering/08.obj", "6.30707946777")</f>
        <v>6.30707946777</v>
      </c>
      <c r="L1732" s="58" t="str">
        <f>HYPERLINK(AA2 &amp; "/mug/sn_dc95c52ca0ad054d9765c10879d1ef74/rendering/09.obj", "6.0062878418")</f>
        <v>6.0062878418</v>
      </c>
      <c r="M1732" s="32" t="str">
        <f>HYPERLINK(AA2 &amp; "/mug/sn_dc95c52ca0ad054d9765c10879d1ef74/rendering/10.obj", "4.3222253418")</f>
        <v>4.3222253418</v>
      </c>
      <c r="N1732" s="41" t="str">
        <f>HYPERLINK(AA2 &amp; "/mug/sn_dc95c52ca0ad054d9765c10879d1ef74/rendering/11.obj", "5.1446295166")</f>
        <v>5.1446295166</v>
      </c>
      <c r="O1732" s="145" t="str">
        <f>HYPERLINK(AA2 &amp; "/mug/sn_dc95c52ca0ad054d9765c10879d1ef74/rendering/12.obj", "2.4609236145")</f>
        <v>2.4609236145</v>
      </c>
      <c r="P1732" s="87" t="str">
        <f>HYPERLINK(AA2 &amp; "/mug/sn_dc95c52ca0ad054d9765c10879d1ef74/rendering/13.obj", "3.72919555664")</f>
        <v>3.72919555664</v>
      </c>
      <c r="Q1732" s="129" t="str">
        <f>HYPERLINK(AA2 &amp; "/mug/sn_dc95c52ca0ad054d9765c10879d1ef74/rendering/14.obj", "3.62279296875")</f>
        <v>3.62279296875</v>
      </c>
      <c r="R1732" s="169" t="str">
        <f>HYPERLINK(AA2 &amp; "/mug/sn_dc95c52ca0ad054d9765c10879d1ef74/rendering/15.obj", "3.31722106934")</f>
        <v>3.31722106934</v>
      </c>
      <c r="S1732" s="121" t="str">
        <f>HYPERLINK(AA2 &amp; "/mug/sn_dc95c52ca0ad054d9765c10879d1ef74/rendering/16.obj", "3.11896575928")</f>
        <v>3.11896575928</v>
      </c>
      <c r="T1732" s="193" t="str">
        <f>HYPERLINK(AA2 &amp; "/mug/sn_dc95c52ca0ad054d9765c10879d1ef74/rendering/17.obj", "3.23190612793")</f>
        <v>3.23190612793</v>
      </c>
      <c r="U1732" s="24" t="str">
        <f>HYPERLINK(AA2 &amp; "/mug/sn_dc95c52ca0ad054d9765c10879d1ef74/rendering/18.obj", "4.02172515869")</f>
        <v>4.02172515869</v>
      </c>
      <c r="V1732" s="93" t="str">
        <f>HYPERLINK(AA2 &amp; "/mug/sn_dc95c52ca0ad054d9765c10879d1ef74/rendering/19.obj", "4.15078765869")</f>
        <v>4.15078765869</v>
      </c>
      <c r="W1732" s="12" t="s">
        <v>29</v>
      </c>
      <c r="X1732" s="13">
        <v>4.8260490798950197</v>
      </c>
      <c r="Y1732" s="13">
        <v>1.759475166552871</v>
      </c>
      <c r="Z1732" s="137">
        <v>0.36457879673928723</v>
      </c>
    </row>
    <row r="1733" spans="1:26" x14ac:dyDescent="0.2">
      <c r="A1733" s="1">
        <v>1731</v>
      </c>
      <c r="B1733" s="2" t="s">
        <v>379</v>
      </c>
      <c r="C1733" s="20" t="str">
        <f>HYPERLINK(AA2 &amp; "/mug/sn_dc95c52ca0ad054d9765c10879d1ef74/rendering/00.obj", "20.5665531158")</f>
        <v>20.5665531158</v>
      </c>
      <c r="D1733" s="109" t="str">
        <f>HYPERLINK(AA2 &amp; "/mug/sn_dc95c52ca0ad054d9765c10879d1ef74/rendering/01.obj", "10.5341615677")</f>
        <v>10.5341615677</v>
      </c>
      <c r="E1733" s="51" t="str">
        <f>HYPERLINK(AA2 &amp; "/mug/sn_dc95c52ca0ad054d9765c10879d1ef74/rendering/02.obj", "9.57728672028")</f>
        <v>9.57728672028</v>
      </c>
      <c r="F1733" s="117" t="str">
        <f>HYPERLINK(AA2 &amp; "/mug/sn_dc95c52ca0ad054d9765c10879d1ef74/rendering/03.obj", "7.28695869446")</f>
        <v>7.28695869446</v>
      </c>
      <c r="G1733" s="187" t="str">
        <f>HYPERLINK(AA2 &amp; "/mug/sn_dc95c52ca0ad054d9765c10879d1ef74/rendering/04.obj", "11.9637937546")</f>
        <v>11.9637937546</v>
      </c>
      <c r="H1733" s="81" t="str">
        <f>HYPERLINK(AA2 &amp; "/mug/sn_dc95c52ca0ad054d9765c10879d1ef74/rendering/05.obj", "6.93998193741")</f>
        <v>6.93998193741</v>
      </c>
      <c r="I1733" s="99" t="str">
        <f>HYPERLINK(AA2 &amp; "/mug/sn_dc95c52ca0ad054d9765c10879d1ef74/rendering/06.obj", "6.46240186691")</f>
        <v>6.46240186691</v>
      </c>
      <c r="J1733" s="154" t="str">
        <f>HYPERLINK(AA2 &amp; "/mug/sn_dc95c52ca0ad054d9765c10879d1ef74/rendering/07.obj", "15.4703550339")</f>
        <v>15.4703550339</v>
      </c>
      <c r="K1733" s="36" t="str">
        <f>HYPERLINK(AA2 &amp; "/mug/sn_dc95c52ca0ad054d9765c10879d1ef74/rendering/08.obj", "10.7746906281")</f>
        <v>10.7746906281</v>
      </c>
      <c r="L1733" s="120" t="str">
        <f>HYPERLINK(AA2 &amp; "/mug/sn_dc95c52ca0ad054d9765c10879d1ef74/rendering/09.obj", "10.7306213379")</f>
        <v>10.7306213379</v>
      </c>
      <c r="M1733" s="78" t="str">
        <f>HYPERLINK(AA2 &amp; "/mug/sn_dc95c52ca0ad054d9765c10879d1ef74/rendering/10.obj", "8.32143878937")</f>
        <v>8.32143878937</v>
      </c>
      <c r="N1733" s="48" t="str">
        <f>HYPERLINK(AA2 &amp; "/mug/sn_dc95c52ca0ad054d9765c10879d1ef74/rendering/11.obj", "9.0737323761")</f>
        <v>9.0737323761</v>
      </c>
      <c r="O1733" s="127" t="str">
        <f>HYPERLINK(AA2 &amp; "/mug/sn_dc95c52ca0ad054d9765c10879d1ef74/rendering/12.obj", "4.26496267319")</f>
        <v>4.26496267319</v>
      </c>
      <c r="P1733" s="4" t="str">
        <f>HYPERLINK(AA2 &amp; "/mug/sn_dc95c52ca0ad054d9765c10879d1ef74/rendering/13.obj", "6.34699630737")</f>
        <v>6.34699630737</v>
      </c>
      <c r="Q1733" s="82" t="str">
        <f>HYPERLINK(AA2 &amp; "/mug/sn_dc95c52ca0ad054d9765c10879d1ef74/rendering/14.obj", "7.03630781174")</f>
        <v>7.03630781174</v>
      </c>
      <c r="R1733" s="53" t="str">
        <f>HYPERLINK(AA2 &amp; "/mug/sn_dc95c52ca0ad054d9765c10879d1ef74/rendering/15.obj", "5.21650075912")</f>
        <v>5.21650075912</v>
      </c>
      <c r="S1733" s="196" t="str">
        <f>HYPERLINK(AA2 &amp; "/mug/sn_dc95c52ca0ad054d9765c10879d1ef74/rendering/16.obj", "5.33282279968")</f>
        <v>5.33282279968</v>
      </c>
      <c r="T1733" s="52" t="str">
        <f>HYPERLINK(AA2 &amp; "/mug/sn_dc95c52ca0ad054d9765c10879d1ef74/rendering/17.obj", "5.32108831406")</f>
        <v>5.32108831406</v>
      </c>
      <c r="U1733" s="92" t="str">
        <f>HYPERLINK(AA2 &amp; "/mug/sn_dc95c52ca0ad054d9765c10879d1ef74/rendering/18.obj", "7.76602315903")</f>
        <v>7.76602315903</v>
      </c>
      <c r="V1733" s="94" t="str">
        <f>HYPERLINK(AA2 &amp; "/mug/sn_dc95c52ca0ad054d9765c10879d1ef74/rendering/19.obj", "8.19794273376")</f>
        <v>8.19794273376</v>
      </c>
      <c r="W1733" s="12" t="s">
        <v>30</v>
      </c>
      <c r="X1733" s="13">
        <v>8.8592310190200809</v>
      </c>
      <c r="Y1733" s="13">
        <v>3.7665096267370748</v>
      </c>
      <c r="Z1733" s="162">
        <v>0.42515085323440283</v>
      </c>
    </row>
    <row r="1734" spans="1:26" x14ac:dyDescent="0.2">
      <c r="A1734" s="1">
        <v>1732</v>
      </c>
      <c r="B1734" s="2" t="s">
        <v>379</v>
      </c>
      <c r="C1734" s="107" t="str">
        <f>HYPERLINK(AB2 &amp; "/mug/sn_dc95c52ca0ad054d9765c10879d1ef74/rendering/00.obj", "3.75173950195")</f>
        <v>3.75173950195</v>
      </c>
      <c r="D1734" s="99" t="str">
        <f>HYPERLINK(AB2 &amp; "/mug/sn_dc95c52ca0ad054d9765c10879d1ef74/rendering/01.obj", "2.98093109131")</f>
        <v>2.98093109131</v>
      </c>
      <c r="E1734" s="80" t="str">
        <f>HYPERLINK(AB2 &amp; "/mug/sn_dc95c52ca0ad054d9765c10879d1ef74/rendering/02.obj", "3.47700378418")</f>
        <v>3.47700378418</v>
      </c>
      <c r="F1734" s="23" t="str">
        <f>HYPERLINK(AB2 &amp; "/mug/sn_dc95c52ca0ad054d9765c10879d1ef74/rendering/03.obj", "3.92157775879")</f>
        <v>3.92157775879</v>
      </c>
      <c r="G1734" s="99" t="str">
        <f>HYPERLINK(AB2 &amp; "/mug/sn_dc95c52ca0ad054d9765c10879d1ef74/rendering/04.obj", "2.97973236084")</f>
        <v>2.97973236084</v>
      </c>
      <c r="H1734" s="109" t="str">
        <f>HYPERLINK(AB2 &amp; "/mug/sn_dc95c52ca0ad054d9765c10879d1ef74/rendering/05.obj", "3.31039550781")</f>
        <v>3.31039550781</v>
      </c>
      <c r="I1734" s="99" t="str">
        <f>HYPERLINK(AB2 &amp; "/mug/sn_dc95c52ca0ad054d9765c10879d1ef74/rendering/06.obj", "2.97577148438")</f>
        <v>2.97577148438</v>
      </c>
      <c r="J1734" s="80" t="str">
        <f>HYPERLINK(AB2 &amp; "/mug/sn_dc95c52ca0ad054d9765c10879d1ef74/rendering/07.obj", "4.69908813477")</f>
        <v>4.69908813477</v>
      </c>
      <c r="K1734" s="87" t="str">
        <f>HYPERLINK(AB2 &amp; "/mug/sn_dc95c52ca0ad054d9765c10879d1ef74/rendering/08.obj", "3.15591064453")</f>
        <v>3.15591064453</v>
      </c>
      <c r="L1734" s="212" t="str">
        <f>HYPERLINK(AB2 &amp; "/mug/sn_dc95c52ca0ad054d9765c10879d1ef74/rendering/09.obj", "5.85352722168")</f>
        <v>5.85352722168</v>
      </c>
      <c r="M1734" s="28" t="str">
        <f>HYPERLINK(AB2 &amp; "/mug/sn_dc95c52ca0ad054d9765c10879d1ef74/rendering/10.obj", "4.53915374756")</f>
        <v>4.53915374756</v>
      </c>
      <c r="N1734" s="88" t="str">
        <f>HYPERLINK(AB2 &amp; "/mug/sn_dc95c52ca0ad054d9765c10879d1ef74/rendering/11.obj", "3.25987304688")</f>
        <v>3.25987304688</v>
      </c>
      <c r="O1734" s="68" t="str">
        <f>HYPERLINK(AB2 &amp; "/mug/sn_dc95c52ca0ad054d9765c10879d1ef74/rendering/12.obj", "4.26375244141")</f>
        <v>4.26375244141</v>
      </c>
      <c r="P1734" s="100" t="str">
        <f>HYPERLINK(AB2 &amp; "/mug/sn_dc95c52ca0ad054d9765c10879d1ef74/rendering/13.obj", "5.31208984375")</f>
        <v>5.31208984375</v>
      </c>
      <c r="Q1734" s="47" t="str">
        <f>HYPERLINK(AB2 &amp; "/mug/sn_dc95c52ca0ad054d9765c10879d1ef74/rendering/14.obj", "4.05432983398")</f>
        <v>4.05432983398</v>
      </c>
      <c r="R1734" s="81" t="str">
        <f>HYPERLINK(AB2 &amp; "/mug/sn_dc95c52ca0ad054d9765c10879d1ef74/rendering/15.obj", "3.19700195313")</f>
        <v>3.19700195313</v>
      </c>
      <c r="S1734" s="191" t="str">
        <f>HYPERLINK(AB2 &amp; "/mug/sn_dc95c52ca0ad054d9765c10879d1ef74/rendering/16.obj", "5.94661437988")</f>
        <v>5.94661437988</v>
      </c>
      <c r="T1734" s="66" t="str">
        <f>HYPERLINK(AB2 &amp; "/mug/sn_dc95c52ca0ad054d9765c10879d1ef74/rendering/17.obj", "3.4302911377")</f>
        <v>3.4302911377</v>
      </c>
      <c r="U1734" s="125" t="str">
        <f>HYPERLINK(AB2 &amp; "/mug/sn_dc95c52ca0ad054d9765c10879d1ef74/rendering/18.obj", "6.99160583496")</f>
        <v>6.99160583496</v>
      </c>
      <c r="V1734" s="32" t="str">
        <f>HYPERLINK(AB2 &amp; "/mug/sn_dc95c52ca0ad054d9765c10879d1ef74/rendering/19.obj", "3.65488952637")</f>
        <v>3.65488952637</v>
      </c>
      <c r="W1734" s="12" t="s">
        <v>31</v>
      </c>
      <c r="X1734" s="13">
        <v>4.0877639617919916</v>
      </c>
      <c r="Y1734" s="13">
        <v>1.1155298751237059</v>
      </c>
      <c r="Z1734" s="99">
        <v>0.27289488472193513</v>
      </c>
    </row>
    <row r="1735" spans="1:26" x14ac:dyDescent="0.2">
      <c r="A1735" s="1">
        <v>1733</v>
      </c>
      <c r="B1735" s="2" t="s">
        <v>379</v>
      </c>
      <c r="C1735" s="65" t="str">
        <f>HYPERLINK(AB2 &amp; "/mug/sn_dc95c52ca0ad054d9765c10879d1ef74/rendering/00.obj", "5.71278715134")</f>
        <v>5.71278715134</v>
      </c>
      <c r="D1735" s="11" t="str">
        <f>HYPERLINK(AB2 &amp; "/mug/sn_dc95c52ca0ad054d9765c10879d1ef74/rendering/01.obj", "5.11527729034")</f>
        <v>5.11527729034</v>
      </c>
      <c r="E1735" s="42" t="str">
        <f>HYPERLINK(AB2 &amp; "/mug/sn_dc95c52ca0ad054d9765c10879d1ef74/rendering/02.obj", "5.67950677872")</f>
        <v>5.67950677872</v>
      </c>
      <c r="F1735" s="25" t="str">
        <f>HYPERLINK(AB2 &amp; "/mug/sn_dc95c52ca0ad054d9765c10879d1ef74/rendering/03.obj", "6.51185941696")</f>
        <v>6.51185941696</v>
      </c>
      <c r="G1735" s="175" t="str">
        <f>HYPERLINK(AB2 &amp; "/mug/sn_dc95c52ca0ad054d9765c10879d1ef74/rendering/04.obj", "5.04158496857")</f>
        <v>5.04158496857</v>
      </c>
      <c r="H1735" s="65" t="str">
        <f>HYPERLINK(AB2 &amp; "/mug/sn_dc95c52ca0ad054d9765c10879d1ef74/rendering/05.obj", "5.71182823181")</f>
        <v>5.71182823181</v>
      </c>
      <c r="I1735" s="187" t="str">
        <f>HYPERLINK(AB2 &amp; "/mug/sn_dc95c52ca0ad054d9765c10879d1ef74/rendering/06.obj", "4.28853750229")</f>
        <v>4.28853750229</v>
      </c>
      <c r="J1735" s="13" t="str">
        <f>HYPERLINK(AB2 &amp; "/mug/sn_dc95c52ca0ad054d9765c10879d1ef74/rendering/07.obj", "6.56992340088")</f>
        <v>6.56992340088</v>
      </c>
      <c r="K1735" s="36" t="str">
        <f>HYPERLINK(AB2 &amp; "/mug/sn_dc95c52ca0ad054d9765c10879d1ef74/rendering/08.obj", "5.16773271561")</f>
        <v>5.16773271561</v>
      </c>
      <c r="L1735" s="130" t="str">
        <f>HYPERLINK(AB2 &amp; "/mug/sn_dc95c52ca0ad054d9765c10879d1ef74/rendering/09.obj", "9.55460739136")</f>
        <v>9.55460739136</v>
      </c>
      <c r="M1735" s="37" t="str">
        <f>HYPERLINK(AB2 &amp; "/mug/sn_dc95c52ca0ad054d9765c10879d1ef74/rendering/10.obj", "7.73016214371")</f>
        <v>7.73016214371</v>
      </c>
      <c r="N1735" s="42" t="str">
        <f>HYPERLINK(AB2 &amp; "/mug/sn_dc95c52ca0ad054d9765c10879d1ef74/rendering/11.obj", "5.67902183533")</f>
        <v>5.67902183533</v>
      </c>
      <c r="O1735" s="72" t="str">
        <f>HYPERLINK(AB2 &amp; "/mug/sn_dc95c52ca0ad054d9765c10879d1ef74/rendering/12.obj", "6.36319160461")</f>
        <v>6.36319160461</v>
      </c>
      <c r="P1735" s="40" t="str">
        <f>HYPERLINK(AB2 &amp; "/mug/sn_dc95c52ca0ad054d9765c10879d1ef74/rendering/13.obj", "7.72120475769")</f>
        <v>7.72120475769</v>
      </c>
      <c r="Q1735" s="73" t="str">
        <f>HYPERLINK(AB2 &amp; "/mug/sn_dc95c52ca0ad054d9765c10879d1ef74/rendering/14.obj", "6.83204889297")</f>
        <v>6.83204889297</v>
      </c>
      <c r="R1735" s="56" t="str">
        <f>HYPERLINK(AB2 &amp; "/mug/sn_dc95c52ca0ad054d9765c10879d1ef74/rendering/15.obj", "4.54545259476")</f>
        <v>4.54545259476</v>
      </c>
      <c r="S1735" s="111" t="str">
        <f>HYPERLINK(AB2 &amp; "/mug/sn_dc95c52ca0ad054d9765c10879d1ef74/rendering/16.obj", "9.35757732391")</f>
        <v>9.35757732391</v>
      </c>
      <c r="T1735" s="63" t="str">
        <f>HYPERLINK(AB2 &amp; "/mug/sn_dc95c52ca0ad054d9765c10879d1ef74/rendering/17.obj", "5.79625034332")</f>
        <v>5.79625034332</v>
      </c>
      <c r="U1735" s="20" t="str">
        <f>HYPERLINK(AB2 &amp; "/mug/sn_dc95c52ca0ad054d9765c10879d1ef74/rendering/18.obj", "12.1799545288")</f>
        <v>12.1799545288</v>
      </c>
      <c r="V1735" s="26" t="str">
        <f>HYPERLINK(AB2 &amp; "/mug/sn_dc95c52ca0ad054d9765c10879d1ef74/rendering/19.obj", "6.17209386826")</f>
        <v>6.17209386826</v>
      </c>
      <c r="W1735" s="12" t="s">
        <v>32</v>
      </c>
      <c r="X1735" s="13">
        <v>6.5865301370620726</v>
      </c>
      <c r="Y1735" s="13">
        <v>1.877075651873428</v>
      </c>
      <c r="Z1735" s="4">
        <v>0.28498702849793672</v>
      </c>
    </row>
    <row r="1736" spans="1:26" x14ac:dyDescent="0.2">
      <c r="A1736" s="1">
        <v>1734</v>
      </c>
      <c r="B1736" s="2" t="s">
        <v>379</v>
      </c>
      <c r="C1736" s="13" t="str">
        <f>HYPERLINK(AC2 &amp; "/mug/sn_dc95c52ca0ad054d9765c10879d1ef74/rendering/00.xyz", "0.0")</f>
        <v>0.0</v>
      </c>
      <c r="D1736" s="13" t="str">
        <f>HYPERLINK(AC2 &amp; "/mug/sn_dc95c52ca0ad054d9765c10879d1ef74/rendering/01.xyz", "0.0")</f>
        <v>0.0</v>
      </c>
      <c r="E1736" s="13" t="str">
        <f>HYPERLINK(AC2 &amp; "/mug/sn_dc95c52ca0ad054d9765c10879d1ef74/rendering/02.xyz", "0.0")</f>
        <v>0.0</v>
      </c>
      <c r="F1736" s="13" t="str">
        <f>HYPERLINK(AC2 &amp; "/mug/sn_dc95c52ca0ad054d9765c10879d1ef74/rendering/03.xyz", "0.0")</f>
        <v>0.0</v>
      </c>
      <c r="G1736" s="13" t="str">
        <f>HYPERLINK(AC2 &amp; "/mug/sn_dc95c52ca0ad054d9765c10879d1ef74/rendering/04.xyz", "0.0")</f>
        <v>0.0</v>
      </c>
      <c r="H1736" s="13" t="str">
        <f>HYPERLINK(AC2 &amp; "/mug/sn_dc95c52ca0ad054d9765c10879d1ef74/rendering/05.xyz", "0.0")</f>
        <v>0.0</v>
      </c>
      <c r="I1736" s="13" t="str">
        <f>HYPERLINK(AC2 &amp; "/mug/sn_dc95c52ca0ad054d9765c10879d1ef74/rendering/06.xyz", "0.0")</f>
        <v>0.0</v>
      </c>
      <c r="J1736" s="13" t="str">
        <f>HYPERLINK(AC2 &amp; "/mug/sn_dc95c52ca0ad054d9765c10879d1ef74/rendering/07.xyz", "0.0")</f>
        <v>0.0</v>
      </c>
      <c r="K1736" s="13" t="str">
        <f>HYPERLINK(AC2 &amp; "/mug/sn_dc95c52ca0ad054d9765c10879d1ef74/rendering/08.xyz", "0.0")</f>
        <v>0.0</v>
      </c>
      <c r="L1736" s="13" t="str">
        <f>HYPERLINK(AC2 &amp; "/mug/sn_dc95c52ca0ad054d9765c10879d1ef74/rendering/09.xyz", "0.0")</f>
        <v>0.0</v>
      </c>
      <c r="M1736" s="13" t="str">
        <f>HYPERLINK(AC2 &amp; "/mug/sn_dc95c52ca0ad054d9765c10879d1ef74/rendering/10.xyz", "0.0")</f>
        <v>0.0</v>
      </c>
      <c r="N1736" s="13" t="str">
        <f>HYPERLINK(AC2 &amp; "/mug/sn_dc95c52ca0ad054d9765c10879d1ef74/rendering/11.xyz", "0.0")</f>
        <v>0.0</v>
      </c>
      <c r="O1736" s="13" t="str">
        <f>HYPERLINK(AC2 &amp; "/mug/sn_dc95c52ca0ad054d9765c10879d1ef74/rendering/12.xyz", "0.0")</f>
        <v>0.0</v>
      </c>
      <c r="P1736" s="13" t="str">
        <f>HYPERLINK(AC2 &amp; "/mug/sn_dc95c52ca0ad054d9765c10879d1ef74/rendering/13.xyz", "0.0")</f>
        <v>0.0</v>
      </c>
      <c r="Q1736" s="13" t="str">
        <f>HYPERLINK(AC2 &amp; "/mug/sn_dc95c52ca0ad054d9765c10879d1ef74/rendering/14.xyz", "0.0")</f>
        <v>0.0</v>
      </c>
      <c r="R1736" s="13" t="str">
        <f>HYPERLINK(AC2 &amp; "/mug/sn_dc95c52ca0ad054d9765c10879d1ef74/rendering/15.xyz", "0.0")</f>
        <v>0.0</v>
      </c>
      <c r="S1736" s="13" t="str">
        <f>HYPERLINK(AC2 &amp; "/mug/sn_dc95c52ca0ad054d9765c10879d1ef74/rendering/16.xyz", "0.0")</f>
        <v>0.0</v>
      </c>
      <c r="T1736" s="13" t="str">
        <f>HYPERLINK(AC2 &amp; "/mug/sn_dc95c52ca0ad054d9765c10879d1ef74/rendering/17.xyz", "0.0")</f>
        <v>0.0</v>
      </c>
      <c r="U1736" s="13" t="str">
        <f>HYPERLINK(AC2 &amp; "/mug/sn_dc95c52ca0ad054d9765c10879d1ef74/rendering/18.xyz", "0.0")</f>
        <v>0.0</v>
      </c>
      <c r="V1736" s="13" t="str">
        <f>HYPERLINK(AC2 &amp; "/mug/sn_dc95c52ca0ad054d9765c10879d1ef74/rendering/19.xyz", "0.0")</f>
        <v>0.0</v>
      </c>
      <c r="W1736" s="12" t="s">
        <v>33</v>
      </c>
      <c r="X1736" s="13">
        <v>0</v>
      </c>
      <c r="Y1736" s="13">
        <v>0</v>
      </c>
      <c r="Z1736" s="13">
        <v>0</v>
      </c>
    </row>
    <row r="1737" spans="1:26" x14ac:dyDescent="0.2">
      <c r="A1737" s="1">
        <v>1735</v>
      </c>
      <c r="B1737" s="2" t="s">
        <v>380</v>
      </c>
      <c r="C1737" s="52" t="str">
        <f>HYPERLINK(AA2 &amp; "/mug/sn_dcec634f18e12427c2c72e575af174cd/rendering/00.obj", "3.37035614014")</f>
        <v>3.37035614014</v>
      </c>
      <c r="D1737" s="108" t="str">
        <f>HYPERLINK(AA2 &amp; "/mug/sn_dcec634f18e12427c2c72e575af174cd/rendering/01.obj", "4.25060180664")</f>
        <v>4.25060180664</v>
      </c>
      <c r="E1737" s="168" t="str">
        <f>HYPERLINK(AA2 &amp; "/mug/sn_dcec634f18e12427c2c72e575af174cd/rendering/02.obj", "3.81694854736")</f>
        <v>3.81694854736</v>
      </c>
      <c r="F1737" s="85" t="str">
        <f>HYPERLINK(AA2 &amp; "/mug/sn_dcec634f18e12427c2c72e575af174cd/rendering/03.obj", "3.95998809814")</f>
        <v>3.95998809814</v>
      </c>
      <c r="G1737" s="132" t="str">
        <f>HYPERLINK(AA2 &amp; "/mug/sn_dcec634f18e12427c2c72e575af174cd/rendering/04.obj", "3.26932647705")</f>
        <v>3.26932647705</v>
      </c>
      <c r="H1737" s="30" t="str">
        <f>HYPERLINK(AA2 &amp; "/mug/sn_dcec634f18e12427c2c72e575af174cd/rendering/05.obj", "5.65195068359")</f>
        <v>5.65195068359</v>
      </c>
      <c r="I1737" s="249" t="str">
        <f>HYPERLINK(AA2 &amp; "/mug/sn_dcec634f18e12427c2c72e575af174cd/rendering/06.obj", "8.85325683594")</f>
        <v>8.85325683594</v>
      </c>
      <c r="J1737" s="80" t="str">
        <f>HYPERLINK(AA2 &amp; "/mug/sn_dcec634f18e12427c2c72e575af174cd/rendering/07.obj", "4.78397735596")</f>
        <v>4.78397735596</v>
      </c>
      <c r="K1737" s="44" t="str">
        <f>HYPERLINK(AA2 &amp; "/mug/sn_dcec634f18e12427c2c72e575af174cd/rendering/08.obj", "4.52361816406")</f>
        <v>4.52361816406</v>
      </c>
      <c r="L1737" s="196" t="str">
        <f>HYPERLINK(AA2 &amp; "/mug/sn_dcec634f18e12427c2c72e575af174cd/rendering/09.obj", "7.86277099609")</f>
        <v>7.86277099609</v>
      </c>
      <c r="M1737" s="108" t="str">
        <f>HYPERLINK(AA2 &amp; "/mug/sn_dcec634f18e12427c2c72e575af174cd/rendering/10.obj", "4.25029785156")</f>
        <v>4.25029785156</v>
      </c>
      <c r="N1737" s="122" t="str">
        <f>HYPERLINK(AA2 &amp; "/mug/sn_dcec634f18e12427c2c72e575af174cd/rendering/11.obj", "7.90511535645")</f>
        <v>7.90511535645</v>
      </c>
      <c r="O1737" s="98" t="str">
        <f>HYPERLINK(AA2 &amp; "/mug/sn_dcec634f18e12427c2c72e575af174cd/rendering/12.obj", "4.33309356689")</f>
        <v>4.33309356689</v>
      </c>
      <c r="P1737" s="56" t="str">
        <f>HYPERLINK(AA2 &amp; "/mug/sn_dcec634f18e12427c2c72e575af174cd/rendering/13.obj", "7.3625390625")</f>
        <v>7.3625390625</v>
      </c>
      <c r="Q1737" s="168" t="str">
        <f>HYPERLINK(AA2 &amp; "/mug/sn_dcec634f18e12427c2c72e575af174cd/rendering/14.obj", "7.43584228516")</f>
        <v>7.43584228516</v>
      </c>
      <c r="R1737" s="40" t="str">
        <f>HYPERLINK(AA2 &amp; "/mug/sn_dcec634f18e12427c2c72e575af174cd/rendering/15.obj", "6.59057250977")</f>
        <v>6.59057250977</v>
      </c>
      <c r="S1737" s="171" t="str">
        <f>HYPERLINK(AA2 &amp; "/mug/sn_dcec634f18e12427c2c72e575af174cd/rendering/16.obj", "7.35110351562")</f>
        <v>7.35110351562</v>
      </c>
      <c r="T1737" s="118" t="str">
        <f>HYPERLINK(AA2 &amp; "/mug/sn_dcec634f18e12427c2c72e575af174cd/rendering/17.obj", "7.27974975586")</f>
        <v>7.27974975586</v>
      </c>
      <c r="U1737" s="30" t="str">
        <f>HYPERLINK(AA2 &amp; "/mug/sn_dcec634f18e12427c2c72e575af174cd/rendering/18.obj", "5.60867797852")</f>
        <v>5.60867797852</v>
      </c>
      <c r="V1737" s="86" t="str">
        <f>HYPERLINK(AA2 &amp; "/mug/sn_dcec634f18e12427c2c72e575af174cd/rendering/19.obj", "4.12394714355")</f>
        <v>4.12394714355</v>
      </c>
      <c r="W1737" s="12" t="s">
        <v>29</v>
      </c>
      <c r="X1737" s="13">
        <v>5.6291867065429688</v>
      </c>
      <c r="Y1737" s="13">
        <v>1.7302056568697379</v>
      </c>
      <c r="Z1737" s="171">
        <v>0.30736334519845809</v>
      </c>
    </row>
    <row r="1738" spans="1:26" x14ac:dyDescent="0.2">
      <c r="A1738" s="1">
        <v>1736</v>
      </c>
      <c r="B1738" s="2" t="s">
        <v>380</v>
      </c>
      <c r="C1738" s="57" t="str">
        <f>HYPERLINK(AA2 &amp; "/mug/sn_dcec634f18e12427c2c72e575af174cd/rendering/00.obj", "7.54461288452")</f>
        <v>7.54461288452</v>
      </c>
      <c r="D1738" s="49" t="str">
        <f>HYPERLINK(AA2 &amp; "/mug/sn_dcec634f18e12427c2c72e575af174cd/rendering/01.obj", "8.71960353851")</f>
        <v>8.71960353851</v>
      </c>
      <c r="E1738" s="198" t="str">
        <f>HYPERLINK(AA2 &amp; "/mug/sn_dcec634f18e12427c2c72e575af174cd/rendering/02.obj", "6.73404169083")</f>
        <v>6.73404169083</v>
      </c>
      <c r="F1738" s="95" t="str">
        <f>HYPERLINK(AA2 &amp; "/mug/sn_dcec634f18e12427c2c72e575af174cd/rendering/03.obj", "7.93351745605")</f>
        <v>7.93351745605</v>
      </c>
      <c r="G1738" s="196" t="str">
        <f>HYPERLINK(AA2 &amp; "/mug/sn_dcec634f18e12427c2c72e575af174cd/rendering/04.obj", "6.64255952835")</f>
        <v>6.64255952835</v>
      </c>
      <c r="H1738" s="78" t="str">
        <f>HYPERLINK(AA2 &amp; "/mug/sn_dcec634f18e12427c2c72e575af174cd/rendering/05.obj", "10.3504505157")</f>
        <v>10.3504505157</v>
      </c>
      <c r="I1738" s="180" t="str">
        <f>HYPERLINK(AA2 &amp; "/mug/sn_dcec634f18e12427c2c72e575af174cd/rendering/06.obj", "19.7044868469")</f>
        <v>19.7044868469</v>
      </c>
      <c r="J1738" s="136" t="str">
        <f>HYPERLINK(AA2 &amp; "/mug/sn_dcec634f18e12427c2c72e575af174cd/rendering/07.obj", "8.4177312851")</f>
        <v>8.4177312851</v>
      </c>
      <c r="K1738" s="4" t="str">
        <f>HYPERLINK(AA2 &amp; "/mug/sn_dcec634f18e12427c2c72e575af174cd/rendering/08.obj", "7.88988113403")</f>
        <v>7.88988113403</v>
      </c>
      <c r="L1738" s="20" t="str">
        <f>HYPERLINK(AA2 &amp; "/mug/sn_dcec634f18e12427c2c72e575af174cd/rendering/09.obj", "21.2475414276")</f>
        <v>21.2475414276</v>
      </c>
      <c r="M1738" s="36" t="str">
        <f>HYPERLINK(AA2 &amp; "/mug/sn_dcec634f18e12427c2c72e575af174cd/rendering/10.obj", "8.64801692963")</f>
        <v>8.64801692963</v>
      </c>
      <c r="N1738" s="114" t="str">
        <f>HYPERLINK(AA2 &amp; "/mug/sn_dcec634f18e12427c2c72e575af174cd/rendering/11.obj", "16.0797405243")</f>
        <v>16.0797405243</v>
      </c>
      <c r="O1738" s="153" t="str">
        <f>HYPERLINK(AA2 &amp; "/mug/sn_dcec634f18e12427c2c72e575af174cd/rendering/12.obj", "7.10127544403")</f>
        <v>7.10127544403</v>
      </c>
      <c r="P1738" s="31" t="str">
        <f>HYPERLINK(AA2 &amp; "/mug/sn_dcec634f18e12427c2c72e575af174cd/rendering/13.obj", "12.7200489044")</f>
        <v>12.7200489044</v>
      </c>
      <c r="Q1738" s="83" t="str">
        <f>HYPERLINK(AA2 &amp; "/mug/sn_dcec634f18e12427c2c72e575af174cd/rendering/14.obj", "12.6983070374")</f>
        <v>12.6983070374</v>
      </c>
      <c r="R1738" s="90" t="str">
        <f>HYPERLINK(AA2 &amp; "/mug/sn_dcec634f18e12427c2c72e575af174cd/rendering/15.obj", "9.9654417038")</f>
        <v>9.9654417038</v>
      </c>
      <c r="S1738" s="121" t="str">
        <f>HYPERLINK(AA2 &amp; "/mug/sn_dcec634f18e12427c2c72e575af174cd/rendering/16.obj", "14.9088363647")</f>
        <v>14.9088363647</v>
      </c>
      <c r="T1738" s="56" t="str">
        <f>HYPERLINK(AA2 &amp; "/mug/sn_dcec634f18e12427c2c72e575af174cd/rendering/17.obj", "14.4243593216")</f>
        <v>14.4243593216</v>
      </c>
      <c r="U1738" s="6" t="str">
        <f>HYPERLINK(AA2 &amp; "/mug/sn_dcec634f18e12427c2c72e575af174cd/rendering/18.obj", "11.5069055557")</f>
        <v>11.5069055557</v>
      </c>
      <c r="V1738" s="192" t="str">
        <f>HYPERLINK(AA2 &amp; "/mug/sn_dcec634f18e12427c2c72e575af174cd/rendering/19.obj", "6.92287969589")</f>
        <v>6.92287969589</v>
      </c>
      <c r="W1738" s="12" t="s">
        <v>30</v>
      </c>
      <c r="X1738" s="13">
        <v>11.0080118894577</v>
      </c>
      <c r="Y1738" s="13">
        <v>4.234409984836784</v>
      </c>
      <c r="Z1738" s="172">
        <v>0.38466618925912038</v>
      </c>
    </row>
    <row r="1739" spans="1:26" x14ac:dyDescent="0.2">
      <c r="A1739" s="1">
        <v>1737</v>
      </c>
      <c r="B1739" s="2" t="s">
        <v>380</v>
      </c>
      <c r="C1739" s="151" t="str">
        <f>HYPERLINK(AB2 &amp; "/mug/sn_dcec634f18e12427c2c72e575af174cd/rendering/00.obj", "4.74637176514")</f>
        <v>4.74637176514</v>
      </c>
      <c r="D1739" s="74" t="str">
        <f>HYPERLINK(AB2 &amp; "/mug/sn_dcec634f18e12427c2c72e575af174cd/rendering/01.obj", "3.44839996338")</f>
        <v>3.44839996338</v>
      </c>
      <c r="E1739" s="13" t="str">
        <f>HYPERLINK(AB2 &amp; "/mug/sn_dcec634f18e12427c2c72e575af174cd/rendering/02.obj", "3.49683929443")</f>
        <v>3.49683929443</v>
      </c>
      <c r="F1739" s="41" t="str">
        <f>HYPERLINK(AB2 &amp; "/mug/sn_dcec634f18e12427c2c72e575af174cd/rendering/03.obj", "3.25777526855")</f>
        <v>3.25777526855</v>
      </c>
      <c r="G1739" s="35" t="str">
        <f>HYPERLINK(AB2 &amp; "/mug/sn_dcec634f18e12427c2c72e575af174cd/rendering/04.obj", "3.70044586182")</f>
        <v>3.70044586182</v>
      </c>
      <c r="H1739" s="70" t="str">
        <f>HYPERLINK(AB2 &amp; "/mug/sn_dcec634f18e12427c2c72e575af174cd/rendering/05.obj", "3.05389099121")</f>
        <v>3.05389099121</v>
      </c>
      <c r="I1739" s="13" t="str">
        <f>HYPERLINK(AB2 &amp; "/mug/sn_dcec634f18e12427c2c72e575af174cd/rendering/06.obj", "3.49574279785")</f>
        <v>3.49574279785</v>
      </c>
      <c r="J1739" s="10" t="str">
        <f>HYPERLINK(AB2 &amp; "/mug/sn_dcec634f18e12427c2c72e575af174cd/rendering/07.obj", "3.30641113281")</f>
        <v>3.30641113281</v>
      </c>
      <c r="K1739" s="38" t="str">
        <f>HYPERLINK(AB2 &amp; "/mug/sn_dcec634f18e12427c2c72e575af174cd/rendering/08.obj", "3.17611328125")</f>
        <v>3.17611328125</v>
      </c>
      <c r="L1739" s="47" t="str">
        <f>HYPERLINK(AB2 &amp; "/mug/sn_dcec634f18e12427c2c72e575af174cd/rendering/09.obj", "3.52175537109")</f>
        <v>3.52175537109</v>
      </c>
      <c r="M1739" s="38" t="str">
        <f>HYPERLINK(AB2 &amp; "/mug/sn_dcec634f18e12427c2c72e575af174cd/rendering/10.obj", "3.81061065674")</f>
        <v>3.81061065674</v>
      </c>
      <c r="N1739" s="72" t="str">
        <f>HYPERLINK(AB2 &amp; "/mug/sn_dcec634f18e12427c2c72e575af174cd/rendering/11.obj", "3.37386108398")</f>
        <v>3.37386108398</v>
      </c>
      <c r="O1739" s="5" t="str">
        <f>HYPERLINK(AB2 &amp; "/mug/sn_dcec634f18e12427c2c72e575af174cd/rendering/12.obj", "3.22719268799")</f>
        <v>3.22719268799</v>
      </c>
      <c r="P1739" s="64" t="str">
        <f>HYPERLINK(AB2 &amp; "/mug/sn_dcec634f18e12427c2c72e575af174cd/rendering/13.obj", "2.91755187988")</f>
        <v>2.91755187988</v>
      </c>
      <c r="Q1739" s="30" t="str">
        <f>HYPERLINK(AB2 &amp; "/mug/sn_dcec634f18e12427c2c72e575af174cd/rendering/14.obj", "3.4781628418")</f>
        <v>3.4781628418</v>
      </c>
      <c r="R1739" s="39" t="str">
        <f>HYPERLINK(AB2 &amp; "/mug/sn_dcec634f18e12427c2c72e575af174cd/rendering/15.obj", "3.79777099609")</f>
        <v>3.79777099609</v>
      </c>
      <c r="S1739" s="77" t="str">
        <f>HYPERLINK(AB2 &amp; "/mug/sn_dcec634f18e12427c2c72e575af174cd/rendering/16.obj", "4.14732147217")</f>
        <v>4.14732147217</v>
      </c>
      <c r="T1739" s="13" t="str">
        <f>HYPERLINK(AB2 &amp; "/mug/sn_dcec634f18e12427c2c72e575af174cd/rendering/17.obj", "3.50206115723")</f>
        <v>3.50206115723</v>
      </c>
      <c r="U1739" s="5" t="str">
        <f>HYPERLINK(AB2 &amp; "/mug/sn_dcec634f18e12427c2c72e575af174cd/rendering/18.obj", "3.22506347656")</f>
        <v>3.22506347656</v>
      </c>
      <c r="V1739" s="38" t="str">
        <f>HYPERLINK(AB2 &amp; "/mug/sn_dcec634f18e12427c2c72e575af174cd/rendering/19.obj", "3.17970092773")</f>
        <v>3.17970092773</v>
      </c>
      <c r="W1739" s="12" t="s">
        <v>31</v>
      </c>
      <c r="X1739" s="13">
        <v>3.4931521453857419</v>
      </c>
      <c r="Y1739" s="13">
        <v>0.40052013410911641</v>
      </c>
      <c r="Z1739" s="106">
        <v>0.1146586571209562</v>
      </c>
    </row>
    <row r="1740" spans="1:26" x14ac:dyDescent="0.2">
      <c r="A1740" s="1">
        <v>1738</v>
      </c>
      <c r="B1740" s="2" t="s">
        <v>380</v>
      </c>
      <c r="C1740" s="129" t="str">
        <f>HYPERLINK(AB2 &amp; "/mug/sn_dcec634f18e12427c2c72e575af174cd/rendering/00.obj", "7.62903118134")</f>
        <v>7.62903118134</v>
      </c>
      <c r="D1740" s="32" t="str">
        <f>HYPERLINK(AB2 &amp; "/mug/sn_dcec634f18e12427c2c72e575af174cd/rendering/01.obj", "6.75008535385")</f>
        <v>6.75008535385</v>
      </c>
      <c r="E1740" s="107" t="str">
        <f>HYPERLINK(AB2 &amp; "/mug/sn_dcec634f18e12427c2c72e575af174cd/rendering/02.obj", "5.59982252121")</f>
        <v>5.59982252121</v>
      </c>
      <c r="F1740" s="38" t="str">
        <f>HYPERLINK(AB2 &amp; "/mug/sn_dcec634f18e12427c2c72e575af174cd/rendering/03.obj", "5.57082700729")</f>
        <v>5.57082700729</v>
      </c>
      <c r="G1740" s="5" t="str">
        <f>HYPERLINK(AB2 &amp; "/mug/sn_dcec634f18e12427c2c72e575af174cd/rendering/04.obj", "6.58847999573")</f>
        <v>6.58847999573</v>
      </c>
      <c r="H1740" s="133" t="str">
        <f>HYPERLINK(AB2 &amp; "/mug/sn_dcec634f18e12427c2c72e575af174cd/rendering/05.obj", "5.49422740936")</f>
        <v>5.49422740936</v>
      </c>
      <c r="I1740" s="78" t="str">
        <f>HYPERLINK(AB2 &amp; "/mug/sn_dcec634f18e12427c2c72e575af174cd/rendering/06.obj", "5.7319726944")</f>
        <v>5.7319726944</v>
      </c>
      <c r="J1740" s="5" t="str">
        <f>HYPERLINK(AB2 &amp; "/mug/sn_dcec634f18e12427c2c72e575af174cd/rendering/07.obj", "6.57358837128")</f>
        <v>6.57358837128</v>
      </c>
      <c r="K1740" s="25" t="str">
        <f>HYPERLINK(AB2 &amp; "/mug/sn_dcec634f18e12427c2c72e575af174cd/rendering/08.obj", "6.04788160324")</f>
        <v>6.04788160324</v>
      </c>
      <c r="L1740" s="91" t="str">
        <f>HYPERLINK(AB2 &amp; "/mug/sn_dcec634f18e12427c2c72e575af174cd/rendering/09.obj", "6.27331447601")</f>
        <v>6.27331447601</v>
      </c>
      <c r="M1740" s="35" t="str">
        <f>HYPERLINK(AB2 &amp; "/mug/sn_dcec634f18e12427c2c72e575af174cd/rendering/10.obj", "5.76631259918")</f>
        <v>5.76631259918</v>
      </c>
      <c r="N1740" s="107" t="str">
        <f>HYPERLINK(AB2 &amp; "/mug/sn_dcec634f18e12427c2c72e575af174cd/rendering/11.obj", "5.59817075729")</f>
        <v>5.59817075729</v>
      </c>
      <c r="O1740" s="72" t="str">
        <f>HYPERLINK(AB2 &amp; "/mug/sn_dcec634f18e12427c2c72e575af174cd/rendering/12.obj", "5.90289306641")</f>
        <v>5.90289306641</v>
      </c>
      <c r="P1740" s="5" t="str">
        <f>HYPERLINK(AB2 &amp; "/mug/sn_dcec634f18e12427c2c72e575af174cd/rendering/13.obj", "5.63728046417")</f>
        <v>5.63728046417</v>
      </c>
      <c r="Q1740" s="110" t="str">
        <f>HYPERLINK(AB2 &amp; "/mug/sn_dcec634f18e12427c2c72e575af174cd/rendering/14.obj", "6.71288347244")</f>
        <v>6.71288347244</v>
      </c>
      <c r="R1740" s="13" t="str">
        <f>HYPERLINK(AB2 &amp; "/mug/sn_dcec634f18e12427c2c72e575af174cd/rendering/15.obj", "6.1016998291")</f>
        <v>6.1016998291</v>
      </c>
      <c r="S1740" s="49" t="str">
        <f>HYPERLINK(AB2 &amp; "/mug/sn_dcec634f18e12427c2c72e575af174cd/rendering/16.obj", "7.3964548111")</f>
        <v>7.3964548111</v>
      </c>
      <c r="T1740" s="78" t="str">
        <f>HYPERLINK(AB2 &amp; "/mug/sn_dcec634f18e12427c2c72e575af174cd/rendering/17.obj", "5.74333381653")</f>
        <v>5.74333381653</v>
      </c>
      <c r="U1740" s="5" t="str">
        <f>HYPERLINK(AB2 &amp; "/mug/sn_dcec634f18e12427c2c72e575af174cd/rendering/18.obj", "5.64722204208")</f>
        <v>5.64722204208</v>
      </c>
      <c r="V1740" s="133" t="str">
        <f>HYPERLINK(AB2 &amp; "/mug/sn_dcec634f18e12427c2c72e575af174cd/rendering/19.obj", "5.47952318192")</f>
        <v>5.47952318192</v>
      </c>
      <c r="W1740" s="12" t="s">
        <v>32</v>
      </c>
      <c r="X1740" s="13">
        <v>6.1122502326965336</v>
      </c>
      <c r="Y1740" s="13">
        <v>0.61949897361632822</v>
      </c>
      <c r="Z1740" s="133">
        <v>0.10135366682182199</v>
      </c>
    </row>
    <row r="1741" spans="1:26" x14ac:dyDescent="0.2">
      <c r="A1741" s="1">
        <v>1739</v>
      </c>
      <c r="B1741" s="2" t="s">
        <v>380</v>
      </c>
      <c r="C1741" s="13" t="str">
        <f>HYPERLINK(AC2 &amp; "/mug/sn_dcec634f18e12427c2c72e575af174cd/rendering/00.xyz", "0.0")</f>
        <v>0.0</v>
      </c>
      <c r="D1741" s="13" t="str">
        <f>HYPERLINK(AC2 &amp; "/mug/sn_dcec634f18e12427c2c72e575af174cd/rendering/01.xyz", "0.0")</f>
        <v>0.0</v>
      </c>
      <c r="E1741" s="13" t="str">
        <f>HYPERLINK(AC2 &amp; "/mug/sn_dcec634f18e12427c2c72e575af174cd/rendering/02.xyz", "0.0")</f>
        <v>0.0</v>
      </c>
      <c r="F1741" s="13" t="str">
        <f>HYPERLINK(AC2 &amp; "/mug/sn_dcec634f18e12427c2c72e575af174cd/rendering/03.xyz", "0.0")</f>
        <v>0.0</v>
      </c>
      <c r="G1741" s="13" t="str">
        <f>HYPERLINK(AC2 &amp; "/mug/sn_dcec634f18e12427c2c72e575af174cd/rendering/04.xyz", "0.0")</f>
        <v>0.0</v>
      </c>
      <c r="H1741" s="13" t="str">
        <f>HYPERLINK(AC2 &amp; "/mug/sn_dcec634f18e12427c2c72e575af174cd/rendering/05.xyz", "0.0")</f>
        <v>0.0</v>
      </c>
      <c r="I1741" s="13" t="str">
        <f>HYPERLINK(AC2 &amp; "/mug/sn_dcec634f18e12427c2c72e575af174cd/rendering/06.xyz", "0.0")</f>
        <v>0.0</v>
      </c>
      <c r="J1741" s="13" t="str">
        <f>HYPERLINK(AC2 &amp; "/mug/sn_dcec634f18e12427c2c72e575af174cd/rendering/07.xyz", "0.0")</f>
        <v>0.0</v>
      </c>
      <c r="K1741" s="13" t="str">
        <f>HYPERLINK(AC2 &amp; "/mug/sn_dcec634f18e12427c2c72e575af174cd/rendering/08.xyz", "0.0")</f>
        <v>0.0</v>
      </c>
      <c r="L1741" s="13" t="str">
        <f>HYPERLINK(AC2 &amp; "/mug/sn_dcec634f18e12427c2c72e575af174cd/rendering/09.xyz", "0.0")</f>
        <v>0.0</v>
      </c>
      <c r="M1741" s="13" t="str">
        <f>HYPERLINK(AC2 &amp; "/mug/sn_dcec634f18e12427c2c72e575af174cd/rendering/10.xyz", "0.0")</f>
        <v>0.0</v>
      </c>
      <c r="N1741" s="13" t="str">
        <f>HYPERLINK(AC2 &amp; "/mug/sn_dcec634f18e12427c2c72e575af174cd/rendering/11.xyz", "0.0")</f>
        <v>0.0</v>
      </c>
      <c r="O1741" s="13" t="str">
        <f>HYPERLINK(AC2 &amp; "/mug/sn_dcec634f18e12427c2c72e575af174cd/rendering/12.xyz", "0.0")</f>
        <v>0.0</v>
      </c>
      <c r="P1741" s="13" t="str">
        <f>HYPERLINK(AC2 &amp; "/mug/sn_dcec634f18e12427c2c72e575af174cd/rendering/13.xyz", "0.0")</f>
        <v>0.0</v>
      </c>
      <c r="Q1741" s="13" t="str">
        <f>HYPERLINK(AC2 &amp; "/mug/sn_dcec634f18e12427c2c72e575af174cd/rendering/14.xyz", "0.0")</f>
        <v>0.0</v>
      </c>
      <c r="R1741" s="13" t="str">
        <f>HYPERLINK(AC2 &amp; "/mug/sn_dcec634f18e12427c2c72e575af174cd/rendering/15.xyz", "0.0")</f>
        <v>0.0</v>
      </c>
      <c r="S1741" s="13" t="str">
        <f>HYPERLINK(AC2 &amp; "/mug/sn_dcec634f18e12427c2c72e575af174cd/rendering/16.xyz", "0.0")</f>
        <v>0.0</v>
      </c>
      <c r="T1741" s="13" t="str">
        <f>HYPERLINK(AC2 &amp; "/mug/sn_dcec634f18e12427c2c72e575af174cd/rendering/17.xyz", "0.0")</f>
        <v>0.0</v>
      </c>
      <c r="U1741" s="13" t="str">
        <f>HYPERLINK(AC2 &amp; "/mug/sn_dcec634f18e12427c2c72e575af174cd/rendering/18.xyz", "0.0")</f>
        <v>0.0</v>
      </c>
      <c r="V1741" s="13" t="str">
        <f>HYPERLINK(AC2 &amp; "/mug/sn_dcec634f18e12427c2c72e575af174cd/rendering/19.xyz", "0.0")</f>
        <v>0.0</v>
      </c>
      <c r="W1741" s="12" t="s">
        <v>33</v>
      </c>
      <c r="X1741" s="13">
        <v>0</v>
      </c>
      <c r="Y1741" s="13">
        <v>0</v>
      </c>
      <c r="Z1741" s="13">
        <v>0</v>
      </c>
    </row>
    <row r="1742" spans="1:26" x14ac:dyDescent="0.2">
      <c r="A1742" s="1">
        <v>1740</v>
      </c>
      <c r="B1742" s="2" t="s">
        <v>381</v>
      </c>
      <c r="C1742" s="155" t="str">
        <f>HYPERLINK(AA2 &amp; "/mug/sn_de7b31e82dc373f2b9946438ed40eeb9/rendering/00.obj", "4.03806640625")</f>
        <v>4.03806640625</v>
      </c>
      <c r="D1742" s="8" t="str">
        <f>HYPERLINK(AA2 &amp; "/mug/sn_de7b31e82dc373f2b9946438ed40eeb9/rendering/01.obj", "2.06323287964")</f>
        <v>2.06323287964</v>
      </c>
      <c r="E1742" s="39" t="str">
        <f>HYPERLINK(AA2 &amp; "/mug/sn_de7b31e82dc373f2b9946438ed40eeb9/rendering/02.obj", "2.19942077637")</f>
        <v>2.19942077637</v>
      </c>
      <c r="F1742" s="13" t="str">
        <f>HYPERLINK(AA2 &amp; "/mug/sn_de7b31e82dc373f2b9946438ed40eeb9/rendering/03.obj", "2.40899017334")</f>
        <v>2.40899017334</v>
      </c>
      <c r="G1742" s="38" t="str">
        <f>HYPERLINK(AA2 &amp; "/mug/sn_de7b31e82dc373f2b9946438ed40eeb9/rendering/04.obj", "2.19345870972")</f>
        <v>2.19345870972</v>
      </c>
      <c r="H1742" s="64" t="str">
        <f>HYPERLINK(AA2 &amp; "/mug/sn_de7b31e82dc373f2b9946438ed40eeb9/rendering/05.obj", "2.0108505249")</f>
        <v>2.0108505249</v>
      </c>
      <c r="I1742" s="31" t="str">
        <f>HYPERLINK(AA2 &amp; "/mug/sn_de7b31e82dc373f2b9946438ed40eeb9/rendering/06.obj", "2.78349395752")</f>
        <v>2.78349395752</v>
      </c>
      <c r="J1742" s="84" t="str">
        <f>HYPERLINK(AA2 &amp; "/mug/sn_de7b31e82dc373f2b9946438ed40eeb9/rendering/07.obj", "2.05436187744")</f>
        <v>2.05436187744</v>
      </c>
      <c r="K1742" s="5" t="str">
        <f>HYPERLINK(AA2 &amp; "/mug/sn_de7b31e82dc373f2b9946438ed40eeb9/rendering/08.obj", "2.22703948975")</f>
        <v>2.22703948975</v>
      </c>
      <c r="L1742" s="34" t="str">
        <f>HYPERLINK(AA2 &amp; "/mug/sn_de7b31e82dc373f2b9946438ed40eeb9/rendering/09.obj", "2.29457519531")</f>
        <v>2.29457519531</v>
      </c>
      <c r="M1742" s="65" t="str">
        <f>HYPERLINK(AA2 &amp; "/mug/sn_de7b31e82dc373f2b9946438ed40eeb9/rendering/10.obj", "2.08447967529")</f>
        <v>2.08447967529</v>
      </c>
      <c r="N1742" s="46" t="str">
        <f>HYPERLINK(AA2 &amp; "/mug/sn_de7b31e82dc373f2b9946438ed40eeb9/rendering/11.obj", "2.45258453369")</f>
        <v>2.45258453369</v>
      </c>
      <c r="O1742" s="27" t="str">
        <f>HYPERLINK(AA2 &amp; "/mug/sn_de7b31e82dc373f2b9946438ed40eeb9/rendering/12.obj", "2.23651641846")</f>
        <v>2.23651641846</v>
      </c>
      <c r="P1742" s="162" t="str">
        <f>HYPERLINK(AA2 &amp; "/mug/sn_de7b31e82dc373f2b9946438ed40eeb9/rendering/13.obj", "3.43456787109")</f>
        <v>3.43456787109</v>
      </c>
      <c r="Q1742" s="77" t="str">
        <f>HYPERLINK(AA2 &amp; "/mug/sn_de7b31e82dc373f2b9946438ed40eeb9/rendering/14.obj", "1.96027069092")</f>
        <v>1.96027069092</v>
      </c>
      <c r="R1742" s="74" t="str">
        <f>HYPERLINK(AA2 &amp; "/mug/sn_de7b31e82dc373f2b9946438ed40eeb9/rendering/15.obj", "2.37555374146")</f>
        <v>2.37555374146</v>
      </c>
      <c r="S1742" s="55" t="str">
        <f>HYPERLINK(AA2 &amp; "/mug/sn_de7b31e82dc373f2b9946438ed40eeb9/rendering/16.obj", "1.94324920654")</f>
        <v>1.94324920654</v>
      </c>
      <c r="T1742" s="157" t="str">
        <f>HYPERLINK(AA2 &amp; "/mug/sn_de7b31e82dc373f2b9946438ed40eeb9/rendering/17.obj", "3.40970458984")</f>
        <v>3.40970458984</v>
      </c>
      <c r="U1742" s="42" t="str">
        <f>HYPERLINK(AA2 &amp; "/mug/sn_de7b31e82dc373f2b9946438ed40eeb9/rendering/18.obj", "2.07791351318")</f>
        <v>2.07791351318</v>
      </c>
      <c r="V1742" s="44" t="str">
        <f>HYPERLINK(AA2 &amp; "/mug/sn_de7b31e82dc373f2b9946438ed40eeb9/rendering/19.obj", "1.93304031372")</f>
        <v>1.93304031372</v>
      </c>
      <c r="W1742" s="12" t="s">
        <v>29</v>
      </c>
      <c r="X1742" s="13">
        <v>2.4090685272216801</v>
      </c>
      <c r="Y1742" s="13">
        <v>0.5603682876796614</v>
      </c>
      <c r="Z1742" s="175">
        <v>0.23260786538352249</v>
      </c>
    </row>
    <row r="1743" spans="1:26" x14ac:dyDescent="0.2">
      <c r="A1743" s="1">
        <v>1741</v>
      </c>
      <c r="B1743" s="2" t="s">
        <v>381</v>
      </c>
      <c r="C1743" s="20" t="str">
        <f>HYPERLINK(AA2 &amp; "/mug/sn_de7b31e82dc373f2b9946438ed40eeb9/rendering/00.obj", "7.81976366043")</f>
        <v>7.81976366043</v>
      </c>
      <c r="D1743" s="66" t="str">
        <f>HYPERLINK(AA2 &amp; "/mug/sn_de7b31e82dc373f2b9946438ed40eeb9/rendering/01.obj", "3.56413388252")</f>
        <v>3.56413388252</v>
      </c>
      <c r="E1743" s="65" t="str">
        <f>HYPERLINK(AA2 &amp; "/mug/sn_de7b31e82dc373f2b9946438ed40eeb9/rendering/02.obj", "3.68873405457")</f>
        <v>3.68873405457</v>
      </c>
      <c r="F1743" s="47" t="str">
        <f>HYPERLINK(AA2 &amp; "/mug/sn_de7b31e82dc373f2b9946438ed40eeb9/rendering/03.obj", "4.22788476944")</f>
        <v>4.22788476944</v>
      </c>
      <c r="G1743" s="40" t="str">
        <f>HYPERLINK(AA2 &amp; "/mug/sn_de7b31e82dc373f2b9946438ed40eeb9/rendering/04.obj", "3.52980041504")</f>
        <v>3.52980041504</v>
      </c>
      <c r="H1743" s="50" t="str">
        <f>HYPERLINK(AA2 &amp; "/mug/sn_de7b31e82dc373f2b9946438ed40eeb9/rendering/05.obj", "3.4095723629")</f>
        <v>3.4095723629</v>
      </c>
      <c r="I1743" s="36" t="str">
        <f>HYPERLINK(AA2 &amp; "/mug/sn_de7b31e82dc373f2b9946438ed40eeb9/rendering/06.obj", "5.1758723259")</f>
        <v>5.1758723259</v>
      </c>
      <c r="J1743" s="109" t="str">
        <f>HYPERLINK(AA2 &amp; "/mug/sn_de7b31e82dc373f2b9946438ed40eeb9/rendering/07.obj", "3.44427442551")</f>
        <v>3.44427442551</v>
      </c>
      <c r="K1743" s="91" t="str">
        <f>HYPERLINK(AA2 &amp; "/mug/sn_de7b31e82dc373f2b9946438ed40eeb9/rendering/08.obj", "4.37670326233")</f>
        <v>4.37670326233</v>
      </c>
      <c r="L1743" s="41" t="str">
        <f>HYPERLINK(AA2 &amp; "/mug/sn_de7b31e82dc373f2b9946438ed40eeb9/rendering/09.obj", "3.96884155273")</f>
        <v>3.96884155273</v>
      </c>
      <c r="M1743" s="80" t="str">
        <f>HYPERLINK(AA2 &amp; "/mug/sn_de7b31e82dc373f2b9946438ed40eeb9/rendering/10.obj", "3.62930226326")</f>
        <v>3.62930226326</v>
      </c>
      <c r="N1743" s="17" t="str">
        <f>HYPERLINK(AA2 &amp; "/mug/sn_de7b31e82dc373f2b9946438ed40eeb9/rendering/11.obj", "4.17089653015")</f>
        <v>4.17089653015</v>
      </c>
      <c r="O1743" s="33" t="str">
        <f>HYPERLINK(AA2 &amp; "/mug/sn_de7b31e82dc373f2b9946438ed40eeb9/rendering/12.obj", "3.80007863045")</f>
        <v>3.80007863045</v>
      </c>
      <c r="P1743" s="116" t="str">
        <f>HYPERLINK(AA2 &amp; "/mug/sn_de7b31e82dc373f2b9946438ed40eeb9/rendering/13.obj", "6.125893116")</f>
        <v>6.125893116</v>
      </c>
      <c r="Q1743" s="55" t="str">
        <f>HYPERLINK(AA2 &amp; "/mug/sn_de7b31e82dc373f2b9946438ed40eeb9/rendering/14.obj", "3.43755221367")</f>
        <v>3.43755221367</v>
      </c>
      <c r="R1743" s="69" t="str">
        <f>HYPERLINK(AA2 &amp; "/mug/sn_de7b31e82dc373f2b9946438ed40eeb9/rendering/15.obj", "4.12900114059")</f>
        <v>4.12900114059</v>
      </c>
      <c r="S1743" s="88" t="str">
        <f>HYPERLINK(AA2 &amp; "/mug/sn_de7b31e82dc373f2b9946438ed40eeb9/rendering/16.obj", "3.39183139801")</f>
        <v>3.39183139801</v>
      </c>
      <c r="T1743" s="123" t="str">
        <f>HYPERLINK(AA2 &amp; "/mug/sn_de7b31e82dc373f2b9946438ed40eeb9/rendering/17.obj", "5.82734966278")</f>
        <v>5.82734966278</v>
      </c>
      <c r="U1743" s="33" t="str">
        <f>HYPERLINK(AA2 &amp; "/mug/sn_de7b31e82dc373f2b9946438ed40eeb9/rendering/18.obj", "3.79628777504")</f>
        <v>3.79628777504</v>
      </c>
      <c r="V1743" s="8" t="str">
        <f>HYPERLINK(AA2 &amp; "/mug/sn_de7b31e82dc373f2b9946438ed40eeb9/rendering/19.obj", "3.65064477921")</f>
        <v>3.65064477921</v>
      </c>
      <c r="W1743" s="12" t="s">
        <v>30</v>
      </c>
      <c r="X1743" s="13">
        <v>4.258220911026001</v>
      </c>
      <c r="Y1743" s="13">
        <v>1.1165019272650809</v>
      </c>
      <c r="Z1743" s="19">
        <v>0.26219915560840762</v>
      </c>
    </row>
    <row r="1744" spans="1:26" x14ac:dyDescent="0.2">
      <c r="A1744" s="1">
        <v>1742</v>
      </c>
      <c r="B1744" s="2" t="s">
        <v>381</v>
      </c>
      <c r="C1744" s="17" t="str">
        <f>HYPERLINK(AB2 &amp; "/mug/sn_de7b31e82dc373f2b9946438ed40eeb9/rendering/00.obj", "2.40179046631")</f>
        <v>2.40179046631</v>
      </c>
      <c r="D1744" s="106" t="str">
        <f>HYPERLINK(AB2 &amp; "/mug/sn_de7b31e82dc373f2b9946438ed40eeb9/rendering/01.obj", "2.17768768311")</f>
        <v>2.17768768311</v>
      </c>
      <c r="E1744" s="107" t="str">
        <f>HYPERLINK(AB2 &amp; "/mug/sn_de7b31e82dc373f2b9946438ed40eeb9/rendering/02.obj", "2.2550088501")</f>
        <v>2.2550088501</v>
      </c>
      <c r="F1744" s="33" t="str">
        <f>HYPERLINK(AB2 &amp; "/mug/sn_de7b31e82dc373f2b9946438ed40eeb9/rendering/03.obj", "2.72191986084")</f>
        <v>2.72191986084</v>
      </c>
      <c r="G1744" s="67" t="str">
        <f>HYPERLINK(AB2 &amp; "/mug/sn_de7b31e82dc373f2b9946438ed40eeb9/rendering/04.obj", "2.22850143433")</f>
        <v>2.22850143433</v>
      </c>
      <c r="H1744" s="46" t="str">
        <f>HYPERLINK(AB2 &amp; "/mug/sn_de7b31e82dc373f2b9946438ed40eeb9/rendering/05.obj", "2.41214050293")</f>
        <v>2.41214050293</v>
      </c>
      <c r="I1744" s="110" t="str">
        <f>HYPERLINK(AB2 &amp; "/mug/sn_de7b31e82dc373f2b9946438ed40eeb9/rendering/06.obj", "2.69497375488")</f>
        <v>2.69497375488</v>
      </c>
      <c r="J1744" s="72" t="str">
        <f>HYPERLINK(AB2 &amp; "/mug/sn_de7b31e82dc373f2b9946438ed40eeb9/rendering/07.obj", "2.53306610107")</f>
        <v>2.53306610107</v>
      </c>
      <c r="K1744" s="91" t="str">
        <f>HYPERLINK(AB2 &amp; "/mug/sn_de7b31e82dc373f2b9946438ed40eeb9/rendering/08.obj", "2.51876312256")</f>
        <v>2.51876312256</v>
      </c>
      <c r="L1744" s="106" t="str">
        <f>HYPERLINK(AB2 &amp; "/mug/sn_de7b31e82dc373f2b9946438ed40eeb9/rendering/09.obj", "2.73319458008")</f>
        <v>2.73319458008</v>
      </c>
      <c r="M1744" s="94" t="str">
        <f>HYPERLINK(AB2 &amp; "/mug/sn_de7b31e82dc373f2b9946438ed40eeb9/rendering/10.obj", "2.63731140137")</f>
        <v>2.63731140137</v>
      </c>
      <c r="N1744" s="91" t="str">
        <f>HYPERLINK(AB2 &amp; "/mug/sn_de7b31e82dc373f2b9946438ed40eeb9/rendering/11.obj", "2.51955688477")</f>
        <v>2.51955688477</v>
      </c>
      <c r="O1744" s="60" t="str">
        <f>HYPERLINK(AB2 &amp; "/mug/sn_de7b31e82dc373f2b9946438ed40eeb9/rendering/12.obj", "2.58532989502")</f>
        <v>2.58532989502</v>
      </c>
      <c r="P1744" s="69" t="str">
        <f>HYPERLINK(AB2 &amp; "/mug/sn_de7b31e82dc373f2b9946438ed40eeb9/rendering/13.obj", "2.5273425293")</f>
        <v>2.5273425293</v>
      </c>
      <c r="Q1744" s="42" t="str">
        <f>HYPERLINK(AB2 &amp; "/mug/sn_de7b31e82dc373f2b9946438ed40eeb9/rendering/14.obj", "2.11909912109")</f>
        <v>2.11909912109</v>
      </c>
      <c r="R1744" s="73" t="str">
        <f>HYPERLINK(AB2 &amp; "/mug/sn_de7b31e82dc373f2b9946438ed40eeb9/rendering/15.obj", "2.54782104492")</f>
        <v>2.54782104492</v>
      </c>
      <c r="S1744" s="41" t="str">
        <f>HYPERLINK(AB2 &amp; "/mug/sn_de7b31e82dc373f2b9946438ed40eeb9/rendering/16.obj", "2.29205123901")</f>
        <v>2.29205123901</v>
      </c>
      <c r="T1744" s="25" t="str">
        <f>HYPERLINK(AB2 &amp; "/mug/sn_de7b31e82dc373f2b9946438ed40eeb9/rendering/17.obj", "2.47924957275")</f>
        <v>2.47924957275</v>
      </c>
      <c r="U1744" s="33" t="str">
        <f>HYPERLINK(AB2 &amp; "/mug/sn_de7b31e82dc373f2b9946438ed40eeb9/rendering/18.obj", "2.18923217773")</f>
        <v>2.18923217773</v>
      </c>
      <c r="V1744" s="72" t="str">
        <f>HYPERLINK(AB2 &amp; "/mug/sn_de7b31e82dc373f2b9946438ed40eeb9/rendering/19.obj", "2.53745010376")</f>
        <v>2.53745010376</v>
      </c>
      <c r="W1744" s="12" t="s">
        <v>31</v>
      </c>
      <c r="X1744" s="13">
        <v>2.4555745162963869</v>
      </c>
      <c r="Y1744" s="13">
        <v>0.18369649782176961</v>
      </c>
      <c r="Z1744" s="94">
        <v>7.4807950889973121E-2</v>
      </c>
    </row>
    <row r="1745" spans="1:26" x14ac:dyDescent="0.2">
      <c r="A1745" s="1">
        <v>1743</v>
      </c>
      <c r="B1745" s="2" t="s">
        <v>381</v>
      </c>
      <c r="C1745" s="90" t="str">
        <f>HYPERLINK(AB2 &amp; "/mug/sn_de7b31e82dc373f2b9946438ed40eeb9/rendering/00.obj", "4.13839101791")</f>
        <v>4.13839101791</v>
      </c>
      <c r="D1745" s="69" t="str">
        <f>HYPERLINK(AB2 &amp; "/mug/sn_de7b31e82dc373f2b9946438ed40eeb9/rendering/01.obj", "3.88541245461")</f>
        <v>3.88541245461</v>
      </c>
      <c r="E1745" s="27" t="str">
        <f>HYPERLINK(AB2 &amp; "/mug/sn_de7b31e82dc373f2b9946438ed40eeb9/rendering/02.obj", "3.50635290146")</f>
        <v>3.50635290146</v>
      </c>
      <c r="F1745" s="68" t="str">
        <f>HYPERLINK(AB2 &amp; "/mug/sn_de7b31e82dc373f2b9946438ed40eeb9/rendering/03.obj", "3.93772673607")</f>
        <v>3.93772673607</v>
      </c>
      <c r="G1745" s="27" t="str">
        <f>HYPERLINK(AB2 &amp; "/mug/sn_de7b31e82dc373f2b9946438ed40eeb9/rendering/04.obj", "3.50306582451")</f>
        <v>3.50306582451</v>
      </c>
      <c r="H1745" s="51" t="str">
        <f>HYPERLINK(AB2 &amp; "/mug/sn_de7b31e82dc373f2b9946438ed40eeb9/rendering/05.obj", "3.47081756592")</f>
        <v>3.47081756592</v>
      </c>
      <c r="I1745" s="73" t="str">
        <f>HYPERLINK(AB2 &amp; "/mug/sn_de7b31e82dc373f2b9946438ed40eeb9/rendering/06.obj", "3.90802574158")</f>
        <v>3.90802574158</v>
      </c>
      <c r="J1745" s="60" t="str">
        <f>HYPERLINK(AB2 &amp; "/mug/sn_de7b31e82dc373f2b9946438ed40eeb9/rendering/07.obj", "3.96641254425")</f>
        <v>3.96641254425</v>
      </c>
      <c r="K1745" s="10" t="str">
        <f>HYPERLINK(AB2 &amp; "/mug/sn_de7b31e82dc373f2b9946438ed40eeb9/rendering/08.obj", "3.57204413414")</f>
        <v>3.57204413414</v>
      </c>
      <c r="L1745" s="48" t="str">
        <f>HYPERLINK(AB2 &amp; "/mug/sn_de7b31e82dc373f2b9946438ed40eeb9/rendering/09.obj", "3.68691468239")</f>
        <v>3.68691468239</v>
      </c>
      <c r="M1745" s="74" t="str">
        <f>HYPERLINK(AB2 &amp; "/mug/sn_de7b31e82dc373f2b9946438ed40eeb9/rendering/10.obj", "3.71942901611")</f>
        <v>3.71942901611</v>
      </c>
      <c r="N1745" s="34" t="str">
        <f>HYPERLINK(AB2 &amp; "/mug/sn_de7b31e82dc373f2b9946438ed40eeb9/rendering/11.obj", "3.5894742012")</f>
        <v>3.5894742012</v>
      </c>
      <c r="O1745" s="90" t="str">
        <f>HYPERLINK(AB2 &amp; "/mug/sn_de7b31e82dc373f2b9946438ed40eeb9/rendering/12.obj", "4.13098478317")</f>
        <v>4.13098478317</v>
      </c>
      <c r="P1745" s="27" t="str">
        <f>HYPERLINK(AB2 &amp; "/mug/sn_de7b31e82dc373f2b9946438ed40eeb9/rendering/13.obj", "4.03885126114")</f>
        <v>4.03885126114</v>
      </c>
      <c r="Q1745" s="94" t="str">
        <f>HYPERLINK(AB2 &amp; "/mug/sn_de7b31e82dc373f2b9946438ed40eeb9/rendering/14.obj", "3.49203896523")</f>
        <v>3.49203896523</v>
      </c>
      <c r="R1745" s="27" t="str">
        <f>HYPERLINK(AB2 &amp; "/mug/sn_de7b31e82dc373f2b9946438ed40eeb9/rendering/15.obj", "4.0365319252")</f>
        <v>4.0365319252</v>
      </c>
      <c r="S1745" s="17" t="str">
        <f>HYPERLINK(AB2 &amp; "/mug/sn_de7b31e82dc373f2b9946438ed40eeb9/rendering/16.obj", "3.84706091881")</f>
        <v>3.84706091881</v>
      </c>
      <c r="T1745" s="26" t="str">
        <f>HYPERLINK(AB2 &amp; "/mug/sn_de7b31e82dc373f2b9946438ed40eeb9/rendering/17.obj", "4.0160984993")</f>
        <v>4.0160984993</v>
      </c>
      <c r="U1745" s="51" t="str">
        <f>HYPERLINK(AB2 &amp; "/mug/sn_de7b31e82dc373f2b9946438ed40eeb9/rendering/18.obj", "3.47462797165")</f>
        <v>3.47462797165</v>
      </c>
      <c r="V1745" s="60" t="str">
        <f>HYPERLINK(AB2 &amp; "/mug/sn_de7b31e82dc373f2b9946438ed40eeb9/rendering/19.obj", "3.57821202278")</f>
        <v>3.57821202278</v>
      </c>
      <c r="W1745" s="12" t="s">
        <v>32</v>
      </c>
      <c r="X1745" s="13">
        <v>3.7749236583709722</v>
      </c>
      <c r="Y1745" s="13">
        <v>0.23315676875740959</v>
      </c>
      <c r="Z1745" s="78">
        <v>6.1764631515230692E-2</v>
      </c>
    </row>
    <row r="1746" spans="1:26" x14ac:dyDescent="0.2">
      <c r="A1746" s="1">
        <v>1744</v>
      </c>
      <c r="B1746" s="2" t="s">
        <v>381</v>
      </c>
      <c r="C1746" s="13" t="str">
        <f>HYPERLINK(AC2 &amp; "/mug/sn_de7b31e82dc373f2b9946438ed40eeb9/rendering/00.xyz", "0.0")</f>
        <v>0.0</v>
      </c>
      <c r="D1746" s="13" t="str">
        <f>HYPERLINK(AC2 &amp; "/mug/sn_de7b31e82dc373f2b9946438ed40eeb9/rendering/01.xyz", "0.0")</f>
        <v>0.0</v>
      </c>
      <c r="E1746" s="13" t="str">
        <f>HYPERLINK(AC2 &amp; "/mug/sn_de7b31e82dc373f2b9946438ed40eeb9/rendering/02.xyz", "0.0")</f>
        <v>0.0</v>
      </c>
      <c r="F1746" s="13" t="str">
        <f>HYPERLINK(AC2 &amp; "/mug/sn_de7b31e82dc373f2b9946438ed40eeb9/rendering/03.xyz", "0.0")</f>
        <v>0.0</v>
      </c>
      <c r="G1746" s="13" t="str">
        <f>HYPERLINK(AC2 &amp; "/mug/sn_de7b31e82dc373f2b9946438ed40eeb9/rendering/04.xyz", "0.0")</f>
        <v>0.0</v>
      </c>
      <c r="H1746" s="13" t="str">
        <f>HYPERLINK(AC2 &amp; "/mug/sn_de7b31e82dc373f2b9946438ed40eeb9/rendering/05.xyz", "0.0")</f>
        <v>0.0</v>
      </c>
      <c r="I1746" s="13" t="str">
        <f>HYPERLINK(AC2 &amp; "/mug/sn_de7b31e82dc373f2b9946438ed40eeb9/rendering/06.xyz", "0.0")</f>
        <v>0.0</v>
      </c>
      <c r="J1746" s="13" t="str">
        <f>HYPERLINK(AC2 &amp; "/mug/sn_de7b31e82dc373f2b9946438ed40eeb9/rendering/07.xyz", "0.0")</f>
        <v>0.0</v>
      </c>
      <c r="K1746" s="13" t="str">
        <f>HYPERLINK(AC2 &amp; "/mug/sn_de7b31e82dc373f2b9946438ed40eeb9/rendering/08.xyz", "0.0")</f>
        <v>0.0</v>
      </c>
      <c r="L1746" s="13" t="str">
        <f>HYPERLINK(AC2 &amp; "/mug/sn_de7b31e82dc373f2b9946438ed40eeb9/rendering/09.xyz", "0.0")</f>
        <v>0.0</v>
      </c>
      <c r="M1746" s="13" t="str">
        <f>HYPERLINK(AC2 &amp; "/mug/sn_de7b31e82dc373f2b9946438ed40eeb9/rendering/10.xyz", "0.0")</f>
        <v>0.0</v>
      </c>
      <c r="N1746" s="13" t="str">
        <f>HYPERLINK(AC2 &amp; "/mug/sn_de7b31e82dc373f2b9946438ed40eeb9/rendering/11.xyz", "0.0")</f>
        <v>0.0</v>
      </c>
      <c r="O1746" s="13" t="str">
        <f>HYPERLINK(AC2 &amp; "/mug/sn_de7b31e82dc373f2b9946438ed40eeb9/rendering/12.xyz", "0.0")</f>
        <v>0.0</v>
      </c>
      <c r="P1746" s="13" t="str">
        <f>HYPERLINK(AC2 &amp; "/mug/sn_de7b31e82dc373f2b9946438ed40eeb9/rendering/13.xyz", "0.0")</f>
        <v>0.0</v>
      </c>
      <c r="Q1746" s="13" t="str">
        <f>HYPERLINK(AC2 &amp; "/mug/sn_de7b31e82dc373f2b9946438ed40eeb9/rendering/14.xyz", "0.0")</f>
        <v>0.0</v>
      </c>
      <c r="R1746" s="13" t="str">
        <f>HYPERLINK(AC2 &amp; "/mug/sn_de7b31e82dc373f2b9946438ed40eeb9/rendering/15.xyz", "0.0")</f>
        <v>0.0</v>
      </c>
      <c r="S1746" s="13" t="str">
        <f>HYPERLINK(AC2 &amp; "/mug/sn_de7b31e82dc373f2b9946438ed40eeb9/rendering/16.xyz", "0.0")</f>
        <v>0.0</v>
      </c>
      <c r="T1746" s="13" t="str">
        <f>HYPERLINK(AC2 &amp; "/mug/sn_de7b31e82dc373f2b9946438ed40eeb9/rendering/17.xyz", "0.0")</f>
        <v>0.0</v>
      </c>
      <c r="U1746" s="13" t="str">
        <f>HYPERLINK(AC2 &amp; "/mug/sn_de7b31e82dc373f2b9946438ed40eeb9/rendering/18.xyz", "0.0")</f>
        <v>0.0</v>
      </c>
      <c r="V1746" s="13" t="str">
        <f>HYPERLINK(AC2 &amp; "/mug/sn_de7b31e82dc373f2b9946438ed40eeb9/rendering/19.xyz", "0.0")</f>
        <v>0.0</v>
      </c>
      <c r="W1746" s="12" t="s">
        <v>33</v>
      </c>
      <c r="X1746" s="13">
        <v>0</v>
      </c>
      <c r="Y1746" s="13">
        <v>0</v>
      </c>
      <c r="Z1746" s="13">
        <v>0</v>
      </c>
    </row>
    <row r="1747" spans="1:26" x14ac:dyDescent="0.2">
      <c r="A1747" s="1">
        <v>1745</v>
      </c>
      <c r="B1747" s="2" t="s">
        <v>382</v>
      </c>
      <c r="C1747" s="128" t="str">
        <f>HYPERLINK(AA2 &amp; "/mug/sn_dfa8a3a0c8a552b62bc8a44b22fcb3b9/rendering/00.obj", "3.32488677979")</f>
        <v>3.32488677979</v>
      </c>
      <c r="D1747" s="87" t="str">
        <f>HYPERLINK(AA2 &amp; "/mug/sn_dfa8a3a0c8a552b62bc8a44b22fcb3b9/rendering/01.obj", "6.70483947754")</f>
        <v>6.70483947754</v>
      </c>
      <c r="E1747" s="55" t="str">
        <f>HYPERLINK(AA2 &amp; "/mug/sn_dfa8a3a0c8a552b62bc8a44b22fcb3b9/rendering/02.obj", "6.51616699219")</f>
        <v>6.51616699219</v>
      </c>
      <c r="F1747" s="66" t="str">
        <f>HYPERLINK(AA2 &amp; "/mug/sn_dfa8a3a0c8a552b62bc8a44b22fcb3b9/rendering/03.obj", "4.58492858887")</f>
        <v>4.58492858887</v>
      </c>
      <c r="G1747" s="57" t="str">
        <f>HYPERLINK(AA2 &amp; "/mug/sn_dfa8a3a0c8a552b62bc8a44b22fcb3b9/rendering/04.obj", "3.73499755859")</f>
        <v>3.73499755859</v>
      </c>
      <c r="H1747" s="230" t="str">
        <f>HYPERLINK(AA2 &amp; "/mug/sn_dfa8a3a0c8a552b62bc8a44b22fcb3b9/rendering/05.obj", "7.94816772461")</f>
        <v>7.94816772461</v>
      </c>
      <c r="I1747" s="61" t="str">
        <f>HYPERLINK(AA2 &amp; "/mug/sn_dfa8a3a0c8a552b62bc8a44b22fcb3b9/rendering/06.obj", "3.81471252441")</f>
        <v>3.81471252441</v>
      </c>
      <c r="J1747" s="165" t="str">
        <f>HYPERLINK(AA2 &amp; "/mug/sn_dfa8a3a0c8a552b62bc8a44b22fcb3b9/rendering/07.obj", "9.22952880859")</f>
        <v>9.22952880859</v>
      </c>
      <c r="K1747" s="106" t="str">
        <f>HYPERLINK(AA2 &amp; "/mug/sn_dfa8a3a0c8a552b62bc8a44b22fcb3b9/rendering/08.obj", "4.84304046631")</f>
        <v>4.84304046631</v>
      </c>
      <c r="L1747" s="19" t="str">
        <f>HYPERLINK(AA2 &amp; "/mug/sn_dfa8a3a0c8a552b62bc8a44b22fcb3b9/rendering/09.obj", "4.03744537354")</f>
        <v>4.03744537354</v>
      </c>
      <c r="M1747" s="20" t="str">
        <f>HYPERLINK(AA2 &amp; "/mug/sn_dfa8a3a0c8a552b62bc8a44b22fcb3b9/rendering/10.obj", "9.99989257812")</f>
        <v>9.99989257812</v>
      </c>
      <c r="N1747" s="44" t="str">
        <f>HYPERLINK(AA2 &amp; "/mug/sn_dfa8a3a0c8a552b62bc8a44b22fcb3b9/rendering/11.obj", "6.53940612793")</f>
        <v>6.53940612793</v>
      </c>
      <c r="O1747" s="67" t="str">
        <f>HYPERLINK(AA2 &amp; "/mug/sn_dfa8a3a0c8a552b62bc8a44b22fcb3b9/rendering/12.obj", "5.97331176758")</f>
        <v>5.97331176758</v>
      </c>
      <c r="P1747" s="46" t="str">
        <f>HYPERLINK(AA2 &amp; "/mug/sn_dfa8a3a0c8a552b62bc8a44b22fcb3b9/rendering/13.obj", "5.56107055664")</f>
        <v>5.56107055664</v>
      </c>
      <c r="Q1747" s="134" t="str">
        <f>HYPERLINK(AA2 &amp; "/mug/sn_dfa8a3a0c8a552b62bc8a44b22fcb3b9/rendering/14.obj", "4.47378845215")</f>
        <v>4.47378845215</v>
      </c>
      <c r="R1747" s="87" t="str">
        <f>HYPERLINK(AA2 &amp; "/mug/sn_dfa8a3a0c8a552b62bc8a44b22fcb3b9/rendering/15.obj", "4.2121081543")</f>
        <v>4.2121081543</v>
      </c>
      <c r="S1747" s="50" t="str">
        <f>HYPERLINK(AA2 &amp; "/mug/sn_dfa8a3a0c8a552b62bc8a44b22fcb3b9/rendering/16.obj", "6.5548828125")</f>
        <v>6.5548828125</v>
      </c>
      <c r="T1747" s="7" t="str">
        <f>HYPERLINK(AA2 &amp; "/mug/sn_dfa8a3a0c8a552b62bc8a44b22fcb3b9/rendering/17.obj", "3.94200653076")</f>
        <v>3.94200653076</v>
      </c>
      <c r="U1747" s="166" t="str">
        <f>HYPERLINK(AA2 &amp; "/mug/sn_dfa8a3a0c8a552b62bc8a44b22fcb3b9/rendering/18.obj", "3.89573699951")</f>
        <v>3.89573699951</v>
      </c>
      <c r="V1747" s="142" t="str">
        <f>HYPERLINK(AA2 &amp; "/mug/sn_dfa8a3a0c8a552b62bc8a44b22fcb3b9/rendering/19.obj", "3.31371429443")</f>
        <v>3.31371429443</v>
      </c>
      <c r="W1747" s="12" t="s">
        <v>29</v>
      </c>
      <c r="X1747" s="13">
        <v>5.4602316284179686</v>
      </c>
      <c r="Y1747" s="13">
        <v>1.892255662236533</v>
      </c>
      <c r="Z1747" s="140">
        <v>0.34655226939242301</v>
      </c>
    </row>
    <row r="1748" spans="1:26" x14ac:dyDescent="0.2">
      <c r="A1748" s="1">
        <v>1746</v>
      </c>
      <c r="B1748" s="2" t="s">
        <v>382</v>
      </c>
      <c r="C1748" s="121" t="str">
        <f>HYPERLINK(AA2 &amp; "/mug/sn_dfa8a3a0c8a552b62bc8a44b22fcb3b9/rendering/00.obj", "6.93649864197")</f>
        <v>6.93649864197</v>
      </c>
      <c r="D1748" s="56" t="str">
        <f>HYPERLINK(AA2 &amp; "/mug/sn_dfa8a3a0c8a552b62bc8a44b22fcb3b9/rendering/01.obj", "14.0335998535")</f>
        <v>14.0335998535</v>
      </c>
      <c r="E1748" s="75" t="str">
        <f>HYPERLINK(AA2 &amp; "/mug/sn_dfa8a3a0c8a552b62bc8a44b22fcb3b9/rendering/02.obj", "13.0848398209")</f>
        <v>13.0848398209</v>
      </c>
      <c r="F1748" s="10" t="str">
        <f>HYPERLINK(AA2 &amp; "/mug/sn_dfa8a3a0c8a552b62bc8a44b22fcb3b9/rendering/03.obj", "10.1458206177")</f>
        <v>10.1458206177</v>
      </c>
      <c r="G1748" s="101" t="str">
        <f>HYPERLINK(AA2 &amp; "/mug/sn_dfa8a3a0c8a552b62bc8a44b22fcb3b9/rendering/04.obj", "6.65706300735")</f>
        <v>6.65706300735</v>
      </c>
      <c r="H1748" s="252" t="str">
        <f>HYPERLINK(AA2 &amp; "/mug/sn_dfa8a3a0c8a552b62bc8a44b22fcb3b9/rendering/05.obj", "17.6256332397")</f>
        <v>17.6256332397</v>
      </c>
      <c r="I1748" s="192" t="str">
        <f>HYPERLINK(AA2 &amp; "/mug/sn_dfa8a3a0c8a552b62bc8a44b22fcb3b9/rendering/06.obj", "6.75050544739")</f>
        <v>6.75050544739</v>
      </c>
      <c r="J1748" s="207" t="str">
        <f>HYPERLINK(AA2 &amp; "/mug/sn_dfa8a3a0c8a552b62bc8a44b22fcb3b9/rendering/07.obj", "18.5587615967")</f>
        <v>18.5587615967</v>
      </c>
      <c r="K1748" s="10" t="str">
        <f>HYPERLINK(AA2 &amp; "/mug/sn_dfa8a3a0c8a552b62bc8a44b22fcb3b9/rendering/08.obj", "10.1320829391")</f>
        <v>10.1320829391</v>
      </c>
      <c r="L1748" s="49" t="str">
        <f>HYPERLINK(AA2 &amp; "/mug/sn_dfa8a3a0c8a552b62bc8a44b22fcb3b9/rendering/09.obj", "8.47865486145")</f>
        <v>8.47865486145</v>
      </c>
      <c r="M1748" s="20" t="str">
        <f>HYPERLINK(AA2 &amp; "/mug/sn_dfa8a3a0c8a552b62bc8a44b22fcb3b9/rendering/10.obj", "20.6049728394")</f>
        <v>20.6049728394</v>
      </c>
      <c r="N1748" s="83" t="str">
        <f>HYPERLINK(AA2 &amp; "/mug/sn_dfa8a3a0c8a552b62bc8a44b22fcb3b9/rendering/11.obj", "12.3624763489")</f>
        <v>12.3624763489</v>
      </c>
      <c r="O1748" s="23" t="str">
        <f>HYPERLINK(AA2 &amp; "/mug/sn_dfa8a3a0c8a552b62bc8a44b22fcb3b9/rendering/12.obj", "10.302778244")</f>
        <v>10.302778244</v>
      </c>
      <c r="P1748" s="72" t="str">
        <f>HYPERLINK(AA2 &amp; "/mug/sn_dfa8a3a0c8a552b62bc8a44b22fcb3b9/rendering/13.obj", "10.376663208")</f>
        <v>10.376663208</v>
      </c>
      <c r="Q1748" s="82" t="str">
        <f>HYPERLINK(AA2 &amp; "/mug/sn_dfa8a3a0c8a552b62bc8a44b22fcb3b9/rendering/14.obj", "8.53130817413")</f>
        <v>8.53130817413</v>
      </c>
      <c r="R1748" s="137" t="str">
        <f>HYPERLINK(AA2 &amp; "/mug/sn_dfa8a3a0c8a552b62bc8a44b22fcb3b9/rendering/15.obj", "6.79397439957")</f>
        <v>6.79397439957</v>
      </c>
      <c r="S1748" s="35" t="str">
        <f>HYPERLINK(AA2 &amp; "/mug/sn_dfa8a3a0c8a552b62bc8a44b22fcb3b9/rendering/16.obj", "11.3495702744")</f>
        <v>11.3495702744</v>
      </c>
      <c r="T1748" s="75" t="str">
        <f>HYPERLINK(AA2 &amp; "/mug/sn_dfa8a3a0c8a552b62bc8a44b22fcb3b9/rendering/17.obj", "8.35858440399")</f>
        <v>8.35858440399</v>
      </c>
      <c r="U1748" s="166" t="str">
        <f>HYPERLINK(AA2 &amp; "/mug/sn_dfa8a3a0c8a552b62bc8a44b22fcb3b9/rendering/18.obj", "7.65467834473")</f>
        <v>7.65467834473</v>
      </c>
      <c r="V1748" s="203" t="str">
        <f>HYPERLINK(AA2 &amp; "/mug/sn_dfa8a3a0c8a552b62bc8a44b22fcb3b9/rendering/19.obj", "5.71376562119")</f>
        <v>5.71376562119</v>
      </c>
      <c r="W1748" s="12" t="s">
        <v>30</v>
      </c>
      <c r="X1748" s="13">
        <v>10.72261159420013</v>
      </c>
      <c r="Y1748" s="13">
        <v>4.1189929186928751</v>
      </c>
      <c r="Z1748" s="172">
        <v>0.3841408301053113</v>
      </c>
    </row>
    <row r="1749" spans="1:26" x14ac:dyDescent="0.2">
      <c r="A1749" s="1">
        <v>1747</v>
      </c>
      <c r="B1749" s="2" t="s">
        <v>382</v>
      </c>
      <c r="C1749" s="74" t="str">
        <f>HYPERLINK(AB2 &amp; "/mug/sn_dfa8a3a0c8a552b62bc8a44b22fcb3b9/rendering/00.obj", "4.53125732422")</f>
        <v>4.53125732422</v>
      </c>
      <c r="D1749" s="92" t="str">
        <f>HYPERLINK(AB2 &amp; "/mug/sn_dfa8a3a0c8a552b62bc8a44b22fcb3b9/rendering/01.obj", "3.91857116699")</f>
        <v>3.91857116699</v>
      </c>
      <c r="E1749" s="243" t="str">
        <f>HYPERLINK(AB2 &amp; "/mug/sn_dfa8a3a0c8a552b62bc8a44b22fcb3b9/rendering/02.obj", "7.95369567871")</f>
        <v>7.95369567871</v>
      </c>
      <c r="F1749" s="42" t="str">
        <f>HYPERLINK(AB2 &amp; "/mug/sn_dfa8a3a0c8a552b62bc8a44b22fcb3b9/rendering/03.obj", "3.86430603027")</f>
        <v>3.86430603027</v>
      </c>
      <c r="G1749" s="117" t="str">
        <f>HYPERLINK(AB2 &amp; "/mug/sn_dfa8a3a0c8a552b62bc8a44b22fcb3b9/rendering/04.obj", "3.67111694336")</f>
        <v>3.67111694336</v>
      </c>
      <c r="H1749" s="31" t="str">
        <f>HYPERLINK(AB2 &amp; "/mug/sn_dfa8a3a0c8a552b62bc8a44b22fcb3b9/rendering/05.obj", "3.77858306885")</f>
        <v>3.77858306885</v>
      </c>
      <c r="I1749" s="71" t="str">
        <f>HYPERLINK(AB2 &amp; "/mug/sn_dfa8a3a0c8a552b62bc8a44b22fcb3b9/rendering/06.obj", "3.93782714844")</f>
        <v>3.93782714844</v>
      </c>
      <c r="J1749" s="95" t="str">
        <f>HYPERLINK(AB2 &amp; "/mug/sn_dfa8a3a0c8a552b62bc8a44b22fcb3b9/rendering/07.obj", "3.21886779785")</f>
        <v>3.21886779785</v>
      </c>
      <c r="K1749" s="64" t="str">
        <f>HYPERLINK(AB2 &amp; "/mug/sn_dfa8a3a0c8a552b62bc8a44b22fcb3b9/rendering/08.obj", "5.20453918457")</f>
        <v>5.20453918457</v>
      </c>
      <c r="L1749" s="79" t="str">
        <f>HYPERLINK(AB2 &amp; "/mug/sn_dfa8a3a0c8a552b62bc8a44b22fcb3b9/rendering/09.obj", "3.76472229004")</f>
        <v>3.76472229004</v>
      </c>
      <c r="M1749" s="80" t="str">
        <f>HYPERLINK(AB2 &amp; "/mug/sn_dfa8a3a0c8a552b62bc8a44b22fcb3b9/rendering/10.obj", "3.80720458984")</f>
        <v>3.80720458984</v>
      </c>
      <c r="N1749" s="38" t="str">
        <f>HYPERLINK(AB2 &amp; "/mug/sn_dfa8a3a0c8a552b62bc8a44b22fcb3b9/rendering/11.obj", "4.07631713867")</f>
        <v>4.07631713867</v>
      </c>
      <c r="O1749" s="106" t="str">
        <f>HYPERLINK(AB2 &amp; "/mug/sn_dfa8a3a0c8a552b62bc8a44b22fcb3b9/rendering/12.obj", "3.9593838501")</f>
        <v>3.9593838501</v>
      </c>
      <c r="P1749" s="176" t="str">
        <f>HYPERLINK(AB2 &amp; "/mug/sn_dfa8a3a0c8a552b62bc8a44b22fcb3b9/rendering/13.obj", "5.89339538574")</f>
        <v>5.89339538574</v>
      </c>
      <c r="Q1749" s="182" t="str">
        <f>HYPERLINK(AB2 &amp; "/mug/sn_dfa8a3a0c8a552b62bc8a44b22fcb3b9/rendering/14.obj", "5.9671270752")</f>
        <v>5.9671270752</v>
      </c>
      <c r="R1749" s="129" t="str">
        <f>HYPERLINK(AB2 &amp; "/mug/sn_dfa8a3a0c8a552b62bc8a44b22fcb3b9/rendering/15.obj", "5.58377502441")</f>
        <v>5.58377502441</v>
      </c>
      <c r="S1749" s="110" t="str">
        <f>HYPERLINK(AB2 &amp; "/mug/sn_dfa8a3a0c8a552b62bc8a44b22fcb3b9/rendering/16.obj", "4.02281799316")</f>
        <v>4.02281799316</v>
      </c>
      <c r="T1749" s="80" t="str">
        <f>HYPERLINK(AB2 &amp; "/mug/sn_dfa8a3a0c8a552b62bc8a44b22fcb3b9/rendering/17.obj", "3.79757965088")</f>
        <v>3.79757965088</v>
      </c>
      <c r="U1749" s="67" t="str">
        <f>HYPERLINK(AB2 &amp; "/mug/sn_dfa8a3a0c8a552b62bc8a44b22fcb3b9/rendering/18.obj", "4.05112243652")</f>
        <v>4.05112243652</v>
      </c>
      <c r="V1749" s="17" t="str">
        <f>HYPERLINK(AB2 &amp; "/mug/sn_dfa8a3a0c8a552b62bc8a44b22fcb3b9/rendering/19.obj", "4.37608093262")</f>
        <v>4.37608093262</v>
      </c>
      <c r="W1749" s="12" t="s">
        <v>31</v>
      </c>
      <c r="X1749" s="13">
        <v>4.4689145355224618</v>
      </c>
      <c r="Y1749" s="13">
        <v>1.095717361213157</v>
      </c>
      <c r="Z1749" s="108">
        <v>0.24518646586403259</v>
      </c>
    </row>
    <row r="1750" spans="1:26" x14ac:dyDescent="0.2">
      <c r="A1750" s="1">
        <v>1748</v>
      </c>
      <c r="B1750" s="2" t="s">
        <v>382</v>
      </c>
      <c r="C1750" s="91" t="str">
        <f>HYPERLINK(AB2 &amp; "/mug/sn_dfa8a3a0c8a552b62bc8a44b22fcb3b9/rendering/00.obj", "7.14125013351")</f>
        <v>7.14125013351</v>
      </c>
      <c r="D1750" s="88" t="str">
        <f>HYPERLINK(AB2 &amp; "/mug/sn_dfa8a3a0c8a552b62bc8a44b22fcb3b9/rendering/01.obj", "5.83994436264")</f>
        <v>5.83994436264</v>
      </c>
      <c r="E1750" s="20" t="str">
        <f>HYPERLINK(AB2 &amp; "/mug/sn_dfa8a3a0c8a552b62bc8a44b22fcb3b9/rendering/02.obj", "14.1384153366")</f>
        <v>14.1384153366</v>
      </c>
      <c r="F1750" s="38" t="str">
        <f>HYPERLINK(AB2 &amp; "/mug/sn_dfa8a3a0c8a552b62bc8a44b22fcb3b9/rendering/03.obj", "6.66785097122")</f>
        <v>6.66785097122</v>
      </c>
      <c r="G1750" s="119" t="str">
        <f>HYPERLINK(AB2 &amp; "/mug/sn_dfa8a3a0c8a552b62bc8a44b22fcb3b9/rendering/04.obj", "5.37744045258")</f>
        <v>5.37744045258</v>
      </c>
      <c r="H1750" s="46" t="str">
        <f>HYPERLINK(AB2 &amp; "/mug/sn_dfa8a3a0c8a552b62bc8a44b22fcb3b9/rendering/05.obj", "7.18849277496")</f>
        <v>7.18849277496</v>
      </c>
      <c r="I1750" s="92" t="str">
        <f>HYPERLINK(AB2 &amp; "/mug/sn_dfa8a3a0c8a552b62bc8a44b22fcb3b9/rendering/06.obj", "6.41347265244")</f>
        <v>6.41347265244</v>
      </c>
      <c r="J1750" s="95" t="str">
        <f>HYPERLINK(AB2 &amp; "/mug/sn_dfa8a3a0c8a552b62bc8a44b22fcb3b9/rendering/07.obj", "5.26035499573")</f>
        <v>5.26035499573</v>
      </c>
      <c r="K1750" s="77" t="str">
        <f>HYPERLINK(AB2 &amp; "/mug/sn_dfa8a3a0c8a552b62bc8a44b22fcb3b9/rendering/08.obj", "8.70379829407")</f>
        <v>8.70379829407</v>
      </c>
      <c r="L1750" s="8" t="str">
        <f>HYPERLINK(AB2 &amp; "/mug/sn_dfa8a3a0c8a552b62bc8a44b22fcb3b9/rendering/09.obj", "6.28583431244")</f>
        <v>6.28583431244</v>
      </c>
      <c r="M1750" s="75" t="str">
        <f>HYPERLINK(AB2 &amp; "/mug/sn_dfa8a3a0c8a552b62bc8a44b22fcb3b9/rendering/10.obj", "5.70850944519")</f>
        <v>5.70850944519</v>
      </c>
      <c r="N1750" s="77" t="str">
        <f>HYPERLINK(AB2 &amp; "/mug/sn_dfa8a3a0c8a552b62bc8a44b22fcb3b9/rendering/11.obj", "5.95669126511")</f>
        <v>5.95669126511</v>
      </c>
      <c r="O1750" s="66" t="str">
        <f>HYPERLINK(AB2 &amp; "/mug/sn_dfa8a3a0c8a552b62bc8a44b22fcb3b9/rendering/12.obj", "6.13246822357")</f>
        <v>6.13246822357</v>
      </c>
      <c r="P1750" s="144" t="str">
        <f>HYPERLINK(AB2 &amp; "/mug/sn_dfa8a3a0c8a552b62bc8a44b22fcb3b9/rendering/13.obj", "11.0205564499")</f>
        <v>11.0205564499</v>
      </c>
      <c r="Q1750" s="101" t="str">
        <f>HYPERLINK(AB2 &amp; "/mug/sn_dfa8a3a0c8a552b62bc8a44b22fcb3b9/rendering/14.obj", "10.105922699")</f>
        <v>10.105922699</v>
      </c>
      <c r="R1750" s="28" t="str">
        <f>HYPERLINK(AB2 &amp; "/mug/sn_dfa8a3a0c8a552b62bc8a44b22fcb3b9/rendering/15.obj", "8.13637924194")</f>
        <v>8.13637924194</v>
      </c>
      <c r="S1750" s="83" t="str">
        <f>HYPERLINK(AB2 &amp; "/mug/sn_dfa8a3a0c8a552b62bc8a44b22fcb3b9/rendering/16.obj", "6.22048473358")</f>
        <v>6.22048473358</v>
      </c>
      <c r="T1750" s="41" t="str">
        <f>HYPERLINK(AB2 &amp; "/mug/sn_dfa8a3a0c8a552b62bc8a44b22fcb3b9/rendering/17.obj", "6.82521438599")</f>
        <v>6.82521438599</v>
      </c>
      <c r="U1750" s="33" t="str">
        <f>HYPERLINK(AB2 &amp; "/mug/sn_dfa8a3a0c8a552b62bc8a44b22fcb3b9/rendering/18.obj", "6.53284883499")</f>
        <v>6.53284883499</v>
      </c>
      <c r="V1750" s="26" t="str">
        <f>HYPERLINK(AB2 &amp; "/mug/sn_dfa8a3a0c8a552b62bc8a44b22fcb3b9/rendering/19.obj", "6.85027265549")</f>
        <v>6.85027265549</v>
      </c>
      <c r="W1750" s="12" t="s">
        <v>32</v>
      </c>
      <c r="X1750" s="13">
        <v>7.3253101110458374</v>
      </c>
      <c r="Y1750" s="13">
        <v>2.1361050513829309</v>
      </c>
      <c r="Z1750" s="14">
        <v>0.29160609161950668</v>
      </c>
    </row>
    <row r="1751" spans="1:26" x14ac:dyDescent="0.2">
      <c r="A1751" s="1">
        <v>1749</v>
      </c>
      <c r="B1751" s="2" t="s">
        <v>382</v>
      </c>
      <c r="C1751" s="13" t="str">
        <f>HYPERLINK(AC2 &amp; "/mug/sn_dfa8a3a0c8a552b62bc8a44b22fcb3b9/rendering/00.xyz", "0.0")</f>
        <v>0.0</v>
      </c>
      <c r="D1751" s="13" t="str">
        <f>HYPERLINK(AC2 &amp; "/mug/sn_dfa8a3a0c8a552b62bc8a44b22fcb3b9/rendering/01.xyz", "0.0")</f>
        <v>0.0</v>
      </c>
      <c r="E1751" s="13" t="str">
        <f>HYPERLINK(AC2 &amp; "/mug/sn_dfa8a3a0c8a552b62bc8a44b22fcb3b9/rendering/02.xyz", "0.0")</f>
        <v>0.0</v>
      </c>
      <c r="F1751" s="13" t="str">
        <f>HYPERLINK(AC2 &amp; "/mug/sn_dfa8a3a0c8a552b62bc8a44b22fcb3b9/rendering/03.xyz", "0.0")</f>
        <v>0.0</v>
      </c>
      <c r="G1751" s="13" t="str">
        <f>HYPERLINK(AC2 &amp; "/mug/sn_dfa8a3a0c8a552b62bc8a44b22fcb3b9/rendering/04.xyz", "0.0")</f>
        <v>0.0</v>
      </c>
      <c r="H1751" s="13" t="str">
        <f>HYPERLINK(AC2 &amp; "/mug/sn_dfa8a3a0c8a552b62bc8a44b22fcb3b9/rendering/05.xyz", "0.0")</f>
        <v>0.0</v>
      </c>
      <c r="I1751" s="13" t="str">
        <f>HYPERLINK(AC2 &amp; "/mug/sn_dfa8a3a0c8a552b62bc8a44b22fcb3b9/rendering/06.xyz", "0.0")</f>
        <v>0.0</v>
      </c>
      <c r="J1751" s="13" t="str">
        <f>HYPERLINK(AC2 &amp; "/mug/sn_dfa8a3a0c8a552b62bc8a44b22fcb3b9/rendering/07.xyz", "0.0")</f>
        <v>0.0</v>
      </c>
      <c r="K1751" s="13" t="str">
        <f>HYPERLINK(AC2 &amp; "/mug/sn_dfa8a3a0c8a552b62bc8a44b22fcb3b9/rendering/08.xyz", "0.0")</f>
        <v>0.0</v>
      </c>
      <c r="L1751" s="13" t="str">
        <f>HYPERLINK(AC2 &amp; "/mug/sn_dfa8a3a0c8a552b62bc8a44b22fcb3b9/rendering/09.xyz", "0.0")</f>
        <v>0.0</v>
      </c>
      <c r="M1751" s="13" t="str">
        <f>HYPERLINK(AC2 &amp; "/mug/sn_dfa8a3a0c8a552b62bc8a44b22fcb3b9/rendering/10.xyz", "0.0")</f>
        <v>0.0</v>
      </c>
      <c r="N1751" s="13" t="str">
        <f>HYPERLINK(AC2 &amp; "/mug/sn_dfa8a3a0c8a552b62bc8a44b22fcb3b9/rendering/11.xyz", "0.0")</f>
        <v>0.0</v>
      </c>
      <c r="O1751" s="13" t="str">
        <f>HYPERLINK(AC2 &amp; "/mug/sn_dfa8a3a0c8a552b62bc8a44b22fcb3b9/rendering/12.xyz", "0.0")</f>
        <v>0.0</v>
      </c>
      <c r="P1751" s="13" t="str">
        <f>HYPERLINK(AC2 &amp; "/mug/sn_dfa8a3a0c8a552b62bc8a44b22fcb3b9/rendering/13.xyz", "0.0")</f>
        <v>0.0</v>
      </c>
      <c r="Q1751" s="13" t="str">
        <f>HYPERLINK(AC2 &amp; "/mug/sn_dfa8a3a0c8a552b62bc8a44b22fcb3b9/rendering/14.xyz", "0.0")</f>
        <v>0.0</v>
      </c>
      <c r="R1751" s="13" t="str">
        <f>HYPERLINK(AC2 &amp; "/mug/sn_dfa8a3a0c8a552b62bc8a44b22fcb3b9/rendering/15.xyz", "0.0")</f>
        <v>0.0</v>
      </c>
      <c r="S1751" s="13" t="str">
        <f>HYPERLINK(AC2 &amp; "/mug/sn_dfa8a3a0c8a552b62bc8a44b22fcb3b9/rendering/16.xyz", "0.0")</f>
        <v>0.0</v>
      </c>
      <c r="T1751" s="13" t="str">
        <f>HYPERLINK(AC2 &amp; "/mug/sn_dfa8a3a0c8a552b62bc8a44b22fcb3b9/rendering/17.xyz", "0.0")</f>
        <v>0.0</v>
      </c>
      <c r="U1751" s="13" t="str">
        <f>HYPERLINK(AC2 &amp; "/mug/sn_dfa8a3a0c8a552b62bc8a44b22fcb3b9/rendering/18.xyz", "0.0")</f>
        <v>0.0</v>
      </c>
      <c r="V1751" s="13" t="str">
        <f>HYPERLINK(AC2 &amp; "/mug/sn_dfa8a3a0c8a552b62bc8a44b22fcb3b9/rendering/19.xyz", "0.0")</f>
        <v>0.0</v>
      </c>
      <c r="W1751" s="12" t="s">
        <v>33</v>
      </c>
      <c r="X1751" s="13">
        <v>0</v>
      </c>
      <c r="Y1751" s="13">
        <v>0</v>
      </c>
      <c r="Z1751" s="13">
        <v>0</v>
      </c>
    </row>
    <row r="1752" spans="1:26" x14ac:dyDescent="0.2">
      <c r="A1752" s="1">
        <v>1750</v>
      </c>
      <c r="B1752" s="2" t="s">
        <v>383</v>
      </c>
      <c r="C1752" s="77" t="str">
        <f>HYPERLINK(AA2 &amp; "/mug/sn_e16a895052da87277f58c33b328479f4/rendering/00.obj", "10.3709631348")</f>
        <v>10.3709631348</v>
      </c>
      <c r="D1752" s="116" t="str">
        <f>HYPERLINK(AA2 &amp; "/mug/sn_e16a895052da87277f58c33b328479f4/rendering/01.obj", "12.5803015137")</f>
        <v>12.5803015137</v>
      </c>
      <c r="E1752" s="142" t="str">
        <f>HYPERLINK(AA2 &amp; "/mug/sn_e16a895052da87277f58c33b328479f4/rendering/02.obj", "12.1890869141")</f>
        <v>12.1890869141</v>
      </c>
      <c r="F1752" s="20" t="str">
        <f>HYPERLINK(AA2 &amp; "/mug/sn_e16a895052da87277f58c33b328479f4/rendering/03.obj", "17.1193688965")</f>
        <v>17.1193688965</v>
      </c>
      <c r="G1752" s="7" t="str">
        <f>HYPERLINK(AA2 &amp; "/mug/sn_e16a895052da87277f58c33b328479f4/rendering/04.obj", "11.1933398437")</f>
        <v>11.1933398437</v>
      </c>
      <c r="H1752" s="111" t="str">
        <f>HYPERLINK(AA2 &amp; "/mug/sn_e16a895052da87277f58c33b328479f4/rendering/05.obj", "5.07154602051")</f>
        <v>5.07154602051</v>
      </c>
      <c r="I1752" s="69" t="str">
        <f>HYPERLINK(AA2 &amp; "/mug/sn_e16a895052da87277f58c33b328479f4/rendering/06.obj", "8.49822509766")</f>
        <v>8.49822509766</v>
      </c>
      <c r="J1752" s="20" t="str">
        <f>HYPERLINK(AA2 &amp; "/mug/sn_e16a895052da87277f58c33b328479f4/rendering/07.obj", "17.330123291")</f>
        <v>17.330123291</v>
      </c>
      <c r="K1752" s="50" t="str">
        <f>HYPERLINK(AA2 &amp; "/mug/sn_e16a895052da87277f58c33b328479f4/rendering/08.obj", "6.99476928711")</f>
        <v>6.99476928711</v>
      </c>
      <c r="L1752" s="110" t="str">
        <f>HYPERLINK(AA2 &amp; "/mug/sn_e16a895052da87277f58c33b328479f4/rendering/09.obj", "7.89468505859")</f>
        <v>7.89468505859</v>
      </c>
      <c r="M1752" s="22" t="str">
        <f>HYPERLINK(AA2 &amp; "/mug/sn_e16a895052da87277f58c33b328479f4/rendering/10.obj", "4.16876281738")</f>
        <v>4.16876281738</v>
      </c>
      <c r="N1752" s="150" t="str">
        <f>HYPERLINK(AA2 &amp; "/mug/sn_e16a895052da87277f58c33b328479f4/rendering/11.obj", "4.03330078125")</f>
        <v>4.03330078125</v>
      </c>
      <c r="O1752" s="78" t="str">
        <f>HYPERLINK(AA2 &amp; "/mug/sn_e16a895052da87277f58c33b328479f4/rendering/12.obj", "9.28634399414")</f>
        <v>9.28634399414</v>
      </c>
      <c r="P1752" s="13" t="str">
        <f>HYPERLINK(AA2 &amp; "/mug/sn_e16a895052da87277f58c33b328479f4/rendering/13.obj", "8.77687744141")</f>
        <v>8.77687744141</v>
      </c>
      <c r="Q1752" s="91" t="str">
        <f>HYPERLINK(AA2 &amp; "/mug/sn_e16a895052da87277f58c33b328479f4/rendering/14.obj", "8.97074462891")</f>
        <v>8.97074462891</v>
      </c>
      <c r="R1752" s="8" t="str">
        <f>HYPERLINK(AA2 &amp; "/mug/sn_e16a895052da87277f58c33b328479f4/rendering/15.obj", "10.0044775391")</f>
        <v>10.0044775391</v>
      </c>
      <c r="S1752" s="140" t="str">
        <f>HYPERLINK(AA2 &amp; "/mug/sn_e16a895052da87277f58c33b328479f4/rendering/16.obj", "5.70473876953")</f>
        <v>5.70473876953</v>
      </c>
      <c r="T1752" s="231" t="str">
        <f>HYPERLINK(AA2 &amp; "/mug/sn_e16a895052da87277f58c33b328479f4/rendering/17.obj", "3.7178225708")</f>
        <v>3.7178225708</v>
      </c>
      <c r="U1752" s="117" t="str">
        <f>HYPERLINK(AA2 &amp; "/mug/sn_e16a895052da87277f58c33b328479f4/rendering/18.obj", "7.19377563477")</f>
        <v>7.19377563477</v>
      </c>
      <c r="V1752" s="21" t="str">
        <f>HYPERLINK(AA2 &amp; "/mug/sn_e16a895052da87277f58c33b328479f4/rendering/19.obj", "3.90597900391")</f>
        <v>3.90597900391</v>
      </c>
      <c r="W1752" s="12" t="s">
        <v>29</v>
      </c>
      <c r="X1752" s="13">
        <v>8.7502616119384751</v>
      </c>
      <c r="Y1752" s="13">
        <v>3.8845607005760421</v>
      </c>
      <c r="Z1752" s="181">
        <v>0.44393652131224481</v>
      </c>
    </row>
    <row r="1753" spans="1:26" x14ac:dyDescent="0.2">
      <c r="A1753" s="1">
        <v>1751</v>
      </c>
      <c r="B1753" s="2" t="s">
        <v>383</v>
      </c>
      <c r="C1753" s="23" t="str">
        <f>HYPERLINK(AA2 &amp; "/mug/sn_e16a895052da87277f58c33b328479f4/rendering/00.obj", "18.2835998535")</f>
        <v>18.2835998535</v>
      </c>
      <c r="D1753" s="56" t="str">
        <f>HYPERLINK(AA2 &amp; "/mug/sn_e16a895052da87277f58c33b328479f4/rendering/01.obj", "23.0389232635")</f>
        <v>23.0389232635</v>
      </c>
      <c r="E1753" s="20" t="str">
        <f>HYPERLINK(AA2 &amp; "/mug/sn_e16a895052da87277f58c33b328479f4/rendering/02.obj", "38.5975341797")</f>
        <v>38.5975341797</v>
      </c>
      <c r="F1753" s="20" t="str">
        <f>HYPERLINK(AA2 &amp; "/mug/sn_e16a895052da87277f58c33b328479f4/rendering/03.obj", "40.2838516235")</f>
        <v>40.2838516235</v>
      </c>
      <c r="G1753" s="76" t="str">
        <f>HYPERLINK(AA2 &amp; "/mug/sn_e16a895052da87277f58c33b328479f4/rendering/04.obj", "20.8554267883")</f>
        <v>20.8554267883</v>
      </c>
      <c r="H1753" s="227" t="str">
        <f>HYPERLINK(AA2 &amp; "/mug/sn_e16a895052da87277f58c33b328479f4/rendering/05.obj", "8.64811420441")</f>
        <v>8.64811420441</v>
      </c>
      <c r="I1753" s="88" t="str">
        <f>HYPERLINK(AA2 &amp; "/mug/sn_e16a895052da87277f58c33b328479f4/rendering/06.obj", "14.0440311432")</f>
        <v>14.0440311432</v>
      </c>
      <c r="J1753" s="20" t="str">
        <f>HYPERLINK(AA2 &amp; "/mug/sn_e16a895052da87277f58c33b328479f4/rendering/07.obj", "39.2278785706")</f>
        <v>39.2278785706</v>
      </c>
      <c r="K1753" s="166" t="str">
        <f>HYPERLINK(AA2 &amp; "/mug/sn_e16a895052da87277f58c33b328479f4/rendering/08.obj", "12.5666894913")</f>
        <v>12.5666894913</v>
      </c>
      <c r="L1753" s="76" t="str">
        <f>HYPERLINK(AA2 &amp; "/mug/sn_e16a895052da87277f58c33b328479f4/rendering/09.obj", "14.3994216919")</f>
        <v>14.3994216919</v>
      </c>
      <c r="M1753" s="228" t="str">
        <f>HYPERLINK(AA2 &amp; "/mug/sn_e16a895052da87277f58c33b328479f4/rendering/10.obj", "8.25478935242")</f>
        <v>8.25478935242</v>
      </c>
      <c r="N1753" s="251" t="str">
        <f>HYPERLINK(AA2 &amp; "/mug/sn_e16a895052da87277f58c33b328479f4/rendering/11.obj", "7.25136613846")</f>
        <v>7.25136613846</v>
      </c>
      <c r="O1753" s="91" t="str">
        <f>HYPERLINK(AA2 &amp; "/mug/sn_e16a895052da87277f58c33b328479f4/rendering/12.obj", "18.08552742")</f>
        <v>18.08552742</v>
      </c>
      <c r="P1753" s="70" t="str">
        <f>HYPERLINK(AA2 &amp; "/mug/sn_e16a895052da87277f58c33b328479f4/rendering/13.obj", "15.3842868805")</f>
        <v>15.3842868805</v>
      </c>
      <c r="Q1753" s="40" t="str">
        <f>HYPERLINK(AA2 &amp; "/mug/sn_e16a895052da87277f58c33b328479f4/rendering/14.obj", "14.5991363525")</f>
        <v>14.5991363525</v>
      </c>
      <c r="R1753" s="40" t="str">
        <f>HYPERLINK(AA2 &amp; "/mug/sn_e16a895052da87277f58c33b328479f4/rendering/15.obj", "20.6232738495")</f>
        <v>20.6232738495</v>
      </c>
      <c r="S1753" s="128" t="str">
        <f>HYPERLINK(AA2 &amp; "/mug/sn_e16a895052da87277f58c33b328479f4/rendering/16.obj", "10.7562360764")</f>
        <v>10.7562360764</v>
      </c>
      <c r="T1753" s="235" t="str">
        <f>HYPERLINK(AA2 &amp; "/mug/sn_e16a895052da87277f58c33b328479f4/rendering/17.obj", "8.06368923187")</f>
        <v>8.06368923187</v>
      </c>
      <c r="U1753" s="128" t="str">
        <f>HYPERLINK(AA2 &amp; "/mug/sn_e16a895052da87277f58c33b328479f4/rendering/18.obj", "10.7334184647")</f>
        <v>10.7334184647</v>
      </c>
      <c r="V1753" s="105" t="str">
        <f>HYPERLINK(AA2 &amp; "/mug/sn_e16a895052da87277f58c33b328479f4/rendering/19.obj", "8.57877063751")</f>
        <v>8.57877063751</v>
      </c>
      <c r="W1753" s="12" t="s">
        <v>30</v>
      </c>
      <c r="X1753" s="13">
        <v>17.613798260688782</v>
      </c>
      <c r="Y1753" s="13">
        <v>10.18884071171211</v>
      </c>
      <c r="Z1753" s="18">
        <v>0.57845789766151667</v>
      </c>
    </row>
    <row r="1754" spans="1:26" x14ac:dyDescent="0.2">
      <c r="A1754" s="1">
        <v>1752</v>
      </c>
      <c r="B1754" s="2" t="s">
        <v>383</v>
      </c>
      <c r="C1754" s="42" t="str">
        <f>HYPERLINK(AB2 &amp; "/mug/sn_e16a895052da87277f58c33b328479f4/rendering/00.obj", "4.54466430664")</f>
        <v>4.54466430664</v>
      </c>
      <c r="D1754" s="69" t="str">
        <f>HYPERLINK(AB2 &amp; "/mug/sn_e16a895052da87277f58c33b328479f4/rendering/01.obj", "3.87494812012")</f>
        <v>3.87494812012</v>
      </c>
      <c r="E1754" s="48" t="str">
        <f>HYPERLINK(AB2 &amp; "/mug/sn_e16a895052da87277f58c33b328479f4/rendering/02.obj", "3.90364440918")</f>
        <v>3.90364440918</v>
      </c>
      <c r="F1754" s="13" t="str">
        <f>HYPERLINK(AB2 &amp; "/mug/sn_e16a895052da87277f58c33b328479f4/rendering/03.obj", "4.00753723145")</f>
        <v>4.00753723145</v>
      </c>
      <c r="G1754" s="73" t="str">
        <f>HYPERLINK(AB2 &amp; "/mug/sn_e16a895052da87277f58c33b328479f4/rendering/04.obj", "3.85035614014")</f>
        <v>3.85035614014</v>
      </c>
      <c r="H1754" s="72" t="str">
        <f>HYPERLINK(AB2 &amp; "/mug/sn_e16a895052da87277f58c33b328479f4/rendering/05.obj", "3.87367553711")</f>
        <v>3.87367553711</v>
      </c>
      <c r="I1754" s="29" t="str">
        <f>HYPERLINK(AB2 &amp; "/mug/sn_e16a895052da87277f58c33b328479f4/rendering/06.obj", "4.51779510498")</f>
        <v>4.51779510498</v>
      </c>
      <c r="J1754" s="182" t="str">
        <f>HYPERLINK(AB2 &amp; "/mug/sn_e16a895052da87277f58c33b328479f4/rendering/07.obj", "5.33967773437")</f>
        <v>5.33967773437</v>
      </c>
      <c r="K1754" s="67" t="str">
        <f>HYPERLINK(AB2 &amp; "/mug/sn_e16a895052da87277f58c33b328479f4/rendering/08.obj", "3.62508514404")</f>
        <v>3.62508514404</v>
      </c>
      <c r="L1754" s="11" t="str">
        <f>HYPERLINK(AB2 &amp; "/mug/sn_e16a895052da87277f58c33b328479f4/rendering/09.obj", "3.10046203613")</f>
        <v>3.10046203613</v>
      </c>
      <c r="M1754" s="63" t="str">
        <f>HYPERLINK(AB2 &amp; "/mug/sn_e16a895052da87277f58c33b328479f4/rendering/10.obj", "3.52133422852")</f>
        <v>3.52133422852</v>
      </c>
      <c r="N1754" s="37" t="str">
        <f>HYPERLINK(AB2 &amp; "/mug/sn_e16a895052da87277f58c33b328479f4/rendering/11.obj", "4.69463928223")</f>
        <v>4.69463928223</v>
      </c>
      <c r="O1754" s="17" t="str">
        <f>HYPERLINK(AB2 &amp; "/mug/sn_e16a895052da87277f58c33b328479f4/rendering/12.obj", "3.91591033936")</f>
        <v>3.91591033936</v>
      </c>
      <c r="P1754" s="10" t="str">
        <f>HYPERLINK(AB2 &amp; "/mug/sn_e16a895052da87277f58c33b328479f4/rendering/13.obj", "4.22063354492")</f>
        <v>4.22063354492</v>
      </c>
      <c r="Q1754" s="26" t="str">
        <f>HYPERLINK(AB2 &amp; "/mug/sn_e16a895052da87277f58c33b328479f4/rendering/14.obj", "3.74337280273")</f>
        <v>3.74337280273</v>
      </c>
      <c r="R1754" s="72" t="str">
        <f>HYPERLINK(AB2 &amp; "/mug/sn_e16a895052da87277f58c33b328479f4/rendering/15.obj", "3.86639892578")</f>
        <v>3.86639892578</v>
      </c>
      <c r="S1754" s="25" t="str">
        <f>HYPERLINK(AB2 &amp; "/mug/sn_e16a895052da87277f58c33b328479f4/rendering/16.obj", "4.03824401855")</f>
        <v>4.03824401855</v>
      </c>
      <c r="T1754" s="25" t="str">
        <f>HYPERLINK(AB2 &amp; "/mug/sn_e16a895052da87277f58c33b328479f4/rendering/17.obj", "4.03761444092")</f>
        <v>4.03761444092</v>
      </c>
      <c r="U1754" s="26" t="str">
        <f>HYPERLINK(AB2 &amp; "/mug/sn_e16a895052da87277f58c33b328479f4/rendering/18.obj", "3.74134521484")</f>
        <v>3.74134521484</v>
      </c>
      <c r="V1754" s="32" t="str">
        <f>HYPERLINK(AB2 &amp; "/mug/sn_e16a895052da87277f58c33b328479f4/rendering/19.obj", "3.57408325195")</f>
        <v>3.57408325195</v>
      </c>
      <c r="W1754" s="12" t="s">
        <v>31</v>
      </c>
      <c r="X1754" s="13">
        <v>3.9995710906982418</v>
      </c>
      <c r="Y1754" s="13">
        <v>0.47301428314690069</v>
      </c>
      <c r="Z1754" s="71">
        <v>0.11826625216063411</v>
      </c>
    </row>
    <row r="1755" spans="1:26" x14ac:dyDescent="0.2">
      <c r="A1755" s="1">
        <v>1753</v>
      </c>
      <c r="B1755" s="2" t="s">
        <v>383</v>
      </c>
      <c r="C1755" s="64" t="str">
        <f>HYPERLINK(AB2 &amp; "/mug/sn_e16a895052da87277f58c33b328479f4/rendering/00.obj", "8.0681219101")</f>
        <v>8.0681219101</v>
      </c>
      <c r="D1755" s="10" t="str">
        <f>HYPERLINK(AB2 &amp; "/mug/sn_e16a895052da87277f58c33b328479f4/rendering/01.obj", "7.29793024063")</f>
        <v>7.29793024063</v>
      </c>
      <c r="E1755" s="69" t="str">
        <f>HYPERLINK(AB2 &amp; "/mug/sn_e16a895052da87277f58c33b328479f4/rendering/02.obj", "6.70638370514")</f>
        <v>6.70638370514</v>
      </c>
      <c r="F1755" s="69" t="str">
        <f>HYPERLINK(AB2 &amp; "/mug/sn_e16a895052da87277f58c33b328479f4/rendering/03.obj", "6.70797538757")</f>
        <v>6.70797538757</v>
      </c>
      <c r="G1755" s="30" t="str">
        <f>HYPERLINK(AB2 &amp; "/mug/sn_e16a895052da87277f58c33b328479f4/rendering/04.obj", "6.96281194687")</f>
        <v>6.96281194687</v>
      </c>
      <c r="H1755" s="28" t="str">
        <f>HYPERLINK(AB2 &amp; "/mug/sn_e16a895052da87277f58c33b328479f4/rendering/05.obj", "7.69740629196")</f>
        <v>7.69740629196</v>
      </c>
      <c r="I1755" s="42" t="str">
        <f>HYPERLINK(AB2 &amp; "/mug/sn_e16a895052da87277f58c33b328479f4/rendering/06.obj", "7.86786460876")</f>
        <v>7.86786460876</v>
      </c>
      <c r="J1755" s="66" t="str">
        <f>HYPERLINK(AB2 &amp; "/mug/sn_e16a895052da87277f58c33b328479f4/rendering/07.obj", "8.04652118683")</f>
        <v>8.04652118683</v>
      </c>
      <c r="K1755" s="71" t="str">
        <f>HYPERLINK(AB2 &amp; "/mug/sn_e16a895052da87277f58c33b328479f4/rendering/08.obj", "6.09943914413")</f>
        <v>6.09943914413</v>
      </c>
      <c r="L1755" s="106" t="str">
        <f>HYPERLINK(AB2 &amp; "/mug/sn_e16a895052da87277f58c33b328479f4/rendering/09.obj", "6.12628889084")</f>
        <v>6.12628889084</v>
      </c>
      <c r="M1755" s="133" t="str">
        <f>HYPERLINK(AB2 &amp; "/mug/sn_e16a895052da87277f58c33b328479f4/rendering/10.obj", "6.21081781387")</f>
        <v>6.21081781387</v>
      </c>
      <c r="N1755" s="42" t="str">
        <f>HYPERLINK(AB2 &amp; "/mug/sn_e16a895052da87277f58c33b328479f4/rendering/11.obj", "7.86337089539")</f>
        <v>7.86337089539</v>
      </c>
      <c r="O1755" s="83" t="str">
        <f>HYPERLINK(AB2 &amp; "/mug/sn_e16a895052da87277f58c33b328479f4/rendering/12.obj", "5.87765598297")</f>
        <v>5.87765598297</v>
      </c>
      <c r="P1755" s="72" t="str">
        <f>HYPERLINK(AB2 &amp; "/mug/sn_e16a895052da87277f58c33b328479f4/rendering/13.obj", "7.1481461525")</f>
        <v>7.1481461525</v>
      </c>
      <c r="Q1755" s="78" t="str">
        <f>HYPERLINK(AB2 &amp; "/mug/sn_e16a895052da87277f58c33b328479f4/rendering/14.obj", "6.49181556702")</f>
        <v>6.49181556702</v>
      </c>
      <c r="R1755" s="133" t="str">
        <f>HYPERLINK(AB2 &amp; "/mug/sn_e16a895052da87277f58c33b328479f4/rendering/15.obj", "6.20462226868")</f>
        <v>6.20462226868</v>
      </c>
      <c r="S1755" s="30" t="str">
        <f>HYPERLINK(AB2 &amp; "/mug/sn_e16a895052da87277f58c33b328479f4/rendering/16.obj", "6.9617357254")</f>
        <v>6.9617357254</v>
      </c>
      <c r="T1755" s="17" t="str">
        <f>HYPERLINK(AB2 &amp; "/mug/sn_e16a895052da87277f58c33b328479f4/rendering/17.obj", "7.07184410095")</f>
        <v>7.07184410095</v>
      </c>
      <c r="U1755" s="26" t="str">
        <f>HYPERLINK(AB2 &amp; "/mug/sn_e16a895052da87277f58c33b328479f4/rendering/18.obj", "6.48613500595")</f>
        <v>6.48613500595</v>
      </c>
      <c r="V1755" s="35" t="str">
        <f>HYPERLINK(AB2 &amp; "/mug/sn_e16a895052da87277f58c33b328479f4/rendering/19.obj", "6.52277088165")</f>
        <v>6.52277088165</v>
      </c>
      <c r="W1755" s="12" t="s">
        <v>32</v>
      </c>
      <c r="X1755" s="13">
        <v>6.9209828853607176</v>
      </c>
      <c r="Y1755" s="13">
        <v>0.67918795718380554</v>
      </c>
      <c r="Z1755" s="110">
        <v>9.8134610131810296E-2</v>
      </c>
    </row>
    <row r="1756" spans="1:26" x14ac:dyDescent="0.2">
      <c r="A1756" s="1">
        <v>1754</v>
      </c>
      <c r="B1756" s="2" t="s">
        <v>383</v>
      </c>
      <c r="C1756" s="13" t="str">
        <f>HYPERLINK(AC2 &amp; "/mug/sn_e16a895052da87277f58c33b328479f4/rendering/00.xyz", "0.0")</f>
        <v>0.0</v>
      </c>
      <c r="D1756" s="13" t="str">
        <f>HYPERLINK(AC2 &amp; "/mug/sn_e16a895052da87277f58c33b328479f4/rendering/01.xyz", "0.0")</f>
        <v>0.0</v>
      </c>
      <c r="E1756" s="13" t="str">
        <f>HYPERLINK(AC2 &amp; "/mug/sn_e16a895052da87277f58c33b328479f4/rendering/02.xyz", "0.0")</f>
        <v>0.0</v>
      </c>
      <c r="F1756" s="13" t="str">
        <f>HYPERLINK(AC2 &amp; "/mug/sn_e16a895052da87277f58c33b328479f4/rendering/03.xyz", "0.0")</f>
        <v>0.0</v>
      </c>
      <c r="G1756" s="13" t="str">
        <f>HYPERLINK(AC2 &amp; "/mug/sn_e16a895052da87277f58c33b328479f4/rendering/04.xyz", "0.0")</f>
        <v>0.0</v>
      </c>
      <c r="H1756" s="13" t="str">
        <f>HYPERLINK(AC2 &amp; "/mug/sn_e16a895052da87277f58c33b328479f4/rendering/05.xyz", "0.0")</f>
        <v>0.0</v>
      </c>
      <c r="I1756" s="13" t="str">
        <f>HYPERLINK(AC2 &amp; "/mug/sn_e16a895052da87277f58c33b328479f4/rendering/06.xyz", "0.0")</f>
        <v>0.0</v>
      </c>
      <c r="J1756" s="13" t="str">
        <f>HYPERLINK(AC2 &amp; "/mug/sn_e16a895052da87277f58c33b328479f4/rendering/07.xyz", "0.0")</f>
        <v>0.0</v>
      </c>
      <c r="K1756" s="13" t="str">
        <f>HYPERLINK(AC2 &amp; "/mug/sn_e16a895052da87277f58c33b328479f4/rendering/08.xyz", "0.0")</f>
        <v>0.0</v>
      </c>
      <c r="L1756" s="13" t="str">
        <f>HYPERLINK(AC2 &amp; "/mug/sn_e16a895052da87277f58c33b328479f4/rendering/09.xyz", "0.0")</f>
        <v>0.0</v>
      </c>
      <c r="M1756" s="13" t="str">
        <f>HYPERLINK(AC2 &amp; "/mug/sn_e16a895052da87277f58c33b328479f4/rendering/10.xyz", "0.0")</f>
        <v>0.0</v>
      </c>
      <c r="N1756" s="13" t="str">
        <f>HYPERLINK(AC2 &amp; "/mug/sn_e16a895052da87277f58c33b328479f4/rendering/11.xyz", "0.0")</f>
        <v>0.0</v>
      </c>
      <c r="O1756" s="13" t="str">
        <f>HYPERLINK(AC2 &amp; "/mug/sn_e16a895052da87277f58c33b328479f4/rendering/12.xyz", "0.0")</f>
        <v>0.0</v>
      </c>
      <c r="P1756" s="13" t="str">
        <f>HYPERLINK(AC2 &amp; "/mug/sn_e16a895052da87277f58c33b328479f4/rendering/13.xyz", "0.0")</f>
        <v>0.0</v>
      </c>
      <c r="Q1756" s="13" t="str">
        <f>HYPERLINK(AC2 &amp; "/mug/sn_e16a895052da87277f58c33b328479f4/rendering/14.xyz", "0.0")</f>
        <v>0.0</v>
      </c>
      <c r="R1756" s="13" t="str">
        <f>HYPERLINK(AC2 &amp; "/mug/sn_e16a895052da87277f58c33b328479f4/rendering/15.xyz", "0.0")</f>
        <v>0.0</v>
      </c>
      <c r="S1756" s="13" t="str">
        <f>HYPERLINK(AC2 &amp; "/mug/sn_e16a895052da87277f58c33b328479f4/rendering/16.xyz", "0.0")</f>
        <v>0.0</v>
      </c>
      <c r="T1756" s="13" t="str">
        <f>HYPERLINK(AC2 &amp; "/mug/sn_e16a895052da87277f58c33b328479f4/rendering/17.xyz", "0.0")</f>
        <v>0.0</v>
      </c>
      <c r="U1756" s="13" t="str">
        <f>HYPERLINK(AC2 &amp; "/mug/sn_e16a895052da87277f58c33b328479f4/rendering/18.xyz", "0.0")</f>
        <v>0.0</v>
      </c>
      <c r="V1756" s="13" t="str">
        <f>HYPERLINK(AC2 &amp; "/mug/sn_e16a895052da87277f58c33b328479f4/rendering/19.xyz", "0.0")</f>
        <v>0.0</v>
      </c>
      <c r="W1756" s="12" t="s">
        <v>33</v>
      </c>
      <c r="X1756" s="13">
        <v>0</v>
      </c>
      <c r="Y1756" s="13">
        <v>0</v>
      </c>
      <c r="Z1756" s="13">
        <v>0</v>
      </c>
    </row>
    <row r="1757" spans="1:26" x14ac:dyDescent="0.2">
      <c r="A1757" s="1">
        <v>1755</v>
      </c>
      <c r="B1757" s="2" t="s">
        <v>384</v>
      </c>
      <c r="C1757" s="40" t="str">
        <f>HYPERLINK(AA2 &amp; "/mug/sn_e33dcc05e5a338ceb9946438ed40eeb9/rendering/00.obj", "5.73270263672")</f>
        <v>5.73270263672</v>
      </c>
      <c r="D1757" s="7" t="str">
        <f>HYPERLINK(AA2 &amp; "/mug/sn_e33dcc05e5a338ceb9946438ed40eeb9/rendering/01.obj", "4.99869567871")</f>
        <v>4.99869567871</v>
      </c>
      <c r="E1757" s="28" t="str">
        <f>HYPERLINK(AA2 &amp; "/mug/sn_e33dcc05e5a338ceb9946438ed40eeb9/rendering/02.obj", "7.68832519531")</f>
        <v>7.68832519531</v>
      </c>
      <c r="F1757" s="148" t="str">
        <f>HYPERLINK(AA2 &amp; "/mug/sn_e33dcc05e5a338ceb9946438ed40eeb9/rendering/03.obj", "10.2706542969")</f>
        <v>10.2706542969</v>
      </c>
      <c r="G1757" s="150" t="str">
        <f>HYPERLINK(AA2 &amp; "/mug/sn_e33dcc05e5a338ceb9946438ed40eeb9/rendering/04.obj", "3.20319152832")</f>
        <v>3.20319152832</v>
      </c>
      <c r="H1757" s="59" t="str">
        <f>HYPERLINK(AA2 &amp; "/mug/sn_e33dcc05e5a338ceb9946438ed40eeb9/rendering/05.obj", "5.25973022461")</f>
        <v>5.25973022461</v>
      </c>
      <c r="I1757" s="251" t="str">
        <f>HYPERLINK(AA2 &amp; "/mug/sn_e33dcc05e5a338ceb9946438ed40eeb9/rendering/06.obj", "2.85092102051")</f>
        <v>2.85092102051</v>
      </c>
      <c r="J1757" s="19" t="str">
        <f>HYPERLINK(AA2 &amp; "/mug/sn_e33dcc05e5a338ceb9946438ed40eeb9/rendering/07.obj", "5.1071383667")</f>
        <v>5.1071383667</v>
      </c>
      <c r="K1757" s="162" t="str">
        <f>HYPERLINK(AA2 &amp; "/mug/sn_e33dcc05e5a338ceb9946438ed40eeb9/rendering/08.obj", "9.84707397461")</f>
        <v>9.84707397461</v>
      </c>
      <c r="L1757" s="60" t="str">
        <f>HYPERLINK(AA2 &amp; "/mug/sn_e33dcc05e5a338ceb9946438ed40eeb9/rendering/09.obj", "6.56278686523")</f>
        <v>6.56278686523</v>
      </c>
      <c r="M1757" s="63" t="str">
        <f>HYPERLINK(AA2 &amp; "/mug/sn_e33dcc05e5a338ceb9946438ed40eeb9/rendering/10.obj", "6.09104980469")</f>
        <v>6.09104980469</v>
      </c>
      <c r="N1757" s="147" t="str">
        <f>HYPERLINK(AA2 &amp; "/mug/sn_e33dcc05e5a338ceb9946438ed40eeb9/rendering/11.obj", "3.55214477539")</f>
        <v>3.55214477539</v>
      </c>
      <c r="O1757" s="179" t="str">
        <f>HYPERLINK(AA2 &amp; "/mug/sn_e33dcc05e5a338ceb9946438ed40eeb9/rendering/12.obj", "9.88127197266")</f>
        <v>9.88127197266</v>
      </c>
      <c r="P1757" s="201" t="str">
        <f>HYPERLINK(AA2 &amp; "/mug/sn_e33dcc05e5a338ceb9946438ed40eeb9/rendering/13.obj", "10.9301208496")</f>
        <v>10.9301208496</v>
      </c>
      <c r="Q1757" s="20" t="str">
        <f>HYPERLINK(AA2 &amp; "/mug/sn_e33dcc05e5a338ceb9946438ed40eeb9/rendering/14.obj", "13.2894470215")</f>
        <v>13.2894470215</v>
      </c>
      <c r="R1757" s="59" t="str">
        <f>HYPERLINK(AA2 &amp; "/mug/sn_e33dcc05e5a338ceb9946438ed40eeb9/rendering/15.obj", "5.2465435791")</f>
        <v>5.2465435791</v>
      </c>
      <c r="S1757" s="205" t="str">
        <f>HYPERLINK(AA2 &amp; "/mug/sn_e33dcc05e5a338ceb9946438ed40eeb9/rendering/16.obj", "11.5322338867")</f>
        <v>11.5322338867</v>
      </c>
      <c r="T1757" s="32" t="str">
        <f>HYPERLINK(AA2 &amp; "/mug/sn_e33dcc05e5a338ceb9946438ed40eeb9/rendering/17.obj", "6.19243164063")</f>
        <v>6.19243164063</v>
      </c>
      <c r="U1757" s="96" t="str">
        <f>HYPERLINK(AA2 &amp; "/mug/sn_e33dcc05e5a338ceb9946438ed40eeb9/rendering/18.obj", "4.39886505127")</f>
        <v>4.39886505127</v>
      </c>
      <c r="V1757" s="134" t="str">
        <f>HYPERLINK(AA2 &amp; "/mug/sn_e33dcc05e5a338ceb9946438ed40eeb9/rendering/19.obj", "5.67478637695")</f>
        <v>5.67478637695</v>
      </c>
      <c r="W1757" s="12" t="s">
        <v>29</v>
      </c>
      <c r="X1757" s="13">
        <v>6.9155057373046871</v>
      </c>
      <c r="Y1757" s="13">
        <v>2.9324660262087132</v>
      </c>
      <c r="Z1757" s="162">
        <v>0.42404216518684268</v>
      </c>
    </row>
    <row r="1758" spans="1:26" x14ac:dyDescent="0.2">
      <c r="A1758" s="1">
        <v>1756</v>
      </c>
      <c r="B1758" s="2" t="s">
        <v>384</v>
      </c>
      <c r="C1758" s="88" t="str">
        <f>HYPERLINK(AA2 &amp; "/mug/sn_e33dcc05e5a338ceb9946438ed40eeb9/rendering/00.obj", "12.7322826385")</f>
        <v>12.7322826385</v>
      </c>
      <c r="D1758" s="185" t="str">
        <f>HYPERLINK(AA2 &amp; "/mug/sn_e33dcc05e5a338ceb9946438ed40eeb9/rendering/01.obj", "10.5356998444")</f>
        <v>10.5356998444</v>
      </c>
      <c r="E1758" s="213" t="str">
        <f>HYPERLINK(AA2 &amp; "/mug/sn_e33dcc05e5a338ceb9946438ed40eeb9/rendering/02.obj", "23.8826084137")</f>
        <v>23.8826084137</v>
      </c>
      <c r="F1758" s="165" t="str">
        <f>HYPERLINK(AA2 &amp; "/mug/sn_e33dcc05e5a338ceb9946438ed40eeb9/rendering/03.obj", "27.0028190613")</f>
        <v>27.0028190613</v>
      </c>
      <c r="G1758" s="237" t="str">
        <f>HYPERLINK(AA2 &amp; "/mug/sn_e33dcc05e5a338ceb9946438ed40eeb9/rendering/04.obj", "5.21608114243")</f>
        <v>5.21608114243</v>
      </c>
      <c r="H1758" s="96" t="str">
        <f>HYPERLINK(AA2 &amp; "/mug/sn_e33dcc05e5a338ceb9946438ed40eeb9/rendering/05.obj", "10.1955509186")</f>
        <v>10.1955509186</v>
      </c>
      <c r="I1758" s="215" t="str">
        <f>HYPERLINK(AA2 &amp; "/mug/sn_e33dcc05e5a338ceb9946438ed40eeb9/rendering/06.obj", "5.27024459839")</f>
        <v>5.27024459839</v>
      </c>
      <c r="J1758" s="119" t="str">
        <f>HYPERLINK(AA2 &amp; "/mug/sn_e33dcc05e5a338ceb9946438ed40eeb9/rendering/07.obj", "11.7188110352")</f>
        <v>11.7188110352</v>
      </c>
      <c r="K1758" s="82" t="str">
        <f>HYPERLINK(AA2 &amp; "/mug/sn_e33dcc05e5a338ceb9946438ed40eeb9/rendering/08.obj", "19.2676315308")</f>
        <v>19.2676315308</v>
      </c>
      <c r="L1758" s="99" t="str">
        <f>HYPERLINK(AA2 &amp; "/mug/sn_e33dcc05e5a338ceb9946438ed40eeb9/rendering/09.obj", "11.6113128662")</f>
        <v>11.6113128662</v>
      </c>
      <c r="M1758" s="7" t="str">
        <f>HYPERLINK(AA2 &amp; "/mug/sn_e33dcc05e5a338ceb9946438ed40eeb9/rendering/10.obj", "11.5262413025")</f>
        <v>11.5262413025</v>
      </c>
      <c r="N1758" s="246" t="str">
        <f>HYPERLINK(AA2 &amp; "/mug/sn_e33dcc05e5a338ceb9946438ed40eeb9/rendering/11.obj", "6.24498939514")</f>
        <v>6.24498939514</v>
      </c>
      <c r="O1758" s="244" t="str">
        <f>HYPERLINK(AA2 &amp; "/mug/sn_e33dcc05e5a338ceb9946438ed40eeb9/rendering/12.obj", "25.7752037048")</f>
        <v>25.7752037048</v>
      </c>
      <c r="P1758" s="65" t="str">
        <f>HYPERLINK(AA2 &amp; "/mug/sn_e33dcc05e5a338ceb9946438ed40eeb9/rendering/13.obj", "18.1099681854")</f>
        <v>18.1099681854</v>
      </c>
      <c r="Q1758" s="20" t="str">
        <f>HYPERLINK(AA2 &amp; "/mug/sn_e33dcc05e5a338ceb9946438ed40eeb9/rendering/14.obj", "51.7070007324")</f>
        <v>51.7070007324</v>
      </c>
      <c r="R1758" s="182" t="str">
        <f>HYPERLINK(AA2 &amp; "/mug/sn_e33dcc05e5a338ceb9946438ed40eeb9/rendering/15.obj", "10.6572227478")</f>
        <v>10.6572227478</v>
      </c>
      <c r="S1758" s="183" t="str">
        <f>HYPERLINK(AA2 &amp; "/mug/sn_e33dcc05e5a338ceb9946438ed40eeb9/rendering/16.obj", "27.9648151398")</f>
        <v>27.9648151398</v>
      </c>
      <c r="T1758" s="95" t="str">
        <f>HYPERLINK(AA2 &amp; "/mug/sn_e33dcc05e5a338ceb9946438ed40eeb9/rendering/17.obj", "11.5013151169")</f>
        <v>11.5013151169</v>
      </c>
      <c r="U1758" s="148" t="str">
        <f>HYPERLINK(AA2 &amp; "/mug/sn_e33dcc05e5a338ceb9946438ed40eeb9/rendering/18.obj", "8.24091720581")</f>
        <v>8.24091720581</v>
      </c>
      <c r="V1758" s="96" t="str">
        <f>HYPERLINK(AA2 &amp; "/mug/sn_e33dcc05e5a338ceb9946438ed40eeb9/rendering/19.obj", "10.1937437057")</f>
        <v>10.1937437057</v>
      </c>
      <c r="W1758" s="12" t="s">
        <v>30</v>
      </c>
      <c r="X1758" s="13">
        <v>15.9677229642868</v>
      </c>
      <c r="Y1758" s="13">
        <v>10.754346684290191</v>
      </c>
      <c r="Z1758" s="237">
        <v>0.67350534001267548</v>
      </c>
    </row>
    <row r="1759" spans="1:26" x14ac:dyDescent="0.2">
      <c r="A1759" s="1">
        <v>1757</v>
      </c>
      <c r="B1759" s="2" t="s">
        <v>384</v>
      </c>
      <c r="C1759" s="56" t="str">
        <f>HYPERLINK(AB2 &amp; "/mug/sn_e33dcc05e5a338ceb9946438ed40eeb9/rendering/00.obj", "2.41368408203")</f>
        <v>2.41368408203</v>
      </c>
      <c r="D1759" s="217" t="str">
        <f>HYPERLINK(AB2 &amp; "/mug/sn_e33dcc05e5a338ceb9946438ed40eeb9/rendering/01.obj", "5.68649780273")</f>
        <v>5.68649780273</v>
      </c>
      <c r="E1759" s="117" t="str">
        <f>HYPERLINK(AB2 &amp; "/mug/sn_e33dcc05e5a338ceb9946438ed40eeb9/rendering/02.obj", "2.87063415527")</f>
        <v>2.87063415527</v>
      </c>
      <c r="F1759" s="93" t="str">
        <f>HYPERLINK(AB2 &amp; "/mug/sn_e33dcc05e5a338ceb9946438ed40eeb9/rendering/03.obj", "3.00158447266")</f>
        <v>3.00158447266</v>
      </c>
      <c r="G1759" s="46" t="str">
        <f>HYPERLINK(AB2 &amp; "/mug/sn_e33dcc05e5a338ceb9946438ed40eeb9/rendering/04.obj", "3.42548950195")</f>
        <v>3.42548950195</v>
      </c>
      <c r="H1759" s="23" t="str">
        <f>HYPERLINK(AB2 &amp; "/mug/sn_e33dcc05e5a338ceb9946438ed40eeb9/rendering/05.obj", "3.35517089844")</f>
        <v>3.35517089844</v>
      </c>
      <c r="I1759" s="51" t="str">
        <f>HYPERLINK(AB2 &amp; "/mug/sn_e33dcc05e5a338ceb9946438ed40eeb9/rendering/06.obj", "3.21024475098")</f>
        <v>3.21024475098</v>
      </c>
      <c r="J1759" s="73" t="str">
        <f>HYPERLINK(AB2 &amp; "/mug/sn_e33dcc05e5a338ceb9946438ed40eeb9/rendering/07.obj", "3.61420684814")</f>
        <v>3.61420684814</v>
      </c>
      <c r="K1759" s="85" t="str">
        <f>HYPERLINK(AB2 &amp; "/mug/sn_e33dcc05e5a338ceb9946438ed40eeb9/rendering/08.obj", "2.45703109741")</f>
        <v>2.45703109741</v>
      </c>
      <c r="L1759" s="60" t="str">
        <f>HYPERLINK(AB2 &amp; "/mug/sn_e33dcc05e5a338ceb9946438ed40eeb9/rendering/09.obj", "3.30604217529")</f>
        <v>3.30604217529</v>
      </c>
      <c r="M1759" s="76" t="str">
        <f>HYPERLINK(AB2 &amp; "/mug/sn_e33dcc05e5a338ceb9946438ed40eeb9/rendering/10.obj", "2.8489239502")</f>
        <v>2.8489239502</v>
      </c>
      <c r="N1759" s="51" t="str">
        <f>HYPERLINK(AB2 &amp; "/mug/sn_e33dcc05e5a338ceb9946438ed40eeb9/rendering/11.obj", "3.20919250488")</f>
        <v>3.20919250488</v>
      </c>
      <c r="O1759" s="19" t="str">
        <f>HYPERLINK(AB2 &amp; "/mug/sn_e33dcc05e5a338ceb9946438ed40eeb9/rendering/12.obj", "4.40313049316")</f>
        <v>4.40313049316</v>
      </c>
      <c r="P1759" s="20" t="str">
        <f>HYPERLINK(AB2 &amp; "/mug/sn_e33dcc05e5a338ceb9946438ed40eeb9/rendering/13.obj", "7.6817779541")</f>
        <v>7.6817779541</v>
      </c>
      <c r="Q1759" s="98" t="str">
        <f>HYPERLINK(AB2 &amp; "/mug/sn_e33dcc05e5a338ceb9946438ed40eeb9/rendering/14.obj", "2.68624511719")</f>
        <v>2.68624511719</v>
      </c>
      <c r="R1759" s="13" t="str">
        <f>HYPERLINK(AB2 &amp; "/mug/sn_e33dcc05e5a338ceb9946438ed40eeb9/rendering/15.obj", "3.47731414795")</f>
        <v>3.47731414795</v>
      </c>
      <c r="S1759" s="68" t="str">
        <f>HYPERLINK(AB2 &amp; "/mug/sn_e33dcc05e5a338ceb9946438ed40eeb9/rendering/16.obj", "3.34059448242")</f>
        <v>3.34059448242</v>
      </c>
      <c r="T1759" s="50" t="str">
        <f>HYPERLINK(AB2 &amp; "/mug/sn_e33dcc05e5a338ceb9946438ed40eeb9/rendering/17.obj", "2.79328948975")</f>
        <v>2.79328948975</v>
      </c>
      <c r="U1759" s="67" t="str">
        <f>HYPERLINK(AB2 &amp; "/mug/sn_e33dcc05e5a338ceb9946438ed40eeb9/rendering/18.obj", "3.16200592041")</f>
        <v>3.16200592041</v>
      </c>
      <c r="V1759" s="50" t="str">
        <f>HYPERLINK(AB2 &amp; "/mug/sn_e33dcc05e5a338ceb9946438ed40eeb9/rendering/19.obj", "2.79782470703")</f>
        <v>2.79782470703</v>
      </c>
      <c r="W1759" s="12" t="s">
        <v>31</v>
      </c>
      <c r="X1759" s="13">
        <v>3.4870442276000979</v>
      </c>
      <c r="Y1759" s="13">
        <v>1.1928365744726599</v>
      </c>
      <c r="Z1759" s="149">
        <v>0.34207669780363259</v>
      </c>
    </row>
    <row r="1760" spans="1:26" x14ac:dyDescent="0.2">
      <c r="A1760" s="1">
        <v>1758</v>
      </c>
      <c r="B1760" s="2" t="s">
        <v>384</v>
      </c>
      <c r="C1760" s="118" t="str">
        <f>HYPERLINK(AB2 &amp; "/mug/sn_e33dcc05e5a338ceb9946438ed40eeb9/rendering/00.obj", "4.05035066605")</f>
        <v>4.05035066605</v>
      </c>
      <c r="D1760" s="112" t="str">
        <f>HYPERLINK(AB2 &amp; "/mug/sn_e33dcc05e5a338ceb9946438ed40eeb9/rendering/01.obj", "9.12302970886")</f>
        <v>9.12302970886</v>
      </c>
      <c r="E1760" s="32" t="str">
        <f>HYPERLINK(AB2 &amp; "/mug/sn_e33dcc05e5a338ceb9946438ed40eeb9/rendering/02.obj", "5.11451053619")</f>
        <v>5.11451053619</v>
      </c>
      <c r="F1760" s="63" t="str">
        <f>HYPERLINK(AB2 &amp; "/mug/sn_e33dcc05e5a338ceb9946438ed40eeb9/rendering/03.obj", "5.03544473648")</f>
        <v>5.03544473648</v>
      </c>
      <c r="G1760" s="36" t="str">
        <f>HYPERLINK(AB2 &amp; "/mug/sn_e33dcc05e5a338ceb9946438ed40eeb9/rendering/04.obj", "4.49439001083")</f>
        <v>4.49439001083</v>
      </c>
      <c r="H1760" s="6" t="str">
        <f>HYPERLINK(AB2 &amp; "/mug/sn_e33dcc05e5a338ceb9946438ed40eeb9/rendering/05.obj", "5.4523396492")</f>
        <v>5.4523396492</v>
      </c>
      <c r="I1760" s="88" t="str">
        <f>HYPERLINK(AB2 &amp; "/mug/sn_e33dcc05e5a338ceb9946438ed40eeb9/rendering/06.obj", "4.57041311264")</f>
        <v>4.57041311264</v>
      </c>
      <c r="J1760" s="38" t="str">
        <f>HYPERLINK(AB2 &amp; "/mug/sn_e33dcc05e5a338ceb9946438ed40eeb9/rendering/07.obj", "5.2053155899")</f>
        <v>5.2053155899</v>
      </c>
      <c r="K1760" s="170" t="str">
        <f>HYPERLINK(AB2 &amp; "/mug/sn_e33dcc05e5a338ceb9946438ed40eeb9/rendering/08.obj", "4.27286243439")</f>
        <v>4.27286243439</v>
      </c>
      <c r="L1760" s="74" t="str">
        <f>HYPERLINK(AB2 &amp; "/mug/sn_e33dcc05e5a338ceb9946438ed40eeb9/rendering/09.obj", "5.80678081512")</f>
        <v>5.80678081512</v>
      </c>
      <c r="M1760" s="76" t="str">
        <f>HYPERLINK(AB2 &amp; "/mug/sn_e33dcc05e5a338ceb9946438ed40eeb9/rendering/10.obj", "4.67152309418")</f>
        <v>4.67152309418</v>
      </c>
      <c r="N1760" s="110" t="str">
        <f>HYPERLINK(AB2 &amp; "/mug/sn_e33dcc05e5a338ceb9946438ed40eeb9/rendering/11.obj", "5.16218471527")</f>
        <v>5.16218471527</v>
      </c>
      <c r="O1760" s="103" t="str">
        <f>HYPERLINK(AB2 &amp; "/mug/sn_e33dcc05e5a338ceb9946438ed40eeb9/rendering/12.obj", "7.57790279388")</f>
        <v>7.57790279388</v>
      </c>
      <c r="P1760" s="20" t="str">
        <f>HYPERLINK(AB2 &amp; "/mug/sn_e33dcc05e5a338ceb9946438ed40eeb9/rendering/13.obj", "14.777677536")</f>
        <v>14.777677536</v>
      </c>
      <c r="Q1760" s="55" t="str">
        <f>HYPERLINK(AB2 &amp; "/mug/sn_e33dcc05e5a338ceb9946438ed40eeb9/rendering/14.obj", "4.62484502792")</f>
        <v>4.62484502792</v>
      </c>
      <c r="R1760" s="65" t="str">
        <f>HYPERLINK(AB2 &amp; "/mug/sn_e33dcc05e5a338ceb9946438ed40eeb9/rendering/15.obj", "4.95783853531")</f>
        <v>4.95783853531</v>
      </c>
      <c r="S1760" s="94" t="str">
        <f>HYPERLINK(AB2 &amp; "/mug/sn_e33dcc05e5a338ceb9946438ed40eeb9/rendering/16.obj", "5.29441404343")</f>
        <v>5.29441404343</v>
      </c>
      <c r="T1760" s="37" t="str">
        <f>HYPERLINK(AB2 &amp; "/mug/sn_e33dcc05e5a338ceb9946438ed40eeb9/rendering/17.obj", "4.72755670547")</f>
        <v>4.72755670547</v>
      </c>
      <c r="U1760" s="80" t="str">
        <f>HYPERLINK(AB2 &amp; "/mug/sn_e33dcc05e5a338ceb9946438ed40eeb9/rendering/18.obj", "4.8692035675")</f>
        <v>4.8692035675</v>
      </c>
      <c r="V1760" s="55" t="str">
        <f>HYPERLINK(AB2 &amp; "/mug/sn_e33dcc05e5a338ceb9946438ed40eeb9/rendering/19.obj", "4.60904836655")</f>
        <v>4.60904836655</v>
      </c>
      <c r="W1760" s="12" t="s">
        <v>32</v>
      </c>
      <c r="X1760" s="13">
        <v>5.7198815822601317</v>
      </c>
      <c r="Y1760" s="13">
        <v>2.369321630622677</v>
      </c>
      <c r="Z1760" s="157">
        <v>0.4142256437565045</v>
      </c>
    </row>
    <row r="1761" spans="1:26" x14ac:dyDescent="0.2">
      <c r="A1761" s="1">
        <v>1759</v>
      </c>
      <c r="B1761" s="2" t="s">
        <v>384</v>
      </c>
      <c r="C1761" s="13" t="str">
        <f>HYPERLINK(AC2 &amp; "/mug/sn_e33dcc05e5a338ceb9946438ed40eeb9/rendering/00.xyz", "0.0")</f>
        <v>0.0</v>
      </c>
      <c r="D1761" s="13" t="str">
        <f>HYPERLINK(AC2 &amp; "/mug/sn_e33dcc05e5a338ceb9946438ed40eeb9/rendering/01.xyz", "0.0")</f>
        <v>0.0</v>
      </c>
      <c r="E1761" s="13" t="str">
        <f>HYPERLINK(AC2 &amp; "/mug/sn_e33dcc05e5a338ceb9946438ed40eeb9/rendering/02.xyz", "0.0")</f>
        <v>0.0</v>
      </c>
      <c r="F1761" s="13" t="str">
        <f>HYPERLINK(AC2 &amp; "/mug/sn_e33dcc05e5a338ceb9946438ed40eeb9/rendering/03.xyz", "0.0")</f>
        <v>0.0</v>
      </c>
      <c r="G1761" s="13" t="str">
        <f>HYPERLINK(AC2 &amp; "/mug/sn_e33dcc05e5a338ceb9946438ed40eeb9/rendering/04.xyz", "0.0")</f>
        <v>0.0</v>
      </c>
      <c r="H1761" s="13" t="str">
        <f>HYPERLINK(AC2 &amp; "/mug/sn_e33dcc05e5a338ceb9946438ed40eeb9/rendering/05.xyz", "0.0")</f>
        <v>0.0</v>
      </c>
      <c r="I1761" s="13" t="str">
        <f>HYPERLINK(AC2 &amp; "/mug/sn_e33dcc05e5a338ceb9946438ed40eeb9/rendering/06.xyz", "0.0")</f>
        <v>0.0</v>
      </c>
      <c r="J1761" s="13" t="str">
        <f>HYPERLINK(AC2 &amp; "/mug/sn_e33dcc05e5a338ceb9946438ed40eeb9/rendering/07.xyz", "0.0")</f>
        <v>0.0</v>
      </c>
      <c r="K1761" s="13" t="str">
        <f>HYPERLINK(AC2 &amp; "/mug/sn_e33dcc05e5a338ceb9946438ed40eeb9/rendering/08.xyz", "0.0")</f>
        <v>0.0</v>
      </c>
      <c r="L1761" s="13" t="str">
        <f>HYPERLINK(AC2 &amp; "/mug/sn_e33dcc05e5a338ceb9946438ed40eeb9/rendering/09.xyz", "0.0")</f>
        <v>0.0</v>
      </c>
      <c r="M1761" s="13" t="str">
        <f>HYPERLINK(AC2 &amp; "/mug/sn_e33dcc05e5a338ceb9946438ed40eeb9/rendering/10.xyz", "0.0")</f>
        <v>0.0</v>
      </c>
      <c r="N1761" s="13" t="str">
        <f>HYPERLINK(AC2 &amp; "/mug/sn_e33dcc05e5a338ceb9946438ed40eeb9/rendering/11.xyz", "0.0")</f>
        <v>0.0</v>
      </c>
      <c r="O1761" s="13" t="str">
        <f>HYPERLINK(AC2 &amp; "/mug/sn_e33dcc05e5a338ceb9946438ed40eeb9/rendering/12.xyz", "0.0")</f>
        <v>0.0</v>
      </c>
      <c r="P1761" s="13" t="str">
        <f>HYPERLINK(AC2 &amp; "/mug/sn_e33dcc05e5a338ceb9946438ed40eeb9/rendering/13.xyz", "0.0")</f>
        <v>0.0</v>
      </c>
      <c r="Q1761" s="13" t="str">
        <f>HYPERLINK(AC2 &amp; "/mug/sn_e33dcc05e5a338ceb9946438ed40eeb9/rendering/14.xyz", "0.0")</f>
        <v>0.0</v>
      </c>
      <c r="R1761" s="13" t="str">
        <f>HYPERLINK(AC2 &amp; "/mug/sn_e33dcc05e5a338ceb9946438ed40eeb9/rendering/15.xyz", "0.0")</f>
        <v>0.0</v>
      </c>
      <c r="S1761" s="13" t="str">
        <f>HYPERLINK(AC2 &amp; "/mug/sn_e33dcc05e5a338ceb9946438ed40eeb9/rendering/16.xyz", "0.0")</f>
        <v>0.0</v>
      </c>
      <c r="T1761" s="13" t="str">
        <f>HYPERLINK(AC2 &amp; "/mug/sn_e33dcc05e5a338ceb9946438ed40eeb9/rendering/17.xyz", "0.0")</f>
        <v>0.0</v>
      </c>
      <c r="U1761" s="13" t="str">
        <f>HYPERLINK(AC2 &amp; "/mug/sn_e33dcc05e5a338ceb9946438ed40eeb9/rendering/18.xyz", "0.0")</f>
        <v>0.0</v>
      </c>
      <c r="V1761" s="13" t="str">
        <f>HYPERLINK(AC2 &amp; "/mug/sn_e33dcc05e5a338ceb9946438ed40eeb9/rendering/19.xyz", "0.0")</f>
        <v>0.0</v>
      </c>
      <c r="W1761" s="12" t="s">
        <v>33</v>
      </c>
      <c r="X1761" s="13">
        <v>0</v>
      </c>
      <c r="Y1761" s="13">
        <v>0</v>
      </c>
      <c r="Z1761" s="13">
        <v>0</v>
      </c>
    </row>
    <row r="1762" spans="1:26" x14ac:dyDescent="0.2">
      <c r="A1762" s="1">
        <v>1760</v>
      </c>
      <c r="B1762" s="2" t="s">
        <v>385</v>
      </c>
      <c r="C1762" s="73" t="str">
        <f>HYPERLINK(AA2 &amp; "/mug/sn_e363fa24c824d20ca363b55cbd344baa/rendering/00.obj", "4.67928253174")</f>
        <v>4.67928253174</v>
      </c>
      <c r="D1762" s="50" t="str">
        <f>HYPERLINK(AA2 &amp; "/mug/sn_e363fa24c824d20ca363b55cbd344baa/rendering/01.obj", "3.88611022949")</f>
        <v>3.88611022949</v>
      </c>
      <c r="E1762" s="6" t="str">
        <f>HYPERLINK(AA2 &amp; "/mug/sn_e363fa24c824d20ca363b55cbd344baa/rendering/02.obj", "5.07566802979")</f>
        <v>5.07566802979</v>
      </c>
      <c r="F1762" s="64" t="str">
        <f>HYPERLINK(AA2 &amp; "/mug/sn_e363fa24c824d20ca363b55cbd344baa/rendering/03.obj", "4.04565155029")</f>
        <v>4.04565155029</v>
      </c>
      <c r="G1762" s="37" t="str">
        <f>HYPERLINK(AA2 &amp; "/mug/sn_e363fa24c824d20ca363b55cbd344baa/rendering/04.obj", "4.0027947998")</f>
        <v>4.0027947998</v>
      </c>
      <c r="H1762" s="38" t="str">
        <f>HYPERLINK(AA2 &amp; "/mug/sn_e363fa24c824d20ca363b55cbd344baa/rendering/05.obj", "5.28950744629")</f>
        <v>5.28950744629</v>
      </c>
      <c r="I1762" s="46" t="str">
        <f>HYPERLINK(AA2 &amp; "/mug/sn_e363fa24c824d20ca363b55cbd344baa/rendering/06.obj", "4.76235290527")</f>
        <v>4.76235290527</v>
      </c>
      <c r="J1762" s="8" t="str">
        <f>HYPERLINK(AA2 &amp; "/mug/sn_e363fa24c824d20ca363b55cbd344baa/rendering/07.obj", "4.16309570313")</f>
        <v>4.16309570313</v>
      </c>
      <c r="K1762" s="122" t="str">
        <f>HYPERLINK(AA2 &amp; "/mug/sn_e363fa24c824d20ca363b55cbd344baa/rendering/08.obj", "6.79953491211")</f>
        <v>6.79953491211</v>
      </c>
      <c r="L1762" s="70" t="str">
        <f>HYPERLINK(AA2 &amp; "/mug/sn_e363fa24c824d20ca363b55cbd344baa/rendering/09.obj", "4.23790008545")</f>
        <v>4.23790008545</v>
      </c>
      <c r="M1762" s="117" t="str">
        <f>HYPERLINK(AA2 &amp; "/mug/sn_e363fa24c824d20ca363b55cbd344baa/rendering/10.obj", "3.9817767334")</f>
        <v>3.9817767334</v>
      </c>
      <c r="N1762" s="10" t="str">
        <f>HYPERLINK(AA2 &amp; "/mug/sn_e363fa24c824d20ca363b55cbd344baa/rendering/11.obj", "4.58696166992")</f>
        <v>4.58696166992</v>
      </c>
      <c r="O1762" s="69" t="str">
        <f>HYPERLINK(AA2 &amp; "/mug/sn_e363fa24c824d20ca363b55cbd344baa/rendering/12.obj", "5.00018890381")</f>
        <v>5.00018890381</v>
      </c>
      <c r="P1762" s="113" t="str">
        <f>HYPERLINK(AA2 &amp; "/mug/sn_e363fa24c824d20ca363b55cbd344baa/rendering/13.obj", "6.18602844238")</f>
        <v>6.18602844238</v>
      </c>
      <c r="Q1762" s="94" t="str">
        <f>HYPERLINK(AA2 &amp; "/mug/sn_e363fa24c824d20ca363b55cbd344baa/rendering/14.obj", "4.49707702637")</f>
        <v>4.49707702637</v>
      </c>
      <c r="R1762" s="72" t="str">
        <f>HYPERLINK(AA2 &amp; "/mug/sn_e363fa24c824d20ca363b55cbd344baa/rendering/15.obj", "4.69288818359")</f>
        <v>4.69288818359</v>
      </c>
      <c r="S1762" s="74" t="str">
        <f>HYPERLINK(AA2 &amp; "/mug/sn_e363fa24c824d20ca363b55cbd344baa/rendering/16.obj", "4.7752041626")</f>
        <v>4.7752041626</v>
      </c>
      <c r="T1762" s="103" t="str">
        <f>HYPERLINK(AA2 &amp; "/mug/sn_e363fa24c824d20ca363b55cbd344baa/rendering/17.obj", "6.41533081055")</f>
        <v>6.41533081055</v>
      </c>
      <c r="U1762" s="134" t="str">
        <f>HYPERLINK(AA2 &amp; "/mug/sn_e363fa24c824d20ca363b55cbd344baa/rendering/18.obj", "3.96772216797")</f>
        <v>3.96772216797</v>
      </c>
      <c r="V1762" s="75" t="str">
        <f>HYPERLINK(AA2 &amp; "/mug/sn_e363fa24c824d20ca363b55cbd344baa/rendering/19.obj", "5.9252923584")</f>
        <v>5.9252923584</v>
      </c>
      <c r="W1762" s="12" t="s">
        <v>29</v>
      </c>
      <c r="X1762" s="13">
        <v>4.8485184326171877</v>
      </c>
      <c r="Y1762" s="13">
        <v>0.84829750775006385</v>
      </c>
      <c r="Z1762" s="37">
        <v>0.17496014907221061</v>
      </c>
    </row>
    <row r="1763" spans="1:26" x14ac:dyDescent="0.2">
      <c r="A1763" s="1">
        <v>1761</v>
      </c>
      <c r="B1763" s="2" t="s">
        <v>385</v>
      </c>
      <c r="C1763" s="133" t="str">
        <f>HYPERLINK(AA2 &amp; "/mug/sn_e363fa24c824d20ca363b55cbd344baa/rendering/00.obj", "10.2101249695")</f>
        <v>10.2101249695</v>
      </c>
      <c r="D1763" s="44" t="str">
        <f>HYPERLINK(AA2 &amp; "/mug/sn_e363fa24c824d20ca363b55cbd344baa/rendering/01.obj", "7.45136833191")</f>
        <v>7.45136833191</v>
      </c>
      <c r="E1763" s="67" t="str">
        <f>HYPERLINK(AA2 &amp; "/mug/sn_e363fa24c824d20ca363b55cbd344baa/rendering/02.obj", "8.39904212952")</f>
        <v>8.39904212952</v>
      </c>
      <c r="F1763" s="10" t="str">
        <f>HYPERLINK(AA2 &amp; "/mug/sn_e363fa24c824d20ca363b55cbd344baa/rendering/03.obj", "8.74390792847")</f>
        <v>8.74390792847</v>
      </c>
      <c r="G1763" s="108" t="str">
        <f>HYPERLINK(AA2 &amp; "/mug/sn_e363fa24c824d20ca363b55cbd344baa/rendering/04.obj", "6.98522949219")</f>
        <v>6.98522949219</v>
      </c>
      <c r="H1763" s="63" t="str">
        <f>HYPERLINK(AA2 &amp; "/mug/sn_e363fa24c824d20ca363b55cbd344baa/rendering/05.obj", "10.3720006943")</f>
        <v>10.3720006943</v>
      </c>
      <c r="I1763" s="90" t="str">
        <f>HYPERLINK(AA2 &amp; "/mug/sn_e363fa24c824d20ca363b55cbd344baa/rendering/06.obj", "10.1331119537")</f>
        <v>10.1331119537</v>
      </c>
      <c r="J1763" s="74" t="str">
        <f>HYPERLINK(AA2 &amp; "/mug/sn_e363fa24c824d20ca363b55cbd344baa/rendering/07.obj", "9.13524341583")</f>
        <v>9.13524341583</v>
      </c>
      <c r="K1763" s="27" t="str">
        <f>HYPERLINK(AA2 &amp; "/mug/sn_e363fa24c824d20ca363b55cbd344baa/rendering/08.obj", "9.91355895996")</f>
        <v>9.91355895996</v>
      </c>
      <c r="L1763" s="42" t="str">
        <f>HYPERLINK(AA2 &amp; "/mug/sn_e363fa24c824d20ca363b55cbd344baa/rendering/09.obj", "7.99157857895")</f>
        <v>7.99157857895</v>
      </c>
      <c r="M1763" s="36" t="str">
        <f>HYPERLINK(AA2 &amp; "/mug/sn_e363fa24c824d20ca363b55cbd344baa/rendering/10.obj", "7.27866029739")</f>
        <v>7.27866029739</v>
      </c>
      <c r="N1763" s="30" t="str">
        <f>HYPERLINK(AA2 &amp; "/mug/sn_e363fa24c824d20ca363b55cbd344baa/rendering/11.obj", "9.29915332794")</f>
        <v>9.29915332794</v>
      </c>
      <c r="O1763" s="66" t="str">
        <f>HYPERLINK(AA2 &amp; "/mug/sn_e363fa24c824d20ca363b55cbd344baa/rendering/12.obj", "7.77763748169")</f>
        <v>7.77763748169</v>
      </c>
      <c r="P1763" s="137" t="str">
        <f>HYPERLINK(AA2 &amp; "/mug/sn_e363fa24c824d20ca363b55cbd344baa/rendering/13.obj", "12.647808075")</f>
        <v>12.647808075</v>
      </c>
      <c r="Q1763" s="30" t="str">
        <f>HYPERLINK(AA2 &amp; "/mug/sn_e363fa24c824d20ca363b55cbd344baa/rendering/14.obj", "9.30183982849")</f>
        <v>9.30183982849</v>
      </c>
      <c r="R1763" s="23" t="str">
        <f>HYPERLINK(AA2 &amp; "/mug/sn_e363fa24c824d20ca363b55cbd344baa/rendering/15.obj", "9.61869335175")</f>
        <v>9.61869335175</v>
      </c>
      <c r="S1763" s="32" t="str">
        <f>HYPERLINK(AA2 &amp; "/mug/sn_e363fa24c824d20ca363b55cbd344baa/rendering/16.obj", "10.2201566696")</f>
        <v>10.2201566696</v>
      </c>
      <c r="T1763" s="98" t="str">
        <f>HYPERLINK(AA2 &amp; "/mug/sn_e363fa24c824d20ca363b55cbd344baa/rendering/17.obj", "11.4054298401")</f>
        <v>11.4054298401</v>
      </c>
      <c r="U1763" s="66" t="str">
        <f>HYPERLINK(AA2 &amp; "/mug/sn_e363fa24c824d20ca363b55cbd344baa/rendering/18.obj", "7.76657485962")</f>
        <v>7.76657485962</v>
      </c>
      <c r="V1763" s="93" t="str">
        <f>HYPERLINK(AA2 &amp; "/mug/sn_e363fa24c824d20ca363b55cbd344baa/rendering/19.obj", "10.5477895737")</f>
        <v>10.5477895737</v>
      </c>
      <c r="W1763" s="12" t="s">
        <v>30</v>
      </c>
      <c r="X1763" s="13">
        <v>9.2599454879760739</v>
      </c>
      <c r="Y1763" s="13">
        <v>1.441393718719711</v>
      </c>
      <c r="Z1763" s="31">
        <v>0.15565898531382749</v>
      </c>
    </row>
    <row r="1764" spans="1:26" x14ac:dyDescent="0.2">
      <c r="A1764" s="1">
        <v>1762</v>
      </c>
      <c r="B1764" s="2" t="s">
        <v>385</v>
      </c>
      <c r="C1764" s="106" t="str">
        <f>HYPERLINK(AB2 &amp; "/mug/sn_e363fa24c824d20ca363b55cbd344baa/rendering/00.obj", "4.03606658936")</f>
        <v>4.03606658936</v>
      </c>
      <c r="D1764" s="28" t="str">
        <f>HYPERLINK(AB2 &amp; "/mug/sn_e363fa24c824d20ca363b55cbd344baa/rendering/01.obj", "4.05162536621")</f>
        <v>4.05162536621</v>
      </c>
      <c r="E1764" s="37" t="str">
        <f>HYPERLINK(AB2 &amp; "/mug/sn_e363fa24c824d20ca363b55cbd344baa/rendering/02.obj", "3.7683493042")</f>
        <v>3.7683493042</v>
      </c>
      <c r="F1764" s="93" t="str">
        <f>HYPERLINK(AB2 &amp; "/mug/sn_e363fa24c824d20ca363b55cbd344baa/rendering/03.obj", "5.18711669922")</f>
        <v>5.18711669922</v>
      </c>
      <c r="G1764" s="74" t="str">
        <f>HYPERLINK(AB2 &amp; "/mug/sn_e363fa24c824d20ca363b55cbd344baa/rendering/04.obj", "4.61437438965")</f>
        <v>4.61437438965</v>
      </c>
      <c r="H1764" s="41" t="str">
        <f>HYPERLINK(AB2 &amp; "/mug/sn_e363fa24c824d20ca363b55cbd344baa/rendering/05.obj", "4.24424194336")</f>
        <v>4.24424194336</v>
      </c>
      <c r="I1764" s="42" t="str">
        <f>HYPERLINK(AB2 &amp; "/mug/sn_e363fa24c824d20ca363b55cbd344baa/rendering/06.obj", "3.94057403564")</f>
        <v>3.94057403564</v>
      </c>
      <c r="J1764" s="51" t="str">
        <f>HYPERLINK(AB2 &amp; "/mug/sn_e363fa24c824d20ca363b55cbd344baa/rendering/07.obj", "4.92376098633")</f>
        <v>4.92376098633</v>
      </c>
      <c r="K1764" s="6" t="str">
        <f>HYPERLINK(AB2 &amp; "/mug/sn_e363fa24c824d20ca363b55cbd344baa/rendering/08.obj", "4.35321594238")</f>
        <v>4.35321594238</v>
      </c>
      <c r="L1764" s="79" t="str">
        <f>HYPERLINK(AB2 &amp; "/mug/sn_e363fa24c824d20ca363b55cbd344baa/rendering/09.obj", "5.27213012695")</f>
        <v>5.27213012695</v>
      </c>
      <c r="M1764" s="44" t="str">
        <f>HYPERLINK(AB2 &amp; "/mug/sn_e363fa24c824d20ca363b55cbd344baa/rendering/10.obj", "3.66119903564")</f>
        <v>3.66119903564</v>
      </c>
      <c r="N1764" s="41" t="str">
        <f>HYPERLINK(AB2 &amp; "/mug/sn_e363fa24c824d20ca363b55cbd344baa/rendering/11.obj", "4.85769195557")</f>
        <v>4.85769195557</v>
      </c>
      <c r="O1764" s="73" t="str">
        <f>HYPERLINK(AB2 &amp; "/mug/sn_e363fa24c824d20ca363b55cbd344baa/rendering/12.obj", "4.38784057617")</f>
        <v>4.38784057617</v>
      </c>
      <c r="P1764" s="72" t="str">
        <f>HYPERLINK(AB2 &amp; "/mug/sn_e363fa24c824d20ca363b55cbd344baa/rendering/13.obj", "4.70007720947")</f>
        <v>4.70007720947</v>
      </c>
      <c r="Q1764" s="92" t="str">
        <f>HYPERLINK(AB2 &amp; "/mug/sn_e363fa24c824d20ca363b55cbd344baa/rendering/14.obj", "5.12670166016")</f>
        <v>5.12670166016</v>
      </c>
      <c r="R1764" s="71" t="str">
        <f>HYPERLINK(AB2 &amp; "/mug/sn_e363fa24c824d20ca363b55cbd344baa/rendering/15.obj", "5.0961529541")</f>
        <v>5.0961529541</v>
      </c>
      <c r="S1764" s="48" t="str">
        <f>HYPERLINK(AB2 &amp; "/mug/sn_e363fa24c824d20ca363b55cbd344baa/rendering/16.obj", "4.66222564697")</f>
        <v>4.66222564697</v>
      </c>
      <c r="T1764" s="10" t="str">
        <f>HYPERLINK(AB2 &amp; "/mug/sn_e363fa24c824d20ca363b55cbd344baa/rendering/17.obj", "4.30341552734")</f>
        <v>4.30341552734</v>
      </c>
      <c r="U1764" s="67" t="str">
        <f>HYPERLINK(AB2 &amp; "/mug/sn_e363fa24c824d20ca363b55cbd344baa/rendering/18.obj", "4.97098205566")</f>
        <v>4.97098205566</v>
      </c>
      <c r="V1764" s="39" t="str">
        <f>HYPERLINK(AB2 &amp; "/mug/sn_e363fa24c824d20ca363b55cbd344baa/rendering/19.obj", "4.95360137939")</f>
        <v>4.95360137939</v>
      </c>
      <c r="W1764" s="12" t="s">
        <v>31</v>
      </c>
      <c r="X1764" s="13">
        <v>4.5555671691894526</v>
      </c>
      <c r="Y1764" s="13">
        <v>0.48350554977108118</v>
      </c>
      <c r="Z1764" s="32">
        <v>0.10613509401006339</v>
      </c>
    </row>
    <row r="1765" spans="1:26" x14ac:dyDescent="0.2">
      <c r="A1765" s="1">
        <v>1763</v>
      </c>
      <c r="B1765" s="2" t="s">
        <v>385</v>
      </c>
      <c r="C1765" s="90" t="str">
        <f>HYPERLINK(AB2 &amp; "/mug/sn_e363fa24c824d20ca363b55cbd344baa/rendering/00.obj", "7.2490439415")</f>
        <v>7.2490439415</v>
      </c>
      <c r="D1765" s="107" t="str">
        <f>HYPERLINK(AB2 &amp; "/mug/sn_e363fa24c824d20ca363b55cbd344baa/rendering/01.obj", "7.34409141541")</f>
        <v>7.34409141541</v>
      </c>
      <c r="E1765" s="106" t="str">
        <f>HYPERLINK(AB2 &amp; "/mug/sn_e363fa24c824d20ca363b55cbd344baa/rendering/02.obj", "7.0910692215")</f>
        <v>7.0910692215</v>
      </c>
      <c r="F1765" s="24" t="str">
        <f>HYPERLINK(AB2 &amp; "/mug/sn_e363fa24c824d20ca363b55cbd344baa/rendering/03.obj", "9.34078884125")</f>
        <v>9.34078884125</v>
      </c>
      <c r="G1765" s="25" t="str">
        <f>HYPERLINK(AB2 &amp; "/mug/sn_e363fa24c824d20ca363b55cbd344baa/rendering/04.obj", "8.09777164459")</f>
        <v>8.09777164459</v>
      </c>
      <c r="H1765" s="26" t="str">
        <f>HYPERLINK(AB2 &amp; "/mug/sn_e363fa24c824d20ca363b55cbd344baa/rendering/05.obj", "8.51707553864")</f>
        <v>8.51707553864</v>
      </c>
      <c r="I1765" s="49" t="str">
        <f>HYPERLINK(AB2 &amp; "/mug/sn_e363fa24c824d20ca363b55cbd344baa/rendering/06.obj", "6.33094453812")</f>
        <v>6.33094453812</v>
      </c>
      <c r="J1765" s="5" t="str">
        <f>HYPERLINK(AB2 &amp; "/mug/sn_e363fa24c824d20ca363b55cbd344baa/rendering/07.obj", "8.61798763275")</f>
        <v>8.61798763275</v>
      </c>
      <c r="K1765" s="25" t="str">
        <f>HYPERLINK(AB2 &amp; "/mug/sn_e363fa24c824d20ca363b55cbd344baa/rendering/08.obj", "8.10366439819")</f>
        <v>8.10366439819</v>
      </c>
      <c r="L1765" s="80" t="str">
        <f>HYPERLINK(AB2 &amp; "/mug/sn_e363fa24c824d20ca363b55cbd344baa/rendering/09.obj", "9.18766784668")</f>
        <v>9.18766784668</v>
      </c>
      <c r="M1765" s="65" t="str">
        <f>HYPERLINK(AB2 &amp; "/mug/sn_e363fa24c824d20ca363b55cbd344baa/rendering/10.obj", "6.93968153")</f>
        <v>6.93968153</v>
      </c>
      <c r="N1765" s="78" t="str">
        <f>HYPERLINK(AB2 &amp; "/mug/sn_e363fa24c824d20ca363b55cbd344baa/rendering/11.obj", "8.50208950043")</f>
        <v>8.50208950043</v>
      </c>
      <c r="O1765" s="93" t="str">
        <f>HYPERLINK(AB2 &amp; "/mug/sn_e363fa24c824d20ca363b55cbd344baa/rendering/12.obj", "6.88269281387")</f>
        <v>6.88269281387</v>
      </c>
      <c r="P1765" s="17" t="str">
        <f>HYPERLINK(AB2 &amp; "/mug/sn_e363fa24c824d20ca363b55cbd344baa/rendering/13.obj", "7.84822368622")</f>
        <v>7.84822368622</v>
      </c>
      <c r="Q1765" s="84" t="str">
        <f>HYPERLINK(AB2 &amp; "/mug/sn_e363fa24c824d20ca363b55cbd344baa/rendering/14.obj", "9.1724281311")</f>
        <v>9.1724281311</v>
      </c>
      <c r="R1765" s="30" t="str">
        <f>HYPERLINK(AB2 &amp; "/mug/sn_e363fa24c824d20ca363b55cbd344baa/rendering/15.obj", "8.03873443604")</f>
        <v>8.03873443604</v>
      </c>
      <c r="S1765" s="38" t="str">
        <f>HYPERLINK(AB2 &amp; "/mug/sn_e363fa24c824d20ca363b55cbd344baa/rendering/16.obj", "7.29420232773")</f>
        <v>7.29420232773</v>
      </c>
      <c r="T1765" s="71" t="str">
        <f>HYPERLINK(AB2 &amp; "/mug/sn_e363fa24c824d20ca363b55cbd344baa/rendering/17.obj", "8.93728065491")</f>
        <v>8.93728065491</v>
      </c>
      <c r="U1765" s="68" t="str">
        <f>HYPERLINK(AB2 &amp; "/mug/sn_e363fa24c824d20ca363b55cbd344baa/rendering/18.obj", "8.33917140961")</f>
        <v>8.33917140961</v>
      </c>
      <c r="V1765" s="73" t="str">
        <f>HYPERLINK(AB2 &amp; "/mug/sn_e363fa24c824d20ca363b55cbd344baa/rendering/19.obj", "8.3004322052")</f>
        <v>8.3004322052</v>
      </c>
      <c r="W1765" s="12" t="s">
        <v>32</v>
      </c>
      <c r="X1765" s="13">
        <v>8.0067520856857293</v>
      </c>
      <c r="Y1765" s="13">
        <v>0.83930930981429075</v>
      </c>
      <c r="Z1765" s="32">
        <v>0.10482519014355229</v>
      </c>
    </row>
    <row r="1766" spans="1:26" x14ac:dyDescent="0.2">
      <c r="A1766" s="1">
        <v>1764</v>
      </c>
      <c r="B1766" s="2" t="s">
        <v>385</v>
      </c>
      <c r="C1766" s="13" t="str">
        <f>HYPERLINK(AC2 &amp; "/mug/sn_e363fa24c824d20ca363b55cbd344baa/rendering/00.xyz", "0.0")</f>
        <v>0.0</v>
      </c>
      <c r="D1766" s="13" t="str">
        <f>HYPERLINK(AC2 &amp; "/mug/sn_e363fa24c824d20ca363b55cbd344baa/rendering/01.xyz", "0.0")</f>
        <v>0.0</v>
      </c>
      <c r="E1766" s="13" t="str">
        <f>HYPERLINK(AC2 &amp; "/mug/sn_e363fa24c824d20ca363b55cbd344baa/rendering/02.xyz", "0.0")</f>
        <v>0.0</v>
      </c>
      <c r="F1766" s="13" t="str">
        <f>HYPERLINK(AC2 &amp; "/mug/sn_e363fa24c824d20ca363b55cbd344baa/rendering/03.xyz", "0.0")</f>
        <v>0.0</v>
      </c>
      <c r="G1766" s="13" t="str">
        <f>HYPERLINK(AC2 &amp; "/mug/sn_e363fa24c824d20ca363b55cbd344baa/rendering/04.xyz", "0.0")</f>
        <v>0.0</v>
      </c>
      <c r="H1766" s="13" t="str">
        <f>HYPERLINK(AC2 &amp; "/mug/sn_e363fa24c824d20ca363b55cbd344baa/rendering/05.xyz", "0.0")</f>
        <v>0.0</v>
      </c>
      <c r="I1766" s="13" t="str">
        <f>HYPERLINK(AC2 &amp; "/mug/sn_e363fa24c824d20ca363b55cbd344baa/rendering/06.xyz", "0.0")</f>
        <v>0.0</v>
      </c>
      <c r="J1766" s="13" t="str">
        <f>HYPERLINK(AC2 &amp; "/mug/sn_e363fa24c824d20ca363b55cbd344baa/rendering/07.xyz", "0.0")</f>
        <v>0.0</v>
      </c>
      <c r="K1766" s="13" t="str">
        <f>HYPERLINK(AC2 &amp; "/mug/sn_e363fa24c824d20ca363b55cbd344baa/rendering/08.xyz", "0.0")</f>
        <v>0.0</v>
      </c>
      <c r="L1766" s="13" t="str">
        <f>HYPERLINK(AC2 &amp; "/mug/sn_e363fa24c824d20ca363b55cbd344baa/rendering/09.xyz", "0.0")</f>
        <v>0.0</v>
      </c>
      <c r="M1766" s="13" t="str">
        <f>HYPERLINK(AC2 &amp; "/mug/sn_e363fa24c824d20ca363b55cbd344baa/rendering/10.xyz", "0.0")</f>
        <v>0.0</v>
      </c>
      <c r="N1766" s="13" t="str">
        <f>HYPERLINK(AC2 &amp; "/mug/sn_e363fa24c824d20ca363b55cbd344baa/rendering/11.xyz", "0.0")</f>
        <v>0.0</v>
      </c>
      <c r="O1766" s="13" t="str">
        <f>HYPERLINK(AC2 &amp; "/mug/sn_e363fa24c824d20ca363b55cbd344baa/rendering/12.xyz", "0.0")</f>
        <v>0.0</v>
      </c>
      <c r="P1766" s="13" t="str">
        <f>HYPERLINK(AC2 &amp; "/mug/sn_e363fa24c824d20ca363b55cbd344baa/rendering/13.xyz", "0.0")</f>
        <v>0.0</v>
      </c>
      <c r="Q1766" s="13" t="str">
        <f>HYPERLINK(AC2 &amp; "/mug/sn_e363fa24c824d20ca363b55cbd344baa/rendering/14.xyz", "0.0")</f>
        <v>0.0</v>
      </c>
      <c r="R1766" s="13" t="str">
        <f>HYPERLINK(AC2 &amp; "/mug/sn_e363fa24c824d20ca363b55cbd344baa/rendering/15.xyz", "0.0")</f>
        <v>0.0</v>
      </c>
      <c r="S1766" s="13" t="str">
        <f>HYPERLINK(AC2 &amp; "/mug/sn_e363fa24c824d20ca363b55cbd344baa/rendering/16.xyz", "0.0")</f>
        <v>0.0</v>
      </c>
      <c r="T1766" s="13" t="str">
        <f>HYPERLINK(AC2 &amp; "/mug/sn_e363fa24c824d20ca363b55cbd344baa/rendering/17.xyz", "0.0")</f>
        <v>0.0</v>
      </c>
      <c r="U1766" s="13" t="str">
        <f>HYPERLINK(AC2 &amp; "/mug/sn_e363fa24c824d20ca363b55cbd344baa/rendering/18.xyz", "0.0")</f>
        <v>0.0</v>
      </c>
      <c r="V1766" s="13" t="str">
        <f>HYPERLINK(AC2 &amp; "/mug/sn_e363fa24c824d20ca363b55cbd344baa/rendering/19.xyz", "0.0")</f>
        <v>0.0</v>
      </c>
      <c r="W1766" s="12" t="s">
        <v>33</v>
      </c>
      <c r="X1766" s="13">
        <v>0</v>
      </c>
      <c r="Y1766" s="13">
        <v>0</v>
      </c>
      <c r="Z1766" s="13">
        <v>0</v>
      </c>
    </row>
    <row r="1767" spans="1:26" x14ac:dyDescent="0.2">
      <c r="A1767" s="1">
        <v>1765</v>
      </c>
      <c r="B1767" s="2" t="s">
        <v>386</v>
      </c>
      <c r="C1767" s="44" t="str">
        <f>HYPERLINK(AA2 &amp; "/mug/sn_e6dedae946ff5265a95fb60c110b25aa/rendering/00.obj", "4.18860015869")</f>
        <v>4.18860015869</v>
      </c>
      <c r="D1767" s="106" t="str">
        <f>HYPERLINK(AA2 &amp; "/mug/sn_e6dedae946ff5265a95fb60c110b25aa/rendering/01.obj", "4.61496582031")</f>
        <v>4.61496582031</v>
      </c>
      <c r="E1767" s="71" t="str">
        <f>HYPERLINK(AA2 &amp; "/mug/sn_e6dedae946ff5265a95fb60c110b25aa/rendering/02.obj", "4.59193603516")</f>
        <v>4.59193603516</v>
      </c>
      <c r="F1767" s="35" t="str">
        <f>HYPERLINK(AA2 &amp; "/mug/sn_e6dedae946ff5265a95fb60c110b25aa/rendering/03.obj", "4.89638366699")</f>
        <v>4.89638366699</v>
      </c>
      <c r="G1767" s="95" t="str">
        <f>HYPERLINK(AA2 &amp; "/mug/sn_e6dedae946ff5265a95fb60c110b25aa/rendering/04.obj", "6.6740222168")</f>
        <v>6.6740222168</v>
      </c>
      <c r="H1767" s="134" t="str">
        <f>HYPERLINK(AA2 &amp; "/mug/sn_e6dedae946ff5265a95fb60c110b25aa/rendering/05.obj", "4.25927062988")</f>
        <v>4.25927062988</v>
      </c>
      <c r="I1767" s="90" t="str">
        <f>HYPERLINK(AA2 &amp; "/mug/sn_e6dedae946ff5265a95fb60c110b25aa/rendering/06.obj", "4.70673278809")</f>
        <v>4.70673278809</v>
      </c>
      <c r="J1767" s="20" t="str">
        <f>HYPERLINK(AA2 &amp; "/mug/sn_e6dedae946ff5265a95fb60c110b25aa/rendering/07.obj", "10.3922277832")</f>
        <v>10.3922277832</v>
      </c>
      <c r="K1767" s="106" t="str">
        <f>HYPERLINK(AA2 &amp; "/mug/sn_e6dedae946ff5265a95fb60c110b25aa/rendering/08.obj", "5.80020996094")</f>
        <v>5.80020996094</v>
      </c>
      <c r="L1767" s="54" t="str">
        <f>HYPERLINK(AA2 &amp; "/mug/sn_e6dedae946ff5265a95fb60c110b25aa/rendering/09.obj", "3.50344818115")</f>
        <v>3.50344818115</v>
      </c>
      <c r="M1767" s="179" t="str">
        <f>HYPERLINK(AA2 &amp; "/mug/sn_e6dedae946ff5265a95fb60c110b25aa/rendering/10.obj", "2.96981170654")</f>
        <v>2.96981170654</v>
      </c>
      <c r="N1767" s="176" t="str">
        <f>HYPERLINK(AA2 &amp; "/mug/sn_e6dedae946ff5265a95fb60c110b25aa/rendering/11.obj", "6.86760192871")</f>
        <v>6.86760192871</v>
      </c>
      <c r="O1767" s="162" t="str">
        <f>HYPERLINK(AA2 &amp; "/mug/sn_e6dedae946ff5265a95fb60c110b25aa/rendering/12.obj", "7.41118774414")</f>
        <v>7.41118774414</v>
      </c>
      <c r="P1767" s="29" t="str">
        <f>HYPERLINK(AA2 &amp; "/mug/sn_e6dedae946ff5265a95fb60c110b25aa/rendering/13.obj", "4.52677612305")</f>
        <v>4.52677612305</v>
      </c>
      <c r="Q1767" s="172" t="str">
        <f>HYPERLINK(AA2 &amp; "/mug/sn_e6dedae946ff5265a95fb60c110b25aa/rendering/14.obj", "3.2115737915")</f>
        <v>3.2115737915</v>
      </c>
      <c r="R1767" s="192" t="str">
        <f>HYPERLINK(AA2 &amp; "/mug/sn_e6dedae946ff5265a95fb60c110b25aa/rendering/15.obj", "3.27590240479")</f>
        <v>3.27590240479</v>
      </c>
      <c r="S1767" s="43" t="str">
        <f>HYPERLINK(AA2 &amp; "/mug/sn_e6dedae946ff5265a95fb60c110b25aa/rendering/16.obj", "3.24799804688")</f>
        <v>3.24799804688</v>
      </c>
      <c r="T1767" s="171" t="str">
        <f>HYPERLINK(AA2 &amp; "/mug/sn_e6dedae946ff5265a95fb60c110b25aa/rendering/17.obj", "3.61845336914")</f>
        <v>3.61845336914</v>
      </c>
      <c r="U1767" s="143" t="str">
        <f>HYPERLINK(AA2 &amp; "/mug/sn_e6dedae946ff5265a95fb60c110b25aa/rendering/18.obj", "7.66707885742")</f>
        <v>7.66707885742</v>
      </c>
      <c r="V1767" s="143" t="str">
        <f>HYPERLINK(AA2 &amp; "/mug/sn_e6dedae946ff5265a95fb60c110b25aa/rendering/19.obj", "7.66616271973")</f>
        <v>7.66616271973</v>
      </c>
      <c r="W1767" s="12" t="s">
        <v>29</v>
      </c>
      <c r="X1767" s="13">
        <v>5.2045171966552726</v>
      </c>
      <c r="Y1767" s="13">
        <v>1.930786787932079</v>
      </c>
      <c r="Z1767" s="192">
        <v>0.37098288178832722</v>
      </c>
    </row>
    <row r="1768" spans="1:26" x14ac:dyDescent="0.2">
      <c r="A1768" s="1">
        <v>1766</v>
      </c>
      <c r="B1768" s="2" t="s">
        <v>386</v>
      </c>
      <c r="C1768" s="50" t="str">
        <f>HYPERLINK(AA2 &amp; "/mug/sn_e6dedae946ff5265a95fb60c110b25aa/rendering/00.obj", "7.34610176086")</f>
        <v>7.34610176086</v>
      </c>
      <c r="D1768" s="60" t="str">
        <f>HYPERLINK(AA2 &amp; "/mug/sn_e6dedae946ff5265a95fb60c110b25aa/rendering/01.obj", "8.70847129822")</f>
        <v>8.70847129822</v>
      </c>
      <c r="E1768" s="185" t="str">
        <f>HYPERLINK(AA2 &amp; "/mug/sn_e6dedae946ff5265a95fb60c110b25aa/rendering/02.obj", "6.06155633926")</f>
        <v>6.06155633926</v>
      </c>
      <c r="F1768" s="34" t="str">
        <f>HYPERLINK(AA2 &amp; "/mug/sn_e6dedae946ff5265a95fb60c110b25aa/rendering/03.obj", "8.74714565277")</f>
        <v>8.74714565277</v>
      </c>
      <c r="G1768" s="96" t="str">
        <f>HYPERLINK(AA2 &amp; "/mug/sn_e6dedae946ff5265a95fb60c110b25aa/rendering/04.obj", "12.5206012726")</f>
        <v>12.5206012726</v>
      </c>
      <c r="H1768" s="54" t="str">
        <f>HYPERLINK(AA2 &amp; "/mug/sn_e6dedae946ff5265a95fb60c110b25aa/rendering/05.obj", "6.17427873611")</f>
        <v>6.17427873611</v>
      </c>
      <c r="I1768" s="92" t="str">
        <f>HYPERLINK(AA2 &amp; "/mug/sn_e6dedae946ff5265a95fb60c110b25aa/rendering/06.obj", "8.04776287079")</f>
        <v>8.04776287079</v>
      </c>
      <c r="J1768" s="20" t="str">
        <f>HYPERLINK(AA2 &amp; "/mug/sn_e6dedae946ff5265a95fb60c110b25aa/rendering/07.obj", "20.5820541382")</f>
        <v>20.5820541382</v>
      </c>
      <c r="K1768" s="92" t="str">
        <f>HYPERLINK(AA2 &amp; "/mug/sn_e6dedae946ff5265a95fb60c110b25aa/rendering/08.obj", "10.3168315887")</f>
        <v>10.3168315887</v>
      </c>
      <c r="L1768" s="145" t="str">
        <f>HYPERLINK(AA2 &amp; "/mug/sn_e6dedae946ff5265a95fb60c110b25aa/rendering/09.obj", "4.67974424362")</f>
        <v>4.67974424362</v>
      </c>
      <c r="M1768" s="212" t="str">
        <f>HYPERLINK(AA2 &amp; "/mug/sn_e6dedae946ff5265a95fb60c110b25aa/rendering/10.obj", "5.21487236023")</f>
        <v>5.21487236023</v>
      </c>
      <c r="N1768" s="187" t="str">
        <f>HYPERLINK(AA2 &amp; "/mug/sn_e6dedae946ff5265a95fb60c110b25aa/rendering/11.obj", "12.3905544281")</f>
        <v>12.3905544281</v>
      </c>
      <c r="O1768" s="116" t="str">
        <f>HYPERLINK(AA2 &amp; "/mug/sn_e6dedae946ff5265a95fb60c110b25aa/rendering/12.obj", "13.208729744")</f>
        <v>13.208729744</v>
      </c>
      <c r="P1768" s="176" t="str">
        <f>HYPERLINK(AA2 &amp; "/mug/sn_e6dedae946ff5265a95fb60c110b25aa/rendering/13.obj", "6.25239086151")</f>
        <v>6.25239086151</v>
      </c>
      <c r="Q1768" s="196" t="str">
        <f>HYPERLINK(AA2 &amp; "/mug/sn_e6dedae946ff5265a95fb60c110b25aa/rendering/14.obj", "5.53996419907")</f>
        <v>5.53996419907</v>
      </c>
      <c r="R1768" s="130" t="str">
        <f>HYPERLINK(AA2 &amp; "/mug/sn_e6dedae946ff5265a95fb60c110b25aa/rendering/15.obj", "5.04790449142")</f>
        <v>5.04790449142</v>
      </c>
      <c r="S1768" s="123" t="str">
        <f>HYPERLINK(AA2 &amp; "/mug/sn_e6dedae946ff5265a95fb60c110b25aa/rendering/16.obj", "5.7886095047")</f>
        <v>5.7886095047</v>
      </c>
      <c r="T1768" s="171" t="str">
        <f>HYPERLINK(AA2 &amp; "/mug/sn_e6dedae946ff5265a95fb60c110b25aa/rendering/17.obj", "6.37099218369")</f>
        <v>6.37099218369</v>
      </c>
      <c r="U1768" s="201" t="str">
        <f>HYPERLINK(AA2 &amp; "/mug/sn_e6dedae946ff5265a95fb60c110b25aa/rendering/18.obj", "14.5291442871")</f>
        <v>14.5291442871</v>
      </c>
      <c r="V1768" s="208" t="str">
        <f>HYPERLINK(AA2 &amp; "/mug/sn_e6dedae946ff5265a95fb60c110b25aa/rendering/19.obj", "16.197593689")</f>
        <v>16.197593689</v>
      </c>
      <c r="W1768" s="12" t="s">
        <v>30</v>
      </c>
      <c r="X1768" s="13">
        <v>9.1862651824951165</v>
      </c>
      <c r="Y1768" s="13">
        <v>4.2716027731809492</v>
      </c>
      <c r="Z1768" s="203">
        <v>0.4649988529963951</v>
      </c>
    </row>
    <row r="1769" spans="1:26" x14ac:dyDescent="0.2">
      <c r="A1769" s="1">
        <v>1767</v>
      </c>
      <c r="B1769" s="2" t="s">
        <v>386</v>
      </c>
      <c r="C1769" s="47" t="str">
        <f>HYPERLINK(AB2 &amp; "/mug/sn_e6dedae946ff5265a95fb60c110b25aa/rendering/00.obj", "3.74685424805")</f>
        <v>3.74685424805</v>
      </c>
      <c r="D1769" s="38" t="str">
        <f>HYPERLINK(AB2 &amp; "/mug/sn_e6dedae946ff5265a95fb60c110b25aa/rendering/01.obj", "3.43980224609")</f>
        <v>3.43980224609</v>
      </c>
      <c r="E1769" s="23" t="str">
        <f>HYPERLINK(AB2 &amp; "/mug/sn_e6dedae946ff5265a95fb60c110b25aa/rendering/02.obj", "3.923359375")</f>
        <v>3.923359375</v>
      </c>
      <c r="F1769" s="5" t="str">
        <f>HYPERLINK(AB2 &amp; "/mug/sn_e6dedae946ff5265a95fb60c110b25aa/rendering/03.obj", "4.06169555664")</f>
        <v>4.06169555664</v>
      </c>
      <c r="G1769" s="48" t="str">
        <f>HYPERLINK(AB2 &amp; "/mug/sn_e6dedae946ff5265a95fb60c110b25aa/rendering/04.obj", "3.68177642822")</f>
        <v>3.68177642822</v>
      </c>
      <c r="H1769" s="63" t="str">
        <f>HYPERLINK(AB2 &amp; "/mug/sn_e6dedae946ff5265a95fb60c110b25aa/rendering/05.obj", "3.31426116943")</f>
        <v>3.31426116943</v>
      </c>
      <c r="I1769" s="92" t="str">
        <f>HYPERLINK(AB2 &amp; "/mug/sn_e6dedae946ff5265a95fb60c110b25aa/rendering/06.obj", "4.23972229004")</f>
        <v>4.23972229004</v>
      </c>
      <c r="J1769" s="51" t="str">
        <f>HYPERLINK(AB2 &amp; "/mug/sn_e6dedae946ff5265a95fb60c110b25aa/rendering/07.obj", "4.07292297363")</f>
        <v>4.07292297363</v>
      </c>
      <c r="K1769" s="37" t="str">
        <f>HYPERLINK(AB2 &amp; "/mug/sn_e6dedae946ff5265a95fb60c110b25aa/rendering/08.obj", "4.42604125977")</f>
        <v>4.42604125977</v>
      </c>
      <c r="L1769" s="109" t="str">
        <f>HYPERLINK(AB2 &amp; "/mug/sn_e6dedae946ff5265a95fb60c110b25aa/rendering/09.obj", "3.06043670654")</f>
        <v>3.06043670654</v>
      </c>
      <c r="M1769" s="58" t="str">
        <f>HYPERLINK(AB2 &amp; "/mug/sn_e6dedae946ff5265a95fb60c110b25aa/rendering/10.obj", "2.85842010498")</f>
        <v>2.85842010498</v>
      </c>
      <c r="N1769" s="57" t="str">
        <f>HYPERLINK(AB2 &amp; "/mug/sn_e6dedae946ff5265a95fb60c110b25aa/rendering/11.obj", "4.96887817383")</f>
        <v>4.96887817383</v>
      </c>
      <c r="O1769" s="27" t="str">
        <f>HYPERLINK(AB2 &amp; "/mug/sn_e6dedae946ff5265a95fb60c110b25aa/rendering/12.obj", "4.04061828613")</f>
        <v>4.04061828613</v>
      </c>
      <c r="P1769" s="23" t="str">
        <f>HYPERLINK(AB2 &amp; "/mug/sn_e6dedae946ff5265a95fb60c110b25aa/rendering/13.obj", "3.62420959473")</f>
        <v>3.62420959473</v>
      </c>
      <c r="Q1769" s="79" t="str">
        <f>HYPERLINK(AB2 &amp; "/mug/sn_e6dedae946ff5265a95fb60c110b25aa/rendering/14.obj", "3.17900268555")</f>
        <v>3.17900268555</v>
      </c>
      <c r="R1769" s="91" t="str">
        <f>HYPERLINK(AB2 &amp; "/mug/sn_e6dedae946ff5265a95fb60c110b25aa/rendering/15.obj", "3.66885925293")</f>
        <v>3.66885925293</v>
      </c>
      <c r="S1769" s="33" t="str">
        <f>HYPERLINK(AB2 &amp; "/mug/sn_e6dedae946ff5265a95fb60c110b25aa/rendering/16.obj", "3.36720916748")</f>
        <v>3.36720916748</v>
      </c>
      <c r="T1769" s="35" t="str">
        <f>HYPERLINK(AB2 &amp; "/mug/sn_e6dedae946ff5265a95fb60c110b25aa/rendering/17.obj", "3.55272888184")</f>
        <v>3.55272888184</v>
      </c>
      <c r="U1769" s="91" t="str">
        <f>HYPERLINK(AB2 &amp; "/mug/sn_e6dedae946ff5265a95fb60c110b25aa/rendering/18.obj", "3.87873321533")</f>
        <v>3.87873321533</v>
      </c>
      <c r="V1769" s="31" t="str">
        <f>HYPERLINK(AB2 &amp; "/mug/sn_e6dedae946ff5265a95fb60c110b25aa/rendering/19.obj", "4.3609576416")</f>
        <v>4.3609576416</v>
      </c>
      <c r="W1769" s="12" t="s">
        <v>31</v>
      </c>
      <c r="X1769" s="13">
        <v>3.7733244628906251</v>
      </c>
      <c r="Y1769" s="13">
        <v>0.49862248610812943</v>
      </c>
      <c r="Z1769" s="65">
        <v>0.1321440790506922</v>
      </c>
    </row>
    <row r="1770" spans="1:26" x14ac:dyDescent="0.2">
      <c r="A1770" s="1">
        <v>1768</v>
      </c>
      <c r="B1770" s="2" t="s">
        <v>386</v>
      </c>
      <c r="C1770" s="120" t="str">
        <f>HYPERLINK(AB2 &amp; "/mug/sn_e6dedae946ff5265a95fb60c110b25aa/rendering/00.obj", "6.54415416718")</f>
        <v>6.54415416718</v>
      </c>
      <c r="D1770" s="10" t="str">
        <f>HYPERLINK(AB2 &amp; "/mug/sn_e6dedae946ff5265a95fb60c110b25aa/rendering/01.obj", "5.10981225967")</f>
        <v>5.10981225967</v>
      </c>
      <c r="E1770" s="35" t="str">
        <f>HYPERLINK(AB2 &amp; "/mug/sn_e6dedae946ff5265a95fb60c110b25aa/rendering/02.obj", "5.08242464066")</f>
        <v>5.08242464066</v>
      </c>
      <c r="F1770" s="17" t="str">
        <f>HYPERLINK(AB2 &amp; "/mug/sn_e6dedae946ff5265a95fb60c110b25aa/rendering/03.obj", "5.30099630356")</f>
        <v>5.30099630356</v>
      </c>
      <c r="G1770" s="26" t="str">
        <f>HYPERLINK(AB2 &amp; "/mug/sn_e6dedae946ff5265a95fb60c110b25aa/rendering/04.obj", "5.74411392212")</f>
        <v>5.74411392212</v>
      </c>
      <c r="H1770" s="84" t="str">
        <f>HYPERLINK(AB2 &amp; "/mug/sn_e6dedae946ff5265a95fb60c110b25aa/rendering/05.obj", "4.62179899216")</f>
        <v>4.62179899216</v>
      </c>
      <c r="I1770" s="106" t="str">
        <f>HYPERLINK(AB2 &amp; "/mug/sn_e6dedae946ff5265a95fb60c110b25aa/rendering/06.obj", "4.78057193756")</f>
        <v>4.78057193756</v>
      </c>
      <c r="J1770" s="67" t="str">
        <f>HYPERLINK(AB2 &amp; "/mug/sn_e6dedae946ff5265a95fb60c110b25aa/rendering/07.obj", "5.90615510941")</f>
        <v>5.90615510941</v>
      </c>
      <c r="K1770" s="166" t="str">
        <f>HYPERLINK(AB2 &amp; "/mug/sn_e6dedae946ff5265a95fb60c110b25aa/rendering/08.obj", "6.95471668243")</f>
        <v>6.95471668243</v>
      </c>
      <c r="L1770" s="83" t="str">
        <f>HYPERLINK(AB2 &amp; "/mug/sn_e6dedae946ff5265a95fb60c110b25aa/rendering/09.obj", "4.58952951431")</f>
        <v>4.58952951431</v>
      </c>
      <c r="M1770" s="80" t="str">
        <f>HYPERLINK(AB2 &amp; "/mug/sn_e6dedae946ff5265a95fb60c110b25aa/rendering/10.obj", "4.60559940338")</f>
        <v>4.60559940338</v>
      </c>
      <c r="N1770" s="87" t="str">
        <f>HYPERLINK(AB2 &amp; "/mug/sn_e6dedae946ff5265a95fb60c110b25aa/rendering/11.obj", "6.63903522491")</f>
        <v>6.63903522491</v>
      </c>
      <c r="O1770" s="41" t="str">
        <f>HYPERLINK(AB2 &amp; "/mug/sn_e6dedae946ff5265a95fb60c110b25aa/rendering/12.obj", "5.77435874939")</f>
        <v>5.77435874939</v>
      </c>
      <c r="P1770" s="63" t="str">
        <f>HYPERLINK(AB2 &amp; "/mug/sn_e6dedae946ff5265a95fb60c110b25aa/rendering/13.obj", "4.75345659256")</f>
        <v>4.75345659256</v>
      </c>
      <c r="Q1770" s="71" t="str">
        <f>HYPERLINK(AB2 &amp; "/mug/sn_e6dedae946ff5265a95fb60c110b25aa/rendering/14.obj", "4.7629699707")</f>
        <v>4.7629699707</v>
      </c>
      <c r="R1770" s="32" t="str">
        <f>HYPERLINK(AB2 &amp; "/mug/sn_e6dedae946ff5265a95fb60c110b25aa/rendering/15.obj", "5.97609138489")</f>
        <v>5.97609138489</v>
      </c>
      <c r="S1770" s="106" t="str">
        <f>HYPERLINK(AB2 &amp; "/mug/sn_e6dedae946ff5265a95fb60c110b25aa/rendering/16.obj", "4.78334665298")</f>
        <v>4.78334665298</v>
      </c>
      <c r="T1770" s="94" t="str">
        <f>HYPERLINK(AB2 &amp; "/mug/sn_e6dedae946ff5265a95fb60c110b25aa/rendering/17.obj", "5.01312732697")</f>
        <v>5.01312732697</v>
      </c>
      <c r="U1770" s="74" t="str">
        <f>HYPERLINK(AB2 &amp; "/mug/sn_e6dedae946ff5265a95fb60c110b25aa/rendering/18.obj", "5.47304391861")</f>
        <v>5.47304391861</v>
      </c>
      <c r="V1770" s="6" t="str">
        <f>HYPERLINK(AB2 &amp; "/mug/sn_e6dedae946ff5265a95fb60c110b25aa/rendering/19.obj", "5.64989376068")</f>
        <v>5.64989376068</v>
      </c>
      <c r="W1770" s="12" t="s">
        <v>32</v>
      </c>
      <c r="X1770" s="13">
        <v>5.4032598257064821</v>
      </c>
      <c r="Y1770" s="13">
        <v>0.70715941608416144</v>
      </c>
      <c r="Z1770" s="29">
        <v>0.13087644105504401</v>
      </c>
    </row>
    <row r="1771" spans="1:26" x14ac:dyDescent="0.2">
      <c r="A1771" s="1">
        <v>1769</v>
      </c>
      <c r="B1771" s="2" t="s">
        <v>386</v>
      </c>
      <c r="C1771" s="13" t="str">
        <f>HYPERLINK(AC2 &amp; "/mug/sn_e6dedae946ff5265a95fb60c110b25aa/rendering/00.xyz", "0.0")</f>
        <v>0.0</v>
      </c>
      <c r="D1771" s="13" t="str">
        <f>HYPERLINK(AC2 &amp; "/mug/sn_e6dedae946ff5265a95fb60c110b25aa/rendering/01.xyz", "0.0")</f>
        <v>0.0</v>
      </c>
      <c r="E1771" s="13" t="str">
        <f>HYPERLINK(AC2 &amp; "/mug/sn_e6dedae946ff5265a95fb60c110b25aa/rendering/02.xyz", "0.0")</f>
        <v>0.0</v>
      </c>
      <c r="F1771" s="13" t="str">
        <f>HYPERLINK(AC2 &amp; "/mug/sn_e6dedae946ff5265a95fb60c110b25aa/rendering/03.xyz", "0.0")</f>
        <v>0.0</v>
      </c>
      <c r="G1771" s="13" t="str">
        <f>HYPERLINK(AC2 &amp; "/mug/sn_e6dedae946ff5265a95fb60c110b25aa/rendering/04.xyz", "0.0")</f>
        <v>0.0</v>
      </c>
      <c r="H1771" s="13" t="str">
        <f>HYPERLINK(AC2 &amp; "/mug/sn_e6dedae946ff5265a95fb60c110b25aa/rendering/05.xyz", "0.0")</f>
        <v>0.0</v>
      </c>
      <c r="I1771" s="13" t="str">
        <f>HYPERLINK(AC2 &amp; "/mug/sn_e6dedae946ff5265a95fb60c110b25aa/rendering/06.xyz", "0.0")</f>
        <v>0.0</v>
      </c>
      <c r="J1771" s="13" t="str">
        <f>HYPERLINK(AC2 &amp; "/mug/sn_e6dedae946ff5265a95fb60c110b25aa/rendering/07.xyz", "0.0")</f>
        <v>0.0</v>
      </c>
      <c r="K1771" s="13" t="str">
        <f>HYPERLINK(AC2 &amp; "/mug/sn_e6dedae946ff5265a95fb60c110b25aa/rendering/08.xyz", "0.0")</f>
        <v>0.0</v>
      </c>
      <c r="L1771" s="13" t="str">
        <f>HYPERLINK(AC2 &amp; "/mug/sn_e6dedae946ff5265a95fb60c110b25aa/rendering/09.xyz", "0.0")</f>
        <v>0.0</v>
      </c>
      <c r="M1771" s="13" t="str">
        <f>HYPERLINK(AC2 &amp; "/mug/sn_e6dedae946ff5265a95fb60c110b25aa/rendering/10.xyz", "0.0")</f>
        <v>0.0</v>
      </c>
      <c r="N1771" s="13" t="str">
        <f>HYPERLINK(AC2 &amp; "/mug/sn_e6dedae946ff5265a95fb60c110b25aa/rendering/11.xyz", "0.0")</f>
        <v>0.0</v>
      </c>
      <c r="O1771" s="13" t="str">
        <f>HYPERLINK(AC2 &amp; "/mug/sn_e6dedae946ff5265a95fb60c110b25aa/rendering/12.xyz", "0.0")</f>
        <v>0.0</v>
      </c>
      <c r="P1771" s="13" t="str">
        <f>HYPERLINK(AC2 &amp; "/mug/sn_e6dedae946ff5265a95fb60c110b25aa/rendering/13.xyz", "0.0")</f>
        <v>0.0</v>
      </c>
      <c r="Q1771" s="13" t="str">
        <f>HYPERLINK(AC2 &amp; "/mug/sn_e6dedae946ff5265a95fb60c110b25aa/rendering/14.xyz", "0.0")</f>
        <v>0.0</v>
      </c>
      <c r="R1771" s="13" t="str">
        <f>HYPERLINK(AC2 &amp; "/mug/sn_e6dedae946ff5265a95fb60c110b25aa/rendering/15.xyz", "0.0")</f>
        <v>0.0</v>
      </c>
      <c r="S1771" s="13" t="str">
        <f>HYPERLINK(AC2 &amp; "/mug/sn_e6dedae946ff5265a95fb60c110b25aa/rendering/16.xyz", "0.0")</f>
        <v>0.0</v>
      </c>
      <c r="T1771" s="13" t="str">
        <f>HYPERLINK(AC2 &amp; "/mug/sn_e6dedae946ff5265a95fb60c110b25aa/rendering/17.xyz", "0.0")</f>
        <v>0.0</v>
      </c>
      <c r="U1771" s="13" t="str">
        <f>HYPERLINK(AC2 &amp; "/mug/sn_e6dedae946ff5265a95fb60c110b25aa/rendering/18.xyz", "0.0")</f>
        <v>0.0</v>
      </c>
      <c r="V1771" s="13" t="str">
        <f>HYPERLINK(AC2 &amp; "/mug/sn_e6dedae946ff5265a95fb60c110b25aa/rendering/19.xyz", "0.0")</f>
        <v>0.0</v>
      </c>
      <c r="W1771" s="12" t="s">
        <v>33</v>
      </c>
      <c r="X1771" s="13">
        <v>0</v>
      </c>
      <c r="Y1771" s="13">
        <v>0</v>
      </c>
      <c r="Z1771" s="13">
        <v>0</v>
      </c>
    </row>
    <row r="1772" spans="1:26" x14ac:dyDescent="0.2">
      <c r="A1772" s="1">
        <v>1770</v>
      </c>
      <c r="B1772" s="2" t="s">
        <v>387</v>
      </c>
      <c r="C1772" s="134" t="str">
        <f>HYPERLINK(AA2 &amp; "/mug/sn_e71102b6da1d63f3a363b55cbd344baa/rendering/00.obj", "3.53627349854")</f>
        <v>3.53627349854</v>
      </c>
      <c r="D1772" s="65" t="str">
        <f>HYPERLINK(AA2 &amp; "/mug/sn_e71102b6da1d63f3a363b55cbd344baa/rendering/01.obj", "2.5916796875")</f>
        <v>2.5916796875</v>
      </c>
      <c r="E1772" s="148" t="str">
        <f>HYPERLINK(AA2 &amp; "/mug/sn_e71102b6da1d63f3a363b55cbd344baa/rendering/02.obj", "4.44368469238")</f>
        <v>4.44368469238</v>
      </c>
      <c r="F1772" s="117" t="str">
        <f>HYPERLINK(AA2 &amp; "/mug/sn_e71102b6da1d63f3a363b55cbd344baa/rendering/03.obj", "2.46348495483")</f>
        <v>2.46348495483</v>
      </c>
      <c r="G1772" s="34" t="str">
        <f>HYPERLINK(AA2 &amp; "/mug/sn_e71102b6da1d63f3a363b55cbd344baa/rendering/04.obj", "2.84622375488")</f>
        <v>2.84622375488</v>
      </c>
      <c r="H1772" s="55" t="str">
        <f>HYPERLINK(AA2 &amp; "/mug/sn_e71102b6da1d63f3a363b55cbd344baa/rendering/05.obj", "2.4119921875")</f>
        <v>2.4119921875</v>
      </c>
      <c r="I1772" s="41" t="str">
        <f>HYPERLINK(AA2 &amp; "/mug/sn_e71102b6da1d63f3a363b55cbd344baa/rendering/06.obj", "3.19330566406")</f>
        <v>3.19330566406</v>
      </c>
      <c r="J1772" s="69" t="str">
        <f>HYPERLINK(AA2 &amp; "/mug/sn_e71102b6da1d63f3a363b55cbd344baa/rendering/07.obj", "2.89940124512")</f>
        <v>2.89940124512</v>
      </c>
      <c r="K1772" s="28" t="str">
        <f>HYPERLINK(AA2 &amp; "/mug/sn_e71102b6da1d63f3a363b55cbd344baa/rendering/08.obj", "3.32613128662")</f>
        <v>3.32613128662</v>
      </c>
      <c r="L1772" s="30" t="str">
        <f>HYPERLINK(AA2 &amp; "/mug/sn_e71102b6da1d63f3a363b55cbd344baa/rendering/09.obj", "2.97505584717")</f>
        <v>2.97505584717</v>
      </c>
      <c r="M1772" s="71" t="str">
        <f>HYPERLINK(AA2 &amp; "/mug/sn_e71102b6da1d63f3a363b55cbd344baa/rendering/10.obj", "2.63971405029")</f>
        <v>2.63971405029</v>
      </c>
      <c r="N1772" s="79" t="str">
        <f>HYPERLINK(AA2 &amp; "/mug/sn_e71102b6da1d63f3a363b55cbd344baa/rendering/11.obj", "3.46545013428")</f>
        <v>3.46545013428</v>
      </c>
      <c r="O1772" s="67" t="str">
        <f>HYPERLINK(AA2 &amp; "/mug/sn_e71102b6da1d63f3a363b55cbd344baa/rendering/12.obj", "3.26858032227")</f>
        <v>3.26858032227</v>
      </c>
      <c r="P1772" s="17" t="str">
        <f>HYPERLINK(AA2 &amp; "/mug/sn_e71102b6da1d63f3a363b55cbd344baa/rendering/13.obj", "3.05835601807")</f>
        <v>3.05835601807</v>
      </c>
      <c r="Q1772" s="76" t="str">
        <f>HYPERLINK(AA2 &amp; "/mug/sn_e71102b6da1d63f3a363b55cbd344baa/rendering/14.obj", "2.44197814941")</f>
        <v>2.44197814941</v>
      </c>
      <c r="R1772" s="107" t="str">
        <f>HYPERLINK(AA2 &amp; "/mug/sn_e71102b6da1d63f3a363b55cbd344baa/rendering/15.obj", "3.24495697021")</f>
        <v>3.24495697021</v>
      </c>
      <c r="S1772" s="175" t="str">
        <f>HYPERLINK(AA2 &amp; "/mug/sn_e71102b6da1d63f3a363b55cbd344baa/rendering/16.obj", "2.29399749756")</f>
        <v>2.29399749756</v>
      </c>
      <c r="T1772" s="38" t="str">
        <f>HYPERLINK(AA2 &amp; "/mug/sn_e71102b6da1d63f3a363b55cbd344baa/rendering/17.obj", "3.26134429932")</f>
        <v>3.26134429932</v>
      </c>
      <c r="U1772" s="133" t="str">
        <f>HYPERLINK(AA2 &amp; "/mug/sn_e71102b6da1d63f3a363b55cbd344baa/rendering/18.obj", "2.68576873779")</f>
        <v>2.68576873779</v>
      </c>
      <c r="V1772" s="78" t="str">
        <f>HYPERLINK(AA2 &amp; "/mug/sn_e71102b6da1d63f3a363b55cbd344baa/rendering/19.obj", "2.81268005371")</f>
        <v>2.81268005371</v>
      </c>
      <c r="W1772" s="12" t="s">
        <v>29</v>
      </c>
      <c r="X1772" s="13">
        <v>2.9930029525756838</v>
      </c>
      <c r="Y1772" s="13">
        <v>0.49209928502226458</v>
      </c>
      <c r="Z1772" s="64">
        <v>0.164416571857632</v>
      </c>
    </row>
    <row r="1773" spans="1:26" x14ac:dyDescent="0.2">
      <c r="A1773" s="1">
        <v>1771</v>
      </c>
      <c r="B1773" s="2" t="s">
        <v>387</v>
      </c>
      <c r="C1773" s="75" t="str">
        <f>HYPERLINK(AA2 &amp; "/mug/sn_e71102b6da1d63f3a363b55cbd344baa/rendering/00.obj", "6.11644554138")</f>
        <v>6.11644554138</v>
      </c>
      <c r="D1773" s="65" t="str">
        <f>HYPERLINK(AA2 &amp; "/mug/sn_e71102b6da1d63f3a363b55cbd344baa/rendering/01.obj", "4.34118652344")</f>
        <v>4.34118652344</v>
      </c>
      <c r="E1773" s="147" t="str">
        <f>HYPERLINK(AA2 &amp; "/mug/sn_e71102b6da1d63f3a363b55cbd344baa/rendering/02.obj", "7.44654464722")</f>
        <v>7.44654464722</v>
      </c>
      <c r="F1773" s="24" t="str">
        <f>HYPERLINK(AA2 &amp; "/mug/sn_e71102b6da1d63f3a363b55cbd344baa/rendering/03.obj", "4.15657520294")</f>
        <v>4.15657520294</v>
      </c>
      <c r="G1773" s="68" t="str">
        <f>HYPERLINK(AA2 &amp; "/mug/sn_e71102b6da1d63f3a363b55cbd344baa/rendering/04.obj", "4.78916072845")</f>
        <v>4.78916072845</v>
      </c>
      <c r="H1773" s="83" t="str">
        <f>HYPERLINK(AA2 &amp; "/mug/sn_e71102b6da1d63f3a363b55cbd344baa/rendering/05.obj", "4.24593639374")</f>
        <v>4.24593639374</v>
      </c>
      <c r="I1773" s="10" t="str">
        <f>HYPERLINK(AA2 &amp; "/mug/sn_e71102b6da1d63f3a363b55cbd344baa/rendering/06.obj", "5.27768993378")</f>
        <v>5.27768993378</v>
      </c>
      <c r="J1773" s="46" t="str">
        <f>HYPERLINK(AA2 &amp; "/mug/sn_e71102b6da1d63f3a363b55cbd344baa/rendering/07.obj", "4.91582012177")</f>
        <v>4.91582012177</v>
      </c>
      <c r="K1773" s="28" t="str">
        <f>HYPERLINK(AA2 &amp; "/mug/sn_e71102b6da1d63f3a363b55cbd344baa/rendering/08.obj", "5.56694412231")</f>
        <v>5.56694412231</v>
      </c>
      <c r="L1773" s="23" t="str">
        <f>HYPERLINK(AA2 &amp; "/mug/sn_e71102b6da1d63f3a363b55cbd344baa/rendering/09.obj", "4.81364154816")</f>
        <v>4.81364154816</v>
      </c>
      <c r="M1773" s="78" t="str">
        <f>HYPERLINK(AA2 &amp; "/mug/sn_e71102b6da1d63f3a363b55cbd344baa/rendering/10.obj", "4.69725036621")</f>
        <v>4.69725036621</v>
      </c>
      <c r="N1773" s="99" t="str">
        <f>HYPERLINK(AA2 &amp; "/mug/sn_e71102b6da1d63f3a363b55cbd344baa/rendering/11.obj", "6.35364627838")</f>
        <v>6.35364627838</v>
      </c>
      <c r="O1773" s="13" t="str">
        <f>HYPERLINK(AA2 &amp; "/mug/sn_e71102b6da1d63f3a363b55cbd344baa/rendering/12.obj", "4.98985242844")</f>
        <v>4.98985242844</v>
      </c>
      <c r="P1773" s="30" t="str">
        <f>HYPERLINK(AA2 &amp; "/mug/sn_e71102b6da1d63f3a363b55cbd344baa/rendering/13.obj", "5.03171873093")</f>
        <v>5.03171873093</v>
      </c>
      <c r="Q1773" s="76" t="str">
        <f>HYPERLINK(AA2 &amp; "/mug/sn_e71102b6da1d63f3a363b55cbd344baa/rendering/14.obj", "4.08669710159")</f>
        <v>4.08669710159</v>
      </c>
      <c r="R1773" s="46" t="str">
        <f>HYPERLINK(AA2 &amp; "/mug/sn_e71102b6da1d63f3a363b55cbd344baa/rendering/15.obj", "5.09093570709")</f>
        <v>5.09093570709</v>
      </c>
      <c r="S1773" s="81" t="str">
        <f>HYPERLINK(AA2 &amp; "/mug/sn_e71102b6da1d63f3a363b55cbd344baa/rendering/16.obj", "3.91861748695")</f>
        <v>3.91861748695</v>
      </c>
      <c r="T1773" s="47" t="str">
        <f>HYPERLINK(AA2 &amp; "/mug/sn_e71102b6da1d63f3a363b55cbd344baa/rendering/17.obj", "5.04838180542")</f>
        <v>5.04838180542</v>
      </c>
      <c r="U1773" s="92" t="str">
        <f>HYPERLINK(AA2 &amp; "/mug/sn_e71102b6da1d63f3a363b55cbd344baa/rendering/18.obj", "4.37604188919")</f>
        <v>4.37604188919</v>
      </c>
      <c r="V1773" s="68" t="str">
        <f>HYPERLINK(AA2 &amp; "/mug/sn_e71102b6da1d63f3a363b55cbd344baa/rendering/19.obj", "4.78827953339")</f>
        <v>4.78827953339</v>
      </c>
      <c r="W1773" s="12" t="s">
        <v>30</v>
      </c>
      <c r="X1773" s="13">
        <v>5.0025683045387268</v>
      </c>
      <c r="Y1773" s="13">
        <v>0.83078615016156188</v>
      </c>
      <c r="Z1773" s="64">
        <v>0.1660719253763725</v>
      </c>
    </row>
    <row r="1774" spans="1:26" x14ac:dyDescent="0.2">
      <c r="A1774" s="1">
        <v>1772</v>
      </c>
      <c r="B1774" s="2" t="s">
        <v>387</v>
      </c>
      <c r="C1774" s="73" t="str">
        <f>HYPERLINK(AB2 &amp; "/mug/sn_e71102b6da1d63f3a363b55cbd344baa/rendering/00.obj", "2.90299072266")</f>
        <v>2.90299072266</v>
      </c>
      <c r="D1774" s="68" t="str">
        <f>HYPERLINK(AB2 &amp; "/mug/sn_e71102b6da1d63f3a363b55cbd344baa/rendering/01.obj", "2.91900024414")</f>
        <v>2.91900024414</v>
      </c>
      <c r="E1774" s="10" t="str">
        <f>HYPERLINK(AB2 &amp; "/mug/sn_e71102b6da1d63f3a363b55cbd344baa/rendering/02.obj", "2.95577392578")</f>
        <v>2.95577392578</v>
      </c>
      <c r="F1774" s="23" t="str">
        <f>HYPERLINK(AB2 &amp; "/mug/sn_e71102b6da1d63f3a363b55cbd344baa/rendering/03.obj", "2.91153137207")</f>
        <v>2.91153137207</v>
      </c>
      <c r="G1774" s="6" t="str">
        <f>HYPERLINK(AB2 &amp; "/mug/sn_e71102b6da1d63f3a363b55cbd344baa/rendering/04.obj", "2.9260949707")</f>
        <v>2.9260949707</v>
      </c>
      <c r="H1774" s="26" t="str">
        <f>HYPERLINK(AB2 &amp; "/mug/sn_e71102b6da1d63f3a363b55cbd344baa/rendering/05.obj", "2.61872131348")</f>
        <v>2.61872131348</v>
      </c>
      <c r="I1774" s="48" t="str">
        <f>HYPERLINK(AB2 &amp; "/mug/sn_e71102b6da1d63f3a363b55cbd344baa/rendering/06.obj", "2.73636047363")</f>
        <v>2.73636047363</v>
      </c>
      <c r="J1774" s="29" t="str">
        <f>HYPERLINK(AB2 &amp; "/mug/sn_e71102b6da1d63f3a363b55cbd344baa/rendering/07.obj", "2.43591461182")</f>
        <v>2.43591461182</v>
      </c>
      <c r="K1774" s="74" t="str">
        <f>HYPERLINK(AB2 &amp; "/mug/sn_e71102b6da1d63f3a363b55cbd344baa/rendering/08.obj", "2.84288024902")</f>
        <v>2.84288024902</v>
      </c>
      <c r="L1774" s="91" t="str">
        <f>HYPERLINK(AB2 &amp; "/mug/sn_e71102b6da1d63f3a363b55cbd344baa/rendering/09.obj", "2.87621398926")</f>
        <v>2.87621398926</v>
      </c>
      <c r="M1774" s="6" t="str">
        <f>HYPERLINK(AB2 &amp; "/mug/sn_e71102b6da1d63f3a363b55cbd344baa/rendering/10.obj", "2.67020996094")</f>
        <v>2.67020996094</v>
      </c>
      <c r="N1774" s="17" t="str">
        <f>HYPERLINK(AB2 &amp; "/mug/sn_e71102b6da1d63f3a363b55cbd344baa/rendering/11.obj", "2.85243560791")</f>
        <v>2.85243560791</v>
      </c>
      <c r="O1774" s="78" t="str">
        <f>HYPERLINK(AB2 &amp; "/mug/sn_e71102b6da1d63f3a363b55cbd344baa/rendering/12.obj", "2.97060668945")</f>
        <v>2.97060668945</v>
      </c>
      <c r="P1774" s="5" t="str">
        <f>HYPERLINK(AB2 &amp; "/mug/sn_e71102b6da1d63f3a363b55cbd344baa/rendering/13.obj", "2.58217224121")</f>
        <v>2.58217224121</v>
      </c>
      <c r="Q1774" s="46" t="str">
        <f>HYPERLINK(AB2 &amp; "/mug/sn_e71102b6da1d63f3a363b55cbd344baa/rendering/14.obj", "2.84790985107")</f>
        <v>2.84790985107</v>
      </c>
      <c r="R1774" s="71" t="str">
        <f>HYPERLINK(AB2 &amp; "/mug/sn_e71102b6da1d63f3a363b55cbd344baa/rendering/15.obj", "2.47145523071")</f>
        <v>2.47145523071</v>
      </c>
      <c r="S1774" s="29" t="str">
        <f>HYPERLINK(AB2 &amp; "/mug/sn_e71102b6da1d63f3a363b55cbd344baa/rendering/16.obj", "3.1665802002")</f>
        <v>3.1665802002</v>
      </c>
      <c r="T1774" s="25" t="str">
        <f>HYPERLINK(AB2 &amp; "/mug/sn_e71102b6da1d63f3a363b55cbd344baa/rendering/17.obj", "2.83328704834")</f>
        <v>2.83328704834</v>
      </c>
      <c r="U1774" s="78" t="str">
        <f>HYPERLINK(AB2 &amp; "/mug/sn_e71102b6da1d63f3a363b55cbd344baa/rendering/18.obj", "2.6253729248")</f>
        <v>2.6253729248</v>
      </c>
      <c r="V1774" s="46" t="str">
        <f>HYPERLINK(AB2 &amp; "/mug/sn_e71102b6da1d63f3a363b55cbd344baa/rendering/19.obj", "2.84672515869")</f>
        <v>2.84672515869</v>
      </c>
      <c r="W1774" s="12" t="s">
        <v>31</v>
      </c>
      <c r="X1774" s="13">
        <v>2.7996118392944331</v>
      </c>
      <c r="Y1774" s="13">
        <v>0.17734735910125651</v>
      </c>
      <c r="Z1774" s="26">
        <v>6.3347124273467892E-2</v>
      </c>
    </row>
    <row r="1775" spans="1:26" x14ac:dyDescent="0.2">
      <c r="A1775" s="1">
        <v>1773</v>
      </c>
      <c r="B1775" s="2" t="s">
        <v>387</v>
      </c>
      <c r="C1775" s="48" t="str">
        <f>HYPERLINK(AB2 &amp; "/mug/sn_e71102b6da1d63f3a363b55cbd344baa/rendering/00.obj", "4.59975910187")</f>
        <v>4.59975910187</v>
      </c>
      <c r="D1775" s="91" t="str">
        <f>HYPERLINK(AB2 &amp; "/mug/sn_e71102b6da1d63f3a363b55cbd344baa/rendering/01.obj", "4.6165471077")</f>
        <v>4.6165471077</v>
      </c>
      <c r="E1775" s="5" t="str">
        <f>HYPERLINK(AB2 &amp; "/mug/sn_e71102b6da1d63f3a363b55cbd344baa/rendering/02.obj", "4.84798908234")</f>
        <v>4.84798908234</v>
      </c>
      <c r="F1775" s="10" t="str">
        <f>HYPERLINK(AB2 &amp; "/mug/sn_e71102b6da1d63f3a363b55cbd344baa/rendering/03.obj", "4.73965215683")</f>
        <v>4.73965215683</v>
      </c>
      <c r="G1775" s="25" t="str">
        <f>HYPERLINK(AB2 &amp; "/mug/sn_e71102b6da1d63f3a363b55cbd344baa/rendering/04.obj", "4.5520324707")</f>
        <v>4.5520324707</v>
      </c>
      <c r="H1775" s="17" t="str">
        <f>HYPERLINK(AB2 &amp; "/mug/sn_e71102b6da1d63f3a363b55cbd344baa/rendering/05.obj", "4.58591842651")</f>
        <v>4.58591842651</v>
      </c>
      <c r="I1775" s="68" t="str">
        <f>HYPERLINK(AB2 &amp; "/mug/sn_e71102b6da1d63f3a363b55cbd344baa/rendering/06.obj", "4.30829143524")</f>
        <v>4.30829143524</v>
      </c>
      <c r="J1775" s="92" t="str">
        <f>HYPERLINK(AB2 &amp; "/mug/sn_e71102b6da1d63f3a363b55cbd344baa/rendering/07.obj", "3.94384455681")</f>
        <v>3.94384455681</v>
      </c>
      <c r="K1775" s="46" t="str">
        <f>HYPERLINK(AB2 &amp; "/mug/sn_e71102b6da1d63f3a363b55cbd344baa/rendering/08.obj", "4.58071517944")</f>
        <v>4.58071517944</v>
      </c>
      <c r="L1775" s="46" t="str">
        <f>HYPERLINK(AB2 &amp; "/mug/sn_e71102b6da1d63f3a363b55cbd344baa/rendering/09.obj", "4.42477655411")</f>
        <v>4.42477655411</v>
      </c>
      <c r="M1775" s="17" t="str">
        <f>HYPERLINK(AB2 &amp; "/mug/sn_e71102b6da1d63f3a363b55cbd344baa/rendering/10.obj", "4.41186094284")</f>
        <v>4.41186094284</v>
      </c>
      <c r="N1775" s="72" t="str">
        <f>HYPERLINK(AB2 &amp; "/mug/sn_e71102b6da1d63f3a363b55cbd344baa/rendering/11.obj", "4.64359712601")</f>
        <v>4.64359712601</v>
      </c>
      <c r="O1775" s="25" t="str">
        <f>HYPERLINK(AB2 &amp; "/mug/sn_e71102b6da1d63f3a363b55cbd344baa/rendering/12.obj", "4.55224847794")</f>
        <v>4.55224847794</v>
      </c>
      <c r="P1775" s="32" t="str">
        <f>HYPERLINK(AB2 &amp; "/mug/sn_e71102b6da1d63f3a363b55cbd344baa/rendering/13.obj", "4.03035593033")</f>
        <v>4.03035593033</v>
      </c>
      <c r="Q1775" s="5" t="str">
        <f>HYPERLINK(AB2 &amp; "/mug/sn_e71102b6da1d63f3a363b55cbd344baa/rendering/14.obj", "4.83863306046")</f>
        <v>4.83863306046</v>
      </c>
      <c r="R1775" s="29" t="str">
        <f>HYPERLINK(AB2 &amp; "/mug/sn_e71102b6da1d63f3a363b55cbd344baa/rendering/15.obj", "3.91890859604")</f>
        <v>3.91890859604</v>
      </c>
      <c r="S1775" s="134" t="str">
        <f>HYPERLINK(AB2 &amp; "/mug/sn_e71102b6da1d63f3a363b55cbd344baa/rendering/16.obj", "5.30895376205")</f>
        <v>5.30895376205</v>
      </c>
      <c r="T1775" s="91" t="str">
        <f>HYPERLINK(AB2 &amp; "/mug/sn_e71102b6da1d63f3a363b55cbd344baa/rendering/17.obj", "4.37742757797")</f>
        <v>4.37742757797</v>
      </c>
      <c r="U1775" s="41" t="str">
        <f>HYPERLINK(AB2 &amp; "/mug/sn_e71102b6da1d63f3a363b55cbd344baa/rendering/18.obj", "4.18929386139")</f>
        <v>4.18929386139</v>
      </c>
      <c r="V1775" s="30" t="str">
        <f>HYPERLINK(AB2 &amp; "/mug/sn_e71102b6da1d63f3a363b55cbd344baa/rendering/19.obj", "4.48339366913")</f>
        <v>4.48339366913</v>
      </c>
      <c r="W1775" s="12" t="s">
        <v>32</v>
      </c>
      <c r="X1775" s="13">
        <v>4.497709953784943</v>
      </c>
      <c r="Y1775" s="13">
        <v>0.31941756413758698</v>
      </c>
      <c r="Z1775" s="27">
        <v>7.1017821829259711E-2</v>
      </c>
    </row>
    <row r="1776" spans="1:26" x14ac:dyDescent="0.2">
      <c r="A1776" s="1">
        <v>1774</v>
      </c>
      <c r="B1776" s="2" t="s">
        <v>387</v>
      </c>
      <c r="C1776" s="13" t="str">
        <f>HYPERLINK(AC2 &amp; "/mug/sn_e71102b6da1d63f3a363b55cbd344baa/rendering/00.xyz", "0.0")</f>
        <v>0.0</v>
      </c>
      <c r="D1776" s="13" t="str">
        <f>HYPERLINK(AC2 &amp; "/mug/sn_e71102b6da1d63f3a363b55cbd344baa/rendering/01.xyz", "0.0")</f>
        <v>0.0</v>
      </c>
      <c r="E1776" s="13" t="str">
        <f>HYPERLINK(AC2 &amp; "/mug/sn_e71102b6da1d63f3a363b55cbd344baa/rendering/02.xyz", "0.0")</f>
        <v>0.0</v>
      </c>
      <c r="F1776" s="13" t="str">
        <f>HYPERLINK(AC2 &amp; "/mug/sn_e71102b6da1d63f3a363b55cbd344baa/rendering/03.xyz", "0.0")</f>
        <v>0.0</v>
      </c>
      <c r="G1776" s="13" t="str">
        <f>HYPERLINK(AC2 &amp; "/mug/sn_e71102b6da1d63f3a363b55cbd344baa/rendering/04.xyz", "0.0")</f>
        <v>0.0</v>
      </c>
      <c r="H1776" s="13" t="str">
        <f>HYPERLINK(AC2 &amp; "/mug/sn_e71102b6da1d63f3a363b55cbd344baa/rendering/05.xyz", "0.0")</f>
        <v>0.0</v>
      </c>
      <c r="I1776" s="13" t="str">
        <f>HYPERLINK(AC2 &amp; "/mug/sn_e71102b6da1d63f3a363b55cbd344baa/rendering/06.xyz", "0.0")</f>
        <v>0.0</v>
      </c>
      <c r="J1776" s="13" t="str">
        <f>HYPERLINK(AC2 &amp; "/mug/sn_e71102b6da1d63f3a363b55cbd344baa/rendering/07.xyz", "0.0")</f>
        <v>0.0</v>
      </c>
      <c r="K1776" s="13" t="str">
        <f>HYPERLINK(AC2 &amp; "/mug/sn_e71102b6da1d63f3a363b55cbd344baa/rendering/08.xyz", "0.0")</f>
        <v>0.0</v>
      </c>
      <c r="L1776" s="13" t="str">
        <f>HYPERLINK(AC2 &amp; "/mug/sn_e71102b6da1d63f3a363b55cbd344baa/rendering/09.xyz", "0.0")</f>
        <v>0.0</v>
      </c>
      <c r="M1776" s="13" t="str">
        <f>HYPERLINK(AC2 &amp; "/mug/sn_e71102b6da1d63f3a363b55cbd344baa/rendering/10.xyz", "0.0")</f>
        <v>0.0</v>
      </c>
      <c r="N1776" s="13" t="str">
        <f>HYPERLINK(AC2 &amp; "/mug/sn_e71102b6da1d63f3a363b55cbd344baa/rendering/11.xyz", "0.0")</f>
        <v>0.0</v>
      </c>
      <c r="O1776" s="13" t="str">
        <f>HYPERLINK(AC2 &amp; "/mug/sn_e71102b6da1d63f3a363b55cbd344baa/rendering/12.xyz", "0.0")</f>
        <v>0.0</v>
      </c>
      <c r="P1776" s="13" t="str">
        <f>HYPERLINK(AC2 &amp; "/mug/sn_e71102b6da1d63f3a363b55cbd344baa/rendering/13.xyz", "0.0")</f>
        <v>0.0</v>
      </c>
      <c r="Q1776" s="13" t="str">
        <f>HYPERLINK(AC2 &amp; "/mug/sn_e71102b6da1d63f3a363b55cbd344baa/rendering/14.xyz", "0.0")</f>
        <v>0.0</v>
      </c>
      <c r="R1776" s="13" t="str">
        <f>HYPERLINK(AC2 &amp; "/mug/sn_e71102b6da1d63f3a363b55cbd344baa/rendering/15.xyz", "0.0")</f>
        <v>0.0</v>
      </c>
      <c r="S1776" s="13" t="str">
        <f>HYPERLINK(AC2 &amp; "/mug/sn_e71102b6da1d63f3a363b55cbd344baa/rendering/16.xyz", "0.0")</f>
        <v>0.0</v>
      </c>
      <c r="T1776" s="13" t="str">
        <f>HYPERLINK(AC2 &amp; "/mug/sn_e71102b6da1d63f3a363b55cbd344baa/rendering/17.xyz", "0.0")</f>
        <v>0.0</v>
      </c>
      <c r="U1776" s="13" t="str">
        <f>HYPERLINK(AC2 &amp; "/mug/sn_e71102b6da1d63f3a363b55cbd344baa/rendering/18.xyz", "0.0")</f>
        <v>0.0</v>
      </c>
      <c r="V1776" s="13" t="str">
        <f>HYPERLINK(AC2 &amp; "/mug/sn_e71102b6da1d63f3a363b55cbd344baa/rendering/19.xyz", "0.0")</f>
        <v>0.0</v>
      </c>
      <c r="W1776" s="12" t="s">
        <v>33</v>
      </c>
      <c r="X1776" s="13">
        <v>0</v>
      </c>
      <c r="Y1776" s="13">
        <v>0</v>
      </c>
      <c r="Z1776" s="13">
        <v>0</v>
      </c>
    </row>
    <row r="1777" spans="1:26" x14ac:dyDescent="0.2">
      <c r="A1777" s="1">
        <v>1775</v>
      </c>
      <c r="B1777" s="2" t="s">
        <v>388</v>
      </c>
      <c r="C1777" s="48" t="str">
        <f>HYPERLINK(AA2 &amp; "/mug/sn_e9499e4a9f632725d6e865157050a80e/rendering/00.obj", "3.62586883545")</f>
        <v>3.62586883545</v>
      </c>
      <c r="D1777" s="118" t="str">
        <f>HYPERLINK(AA2 &amp; "/mug/sn_e9499e4a9f632725d6e865157050a80e/rendering/01.obj", "2.5046762085")</f>
        <v>2.5046762085</v>
      </c>
      <c r="E1777" s="17" t="str">
        <f>HYPERLINK(AA2 &amp; "/mug/sn_e9499e4a9f632725d6e865157050a80e/rendering/02.obj", "3.61230407715")</f>
        <v>3.61230407715</v>
      </c>
      <c r="F1777" s="10" t="str">
        <f>HYPERLINK(AA2 &amp; "/mug/sn_e9499e4a9f632725d6e865157050a80e/rendering/03.obj", "3.34113586426")</f>
        <v>3.34113586426</v>
      </c>
      <c r="G1777" s="118" t="str">
        <f>HYPERLINK(AA2 &amp; "/mug/sn_e9499e4a9f632725d6e865157050a80e/rendering/04.obj", "2.49878814697")</f>
        <v>2.49878814697</v>
      </c>
      <c r="H1777" s="89" t="str">
        <f>HYPERLINK(AA2 &amp; "/mug/sn_e9499e4a9f632725d6e865157050a80e/rendering/05.obj", "2.6279309082")</f>
        <v>2.6279309082</v>
      </c>
      <c r="I1777" s="151" t="str">
        <f>HYPERLINK(AA2 &amp; "/mug/sn_e9499e4a9f632725d6e865157050a80e/rendering/06.obj", "4.81406738281")</f>
        <v>4.81406738281</v>
      </c>
      <c r="J1777" s="122" t="str">
        <f>HYPERLINK(AA2 &amp; "/mug/sn_e9499e4a9f632725d6e865157050a80e/rendering/07.obj", "2.11691970825")</f>
        <v>2.11691970825</v>
      </c>
      <c r="K1777" s="20" t="str">
        <f>HYPERLINK(AA2 &amp; "/mug/sn_e9499e4a9f632725d6e865157050a80e/rendering/08.obj", "8.36276977539")</f>
        <v>8.36276977539</v>
      </c>
      <c r="L1777" s="176" t="str">
        <f>HYPERLINK(AA2 &amp; "/mug/sn_e9499e4a9f632725d6e865157050a80e/rendering/09.obj", "4.66317871094")</f>
        <v>4.66317871094</v>
      </c>
      <c r="M1777" s="59" t="str">
        <f>HYPERLINK(AA2 &amp; "/mug/sn_e9499e4a9f632725d6e865157050a80e/rendering/10.obj", "2.69447021484")</f>
        <v>2.69447021484</v>
      </c>
      <c r="N1777" s="98" t="str">
        <f>HYPERLINK(AA2 &amp; "/mug/sn_e9499e4a9f632725d6e865157050a80e/rendering/11.obj", "4.35211273193")</f>
        <v>4.35211273193</v>
      </c>
      <c r="O1777" s="47" t="str">
        <f>HYPERLINK(AA2 &amp; "/mug/sn_e9499e4a9f632725d6e865157050a80e/rendering/12.obj", "3.51809173584")</f>
        <v>3.51809173584</v>
      </c>
      <c r="P1777" s="81" t="str">
        <f>HYPERLINK(AA2 &amp; "/mug/sn_e9499e4a9f632725d6e865157050a80e/rendering/13.obj", "2.76983551025")</f>
        <v>2.76983551025</v>
      </c>
      <c r="Q1777" s="103" t="str">
        <f>HYPERLINK(AA2 &amp; "/mug/sn_e9499e4a9f632725d6e865157050a80e/rendering/14.obj", "2.38901245117")</f>
        <v>2.38901245117</v>
      </c>
      <c r="R1777" s="15" t="str">
        <f>HYPERLINK(AA2 &amp; "/mug/sn_e9499e4a9f632725d6e865157050a80e/rendering/15.obj", "5.33662475586")</f>
        <v>5.33662475586</v>
      </c>
      <c r="S1777" s="100" t="str">
        <f>HYPERLINK(AA2 &amp; "/mug/sn_e9499e4a9f632725d6e865157050a80e/rendering/16.obj", "4.6055871582")</f>
        <v>4.6055871582</v>
      </c>
      <c r="T1777" s="101" t="str">
        <f>HYPERLINK(AA2 &amp; "/mug/sn_e9499e4a9f632725d6e865157050a80e/rendering/17.obj", "2.2003968811")</f>
        <v>2.2003968811</v>
      </c>
      <c r="U1777" s="182" t="str">
        <f>HYPERLINK(AA2 &amp; "/mug/sn_e9499e4a9f632725d6e865157050a80e/rendering/18.obj", "2.35558685303")</f>
        <v>2.35558685303</v>
      </c>
      <c r="V1777" s="176" t="str">
        <f>HYPERLINK(AA2 &amp; "/mug/sn_e9499e4a9f632725d6e865157050a80e/rendering/19.obj", "2.4178553772")</f>
        <v>2.4178553772</v>
      </c>
      <c r="W1777" s="12" t="s">
        <v>29</v>
      </c>
      <c r="X1777" s="13">
        <v>3.5403606643676762</v>
      </c>
      <c r="Y1777" s="13">
        <v>1.471765038242181</v>
      </c>
      <c r="Z1777" s="157">
        <v>0.41571048200114502</v>
      </c>
    </row>
    <row r="1778" spans="1:26" x14ac:dyDescent="0.2">
      <c r="A1778" s="1">
        <v>1776</v>
      </c>
      <c r="B1778" s="2" t="s">
        <v>388</v>
      </c>
      <c r="C1778" s="26" t="str">
        <f>HYPERLINK(AA2 &amp; "/mug/sn_e9499e4a9f632725d6e865157050a80e/rendering/00.obj", "6.0718793869")</f>
        <v>6.0718793869</v>
      </c>
      <c r="D1778" s="98" t="str">
        <f>HYPERLINK(AA2 &amp; "/mug/sn_e9499e4a9f632725d6e865157050a80e/rendering/01.obj", "5.00900268555")</f>
        <v>5.00900268555</v>
      </c>
      <c r="E1778" s="80" t="str">
        <f>HYPERLINK(AA2 &amp; "/mug/sn_e9499e4a9f632725d6e865157050a80e/rendering/02.obj", "5.53021192551")</f>
        <v>5.53021192551</v>
      </c>
      <c r="F1778" s="92" t="str">
        <f>HYPERLINK(AA2 &amp; "/mug/sn_e9499e4a9f632725d6e865157050a80e/rendering/03.obj", "5.70164251328")</f>
        <v>5.70164251328</v>
      </c>
      <c r="G1778" s="99" t="str">
        <f>HYPERLINK(AA2 &amp; "/mug/sn_e9499e4a9f632725d6e865157050a80e/rendering/04.obj", "4.73172044754")</f>
        <v>4.73172044754</v>
      </c>
      <c r="H1778" s="50" t="str">
        <f>HYPERLINK(AA2 &amp; "/mug/sn_e9499e4a9f632725d6e865157050a80e/rendering/05.obj", "5.19397974014")</f>
        <v>5.19397974014</v>
      </c>
      <c r="I1778" s="37" t="str">
        <f>HYPERLINK(AA2 &amp; "/mug/sn_e9499e4a9f632725d6e865157050a80e/rendering/06.obj", "7.6245265007")</f>
        <v>7.6245265007</v>
      </c>
      <c r="J1778" s="103" t="str">
        <f>HYPERLINK(AA2 &amp; "/mug/sn_e9499e4a9f632725d6e865157050a80e/rendering/07.obj", "4.38728427887")</f>
        <v>4.38728427887</v>
      </c>
      <c r="K1778" s="20" t="str">
        <f>HYPERLINK(AA2 &amp; "/mug/sn_e9499e4a9f632725d6e865157050a80e/rendering/08.obj", "17.7062358856")</f>
        <v>17.7062358856</v>
      </c>
      <c r="L1778" s="135" t="str">
        <f>HYPERLINK(AA2 &amp; "/mug/sn_e9499e4a9f632725d6e865157050a80e/rendering/09.obj", "8.1628818512")</f>
        <v>8.1628818512</v>
      </c>
      <c r="M1778" s="86" t="str">
        <f>HYPERLINK(AA2 &amp; "/mug/sn_e9499e4a9f632725d6e865157050a80e/rendering/10.obj", "4.75317192078")</f>
        <v>4.75317192078</v>
      </c>
      <c r="N1778" s="117" t="str">
        <f>HYPERLINK(AA2 &amp; "/mug/sn_e9499e4a9f632725d6e865157050a80e/rendering/11.obj", "7.65241193771")</f>
        <v>7.65241193771</v>
      </c>
      <c r="O1778" s="5" t="str">
        <f>HYPERLINK(AA2 &amp; "/mug/sn_e9499e4a9f632725d6e865157050a80e/rendering/12.obj", "6.99807786942")</f>
        <v>6.99807786942</v>
      </c>
      <c r="P1778" s="84" t="str">
        <f>HYPERLINK(AA2 &amp; "/mug/sn_e9499e4a9f632725d6e865157050a80e/rendering/13.obj", "5.55663108826")</f>
        <v>5.55663108826</v>
      </c>
      <c r="Q1778" s="85" t="str">
        <f>HYPERLINK(AA2 &amp; "/mug/sn_e9499e4a9f632725d6e865157050a80e/rendering/14.obj", "4.58075904846")</f>
        <v>4.58075904846</v>
      </c>
      <c r="R1778" s="109" t="str">
        <f>HYPERLINK(AA2 &amp; "/mug/sn_e9499e4a9f632725d6e865157050a80e/rendering/15.obj", "7.74047231674")</f>
        <v>7.74047231674</v>
      </c>
      <c r="S1778" s="119" t="str">
        <f>HYPERLINK(AA2 &amp; "/mug/sn_e9499e4a9f632725d6e865157050a80e/rendering/16.obj", "8.22018241882")</f>
        <v>8.22018241882</v>
      </c>
      <c r="T1778" s="171" t="str">
        <f>HYPERLINK(AA2 &amp; "/mug/sn_e9499e4a9f632725d6e865157050a80e/rendering/17.obj", "4.51449584961")</f>
        <v>4.51449584961</v>
      </c>
      <c r="U1778" s="136" t="str">
        <f>HYPERLINK(AA2 &amp; "/mug/sn_e9499e4a9f632725d6e865157050a80e/rendering/18.obj", "4.96697950363")</f>
        <v>4.96697950363</v>
      </c>
      <c r="V1778" s="170" t="str">
        <f>HYPERLINK(AA2 &amp; "/mug/sn_e9499e4a9f632725d6e865157050a80e/rendering/19.obj", "4.86081218719")</f>
        <v>4.86081218719</v>
      </c>
      <c r="W1778" s="12" t="s">
        <v>30</v>
      </c>
      <c r="X1778" s="13">
        <v>6.4981679677963253</v>
      </c>
      <c r="Y1778" s="13">
        <v>2.8772189075685528</v>
      </c>
      <c r="Z1778" s="181">
        <v>0.44277385900572258</v>
      </c>
    </row>
    <row r="1779" spans="1:26" x14ac:dyDescent="0.2">
      <c r="A1779" s="1">
        <v>1777</v>
      </c>
      <c r="B1779" s="2" t="s">
        <v>388</v>
      </c>
      <c r="C1779" s="69" t="str">
        <f>HYPERLINK(AB2 &amp; "/mug/sn_e9499e4a9f632725d6e865157050a80e/rendering/00.obj", "2.78185058594")</f>
        <v>2.78185058594</v>
      </c>
      <c r="D1779" s="6" t="str">
        <f>HYPERLINK(AB2 &amp; "/mug/sn_e9499e4a9f632725d6e865157050a80e/rendering/01.obj", "2.74538452148")</f>
        <v>2.74538452148</v>
      </c>
      <c r="E1779" s="60" t="str">
        <f>HYPERLINK(AB2 &amp; "/mug/sn_e9499e4a9f632725d6e865157050a80e/rendering/02.obj", "2.72653381348")</f>
        <v>2.72653381348</v>
      </c>
      <c r="F1779" s="26" t="str">
        <f>HYPERLINK(AB2 &amp; "/mug/sn_e9499e4a9f632725d6e865157050a80e/rendering/03.obj", "2.69056213379")</f>
        <v>2.69056213379</v>
      </c>
      <c r="G1779" s="74" t="str">
        <f>HYPERLINK(AB2 &amp; "/mug/sn_e9499e4a9f632725d6e865157050a80e/rendering/04.obj", "2.91319396973")</f>
        <v>2.91319396973</v>
      </c>
      <c r="H1779" s="28" t="str">
        <f>HYPERLINK(AB2 &amp; "/mug/sn_e9499e4a9f632725d6e865157050a80e/rendering/05.obj", "3.19246948242")</f>
        <v>3.19246948242</v>
      </c>
      <c r="I1779" s="78" t="str">
        <f>HYPERLINK(AB2 &amp; "/mug/sn_e9499e4a9f632725d6e865157050a80e/rendering/06.obj", "3.04553283691")</f>
        <v>3.04553283691</v>
      </c>
      <c r="J1779" s="74" t="str">
        <f>HYPERLINK(AB2 &amp; "/mug/sn_e9499e4a9f632725d6e865157050a80e/rendering/07.obj", "2.82861694336")</f>
        <v>2.82861694336</v>
      </c>
      <c r="K1779" s="14" t="str">
        <f>HYPERLINK(AB2 &amp; "/mug/sn_e9499e4a9f632725d6e865157050a80e/rendering/08.obj", "3.70721130371")</f>
        <v>3.70721130371</v>
      </c>
      <c r="L1779" s="10" t="str">
        <f>HYPERLINK(AB2 &amp; "/mug/sn_e9499e4a9f632725d6e865157050a80e/rendering/09.obj", "3.02757202148")</f>
        <v>3.02757202148</v>
      </c>
      <c r="M1779" s="27" t="str">
        <f>HYPERLINK(AB2 &amp; "/mug/sn_e9499e4a9f632725d6e865157050a80e/rendering/10.obj", "2.66748779297")</f>
        <v>2.66748779297</v>
      </c>
      <c r="N1779" s="78" t="str">
        <f>HYPERLINK(AB2 &amp; "/mug/sn_e9499e4a9f632725d6e865157050a80e/rendering/11.obj", "3.04676086426")</f>
        <v>3.04676086426</v>
      </c>
      <c r="O1779" s="78" t="str">
        <f>HYPERLINK(AB2 &amp; "/mug/sn_e9499e4a9f632725d6e865157050a80e/rendering/12.obj", "3.04521118164")</f>
        <v>3.04521118164</v>
      </c>
      <c r="P1779" s="92" t="str">
        <f>HYPERLINK(AB2 &amp; "/mug/sn_e9499e4a9f632725d6e865157050a80e/rendering/13.obj", "2.51269012451")</f>
        <v>2.51269012451</v>
      </c>
      <c r="Q1779" s="23" t="str">
        <f>HYPERLINK(AB2 &amp; "/mug/sn_e9499e4a9f632725d6e865157050a80e/rendering/14.obj", "2.75590240479")</f>
        <v>2.75590240479</v>
      </c>
      <c r="R1779" s="34" t="str">
        <f>HYPERLINK(AB2 &amp; "/mug/sn_e9499e4a9f632725d6e865157050a80e/rendering/15.obj", "2.73641967773")</f>
        <v>2.73641967773</v>
      </c>
      <c r="S1779" s="67" t="str">
        <f>HYPERLINK(AB2 &amp; "/mug/sn_e9499e4a9f632725d6e865157050a80e/rendering/16.obj", "2.61014434814")</f>
        <v>2.61014434814</v>
      </c>
      <c r="T1779" s="34" t="str">
        <f>HYPERLINK(AB2 &amp; "/mug/sn_e9499e4a9f632725d6e865157050a80e/rendering/17.obj", "3.00952636719")</f>
        <v>3.00952636719</v>
      </c>
      <c r="U1779" s="46" t="str">
        <f>HYPERLINK(AB2 &amp; "/mug/sn_e9499e4a9f632725d6e865157050a80e/rendering/18.obj", "2.82342651367")</f>
        <v>2.82342651367</v>
      </c>
      <c r="V1779" s="32" t="str">
        <f>HYPERLINK(AB2 &amp; "/mug/sn_e9499e4a9f632725d6e865157050a80e/rendering/19.obj", "2.5653503418")</f>
        <v>2.5653503418</v>
      </c>
      <c r="W1779" s="12" t="s">
        <v>31</v>
      </c>
      <c r="X1779" s="13">
        <v>2.8715923614501948</v>
      </c>
      <c r="Y1779" s="13">
        <v>0.26302256416522718</v>
      </c>
      <c r="Z1779" s="67">
        <v>9.1594673288654754E-2</v>
      </c>
    </row>
    <row r="1780" spans="1:26" x14ac:dyDescent="0.2">
      <c r="A1780" s="1">
        <v>1778</v>
      </c>
      <c r="B1780" s="2" t="s">
        <v>388</v>
      </c>
      <c r="C1780" s="91" t="str">
        <f>HYPERLINK(AB2 &amp; "/mug/sn_e9499e4a9f632725d6e865157050a80e/rendering/00.obj", "4.80369663239")</f>
        <v>4.80369663239</v>
      </c>
      <c r="D1780" s="48" t="str">
        <f>HYPERLINK(AB2 &amp; "/mug/sn_e9499e4a9f632725d6e865157050a80e/rendering/01.obj", "4.5711388588")</f>
        <v>4.5711388588</v>
      </c>
      <c r="E1780" s="46" t="str">
        <f>HYPERLINK(AB2 &amp; "/mug/sn_e9499e4a9f632725d6e865157050a80e/rendering/02.obj", "4.76287937164")</f>
        <v>4.76287937164</v>
      </c>
      <c r="F1780" s="68" t="str">
        <f>HYPERLINK(AB2 &amp; "/mug/sn_e9499e4a9f632725d6e865157050a80e/rendering/03.obj", "4.47815656662")</f>
        <v>4.47815656662</v>
      </c>
      <c r="G1780" s="90" t="str">
        <f>HYPERLINK(AB2 &amp; "/mug/sn_e9499e4a9f632725d6e865157050a80e/rendering/04.obj", "5.11983203888")</f>
        <v>5.11983203888</v>
      </c>
      <c r="H1780" s="10" t="str">
        <f>HYPERLINK(AB2 &amp; "/mug/sn_e9499e4a9f632725d6e865157050a80e/rendering/05.obj", "4.92947101593")</f>
        <v>4.92947101593</v>
      </c>
      <c r="I1780" s="41" t="str">
        <f>HYPERLINK(AB2 &amp; "/mug/sn_e9499e4a9f632725d6e865157050a80e/rendering/06.obj", "4.98620223999")</f>
        <v>4.98620223999</v>
      </c>
      <c r="J1780" s="74" t="str">
        <f>HYPERLINK(AB2 &amp; "/mug/sn_e9499e4a9f632725d6e865157050a80e/rendering/07.obj", "4.73763990402")</f>
        <v>4.73763990402</v>
      </c>
      <c r="K1780" s="8" t="str">
        <f>HYPERLINK(AB2 &amp; "/mug/sn_e9499e4a9f632725d6e865157050a80e/rendering/08.obj", "5.34875822067")</f>
        <v>5.34875822067</v>
      </c>
      <c r="L1780" s="46" t="str">
        <f>HYPERLINK(AB2 &amp; "/mug/sn_e9499e4a9f632725d6e865157050a80e/rendering/09.obj", "4.59181880951")</f>
        <v>4.59181880951</v>
      </c>
      <c r="M1780" s="72" t="str">
        <f>HYPERLINK(AB2 &amp; "/mug/sn_e9499e4a9f632725d6e865157050a80e/rendering/10.obj", "4.53019046783")</f>
        <v>4.53019046783</v>
      </c>
      <c r="N1780" s="69" t="str">
        <f>HYPERLINK(AB2 &amp; "/mug/sn_e9499e4a9f632725d6e865157050a80e/rendering/11.obj", "4.53995132446")</f>
        <v>4.53995132446</v>
      </c>
      <c r="O1780" s="26" t="str">
        <f>HYPERLINK(AB2 &amp; "/mug/sn_e9499e4a9f632725d6e865157050a80e/rendering/12.obj", "4.97412538528")</f>
        <v>4.97412538528</v>
      </c>
      <c r="P1780" s="51" t="str">
        <f>HYPERLINK(AB2 &amp; "/mug/sn_e9499e4a9f632725d6e865157050a80e/rendering/13.obj", "4.29756402969")</f>
        <v>4.29756402969</v>
      </c>
      <c r="Q1780" s="47" t="str">
        <f>HYPERLINK(AB2 &amp; "/mug/sn_e9499e4a9f632725d6e865157050a80e/rendering/14.obj", "4.71734905243")</f>
        <v>4.71734905243</v>
      </c>
      <c r="R1780" s="48" t="str">
        <f>HYPERLINK(AB2 &amp; "/mug/sn_e9499e4a9f632725d6e865157050a80e/rendering/15.obj", "4.56530427933")</f>
        <v>4.56530427933</v>
      </c>
      <c r="S1780" s="35" t="str">
        <f>HYPERLINK(AB2 &amp; "/mug/sn_e9499e4a9f632725d6e865157050a80e/rendering/16.obj", "4.39947414398")</f>
        <v>4.39947414398</v>
      </c>
      <c r="T1780" s="23" t="str">
        <f>HYPERLINK(AB2 &amp; "/mug/sn_e9499e4a9f632725d6e865157050a80e/rendering/17.obj", "4.49112462997")</f>
        <v>4.49112462997</v>
      </c>
      <c r="U1780" s="78" t="str">
        <f>HYPERLINK(AB2 &amp; "/mug/sn_e9499e4a9f632725d6e865157050a80e/rendering/18.obj", "4.38715171814")</f>
        <v>4.38715171814</v>
      </c>
      <c r="V1780" s="51" t="str">
        <f>HYPERLINK(AB2 &amp; "/mug/sn_e9499e4a9f632725d6e865157050a80e/rendering/19.obj", "4.3065867424")</f>
        <v>4.3065867424</v>
      </c>
      <c r="W1780" s="12" t="s">
        <v>32</v>
      </c>
      <c r="X1780" s="13">
        <v>4.6769207715988159</v>
      </c>
      <c r="Y1780" s="13">
        <v>0.27489045400052242</v>
      </c>
      <c r="Z1780" s="35">
        <v>5.8775948412431722E-2</v>
      </c>
    </row>
    <row r="1781" spans="1:26" x14ac:dyDescent="0.2">
      <c r="A1781" s="1">
        <v>1779</v>
      </c>
      <c r="B1781" s="2" t="s">
        <v>388</v>
      </c>
      <c r="C1781" s="13" t="str">
        <f>HYPERLINK(AC2 &amp; "/mug/sn_e9499e4a9f632725d6e865157050a80e/rendering/00.xyz", "0.0")</f>
        <v>0.0</v>
      </c>
      <c r="D1781" s="13" t="str">
        <f>HYPERLINK(AC2 &amp; "/mug/sn_e9499e4a9f632725d6e865157050a80e/rendering/01.xyz", "0.0")</f>
        <v>0.0</v>
      </c>
      <c r="E1781" s="13" t="str">
        <f>HYPERLINK(AC2 &amp; "/mug/sn_e9499e4a9f632725d6e865157050a80e/rendering/02.xyz", "0.0")</f>
        <v>0.0</v>
      </c>
      <c r="F1781" s="13" t="str">
        <f>HYPERLINK(AC2 &amp; "/mug/sn_e9499e4a9f632725d6e865157050a80e/rendering/03.xyz", "0.0")</f>
        <v>0.0</v>
      </c>
      <c r="G1781" s="13" t="str">
        <f>HYPERLINK(AC2 &amp; "/mug/sn_e9499e4a9f632725d6e865157050a80e/rendering/04.xyz", "0.0")</f>
        <v>0.0</v>
      </c>
      <c r="H1781" s="13" t="str">
        <f>HYPERLINK(AC2 &amp; "/mug/sn_e9499e4a9f632725d6e865157050a80e/rendering/05.xyz", "0.0")</f>
        <v>0.0</v>
      </c>
      <c r="I1781" s="13" t="str">
        <f>HYPERLINK(AC2 &amp; "/mug/sn_e9499e4a9f632725d6e865157050a80e/rendering/06.xyz", "0.0")</f>
        <v>0.0</v>
      </c>
      <c r="J1781" s="13" t="str">
        <f>HYPERLINK(AC2 &amp; "/mug/sn_e9499e4a9f632725d6e865157050a80e/rendering/07.xyz", "0.0")</f>
        <v>0.0</v>
      </c>
      <c r="K1781" s="13" t="str">
        <f>HYPERLINK(AC2 &amp; "/mug/sn_e9499e4a9f632725d6e865157050a80e/rendering/08.xyz", "0.0")</f>
        <v>0.0</v>
      </c>
      <c r="L1781" s="13" t="str">
        <f>HYPERLINK(AC2 &amp; "/mug/sn_e9499e4a9f632725d6e865157050a80e/rendering/09.xyz", "0.0")</f>
        <v>0.0</v>
      </c>
      <c r="M1781" s="13" t="str">
        <f>HYPERLINK(AC2 &amp; "/mug/sn_e9499e4a9f632725d6e865157050a80e/rendering/10.xyz", "0.0")</f>
        <v>0.0</v>
      </c>
      <c r="N1781" s="13" t="str">
        <f>HYPERLINK(AC2 &amp; "/mug/sn_e9499e4a9f632725d6e865157050a80e/rendering/11.xyz", "0.0")</f>
        <v>0.0</v>
      </c>
      <c r="O1781" s="13" t="str">
        <f>HYPERLINK(AC2 &amp; "/mug/sn_e9499e4a9f632725d6e865157050a80e/rendering/12.xyz", "0.0")</f>
        <v>0.0</v>
      </c>
      <c r="P1781" s="13" t="str">
        <f>HYPERLINK(AC2 &amp; "/mug/sn_e9499e4a9f632725d6e865157050a80e/rendering/13.xyz", "0.0")</f>
        <v>0.0</v>
      </c>
      <c r="Q1781" s="13" t="str">
        <f>HYPERLINK(AC2 &amp; "/mug/sn_e9499e4a9f632725d6e865157050a80e/rendering/14.xyz", "0.0")</f>
        <v>0.0</v>
      </c>
      <c r="R1781" s="13" t="str">
        <f>HYPERLINK(AC2 &amp; "/mug/sn_e9499e4a9f632725d6e865157050a80e/rendering/15.xyz", "0.0")</f>
        <v>0.0</v>
      </c>
      <c r="S1781" s="13" t="str">
        <f>HYPERLINK(AC2 &amp; "/mug/sn_e9499e4a9f632725d6e865157050a80e/rendering/16.xyz", "0.0")</f>
        <v>0.0</v>
      </c>
      <c r="T1781" s="13" t="str">
        <f>HYPERLINK(AC2 &amp; "/mug/sn_e9499e4a9f632725d6e865157050a80e/rendering/17.xyz", "0.0")</f>
        <v>0.0</v>
      </c>
      <c r="U1781" s="13" t="str">
        <f>HYPERLINK(AC2 &amp; "/mug/sn_e9499e4a9f632725d6e865157050a80e/rendering/18.xyz", "0.0")</f>
        <v>0.0</v>
      </c>
      <c r="V1781" s="13" t="str">
        <f>HYPERLINK(AC2 &amp; "/mug/sn_e9499e4a9f632725d6e865157050a80e/rendering/19.xyz", "0.0")</f>
        <v>0.0</v>
      </c>
      <c r="W1781" s="12" t="s">
        <v>33</v>
      </c>
      <c r="X1781" s="13">
        <v>0</v>
      </c>
      <c r="Y1781" s="13">
        <v>0</v>
      </c>
      <c r="Z1781" s="13">
        <v>0</v>
      </c>
    </row>
    <row r="1782" spans="1:26" x14ac:dyDescent="0.2">
      <c r="A1782" s="1">
        <v>1780</v>
      </c>
      <c r="B1782" s="2" t="s">
        <v>389</v>
      </c>
      <c r="C1782" s="118" t="str">
        <f>HYPERLINK(AA2 &amp; "/mug/sn_e94e46bc5833f2f5e57b873e4f3ef3a4/rendering/00.obj", "6.34333129883")</f>
        <v>6.34333129883</v>
      </c>
      <c r="D1782" s="81" t="str">
        <f>HYPERLINK(AA2 &amp; "/mug/sn_e94e46bc5833f2f5e57b873e4f3ef3a4/rendering/01.obj", "3.83526733398")</f>
        <v>3.83526733398</v>
      </c>
      <c r="E1782" s="20" t="str">
        <f>HYPERLINK(AA2 &amp; "/mug/sn_e94e46bc5833f2f5e57b873e4f3ef3a4/rendering/02.obj", "9.31389282227")</f>
        <v>9.31389282227</v>
      </c>
      <c r="F1782" s="50" t="str">
        <f>HYPERLINK(AA2 &amp; "/mug/sn_e94e46bc5833f2f5e57b873e4f3ef3a4/rendering/03.obj", "3.92397338867")</f>
        <v>3.92397338867</v>
      </c>
      <c r="G1782" s="63" t="str">
        <f>HYPERLINK(AA2 &amp; "/mug/sn_e94e46bc5833f2f5e57b873e4f3ef3a4/rendering/04.obj", "4.31030334473")</f>
        <v>4.31030334473</v>
      </c>
      <c r="H1782" s="218" t="str">
        <f>HYPERLINK(AA2 &amp; "/mug/sn_e94e46bc5833f2f5e57b873e4f3ef3a4/rendering/05.obj", "7.43665405273")</f>
        <v>7.43665405273</v>
      </c>
      <c r="I1782" s="98" t="str">
        <f>HYPERLINK(AA2 &amp; "/mug/sn_e94e46bc5833f2f5e57b873e4f3ef3a4/rendering/06.obj", "3.77195068359")</f>
        <v>3.77195068359</v>
      </c>
      <c r="J1782" s="94" t="str">
        <f>HYPERLINK(AA2 &amp; "/mug/sn_e94e46bc5833f2f5e57b873e4f3ef3a4/rendering/07.obj", "4.5407434082")</f>
        <v>4.5407434082</v>
      </c>
      <c r="K1782" s="17" t="str">
        <f>HYPERLINK(AA2 &amp; "/mug/sn_e94e46bc5833f2f5e57b873e4f3ef3a4/rendering/08.obj", "4.8162286377")</f>
        <v>4.8162286377</v>
      </c>
      <c r="L1782" s="110" t="str">
        <f>HYPERLINK(AA2 &amp; "/mug/sn_e94e46bc5833f2f5e57b873e4f3ef3a4/rendering/09.obj", "4.42334472656")</f>
        <v>4.42334472656</v>
      </c>
      <c r="M1782" s="10" t="str">
        <f>HYPERLINK(AA2 &amp; "/mug/sn_e94e46bc5833f2f5e57b873e4f3ef3a4/rendering/10.obj", "4.63954101563")</f>
        <v>4.63954101563</v>
      </c>
      <c r="N1782" s="31" t="str">
        <f>HYPERLINK(AA2 &amp; "/mug/sn_e94e46bc5833f2f5e57b873e4f3ef3a4/rendering/11.obj", "4.14023895264")</f>
        <v>4.14023895264</v>
      </c>
      <c r="O1782" s="73" t="str">
        <f>HYPERLINK(AA2 &amp; "/mug/sn_e94e46bc5833f2f5e57b873e4f3ef3a4/rendering/12.obj", "4.7259085083")</f>
        <v>4.7259085083</v>
      </c>
      <c r="P1782" s="33" t="str">
        <f>HYPERLINK(AA2 &amp; "/mug/sn_e94e46bc5833f2f5e57b873e4f3ef3a4/rendering/13.obj", "4.379375")</f>
        <v>4.379375</v>
      </c>
      <c r="Q1782" s="50" t="str">
        <f>HYPERLINK(AA2 &amp; "/mug/sn_e94e46bc5833f2f5e57b873e4f3ef3a4/rendering/14.obj", "3.93061920166")</f>
        <v>3.93061920166</v>
      </c>
      <c r="R1782" s="27" t="str">
        <f>HYPERLINK(AA2 &amp; "/mug/sn_e94e46bc5833f2f5e57b873e4f3ef3a4/rendering/15.obj", "5.25628356934")</f>
        <v>5.25628356934</v>
      </c>
      <c r="S1782" s="36" t="str">
        <f>HYPERLINK(AA2 &amp; "/mug/sn_e94e46bc5833f2f5e57b873e4f3ef3a4/rendering/16.obj", "3.86049835205")</f>
        <v>3.86049835205</v>
      </c>
      <c r="T1782" s="11" t="str">
        <f>HYPERLINK(AA2 &amp; "/mug/sn_e94e46bc5833f2f5e57b873e4f3ef3a4/rendering/17.obj", "6.00741943359")</f>
        <v>6.00741943359</v>
      </c>
      <c r="U1782" s="110" t="str">
        <f>HYPERLINK(AA2 &amp; "/mug/sn_e94e46bc5833f2f5e57b873e4f3ef3a4/rendering/18.obj", "4.42511901855")</f>
        <v>4.42511901855</v>
      </c>
      <c r="V1782" s="64" t="str">
        <f>HYPERLINK(AA2 &amp; "/mug/sn_e94e46bc5833f2f5e57b873e4f3ef3a4/rendering/19.obj", "4.09576904297")</f>
        <v>4.09576904297</v>
      </c>
      <c r="W1782" s="12" t="s">
        <v>29</v>
      </c>
      <c r="X1782" s="13">
        <v>4.9088230895996086</v>
      </c>
      <c r="Y1782" s="13">
        <v>1.3649327467193291</v>
      </c>
      <c r="Z1782" s="7">
        <v>0.27805702544286642</v>
      </c>
    </row>
    <row r="1783" spans="1:26" x14ac:dyDescent="0.2">
      <c r="A1783" s="1">
        <v>1781</v>
      </c>
      <c r="B1783" s="2" t="s">
        <v>389</v>
      </c>
      <c r="C1783" s="163" t="str">
        <f>HYPERLINK(AA2 &amp; "/mug/sn_e94e46bc5833f2f5e57b873e4f3ef3a4/rendering/00.obj", "13.8756303787")</f>
        <v>13.8756303787</v>
      </c>
      <c r="D1783" s="100" t="str">
        <f>HYPERLINK(AA2 &amp; "/mug/sn_e94e46bc5833f2f5e57b873e4f3ef3a4/rendering/01.obj", "6.73231601715")</f>
        <v>6.73231601715</v>
      </c>
      <c r="E1783" s="20" t="str">
        <f>HYPERLINK(AA2 &amp; "/mug/sn_e94e46bc5833f2f5e57b873e4f3ef3a4/rendering/02.obj", "19.4027061462")</f>
        <v>19.4027061462</v>
      </c>
      <c r="F1783" s="88" t="str">
        <f>HYPERLINK(AA2 &amp; "/mug/sn_e94e46bc5833f2f5e57b873e4f3ef3a4/rendering/03.obj", "7.66135835648")</f>
        <v>7.66135835648</v>
      </c>
      <c r="G1783" s="28" t="str">
        <f>HYPERLINK(AA2 &amp; "/mug/sn_e94e46bc5833f2f5e57b873e4f3ef3a4/rendering/04.obj", "8.53970050812")</f>
        <v>8.53970050812</v>
      </c>
      <c r="H1783" s="213" t="str">
        <f>HYPERLINK(AA2 &amp; "/mug/sn_e94e46bc5833f2f5e57b873e4f3ef3a4/rendering/05.obj", "14.3898324966")</f>
        <v>14.3898324966</v>
      </c>
      <c r="I1783" s="11" t="str">
        <f>HYPERLINK(AA2 &amp; "/mug/sn_e94e46bc5833f2f5e57b873e4f3ef3a4/rendering/06.obj", "7.47178649902")</f>
        <v>7.47178649902</v>
      </c>
      <c r="J1783" s="51" t="str">
        <f>HYPERLINK(AA2 &amp; "/mug/sn_e94e46bc5833f2f5e57b873e4f3ef3a4/rendering/07.obj", "8.85107040405")</f>
        <v>8.85107040405</v>
      </c>
      <c r="K1783" s="28" t="str">
        <f>HYPERLINK(AA2 &amp; "/mug/sn_e94e46bc5833f2f5e57b873e4f3ef3a4/rendering/08.obj", "8.5633649826")</f>
        <v>8.5633649826</v>
      </c>
      <c r="L1783" s="168" t="str">
        <f>HYPERLINK(AA2 &amp; "/mug/sn_e94e46bc5833f2f5e57b873e4f3ef3a4/rendering/09.obj", "6.53902101517")</f>
        <v>6.53902101517</v>
      </c>
      <c r="M1783" s="34" t="str">
        <f>HYPERLINK(AA2 &amp; "/mug/sn_e94e46bc5833f2f5e57b873e4f3ef3a4/rendering/10.obj", "10.0863618851")</f>
        <v>10.0863618851</v>
      </c>
      <c r="N1783" s="75" t="str">
        <f>HYPERLINK(AA2 &amp; "/mug/sn_e94e46bc5833f2f5e57b873e4f3ef3a4/rendering/11.obj", "7.49512767792")</f>
        <v>7.49512767792</v>
      </c>
      <c r="O1783" s="13" t="str">
        <f>HYPERLINK(AA2 &amp; "/mug/sn_e94e46bc5833f2f5e57b873e4f3ef3a4/rendering/12.obj", "9.60971450806")</f>
        <v>9.60971450806</v>
      </c>
      <c r="P1783" s="25" t="str">
        <f>HYPERLINK(AA2 &amp; "/mug/sn_e94e46bc5833f2f5e57b873e4f3ef3a4/rendering/13.obj", "9.505900383")</f>
        <v>9.505900383</v>
      </c>
      <c r="Q1783" s="64" t="str">
        <f>HYPERLINK(AA2 &amp; "/mug/sn_e94e46bc5833f2f5e57b873e4f3ef3a4/rendering/14.obj", "8.04117584229")</f>
        <v>8.04117584229</v>
      </c>
      <c r="R1783" s="67" t="str">
        <f>HYPERLINK(AA2 &amp; "/mug/sn_e94e46bc5833f2f5e57b873e4f3ef3a4/rendering/15.obj", "10.519528389")</f>
        <v>10.519528389</v>
      </c>
      <c r="S1783" s="67" t="str">
        <f>HYPERLINK(AA2 &amp; "/mug/sn_e94e46bc5833f2f5e57b873e4f3ef3a4/rendering/16.obj", "8.73074245453")</f>
        <v>8.73074245453</v>
      </c>
      <c r="T1783" s="63" t="str">
        <f>HYPERLINK(AA2 &amp; "/mug/sn_e94e46bc5833f2f5e57b873e4f3ef3a4/rendering/17.obj", "10.7706899643")</f>
        <v>10.7706899643</v>
      </c>
      <c r="U1783" s="58" t="str">
        <f>HYPERLINK(AA2 &amp; "/mug/sn_e94e46bc5833f2f5e57b873e4f3ef3a4/rendering/18.obj", "7.2742266655")</f>
        <v>7.2742266655</v>
      </c>
      <c r="V1783" s="29" t="str">
        <f>HYPERLINK(AA2 &amp; "/mug/sn_e94e46bc5833f2f5e57b873e4f3ef3a4/rendering/19.obj", "8.37007904053")</f>
        <v>8.37007904053</v>
      </c>
      <c r="W1783" s="12" t="s">
        <v>30</v>
      </c>
      <c r="X1783" s="13">
        <v>9.6215166807174679</v>
      </c>
      <c r="Y1783" s="13">
        <v>3.0244616882265691</v>
      </c>
      <c r="Z1783" s="57">
        <v>0.31434354775769491</v>
      </c>
    </row>
    <row r="1784" spans="1:26" x14ac:dyDescent="0.2">
      <c r="A1784" s="1">
        <v>1782</v>
      </c>
      <c r="B1784" s="2" t="s">
        <v>389</v>
      </c>
      <c r="C1784" s="70" t="str">
        <f>HYPERLINK(AB2 &amp; "/mug/sn_e94e46bc5833f2f5e57b873e4f3ef3a4/rendering/00.obj", "3.67972930908")</f>
        <v>3.67972930908</v>
      </c>
      <c r="D1784" s="133" t="str">
        <f>HYPERLINK(AB2 &amp; "/mug/sn_e94e46bc5833f2f5e57b873e4f3ef3a4/rendering/01.obj", "3.77805786133")</f>
        <v>3.77805786133</v>
      </c>
      <c r="E1784" s="73" t="str">
        <f>HYPERLINK(AB2 &amp; "/mug/sn_e94e46bc5833f2f5e57b873e4f3ef3a4/rendering/02.obj", "4.05401519775")</f>
        <v>4.05401519775</v>
      </c>
      <c r="F1784" s="38" t="str">
        <f>HYPERLINK(AB2 &amp; "/mug/sn_e94e46bc5833f2f5e57b873e4f3ef3a4/rendering/03.obj", "4.58448547363")</f>
        <v>4.58448547363</v>
      </c>
      <c r="G1784" s="68" t="str">
        <f>HYPERLINK(AB2 &amp; "/mug/sn_e94e46bc5833f2f5e57b873e4f3ef3a4/rendering/04.obj", "4.38271148682")</f>
        <v>4.38271148682</v>
      </c>
      <c r="H1784" s="66" t="str">
        <f>HYPERLINK(AB2 &amp; "/mug/sn_e94e46bc5833f2f5e57b873e4f3ef3a4/rendering/05.obj", "4.88484069824")</f>
        <v>4.88484069824</v>
      </c>
      <c r="I1784" s="35" t="str">
        <f>HYPERLINK(AB2 &amp; "/mug/sn_e94e46bc5833f2f5e57b873e4f3ef3a4/rendering/06.obj", "4.45151885986")</f>
        <v>4.45151885986</v>
      </c>
      <c r="J1784" s="77" t="str">
        <f>HYPERLINK(AB2 &amp; "/mug/sn_e94e46bc5833f2f5e57b873e4f3ef3a4/rendering/07.obj", "4.99709533691")</f>
        <v>4.99709533691</v>
      </c>
      <c r="K1784" s="40" t="str">
        <f>HYPERLINK(AB2 &amp; "/mug/sn_e94e46bc5833f2f5e57b873e4f3ef3a4/rendering/08.obj", "3.49256622314")</f>
        <v>3.49256622314</v>
      </c>
      <c r="L1784" s="8" t="str">
        <f>HYPERLINK(AB2 &amp; "/mug/sn_e94e46bc5833f2f5e57b873e4f3ef3a4/rendering/09.obj", "3.60621582031")</f>
        <v>3.60621582031</v>
      </c>
      <c r="M1784" s="80" t="str">
        <f>HYPERLINK(AB2 &amp; "/mug/sn_e94e46bc5833f2f5e57b873e4f3ef3a4/rendering/10.obj", "3.58557861328")</f>
        <v>3.58557861328</v>
      </c>
      <c r="N1784" s="25" t="str">
        <f>HYPERLINK(AB2 &amp; "/mug/sn_e94e46bc5833f2f5e57b873e4f3ef3a4/rendering/11.obj", "4.25481933594")</f>
        <v>4.25481933594</v>
      </c>
      <c r="O1784" s="26" t="str">
        <f>HYPERLINK(AB2 &amp; "/mug/sn_e94e46bc5833f2f5e57b873e4f3ef3a4/rendering/12.obj", "4.47737548828")</f>
        <v>4.47737548828</v>
      </c>
      <c r="P1784" s="83" t="str">
        <f>HYPERLINK(AB2 &amp; "/mug/sn_e94e46bc5833f2f5e57b873e4f3ef3a4/rendering/13.obj", "3.57565063477")</f>
        <v>3.57565063477</v>
      </c>
      <c r="Q1784" s="34" t="str">
        <f>HYPERLINK(AB2 &amp; "/mug/sn_e94e46bc5833f2f5e57b873e4f3ef3a4/rendering/14.obj", "4.42037017822")</f>
        <v>4.42037017822</v>
      </c>
      <c r="R1784" s="28" t="str">
        <f>HYPERLINK(AB2 &amp; "/mug/sn_e94e46bc5833f2f5e57b873e4f3ef3a4/rendering/15.obj", "4.6772479248")</f>
        <v>4.6772479248</v>
      </c>
      <c r="S1784" s="92" t="str">
        <f>HYPERLINK(AB2 &amp; "/mug/sn_e94e46bc5833f2f5e57b873e4f3ef3a4/rendering/16.obj", "4.72653808594")</f>
        <v>4.72653808594</v>
      </c>
      <c r="T1784" s="6" t="str">
        <f>HYPERLINK(AB2 &amp; "/mug/sn_e94e46bc5833f2f5e57b873e4f3ef3a4/rendering/17.obj", "4.01956726074")</f>
        <v>4.01956726074</v>
      </c>
      <c r="U1784" s="28" t="str">
        <f>HYPERLINK(AB2 &amp; "/mug/sn_e94e46bc5833f2f5e57b873e4f3ef3a4/rendering/18.obj", "3.74767333984")</f>
        <v>3.74767333984</v>
      </c>
      <c r="V1784" s="84" t="str">
        <f>HYPERLINK(AB2 &amp; "/mug/sn_e94e46bc5833f2f5e57b873e4f3ef3a4/rendering/19.obj", "4.82170715332")</f>
        <v>4.82170715332</v>
      </c>
      <c r="W1784" s="12" t="s">
        <v>31</v>
      </c>
      <c r="X1784" s="13">
        <v>4.2108882141113284</v>
      </c>
      <c r="Y1784" s="13">
        <v>0.48446133648540279</v>
      </c>
      <c r="Z1784" s="106">
        <v>0.11504967879743259</v>
      </c>
    </row>
    <row r="1785" spans="1:26" x14ac:dyDescent="0.2">
      <c r="A1785" s="1">
        <v>1783</v>
      </c>
      <c r="B1785" s="2" t="s">
        <v>389</v>
      </c>
      <c r="C1785" s="49" t="str">
        <f>HYPERLINK(AB2 &amp; "/mug/sn_e94e46bc5833f2f5e57b873e4f3ef3a4/rendering/00.obj", "5.30495691299")</f>
        <v>5.30495691299</v>
      </c>
      <c r="D1785" s="51" t="str">
        <f>HYPERLINK(AB2 &amp; "/mug/sn_e94e46bc5833f2f5e57b873e4f3ef3a4/rendering/01.obj", "6.16647338867")</f>
        <v>6.16647338867</v>
      </c>
      <c r="E1785" s="63" t="str">
        <f>HYPERLINK(AB2 &amp; "/mug/sn_e94e46bc5833f2f5e57b873e4f3ef3a4/rendering/02.obj", "5.89102268219")</f>
        <v>5.89102268219</v>
      </c>
      <c r="F1785" s="113" t="str">
        <f>HYPERLINK(AB2 &amp; "/mug/sn_e94e46bc5833f2f5e57b873e4f3ef3a4/rendering/03.obj", "8.54736709595")</f>
        <v>8.54736709595</v>
      </c>
      <c r="G1785" s="75" t="str">
        <f>HYPERLINK(AB2 &amp; "/mug/sn_e94e46bc5833f2f5e57b873e4f3ef3a4/rendering/04.obj", "8.19762897491")</f>
        <v>8.19762897491</v>
      </c>
      <c r="H1785" s="114" t="str">
        <f>HYPERLINK(AB2 &amp; "/mug/sn_e94e46bc5833f2f5e57b873e4f3ef3a4/rendering/05.obj", "9.78725719452")</f>
        <v>9.78725719452</v>
      </c>
      <c r="I1785" s="82" t="str">
        <f>HYPERLINK(AB2 &amp; "/mug/sn_e94e46bc5833f2f5e57b873e4f3ef3a4/rendering/06.obj", "5.3351650238")</f>
        <v>5.3351650238</v>
      </c>
      <c r="J1785" s="35" t="str">
        <f>HYPERLINK(AB2 &amp; "/mug/sn_e94e46bc5833f2f5e57b873e4f3ef3a4/rendering/07.obj", "7.09456968307")</f>
        <v>7.09456968307</v>
      </c>
      <c r="K1785" s="60" t="str">
        <f>HYPERLINK(AB2 &amp; "/mug/sn_e94e46bc5833f2f5e57b873e4f3ef3a4/rendering/08.obj", "6.37281560898")</f>
        <v>6.37281560898</v>
      </c>
      <c r="L1785" s="66" t="str">
        <f>HYPERLINK(AB2 &amp; "/mug/sn_e94e46bc5833f2f5e57b873e4f3ef3a4/rendering/09.obj", "5.61792564392")</f>
        <v>5.61792564392</v>
      </c>
      <c r="M1785" s="75" t="str">
        <f>HYPERLINK(AB2 &amp; "/mug/sn_e94e46bc5833f2f5e57b873e4f3ef3a4/rendering/10.obj", "5.22140455246")</f>
        <v>5.22140455246</v>
      </c>
      <c r="N1785" s="107" t="str">
        <f>HYPERLINK(AB2 &amp; "/mug/sn_e94e46bc5833f2f5e57b873e4f3ef3a4/rendering/11.obj", "6.15493011475")</f>
        <v>6.15493011475</v>
      </c>
      <c r="O1785" s="6" t="str">
        <f>HYPERLINK(AB2 &amp; "/mug/sn_e94e46bc5833f2f5e57b873e4f3ef3a4/rendering/12.obj", "7.01216268539")</f>
        <v>7.01216268539</v>
      </c>
      <c r="P1785" s="11" t="str">
        <f>HYPERLINK(AB2 &amp; "/mug/sn_e94e46bc5833f2f5e57b873e4f3ef3a4/rendering/13.obj", "5.20037221909")</f>
        <v>5.20037221909</v>
      </c>
      <c r="Q1785" s="81" t="str">
        <f>HYPERLINK(AB2 &amp; "/mug/sn_e94e46bc5833f2f5e57b873e4f3ef3a4/rendering/14.obj", "5.25611305237")</f>
        <v>5.25611305237</v>
      </c>
      <c r="R1785" s="103" t="str">
        <f>HYPERLINK(AB2 &amp; "/mug/sn_e94e46bc5833f2f5e57b873e4f3ef3a4/rendering/15.obj", "8.89736175537")</f>
        <v>8.89736175537</v>
      </c>
      <c r="S1785" s="64" t="str">
        <f>HYPERLINK(AB2 &amp; "/mug/sn_e94e46bc5833f2f5e57b873e4f3ef3a4/rendering/16.obj", "7.82067108154")</f>
        <v>7.82067108154</v>
      </c>
      <c r="T1785" s="110" t="str">
        <f>HYPERLINK(AB2 &amp; "/mug/sn_e94e46bc5833f2f5e57b873e4f3ef3a4/rendering/17.obj", "6.05109214783")</f>
        <v>6.05109214783</v>
      </c>
      <c r="U1785" s="63" t="str">
        <f>HYPERLINK(AB2 &amp; "/mug/sn_e94e46bc5833f2f5e57b873e4f3ef3a4/rendering/18.obj", "5.89041042328")</f>
        <v>5.89041042328</v>
      </c>
      <c r="V1785" s="129" t="str">
        <f>HYPERLINK(AB2 &amp; "/mug/sn_e94e46bc5833f2f5e57b873e4f3ef3a4/rendering/19.obj", "8.38114452362")</f>
        <v>8.38114452362</v>
      </c>
      <c r="W1785" s="12" t="s">
        <v>32</v>
      </c>
      <c r="X1785" s="13">
        <v>6.7100422382354736</v>
      </c>
      <c r="Y1785" s="13">
        <v>1.3832567079345821</v>
      </c>
      <c r="Z1785" s="82">
        <v>0.20614724301621301</v>
      </c>
    </row>
    <row r="1786" spans="1:26" x14ac:dyDescent="0.2">
      <c r="A1786" s="1">
        <v>1784</v>
      </c>
      <c r="B1786" s="2" t="s">
        <v>389</v>
      </c>
      <c r="C1786" s="13" t="str">
        <f>HYPERLINK(AC2 &amp; "/mug/sn_e94e46bc5833f2f5e57b873e4f3ef3a4/rendering/00.xyz", "0.0")</f>
        <v>0.0</v>
      </c>
      <c r="D1786" s="13" t="str">
        <f>HYPERLINK(AC2 &amp; "/mug/sn_e94e46bc5833f2f5e57b873e4f3ef3a4/rendering/01.xyz", "0.0")</f>
        <v>0.0</v>
      </c>
      <c r="E1786" s="13" t="str">
        <f>HYPERLINK(AC2 &amp; "/mug/sn_e94e46bc5833f2f5e57b873e4f3ef3a4/rendering/02.xyz", "0.0")</f>
        <v>0.0</v>
      </c>
      <c r="F1786" s="13" t="str">
        <f>HYPERLINK(AC2 &amp; "/mug/sn_e94e46bc5833f2f5e57b873e4f3ef3a4/rendering/03.xyz", "0.0")</f>
        <v>0.0</v>
      </c>
      <c r="G1786" s="13" t="str">
        <f>HYPERLINK(AC2 &amp; "/mug/sn_e94e46bc5833f2f5e57b873e4f3ef3a4/rendering/04.xyz", "0.0")</f>
        <v>0.0</v>
      </c>
      <c r="H1786" s="13" t="str">
        <f>HYPERLINK(AC2 &amp; "/mug/sn_e94e46bc5833f2f5e57b873e4f3ef3a4/rendering/05.xyz", "0.0")</f>
        <v>0.0</v>
      </c>
      <c r="I1786" s="13" t="str">
        <f>HYPERLINK(AC2 &amp; "/mug/sn_e94e46bc5833f2f5e57b873e4f3ef3a4/rendering/06.xyz", "0.0")</f>
        <v>0.0</v>
      </c>
      <c r="J1786" s="13" t="str">
        <f>HYPERLINK(AC2 &amp; "/mug/sn_e94e46bc5833f2f5e57b873e4f3ef3a4/rendering/07.xyz", "0.0")</f>
        <v>0.0</v>
      </c>
      <c r="K1786" s="13" t="str">
        <f>HYPERLINK(AC2 &amp; "/mug/sn_e94e46bc5833f2f5e57b873e4f3ef3a4/rendering/08.xyz", "0.0")</f>
        <v>0.0</v>
      </c>
      <c r="L1786" s="13" t="str">
        <f>HYPERLINK(AC2 &amp; "/mug/sn_e94e46bc5833f2f5e57b873e4f3ef3a4/rendering/09.xyz", "0.0")</f>
        <v>0.0</v>
      </c>
      <c r="M1786" s="13" t="str">
        <f>HYPERLINK(AC2 &amp; "/mug/sn_e94e46bc5833f2f5e57b873e4f3ef3a4/rendering/10.xyz", "0.0")</f>
        <v>0.0</v>
      </c>
      <c r="N1786" s="13" t="str">
        <f>HYPERLINK(AC2 &amp; "/mug/sn_e94e46bc5833f2f5e57b873e4f3ef3a4/rendering/11.xyz", "0.0")</f>
        <v>0.0</v>
      </c>
      <c r="O1786" s="13" t="str">
        <f>HYPERLINK(AC2 &amp; "/mug/sn_e94e46bc5833f2f5e57b873e4f3ef3a4/rendering/12.xyz", "0.0")</f>
        <v>0.0</v>
      </c>
      <c r="P1786" s="13" t="str">
        <f>HYPERLINK(AC2 &amp; "/mug/sn_e94e46bc5833f2f5e57b873e4f3ef3a4/rendering/13.xyz", "0.0")</f>
        <v>0.0</v>
      </c>
      <c r="Q1786" s="13" t="str">
        <f>HYPERLINK(AC2 &amp; "/mug/sn_e94e46bc5833f2f5e57b873e4f3ef3a4/rendering/14.xyz", "0.0")</f>
        <v>0.0</v>
      </c>
      <c r="R1786" s="13" t="str">
        <f>HYPERLINK(AC2 &amp; "/mug/sn_e94e46bc5833f2f5e57b873e4f3ef3a4/rendering/15.xyz", "0.0")</f>
        <v>0.0</v>
      </c>
      <c r="S1786" s="13" t="str">
        <f>HYPERLINK(AC2 &amp; "/mug/sn_e94e46bc5833f2f5e57b873e4f3ef3a4/rendering/16.xyz", "0.0")</f>
        <v>0.0</v>
      </c>
      <c r="T1786" s="13" t="str">
        <f>HYPERLINK(AC2 &amp; "/mug/sn_e94e46bc5833f2f5e57b873e4f3ef3a4/rendering/17.xyz", "0.0")</f>
        <v>0.0</v>
      </c>
      <c r="U1786" s="13" t="str">
        <f>HYPERLINK(AC2 &amp; "/mug/sn_e94e46bc5833f2f5e57b873e4f3ef3a4/rendering/18.xyz", "0.0")</f>
        <v>0.0</v>
      </c>
      <c r="V1786" s="13" t="str">
        <f>HYPERLINK(AC2 &amp; "/mug/sn_e94e46bc5833f2f5e57b873e4f3ef3a4/rendering/19.xyz", "0.0")</f>
        <v>0.0</v>
      </c>
      <c r="W1786" s="12" t="s">
        <v>33</v>
      </c>
      <c r="X1786" s="13">
        <v>0</v>
      </c>
      <c r="Y1786" s="13">
        <v>0</v>
      </c>
      <c r="Z1786" s="13">
        <v>0</v>
      </c>
    </row>
    <row r="1787" spans="1:26" x14ac:dyDescent="0.2">
      <c r="A1787" s="1">
        <v>1785</v>
      </c>
      <c r="B1787" s="2" t="s">
        <v>390</v>
      </c>
      <c r="C1787" s="114" t="str">
        <f>HYPERLINK(AA2 &amp; "/mug/sn_e984fd7e97c2be347eaeab1f0c9120b7/rendering/00.obj", "3.98404968262")</f>
        <v>3.98404968262</v>
      </c>
      <c r="D1787" s="158" t="str">
        <f>HYPERLINK(AA2 &amp; "/mug/sn_e984fd7e97c2be347eaeab1f0c9120b7/rendering/01.obj", "10.412355957")</f>
        <v>10.412355957</v>
      </c>
      <c r="E1787" s="92" t="str">
        <f>HYPERLINK(AA2 &amp; "/mug/sn_e984fd7e97c2be347eaeab1f0c9120b7/rendering/02.obj", "8.31653686523")</f>
        <v>8.31653686523</v>
      </c>
      <c r="F1787" s="210" t="str">
        <f>HYPERLINK(AA2 &amp; "/mug/sn_e984fd7e97c2be347eaeab1f0c9120b7/rendering/03.obj", "13.0874365234")</f>
        <v>13.0874365234</v>
      </c>
      <c r="G1787" s="27" t="str">
        <f>HYPERLINK(AA2 &amp; "/mug/sn_e984fd7e97c2be347eaeab1f0c9120b7/rendering/04.obj", "6.86596069336")</f>
        <v>6.86596069336</v>
      </c>
      <c r="H1787" s="8" t="str">
        <f>HYPERLINK(AA2 &amp; "/mug/sn_e984fd7e97c2be347eaeab1f0c9120b7/rendering/05.obj", "6.34150268555")</f>
        <v>6.34150268555</v>
      </c>
      <c r="I1787" s="67" t="str">
        <f>HYPERLINK(AA2 &amp; "/mug/sn_e984fd7e97c2be347eaeab1f0c9120b7/rendering/06.obj", "8.07237854004")</f>
        <v>8.07237854004</v>
      </c>
      <c r="J1787" s="185" t="str">
        <f>HYPERLINK(AA2 &amp; "/mug/sn_e984fd7e97c2be347eaeab1f0c9120b7/rendering/07.obj", "9.90359680176")</f>
        <v>9.90359680176</v>
      </c>
      <c r="K1787" s="109" t="str">
        <f>HYPERLINK(AA2 &amp; "/mug/sn_e984fd7e97c2be347eaeab1f0c9120b7/rendering/08.obj", "5.98691589355")</f>
        <v>5.98691589355</v>
      </c>
      <c r="L1787" s="20" t="str">
        <f>HYPERLINK(AA2 &amp; "/mug/sn_e984fd7e97c2be347eaeab1f0c9120b7/rendering/09.obj", "13.8846875")</f>
        <v>13.8846875</v>
      </c>
      <c r="M1787" s="126" t="str">
        <f>HYPERLINK(AA2 &amp; "/mug/sn_e984fd7e97c2be347eaeab1f0c9120b7/rendering/10.obj", "3.69518310547")</f>
        <v>3.69518310547</v>
      </c>
      <c r="N1787" s="76" t="str">
        <f>HYPERLINK(AA2 &amp; "/mug/sn_e984fd7e97c2be347eaeab1f0c9120b7/rendering/11.obj", "6.03077880859")</f>
        <v>6.03077880859</v>
      </c>
      <c r="O1787" s="168" t="str">
        <f>HYPERLINK(AA2 &amp; "/mug/sn_e984fd7e97c2be347eaeab1f0c9120b7/rendering/12.obj", "9.76164916992")</f>
        <v>9.76164916992</v>
      </c>
      <c r="P1787" s="46" t="str">
        <f>HYPERLINK(AA2 &amp; "/mug/sn_e984fd7e97c2be347eaeab1f0c9120b7/rendering/13.obj", "7.51681884766")</f>
        <v>7.51681884766</v>
      </c>
      <c r="Q1787" s="14" t="str">
        <f>HYPERLINK(AA2 &amp; "/mug/sn_e984fd7e97c2be347eaeab1f0c9120b7/rendering/14.obj", "5.25005432129")</f>
        <v>5.25005432129</v>
      </c>
      <c r="R1787" s="74" t="str">
        <f>HYPERLINK(AA2 &amp; "/mug/sn_e984fd7e97c2be347eaeab1f0c9120b7/rendering/15.obj", "7.29686279297")</f>
        <v>7.29686279297</v>
      </c>
      <c r="S1787" s="14" t="str">
        <f>HYPERLINK(AA2 &amp; "/mug/sn_e984fd7e97c2be347eaeab1f0c9120b7/rendering/16.obj", "5.23783508301")</f>
        <v>5.23783508301</v>
      </c>
      <c r="T1787" s="187" t="str">
        <f>HYPERLINK(AA2 &amp; "/mug/sn_e984fd7e97c2be347eaeab1f0c9120b7/rendering/17.obj", "4.8049597168")</f>
        <v>4.8049597168</v>
      </c>
      <c r="U1787" s="17" t="str">
        <f>HYPERLINK(AA2 &amp; "/mug/sn_e984fd7e97c2be347eaeab1f0c9120b7/rendering/18.obj", "7.53957519531")</f>
        <v>7.53957519531</v>
      </c>
      <c r="V1787" s="104" t="str">
        <f>HYPERLINK(AA2 &amp; "/mug/sn_e984fd7e97c2be347eaeab1f0c9120b7/rendering/19.obj", "3.87938140869")</f>
        <v>3.87938140869</v>
      </c>
      <c r="W1787" s="12" t="s">
        <v>29</v>
      </c>
      <c r="X1787" s="13">
        <v>7.3934259796142587</v>
      </c>
      <c r="Y1787" s="13">
        <v>2.790614604899897</v>
      </c>
      <c r="Z1787" s="101">
        <v>0.3774453971128407</v>
      </c>
    </row>
    <row r="1788" spans="1:26" x14ac:dyDescent="0.2">
      <c r="A1788" s="1">
        <v>1786</v>
      </c>
      <c r="B1788" s="2" t="s">
        <v>390</v>
      </c>
      <c r="C1788" s="221" t="str">
        <f>HYPERLINK(AA2 &amp; "/mug/sn_e984fd7e97c2be347eaeab1f0c9120b7/rendering/00.obj", "8.42953109741")</f>
        <v>8.42953109741</v>
      </c>
      <c r="D1788" s="235" t="str">
        <f>HYPERLINK(AA2 &amp; "/mug/sn_e984fd7e97c2be347eaeab1f0c9120b7/rendering/01.obj", "29.3540000916")</f>
        <v>29.3540000916</v>
      </c>
      <c r="E1788" s="13" t="str">
        <f>HYPERLINK(AA2 &amp; "/mug/sn_e984fd7e97c2be347eaeab1f0c9120b7/rendering/02.obj", "19.0879821777")</f>
        <v>19.0879821777</v>
      </c>
      <c r="F1788" s="244" t="str">
        <f>HYPERLINK(AA2 &amp; "/mug/sn_e984fd7e97c2be347eaeab1f0c9120b7/rendering/03.obj", "30.7346591949")</f>
        <v>30.7346591949</v>
      </c>
      <c r="G1788" s="34" t="str">
        <f>HYPERLINK(AA2 &amp; "/mug/sn_e984fd7e97c2be347eaeab1f0c9120b7/rendering/04.obj", "18.1460819244")</f>
        <v>18.1460819244</v>
      </c>
      <c r="H1788" s="94" t="str">
        <f>HYPERLINK(AA2 &amp; "/mug/sn_e984fd7e97c2be347eaeab1f0c9120b7/rendering/05.obj", "17.6481552124")</f>
        <v>17.6481552124</v>
      </c>
      <c r="I1788" s="107" t="str">
        <f>HYPERLINK(AA2 &amp; "/mug/sn_e984fd7e97c2be347eaeab1f0c9120b7/rendering/06.obj", "17.4412670135")</f>
        <v>17.4412670135</v>
      </c>
      <c r="J1788" s="191" t="str">
        <f>HYPERLINK(AA2 &amp; "/mug/sn_e984fd7e97c2be347eaeab1f0c9120b7/rendering/07.obj", "27.6657180786")</f>
        <v>27.6657180786</v>
      </c>
      <c r="K1788" s="140" t="str">
        <f>HYPERLINK(AA2 &amp; "/mug/sn_e984fd7e97c2be347eaeab1f0c9120b7/rendering/08.obj", "12.4198055267")</f>
        <v>12.4198055267</v>
      </c>
      <c r="L1788" s="20" t="str">
        <f>HYPERLINK(AA2 &amp; "/mug/sn_e984fd7e97c2be347eaeab1f0c9120b7/rendering/09.obj", "42.3130874634")</f>
        <v>42.3130874634</v>
      </c>
      <c r="M1788" s="140" t="str">
        <f>HYPERLINK(AA2 &amp; "/mug/sn_e984fd7e97c2be347eaeab1f0c9120b7/rendering/10.obj", "12.4146366119")</f>
        <v>12.4146366119</v>
      </c>
      <c r="N1788" s="58" t="str">
        <f>HYPERLINK(AA2 &amp; "/mug/sn_e984fd7e97c2be347eaeab1f0c9120b7/rendering/11.obj", "14.4119653702")</f>
        <v>14.4119653702</v>
      </c>
      <c r="O1788" s="85" t="str">
        <f>HYPERLINK(AA2 &amp; "/mug/sn_e984fd7e97c2be347eaeab1f0c9120b7/rendering/12.obj", "24.6996688843")</f>
        <v>24.6996688843</v>
      </c>
      <c r="P1788" s="32" t="str">
        <f>HYPERLINK(AA2 &amp; "/mug/sn_e984fd7e97c2be347eaeab1f0c9120b7/rendering/13.obj", "17.0741100311")</f>
        <v>17.0741100311</v>
      </c>
      <c r="Q1788" s="36" t="str">
        <f>HYPERLINK(AA2 &amp; "/mug/sn_e984fd7e97c2be347eaeab1f0c9120b7/rendering/14.obj", "14.9268684387")</f>
        <v>14.9268684387</v>
      </c>
      <c r="R1788" s="72" t="str">
        <f>HYPERLINK(AA2 &amp; "/mug/sn_e984fd7e97c2be347eaeab1f0c9120b7/rendering/15.obj", "19.6590461731")</f>
        <v>19.6590461731</v>
      </c>
      <c r="S1788" s="59" t="str">
        <f>HYPERLINK(AA2 &amp; "/mug/sn_e984fd7e97c2be347eaeab1f0c9120b7/rendering/16.obj", "14.460817337")</f>
        <v>14.460817337</v>
      </c>
      <c r="T1788" s="193" t="str">
        <f>HYPERLINK(AA2 &amp; "/mug/sn_e984fd7e97c2be347eaeab1f0c9120b7/rendering/17.obj", "12.7367343903")</f>
        <v>12.7367343903</v>
      </c>
      <c r="U1788" s="80" t="str">
        <f>HYPERLINK(AA2 &amp; "/mug/sn_e984fd7e97c2be347eaeab1f0c9120b7/rendering/18.obj", "16.2256069183")</f>
        <v>16.2256069183</v>
      </c>
      <c r="V1788" s="132" t="str">
        <f>HYPERLINK(AA2 &amp; "/mug/sn_e984fd7e97c2be347eaeab1f0c9120b7/rendering/19.obj", "11.0829334259")</f>
        <v>11.0829334259</v>
      </c>
      <c r="W1788" s="12" t="s">
        <v>30</v>
      </c>
      <c r="X1788" s="13">
        <v>19.046633768081669</v>
      </c>
      <c r="Y1788" s="13">
        <v>7.9728713688251496</v>
      </c>
      <c r="Z1788" s="132">
        <v>0.41859739972456872</v>
      </c>
    </row>
    <row r="1789" spans="1:26" x14ac:dyDescent="0.2">
      <c r="A1789" s="1">
        <v>1787</v>
      </c>
      <c r="B1789" s="2" t="s">
        <v>390</v>
      </c>
      <c r="C1789" s="26" t="str">
        <f>HYPERLINK(AB2 &amp; "/mug/sn_e984fd7e97c2be347eaeab1f0c9120b7/rendering/00.obj", "4.66335540771")</f>
        <v>4.66335540771</v>
      </c>
      <c r="D1789" s="84" t="str">
        <f>HYPERLINK(AB2 &amp; "/mug/sn_e984fd7e97c2be347eaeab1f0c9120b7/rendering/01.obj", "3.73857055664")</f>
        <v>3.73857055664</v>
      </c>
      <c r="E1789" s="71" t="str">
        <f>HYPERLINK(AB2 &amp; "/mug/sn_e984fd7e97c2be347eaeab1f0c9120b7/rendering/02.obj", "3.86233825684")</f>
        <v>3.86233825684</v>
      </c>
      <c r="F1789" s="90" t="str">
        <f>HYPERLINK(AB2 &amp; "/mug/sn_e984fd7e97c2be347eaeab1f0c9120b7/rendering/03.obj", "3.95882171631")</f>
        <v>3.95882171631</v>
      </c>
      <c r="G1789" s="43" t="str">
        <f>HYPERLINK(AB2 &amp; "/mug/sn_e984fd7e97c2be347eaeab1f0c9120b7/rendering/04.obj", "6.0244152832")</f>
        <v>6.0244152832</v>
      </c>
      <c r="H1789" s="69" t="str">
        <f>HYPERLINK(AB2 &amp; "/mug/sn_e984fd7e97c2be347eaeab1f0c9120b7/rendering/05.obj", "4.51295684814")</f>
        <v>4.51295684814</v>
      </c>
      <c r="I1789" s="84" t="str">
        <f>HYPERLINK(AB2 &amp; "/mug/sn_e984fd7e97c2be347eaeab1f0c9120b7/rendering/06.obj", "3.74422271729")</f>
        <v>3.74422271729</v>
      </c>
      <c r="J1789" s="72" t="str">
        <f>HYPERLINK(AB2 &amp; "/mug/sn_e984fd7e97c2be347eaeab1f0c9120b7/rendering/07.obj", "4.24471557617")</f>
        <v>4.24471557617</v>
      </c>
      <c r="K1789" s="46" t="str">
        <f>HYPERLINK(AB2 &amp; "/mug/sn_e984fd7e97c2be347eaeab1f0c9120b7/rendering/08.obj", "4.4647253418")</f>
        <v>4.4647253418</v>
      </c>
      <c r="L1789" s="83" t="str">
        <f>HYPERLINK(AB2 &amp; "/mug/sn_e984fd7e97c2be347eaeab1f0c9120b7/rendering/09.obj", "3.72288696289")</f>
        <v>3.72288696289</v>
      </c>
      <c r="M1789" s="46" t="str">
        <f>HYPERLINK(AB2 &amp; "/mug/sn_e984fd7e97c2be347eaeab1f0c9120b7/rendering/10.obj", "4.4634588623")</f>
        <v>4.4634588623</v>
      </c>
      <c r="N1789" s="6" t="str">
        <f>HYPERLINK(AB2 &amp; "/mug/sn_e984fd7e97c2be347eaeab1f0c9120b7/rendering/11.obj", "4.57982116699")</f>
        <v>4.57982116699</v>
      </c>
      <c r="O1789" s="14" t="str">
        <f>HYPERLINK(AB2 &amp; "/mug/sn_e984fd7e97c2be347eaeab1f0c9120b7/rendering/12.obj", "5.65681762695")</f>
        <v>5.65681762695</v>
      </c>
      <c r="P1789" s="6" t="str">
        <f>HYPERLINK(AB2 &amp; "/mug/sn_e984fd7e97c2be347eaeab1f0c9120b7/rendering/13.obj", "4.58233703613")</f>
        <v>4.58233703613</v>
      </c>
      <c r="Q1789" s="8" t="str">
        <f>HYPERLINK(AB2 &amp; "/mug/sn_e984fd7e97c2be347eaeab1f0c9120b7/rendering/14.obj", "3.75472106934")</f>
        <v>3.75472106934</v>
      </c>
      <c r="R1789" s="68" t="str">
        <f>HYPERLINK(AB2 &amp; "/mug/sn_e984fd7e97c2be347eaeab1f0c9120b7/rendering/15.obj", "4.19642303467")</f>
        <v>4.19642303467</v>
      </c>
      <c r="S1789" s="32" t="str">
        <f>HYPERLINK(AB2 &amp; "/mug/sn_e984fd7e97c2be347eaeab1f0c9120b7/rendering/16.obj", "3.92096374512")</f>
        <v>3.92096374512</v>
      </c>
      <c r="T1789" s="10" t="str">
        <f>HYPERLINK(AB2 &amp; "/mug/sn_e984fd7e97c2be347eaeab1f0c9120b7/rendering/17.obj", "4.13704437256")</f>
        <v>4.13704437256</v>
      </c>
      <c r="U1789" s="109" t="str">
        <f>HYPERLINK(AB2 &amp; "/mug/sn_e984fd7e97c2be347eaeab1f0c9120b7/rendering/18.obj", "5.2179284668")</f>
        <v>5.2179284668</v>
      </c>
      <c r="V1789" s="73" t="str">
        <f>HYPERLINK(AB2 &amp; "/mug/sn_e984fd7e97c2be347eaeab1f0c9120b7/rendering/19.obj", "4.22671966553")</f>
        <v>4.22671966553</v>
      </c>
      <c r="W1789" s="12" t="s">
        <v>31</v>
      </c>
      <c r="X1789" s="13">
        <v>4.3836621856689453</v>
      </c>
      <c r="Y1789" s="13">
        <v>0.61879805529083354</v>
      </c>
      <c r="Z1789" s="93">
        <v>0.14116006870096109</v>
      </c>
    </row>
    <row r="1790" spans="1:26" x14ac:dyDescent="0.2">
      <c r="A1790" s="1">
        <v>1788</v>
      </c>
      <c r="B1790" s="2" t="s">
        <v>390</v>
      </c>
      <c r="C1790" s="71" t="str">
        <f>HYPERLINK(AB2 &amp; "/mug/sn_e984fd7e97c2be347eaeab1f0c9120b7/rendering/00.obj", "9.76388168335")</f>
        <v>9.76388168335</v>
      </c>
      <c r="D1790" s="78" t="str">
        <f>HYPERLINK(AB2 &amp; "/mug/sn_e984fd7e97c2be347eaeab1f0c9120b7/rendering/01.obj", "8.19989109039")</f>
        <v>8.19989109039</v>
      </c>
      <c r="E1790" s="65" t="str">
        <f>HYPERLINK(AB2 &amp; "/mug/sn_e984fd7e97c2be347eaeab1f0c9120b7/rendering/02.obj", "7.54923772812")</f>
        <v>7.54923772812</v>
      </c>
      <c r="F1790" s="30" t="str">
        <f>HYPERLINK(AB2 &amp; "/mug/sn_e984fd7e97c2be347eaeab1f0c9120b7/rendering/03.obj", "8.68950366974")</f>
        <v>8.68950366974</v>
      </c>
      <c r="G1790" s="87" t="str">
        <f>HYPERLINK(AB2 &amp; "/mug/sn_e984fd7e97c2be347eaeab1f0c9120b7/rendering/04.obj", "10.7123165131")</f>
        <v>10.7123165131</v>
      </c>
      <c r="H1790" s="17" t="str">
        <f>HYPERLINK(AB2 &amp; "/mug/sn_e984fd7e97c2be347eaeab1f0c9120b7/rendering/05.obj", "8.9043674469")</f>
        <v>8.9043674469</v>
      </c>
      <c r="I1790" s="47" t="str">
        <f>HYPERLINK(AB2 &amp; "/mug/sn_e984fd7e97c2be347eaeab1f0c9120b7/rendering/06.obj", "8.66632175446")</f>
        <v>8.66632175446</v>
      </c>
      <c r="J1790" s="30" t="str">
        <f>HYPERLINK(AB2 &amp; "/mug/sn_e984fd7e97c2be347eaeab1f0c9120b7/rendering/07.obj", "8.67126655579")</f>
        <v>8.67126655579</v>
      </c>
      <c r="K1790" s="106" t="str">
        <f>HYPERLINK(AB2 &amp; "/mug/sn_e984fd7e97c2be347eaeab1f0c9120b7/rendering/08.obj", "7.733335495")</f>
        <v>7.733335495</v>
      </c>
      <c r="L1790" s="133" t="str">
        <f>HYPERLINK(AB2 &amp; "/mug/sn_e984fd7e97c2be347eaeab1f0c9120b7/rendering/09.obj", "7.83605003357")</f>
        <v>7.83605003357</v>
      </c>
      <c r="M1790" s="41" t="str">
        <f>HYPERLINK(AB2 &amp; "/mug/sn_e984fd7e97c2be347eaeab1f0c9120b7/rendering/10.obj", "8.1471786499")</f>
        <v>8.1471786499</v>
      </c>
      <c r="N1790" s="32" t="str">
        <f>HYPERLINK(AB2 &amp; "/mug/sn_e984fd7e97c2be347eaeab1f0c9120b7/rendering/11.obj", "7.81725358963")</f>
        <v>7.81725358963</v>
      </c>
      <c r="O1790" s="94" t="str">
        <f>HYPERLINK(AB2 &amp; "/mug/sn_e984fd7e97c2be347eaeab1f0c9120b7/rendering/12.obj", "9.37055301666")</f>
        <v>9.37055301666</v>
      </c>
      <c r="P1790" s="46" t="str">
        <f>HYPERLINK(AB2 &amp; "/mug/sn_e984fd7e97c2be347eaeab1f0c9120b7/rendering/13.obj", "8.87701416016")</f>
        <v>8.87701416016</v>
      </c>
      <c r="Q1790" s="110" t="str">
        <f>HYPERLINK(AB2 &amp; "/mug/sn_e984fd7e97c2be347eaeab1f0c9120b7/rendering/14.obj", "9.57795619965")</f>
        <v>9.57795619965</v>
      </c>
      <c r="R1790" s="70" t="str">
        <f>HYPERLINK(AB2 &amp; "/mug/sn_e984fd7e97c2be347eaeab1f0c9120b7/rendering/15.obj", "7.61128807068")</f>
        <v>7.61128807068</v>
      </c>
      <c r="S1790" s="134" t="str">
        <f>HYPERLINK(AB2 &amp; "/mug/sn_e984fd7e97c2be347eaeab1f0c9120b7/rendering/16.obj", "10.3079624176")</f>
        <v>10.3079624176</v>
      </c>
      <c r="T1790" s="70" t="str">
        <f>HYPERLINK(AB2 &amp; "/mug/sn_e984fd7e97c2be347eaeab1f0c9120b7/rendering/17.obj", "9.82759284973")</f>
        <v>9.82759284973</v>
      </c>
      <c r="U1790" s="47" t="str">
        <f>HYPERLINK(AB2 &amp; "/mug/sn_e984fd7e97c2be347eaeab1f0c9120b7/rendering/18.obj", "8.65571403503")</f>
        <v>8.65571403503</v>
      </c>
      <c r="V1790" s="65" t="str">
        <f>HYPERLINK(AB2 &amp; "/mug/sn_e984fd7e97c2be347eaeab1f0c9120b7/rendering/19.obj", "7.56886434555")</f>
        <v>7.56886434555</v>
      </c>
      <c r="W1790" s="12" t="s">
        <v>32</v>
      </c>
      <c r="X1790" s="13">
        <v>8.7243774652481072</v>
      </c>
      <c r="Y1790" s="13">
        <v>0.92544022062423326</v>
      </c>
      <c r="Z1790" s="32">
        <v>0.1060752156025513</v>
      </c>
    </row>
    <row r="1791" spans="1:26" x14ac:dyDescent="0.2">
      <c r="A1791" s="1">
        <v>1789</v>
      </c>
      <c r="B1791" s="2" t="s">
        <v>390</v>
      </c>
      <c r="C1791" s="13" t="str">
        <f>HYPERLINK(AC2 &amp; "/mug/sn_e984fd7e97c2be347eaeab1f0c9120b7/rendering/00.xyz", "0.0")</f>
        <v>0.0</v>
      </c>
      <c r="D1791" s="13" t="str">
        <f>HYPERLINK(AC2 &amp; "/mug/sn_e984fd7e97c2be347eaeab1f0c9120b7/rendering/01.xyz", "0.0")</f>
        <v>0.0</v>
      </c>
      <c r="E1791" s="13" t="str">
        <f>HYPERLINK(AC2 &amp; "/mug/sn_e984fd7e97c2be347eaeab1f0c9120b7/rendering/02.xyz", "0.0")</f>
        <v>0.0</v>
      </c>
      <c r="F1791" s="13" t="str">
        <f>HYPERLINK(AC2 &amp; "/mug/sn_e984fd7e97c2be347eaeab1f0c9120b7/rendering/03.xyz", "0.0")</f>
        <v>0.0</v>
      </c>
      <c r="G1791" s="13" t="str">
        <f>HYPERLINK(AC2 &amp; "/mug/sn_e984fd7e97c2be347eaeab1f0c9120b7/rendering/04.xyz", "0.0")</f>
        <v>0.0</v>
      </c>
      <c r="H1791" s="13" t="str">
        <f>HYPERLINK(AC2 &amp; "/mug/sn_e984fd7e97c2be347eaeab1f0c9120b7/rendering/05.xyz", "0.0")</f>
        <v>0.0</v>
      </c>
      <c r="I1791" s="13" t="str">
        <f>HYPERLINK(AC2 &amp; "/mug/sn_e984fd7e97c2be347eaeab1f0c9120b7/rendering/06.xyz", "0.0")</f>
        <v>0.0</v>
      </c>
      <c r="J1791" s="13" t="str">
        <f>HYPERLINK(AC2 &amp; "/mug/sn_e984fd7e97c2be347eaeab1f0c9120b7/rendering/07.xyz", "0.0")</f>
        <v>0.0</v>
      </c>
      <c r="K1791" s="13" t="str">
        <f>HYPERLINK(AC2 &amp; "/mug/sn_e984fd7e97c2be347eaeab1f0c9120b7/rendering/08.xyz", "0.0")</f>
        <v>0.0</v>
      </c>
      <c r="L1791" s="13" t="str">
        <f>HYPERLINK(AC2 &amp; "/mug/sn_e984fd7e97c2be347eaeab1f0c9120b7/rendering/09.xyz", "0.0")</f>
        <v>0.0</v>
      </c>
      <c r="M1791" s="13" t="str">
        <f>HYPERLINK(AC2 &amp; "/mug/sn_e984fd7e97c2be347eaeab1f0c9120b7/rendering/10.xyz", "0.0")</f>
        <v>0.0</v>
      </c>
      <c r="N1791" s="13" t="str">
        <f>HYPERLINK(AC2 &amp; "/mug/sn_e984fd7e97c2be347eaeab1f0c9120b7/rendering/11.xyz", "0.0")</f>
        <v>0.0</v>
      </c>
      <c r="O1791" s="13" t="str">
        <f>HYPERLINK(AC2 &amp; "/mug/sn_e984fd7e97c2be347eaeab1f0c9120b7/rendering/12.xyz", "0.0")</f>
        <v>0.0</v>
      </c>
      <c r="P1791" s="13" t="str">
        <f>HYPERLINK(AC2 &amp; "/mug/sn_e984fd7e97c2be347eaeab1f0c9120b7/rendering/13.xyz", "0.0")</f>
        <v>0.0</v>
      </c>
      <c r="Q1791" s="13" t="str">
        <f>HYPERLINK(AC2 &amp; "/mug/sn_e984fd7e97c2be347eaeab1f0c9120b7/rendering/14.xyz", "0.0")</f>
        <v>0.0</v>
      </c>
      <c r="R1791" s="13" t="str">
        <f>HYPERLINK(AC2 &amp; "/mug/sn_e984fd7e97c2be347eaeab1f0c9120b7/rendering/15.xyz", "0.0")</f>
        <v>0.0</v>
      </c>
      <c r="S1791" s="13" t="str">
        <f>HYPERLINK(AC2 &amp; "/mug/sn_e984fd7e97c2be347eaeab1f0c9120b7/rendering/16.xyz", "0.0")</f>
        <v>0.0</v>
      </c>
      <c r="T1791" s="13" t="str">
        <f>HYPERLINK(AC2 &amp; "/mug/sn_e984fd7e97c2be347eaeab1f0c9120b7/rendering/17.xyz", "0.0")</f>
        <v>0.0</v>
      </c>
      <c r="U1791" s="13" t="str">
        <f>HYPERLINK(AC2 &amp; "/mug/sn_e984fd7e97c2be347eaeab1f0c9120b7/rendering/18.xyz", "0.0")</f>
        <v>0.0</v>
      </c>
      <c r="V1791" s="13" t="str">
        <f>HYPERLINK(AC2 &amp; "/mug/sn_e984fd7e97c2be347eaeab1f0c9120b7/rendering/19.xyz", "0.0")</f>
        <v>0.0</v>
      </c>
      <c r="W1791" s="12" t="s">
        <v>33</v>
      </c>
      <c r="X1791" s="13">
        <v>0</v>
      </c>
      <c r="Y1791" s="13">
        <v>0</v>
      </c>
      <c r="Z1791" s="13">
        <v>0</v>
      </c>
    </row>
    <row r="1792" spans="1:26" x14ac:dyDescent="0.2">
      <c r="A1792" s="1">
        <v>1790</v>
      </c>
      <c r="B1792" s="2" t="s">
        <v>391</v>
      </c>
      <c r="C1792" s="38" t="str">
        <f>HYPERLINK(AA2 &amp; "/mug/sn_e9bd4ee553eb35c1d5ccc40b510e4bd/rendering/00.obj", "4.45297424316")</f>
        <v>4.45297424316</v>
      </c>
      <c r="D1792" s="50" t="str">
        <f>HYPERLINK(AA2 &amp; "/mug/sn_e9bd4ee553eb35c1d5ccc40b510e4bd/rendering/01.obj", "5.86158569336")</f>
        <v>5.86158569336</v>
      </c>
      <c r="E1792" s="34" t="str">
        <f>HYPERLINK(AA2 &amp; "/mug/sn_e9bd4ee553eb35c1d5ccc40b510e4bd/rendering/02.obj", "4.64514404297")</f>
        <v>4.64514404297</v>
      </c>
      <c r="F1792" s="75" t="str">
        <f>HYPERLINK(AA2 &amp; "/mug/sn_e9bd4ee553eb35c1d5ccc40b510e4bd/rendering/03.obj", "3.8142980957")</f>
        <v>3.8142980957</v>
      </c>
      <c r="G1792" s="109" t="str">
        <f>HYPERLINK(AA2 &amp; "/mug/sn_e9bd4ee553eb35c1d5ccc40b510e4bd/rendering/04.obj", "3.95633605957")</f>
        <v>3.95633605957</v>
      </c>
      <c r="H1792" s="136" t="str">
        <f>HYPERLINK(AA2 &amp; "/mug/sn_e9bd4ee553eb35c1d5ccc40b510e4bd/rendering/05.obj", "3.73571472168")</f>
        <v>3.73571472168</v>
      </c>
      <c r="I1792" s="80" t="str">
        <f>HYPERLINK(AA2 &amp; "/mug/sn_e9bd4ee553eb35c1d5ccc40b510e4bd/rendering/06.obj", "4.15467315674")</f>
        <v>4.15467315674</v>
      </c>
      <c r="J1792" s="37" t="str">
        <f>HYPERLINK(AA2 &amp; "/mug/sn_e9bd4ee553eb35c1d5ccc40b510e4bd/rendering/07.obj", "5.74520019531")</f>
        <v>5.74520019531</v>
      </c>
      <c r="K1792" s="63" t="str">
        <f>HYPERLINK(AA2 &amp; "/mug/sn_e9bd4ee553eb35c1d5ccc40b510e4bd/rendering/08.obj", "4.30080810547")</f>
        <v>4.30080810547</v>
      </c>
      <c r="L1792" s="34" t="str">
        <f>HYPERLINK(AA2 &amp; "/mug/sn_e9bd4ee553eb35c1d5ccc40b510e4bd/rendering/09.obj", "4.65749176025")</f>
        <v>4.65749176025</v>
      </c>
      <c r="M1792" s="120" t="str">
        <f>HYPERLINK(AA2 &amp; "/mug/sn_e9bd4ee553eb35c1d5ccc40b510e4bd/rendering/10.obj", "3.8571661377")</f>
        <v>3.8571661377</v>
      </c>
      <c r="N1792" s="19" t="str">
        <f>HYPERLINK(AA2 &amp; "/mug/sn_e9bd4ee553eb35c1d5ccc40b510e4bd/rendering/11.obj", "6.17265136719")</f>
        <v>6.17265136719</v>
      </c>
      <c r="O1792" s="63" t="str">
        <f>HYPERLINK(AA2 &amp; "/mug/sn_e9bd4ee553eb35c1d5ccc40b510e4bd/rendering/12.obj", "4.29496246338")</f>
        <v>4.29496246338</v>
      </c>
      <c r="P1792" s="91" t="str">
        <f>HYPERLINK(AA2 &amp; "/mug/sn_e9bd4ee553eb35c1d5ccc40b510e4bd/rendering/13.obj", "4.75534637451")</f>
        <v>4.75534637451</v>
      </c>
      <c r="Q1792" s="92" t="str">
        <f>HYPERLINK(AA2 &amp; "/mug/sn_e9bd4ee553eb35c1d5ccc40b510e4bd/rendering/14.obj", "4.27972686768")</f>
        <v>4.27972686768</v>
      </c>
      <c r="R1792" s="20" t="str">
        <f>HYPERLINK(AA2 &amp; "/mug/sn_e9bd4ee553eb35c1d5ccc40b510e4bd/rendering/15.obj", "11.8099499512")</f>
        <v>11.8099499512</v>
      </c>
      <c r="S1792" s="91" t="str">
        <f>HYPERLINK(AA2 &amp; "/mug/sn_e9bd4ee553eb35c1d5ccc40b510e4bd/rendering/16.obj", "5.0182208252")</f>
        <v>5.0182208252</v>
      </c>
      <c r="T1792" s="8" t="str">
        <f>HYPERLINK(AA2 &amp; "/mug/sn_e9bd4ee553eb35c1d5ccc40b510e4bd/rendering/17.obj", "4.19441833496")</f>
        <v>4.19441833496</v>
      </c>
      <c r="U1792" s="76" t="str">
        <f>HYPERLINK(AA2 &amp; "/mug/sn_e9bd4ee553eb35c1d5ccc40b510e4bd/rendering/18.obj", "3.98365783691")</f>
        <v>3.98365783691</v>
      </c>
      <c r="V1792" s="24" t="str">
        <f>HYPERLINK(AA2 &amp; "/mug/sn_e9bd4ee553eb35c1d5ccc40b510e4bd/rendering/19.obj", "4.0712701416")</f>
        <v>4.0712701416</v>
      </c>
      <c r="W1792" s="12" t="s">
        <v>29</v>
      </c>
      <c r="X1792" s="13">
        <v>4.8880798187255872</v>
      </c>
      <c r="Y1792" s="13">
        <v>1.7257418674765339</v>
      </c>
      <c r="Z1792" s="121">
        <v>0.35305108170808608</v>
      </c>
    </row>
    <row r="1793" spans="1:26" x14ac:dyDescent="0.2">
      <c r="A1793" s="1">
        <v>1791</v>
      </c>
      <c r="B1793" s="2" t="s">
        <v>391</v>
      </c>
      <c r="C1793" s="69" t="str">
        <f>HYPERLINK(AA2 &amp; "/mug/sn_e9bd4ee553eb35c1d5ccc40b510e4bd/rendering/00.obj", "8.97258758545")</f>
        <v>8.97258758545</v>
      </c>
      <c r="D1793" s="47" t="str">
        <f>HYPERLINK(AA2 &amp; "/mug/sn_e9bd4ee553eb35c1d5ccc40b510e4bd/rendering/01.obj", "9.29722976685")</f>
        <v>9.29722976685</v>
      </c>
      <c r="E1793" s="17" t="str">
        <f>HYPERLINK(AA2 &amp; "/mug/sn_e9bd4ee553eb35c1d5ccc40b510e4bd/rendering/02.obj", "9.4320526123")</f>
        <v>9.4320526123</v>
      </c>
      <c r="F1793" s="19" t="str">
        <f>HYPERLINK(AA2 &amp; "/mug/sn_e9bd4ee553eb35c1d5ccc40b510e4bd/rendering/03.obj", "6.80538797379")</f>
        <v>6.80538797379</v>
      </c>
      <c r="G1793" s="57" t="str">
        <f>HYPERLINK(AA2 &amp; "/mug/sn_e9bd4ee553eb35c1d5ccc40b510e4bd/rendering/04.obj", "6.32161140442")</f>
        <v>6.32161140442</v>
      </c>
      <c r="H1793" s="24" t="str">
        <f>HYPERLINK(AA2 &amp; "/mug/sn_e9bd4ee553eb35c1d5ccc40b510e4bd/rendering/05.obj", "7.6956577301")</f>
        <v>7.6956577301</v>
      </c>
      <c r="I1793" s="82" t="str">
        <f>HYPERLINK(AA2 &amp; "/mug/sn_e9bd4ee553eb35c1d5ccc40b510e4bd/rendering/06.obj", "7.32749080658")</f>
        <v>7.32749080658</v>
      </c>
      <c r="J1793" s="87" t="str">
        <f>HYPERLINK(AA2 &amp; "/mug/sn_e9bd4ee553eb35c1d5ccc40b510e4bd/rendering/07.obj", "11.3282432556")</f>
        <v>11.3282432556</v>
      </c>
      <c r="K1793" s="106" t="str">
        <f>HYPERLINK(AA2 &amp; "/mug/sn_e9bd4ee553eb35c1d5ccc40b510e4bd/rendering/08.obj", "8.16878986359")</f>
        <v>8.16878986359</v>
      </c>
      <c r="L1793" s="129" t="str">
        <f>HYPERLINK(AA2 &amp; "/mug/sn_e9bd4ee553eb35c1d5ccc40b510e4bd/rendering/09.obj", "6.92537260056")</f>
        <v>6.92537260056</v>
      </c>
      <c r="M1793" s="92" t="str">
        <f>HYPERLINK(AA2 &amp; "/mug/sn_e9bd4ee553eb35c1d5ccc40b510e4bd/rendering/10.obj", "8.09039878845")</f>
        <v>8.09039878845</v>
      </c>
      <c r="N1793" s="69" t="str">
        <f>HYPERLINK(AA2 &amp; "/mug/sn_e9bd4ee553eb35c1d5ccc40b510e4bd/rendering/11.obj", "8.963306427")</f>
        <v>8.963306427</v>
      </c>
      <c r="O1793" s="92" t="str">
        <f>HYPERLINK(AA2 &amp; "/mug/sn_e9bd4ee553eb35c1d5ccc40b510e4bd/rendering/12.obj", "10.3714132309")</f>
        <v>10.3714132309</v>
      </c>
      <c r="P1793" s="70" t="str">
        <f>HYPERLINK(AA2 &amp; "/mug/sn_e9bd4ee553eb35c1d5ccc40b510e4bd/rendering/13.obj", "8.06300926208")</f>
        <v>8.06300926208</v>
      </c>
      <c r="Q1793" s="68" t="str">
        <f>HYPERLINK(AA2 &amp; "/mug/sn_e9bd4ee553eb35c1d5ccc40b510e4bd/rendering/14.obj", "8.85082054138")</f>
        <v>8.85082054138</v>
      </c>
      <c r="R1793" s="20" t="str">
        <f>HYPERLINK(AA2 &amp; "/mug/sn_e9bd4ee553eb35c1d5ccc40b510e4bd/rendering/15.obj", "26.4249629974")</f>
        <v>26.4249629974</v>
      </c>
      <c r="S1793" s="129" t="str">
        <f>HYPERLINK(AA2 &amp; "/mug/sn_e9bd4ee553eb35c1d5ccc40b510e4bd/rendering/16.obj", "6.93258523941")</f>
        <v>6.93258523941</v>
      </c>
      <c r="T1793" s="70" t="str">
        <f>HYPERLINK(AA2 &amp; "/mug/sn_e9bd4ee553eb35c1d5ccc40b510e4bd/rendering/17.obj", "8.07570171356")</f>
        <v>8.07570171356</v>
      </c>
      <c r="U1793" s="35" t="str">
        <f>HYPERLINK(AA2 &amp; "/mug/sn_e9bd4ee553eb35c1d5ccc40b510e4bd/rendering/18.obj", "9.76609802246")</f>
        <v>9.76609802246</v>
      </c>
      <c r="V1793" s="129" t="str">
        <f>HYPERLINK(AA2 &amp; "/mug/sn_e9bd4ee553eb35c1d5ccc40b510e4bd/rendering/19.obj", "6.94157505035")</f>
        <v>6.94157505035</v>
      </c>
      <c r="W1793" s="12" t="s">
        <v>30</v>
      </c>
      <c r="X1793" s="13">
        <v>9.2377147436141964</v>
      </c>
      <c r="Y1793" s="13">
        <v>4.1427139451834583</v>
      </c>
      <c r="Z1793" s="156">
        <v>0.44845657829467123</v>
      </c>
    </row>
    <row r="1794" spans="1:26" x14ac:dyDescent="0.2">
      <c r="A1794" s="1">
        <v>1792</v>
      </c>
      <c r="B1794" s="2" t="s">
        <v>391</v>
      </c>
      <c r="C1794" s="69" t="str">
        <f>HYPERLINK(AB2 &amp; "/mug/sn_e9bd4ee553eb35c1d5ccc40b510e4bd/rendering/00.obj", "4.28178222656")</f>
        <v>4.28178222656</v>
      </c>
      <c r="D1794" s="91" t="str">
        <f>HYPERLINK(AB2 &amp; "/mug/sn_e9bd4ee553eb35c1d5ccc40b510e4bd/rendering/01.obj", "4.29032928467")</f>
        <v>4.29032928467</v>
      </c>
      <c r="E1794" s="40" t="str">
        <f>HYPERLINK(AB2 &amp; "/mug/sn_e9bd4ee553eb35c1d5ccc40b510e4bd/rendering/02.obj", "3.65645874023")</f>
        <v>3.65645874023</v>
      </c>
      <c r="F1794" s="13" t="str">
        <f>HYPERLINK(AB2 &amp; "/mug/sn_e9bd4ee553eb35c1d5ccc40b510e4bd/rendering/03.obj", "4.41715515137")</f>
        <v>4.41715515137</v>
      </c>
      <c r="G1794" s="108" t="str">
        <f>HYPERLINK(AB2 &amp; "/mug/sn_e9bd4ee553eb35c1d5ccc40b510e4bd/rendering/04.obj", "3.31468536377")</f>
        <v>3.31468536377</v>
      </c>
      <c r="H1794" s="73" t="str">
        <f>HYPERLINK(AB2 &amp; "/mug/sn_e9bd4ee553eb35c1d5ccc40b510e4bd/rendering/05.obj", "4.25316345215")</f>
        <v>4.25316345215</v>
      </c>
      <c r="I1794" s="46" t="str">
        <f>HYPERLINK(AB2 &amp; "/mug/sn_e9bd4ee553eb35c1d5ccc40b510e4bd/rendering/06.obj", "4.48890472412")</f>
        <v>4.48890472412</v>
      </c>
      <c r="J1794" s="74" t="str">
        <f>HYPERLINK(AB2 &amp; "/mug/sn_e9bd4ee553eb35c1d5ccc40b510e4bd/rendering/07.obj", "4.47289001465")</f>
        <v>4.47289001465</v>
      </c>
      <c r="K1794" s="17" t="str">
        <f>HYPERLINK(AB2 &amp; "/mug/sn_e9bd4ee553eb35c1d5ccc40b510e4bd/rendering/08.obj", "4.31298980713")</f>
        <v>4.31298980713</v>
      </c>
      <c r="L1794" s="129" t="str">
        <f>HYPERLINK(AB2 &amp; "/mug/sn_e9bd4ee553eb35c1d5ccc40b510e4bd/rendering/09.obj", "5.50301635742")</f>
        <v>5.50301635742</v>
      </c>
      <c r="M1794" s="32" t="str">
        <f>HYPERLINK(AB2 &amp; "/mug/sn_e9bd4ee553eb35c1d5ccc40b510e4bd/rendering/10.obj", "4.86638793945")</f>
        <v>4.86638793945</v>
      </c>
      <c r="N1794" s="55" t="str">
        <f>HYPERLINK(AB2 &amp; "/mug/sn_e9bd4ee553eb35c1d5ccc40b510e4bd/rendering/11.obj", "3.55577697754")</f>
        <v>3.55577697754</v>
      </c>
      <c r="O1794" s="6" t="str">
        <f>HYPERLINK(AB2 &amp; "/mug/sn_e9bd4ee553eb35c1d5ccc40b510e4bd/rendering/12.obj", "4.60303405762")</f>
        <v>4.60303405762</v>
      </c>
      <c r="P1794" s="94" t="str">
        <f>HYPERLINK(AB2 &amp; "/mug/sn_e9bd4ee553eb35c1d5ccc40b510e4bd/rendering/13.obj", "4.72520629883")</f>
        <v>4.72520629883</v>
      </c>
      <c r="Q1794" s="74" t="str">
        <f>HYPERLINK(AB2 &amp; "/mug/sn_e9bd4ee553eb35c1d5ccc40b510e4bd/rendering/14.obj", "4.34884399414")</f>
        <v>4.34884399414</v>
      </c>
      <c r="R1794" s="36" t="str">
        <f>HYPERLINK(AB2 &amp; "/mug/sn_e9bd4ee553eb35c1d5ccc40b510e4bd/rendering/15.obj", "5.35797119141")</f>
        <v>5.35797119141</v>
      </c>
      <c r="S1794" s="98" t="str">
        <f>HYPERLINK(AB2 &amp; "/mug/sn_e9bd4ee553eb35c1d5ccc40b510e4bd/rendering/16.obj", "3.39252868652")</f>
        <v>3.39252868652</v>
      </c>
      <c r="T1794" s="79" t="str">
        <f>HYPERLINK(AB2 &amp; "/mug/sn_e9bd4ee553eb35c1d5ccc40b510e4bd/rendering/17.obj", "3.71389343262")</f>
        <v>3.71389343262</v>
      </c>
      <c r="U1794" s="124" t="str">
        <f>HYPERLINK(AB2 &amp; "/mug/sn_e9bd4ee553eb35c1d5ccc40b510e4bd/rendering/18.obj", "6.08545166016")</f>
        <v>6.08545166016</v>
      </c>
      <c r="V1794" s="17" t="str">
        <f>HYPERLINK(AB2 &amp; "/mug/sn_e9bd4ee553eb35c1d5ccc40b510e4bd/rendering/19.obj", "4.49476654053")</f>
        <v>4.49476654053</v>
      </c>
      <c r="W1794" s="12" t="s">
        <v>31</v>
      </c>
      <c r="X1794" s="13">
        <v>4.4067617950439457</v>
      </c>
      <c r="Y1794" s="13">
        <v>0.68367188260518408</v>
      </c>
      <c r="Z1794" s="31">
        <v>0.15514155618170111</v>
      </c>
    </row>
    <row r="1795" spans="1:26" x14ac:dyDescent="0.2">
      <c r="A1795" s="1">
        <v>1793</v>
      </c>
      <c r="B1795" s="2" t="s">
        <v>391</v>
      </c>
      <c r="C1795" s="92" t="str">
        <f>HYPERLINK(AB2 &amp; "/mug/sn_e9bd4ee553eb35c1d5ccc40b510e4bd/rendering/00.obj", "5.74660301208")</f>
        <v>5.74660301208</v>
      </c>
      <c r="D1795" s="32" t="str">
        <f>HYPERLINK(AB2 &amp; "/mug/sn_e9bd4ee553eb35c1d5ccc40b510e4bd/rendering/01.obj", "5.87615633011")</f>
        <v>5.87615633011</v>
      </c>
      <c r="E1795" s="58" t="str">
        <f>HYPERLINK(AB2 &amp; "/mug/sn_e9bd4ee553eb35c1d5ccc40b510e4bd/rendering/02.obj", "4.96633243561")</f>
        <v>4.96633243561</v>
      </c>
      <c r="F1795" s="8" t="str">
        <f>HYPERLINK(AB2 &amp; "/mug/sn_e9bd4ee553eb35c1d5ccc40b510e4bd/rendering/03.obj", "7.49357509613")</f>
        <v>7.49357509613</v>
      </c>
      <c r="G1795" s="77" t="str">
        <f>HYPERLINK(AB2 &amp; "/mug/sn_e9bd4ee553eb35c1d5ccc40b510e4bd/rendering/04.obj", "5.34564781189")</f>
        <v>5.34564781189</v>
      </c>
      <c r="H1795" s="5" t="str">
        <f>HYPERLINK(AB2 &amp; "/mug/sn_e9bd4ee553eb35c1d5ccc40b510e4bd/rendering/05.obj", "6.0630235672")</f>
        <v>6.0630235672</v>
      </c>
      <c r="I1795" s="65" t="str">
        <f>HYPERLINK(AB2 &amp; "/mug/sn_e9bd4ee553eb35c1d5ccc40b510e4bd/rendering/06.obj", "7.43678283691")</f>
        <v>7.43678283691</v>
      </c>
      <c r="J1795" s="175" t="str">
        <f>HYPERLINK(AB2 &amp; "/mug/sn_e9bd4ee553eb35c1d5ccc40b510e4bd/rendering/07.obj", "8.09348487854")</f>
        <v>8.09348487854</v>
      </c>
      <c r="K1795" s="72" t="str">
        <f>HYPERLINK(AB2 &amp; "/mug/sn_e9bd4ee553eb35c1d5ccc40b510e4bd/rendering/08.obj", "6.78191280365")</f>
        <v>6.78191280365</v>
      </c>
      <c r="L1795" s="5" t="str">
        <f>HYPERLINK(AB2 &amp; "/mug/sn_e9bd4ee553eb35c1d5ccc40b510e4bd/rendering/09.obj", "6.05852413177")</f>
        <v>6.05852413177</v>
      </c>
      <c r="M1795" s="87" t="str">
        <f>HYPERLINK(AB2 &amp; "/mug/sn_e9bd4ee553eb35c1d5ccc40b510e4bd/rendering/10.obj", "8.05123901367")</f>
        <v>8.05123901367</v>
      </c>
      <c r="N1795" s="175" t="str">
        <f>HYPERLINK(AB2 &amp; "/mug/sn_e9bd4ee553eb35c1d5ccc40b510e4bd/rendering/11.obj", "5.03088188171")</f>
        <v>5.03088188171</v>
      </c>
      <c r="O1795" s="136" t="str">
        <f>HYPERLINK(AB2 &amp; "/mug/sn_e9bd4ee553eb35c1d5ccc40b510e4bd/rendering/12.obj", "8.11489295959")</f>
        <v>8.11489295959</v>
      </c>
      <c r="P1795" s="38" t="str">
        <f>HYPERLINK(AB2 &amp; "/mug/sn_e9bd4ee553eb35c1d5ccc40b510e4bd/rendering/13.obj", "5.9681391716")</f>
        <v>5.9681391716</v>
      </c>
      <c r="Q1795" s="27" t="str">
        <f>HYPERLINK(AB2 &amp; "/mug/sn_e9bd4ee553eb35c1d5ccc40b510e4bd/rendering/14.obj", "6.10078239441")</f>
        <v>6.10078239441</v>
      </c>
      <c r="R1795" s="179" t="str">
        <f>HYPERLINK(AB2 &amp; "/mug/sn_e9bd4ee553eb35c1d5ccc40b510e4bd/rendering/15.obj", "9.38065338135")</f>
        <v>9.38065338135</v>
      </c>
      <c r="S1795" s="83" t="str">
        <f>HYPERLINK(AB2 &amp; "/mug/sn_e9bd4ee553eb35c1d5ccc40b510e4bd/rendering/16.obj", "5.56540107727")</f>
        <v>5.56540107727</v>
      </c>
      <c r="T1795" s="98" t="str">
        <f>HYPERLINK(AB2 &amp; "/mug/sn_e9bd4ee553eb35c1d5ccc40b510e4bd/rendering/17.obj", "5.05715799332")</f>
        <v>5.05715799332</v>
      </c>
      <c r="U1795" s="78" t="str">
        <f>HYPERLINK(AB2 &amp; "/mug/sn_e9bd4ee553eb35c1d5ccc40b510e4bd/rendering/18.obj", "6.95765209198")</f>
        <v>6.95765209198</v>
      </c>
      <c r="V1795" s="90" t="str">
        <f>HYPERLINK(AB2 &amp; "/mug/sn_e9bd4ee553eb35c1d5ccc40b510e4bd/rendering/19.obj", "7.19447422028")</f>
        <v>7.19447422028</v>
      </c>
      <c r="W1795" s="12" t="s">
        <v>32</v>
      </c>
      <c r="X1795" s="13">
        <v>6.5641658544540409</v>
      </c>
      <c r="Y1795" s="13">
        <v>1.203917193688455</v>
      </c>
      <c r="Z1795" s="76">
        <v>0.18340749158121139</v>
      </c>
    </row>
    <row r="1796" spans="1:26" x14ac:dyDescent="0.2">
      <c r="A1796" s="1">
        <v>1794</v>
      </c>
      <c r="B1796" s="2" t="s">
        <v>391</v>
      </c>
      <c r="C1796" s="13" t="str">
        <f>HYPERLINK(AC2 &amp; "/mug/sn_e9bd4ee553eb35c1d5ccc40b510e4bd/rendering/00.xyz", "0.0")</f>
        <v>0.0</v>
      </c>
      <c r="D1796" s="13" t="str">
        <f>HYPERLINK(AC2 &amp; "/mug/sn_e9bd4ee553eb35c1d5ccc40b510e4bd/rendering/01.xyz", "0.0")</f>
        <v>0.0</v>
      </c>
      <c r="E1796" s="13" t="str">
        <f>HYPERLINK(AC2 &amp; "/mug/sn_e9bd4ee553eb35c1d5ccc40b510e4bd/rendering/02.xyz", "0.0")</f>
        <v>0.0</v>
      </c>
      <c r="F1796" s="13" t="str">
        <f>HYPERLINK(AC2 &amp; "/mug/sn_e9bd4ee553eb35c1d5ccc40b510e4bd/rendering/03.xyz", "0.0")</f>
        <v>0.0</v>
      </c>
      <c r="G1796" s="13" t="str">
        <f>HYPERLINK(AC2 &amp; "/mug/sn_e9bd4ee553eb35c1d5ccc40b510e4bd/rendering/04.xyz", "0.0")</f>
        <v>0.0</v>
      </c>
      <c r="H1796" s="13" t="str">
        <f>HYPERLINK(AC2 &amp; "/mug/sn_e9bd4ee553eb35c1d5ccc40b510e4bd/rendering/05.xyz", "0.0")</f>
        <v>0.0</v>
      </c>
      <c r="I1796" s="13" t="str">
        <f>HYPERLINK(AC2 &amp; "/mug/sn_e9bd4ee553eb35c1d5ccc40b510e4bd/rendering/06.xyz", "0.0")</f>
        <v>0.0</v>
      </c>
      <c r="J1796" s="13" t="str">
        <f>HYPERLINK(AC2 &amp; "/mug/sn_e9bd4ee553eb35c1d5ccc40b510e4bd/rendering/07.xyz", "0.0")</f>
        <v>0.0</v>
      </c>
      <c r="K1796" s="13" t="str">
        <f>HYPERLINK(AC2 &amp; "/mug/sn_e9bd4ee553eb35c1d5ccc40b510e4bd/rendering/08.xyz", "0.0")</f>
        <v>0.0</v>
      </c>
      <c r="L1796" s="13" t="str">
        <f>HYPERLINK(AC2 &amp; "/mug/sn_e9bd4ee553eb35c1d5ccc40b510e4bd/rendering/09.xyz", "0.0")</f>
        <v>0.0</v>
      </c>
      <c r="M1796" s="13" t="str">
        <f>HYPERLINK(AC2 &amp; "/mug/sn_e9bd4ee553eb35c1d5ccc40b510e4bd/rendering/10.xyz", "0.0")</f>
        <v>0.0</v>
      </c>
      <c r="N1796" s="13" t="str">
        <f>HYPERLINK(AC2 &amp; "/mug/sn_e9bd4ee553eb35c1d5ccc40b510e4bd/rendering/11.xyz", "0.0")</f>
        <v>0.0</v>
      </c>
      <c r="O1796" s="13" t="str">
        <f>HYPERLINK(AC2 &amp; "/mug/sn_e9bd4ee553eb35c1d5ccc40b510e4bd/rendering/12.xyz", "0.0")</f>
        <v>0.0</v>
      </c>
      <c r="P1796" s="13" t="str">
        <f>HYPERLINK(AC2 &amp; "/mug/sn_e9bd4ee553eb35c1d5ccc40b510e4bd/rendering/13.xyz", "0.0")</f>
        <v>0.0</v>
      </c>
      <c r="Q1796" s="13" t="str">
        <f>HYPERLINK(AC2 &amp; "/mug/sn_e9bd4ee553eb35c1d5ccc40b510e4bd/rendering/14.xyz", "0.0")</f>
        <v>0.0</v>
      </c>
      <c r="R1796" s="13" t="str">
        <f>HYPERLINK(AC2 &amp; "/mug/sn_e9bd4ee553eb35c1d5ccc40b510e4bd/rendering/15.xyz", "0.0")</f>
        <v>0.0</v>
      </c>
      <c r="S1796" s="13" t="str">
        <f>HYPERLINK(AC2 &amp; "/mug/sn_e9bd4ee553eb35c1d5ccc40b510e4bd/rendering/16.xyz", "0.0")</f>
        <v>0.0</v>
      </c>
      <c r="T1796" s="13" t="str">
        <f>HYPERLINK(AC2 &amp; "/mug/sn_e9bd4ee553eb35c1d5ccc40b510e4bd/rendering/17.xyz", "0.0")</f>
        <v>0.0</v>
      </c>
      <c r="U1796" s="13" t="str">
        <f>HYPERLINK(AC2 &amp; "/mug/sn_e9bd4ee553eb35c1d5ccc40b510e4bd/rendering/18.xyz", "0.0")</f>
        <v>0.0</v>
      </c>
      <c r="V1796" s="13" t="str">
        <f>HYPERLINK(AC2 &amp; "/mug/sn_e9bd4ee553eb35c1d5ccc40b510e4bd/rendering/19.xyz", "0.0")</f>
        <v>0.0</v>
      </c>
      <c r="W1796" s="12" t="s">
        <v>33</v>
      </c>
      <c r="X1796" s="13">
        <v>0</v>
      </c>
      <c r="Y1796" s="13">
        <v>0</v>
      </c>
      <c r="Z1796" s="13">
        <v>0</v>
      </c>
    </row>
    <row r="1797" spans="1:26" x14ac:dyDescent="0.2">
      <c r="A1797" s="1">
        <v>1795</v>
      </c>
      <c r="B1797" s="2" t="s">
        <v>392</v>
      </c>
      <c r="C1797" s="137" t="str">
        <f>HYPERLINK(AA2 &amp; "/mug/sn_ea127b5b9ba0696967699ff4ba91a25/rendering/00.obj", "5.89633056641")</f>
        <v>5.89633056641</v>
      </c>
      <c r="D1797" s="23" t="str">
        <f>HYPERLINK(AA2 &amp; "/mug/sn_ea127b5b9ba0696967699ff4ba91a25/rendering/01.obj", "8.90376342773")</f>
        <v>8.90376342773</v>
      </c>
      <c r="E1797" s="20" t="str">
        <f>HYPERLINK(AA2 &amp; "/mug/sn_ea127b5b9ba0696967699ff4ba91a25/rendering/02.obj", "19.2961315918")</f>
        <v>19.2961315918</v>
      </c>
      <c r="F1797" s="42" t="str">
        <f>HYPERLINK(AA2 &amp; "/mug/sn_ea127b5b9ba0696967699ff4ba91a25/rendering/03.obj", "10.5335839844")</f>
        <v>10.5335839844</v>
      </c>
      <c r="G1797" s="217" t="str">
        <f>HYPERLINK(AA2 &amp; "/mug/sn_ea127b5b9ba0696967699ff4ba91a25/rendering/04.obj", "15.1230419922")</f>
        <v>15.1230419922</v>
      </c>
      <c r="H1797" s="142" t="str">
        <f>HYPERLINK(AA2 &amp; "/mug/sn_ea127b5b9ba0696967699ff4ba91a25/rendering/05.obj", "5.63155334473")</f>
        <v>5.63155334473</v>
      </c>
      <c r="I1797" s="212" t="str">
        <f>HYPERLINK(AA2 &amp; "/mug/sn_ea127b5b9ba0696967699ff4ba91a25/rendering/06.obj", "13.2624694824")</f>
        <v>13.2624694824</v>
      </c>
      <c r="J1797" s="168" t="str">
        <f>HYPERLINK(AA2 &amp; "/mug/sn_ea127b5b9ba0696967699ff4ba91a25/rendering/07.obj", "6.30360351563")</f>
        <v>6.30360351563</v>
      </c>
      <c r="K1797" s="101" t="str">
        <f>HYPERLINK(AA2 &amp; "/mug/sn_ea127b5b9ba0696967699ff4ba91a25/rendering/08.obj", "5.77386352539")</f>
        <v>5.77386352539</v>
      </c>
      <c r="L1797" s="55" t="str">
        <f>HYPERLINK(AA2 &amp; "/mug/sn_ea127b5b9ba0696967699ff4ba91a25/rendering/09.obj", "7.48478210449")</f>
        <v>7.48478210449</v>
      </c>
      <c r="M1797" s="100" t="str">
        <f>HYPERLINK(AA2 &amp; "/mug/sn_ea127b5b9ba0696967699ff4ba91a25/rendering/10.obj", "6.48749938965")</f>
        <v>6.48749938965</v>
      </c>
      <c r="N1797" s="6" t="str">
        <f>HYPERLINK(AA2 &amp; "/mug/sn_ea127b5b9ba0696967699ff4ba91a25/rendering/11.obj", "9.68260192871")</f>
        <v>9.68260192871</v>
      </c>
      <c r="O1797" s="80" t="str">
        <f>HYPERLINK(AA2 &amp; "/mug/sn_ea127b5b9ba0696967699ff4ba91a25/rendering/12.obj", "10.6557287598")</f>
        <v>10.6557287598</v>
      </c>
      <c r="P1797" s="233" t="str">
        <f>HYPERLINK(AA2 &amp; "/mug/sn_ea127b5b9ba0696967699ff4ba91a25/rendering/13.obj", "15.7802978516")</f>
        <v>15.7802978516</v>
      </c>
      <c r="Q1797" s="110" t="str">
        <f>HYPERLINK(AA2 &amp; "/mug/sn_ea127b5b9ba0696967699ff4ba91a25/rendering/14.obj", "8.35026733398")</f>
        <v>8.35026733398</v>
      </c>
      <c r="R1797" s="158" t="str">
        <f>HYPERLINK(AA2 &amp; "/mug/sn_ea127b5b9ba0696967699ff4ba91a25/rendering/15.obj", "5.46561279297")</f>
        <v>5.46561279297</v>
      </c>
      <c r="S1797" s="129" t="str">
        <f>HYPERLINK(AA2 &amp; "/mug/sn_ea127b5b9ba0696967699ff4ba91a25/rendering/16.obj", "6.95895446777")</f>
        <v>6.95895446777</v>
      </c>
      <c r="T1797" s="230" t="str">
        <f>HYPERLINK(AA2 &amp; "/mug/sn_ea127b5b9ba0696967699ff4ba91a25/rendering/17.obj", "5.03108062744")</f>
        <v>5.03108062744</v>
      </c>
      <c r="U1797" s="147" t="str">
        <f>HYPERLINK(AA2 &amp; "/mug/sn_ea127b5b9ba0696967699ff4ba91a25/rendering/18.obj", "4.74417358398")</f>
        <v>4.74417358398</v>
      </c>
      <c r="V1797" s="22" t="str">
        <f>HYPERLINK(AA2 &amp; "/mug/sn_ea127b5b9ba0696967699ff4ba91a25/rendering/19.obj", "14.1230126953")</f>
        <v>14.1230126953</v>
      </c>
      <c r="W1797" s="12" t="s">
        <v>29</v>
      </c>
      <c r="X1797" s="13">
        <v>9.2744176483154295</v>
      </c>
      <c r="Y1797" s="13">
        <v>4.0997638980719406</v>
      </c>
      <c r="Z1797" s="163">
        <v>0.4420508169390675</v>
      </c>
    </row>
    <row r="1798" spans="1:26" x14ac:dyDescent="0.2">
      <c r="A1798" s="1">
        <v>1796</v>
      </c>
      <c r="B1798" s="2" t="s">
        <v>392</v>
      </c>
      <c r="C1798" s="241" t="str">
        <f>HYPERLINK(AA2 &amp; "/mug/sn_ea127b5b9ba0696967699ff4ba91a25/rendering/00.obj", "7.50484752655")</f>
        <v>7.50484752655</v>
      </c>
      <c r="D1798" s="137" t="str">
        <f>HYPERLINK(AA2 &amp; "/mug/sn_ea127b5b9ba0696967699ff4ba91a25/rendering/01.obj", "13.2419319153")</f>
        <v>13.2419319153</v>
      </c>
      <c r="E1798" s="20" t="str">
        <f>HYPERLINK(AA2 &amp; "/mug/sn_ea127b5b9ba0696967699ff4ba91a25/rendering/02.obj", "58.8229942322")</f>
        <v>58.8229942322</v>
      </c>
      <c r="F1798" s="36" t="str">
        <f>HYPERLINK(AA2 &amp; "/mug/sn_ea127b5b9ba0696967699ff4ba91a25/rendering/03.obj", "16.3873138428")</f>
        <v>16.3873138428</v>
      </c>
      <c r="G1798" s="117" t="str">
        <f>HYPERLINK(AA2 &amp; "/mug/sn_ea127b5b9ba0696967699ff4ba91a25/rendering/04.obj", "24.5191364288")</f>
        <v>24.5191364288</v>
      </c>
      <c r="H1798" s="185" t="str">
        <f>HYPERLINK(AA2 &amp; "/mug/sn_ea127b5b9ba0696967699ff4ba91a25/rendering/05.obj", "13.7812976837")</f>
        <v>13.7812976837</v>
      </c>
      <c r="I1798" s="188" t="str">
        <f>HYPERLINK(AA2 &amp; "/mug/sn_ea127b5b9ba0696967699ff4ba91a25/rendering/06.obj", "35.7808570862")</f>
        <v>35.7808570862</v>
      </c>
      <c r="J1798" s="198" t="str">
        <f>HYPERLINK(AA2 &amp; "/mug/sn_ea127b5b9ba0696967699ff4ba91a25/rendering/07.obj", "12.7807664871")</f>
        <v>12.7807664871</v>
      </c>
      <c r="K1798" s="86" t="str">
        <f>HYPERLINK(AA2 &amp; "/mug/sn_ea127b5b9ba0696967699ff4ba91a25/rendering/08.obj", "15.2354402542")</f>
        <v>15.2354402542</v>
      </c>
      <c r="L1798" s="46" t="str">
        <f>HYPERLINK(AA2 &amp; "/mug/sn_ea127b5b9ba0696967699ff4ba91a25/rendering/09.obj", "20.4722919464")</f>
        <v>20.4722919464</v>
      </c>
      <c r="M1798" s="15" t="str">
        <f>HYPERLINK(AA2 &amp; "/mug/sn_ea127b5b9ba0696967699ff4ba91a25/rendering/10.obj", "10.2582092285")</f>
        <v>10.2582092285</v>
      </c>
      <c r="N1798" s="140" t="str">
        <f>HYPERLINK(AA2 &amp; "/mug/sn_ea127b5b9ba0696967699ff4ba91a25/rendering/11.obj", "28.0742378235")</f>
        <v>28.0742378235</v>
      </c>
      <c r="O1798" s="14" t="str">
        <f>HYPERLINK(AA2 &amp; "/mug/sn_ea127b5b9ba0696967699ff4ba91a25/rendering/12.obj", "26.8743801117")</f>
        <v>26.8743801117</v>
      </c>
      <c r="P1798" s="145" t="str">
        <f>HYPERLINK(AA2 &amp; "/mug/sn_ea127b5b9ba0696967699ff4ba91a25/rendering/13.obj", "31.0580043793")</f>
        <v>31.0580043793</v>
      </c>
      <c r="Q1798" s="34" t="str">
        <f>HYPERLINK(AA2 &amp; "/mug/sn_ea127b5b9ba0696967699ff4ba91a25/rendering/14.obj", "21.8392906189")</f>
        <v>21.8392906189</v>
      </c>
      <c r="R1798" s="22" t="str">
        <f>HYPERLINK(AA2 &amp; "/mug/sn_ea127b5b9ba0696967699ff4ba91a25/rendering/15.obj", "9.94850730896")</f>
        <v>9.94850730896</v>
      </c>
      <c r="S1798" s="156" t="str">
        <f>HYPERLINK(AA2 &amp; "/mug/sn_ea127b5b9ba0696967699ff4ba91a25/rendering/16.obj", "11.5178394318")</f>
        <v>11.5178394318</v>
      </c>
      <c r="T1798" s="225" t="str">
        <f>HYPERLINK(AA2 &amp; "/mug/sn_ea127b5b9ba0696967699ff4ba91a25/rendering/17.obj", "8.9617805481")</f>
        <v>8.9617805481</v>
      </c>
      <c r="U1798" s="235" t="str">
        <f>HYPERLINK(AA2 &amp; "/mug/sn_ea127b5b9ba0696967699ff4ba91a25/rendering/18.obj", "9.58342456818")</f>
        <v>9.58342456818</v>
      </c>
      <c r="V1798" s="20" t="str">
        <f>HYPERLINK(AA2 &amp; "/mug/sn_ea127b5b9ba0696967699ff4ba91a25/rendering/19.obj", "40.3525314331")</f>
        <v>40.3525314331</v>
      </c>
      <c r="W1798" s="12" t="s">
        <v>30</v>
      </c>
      <c r="X1798" s="13">
        <v>20.849754142761231</v>
      </c>
      <c r="Y1798" s="13">
        <v>12.730621671009111</v>
      </c>
      <c r="Z1798" s="246">
        <v>0.61058857499425334</v>
      </c>
    </row>
    <row r="1799" spans="1:26" x14ac:dyDescent="0.2">
      <c r="A1799" s="1">
        <v>1797</v>
      </c>
      <c r="B1799" s="2" t="s">
        <v>392</v>
      </c>
      <c r="C1799" s="176" t="str">
        <f>HYPERLINK(AB2 &amp; "/mug/sn_ea127b5b9ba0696967699ff4ba91a25/rendering/00.obj", "3.31767120361")</f>
        <v>3.31767120361</v>
      </c>
      <c r="D1799" s="133" t="str">
        <f>HYPERLINK(AB2 &amp; "/mug/sn_ea127b5b9ba0696967699ff4ba91a25/rendering/01.obj", "5.35569274902")</f>
        <v>5.35569274902</v>
      </c>
      <c r="E1799" s="51" t="str">
        <f>HYPERLINK(AB2 &amp; "/mug/sn_ea127b5b9ba0696967699ff4ba91a25/rendering/02.obj", "4.46133117676")</f>
        <v>4.46133117676</v>
      </c>
      <c r="F1799" s="133" t="str">
        <f>HYPERLINK(AB2 &amp; "/mug/sn_ea127b5b9ba0696967699ff4ba91a25/rendering/03.obj", "5.3493359375")</f>
        <v>5.3493359375</v>
      </c>
      <c r="G1799" s="32" t="str">
        <f>HYPERLINK(AB2 &amp; "/mug/sn_ea127b5b9ba0696967699ff4ba91a25/rendering/04.obj", "5.36299438477")</f>
        <v>5.36299438477</v>
      </c>
      <c r="H1799" s="153" t="str">
        <f>HYPERLINK(AB2 &amp; "/mug/sn_ea127b5b9ba0696967699ff4ba91a25/rendering/05.obj", "3.13304016113")</f>
        <v>3.13304016113</v>
      </c>
      <c r="I1799" s="20" t="str">
        <f>HYPERLINK(AB2 &amp; "/mug/sn_ea127b5b9ba0696967699ff4ba91a25/rendering/06.obj", "9.75075073242")</f>
        <v>9.75075073242</v>
      </c>
      <c r="J1799" s="153" t="str">
        <f>HYPERLINK(AB2 &amp; "/mug/sn_ea127b5b9ba0696967699ff4ba91a25/rendering/07.obj", "6.58037963867")</f>
        <v>6.58037963867</v>
      </c>
      <c r="K1799" s="169" t="str">
        <f>HYPERLINK(AB2 &amp; "/mug/sn_ea127b5b9ba0696967699ff4ba91a25/rendering/08.obj", "3.3373059082")</f>
        <v>3.3373059082</v>
      </c>
      <c r="L1799" s="99" t="str">
        <f>HYPERLINK(AB2 &amp; "/mug/sn_ea127b5b9ba0696967699ff4ba91a25/rendering/09.obj", "3.53707427979")</f>
        <v>3.53707427979</v>
      </c>
      <c r="M1799" s="133" t="str">
        <f>HYPERLINK(AB2 &amp; "/mug/sn_ea127b5b9ba0696967699ff4ba91a25/rendering/10.obj", "5.35233276367")</f>
        <v>5.35233276367</v>
      </c>
      <c r="N1799" s="13" t="str">
        <f>HYPERLINK(AB2 &amp; "/mug/sn_ea127b5b9ba0696967699ff4ba91a25/rendering/11.obj", "4.84794158936")</f>
        <v>4.84794158936</v>
      </c>
      <c r="O1799" s="72" t="str">
        <f>HYPERLINK(AB2 &amp; "/mug/sn_ea127b5b9ba0696967699ff4ba91a25/rendering/12.obj", "5.01049682617")</f>
        <v>5.01049682617</v>
      </c>
      <c r="P1799" s="30" t="str">
        <f>HYPERLINK(AB2 &amp; "/mug/sn_ea127b5b9ba0696967699ff4ba91a25/rendering/13.obj", "4.82757446289")</f>
        <v>4.82757446289</v>
      </c>
      <c r="Q1799" s="117" t="str">
        <f>HYPERLINK(AB2 &amp; "/mug/sn_ea127b5b9ba0696967699ff4ba91a25/rendering/14.obj", "3.99165344238")</f>
        <v>3.99165344238</v>
      </c>
      <c r="R1799" s="42" t="str">
        <f>HYPERLINK(AB2 &amp; "/mug/sn_ea127b5b9ba0696967699ff4ba91a25/rendering/15.obj", "5.51337646484")</f>
        <v>5.51337646484</v>
      </c>
      <c r="S1799" s="86" t="str">
        <f>HYPERLINK(AB2 &amp; "/mug/sn_ea127b5b9ba0696967699ff4ba91a25/rendering/16.obj", "3.55474243164")</f>
        <v>3.55474243164</v>
      </c>
      <c r="T1799" s="69" t="str">
        <f>HYPERLINK(AB2 &amp; "/mug/sn_ea127b5b9ba0696967699ff4ba91a25/rendering/17.obj", "4.99809631348")</f>
        <v>4.99809631348</v>
      </c>
      <c r="U1799" s="78" t="str">
        <f>HYPERLINK(AB2 &amp; "/mug/sn_ea127b5b9ba0696967699ff4ba91a25/rendering/18.obj", "5.15512817383")</f>
        <v>5.15512817383</v>
      </c>
      <c r="V1799" s="136" t="str">
        <f>HYPERLINK(AB2 &amp; "/mug/sn_ea127b5b9ba0696967699ff4ba91a25/rendering/19.obj", "3.71375610352")</f>
        <v>3.71375610352</v>
      </c>
      <c r="W1799" s="12" t="s">
        <v>31</v>
      </c>
      <c r="X1799" s="13">
        <v>4.8575337371826173</v>
      </c>
      <c r="Y1799" s="13">
        <v>1.445284302769142</v>
      </c>
      <c r="Z1799" s="85">
        <v>0.29753458873708438</v>
      </c>
    </row>
    <row r="1800" spans="1:26" x14ac:dyDescent="0.2">
      <c r="A1800" s="1">
        <v>1798</v>
      </c>
      <c r="B1800" s="2" t="s">
        <v>392</v>
      </c>
      <c r="C1800" s="54" t="str">
        <f>HYPERLINK(AB2 &amp; "/mug/sn_ea127b5b9ba0696967699ff4ba91a25/rendering/00.obj", "5.03585958481")</f>
        <v>5.03585958481</v>
      </c>
      <c r="D1800" s="5" t="str">
        <f>HYPERLINK(AB2 &amp; "/mug/sn_ea127b5b9ba0696967699ff4ba91a25/rendering/01.obj", "6.90954446793")</f>
        <v>6.90954446793</v>
      </c>
      <c r="E1800" s="29" t="str">
        <f>HYPERLINK(AB2 &amp; "/mug/sn_ea127b5b9ba0696967699ff4ba91a25/rendering/02.obj", "6.52097606659")</f>
        <v>6.52097606659</v>
      </c>
      <c r="F1800" s="35" t="str">
        <f>HYPERLINK(AB2 &amp; "/mug/sn_ea127b5b9ba0696967699ff4ba91a25/rendering/03.obj", "7.05500221252")</f>
        <v>7.05500221252</v>
      </c>
      <c r="G1800" s="94" t="str">
        <f>HYPERLINK(AB2 &amp; "/mug/sn_ea127b5b9ba0696967699ff4ba91a25/rendering/04.obj", "6.94797039032")</f>
        <v>6.94797039032</v>
      </c>
      <c r="H1800" s="187" t="str">
        <f>HYPERLINK(AB2 &amp; "/mug/sn_ea127b5b9ba0696967699ff4ba91a25/rendering/05.obj", "4.86324310303")</f>
        <v>4.86324310303</v>
      </c>
      <c r="I1800" s="20" t="str">
        <f>HYPERLINK(AB2 &amp; "/mug/sn_ea127b5b9ba0696967699ff4ba91a25/rendering/06.obj", "18.1711387634")</f>
        <v>18.1711387634</v>
      </c>
      <c r="J1800" s="139" t="str">
        <f>HYPERLINK(AB2 &amp; "/mug/sn_ea127b5b9ba0696967699ff4ba91a25/rendering/07.obj", "11.1058111191")</f>
        <v>11.1058111191</v>
      </c>
      <c r="K1800" s="193" t="str">
        <f>HYPERLINK(AB2 &amp; "/mug/sn_ea127b5b9ba0696967699ff4ba91a25/rendering/08.obj", "5.01120281219")</f>
        <v>5.01120281219</v>
      </c>
      <c r="L1800" s="19" t="str">
        <f>HYPERLINK(AB2 &amp; "/mug/sn_ea127b5b9ba0696967699ff4ba91a25/rendering/09.obj", "5.53959751129")</f>
        <v>5.53959751129</v>
      </c>
      <c r="M1800" s="25" t="str">
        <f>HYPERLINK(AB2 &amp; "/mug/sn_ea127b5b9ba0696967699ff4ba91a25/rendering/10.obj", "7.40863847733")</f>
        <v>7.40863847733</v>
      </c>
      <c r="N1800" s="78" t="str">
        <f>HYPERLINK(AB2 &amp; "/mug/sn_ea127b5b9ba0696967699ff4ba91a25/rendering/11.obj", "7.93808078766")</f>
        <v>7.93808078766</v>
      </c>
      <c r="O1800" s="44" t="str">
        <f>HYPERLINK(AB2 &amp; "/mug/sn_ea127b5b9ba0696967699ff4ba91a25/rendering/12.obj", "8.95974349976")</f>
        <v>8.95974349976</v>
      </c>
      <c r="P1800" s="106" t="str">
        <f>HYPERLINK(AB2 &amp; "/mug/sn_ea127b5b9ba0696967699ff4ba91a25/rendering/13.obj", "6.62672138214")</f>
        <v>6.62672138214</v>
      </c>
      <c r="Q1800" s="134" t="str">
        <f>HYPERLINK(AB2 &amp; "/mug/sn_ea127b5b9ba0696967699ff4ba91a25/rendering/14.obj", "6.14027929306")</f>
        <v>6.14027929306</v>
      </c>
      <c r="R1800" s="46" t="str">
        <f>HYPERLINK(AB2 &amp; "/mug/sn_ea127b5b9ba0696967699ff4ba91a25/rendering/15.obj", "7.61996412277")</f>
        <v>7.61996412277</v>
      </c>
      <c r="S1800" s="94" t="str">
        <f>HYPERLINK(AB2 &amp; "/mug/sn_ea127b5b9ba0696967699ff4ba91a25/rendering/16.obj", "6.94318294525")</f>
        <v>6.94318294525</v>
      </c>
      <c r="T1800" s="72" t="str">
        <f>HYPERLINK(AB2 &amp; "/mug/sn_ea127b5b9ba0696967699ff4ba91a25/rendering/17.obj", "7.24597883224")</f>
        <v>7.24597883224</v>
      </c>
      <c r="U1800" s="35" t="str">
        <f>HYPERLINK(AB2 &amp; "/mug/sn_ea127b5b9ba0696967699ff4ba91a25/rendering/18.obj", "7.04568147659")</f>
        <v>7.04568147659</v>
      </c>
      <c r="V1800" s="133" t="str">
        <f>HYPERLINK(AB2 &amp; "/mug/sn_ea127b5b9ba0696967699ff4ba91a25/rendering/19.obj", "6.72207021713")</f>
        <v>6.72207021713</v>
      </c>
      <c r="W1800" s="12" t="s">
        <v>32</v>
      </c>
      <c r="X1800" s="13">
        <v>7.4905343532562254</v>
      </c>
      <c r="Y1800" s="13">
        <v>2.8096979031780229</v>
      </c>
      <c r="Z1800" s="43">
        <v>0.37509979537796451</v>
      </c>
    </row>
    <row r="1801" spans="1:26" x14ac:dyDescent="0.2">
      <c r="A1801" s="1">
        <v>1799</v>
      </c>
      <c r="B1801" s="2" t="s">
        <v>392</v>
      </c>
      <c r="C1801" s="13" t="str">
        <f>HYPERLINK(AC2 &amp; "/mug/sn_ea127b5b9ba0696967699ff4ba91a25/rendering/00.xyz", "0.0")</f>
        <v>0.0</v>
      </c>
      <c r="D1801" s="13" t="str">
        <f>HYPERLINK(AC2 &amp; "/mug/sn_ea127b5b9ba0696967699ff4ba91a25/rendering/01.xyz", "0.0")</f>
        <v>0.0</v>
      </c>
      <c r="E1801" s="13" t="str">
        <f>HYPERLINK(AC2 &amp; "/mug/sn_ea127b5b9ba0696967699ff4ba91a25/rendering/02.xyz", "0.0")</f>
        <v>0.0</v>
      </c>
      <c r="F1801" s="13" t="str">
        <f>HYPERLINK(AC2 &amp; "/mug/sn_ea127b5b9ba0696967699ff4ba91a25/rendering/03.xyz", "0.0")</f>
        <v>0.0</v>
      </c>
      <c r="G1801" s="13" t="str">
        <f>HYPERLINK(AC2 &amp; "/mug/sn_ea127b5b9ba0696967699ff4ba91a25/rendering/04.xyz", "0.0")</f>
        <v>0.0</v>
      </c>
      <c r="H1801" s="13" t="str">
        <f>HYPERLINK(AC2 &amp; "/mug/sn_ea127b5b9ba0696967699ff4ba91a25/rendering/05.xyz", "0.0")</f>
        <v>0.0</v>
      </c>
      <c r="I1801" s="13" t="str">
        <f>HYPERLINK(AC2 &amp; "/mug/sn_ea127b5b9ba0696967699ff4ba91a25/rendering/06.xyz", "0.0")</f>
        <v>0.0</v>
      </c>
      <c r="J1801" s="13" t="str">
        <f>HYPERLINK(AC2 &amp; "/mug/sn_ea127b5b9ba0696967699ff4ba91a25/rendering/07.xyz", "0.0")</f>
        <v>0.0</v>
      </c>
      <c r="K1801" s="13" t="str">
        <f>HYPERLINK(AC2 &amp; "/mug/sn_ea127b5b9ba0696967699ff4ba91a25/rendering/08.xyz", "0.0")</f>
        <v>0.0</v>
      </c>
      <c r="L1801" s="13" t="str">
        <f>HYPERLINK(AC2 &amp; "/mug/sn_ea127b5b9ba0696967699ff4ba91a25/rendering/09.xyz", "0.0")</f>
        <v>0.0</v>
      </c>
      <c r="M1801" s="13" t="str">
        <f>HYPERLINK(AC2 &amp; "/mug/sn_ea127b5b9ba0696967699ff4ba91a25/rendering/10.xyz", "0.0")</f>
        <v>0.0</v>
      </c>
      <c r="N1801" s="13" t="str">
        <f>HYPERLINK(AC2 &amp; "/mug/sn_ea127b5b9ba0696967699ff4ba91a25/rendering/11.xyz", "0.0")</f>
        <v>0.0</v>
      </c>
      <c r="O1801" s="13" t="str">
        <f>HYPERLINK(AC2 &amp; "/mug/sn_ea127b5b9ba0696967699ff4ba91a25/rendering/12.xyz", "0.0")</f>
        <v>0.0</v>
      </c>
      <c r="P1801" s="13" t="str">
        <f>HYPERLINK(AC2 &amp; "/mug/sn_ea127b5b9ba0696967699ff4ba91a25/rendering/13.xyz", "0.0")</f>
        <v>0.0</v>
      </c>
      <c r="Q1801" s="13" t="str">
        <f>HYPERLINK(AC2 &amp; "/mug/sn_ea127b5b9ba0696967699ff4ba91a25/rendering/14.xyz", "0.0")</f>
        <v>0.0</v>
      </c>
      <c r="R1801" s="13" t="str">
        <f>HYPERLINK(AC2 &amp; "/mug/sn_ea127b5b9ba0696967699ff4ba91a25/rendering/15.xyz", "0.0")</f>
        <v>0.0</v>
      </c>
      <c r="S1801" s="13" t="str">
        <f>HYPERLINK(AC2 &amp; "/mug/sn_ea127b5b9ba0696967699ff4ba91a25/rendering/16.xyz", "0.0")</f>
        <v>0.0</v>
      </c>
      <c r="T1801" s="13" t="str">
        <f>HYPERLINK(AC2 &amp; "/mug/sn_ea127b5b9ba0696967699ff4ba91a25/rendering/17.xyz", "0.0")</f>
        <v>0.0</v>
      </c>
      <c r="U1801" s="13" t="str">
        <f>HYPERLINK(AC2 &amp; "/mug/sn_ea127b5b9ba0696967699ff4ba91a25/rendering/18.xyz", "0.0")</f>
        <v>0.0</v>
      </c>
      <c r="V1801" s="13" t="str">
        <f>HYPERLINK(AC2 &amp; "/mug/sn_ea127b5b9ba0696967699ff4ba91a25/rendering/19.xyz", "0.0")</f>
        <v>0.0</v>
      </c>
      <c r="W1801" s="12" t="s">
        <v>33</v>
      </c>
      <c r="X1801" s="13">
        <v>0</v>
      </c>
      <c r="Y1801" s="13">
        <v>0</v>
      </c>
      <c r="Z1801" s="13">
        <v>0</v>
      </c>
    </row>
    <row r="1802" spans="1:26" x14ac:dyDescent="0.2">
      <c r="A1802" s="1">
        <v>1800</v>
      </c>
      <c r="B1802" s="2" t="s">
        <v>393</v>
      </c>
      <c r="C1802" s="88" t="str">
        <f>HYPERLINK(AA2 &amp; "/mug/sn_ea33ad442b032208d778b73d04298f62/rendering/00.obj", "3.77149047852")</f>
        <v>3.77149047852</v>
      </c>
      <c r="D1802" s="69" t="str">
        <f>HYPERLINK(AA2 &amp; "/mug/sn_ea33ad442b032208d778b73d04298f62/rendering/01.obj", "4.86045715332")</f>
        <v>4.86045715332</v>
      </c>
      <c r="E1802" s="37" t="str">
        <f>HYPERLINK(AA2 &amp; "/mug/sn_ea33ad442b032208d778b73d04298f62/rendering/02.obj", "3.8995501709")</f>
        <v>3.8995501709</v>
      </c>
      <c r="F1802" s="86" t="str">
        <f>HYPERLINK(AA2 &amp; "/mug/sn_ea33ad442b032208d778b73d04298f62/rendering/03.obj", "3.44934082031")</f>
        <v>3.44934082031</v>
      </c>
      <c r="G1802" s="79" t="str">
        <f>HYPERLINK(AA2 &amp; "/mug/sn_ea33ad442b032208d778b73d04298f62/rendering/04.obj", "5.47334838867")</f>
        <v>5.47334838867</v>
      </c>
      <c r="H1802" s="36" t="str">
        <f>HYPERLINK(AA2 &amp; "/mug/sn_ea33ad442b032208d778b73d04298f62/rendering/05.obj", "3.70464752197")</f>
        <v>3.70464752197</v>
      </c>
      <c r="I1802" s="5" t="str">
        <f>HYPERLINK(AA2 &amp; "/mug/sn_ea33ad442b032208d778b73d04298f62/rendering/06.obj", "4.35357666016")</f>
        <v>4.35357666016</v>
      </c>
      <c r="J1802" s="166" t="str">
        <f>HYPERLINK(AA2 &amp; "/mug/sn_ea33ad442b032208d778b73d04298f62/rendering/07.obj", "6.06943969727")</f>
        <v>6.06943969727</v>
      </c>
      <c r="K1802" s="168" t="str">
        <f>HYPERLINK(AA2 &amp; "/mug/sn_ea33ad442b032208d778b73d04298f62/rendering/08.obj", "3.20721862793")</f>
        <v>3.20721862793</v>
      </c>
      <c r="L1802" s="55" t="str">
        <f>HYPERLINK(AA2 &amp; "/mug/sn_ea33ad442b032208d778b73d04298f62/rendering/09.obj", "3.80442687988")</f>
        <v>3.80442687988</v>
      </c>
      <c r="M1802" s="29" t="str">
        <f>HYPERLINK(AA2 &amp; "/mug/sn_ea33ad442b032208d778b73d04298f62/rendering/10.obj", "5.32667602539")</f>
        <v>5.32667602539</v>
      </c>
      <c r="N1802" s="38" t="str">
        <f>HYPERLINK(AA2 &amp; "/mug/sn_ea33ad442b032208d778b73d04298f62/rendering/11.obj", "4.29856933594")</f>
        <v>4.29856933594</v>
      </c>
      <c r="O1802" s="41" t="str">
        <f>HYPERLINK(AA2 &amp; "/mug/sn_ea33ad442b032208d778b73d04298f62/rendering/12.obj", "4.40175964355")</f>
        <v>4.40175964355</v>
      </c>
      <c r="P1802" s="172" t="str">
        <f>HYPERLINK(AA2 &amp; "/mug/sn_ea33ad442b032208d778b73d04298f62/rendering/13.obj", "6.52987487793")</f>
        <v>6.52987487793</v>
      </c>
      <c r="Q1802" s="136" t="str">
        <f>HYPERLINK(AA2 &amp; "/mug/sn_ea33ad442b032208d778b73d04298f62/rendering/14.obj", "3.59911743164")</f>
        <v>3.59911743164</v>
      </c>
      <c r="R1802" s="34" t="str">
        <f>HYPERLINK(AA2 &amp; "/mug/sn_ea33ad442b032208d778b73d04298f62/rendering/15.obj", "4.9539743042")</f>
        <v>4.9539743042</v>
      </c>
      <c r="S1802" s="138" t="str">
        <f>HYPERLINK(AA2 &amp; "/mug/sn_ea33ad442b032208d778b73d04298f62/rendering/16.obj", "6.31375915527")</f>
        <v>6.31375915527</v>
      </c>
      <c r="T1802" s="142" t="str">
        <f>HYPERLINK(AA2 &amp; "/mug/sn_ea33ad442b032208d778b73d04298f62/rendering/17.obj", "6.58383117676")</f>
        <v>6.58383117676</v>
      </c>
      <c r="U1802" s="187" t="str">
        <f>HYPERLINK(AA2 &amp; "/mug/sn_ea33ad442b032208d778b73d04298f62/rendering/18.obj", "3.06273132324")</f>
        <v>3.06273132324</v>
      </c>
      <c r="V1802" s="111" t="str">
        <f>HYPERLINK(AA2 &amp; "/mug/sn_ea33ad442b032208d778b73d04298f62/rendering/19.obj", "6.71761291504")</f>
        <v>6.71761291504</v>
      </c>
      <c r="W1802" s="12" t="s">
        <v>29</v>
      </c>
      <c r="X1802" s="13">
        <v>4.719070129394531</v>
      </c>
      <c r="Y1802" s="13">
        <v>1.180513459631007</v>
      </c>
      <c r="Z1802" s="129">
        <v>0.25015806658132239</v>
      </c>
    </row>
    <row r="1803" spans="1:26" x14ac:dyDescent="0.2">
      <c r="A1803" s="1">
        <v>1801</v>
      </c>
      <c r="B1803" s="2" t="s">
        <v>393</v>
      </c>
      <c r="C1803" s="8" t="str">
        <f>HYPERLINK(AA2 &amp; "/mug/sn_ea33ad442b032208d778b73d04298f62/rendering/00.obj", "7.94705200195")</f>
        <v>7.94705200195</v>
      </c>
      <c r="D1803" s="72" t="str">
        <f>HYPERLINK(AA2 &amp; "/mug/sn_ea33ad442b032208d778b73d04298f62/rendering/01.obj", "9.58615779877")</f>
        <v>9.58615779877</v>
      </c>
      <c r="E1803" s="4" t="str">
        <f>HYPERLINK(AA2 &amp; "/mug/sn_ea33ad442b032208d778b73d04298f62/rendering/02.obj", "6.62505578995")</f>
        <v>6.62505578995</v>
      </c>
      <c r="F1803" s="59" t="str">
        <f>HYPERLINK(AA2 &amp; "/mug/sn_ea33ad442b032208d778b73d04298f62/rendering/03.obj", "7.03043699265")</f>
        <v>7.03043699265</v>
      </c>
      <c r="G1803" s="145" t="str">
        <f>HYPERLINK(AA2 &amp; "/mug/sn_ea33ad442b032208d778b73d04298f62/rendering/04.obj", "13.8188724518")</f>
        <v>13.8188724518</v>
      </c>
      <c r="H1803" s="77" t="str">
        <f>HYPERLINK(AA2 &amp; "/mug/sn_ea33ad442b032208d778b73d04298f62/rendering/05.obj", "7.53811311722")</f>
        <v>7.53811311722</v>
      </c>
      <c r="I1803" s="42" t="str">
        <f>HYPERLINK(AA2 &amp; "/mug/sn_ea33ad442b032208d778b73d04298f62/rendering/06.obj", "8.00424003601")</f>
        <v>8.00424003601</v>
      </c>
      <c r="J1803" s="40" t="str">
        <f>HYPERLINK(AA2 &amp; "/mug/sn_ea33ad442b032208d778b73d04298f62/rendering/07.obj", "10.8460626602")</f>
        <v>10.8460626602</v>
      </c>
      <c r="K1803" s="100" t="str">
        <f>HYPERLINK(AA2 &amp; "/mug/sn_ea33ad442b032208d778b73d04298f62/rendering/08.obj", "6.48102855682")</f>
        <v>6.48102855682</v>
      </c>
      <c r="L1803" s="175" t="str">
        <f>HYPERLINK(AA2 &amp; "/mug/sn_ea33ad442b032208d778b73d04298f62/rendering/09.obj", "7.10034942627")</f>
        <v>7.10034942627</v>
      </c>
      <c r="M1803" s="46" t="str">
        <f>HYPERLINK(AA2 &amp; "/mug/sn_ea33ad442b032208d778b73d04298f62/rendering/10.obj", "9.09924697876")</f>
        <v>9.09924697876</v>
      </c>
      <c r="N1803" s="50" t="str">
        <f>HYPERLINK(AA2 &amp; "/mug/sn_ea33ad442b032208d778b73d04298f62/rendering/11.obj", "7.4324016571")</f>
        <v>7.4324016571</v>
      </c>
      <c r="O1803" s="94" t="str">
        <f>HYPERLINK(AA2 &amp; "/mug/sn_ea33ad442b032208d778b73d04298f62/rendering/12.obj", "8.59396839142")</f>
        <v>8.59396839142</v>
      </c>
      <c r="P1803" s="179" t="str">
        <f>HYPERLINK(AA2 &amp; "/mug/sn_ea33ad442b032208d778b73d04298f62/rendering/13.obj", "13.2226390839")</f>
        <v>13.2226390839</v>
      </c>
      <c r="Q1803" s="80" t="str">
        <f>HYPERLINK(AA2 &amp; "/mug/sn_ea33ad442b032208d778b73d04298f62/rendering/14.obj", "7.87134599686")</f>
        <v>7.87134599686</v>
      </c>
      <c r="R1803" s="47" t="str">
        <f>HYPERLINK(AA2 &amp; "/mug/sn_ea33ad442b032208d778b73d04298f62/rendering/15.obj", "9.18224620819")</f>
        <v>9.18224620819</v>
      </c>
      <c r="S1803" s="88" t="str">
        <f>HYPERLINK(AA2 &amp; "/mug/sn_ea33ad442b032208d778b73d04298f62/rendering/16.obj", "11.1352186203")</f>
        <v>11.1352186203</v>
      </c>
      <c r="T1803" s="50" t="str">
        <f>HYPERLINK(AA2 &amp; "/mug/sn_ea33ad442b032208d778b73d04298f62/rendering/17.obj", "11.103014946")</f>
        <v>11.103014946</v>
      </c>
      <c r="U1803" s="103" t="str">
        <f>HYPERLINK(AA2 &amp; "/mug/sn_ea33ad442b032208d778b73d04298f62/rendering/18.obj", "6.26449489594")</f>
        <v>6.26449489594</v>
      </c>
      <c r="V1803" s="146" t="str">
        <f>HYPERLINK(AA2 &amp; "/mug/sn_ea33ad442b032208d778b73d04298f62/rendering/19.obj", "16.454164505")</f>
        <v>16.454164505</v>
      </c>
      <c r="W1803" s="12" t="s">
        <v>30</v>
      </c>
      <c r="X1803" s="13">
        <v>9.2668055057525631</v>
      </c>
      <c r="Y1803" s="13">
        <v>2.6745032493167922</v>
      </c>
      <c r="Z1803" s="166">
        <v>0.28861113440403369</v>
      </c>
    </row>
    <row r="1804" spans="1:26" x14ac:dyDescent="0.2">
      <c r="A1804" s="1">
        <v>1802</v>
      </c>
      <c r="B1804" s="2" t="s">
        <v>393</v>
      </c>
      <c r="C1804" s="187" t="str">
        <f>HYPERLINK(AB2 &amp; "/mug/sn_ea33ad442b032208d778b73d04298f62/rendering/00.obj", "5.97226074219")</f>
        <v>5.97226074219</v>
      </c>
      <c r="D1804" s="48" t="str">
        <f>HYPERLINK(AB2 &amp; "/mug/sn_ea33ad442b032208d778b73d04298f62/rendering/01.obj", "4.31847290039")</f>
        <v>4.31847290039</v>
      </c>
      <c r="E1804" s="69" t="str">
        <f>HYPERLINK(AB2 &amp; "/mug/sn_ea33ad442b032208d778b73d04298f62/rendering/02.obj", "4.30063659668")</f>
        <v>4.30063659668</v>
      </c>
      <c r="F1804" s="23" t="str">
        <f>HYPERLINK(AB2 &amp; "/mug/sn_ea33ad442b032208d778b73d04298f62/rendering/03.obj", "4.25324829102")</f>
        <v>4.25324829102</v>
      </c>
      <c r="G1804" s="68" t="str">
        <f>HYPERLINK(AB2 &amp; "/mug/sn_ea33ad442b032208d778b73d04298f62/rendering/04.obj", "4.24191894531")</f>
        <v>4.24191894531</v>
      </c>
      <c r="H1804" s="106" t="str">
        <f>HYPERLINK(AB2 &amp; "/mug/sn_ea33ad442b032208d778b73d04298f62/rendering/05.obj", "4.92889312744")</f>
        <v>4.92889312744</v>
      </c>
      <c r="I1804" s="51" t="str">
        <f>HYPERLINK(AB2 &amp; "/mug/sn_ea33ad442b032208d778b73d04298f62/rendering/06.obj", "4.778777771")</f>
        <v>4.778777771</v>
      </c>
      <c r="J1804" s="10" t="str">
        <f>HYPERLINK(AB2 &amp; "/mug/sn_ea33ad442b032208d778b73d04298f62/rendering/07.obj", "4.66937011719")</f>
        <v>4.66937011719</v>
      </c>
      <c r="K1804" s="23" t="str">
        <f>HYPERLINK(AB2 &amp; "/mug/sn_ea33ad442b032208d778b73d04298f62/rendering/08.obj", "4.25768341064")</f>
        <v>4.25768341064</v>
      </c>
      <c r="L1804" s="135" t="str">
        <f>HYPERLINK(AB2 &amp; "/mug/sn_ea33ad442b032208d778b73d04298f62/rendering/09.obj", "5.55972900391")</f>
        <v>5.55972900391</v>
      </c>
      <c r="M1804" s="91" t="str">
        <f>HYPERLINK(AB2 &amp; "/mug/sn_ea33ad442b032208d778b73d04298f62/rendering/10.obj", "4.31638275146")</f>
        <v>4.31638275146</v>
      </c>
      <c r="N1804" s="34" t="str">
        <f>HYPERLINK(AB2 &amp; "/mug/sn_ea33ad442b032208d778b73d04298f62/rendering/11.obj", "4.21500823975")</f>
        <v>4.21500823975</v>
      </c>
      <c r="O1804" s="68" t="str">
        <f>HYPERLINK(AB2 &amp; "/mug/sn_ea33ad442b032208d778b73d04298f62/rendering/12.obj", "4.62113494873")</f>
        <v>4.62113494873</v>
      </c>
      <c r="P1804" s="93" t="str">
        <f>HYPERLINK(AB2 &amp; "/mug/sn_ea33ad442b032208d778b73d04298f62/rendering/13.obj", "3.80341003418")</f>
        <v>3.80341003418</v>
      </c>
      <c r="Q1804" s="32" t="str">
        <f>HYPERLINK(AB2 &amp; "/mug/sn_ea33ad442b032208d778b73d04298f62/rendering/14.obj", "3.95735412598")</f>
        <v>3.95735412598</v>
      </c>
      <c r="R1804" s="30" t="str">
        <f>HYPERLINK(AB2 &amp; "/mug/sn_ea33ad442b032208d778b73d04298f62/rendering/15.obj", "4.40523742676")</f>
        <v>4.40523742676</v>
      </c>
      <c r="S1804" s="81" t="str">
        <f>HYPERLINK(AB2 &amp; "/mug/sn_ea33ad442b032208d778b73d04298f62/rendering/16.obj", "3.4672479248")</f>
        <v>3.4672479248</v>
      </c>
      <c r="T1804" s="17" t="str">
        <f>HYPERLINK(AB2 &amp; "/mug/sn_ea33ad442b032208d778b73d04298f62/rendering/17.obj", "4.514375")</f>
        <v>4.514375</v>
      </c>
      <c r="U1804" s="49" t="str">
        <f>HYPERLINK(AB2 &amp; "/mug/sn_ea33ad442b032208d778b73d04298f62/rendering/18.obj", "3.49795166016")</f>
        <v>3.49795166016</v>
      </c>
      <c r="V1804" s="25" t="str">
        <f>HYPERLINK(AB2 &amp; "/mug/sn_ea33ad442b032208d778b73d04298f62/rendering/19.obj", "4.47649475098")</f>
        <v>4.47649475098</v>
      </c>
      <c r="W1804" s="12" t="s">
        <v>31</v>
      </c>
      <c r="X1804" s="13">
        <v>4.4277793884277354</v>
      </c>
      <c r="Y1804" s="13">
        <v>0.57988141644140923</v>
      </c>
      <c r="Z1804" s="29">
        <v>0.13096438769216101</v>
      </c>
    </row>
    <row r="1805" spans="1:26" x14ac:dyDescent="0.2">
      <c r="A1805" s="1">
        <v>1803</v>
      </c>
      <c r="B1805" s="2" t="s">
        <v>393</v>
      </c>
      <c r="C1805" s="97" t="str">
        <f>HYPERLINK(AB2 &amp; "/mug/sn_ea33ad442b032208d778b73d04298f62/rendering/00.obj", "9.80045700073")</f>
        <v>9.80045700073</v>
      </c>
      <c r="D1805" s="47" t="str">
        <f>HYPERLINK(AB2 &amp; "/mug/sn_ea33ad442b032208d778b73d04298f62/rendering/01.obj", "6.79403877258")</f>
        <v>6.79403877258</v>
      </c>
      <c r="E1805" s="71" t="str">
        <f>HYPERLINK(AB2 &amp; "/mug/sn_ea33ad442b032208d778b73d04298f62/rendering/02.obj", "6.03603649139")</f>
        <v>6.03603649139</v>
      </c>
      <c r="F1805" s="35" t="str">
        <f>HYPERLINK(AB2 &amp; "/mug/sn_ea33ad442b032208d778b73d04298f62/rendering/03.obj", "7.23360776901")</f>
        <v>7.23360776901</v>
      </c>
      <c r="G1805" s="17" t="str">
        <f>HYPERLINK(AB2 &amp; "/mug/sn_ea33ad442b032208d778b73d04298f62/rendering/04.obj", "6.97841501236")</f>
        <v>6.97841501236</v>
      </c>
      <c r="H1805" s="34" t="str">
        <f>HYPERLINK(AB2 &amp; "/mug/sn_ea33ad442b032208d778b73d04298f62/rendering/05.obj", "7.1745672226")</f>
        <v>7.1745672226</v>
      </c>
      <c r="I1805" s="6" t="str">
        <f>HYPERLINK(AB2 &amp; "/mug/sn_ea33ad442b032208d778b73d04298f62/rendering/06.obj", "6.52714395523")</f>
        <v>6.52714395523</v>
      </c>
      <c r="J1805" s="72" t="str">
        <f>HYPERLINK(AB2 &amp; "/mug/sn_ea33ad442b032208d778b73d04298f62/rendering/07.obj", "6.62195396423")</f>
        <v>6.62195396423</v>
      </c>
      <c r="K1805" s="28" t="str">
        <f>HYPERLINK(AB2 &amp; "/mug/sn_ea33ad442b032208d778b73d04298f62/rendering/08.obj", "7.59475231171")</f>
        <v>7.59475231171</v>
      </c>
      <c r="L1805" s="36" t="str">
        <f>HYPERLINK(AB2 &amp; "/mug/sn_ea33ad442b032208d778b73d04298f62/rendering/09.obj", "8.30899524689")</f>
        <v>8.30899524689</v>
      </c>
      <c r="M1805" s="38" t="str">
        <f>HYPERLINK(AB2 &amp; "/mug/sn_ea33ad442b032208d778b73d04298f62/rendering/10.obj", "6.21949148178")</f>
        <v>6.21949148178</v>
      </c>
      <c r="N1805" s="32" t="str">
        <f>HYPERLINK(AB2 &amp; "/mug/sn_ea33ad442b032208d778b73d04298f62/rendering/11.obj", "6.10962200165")</f>
        <v>6.10962200165</v>
      </c>
      <c r="O1805" s="47" t="str">
        <f>HYPERLINK(AB2 &amp; "/mug/sn_ea33ad442b032208d778b73d04298f62/rendering/12.obj", "6.77348518372")</f>
        <v>6.77348518372</v>
      </c>
      <c r="P1805" s="29" t="str">
        <f>HYPERLINK(AB2 &amp; "/mug/sn_ea33ad442b032208d778b73d04298f62/rendering/13.obj", "5.95412635803")</f>
        <v>5.95412635803</v>
      </c>
      <c r="Q1805" s="13" t="str">
        <f>HYPERLINK(AB2 &amp; "/mug/sn_ea33ad442b032208d778b73d04298f62/rendering/14.obj", "6.85114717484")</f>
        <v>6.85114717484</v>
      </c>
      <c r="R1805" s="32" t="str">
        <f>HYPERLINK(AB2 &amp; "/mug/sn_ea33ad442b032208d778b73d04298f62/rendering/15.obj", "6.12123918533")</f>
        <v>6.12123918533</v>
      </c>
      <c r="S1805" s="88" t="str">
        <f>HYPERLINK(AB2 &amp; "/mug/sn_ea33ad442b032208d778b73d04298f62/rendering/16.obj", "5.44731760025")</f>
        <v>5.44731760025</v>
      </c>
      <c r="T1805" s="41" t="str">
        <f>HYPERLINK(AB2 &amp; "/mug/sn_ea33ad442b032208d778b73d04298f62/rendering/17.obj", "6.38290548325")</f>
        <v>6.38290548325</v>
      </c>
      <c r="U1805" s="94" t="str">
        <f>HYPERLINK(AB2 &amp; "/mug/sn_ea33ad442b032208d778b73d04298f62/rendering/18.obj", "6.33937835693")</f>
        <v>6.33937835693</v>
      </c>
      <c r="V1805" s="67" t="str">
        <f>HYPERLINK(AB2 &amp; "/mug/sn_ea33ad442b032208d778b73d04298f62/rendering/19.obj", "7.47255277634")</f>
        <v>7.47255277634</v>
      </c>
      <c r="W1805" s="12" t="s">
        <v>32</v>
      </c>
      <c r="X1805" s="13">
        <v>6.8370616674423221</v>
      </c>
      <c r="Y1805" s="13">
        <v>0.93795815650148473</v>
      </c>
      <c r="Z1805" s="42">
        <v>0.13718731848916699</v>
      </c>
    </row>
    <row r="1806" spans="1:26" x14ac:dyDescent="0.2">
      <c r="A1806" s="1">
        <v>1804</v>
      </c>
      <c r="B1806" s="2" t="s">
        <v>393</v>
      </c>
      <c r="C1806" s="13" t="str">
        <f>HYPERLINK(AC2 &amp; "/mug/sn_ea33ad442b032208d778b73d04298f62/rendering/00.xyz", "0.0")</f>
        <v>0.0</v>
      </c>
      <c r="D1806" s="13" t="str">
        <f>HYPERLINK(AC2 &amp; "/mug/sn_ea33ad442b032208d778b73d04298f62/rendering/01.xyz", "0.0")</f>
        <v>0.0</v>
      </c>
      <c r="E1806" s="13" t="str">
        <f>HYPERLINK(AC2 &amp; "/mug/sn_ea33ad442b032208d778b73d04298f62/rendering/02.xyz", "0.0")</f>
        <v>0.0</v>
      </c>
      <c r="F1806" s="13" t="str">
        <f>HYPERLINK(AC2 &amp; "/mug/sn_ea33ad442b032208d778b73d04298f62/rendering/03.xyz", "0.0")</f>
        <v>0.0</v>
      </c>
      <c r="G1806" s="13" t="str">
        <f>HYPERLINK(AC2 &amp; "/mug/sn_ea33ad442b032208d778b73d04298f62/rendering/04.xyz", "0.0")</f>
        <v>0.0</v>
      </c>
      <c r="H1806" s="13" t="str">
        <f>HYPERLINK(AC2 &amp; "/mug/sn_ea33ad442b032208d778b73d04298f62/rendering/05.xyz", "0.0")</f>
        <v>0.0</v>
      </c>
      <c r="I1806" s="13" t="str">
        <f>HYPERLINK(AC2 &amp; "/mug/sn_ea33ad442b032208d778b73d04298f62/rendering/06.xyz", "0.0")</f>
        <v>0.0</v>
      </c>
      <c r="J1806" s="13" t="str">
        <f>HYPERLINK(AC2 &amp; "/mug/sn_ea33ad442b032208d778b73d04298f62/rendering/07.xyz", "0.0")</f>
        <v>0.0</v>
      </c>
      <c r="K1806" s="13" t="str">
        <f>HYPERLINK(AC2 &amp; "/mug/sn_ea33ad442b032208d778b73d04298f62/rendering/08.xyz", "0.0")</f>
        <v>0.0</v>
      </c>
      <c r="L1806" s="13" t="str">
        <f>HYPERLINK(AC2 &amp; "/mug/sn_ea33ad442b032208d778b73d04298f62/rendering/09.xyz", "0.0")</f>
        <v>0.0</v>
      </c>
      <c r="M1806" s="13" t="str">
        <f>HYPERLINK(AC2 &amp; "/mug/sn_ea33ad442b032208d778b73d04298f62/rendering/10.xyz", "0.0")</f>
        <v>0.0</v>
      </c>
      <c r="N1806" s="13" t="str">
        <f>HYPERLINK(AC2 &amp; "/mug/sn_ea33ad442b032208d778b73d04298f62/rendering/11.xyz", "0.0")</f>
        <v>0.0</v>
      </c>
      <c r="O1806" s="13" t="str">
        <f>HYPERLINK(AC2 &amp; "/mug/sn_ea33ad442b032208d778b73d04298f62/rendering/12.xyz", "0.0")</f>
        <v>0.0</v>
      </c>
      <c r="P1806" s="13" t="str">
        <f>HYPERLINK(AC2 &amp; "/mug/sn_ea33ad442b032208d778b73d04298f62/rendering/13.xyz", "0.0")</f>
        <v>0.0</v>
      </c>
      <c r="Q1806" s="13" t="str">
        <f>HYPERLINK(AC2 &amp; "/mug/sn_ea33ad442b032208d778b73d04298f62/rendering/14.xyz", "0.0")</f>
        <v>0.0</v>
      </c>
      <c r="R1806" s="13" t="str">
        <f>HYPERLINK(AC2 &amp; "/mug/sn_ea33ad442b032208d778b73d04298f62/rendering/15.xyz", "0.0")</f>
        <v>0.0</v>
      </c>
      <c r="S1806" s="13" t="str">
        <f>HYPERLINK(AC2 &amp; "/mug/sn_ea33ad442b032208d778b73d04298f62/rendering/16.xyz", "0.0")</f>
        <v>0.0</v>
      </c>
      <c r="T1806" s="13" t="str">
        <f>HYPERLINK(AC2 &amp; "/mug/sn_ea33ad442b032208d778b73d04298f62/rendering/17.xyz", "0.0")</f>
        <v>0.0</v>
      </c>
      <c r="U1806" s="13" t="str">
        <f>HYPERLINK(AC2 &amp; "/mug/sn_ea33ad442b032208d778b73d04298f62/rendering/18.xyz", "0.0")</f>
        <v>0.0</v>
      </c>
      <c r="V1806" s="13" t="str">
        <f>HYPERLINK(AC2 &amp; "/mug/sn_ea33ad442b032208d778b73d04298f62/rendering/19.xyz", "0.0")</f>
        <v>0.0</v>
      </c>
      <c r="W1806" s="12" t="s">
        <v>33</v>
      </c>
      <c r="X1806" s="13">
        <v>0</v>
      </c>
      <c r="Y1806" s="13">
        <v>0</v>
      </c>
      <c r="Z1806" s="13">
        <v>0</v>
      </c>
    </row>
    <row r="1807" spans="1:26" x14ac:dyDescent="0.2">
      <c r="A1807" s="1">
        <v>1805</v>
      </c>
      <c r="B1807" s="2" t="s">
        <v>394</v>
      </c>
      <c r="C1807" s="176" t="str">
        <f>HYPERLINK(AA2 &amp; "/mug/sn_ea95f7b57ff1573b9469314c979caef4/rendering/00.obj", "6.72564941406")</f>
        <v>6.72564941406</v>
      </c>
      <c r="D1807" s="23" t="str">
        <f>HYPERLINK(AA2 &amp; "/mug/sn_ea95f7b57ff1573b9469314c979caef4/rendering/01.obj", "4.8997265625")</f>
        <v>4.8997265625</v>
      </c>
      <c r="E1807" s="84" t="str">
        <f>HYPERLINK(AA2 &amp; "/mug/sn_ea95f7b57ff1573b9469314c979caef4/rendering/02.obj", "4.35439422607")</f>
        <v>4.35439422607</v>
      </c>
      <c r="F1807" s="177" t="str">
        <f>HYPERLINK(AA2 &amp; "/mug/sn_ea95f7b57ff1573b9469314c979caef4/rendering/03.obj", "7.82607543945")</f>
        <v>7.82607543945</v>
      </c>
      <c r="G1807" s="50" t="str">
        <f>HYPERLINK(AA2 &amp; "/mug/sn_ea95f7b57ff1573b9469314c979caef4/rendering/04.obj", "4.08437316895")</f>
        <v>4.08437316895</v>
      </c>
      <c r="H1807" s="40" t="str">
        <f>HYPERLINK(AA2 &amp; "/mug/sn_ea95f7b57ff1573b9469314c979caef4/rendering/05.obj", "5.96655761719")</f>
        <v>5.96655761719</v>
      </c>
      <c r="I1807" s="39" t="str">
        <f>HYPERLINK(AA2 &amp; "/mug/sn_ea95f7b57ff1573b9469314c979caef4/rendering/06.obj", "4.6519354248")</f>
        <v>4.6519354248</v>
      </c>
      <c r="J1807" s="28" t="str">
        <f>HYPERLINK(AA2 &amp; "/mug/sn_ea95f7b57ff1573b9469314c979caef4/rendering/07.obj", "4.53181610107")</f>
        <v>4.53181610107</v>
      </c>
      <c r="K1807" s="28" t="str">
        <f>HYPERLINK(AA2 &amp; "/mug/sn_ea95f7b57ff1573b9469314c979caef4/rendering/08.obj", "4.53161132812")</f>
        <v>4.53161132812</v>
      </c>
      <c r="L1807" s="82" t="str">
        <f>HYPERLINK(AA2 &amp; "/mug/sn_ea95f7b57ff1573b9469314c979caef4/rendering/09.obj", "4.04691772461")</f>
        <v>4.04691772461</v>
      </c>
      <c r="M1807" s="14" t="str">
        <f>HYPERLINK(AA2 &amp; "/mug/sn_ea95f7b57ff1573b9469314c979caef4/rendering/10.obj", "6.57285644531")</f>
        <v>6.57285644531</v>
      </c>
      <c r="N1807" s="32" t="str">
        <f>HYPERLINK(AA2 &amp; "/mug/sn_ea95f7b57ff1573b9469314c979caef4/rendering/11.obj", "4.55732147217")</f>
        <v>4.55732147217</v>
      </c>
      <c r="O1807" s="5" t="str">
        <f>HYPERLINK(AA2 &amp; "/mug/sn_ea95f7b57ff1573b9469314c979caef4/rendering/12.obj", "5.48684692383")</f>
        <v>5.48684692383</v>
      </c>
      <c r="P1807" s="36" t="str">
        <f>HYPERLINK(AA2 &amp; "/mug/sn_ea95f7b57ff1573b9469314c979caef4/rendering/13.obj", "4.00130889893")</f>
        <v>4.00130889893</v>
      </c>
      <c r="Q1807" s="93" t="str">
        <f>HYPERLINK(AA2 &amp; "/mug/sn_ea95f7b57ff1573b9469314c979caef4/rendering/14.obj", "4.38586181641")</f>
        <v>4.38586181641</v>
      </c>
      <c r="R1807" s="71" t="str">
        <f>HYPERLINK(AA2 &amp; "/mug/sn_ea95f7b57ff1573b9469314c979caef4/rendering/15.obj", "4.50577514648")</f>
        <v>4.50577514648</v>
      </c>
      <c r="S1807" s="76" t="str">
        <f>HYPERLINK(AA2 &amp; "/mug/sn_ea95f7b57ff1573b9469314c979caef4/rendering/16.obj", "4.15723449707")</f>
        <v>4.15723449707</v>
      </c>
      <c r="T1807" s="216" t="str">
        <f>HYPERLINK(AA2 &amp; "/mug/sn_ea95f7b57ff1573b9469314c979caef4/rendering/17.obj", "8.41601196289")</f>
        <v>8.41601196289</v>
      </c>
      <c r="U1807" s="136" t="str">
        <f>HYPERLINK(AA2 &amp; "/mug/sn_ea95f7b57ff1573b9469314c979caef4/rendering/18.obj", "3.89355163574")</f>
        <v>3.89355163574</v>
      </c>
      <c r="V1807" s="93" t="str">
        <f>HYPERLINK(AA2 &amp; "/mug/sn_ea95f7b57ff1573b9469314c979caef4/rendering/19.obj", "4.3867388916")</f>
        <v>4.3867388916</v>
      </c>
      <c r="W1807" s="12" t="s">
        <v>29</v>
      </c>
      <c r="X1807" s="13">
        <v>5.0991282348632812</v>
      </c>
      <c r="Y1807" s="13">
        <v>1.2833741613367211</v>
      </c>
      <c r="Z1807" s="170">
        <v>0.25168501403086041</v>
      </c>
    </row>
    <row r="1808" spans="1:26" x14ac:dyDescent="0.2">
      <c r="A1808" s="1">
        <v>1806</v>
      </c>
      <c r="B1808" s="2" t="s">
        <v>394</v>
      </c>
      <c r="C1808" s="223" t="str">
        <f>HYPERLINK(AA2 &amp; "/mug/sn_ea95f7b57ff1573b9469314c979caef4/rendering/00.obj", "15.3126401901")</f>
        <v>15.3126401901</v>
      </c>
      <c r="D1808" s="46" t="str">
        <f>HYPERLINK(AA2 &amp; "/mug/sn_ea95f7b57ff1573b9469314c979caef4/rendering/01.obj", "9.98179340363")</f>
        <v>9.98179340363</v>
      </c>
      <c r="E1808" s="170" t="str">
        <f>HYPERLINK(AA2 &amp; "/mug/sn_ea95f7b57ff1573b9469314c979caef4/rendering/02.obj", "7.33375597")</f>
        <v>7.33375597</v>
      </c>
      <c r="F1808" s="60" t="str">
        <f>HYPERLINK(AA2 &amp; "/mug/sn_ea95f7b57ff1573b9469314c979caef4/rendering/03.obj", "10.3187904358")</f>
        <v>10.3187904358</v>
      </c>
      <c r="G1808" s="31" t="str">
        <f>HYPERLINK(AA2 &amp; "/mug/sn_ea95f7b57ff1573b9469314c979caef4/rendering/04.obj", "8.29829978943")</f>
        <v>8.29829978943</v>
      </c>
      <c r="H1808" s="83" t="str">
        <f>HYPERLINK(AA2 &amp; "/mug/sn_ea95f7b57ff1573b9469314c979caef4/rendering/05.obj", "11.2940139771")</f>
        <v>11.2940139771</v>
      </c>
      <c r="I1808" s="80" t="str">
        <f>HYPERLINK(AA2 &amp; "/mug/sn_ea95f7b57ff1573b9469314c979caef4/rendering/06.obj", "8.35870170593")</f>
        <v>8.35870170593</v>
      </c>
      <c r="J1808" s="82" t="str">
        <f>HYPERLINK(AA2 &amp; "/mug/sn_ea95f7b57ff1573b9469314c979caef4/rendering/07.obj", "7.79797029495")</f>
        <v>7.79797029495</v>
      </c>
      <c r="K1808" s="77" t="str">
        <f>HYPERLINK(AA2 &amp; "/mug/sn_ea95f7b57ff1573b9469314c979caef4/rendering/08.obj", "7.98943185806")</f>
        <v>7.98943185806</v>
      </c>
      <c r="L1808" s="31" t="str">
        <f>HYPERLINK(AA2 &amp; "/mug/sn_ea95f7b57ff1573b9469314c979caef4/rendering/09.obj", "8.27921009064")</f>
        <v>8.27921009064</v>
      </c>
      <c r="M1808" s="248" t="str">
        <f>HYPERLINK(AA2 &amp; "/mug/sn_ea95f7b57ff1573b9469314c979caef4/rendering/10.obj", "16.2808933258")</f>
        <v>16.2808933258</v>
      </c>
      <c r="N1808" s="24" t="str">
        <f>HYPERLINK(AA2 &amp; "/mug/sn_ea95f7b57ff1573b9469314c979caef4/rendering/11.obj", "8.17505836487")</f>
        <v>8.17505836487</v>
      </c>
      <c r="O1808" s="39" t="str">
        <f>HYPERLINK(AA2 &amp; "/mug/sn_ea95f7b57ff1573b9469314c979caef4/rendering/12.obj", "10.659371376")</f>
        <v>10.659371376</v>
      </c>
      <c r="P1808" s="89" t="str">
        <f>HYPERLINK(AA2 &amp; "/mug/sn_ea95f7b57ff1573b9469314c979caef4/rendering/13.obj", "7.25780344009")</f>
        <v>7.25780344009</v>
      </c>
      <c r="Q1808" s="47" t="str">
        <f>HYPERLINK(AA2 &amp; "/mug/sn_ea95f7b57ff1573b9469314c979caef4/rendering/14.obj", "9.89374542236")</f>
        <v>9.89374542236</v>
      </c>
      <c r="R1808" s="44" t="str">
        <f>HYPERLINK(AA2 &amp; "/mug/sn_ea95f7b57ff1573b9469314c979caef4/rendering/15.obj", "7.88292551041")</f>
        <v>7.88292551041</v>
      </c>
      <c r="S1808" s="101" t="str">
        <f>HYPERLINK(AA2 &amp; "/mug/sn_ea95f7b57ff1573b9469314c979caef4/rendering/16.obj", "6.10361862183")</f>
        <v>6.10361862183</v>
      </c>
      <c r="T1808" s="20" t="str">
        <f>HYPERLINK(AA2 &amp; "/mug/sn_ea95f7b57ff1573b9469314c979caef4/rendering/17.obj", "20.9556083679")</f>
        <v>20.9556083679</v>
      </c>
      <c r="U1808" s="156" t="str">
        <f>HYPERLINK(AA2 &amp; "/mug/sn_ea95f7b57ff1573b9469314c979caef4/rendering/18.obj", "5.42581510544")</f>
        <v>5.42581510544</v>
      </c>
      <c r="V1808" s="92" t="str">
        <f>HYPERLINK(AA2 &amp; "/mug/sn_ea95f7b57ff1573b9469314c979caef4/rendering/19.obj", "8.57922649384")</f>
        <v>8.57922649384</v>
      </c>
      <c r="W1808" s="12" t="s">
        <v>30</v>
      </c>
      <c r="X1808" s="13">
        <v>9.8089336872100823</v>
      </c>
      <c r="Y1808" s="13">
        <v>3.6551199384959019</v>
      </c>
      <c r="Z1808" s="192">
        <v>0.37263173093542579</v>
      </c>
    </row>
    <row r="1809" spans="1:26" x14ac:dyDescent="0.2">
      <c r="A1809" s="1">
        <v>1807</v>
      </c>
      <c r="B1809" s="2" t="s">
        <v>394</v>
      </c>
      <c r="C1809" s="69" t="str">
        <f>HYPERLINK(AB2 &amp; "/mug/sn_ea95f7b57ff1573b9469314c979caef4/rendering/00.obj", "4.48951385498")</f>
        <v>4.48951385498</v>
      </c>
      <c r="D1809" s="94" t="str">
        <f>HYPERLINK(AB2 &amp; "/mug/sn_ea95f7b57ff1573b9469314c979caef4/rendering/01.obj", "4.04736206055")</f>
        <v>4.04736206055</v>
      </c>
      <c r="E1809" s="64" t="str">
        <f>HYPERLINK(AB2 &amp; "/mug/sn_ea95f7b57ff1573b9469314c979caef4/rendering/02.obj", "5.08575256348")</f>
        <v>5.08575256348</v>
      </c>
      <c r="F1809" s="30" t="str">
        <f>HYPERLINK(AB2 &amp; "/mug/sn_ea95f7b57ff1573b9469314c979caef4/rendering/03.obj", "4.33847869873")</f>
        <v>4.33847869873</v>
      </c>
      <c r="G1809" s="4" t="str">
        <f>HYPERLINK(AB2 &amp; "/mug/sn_ea95f7b57ff1573b9469314c979caef4/rendering/04.obj", "3.122265625")</f>
        <v>3.122265625</v>
      </c>
      <c r="H1809" s="76" t="str">
        <f>HYPERLINK(AB2 &amp; "/mug/sn_ea95f7b57ff1573b9469314c979caef4/rendering/05.obj", "5.16057189941")</f>
        <v>5.16057189941</v>
      </c>
      <c r="I1809" s="83" t="str">
        <f>HYPERLINK(AB2 &amp; "/mug/sn_ea95f7b57ff1573b9469314c979caef4/rendering/06.obj", "5.02967163086")</f>
        <v>5.02967163086</v>
      </c>
      <c r="J1809" s="27" t="str">
        <f>HYPERLINK(AB2 &amp; "/mug/sn_ea95f7b57ff1573b9469314c979caef4/rendering/07.obj", "4.67797912598")</f>
        <v>4.67797912598</v>
      </c>
      <c r="K1809" s="35" t="str">
        <f>HYPERLINK(AB2 &amp; "/mug/sn_ea95f7b57ff1573b9469314c979caef4/rendering/08.obj", "4.61512878418")</f>
        <v>4.61512878418</v>
      </c>
      <c r="L1809" s="24" t="str">
        <f>HYPERLINK(AB2 &amp; "/mug/sn_ea95f7b57ff1573b9469314c979caef4/rendering/09.obj", "3.6288571167")</f>
        <v>3.6288571167</v>
      </c>
      <c r="M1809" s="77" t="str">
        <f>HYPERLINK(AB2 &amp; "/mug/sn_ea95f7b57ff1573b9469314c979caef4/rendering/10.obj", "3.54761352539")</f>
        <v>3.54761352539</v>
      </c>
      <c r="N1809" s="110" t="str">
        <f>HYPERLINK(AB2 &amp; "/mug/sn_ea95f7b57ff1573b9469314c979caef4/rendering/11.obj", "4.79250488281")</f>
        <v>4.79250488281</v>
      </c>
      <c r="O1809" s="26" t="str">
        <f>HYPERLINK(AB2 &amp; "/mug/sn_ea95f7b57ff1573b9469314c979caef4/rendering/12.obj", "4.64173919678")</f>
        <v>4.64173919678</v>
      </c>
      <c r="P1809" s="134" t="str">
        <f>HYPERLINK(AB2 &amp; "/mug/sn_ea95f7b57ff1573b9469314c979caef4/rendering/13.obj", "3.58015686035")</f>
        <v>3.58015686035</v>
      </c>
      <c r="Q1809" s="166" t="str">
        <f>HYPERLINK(AB2 &amp; "/mug/sn_ea95f7b57ff1573b9469314c979caef4/rendering/14.obj", "3.11284057617")</f>
        <v>3.11284057617</v>
      </c>
      <c r="R1809" s="25" t="str">
        <f>HYPERLINK(AB2 &amp; "/mug/sn_ea95f7b57ff1573b9469314c979caef4/rendering/15.obj", "4.40683837891")</f>
        <v>4.40683837891</v>
      </c>
      <c r="S1809" s="76" t="str">
        <f>HYPERLINK(AB2 &amp; "/mug/sn_ea95f7b57ff1573b9469314c979caef4/rendering/16.obj", "5.16423950195")</f>
        <v>5.16423950195</v>
      </c>
      <c r="T1809" s="67" t="str">
        <f>HYPERLINK(AB2 &amp; "/mug/sn_ea95f7b57ff1573b9469314c979caef4/rendering/17.obj", "4.76260192871")</f>
        <v>4.76260192871</v>
      </c>
      <c r="U1809" s="94" t="str">
        <f>HYPERLINK(AB2 &amp; "/mug/sn_ea95f7b57ff1573b9469314c979caef4/rendering/18.obj", "4.6830960083")</f>
        <v>4.6830960083</v>
      </c>
      <c r="V1809" s="25" t="str">
        <f>HYPERLINK(AB2 &amp; "/mug/sn_ea95f7b57ff1573b9469314c979caef4/rendering/19.obj", "4.41773162842")</f>
        <v>4.41773162842</v>
      </c>
      <c r="W1809" s="12" t="s">
        <v>31</v>
      </c>
      <c r="X1809" s="13">
        <v>4.365247192382812</v>
      </c>
      <c r="Y1809" s="13">
        <v>0.6313500323405844</v>
      </c>
      <c r="Z1809" s="84">
        <v>0.14463099213310671</v>
      </c>
    </row>
    <row r="1810" spans="1:26" x14ac:dyDescent="0.2">
      <c r="A1810" s="1">
        <v>1808</v>
      </c>
      <c r="B1810" s="2" t="s">
        <v>394</v>
      </c>
      <c r="C1810" s="48" t="str">
        <f>HYPERLINK(AB2 &amp; "/mug/sn_ea95f7b57ff1573b9469314c979caef4/rendering/00.obj", "8.29948711395")</f>
        <v>8.29948711395</v>
      </c>
      <c r="D1810" s="46" t="str">
        <f>HYPERLINK(AB2 &amp; "/mug/sn_ea95f7b57ff1573b9469314c979caef4/rendering/01.obj", "7.974173069")</f>
        <v>7.974173069</v>
      </c>
      <c r="E1810" s="157" t="str">
        <f>HYPERLINK(AB2 &amp; "/mug/sn_ea95f7b57ff1573b9469314c979caef4/rendering/02.obj", "11.5052366257")</f>
        <v>11.5052366257</v>
      </c>
      <c r="F1810" s="87" t="str">
        <f>HYPERLINK(AB2 &amp; "/mug/sn_ea95f7b57ff1573b9469314c979caef4/rendering/03.obj", "6.28031778336")</f>
        <v>6.28031778336</v>
      </c>
      <c r="G1810" s="166" t="str">
        <f>HYPERLINK(AB2 &amp; "/mug/sn_ea95f7b57ff1573b9469314c979caef4/rendering/04.obj", "5.7947101593")</f>
        <v>5.7947101593</v>
      </c>
      <c r="H1810" s="73" t="str">
        <f>HYPERLINK(AB2 &amp; "/mug/sn_ea95f7b57ff1573b9469314c979caef4/rendering/05.obj", "8.41338634491")</f>
        <v>8.41338634491</v>
      </c>
      <c r="I1810" s="14" t="str">
        <f>HYPERLINK(AB2 &amp; "/mug/sn_ea95f7b57ff1573b9469314c979caef4/rendering/06.obj", "10.4662065506")</f>
        <v>10.4662065506</v>
      </c>
      <c r="J1810" s="30" t="str">
        <f>HYPERLINK(AB2 &amp; "/mug/sn_ea95f7b57ff1573b9469314c979caef4/rendering/07.obj", "8.16775131226")</f>
        <v>8.16775131226</v>
      </c>
      <c r="K1810" s="81" t="str">
        <f>HYPERLINK(AB2 &amp; "/mug/sn_ea95f7b57ff1573b9469314c979caef4/rendering/08.obj", "9.87769412994")</f>
        <v>9.87769412994</v>
      </c>
      <c r="L1810" s="109" t="str">
        <f>HYPERLINK(AB2 &amp; "/mug/sn_ea95f7b57ff1573b9469314c979caef4/rendering/09.obj", "6.58172273636")</f>
        <v>6.58172273636</v>
      </c>
      <c r="M1810" s="83" t="str">
        <f>HYPERLINK(AB2 &amp; "/mug/sn_ea95f7b57ff1573b9469314c979caef4/rendering/10.obj", "6.87500953674")</f>
        <v>6.87500953674</v>
      </c>
      <c r="N1810" s="47" t="str">
        <f>HYPERLINK(AB2 &amp; "/mug/sn_ea95f7b57ff1573b9469314c979caef4/rendering/11.obj", "8.18598556519")</f>
        <v>8.18598556519</v>
      </c>
      <c r="O1810" s="30" t="str">
        <f>HYPERLINK(AB2 &amp; "/mug/sn_ea95f7b57ff1573b9469314c979caef4/rendering/12.obj", "8.09087371826")</f>
        <v>8.09087371826</v>
      </c>
      <c r="P1810" s="151" t="str">
        <f>HYPERLINK(AB2 &amp; "/mug/sn_ea95f7b57ff1573b9469314c979caef4/rendering/13.obj", "5.19879102707")</f>
        <v>5.19879102707</v>
      </c>
      <c r="Q1810" s="166" t="str">
        <f>HYPERLINK(AB2 &amp; "/mug/sn_ea95f7b57ff1573b9469314c979caef4/rendering/14.obj", "5.80046653748")</f>
        <v>5.80046653748</v>
      </c>
      <c r="R1810" s="72" t="str">
        <f>HYPERLINK(AB2 &amp; "/mug/sn_ea95f7b57ff1573b9469314c979caef4/rendering/15.obj", "8.38036823273")</f>
        <v>8.38036823273</v>
      </c>
      <c r="S1810" s="152" t="str">
        <f>HYPERLINK(AB2 &amp; "/mug/sn_ea95f7b57ff1573b9469314c979caef4/rendering/16.obj", "11.4203739166")</f>
        <v>11.4203739166</v>
      </c>
      <c r="T1810" s="68" t="str">
        <f>HYPERLINK(AB2 &amp; "/mug/sn_ea95f7b57ff1573b9469314c979caef4/rendering/17.obj", "8.47391223907")</f>
        <v>8.47391223907</v>
      </c>
      <c r="U1810" s="26" t="str">
        <f>HYPERLINK(AB2 &amp; "/mug/sn_ea95f7b57ff1573b9469314c979caef4/rendering/18.obj", "8.63981533051")</f>
        <v>8.63981533051</v>
      </c>
      <c r="V1810" s="48" t="str">
        <f>HYPERLINK(AB2 &amp; "/mug/sn_ea95f7b57ff1573b9469314c979caef4/rendering/19.obj", "7.93686246872")</f>
        <v>7.93686246872</v>
      </c>
      <c r="W1810" s="12" t="s">
        <v>32</v>
      </c>
      <c r="X1810" s="13">
        <v>8.1181572198867791</v>
      </c>
      <c r="Y1810" s="13">
        <v>1.7060426734149261</v>
      </c>
      <c r="Z1810" s="49">
        <v>0.21015146999564019</v>
      </c>
    </row>
    <row r="1811" spans="1:26" x14ac:dyDescent="0.2">
      <c r="A1811" s="1">
        <v>1809</v>
      </c>
      <c r="B1811" s="2" t="s">
        <v>394</v>
      </c>
      <c r="C1811" s="13" t="str">
        <f>HYPERLINK(AC2 &amp; "/mug/sn_ea95f7b57ff1573b9469314c979caef4/rendering/00.xyz", "0.0")</f>
        <v>0.0</v>
      </c>
      <c r="D1811" s="13" t="str">
        <f>HYPERLINK(AC2 &amp; "/mug/sn_ea95f7b57ff1573b9469314c979caef4/rendering/01.xyz", "0.0")</f>
        <v>0.0</v>
      </c>
      <c r="E1811" s="13" t="str">
        <f>HYPERLINK(AC2 &amp; "/mug/sn_ea95f7b57ff1573b9469314c979caef4/rendering/02.xyz", "0.0")</f>
        <v>0.0</v>
      </c>
      <c r="F1811" s="13" t="str">
        <f>HYPERLINK(AC2 &amp; "/mug/sn_ea95f7b57ff1573b9469314c979caef4/rendering/03.xyz", "0.0")</f>
        <v>0.0</v>
      </c>
      <c r="G1811" s="13" t="str">
        <f>HYPERLINK(AC2 &amp; "/mug/sn_ea95f7b57ff1573b9469314c979caef4/rendering/04.xyz", "0.0")</f>
        <v>0.0</v>
      </c>
      <c r="H1811" s="13" t="str">
        <f>HYPERLINK(AC2 &amp; "/mug/sn_ea95f7b57ff1573b9469314c979caef4/rendering/05.xyz", "0.0")</f>
        <v>0.0</v>
      </c>
      <c r="I1811" s="13" t="str">
        <f>HYPERLINK(AC2 &amp; "/mug/sn_ea95f7b57ff1573b9469314c979caef4/rendering/06.xyz", "0.0")</f>
        <v>0.0</v>
      </c>
      <c r="J1811" s="13" t="str">
        <f>HYPERLINK(AC2 &amp; "/mug/sn_ea95f7b57ff1573b9469314c979caef4/rendering/07.xyz", "0.0")</f>
        <v>0.0</v>
      </c>
      <c r="K1811" s="13" t="str">
        <f>HYPERLINK(AC2 &amp; "/mug/sn_ea95f7b57ff1573b9469314c979caef4/rendering/08.xyz", "0.0")</f>
        <v>0.0</v>
      </c>
      <c r="L1811" s="13" t="str">
        <f>HYPERLINK(AC2 &amp; "/mug/sn_ea95f7b57ff1573b9469314c979caef4/rendering/09.xyz", "0.0")</f>
        <v>0.0</v>
      </c>
      <c r="M1811" s="13" t="str">
        <f>HYPERLINK(AC2 &amp; "/mug/sn_ea95f7b57ff1573b9469314c979caef4/rendering/10.xyz", "0.0")</f>
        <v>0.0</v>
      </c>
      <c r="N1811" s="13" t="str">
        <f>HYPERLINK(AC2 &amp; "/mug/sn_ea95f7b57ff1573b9469314c979caef4/rendering/11.xyz", "0.0")</f>
        <v>0.0</v>
      </c>
      <c r="O1811" s="13" t="str">
        <f>HYPERLINK(AC2 &amp; "/mug/sn_ea95f7b57ff1573b9469314c979caef4/rendering/12.xyz", "0.0")</f>
        <v>0.0</v>
      </c>
      <c r="P1811" s="13" t="str">
        <f>HYPERLINK(AC2 &amp; "/mug/sn_ea95f7b57ff1573b9469314c979caef4/rendering/13.xyz", "0.0")</f>
        <v>0.0</v>
      </c>
      <c r="Q1811" s="13" t="str">
        <f>HYPERLINK(AC2 &amp; "/mug/sn_ea95f7b57ff1573b9469314c979caef4/rendering/14.xyz", "0.0")</f>
        <v>0.0</v>
      </c>
      <c r="R1811" s="13" t="str">
        <f>HYPERLINK(AC2 &amp; "/mug/sn_ea95f7b57ff1573b9469314c979caef4/rendering/15.xyz", "0.0")</f>
        <v>0.0</v>
      </c>
      <c r="S1811" s="13" t="str">
        <f>HYPERLINK(AC2 &amp; "/mug/sn_ea95f7b57ff1573b9469314c979caef4/rendering/16.xyz", "0.0")</f>
        <v>0.0</v>
      </c>
      <c r="T1811" s="13" t="str">
        <f>HYPERLINK(AC2 &amp; "/mug/sn_ea95f7b57ff1573b9469314c979caef4/rendering/17.xyz", "0.0")</f>
        <v>0.0</v>
      </c>
      <c r="U1811" s="13" t="str">
        <f>HYPERLINK(AC2 &amp; "/mug/sn_ea95f7b57ff1573b9469314c979caef4/rendering/18.xyz", "0.0")</f>
        <v>0.0</v>
      </c>
      <c r="V1811" s="13" t="str">
        <f>HYPERLINK(AC2 &amp; "/mug/sn_ea95f7b57ff1573b9469314c979caef4/rendering/19.xyz", "0.0")</f>
        <v>0.0</v>
      </c>
      <c r="W1811" s="12" t="s">
        <v>33</v>
      </c>
      <c r="X1811" s="13">
        <v>0</v>
      </c>
      <c r="Y1811" s="13">
        <v>0</v>
      </c>
      <c r="Z1811" s="13">
        <v>0</v>
      </c>
    </row>
    <row r="1812" spans="1:26" x14ac:dyDescent="0.2">
      <c r="A1812" s="1">
        <v>1810</v>
      </c>
      <c r="B1812" s="2" t="s">
        <v>395</v>
      </c>
      <c r="C1812" s="76" t="str">
        <f>HYPERLINK(AA2 &amp; "/mug/sn_eb98497a0b08c767f2d5a6dd6eeaf018/rendering/00.obj", "3.09315124512")</f>
        <v>3.09315124512</v>
      </c>
      <c r="D1812" s="101" t="str">
        <f>HYPERLINK(AA2 &amp; "/mug/sn_eb98497a0b08c767f2d5a6dd6eeaf018/rendering/01.obj", "2.35775421143")</f>
        <v>2.35775421143</v>
      </c>
      <c r="E1812" s="169" t="str">
        <f>HYPERLINK(AA2 &amp; "/mug/sn_eb98497a0b08c767f2d5a6dd6eeaf018/rendering/02.obj", "2.59861328125")</f>
        <v>2.59861328125</v>
      </c>
      <c r="F1812" s="72" t="str">
        <f>HYPERLINK(AA2 &amp; "/mug/sn_eb98497a0b08c767f2d5a6dd6eeaf018/rendering/03.obj", "3.91137084961")</f>
        <v>3.91137084961</v>
      </c>
      <c r="G1812" s="123" t="str">
        <f>HYPERLINK(AA2 &amp; "/mug/sn_eb98497a0b08c767f2d5a6dd6eeaf018/rendering/04.obj", "5.17776733398")</f>
        <v>5.17776733398</v>
      </c>
      <c r="H1812" s="207" t="str">
        <f>HYPERLINK(AA2 &amp; "/mug/sn_eb98497a0b08c767f2d5a6dd6eeaf018/rendering/05.obj", "6.54325683594")</f>
        <v>6.54325683594</v>
      </c>
      <c r="I1812" s="20" t="str">
        <f>HYPERLINK(AA2 &amp; "/mug/sn_eb98497a0b08c767f2d5a6dd6eeaf018/rendering/06.obj", "6.81899963379")</f>
        <v>6.81899963379</v>
      </c>
      <c r="J1812" s="128" t="str">
        <f>HYPERLINK(AA2 &amp; "/mug/sn_eb98497a0b08c767f2d5a6dd6eeaf018/rendering/07.obj", "2.30790786743")</f>
        <v>2.30790786743</v>
      </c>
      <c r="K1812" s="64" t="str">
        <f>HYPERLINK(AA2 &amp; "/mug/sn_eb98497a0b08c767f2d5a6dd6eeaf018/rendering/08.obj", "3.1639453125")</f>
        <v>3.1639453125</v>
      </c>
      <c r="L1812" s="106" t="str">
        <f>HYPERLINK(AA2 &amp; "/mug/sn_eb98497a0b08c767f2d5a6dd6eeaf018/rendering/09.obj", "4.21616821289")</f>
        <v>4.21616821289</v>
      </c>
      <c r="M1812" s="65" t="str">
        <f>HYPERLINK(AA2 &amp; "/mug/sn_eb98497a0b08c767f2d5a6dd6eeaf018/rendering/10.obj", "4.29235900879")</f>
        <v>4.29235900879</v>
      </c>
      <c r="N1812" s="35" t="str">
        <f>HYPERLINK(AA2 &amp; "/mug/sn_eb98497a0b08c767f2d5a6dd6eeaf018/rendering/11.obj", "4.00768615723")</f>
        <v>4.00768615723</v>
      </c>
      <c r="O1812" s="81" t="str">
        <f>HYPERLINK(AA2 &amp; "/mug/sn_eb98497a0b08c767f2d5a6dd6eeaf018/rendering/12.obj", "2.96106628418")</f>
        <v>2.96106628418</v>
      </c>
      <c r="P1812" s="113" t="str">
        <f>HYPERLINK(AA2 &amp; "/mug/sn_eb98497a0b08c767f2d5a6dd6eeaf018/rendering/13.obj", "4.8192779541")</f>
        <v>4.8192779541</v>
      </c>
      <c r="Q1812" s="120" t="str">
        <f>HYPERLINK(AA2 &amp; "/mug/sn_eb98497a0b08c767f2d5a6dd6eeaf018/rendering/14.obj", "2.985625")</f>
        <v>2.985625</v>
      </c>
      <c r="R1812" s="138" t="str">
        <f>HYPERLINK(AA2 &amp; "/mug/sn_eb98497a0b08c767f2d5a6dd6eeaf018/rendering/15.obj", "5.05734619141")</f>
        <v>5.05734619141</v>
      </c>
      <c r="S1812" s="73" t="str">
        <f>HYPERLINK(AA2 &amp; "/mug/sn_eb98497a0b08c767f2d5a6dd6eeaf018/rendering/16.obj", "3.64476501465")</f>
        <v>3.64476501465</v>
      </c>
      <c r="T1812" s="122" t="str">
        <f>HYPERLINK(AA2 &amp; "/mug/sn_eb98497a0b08c767f2d5a6dd6eeaf018/rendering/17.obj", "2.25616638184")</f>
        <v>2.25616638184</v>
      </c>
      <c r="U1812" s="171" t="str">
        <f>HYPERLINK(AA2 &amp; "/mug/sn_eb98497a0b08c767f2d5a6dd6eeaf018/rendering/18.obj", "2.62188476562")</f>
        <v>2.62188476562</v>
      </c>
      <c r="V1812" s="129" t="str">
        <f>HYPERLINK(AA2 &amp; "/mug/sn_eb98497a0b08c767f2d5a6dd6eeaf018/rendering/19.obj", "2.84388977051")</f>
        <v>2.84388977051</v>
      </c>
      <c r="W1812" s="12" t="s">
        <v>29</v>
      </c>
      <c r="X1812" s="13">
        <v>3.7839500656127929</v>
      </c>
      <c r="Y1812" s="13">
        <v>1.3106198249212311</v>
      </c>
      <c r="Z1812" s="140">
        <v>0.34636287535390131</v>
      </c>
    </row>
    <row r="1813" spans="1:26" x14ac:dyDescent="0.2">
      <c r="A1813" s="1">
        <v>1811</v>
      </c>
      <c r="B1813" s="2" t="s">
        <v>395</v>
      </c>
      <c r="C1813" s="86" t="str">
        <f>HYPERLINK(AA2 &amp; "/mug/sn_eb98497a0b08c767f2d5a6dd6eeaf018/rendering/00.obj", "3.24574708939")</f>
        <v>3.24574708939</v>
      </c>
      <c r="D1813" s="218" t="str">
        <f>HYPERLINK(AA2 &amp; "/mug/sn_eb98497a0b08c767f2d5a6dd6eeaf018/rendering/01.obj", "2.15280485153")</f>
        <v>2.15280485153</v>
      </c>
      <c r="E1813" s="166" t="str">
        <f>HYPERLINK(AA2 &amp; "/mug/sn_eb98497a0b08c767f2d5a6dd6eeaf018/rendering/02.obj", "3.16617465019")</f>
        <v>3.16617465019</v>
      </c>
      <c r="F1813" s="89" t="str">
        <f>HYPERLINK(AA2 &amp; "/mug/sn_eb98497a0b08c767f2d5a6dd6eeaf018/rendering/03.obj", "3.29383516312")</f>
        <v>3.29383516312</v>
      </c>
      <c r="G1813" s="179" t="str">
        <f>HYPERLINK(AA2 &amp; "/mug/sn_eb98497a0b08c767f2d5a6dd6eeaf018/rendering/04.obj", "6.33757448196")</f>
        <v>6.33757448196</v>
      </c>
      <c r="H1813" s="35" t="str">
        <f>HYPERLINK(AA2 &amp; "/mug/sn_eb98497a0b08c767f2d5a6dd6eeaf018/rendering/05.obj", "4.17984437943")</f>
        <v>4.17984437943</v>
      </c>
      <c r="I1813" s="20" t="str">
        <f>HYPERLINK(AA2 &amp; "/mug/sn_eb98497a0b08c767f2d5a6dd6eeaf018/rendering/06.obj", "13.939242363")</f>
        <v>13.939242363</v>
      </c>
      <c r="J1813" s="144" t="str">
        <f>HYPERLINK(AA2 &amp; "/mug/sn_eb98497a0b08c767f2d5a6dd6eeaf018/rendering/07.obj", "2.20445728302")</f>
        <v>2.20445728302</v>
      </c>
      <c r="K1813" s="79" t="str">
        <f>HYPERLINK(AA2 &amp; "/mug/sn_eb98497a0b08c767f2d5a6dd6eeaf018/rendering/08.obj", "3.7325053215")</f>
        <v>3.7325053215</v>
      </c>
      <c r="L1813" s="38" t="str">
        <f>HYPERLINK(AA2 &amp; "/mug/sn_eb98497a0b08c767f2d5a6dd6eeaf018/rendering/09.obj", "4.83097743988")</f>
        <v>4.83097743988</v>
      </c>
      <c r="M1813" s="149" t="str">
        <f>HYPERLINK(AA2 &amp; "/mug/sn_eb98497a0b08c767f2d5a6dd6eeaf018/rendering/10.obj", "5.96450901031")</f>
        <v>5.96450901031</v>
      </c>
      <c r="N1813" s="107" t="str">
        <f>HYPERLINK(AA2 &amp; "/mug/sn_eb98497a0b08c767f2d5a6dd6eeaf018/rendering/11.obj", "4.80943965912")</f>
        <v>4.80943965912</v>
      </c>
      <c r="O1813" s="181" t="str">
        <f>HYPERLINK(AA2 &amp; "/mug/sn_eb98497a0b08c767f2d5a6dd6eeaf018/rendering/12.obj", "2.47012805939")</f>
        <v>2.47012805939</v>
      </c>
      <c r="P1813" s="215" t="str">
        <f>HYPERLINK(AA2 &amp; "/mug/sn_eb98497a0b08c767f2d5a6dd6eeaf018/rendering/13.obj", "7.41435575485")</f>
        <v>7.41435575485</v>
      </c>
      <c r="Q1813" s="121" t="str">
        <f>HYPERLINK(AA2 &amp; "/mug/sn_eb98497a0b08c767f2d5a6dd6eeaf018/rendering/14.obj", "2.87619757652")</f>
        <v>2.87619757652</v>
      </c>
      <c r="R1813" s="97" t="str">
        <f>HYPERLINK(AA2 &amp; "/mug/sn_eb98497a0b08c767f2d5a6dd6eeaf018/rendering/15.obj", "6.36933898926")</f>
        <v>6.36933898926</v>
      </c>
      <c r="S1813" s="72" t="str">
        <f>HYPERLINK(AA2 &amp; "/mug/sn_eb98497a0b08c767f2d5a6dd6eeaf018/rendering/16.obj", "4.28572273254")</f>
        <v>4.28572273254</v>
      </c>
      <c r="T1813" s="144" t="str">
        <f>HYPERLINK(AA2 &amp; "/mug/sn_eb98497a0b08c767f2d5a6dd6eeaf018/rendering/17.obj", "2.19936943054")</f>
        <v>2.19936943054</v>
      </c>
      <c r="U1813" s="148" t="str">
        <f>HYPERLINK(AA2 &amp; "/mug/sn_eb98497a0b08c767f2d5a6dd6eeaf018/rendering/18.obj", "2.28311085701")</f>
        <v>2.28311085701</v>
      </c>
      <c r="V1813" s="168" t="str">
        <f>HYPERLINK(AA2 &amp; "/mug/sn_eb98497a0b08c767f2d5a6dd6eeaf018/rendering/19.obj", "3.01385688782")</f>
        <v>3.01385688782</v>
      </c>
      <c r="W1813" s="12" t="s">
        <v>30</v>
      </c>
      <c r="X1813" s="13">
        <v>4.4384595990180973</v>
      </c>
      <c r="Y1813" s="13">
        <v>2.6667848380032391</v>
      </c>
      <c r="Z1813" s="186">
        <v>0.60083566798562305</v>
      </c>
    </row>
    <row r="1814" spans="1:26" x14ac:dyDescent="0.2">
      <c r="A1814" s="1">
        <v>1812</v>
      </c>
      <c r="B1814" s="2" t="s">
        <v>395</v>
      </c>
      <c r="C1814" s="49" t="str">
        <f>HYPERLINK(AB2 &amp; "/mug/sn_eb98497a0b08c767f2d5a6dd6eeaf018/rendering/00.obj", "3.66299957275")</f>
        <v>3.66299957275</v>
      </c>
      <c r="D1814" s="176" t="str">
        <f>HYPERLINK(AB2 &amp; "/mug/sn_eb98497a0b08c767f2d5a6dd6eeaf018/rendering/01.obj", "6.1045111084")</f>
        <v>6.1045111084</v>
      </c>
      <c r="E1814" s="175" t="str">
        <f>HYPERLINK(AB2 &amp; "/mug/sn_eb98497a0b08c767f2d5a6dd6eeaf018/rendering/02.obj", "3.54262695313")</f>
        <v>3.54262695313</v>
      </c>
      <c r="F1814" s="40" t="str">
        <f>HYPERLINK(AB2 &amp; "/mug/sn_eb98497a0b08c767f2d5a6dd6eeaf018/rendering/03.obj", "3.83223449707")</f>
        <v>3.83223449707</v>
      </c>
      <c r="G1814" s="48" t="str">
        <f>HYPERLINK(AB2 &amp; "/mug/sn_eb98497a0b08c767f2d5a6dd6eeaf018/rendering/04.obj", "4.73816223145")</f>
        <v>4.73816223145</v>
      </c>
      <c r="H1814" s="71" t="str">
        <f>HYPERLINK(AB2 &amp; "/mug/sn_eb98497a0b08c767f2d5a6dd6eeaf018/rendering/05.obj", "4.0851953125")</f>
        <v>4.0851953125</v>
      </c>
      <c r="I1814" s="119" t="str">
        <f>HYPERLINK(AB2 &amp; "/mug/sn_eb98497a0b08c767f2d5a6dd6eeaf018/rendering/06.obj", "5.8519720459")</f>
        <v>5.8519720459</v>
      </c>
      <c r="J1814" s="120" t="str">
        <f>HYPERLINK(AB2 &amp; "/mug/sn_eb98497a0b08c767f2d5a6dd6eeaf018/rendering/07.obj", "5.59997741699")</f>
        <v>5.59997741699</v>
      </c>
      <c r="K1814" s="69" t="str">
        <f>HYPERLINK(AB2 &amp; "/mug/sn_eb98497a0b08c767f2d5a6dd6eeaf018/rendering/08.obj", "4.49032989502")</f>
        <v>4.49032989502</v>
      </c>
      <c r="L1814" s="48" t="str">
        <f>HYPERLINK(AB2 &amp; "/mug/sn_eb98497a0b08c767f2d5a6dd6eeaf018/rendering/09.obj", "4.73130737305")</f>
        <v>4.73130737305</v>
      </c>
      <c r="M1814" s="30" t="str">
        <f>HYPERLINK(AB2 &amp; "/mug/sn_eb98497a0b08c767f2d5a6dd6eeaf018/rendering/10.obj", "4.597003479")</f>
        <v>4.597003479</v>
      </c>
      <c r="N1814" s="123" t="str">
        <f>HYPERLINK(AB2 &amp; "/mug/sn_eb98497a0b08c767f2d5a6dd6eeaf018/rendering/11.obj", "2.91928466797")</f>
        <v>2.91928466797</v>
      </c>
      <c r="O1814" s="122" t="str">
        <f>HYPERLINK(AB2 &amp; "/mug/sn_eb98497a0b08c767f2d5a6dd6eeaf018/rendering/12.obj", "6.49389526367")</f>
        <v>6.49389526367</v>
      </c>
      <c r="P1814" s="54" t="str">
        <f>HYPERLINK(AB2 &amp; "/mug/sn_eb98497a0b08c767f2d5a6dd6eeaf018/rendering/13.obj", "3.11164642334")</f>
        <v>3.11164642334</v>
      </c>
      <c r="Q1814" s="89" t="str">
        <f>HYPERLINK(AB2 &amp; "/mug/sn_eb98497a0b08c767f2d5a6dd6eeaf018/rendering/14.obj", "5.82583618164")</f>
        <v>5.82583618164</v>
      </c>
      <c r="R1814" s="82" t="str">
        <f>HYPERLINK(AB2 &amp; "/mug/sn_eb98497a0b08c767f2d5a6dd6eeaf018/rendering/15.obj", "3.67533294678")</f>
        <v>3.67533294678</v>
      </c>
      <c r="S1814" s="78" t="str">
        <f>HYPERLINK(AB2 &amp; "/mug/sn_eb98497a0b08c767f2d5a6dd6eeaf018/rendering/16.obj", "4.91169372559")</f>
        <v>4.91169372559</v>
      </c>
      <c r="T1814" s="17" t="str">
        <f>HYPERLINK(AB2 &amp; "/mug/sn_eb98497a0b08c767f2d5a6dd6eeaf018/rendering/17.obj", "4.72012634277")</f>
        <v>4.72012634277</v>
      </c>
      <c r="U1814" s="166" t="str">
        <f>HYPERLINK(AB2 &amp; "/mug/sn_eb98497a0b08c767f2d5a6dd6eeaf018/rendering/18.obj", "3.29250396729")</f>
        <v>3.29250396729</v>
      </c>
      <c r="V1814" s="137" t="str">
        <f>HYPERLINK(AB2 &amp; "/mug/sn_eb98497a0b08c767f2d5a6dd6eeaf018/rendering/19.obj", "6.31466552734")</f>
        <v>6.31466552734</v>
      </c>
      <c r="W1814" s="12" t="s">
        <v>31</v>
      </c>
      <c r="X1814" s="13">
        <v>4.6250652465820314</v>
      </c>
      <c r="Y1814" s="13">
        <v>1.0831197913603929</v>
      </c>
      <c r="Z1814" s="175">
        <v>0.23418475926600801</v>
      </c>
    </row>
    <row r="1815" spans="1:26" x14ac:dyDescent="0.2">
      <c r="A1815" s="1">
        <v>1813</v>
      </c>
      <c r="B1815" s="2" t="s">
        <v>395</v>
      </c>
      <c r="C1815" s="198" t="str">
        <f>HYPERLINK(AB2 &amp; "/mug/sn_eb98497a0b08c767f2d5a6dd6eeaf018/rendering/00.obj", "2.45465254784")</f>
        <v>2.45465254784</v>
      </c>
      <c r="D1815" s="89" t="str">
        <f>HYPERLINK(AB2 &amp; "/mug/sn_eb98497a0b08c767f2d5a6dd6eeaf018/rendering/01.obj", "5.05371236801")</f>
        <v>5.05371236801</v>
      </c>
      <c r="E1815" s="108" t="str">
        <f>HYPERLINK(AB2 &amp; "/mug/sn_eb98497a0b08c767f2d5a6dd6eeaf018/rendering/02.obj", "3.02338624001")</f>
        <v>3.02338624001</v>
      </c>
      <c r="F1815" s="157" t="str">
        <f>HYPERLINK(AB2 &amp; "/mug/sn_eb98497a0b08c767f2d5a6dd6eeaf018/rendering/03.obj", "2.35017418861")</f>
        <v>2.35017418861</v>
      </c>
      <c r="G1815" s="33" t="str">
        <f>HYPERLINK(AB2 &amp; "/mug/sn_eb98497a0b08c767f2d5a6dd6eeaf018/rendering/04.obj", "3.57822775841")</f>
        <v>3.57822775841</v>
      </c>
      <c r="H1815" s="35" t="str">
        <f>HYPERLINK(AB2 &amp; "/mug/sn_eb98497a0b08c767f2d5a6dd6eeaf018/rendering/05.obj", "4.24941492081")</f>
        <v>4.24941492081</v>
      </c>
      <c r="I1815" s="147" t="str">
        <f>HYPERLINK(AB2 &amp; "/mug/sn_eb98497a0b08c767f2d5a6dd6eeaf018/rendering/06.obj", "5.97877836227")</f>
        <v>5.97877836227</v>
      </c>
      <c r="J1815" s="81" t="str">
        <f>HYPERLINK(AB2 &amp; "/mug/sn_eb98497a0b08c767f2d5a6dd6eeaf018/rendering/07.obj", "4.89862823486")</f>
        <v>4.89862823486</v>
      </c>
      <c r="K1815" s="109" t="str">
        <f>HYPERLINK(AB2 &amp; "/mug/sn_eb98497a0b08c767f2d5a6dd6eeaf018/rendering/08.obj", "3.25599122047")</f>
        <v>3.25599122047</v>
      </c>
      <c r="L1815" s="117" t="str">
        <f>HYPERLINK(AB2 &amp; "/mug/sn_eb98497a0b08c767f2d5a6dd6eeaf018/rendering/09.obj", "3.30897951126")</f>
        <v>3.30897951126</v>
      </c>
      <c r="M1815" s="117" t="str">
        <f>HYPERLINK(AB2 &amp; "/mug/sn_eb98497a0b08c767f2d5a6dd6eeaf018/rendering/10.obj", "4.73255157471")</f>
        <v>4.73255157471</v>
      </c>
      <c r="N1815" s="122" t="str">
        <f>HYPERLINK(AB2 &amp; "/mug/sn_eb98497a0b08c767f2d5a6dd6eeaf018/rendering/11.obj", "2.40182781219")</f>
        <v>2.40182781219</v>
      </c>
      <c r="O1815" s="187" t="str">
        <f>HYPERLINK(AB2 &amp; "/mug/sn_eb98497a0b08c767f2d5a6dd6eeaf018/rendering/12.obj", "5.4261007309")</f>
        <v>5.4261007309</v>
      </c>
      <c r="P1815" s="44" t="str">
        <f>HYPERLINK(AB2 &amp; "/mug/sn_eb98497a0b08c767f2d5a6dd6eeaf018/rendering/13.obj", "3.22511267662")</f>
        <v>3.22511267662</v>
      </c>
      <c r="Q1815" s="140" t="str">
        <f>HYPERLINK(AB2 &amp; "/mug/sn_eb98497a0b08c767f2d5a6dd6eeaf018/rendering/14.obj", "5.41111898422")</f>
        <v>5.41111898422</v>
      </c>
      <c r="R1815" s="117" t="str">
        <f>HYPERLINK(AB2 &amp; "/mug/sn_eb98497a0b08c767f2d5a6dd6eeaf018/rendering/15.obj", "3.30689907074")</f>
        <v>3.30689907074</v>
      </c>
      <c r="S1815" s="187" t="str">
        <f>HYPERLINK(AB2 &amp; "/mug/sn_eb98497a0b08c767f2d5a6dd6eeaf018/rendering/16.obj", "2.61438536644")</f>
        <v>2.61438536644</v>
      </c>
      <c r="T1815" s="40" t="str">
        <f>HYPERLINK(AB2 &amp; "/mug/sn_eb98497a0b08c767f2d5a6dd6eeaf018/rendering/17.obj", "3.32975292206")</f>
        <v>3.32975292206</v>
      </c>
      <c r="U1815" s="76" t="str">
        <f>HYPERLINK(AB2 &amp; "/mug/sn_eb98497a0b08c767f2d5a6dd6eeaf018/rendering/18.obj", "3.28076171875")</f>
        <v>3.28076171875</v>
      </c>
      <c r="V1815" s="20" t="str">
        <f>HYPERLINK(AB2 &amp; "/mug/sn_eb98497a0b08c767f2d5a6dd6eeaf018/rendering/19.obj", "8.46506404877")</f>
        <v>8.46506404877</v>
      </c>
      <c r="W1815" s="12" t="s">
        <v>32</v>
      </c>
      <c r="X1815" s="13">
        <v>4.0172760128974918</v>
      </c>
      <c r="Y1815" s="13">
        <v>1.4863091648585831</v>
      </c>
      <c r="Z1815" s="123">
        <v>0.36997934921244569</v>
      </c>
    </row>
    <row r="1816" spans="1:26" x14ac:dyDescent="0.2">
      <c r="A1816" s="1">
        <v>1814</v>
      </c>
      <c r="B1816" s="2" t="s">
        <v>395</v>
      </c>
      <c r="C1816" s="13" t="str">
        <f>HYPERLINK(AC2 &amp; "/mug/sn_eb98497a0b08c767f2d5a6dd6eeaf018/rendering/00.xyz", "0.0")</f>
        <v>0.0</v>
      </c>
      <c r="D1816" s="13" t="str">
        <f>HYPERLINK(AC2 &amp; "/mug/sn_eb98497a0b08c767f2d5a6dd6eeaf018/rendering/01.xyz", "0.0")</f>
        <v>0.0</v>
      </c>
      <c r="E1816" s="13" t="str">
        <f>HYPERLINK(AC2 &amp; "/mug/sn_eb98497a0b08c767f2d5a6dd6eeaf018/rendering/02.xyz", "0.0")</f>
        <v>0.0</v>
      </c>
      <c r="F1816" s="13" t="str">
        <f>HYPERLINK(AC2 &amp; "/mug/sn_eb98497a0b08c767f2d5a6dd6eeaf018/rendering/03.xyz", "0.0")</f>
        <v>0.0</v>
      </c>
      <c r="G1816" s="13" t="str">
        <f>HYPERLINK(AC2 &amp; "/mug/sn_eb98497a0b08c767f2d5a6dd6eeaf018/rendering/04.xyz", "0.0")</f>
        <v>0.0</v>
      </c>
      <c r="H1816" s="13" t="str">
        <f>HYPERLINK(AC2 &amp; "/mug/sn_eb98497a0b08c767f2d5a6dd6eeaf018/rendering/05.xyz", "0.0")</f>
        <v>0.0</v>
      </c>
      <c r="I1816" s="13" t="str">
        <f>HYPERLINK(AC2 &amp; "/mug/sn_eb98497a0b08c767f2d5a6dd6eeaf018/rendering/06.xyz", "0.0")</f>
        <v>0.0</v>
      </c>
      <c r="J1816" s="13" t="str">
        <f>HYPERLINK(AC2 &amp; "/mug/sn_eb98497a0b08c767f2d5a6dd6eeaf018/rendering/07.xyz", "0.0")</f>
        <v>0.0</v>
      </c>
      <c r="K1816" s="13" t="str">
        <f>HYPERLINK(AC2 &amp; "/mug/sn_eb98497a0b08c767f2d5a6dd6eeaf018/rendering/08.xyz", "0.0")</f>
        <v>0.0</v>
      </c>
      <c r="L1816" s="13" t="str">
        <f>HYPERLINK(AC2 &amp; "/mug/sn_eb98497a0b08c767f2d5a6dd6eeaf018/rendering/09.xyz", "0.0")</f>
        <v>0.0</v>
      </c>
      <c r="M1816" s="13" t="str">
        <f>HYPERLINK(AC2 &amp; "/mug/sn_eb98497a0b08c767f2d5a6dd6eeaf018/rendering/10.xyz", "0.0")</f>
        <v>0.0</v>
      </c>
      <c r="N1816" s="13" t="str">
        <f>HYPERLINK(AC2 &amp; "/mug/sn_eb98497a0b08c767f2d5a6dd6eeaf018/rendering/11.xyz", "0.0")</f>
        <v>0.0</v>
      </c>
      <c r="O1816" s="13" t="str">
        <f>HYPERLINK(AC2 &amp; "/mug/sn_eb98497a0b08c767f2d5a6dd6eeaf018/rendering/12.xyz", "0.0")</f>
        <v>0.0</v>
      </c>
      <c r="P1816" s="13" t="str">
        <f>HYPERLINK(AC2 &amp; "/mug/sn_eb98497a0b08c767f2d5a6dd6eeaf018/rendering/13.xyz", "0.0")</f>
        <v>0.0</v>
      </c>
      <c r="Q1816" s="13" t="str">
        <f>HYPERLINK(AC2 &amp; "/mug/sn_eb98497a0b08c767f2d5a6dd6eeaf018/rendering/14.xyz", "0.0")</f>
        <v>0.0</v>
      </c>
      <c r="R1816" s="13" t="str">
        <f>HYPERLINK(AC2 &amp; "/mug/sn_eb98497a0b08c767f2d5a6dd6eeaf018/rendering/15.xyz", "0.0")</f>
        <v>0.0</v>
      </c>
      <c r="S1816" s="13" t="str">
        <f>HYPERLINK(AC2 &amp; "/mug/sn_eb98497a0b08c767f2d5a6dd6eeaf018/rendering/16.xyz", "0.0")</f>
        <v>0.0</v>
      </c>
      <c r="T1816" s="13" t="str">
        <f>HYPERLINK(AC2 &amp; "/mug/sn_eb98497a0b08c767f2d5a6dd6eeaf018/rendering/17.xyz", "0.0")</f>
        <v>0.0</v>
      </c>
      <c r="U1816" s="13" t="str">
        <f>HYPERLINK(AC2 &amp; "/mug/sn_eb98497a0b08c767f2d5a6dd6eeaf018/rendering/18.xyz", "0.0")</f>
        <v>0.0</v>
      </c>
      <c r="V1816" s="13" t="str">
        <f>HYPERLINK(AC2 &amp; "/mug/sn_eb98497a0b08c767f2d5a6dd6eeaf018/rendering/19.xyz", "0.0")</f>
        <v>0.0</v>
      </c>
      <c r="W1816" s="12" t="s">
        <v>33</v>
      </c>
      <c r="X1816" s="13">
        <v>0</v>
      </c>
      <c r="Y1816" s="13">
        <v>0</v>
      </c>
      <c r="Z1816" s="13">
        <v>0</v>
      </c>
    </row>
    <row r="1817" spans="1:26" x14ac:dyDescent="0.2">
      <c r="A1817" s="1">
        <v>1815</v>
      </c>
      <c r="B1817" s="2" t="s">
        <v>396</v>
      </c>
      <c r="C1817" s="60" t="str">
        <f>HYPERLINK(AA2 &amp; "/mug/sn_ec846432f3ebedf0a6f32a8797e3b9e9/rendering/00.obj", "4.626925354")</f>
        <v>4.626925354</v>
      </c>
      <c r="D1817" s="27" t="str">
        <f>HYPERLINK(AA2 &amp; "/mug/sn_ec846432f3ebedf0a6f32a8797e3b9e9/rendering/01.obj", "5.23401062012")</f>
        <v>5.23401062012</v>
      </c>
      <c r="E1817" s="169" t="str">
        <f>HYPERLINK(AA2 &amp; "/mug/sn_ec846432f3ebedf0a6f32a8797e3b9e9/rendering/02.obj", "3.36132354736")</f>
        <v>3.36132354736</v>
      </c>
      <c r="F1817" s="140" t="str">
        <f>HYPERLINK(AA2 &amp; "/mug/sn_ec846432f3ebedf0a6f32a8797e3b9e9/rendering/03.obj", "6.57264526367")</f>
        <v>6.57264526367</v>
      </c>
      <c r="G1817" s="18" t="str">
        <f>HYPERLINK(AA2 &amp; "/mug/sn_ec846432f3ebedf0a6f32a8797e3b9e9/rendering/04.obj", "7.70939575195")</f>
        <v>7.70939575195</v>
      </c>
      <c r="H1817" s="67" t="str">
        <f>HYPERLINK(AA2 &amp; "/mug/sn_ec846432f3ebedf0a6f32a8797e3b9e9/rendering/05.obj", "4.42990783691")</f>
        <v>4.42990783691</v>
      </c>
      <c r="I1817" s="108" t="str">
        <f>HYPERLINK(AA2 &amp; "/mug/sn_ec846432f3ebedf0a6f32a8797e3b9e9/rendering/06.obj", "3.68399200439")</f>
        <v>3.68399200439</v>
      </c>
      <c r="J1817" s="5" t="str">
        <f>HYPERLINK(AA2 &amp; "/mug/sn_ec846432f3ebedf0a6f32a8797e3b9e9/rendering/07.obj", "4.51548797607")</f>
        <v>4.51548797607</v>
      </c>
      <c r="K1817" s="10" t="str">
        <f>HYPERLINK(AA2 &amp; "/mug/sn_ec846432f3ebedf0a6f32a8797e3b9e9/rendering/08.obj", "4.60942810059")</f>
        <v>4.60942810059</v>
      </c>
      <c r="L1817" s="32" t="str">
        <f>HYPERLINK(AA2 &amp; "/mug/sn_ec846432f3ebedf0a6f32a8797e3b9e9/rendering/09.obj", "4.37372131348")</f>
        <v>4.37372131348</v>
      </c>
      <c r="M1817" s="59" t="str">
        <f>HYPERLINK(AA2 &amp; "/mug/sn_ec846432f3ebedf0a6f32a8797e3b9e9/rendering/10.obj", "3.71065887451")</f>
        <v>3.71065887451</v>
      </c>
      <c r="N1817" s="67" t="str">
        <f>HYPERLINK(AA2 &amp; "/mug/sn_ec846432f3ebedf0a6f32a8797e3b9e9/rendering/11.obj", "5.33620910645")</f>
        <v>5.33620910645</v>
      </c>
      <c r="O1817" s="92" t="str">
        <f>HYPERLINK(AA2 &amp; "/mug/sn_ec846432f3ebedf0a6f32a8797e3b9e9/rendering/12.obj", "5.48366394043")</f>
        <v>5.48366394043</v>
      </c>
      <c r="P1817" s="31" t="str">
        <f>HYPERLINK(AA2 &amp; "/mug/sn_ec846432f3ebedf0a6f32a8797e3b9e9/rendering/13.obj", "4.12701477051")</f>
        <v>4.12701477051</v>
      </c>
      <c r="Q1817" s="64" t="str">
        <f>HYPERLINK(AA2 &amp; "/mug/sn_ec846432f3ebedf0a6f32a8797e3b9e9/rendering/14.obj", "4.08058349609")</f>
        <v>4.08058349609</v>
      </c>
      <c r="R1817" s="130" t="str">
        <f>HYPERLINK(AA2 &amp; "/mug/sn_ec846432f3ebedf0a6f32a8797e3b9e9/rendering/15.obj", "7.08077209473")</f>
        <v>7.08077209473</v>
      </c>
      <c r="S1817" s="86" t="str">
        <f>HYPERLINK(AA2 &amp; "/mug/sn_ec846432f3ebedf0a6f32a8797e3b9e9/rendering/16.obj", "3.58026123047")</f>
        <v>3.58026123047</v>
      </c>
      <c r="T1817" s="70" t="str">
        <f>HYPERLINK(AA2 &amp; "/mug/sn_ec846432f3ebedf0a6f32a8797e3b9e9/rendering/17.obj", "4.25711151123")</f>
        <v>4.25711151123</v>
      </c>
      <c r="U1817" s="10" t="str">
        <f>HYPERLINK(AA2 &amp; "/mug/sn_ec846432f3ebedf0a6f32a8797e3b9e9/rendering/18.obj", "5.15325561523")</f>
        <v>5.15325561523</v>
      </c>
      <c r="V1817" s="134" t="str">
        <f>HYPERLINK(AA2 &amp; "/mug/sn_ec846432f3ebedf0a6f32a8797e3b9e9/rendering/19.obj", "5.75937438965")</f>
        <v>5.75937438965</v>
      </c>
      <c r="W1817" s="12" t="s">
        <v>29</v>
      </c>
      <c r="X1817" s="13">
        <v>4.884287139892578</v>
      </c>
      <c r="Y1817" s="13">
        <v>1.148389074123479</v>
      </c>
      <c r="Z1817" s="175">
        <v>0.2351190749503593</v>
      </c>
    </row>
    <row r="1818" spans="1:26" x14ac:dyDescent="0.2">
      <c r="A1818" s="1">
        <v>1816</v>
      </c>
      <c r="B1818" s="2" t="s">
        <v>396</v>
      </c>
      <c r="C1818" s="17" t="str">
        <f>HYPERLINK(AA2 &amp; "/mug/sn_ec846432f3ebedf0a6f32a8797e3b9e9/rendering/00.obj", "9.10868930817")</f>
        <v>9.10868930817</v>
      </c>
      <c r="D1818" s="66" t="str">
        <f>HYPERLINK(AA2 &amp; "/mug/sn_ec846432f3ebedf0a6f32a8797e3b9e9/rendering/01.obj", "10.3811626434")</f>
        <v>10.3811626434</v>
      </c>
      <c r="E1818" s="136" t="str">
        <f>HYPERLINK(AA2 &amp; "/mug/sn_ec846432f3ebedf0a6f32a8797e3b9e9/rendering/02.obj", "6.82140207291")</f>
        <v>6.82140207291</v>
      </c>
      <c r="F1818" s="106" t="str">
        <f>HYPERLINK(AA2 &amp; "/mug/sn_ec846432f3ebedf0a6f32a8797e3b9e9/rendering/03.obj", "9.96430301666")</f>
        <v>9.96430301666</v>
      </c>
      <c r="G1818" s="151" t="str">
        <f>HYPERLINK(AA2 &amp; "/mug/sn_ec846432f3ebedf0a6f32a8797e3b9e9/rendering/04.obj", "12.1327610016")</f>
        <v>12.1327610016</v>
      </c>
      <c r="H1818" s="44" t="str">
        <f>HYPERLINK(AA2 &amp; "/mug/sn_ec846432f3ebedf0a6f32a8797e3b9e9/rendering/05.obj", "7.18317079544")</f>
        <v>7.18317079544</v>
      </c>
      <c r="I1818" s="79" t="str">
        <f>HYPERLINK(AA2 &amp; "/mug/sn_ec846432f3ebedf0a6f32a8797e3b9e9/rendering/06.obj", "7.50411176682")</f>
        <v>7.50411176682</v>
      </c>
      <c r="J1818" s="6" t="str">
        <f>HYPERLINK(AA2 &amp; "/mug/sn_ec846432f3ebedf0a6f32a8797e3b9e9/rendering/07.obj", "8.53093910217")</f>
        <v>8.53093910217</v>
      </c>
      <c r="K1818" s="91" t="str">
        <f>HYPERLINK(AA2 &amp; "/mug/sn_ec846432f3ebedf0a6f32a8797e3b9e9/rendering/08.obj", "9.17687702179")</f>
        <v>9.17687702179</v>
      </c>
      <c r="L1818" s="29" t="str">
        <f>HYPERLINK(AA2 &amp; "/mug/sn_ec846432f3ebedf0a6f32a8797e3b9e9/rendering/09.obj", "7.77172708511")</f>
        <v>7.77172708511</v>
      </c>
      <c r="M1818" s="36" t="str">
        <f>HYPERLINK(AA2 &amp; "/mug/sn_ec846432f3ebedf0a6f32a8797e3b9e9/rendering/10.obj", "7.00045108795")</f>
        <v>7.00045108795</v>
      </c>
      <c r="N1818" s="48" t="str">
        <f>HYPERLINK(AA2 &amp; "/mug/sn_ec846432f3ebedf0a6f32a8797e3b9e9/rendering/11.obj", "8.71909332275")</f>
        <v>8.71909332275</v>
      </c>
      <c r="O1818" s="120" t="str">
        <f>HYPERLINK(AA2 &amp; "/mug/sn_ec846432f3ebedf0a6f32a8797e3b9e9/rendering/12.obj", "10.8278884888")</f>
        <v>10.8278884888</v>
      </c>
      <c r="P1818" s="75" t="str">
        <f>HYPERLINK(AA2 &amp; "/mug/sn_ec846432f3ebedf0a6f32a8797e3b9e9/rendering/13.obj", "6.95831108093")</f>
        <v>6.95831108093</v>
      </c>
      <c r="Q1818" s="33" t="str">
        <f>HYPERLINK(AA2 &amp; "/mug/sn_ec846432f3ebedf0a6f32a8797e3b9e9/rendering/14.obj", "7.96280908585")</f>
        <v>7.96280908585</v>
      </c>
      <c r="R1818" s="221" t="str">
        <f>HYPERLINK(AA2 &amp; "/mug/sn_ec846432f3ebedf0a6f32a8797e3b9e9/rendering/15.obj", "13.9118909836")</f>
        <v>13.9118909836</v>
      </c>
      <c r="S1818" s="109" t="str">
        <f>HYPERLINK(AA2 &amp; "/mug/sn_ec846432f3ebedf0a6f32a8797e3b9e9/rendering/16.obj", "7.24826860428")</f>
        <v>7.24826860428</v>
      </c>
      <c r="T1818" s="39" t="str">
        <f>HYPERLINK(AA2 &amp; "/mug/sn_ec846432f3ebedf0a6f32a8797e3b9e9/rendering/17.obj", "8.15491962433")</f>
        <v>8.15491962433</v>
      </c>
      <c r="U1818" s="26" t="str">
        <f>HYPERLINK(AA2 &amp; "/mug/sn_ec846432f3ebedf0a6f32a8797e3b9e9/rendering/18.obj", "9.50781917572")</f>
        <v>9.50781917572</v>
      </c>
      <c r="V1818" s="67" t="str">
        <f>HYPERLINK(AA2 &amp; "/mug/sn_ec846432f3ebedf0a6f32a8797e3b9e9/rendering/19.obj", "9.76926136017")</f>
        <v>9.76926136017</v>
      </c>
      <c r="W1818" s="12" t="s">
        <v>30</v>
      </c>
      <c r="X1818" s="13">
        <v>8.9317928314208981</v>
      </c>
      <c r="Y1818" s="13">
        <v>1.8170969621819011</v>
      </c>
      <c r="Z1818" s="88">
        <v>0.20344145867217031</v>
      </c>
    </row>
    <row r="1819" spans="1:26" x14ac:dyDescent="0.2">
      <c r="A1819" s="1">
        <v>1817</v>
      </c>
      <c r="B1819" s="2" t="s">
        <v>396</v>
      </c>
      <c r="C1819" s="92" t="str">
        <f>HYPERLINK(AB2 &amp; "/mug/sn_ec846432f3ebedf0a6f32a8797e3b9e9/rendering/00.obj", "4.5401373291")</f>
        <v>4.5401373291</v>
      </c>
      <c r="D1819" s="10" t="str">
        <f>HYPERLINK(AB2 &amp; "/mug/sn_ec846432f3ebedf0a6f32a8797e3b9e9/rendering/01.obj", "4.26032043457")</f>
        <v>4.26032043457</v>
      </c>
      <c r="E1819" s="31" t="str">
        <f>HYPERLINK(AB2 &amp; "/mug/sn_ec846432f3ebedf0a6f32a8797e3b9e9/rendering/02.obj", "4.66996704102")</f>
        <v>4.66996704102</v>
      </c>
      <c r="F1819" s="73" t="str">
        <f>HYPERLINK(AB2 &amp; "/mug/sn_ec846432f3ebedf0a6f32a8797e3b9e9/rendering/03.obj", "3.88892822266")</f>
        <v>3.88892822266</v>
      </c>
      <c r="G1819" s="68" t="str">
        <f>HYPERLINK(AB2 &amp; "/mug/sn_ec846432f3ebedf0a6f32a8797e3b9e9/rendering/04.obj", "4.21151641846")</f>
        <v>4.21151641846</v>
      </c>
      <c r="H1819" s="91" t="str">
        <f>HYPERLINK(AB2 &amp; "/mug/sn_ec846432f3ebedf0a6f32a8797e3b9e9/rendering/05.obj", "3.93592773437")</f>
        <v>3.93592773437</v>
      </c>
      <c r="I1819" s="71" t="str">
        <f>HYPERLINK(AB2 &amp; "/mug/sn_ec846432f3ebedf0a6f32a8797e3b9e9/rendering/06.obj", "3.56687286377")</f>
        <v>3.56687286377</v>
      </c>
      <c r="J1819" s="60" t="str">
        <f>HYPERLINK(AB2 &amp; "/mug/sn_ec846432f3ebedf0a6f32a8797e3b9e9/rendering/07.obj", "3.82961151123")</f>
        <v>3.82961151123</v>
      </c>
      <c r="K1819" s="91" t="str">
        <f>HYPERLINK(AB2 &amp; "/mug/sn_ec846432f3ebedf0a6f32a8797e3b9e9/rendering/08.obj", "3.934168396")</f>
        <v>3.934168396</v>
      </c>
      <c r="L1819" s="47" t="str">
        <f>HYPERLINK(AB2 &amp; "/mug/sn_ec846432f3ebedf0a6f32a8797e3b9e9/rendering/09.obj", "4.00779876709")</f>
        <v>4.00779876709</v>
      </c>
      <c r="M1819" s="46" t="str">
        <f>HYPERLINK(AB2 &amp; "/mug/sn_ec846432f3ebedf0a6f32a8797e3b9e9/rendering/10.obj", "3.97079162598")</f>
        <v>3.97079162598</v>
      </c>
      <c r="N1819" s="67" t="str">
        <f>HYPERLINK(AB2 &amp; "/mug/sn_ec846432f3ebedf0a6f32a8797e3b9e9/rendering/11.obj", "3.66286254883")</f>
        <v>3.66286254883</v>
      </c>
      <c r="O1819" s="8" t="str">
        <f>HYPERLINK(AB2 &amp; "/mug/sn_ec846432f3ebedf0a6f32a8797e3b9e9/rendering/12.obj", "3.46431640625")</f>
        <v>3.46431640625</v>
      </c>
      <c r="P1819" s="23" t="str">
        <f>HYPERLINK(AB2 &amp; "/mug/sn_ec846432f3ebedf0a6f32a8797e3b9e9/rendering/13.obj", "3.87556213379")</f>
        <v>3.87556213379</v>
      </c>
      <c r="Q1819" s="84" t="str">
        <f>HYPERLINK(AB2 &amp; "/mug/sn_ec846432f3ebedf0a6f32a8797e3b9e9/rendering/14.obj", "4.63163024902")</f>
        <v>4.63163024902</v>
      </c>
      <c r="R1819" s="31" t="str">
        <f>HYPERLINK(AB2 &amp; "/mug/sn_ec846432f3ebedf0a6f32a8797e3b9e9/rendering/15.obj", "4.66755645752")</f>
        <v>4.66755645752</v>
      </c>
      <c r="S1819" s="91" t="str">
        <f>HYPERLINK(AB2 &amp; "/mug/sn_ec846432f3ebedf0a6f32a8797e3b9e9/rendering/16.obj", "3.92628051758")</f>
        <v>3.92628051758</v>
      </c>
      <c r="T1819" s="68" t="str">
        <f>HYPERLINK(AB2 &amp; "/mug/sn_ec846432f3ebedf0a6f32a8797e3b9e9/rendering/17.obj", "3.86888549805")</f>
        <v>3.86888549805</v>
      </c>
      <c r="U1819" s="73" t="str">
        <f>HYPERLINK(AB2 &amp; "/mug/sn_ec846432f3ebedf0a6f32a8797e3b9e9/rendering/18.obj", "3.90020385742")</f>
        <v>3.90020385742</v>
      </c>
      <c r="V1819" s="74" t="str">
        <f>HYPERLINK(AB2 &amp; "/mug/sn_ec846432f3ebedf0a6f32a8797e3b9e9/rendering/19.obj", "3.98163299561")</f>
        <v>3.98163299561</v>
      </c>
      <c r="W1819" s="12" t="s">
        <v>31</v>
      </c>
      <c r="X1819" s="13">
        <v>4.0397485504150392</v>
      </c>
      <c r="Y1819" s="13">
        <v>0.34303399178922339</v>
      </c>
      <c r="Z1819" s="39">
        <v>8.4914688998150772E-2</v>
      </c>
    </row>
    <row r="1820" spans="1:26" x14ac:dyDescent="0.2">
      <c r="A1820" s="1">
        <v>1818</v>
      </c>
      <c r="B1820" s="2" t="s">
        <v>396</v>
      </c>
      <c r="C1820" s="24" t="str">
        <f>HYPERLINK(AB2 &amp; "/mug/sn_ec846432f3ebedf0a6f32a8797e3b9e9/rendering/00.obj", "8.12100982666")</f>
        <v>8.12100982666</v>
      </c>
      <c r="D1820" s="47" t="str">
        <f>HYPERLINK(AB2 &amp; "/mug/sn_ec846432f3ebedf0a6f32a8797e3b9e9/rendering/01.obj", "6.90052270889")</f>
        <v>6.90052270889</v>
      </c>
      <c r="E1820" s="74" t="str">
        <f>HYPERLINK(AB2 &amp; "/mug/sn_ec846432f3ebedf0a6f32a8797e3b9e9/rendering/02.obj", "7.04855918884")</f>
        <v>7.04855918884</v>
      </c>
      <c r="F1820" s="25" t="str">
        <f>HYPERLINK(AB2 &amp; "/mug/sn_ec846432f3ebedf0a6f32a8797e3b9e9/rendering/03.obj", "6.88402414322")</f>
        <v>6.88402414322</v>
      </c>
      <c r="G1820" s="13" t="str">
        <f>HYPERLINK(AB2 &amp; "/mug/sn_ec846432f3ebedf0a6f32a8797e3b9e9/rendering/04.obj", "6.97329807281")</f>
        <v>6.97329807281</v>
      </c>
      <c r="H1820" s="17" t="str">
        <f>HYPERLINK(AB2 &amp; "/mug/sn_ec846432f3ebedf0a6f32a8797e3b9e9/rendering/05.obj", "6.8242559433")</f>
        <v>6.8242559433</v>
      </c>
      <c r="I1820" s="48" t="str">
        <f>HYPERLINK(AB2 &amp; "/mug/sn_ec846432f3ebedf0a6f32a8797e3b9e9/rendering/06.obj", "6.79822587967")</f>
        <v>6.79822587967</v>
      </c>
      <c r="J1820" s="17" t="str">
        <f>HYPERLINK(AB2 &amp; "/mug/sn_ec846432f3ebedf0a6f32a8797e3b9e9/rendering/07.obj", "6.81781578064")</f>
        <v>6.81781578064</v>
      </c>
      <c r="K1820" s="74" t="str">
        <f>HYPERLINK(AB2 &amp; "/mug/sn_ec846432f3ebedf0a6f32a8797e3b9e9/rendering/08.obj", "7.05731487274")</f>
        <v>7.05731487274</v>
      </c>
      <c r="L1820" s="74" t="str">
        <f>HYPERLINK(AB2 &amp; "/mug/sn_ec846432f3ebedf0a6f32a8797e3b9e9/rendering/09.obj", "6.85981321335")</f>
        <v>6.85981321335</v>
      </c>
      <c r="M1820" s="72" t="str">
        <f>HYPERLINK(AB2 &amp; "/mug/sn_ec846432f3ebedf0a6f32a8797e3b9e9/rendering/10.obj", "6.72016429901")</f>
        <v>6.72016429901</v>
      </c>
      <c r="N1820" s="6" t="str">
        <f>HYPERLINK(AB2 &amp; "/mug/sn_ec846432f3ebedf0a6f32a8797e3b9e9/rendering/11.obj", "6.63970947266")</f>
        <v>6.63970947266</v>
      </c>
      <c r="O1820" s="68" t="str">
        <f>HYPERLINK(AB2 &amp; "/mug/sn_ec846432f3ebedf0a6f32a8797e3b9e9/rendering/12.obj", "6.6563744545")</f>
        <v>6.6563744545</v>
      </c>
      <c r="P1820" s="68" t="str">
        <f>HYPERLINK(AB2 &amp; "/mug/sn_ec846432f3ebedf0a6f32a8797e3b9e9/rendering/13.obj", "6.66113233566")</f>
        <v>6.66113233566</v>
      </c>
      <c r="Q1820" s="13" t="str">
        <f>HYPERLINK(AB2 &amp; "/mug/sn_ec846432f3ebedf0a6f32a8797e3b9e9/rendering/14.obj", "6.9417424202")</f>
        <v>6.9417424202</v>
      </c>
      <c r="R1820" s="72" t="str">
        <f>HYPERLINK(AB2 &amp; "/mug/sn_ec846432f3ebedf0a6f32a8797e3b9e9/rendering/15.obj", "7.19895362854")</f>
        <v>7.19895362854</v>
      </c>
      <c r="S1820" s="23" t="str">
        <f>HYPERLINK(AB2 &amp; "/mug/sn_ec846432f3ebedf0a6f32a8797e3b9e9/rendering/16.obj", "7.22863531113")</f>
        <v>7.22863531113</v>
      </c>
      <c r="T1820" s="47" t="str">
        <f>HYPERLINK(AB2 &amp; "/mug/sn_ec846432f3ebedf0a6f32a8797e3b9e9/rendering/17.obj", "7.01941013336")</f>
        <v>7.01941013336</v>
      </c>
      <c r="U1820" s="73" t="str">
        <f>HYPERLINK(AB2 &amp; "/mug/sn_ec846432f3ebedf0a6f32a8797e3b9e9/rendering/18.obj", "7.20703125")</f>
        <v>7.20703125</v>
      </c>
      <c r="V1820" s="6" t="str">
        <f>HYPERLINK(AB2 &amp; "/mug/sn_ec846432f3ebedf0a6f32a8797e3b9e9/rendering/19.obj", "6.64848947525")</f>
        <v>6.64848947525</v>
      </c>
      <c r="W1820" s="12" t="s">
        <v>32</v>
      </c>
      <c r="X1820" s="13">
        <v>6.9603241205215456</v>
      </c>
      <c r="Y1820" s="13">
        <v>0.32267629768091349</v>
      </c>
      <c r="Z1820" s="6">
        <v>4.6359378111365167E-2</v>
      </c>
    </row>
    <row r="1821" spans="1:26" x14ac:dyDescent="0.2">
      <c r="A1821" s="1">
        <v>1819</v>
      </c>
      <c r="B1821" s="2" t="s">
        <v>396</v>
      </c>
      <c r="C1821" s="13" t="str">
        <f>HYPERLINK(AC2 &amp; "/mug/sn_ec846432f3ebedf0a6f32a8797e3b9e9/rendering/00.xyz", "0.0")</f>
        <v>0.0</v>
      </c>
      <c r="D1821" s="13" t="str">
        <f>HYPERLINK(AC2 &amp; "/mug/sn_ec846432f3ebedf0a6f32a8797e3b9e9/rendering/01.xyz", "0.0")</f>
        <v>0.0</v>
      </c>
      <c r="E1821" s="13" t="str">
        <f>HYPERLINK(AC2 &amp; "/mug/sn_ec846432f3ebedf0a6f32a8797e3b9e9/rendering/02.xyz", "0.0")</f>
        <v>0.0</v>
      </c>
      <c r="F1821" s="13" t="str">
        <f>HYPERLINK(AC2 &amp; "/mug/sn_ec846432f3ebedf0a6f32a8797e3b9e9/rendering/03.xyz", "0.0")</f>
        <v>0.0</v>
      </c>
      <c r="G1821" s="13" t="str">
        <f>HYPERLINK(AC2 &amp; "/mug/sn_ec846432f3ebedf0a6f32a8797e3b9e9/rendering/04.xyz", "0.0")</f>
        <v>0.0</v>
      </c>
      <c r="H1821" s="13" t="str">
        <f>HYPERLINK(AC2 &amp; "/mug/sn_ec846432f3ebedf0a6f32a8797e3b9e9/rendering/05.xyz", "0.0")</f>
        <v>0.0</v>
      </c>
      <c r="I1821" s="13" t="str">
        <f>HYPERLINK(AC2 &amp; "/mug/sn_ec846432f3ebedf0a6f32a8797e3b9e9/rendering/06.xyz", "0.0")</f>
        <v>0.0</v>
      </c>
      <c r="J1821" s="13" t="str">
        <f>HYPERLINK(AC2 &amp; "/mug/sn_ec846432f3ebedf0a6f32a8797e3b9e9/rendering/07.xyz", "0.0")</f>
        <v>0.0</v>
      </c>
      <c r="K1821" s="13" t="str">
        <f>HYPERLINK(AC2 &amp; "/mug/sn_ec846432f3ebedf0a6f32a8797e3b9e9/rendering/08.xyz", "0.0")</f>
        <v>0.0</v>
      </c>
      <c r="L1821" s="13" t="str">
        <f>HYPERLINK(AC2 &amp; "/mug/sn_ec846432f3ebedf0a6f32a8797e3b9e9/rendering/09.xyz", "0.0")</f>
        <v>0.0</v>
      </c>
      <c r="M1821" s="13" t="str">
        <f>HYPERLINK(AC2 &amp; "/mug/sn_ec846432f3ebedf0a6f32a8797e3b9e9/rendering/10.xyz", "0.0")</f>
        <v>0.0</v>
      </c>
      <c r="N1821" s="13" t="str">
        <f>HYPERLINK(AC2 &amp; "/mug/sn_ec846432f3ebedf0a6f32a8797e3b9e9/rendering/11.xyz", "0.0")</f>
        <v>0.0</v>
      </c>
      <c r="O1821" s="13" t="str">
        <f>HYPERLINK(AC2 &amp; "/mug/sn_ec846432f3ebedf0a6f32a8797e3b9e9/rendering/12.xyz", "0.0")</f>
        <v>0.0</v>
      </c>
      <c r="P1821" s="13" t="str">
        <f>HYPERLINK(AC2 &amp; "/mug/sn_ec846432f3ebedf0a6f32a8797e3b9e9/rendering/13.xyz", "0.0")</f>
        <v>0.0</v>
      </c>
      <c r="Q1821" s="13" t="str">
        <f>HYPERLINK(AC2 &amp; "/mug/sn_ec846432f3ebedf0a6f32a8797e3b9e9/rendering/14.xyz", "0.0")</f>
        <v>0.0</v>
      </c>
      <c r="R1821" s="13" t="str">
        <f>HYPERLINK(AC2 &amp; "/mug/sn_ec846432f3ebedf0a6f32a8797e3b9e9/rendering/15.xyz", "0.0")</f>
        <v>0.0</v>
      </c>
      <c r="S1821" s="13" t="str">
        <f>HYPERLINK(AC2 &amp; "/mug/sn_ec846432f3ebedf0a6f32a8797e3b9e9/rendering/16.xyz", "0.0")</f>
        <v>0.0</v>
      </c>
      <c r="T1821" s="13" t="str">
        <f>HYPERLINK(AC2 &amp; "/mug/sn_ec846432f3ebedf0a6f32a8797e3b9e9/rendering/17.xyz", "0.0")</f>
        <v>0.0</v>
      </c>
      <c r="U1821" s="13" t="str">
        <f>HYPERLINK(AC2 &amp; "/mug/sn_ec846432f3ebedf0a6f32a8797e3b9e9/rendering/18.xyz", "0.0")</f>
        <v>0.0</v>
      </c>
      <c r="V1821" s="13" t="str">
        <f>HYPERLINK(AC2 &amp; "/mug/sn_ec846432f3ebedf0a6f32a8797e3b9e9/rendering/19.xyz", "0.0")</f>
        <v>0.0</v>
      </c>
      <c r="W1821" s="12" t="s">
        <v>33</v>
      </c>
      <c r="X1821" s="13">
        <v>0</v>
      </c>
      <c r="Y1821" s="13">
        <v>0</v>
      </c>
      <c r="Z1821" s="13">
        <v>0</v>
      </c>
    </row>
    <row r="1822" spans="1:26" x14ac:dyDescent="0.2">
      <c r="A1822" s="1">
        <v>1820</v>
      </c>
      <c r="B1822" s="2" t="s">
        <v>397</v>
      </c>
      <c r="C1822" s="142" t="str">
        <f>HYPERLINK(AA2 &amp; "/mug/sn_eecb13f61a93b4048f58d8b19de93f99/rendering/00.obj", "4.03917480469")</f>
        <v>4.03917480469</v>
      </c>
      <c r="D1822" s="36" t="str">
        <f>HYPERLINK(AA2 &amp; "/mug/sn_eecb13f61a93b4048f58d8b19de93f99/rendering/01.obj", "5.22675109863")</f>
        <v>5.22675109863</v>
      </c>
      <c r="E1822" s="171" t="str">
        <f>HYPERLINK(AA2 &amp; "/mug/sn_eecb13f61a93b4048f58d8b19de93f99/rendering/02.obj", "8.71104309082")</f>
        <v>8.71104309082</v>
      </c>
      <c r="F1822" s="121" t="str">
        <f>HYPERLINK(AA2 &amp; "/mug/sn_eecb13f61a93b4048f58d8b19de93f99/rendering/03.obj", "4.31983459473")</f>
        <v>4.31983459473</v>
      </c>
      <c r="G1822" s="171" t="str">
        <f>HYPERLINK(AA2 &amp; "/mug/sn_eecb13f61a93b4048f58d8b19de93f99/rendering/04.obj", "4.62531005859")</f>
        <v>4.62531005859</v>
      </c>
      <c r="H1822" s="20" t="str">
        <f>HYPERLINK(AA2 &amp; "/mug/sn_eecb13f61a93b4048f58d8b19de93f99/rendering/05.obj", "16.7787036133")</f>
        <v>16.7787036133</v>
      </c>
      <c r="I1822" s="142" t="str">
        <f>HYPERLINK(AA2 &amp; "/mug/sn_eecb13f61a93b4048f58d8b19de93f99/rendering/06.obj", "4.05190734863")</f>
        <v>4.05190734863</v>
      </c>
      <c r="J1822" s="163" t="str">
        <f>HYPERLINK(AA2 &amp; "/mug/sn_eecb13f61a93b4048f58d8b19de93f99/rendering/07.obj", "3.72794128418")</f>
        <v>3.72794128418</v>
      </c>
      <c r="K1822" s="132" t="str">
        <f>HYPERLINK(AA2 &amp; "/mug/sn_eecb13f61a93b4048f58d8b19de93f99/rendering/08.obj", "3.86817199707")</f>
        <v>3.86817199707</v>
      </c>
      <c r="L1822" s="61" t="str">
        <f>HYPERLINK(AA2 &amp; "/mug/sn_eecb13f61a93b4048f58d8b19de93f99/rendering/09.obj", "8.67815856934")</f>
        <v>8.67815856934</v>
      </c>
      <c r="M1822" s="87" t="str">
        <f>HYPERLINK(AA2 &amp; "/mug/sn_eecb13f61a93b4048f58d8b19de93f99/rendering/10.obj", "8.18059265137")</f>
        <v>8.18059265137</v>
      </c>
      <c r="N1822" s="28" t="str">
        <f>HYPERLINK(AA2 &amp; "/mug/sn_eecb13f61a93b4048f58d8b19de93f99/rendering/11.obj", "5.93437011719")</f>
        <v>5.93437011719</v>
      </c>
      <c r="O1822" s="91" t="str">
        <f>HYPERLINK(AA2 &amp; "/mug/sn_eecb13f61a93b4048f58d8b19de93f99/rendering/12.obj", "6.48228515625")</f>
        <v>6.48228515625</v>
      </c>
      <c r="P1822" s="11" t="str">
        <f>HYPERLINK(AA2 &amp; "/mug/sn_eecb13f61a93b4048f58d8b19de93f99/rendering/13.obj", "8.16288024902")</f>
        <v>8.16288024902</v>
      </c>
      <c r="Q1822" s="130" t="str">
        <f>HYPERLINK(AA2 &amp; "/mug/sn_eecb13f61a93b4048f58d8b19de93f99/rendering/14.obj", "3.67457885742")</f>
        <v>3.67457885742</v>
      </c>
      <c r="R1822" s="138" t="str">
        <f>HYPERLINK(AA2 &amp; "/mug/sn_eecb13f61a93b4048f58d8b19de93f99/rendering/15.obj", "4.41338989258")</f>
        <v>4.41338989258</v>
      </c>
      <c r="S1822" s="96" t="str">
        <f>HYPERLINK(AA2 &amp; "/mug/sn_eecb13f61a93b4048f58d8b19de93f99/rendering/16.obj", "9.07568847656")</f>
        <v>9.07568847656</v>
      </c>
      <c r="T1822" s="58" t="str">
        <f>HYPERLINK(AA2 &amp; "/mug/sn_eecb13f61a93b4048f58d8b19de93f99/rendering/17.obj", "5.0422088623")</f>
        <v>5.0422088623</v>
      </c>
      <c r="U1822" s="190" t="str">
        <f>HYPERLINK(AA2 &amp; "/mug/sn_eecb13f61a93b4048f58d8b19de93f99/rendering/18.obj", "11.3106665039")</f>
        <v>11.3106665039</v>
      </c>
      <c r="V1822" s="78" t="str">
        <f>HYPERLINK(AA2 &amp; "/mug/sn_eecb13f61a93b4048f58d8b19de93f99/rendering/19.obj", "7.07521728516")</f>
        <v>7.07521728516</v>
      </c>
      <c r="W1822" s="12" t="s">
        <v>29</v>
      </c>
      <c r="X1822" s="13">
        <v>6.6689437255859394</v>
      </c>
      <c r="Y1822" s="13">
        <v>3.17601842244569</v>
      </c>
      <c r="Z1822" s="104">
        <v>0.47624009935196188</v>
      </c>
    </row>
    <row r="1823" spans="1:26" x14ac:dyDescent="0.2">
      <c r="A1823" s="1">
        <v>1821</v>
      </c>
      <c r="B1823" s="2" t="s">
        <v>397</v>
      </c>
      <c r="C1823" s="196" t="str">
        <f>HYPERLINK(AA2 &amp; "/mug/sn_eecb13f61a93b4048f58d8b19de93f99/rendering/00.obj", "7.93430662155")</f>
        <v>7.93430662155</v>
      </c>
      <c r="D1823" s="158" t="str">
        <f>HYPERLINK(AA2 &amp; "/mug/sn_eecb13f61a93b4048f58d8b19de93f99/rendering/01.obj", "7.74518299103")</f>
        <v>7.74518299103</v>
      </c>
      <c r="E1823" s="147" t="str">
        <f>HYPERLINK(AA2 &amp; "/mug/sn_eecb13f61a93b4048f58d8b19de93f99/rendering/02.obj", "19.5316734314")</f>
        <v>19.5316734314</v>
      </c>
      <c r="F1823" s="198" t="str">
        <f>HYPERLINK(AA2 &amp; "/mug/sn_eecb13f61a93b4048f58d8b19de93f99/rendering/03.obj", "8.04521179199")</f>
        <v>8.04521179199</v>
      </c>
      <c r="G1823" s="100" t="str">
        <f>HYPERLINK(AA2 &amp; "/mug/sn_eecb13f61a93b4048f58d8b19de93f99/rendering/04.obj", "9.19275474548")</f>
        <v>9.19275474548</v>
      </c>
      <c r="H1823" s="20" t="str">
        <f>HYPERLINK(AA2 &amp; "/mug/sn_eecb13f61a93b4048f58d8b19de93f99/rendering/05.obj", "51.273059845")</f>
        <v>51.273059845</v>
      </c>
      <c r="I1823" s="140" t="str">
        <f>HYPERLINK(AA2 &amp; "/mug/sn_eecb13f61a93b4048f58d8b19de93f99/rendering/06.obj", "8.57903671265")</f>
        <v>8.57903671265</v>
      </c>
      <c r="J1823" s="191" t="str">
        <f>HYPERLINK(AA2 &amp; "/mug/sn_eecb13f61a93b4048f58d8b19de93f99/rendering/07.obj", "7.17556619644")</f>
        <v>7.17556619644</v>
      </c>
      <c r="K1823" s="132" t="str">
        <f>HYPERLINK(AA2 &amp; "/mug/sn_eecb13f61a93b4048f58d8b19de93f99/rendering/08.obj", "7.6444311142")</f>
        <v>7.6444311142</v>
      </c>
      <c r="L1823" s="28" t="str">
        <f>HYPERLINK(AA2 &amp; "/mug/sn_eecb13f61a93b4048f58d8b19de93f99/rendering/09.obj", "14.6091985703")</f>
        <v>14.6091985703</v>
      </c>
      <c r="M1823" s="110" t="str">
        <f>HYPERLINK(AA2 &amp; "/mug/sn_eecb13f61a93b4048f58d8b19de93f99/rendering/10.obj", "11.8255910873")</f>
        <v>11.8255910873</v>
      </c>
      <c r="N1823" s="44" t="str">
        <f>HYPERLINK(AA2 &amp; "/mug/sn_eecb13f61a93b4048f58d8b19de93f99/rendering/11.obj", "10.5767564774")</f>
        <v>10.5767564774</v>
      </c>
      <c r="O1823" s="54" t="str">
        <f>HYPERLINK(AA2 &amp; "/mug/sn_eecb13f61a93b4048f58d8b19de93f99/rendering/12.obj", "8.83591365814")</f>
        <v>8.83591365814</v>
      </c>
      <c r="P1823" s="63" t="str">
        <f>HYPERLINK(AA2 &amp; "/mug/sn_eecb13f61a93b4048f58d8b19de93f99/rendering/13.obj", "14.7302589417")</f>
        <v>14.7302589417</v>
      </c>
      <c r="Q1823" s="144" t="str">
        <f>HYPERLINK(AA2 &amp; "/mug/sn_eecb13f61a93b4048f58d8b19de93f99/rendering/14.obj", "6.53155326843")</f>
        <v>6.53155326843</v>
      </c>
      <c r="R1823" s="168" t="str">
        <f>HYPERLINK(AA2 &amp; "/mug/sn_eecb13f61a93b4048f58d8b19de93f99/rendering/15.obj", "8.92740154266")</f>
        <v>8.92740154266</v>
      </c>
      <c r="S1823" s="25" t="str">
        <f>HYPERLINK(AA2 &amp; "/mug/sn_eecb13f61a93b4048f58d8b19de93f99/rendering/16.obj", "13.29002285")</f>
        <v>13.29002285</v>
      </c>
      <c r="T1823" s="14" t="str">
        <f>HYPERLINK(AA2 &amp; "/mug/sn_eecb13f61a93b4048f58d8b19de93f99/rendering/17.obj", "9.34242916107")</f>
        <v>9.34242916107</v>
      </c>
      <c r="U1823" s="20" t="str">
        <f>HYPERLINK(AA2 &amp; "/mug/sn_eecb13f61a93b4048f58d8b19de93f99/rendering/18.obj", "26.5311412811")</f>
        <v>26.5311412811</v>
      </c>
      <c r="V1823" s="120" t="str">
        <f>HYPERLINK(AA2 &amp; "/mug/sn_eecb13f61a93b4048f58d8b19de93f99/rendering/19.obj", "10.3633995056")</f>
        <v>10.3633995056</v>
      </c>
      <c r="W1823" s="12" t="s">
        <v>30</v>
      </c>
      <c r="X1823" s="13">
        <v>13.134244489669801</v>
      </c>
      <c r="Y1823" s="13">
        <v>9.9340485593600736</v>
      </c>
      <c r="Z1823" s="209">
        <v>0.75634716311039363</v>
      </c>
    </row>
    <row r="1824" spans="1:26" x14ac:dyDescent="0.2">
      <c r="A1824" s="1">
        <v>1822</v>
      </c>
      <c r="B1824" s="2" t="s">
        <v>397</v>
      </c>
      <c r="C1824" s="25" t="str">
        <f>HYPERLINK(AB2 &amp; "/mug/sn_eecb13f61a93b4048f58d8b19de93f99/rendering/00.obj", "4.24524017334")</f>
        <v>4.24524017334</v>
      </c>
      <c r="D1824" s="71" t="str">
        <f>HYPERLINK(AB2 &amp; "/mug/sn_eecb13f61a93b4048f58d8b19de93f99/rendering/01.obj", "3.7048223877")</f>
        <v>3.7048223877</v>
      </c>
      <c r="E1824" s="94" t="str">
        <f>HYPERLINK(AB2 &amp; "/mug/sn_eecb13f61a93b4048f58d8b19de93f99/rendering/02.obj", "4.50928161621")</f>
        <v>4.50928161621</v>
      </c>
      <c r="F1824" s="48" t="str">
        <f>HYPERLINK(AB2 &amp; "/mug/sn_eecb13f61a93b4048f58d8b19de93f99/rendering/03.obj", "4.29173370361")</f>
        <v>4.29173370361</v>
      </c>
      <c r="G1824" s="80" t="str">
        <f>HYPERLINK(AB2 &amp; "/mug/sn_eecb13f61a93b4048f58d8b19de93f99/rendering/04.obj", "3.57137268066")</f>
        <v>3.57137268066</v>
      </c>
      <c r="H1824" s="32" t="str">
        <f>HYPERLINK(AB2 &amp; "/mug/sn_eecb13f61a93b4048f58d8b19de93f99/rendering/05.obj", "3.75042907715")</f>
        <v>3.75042907715</v>
      </c>
      <c r="I1824" s="35" t="str">
        <f>HYPERLINK(AB2 &amp; "/mug/sn_eecb13f61a93b4048f58d8b19de93f99/rendering/06.obj", "3.95575927734")</f>
        <v>3.95575927734</v>
      </c>
      <c r="J1824" s="91" t="str">
        <f>HYPERLINK(AB2 &amp; "/mug/sn_eecb13f61a93b4048f58d8b19de93f99/rendering/07.obj", "4.30538269043")</f>
        <v>4.30538269043</v>
      </c>
      <c r="K1824" s="28" t="str">
        <f>HYPERLINK(AB2 &amp; "/mug/sn_eecb13f61a93b4048f58d8b19de93f99/rendering/08.obj", "3.7221282959")</f>
        <v>3.7221282959</v>
      </c>
      <c r="L1824" s="60" t="str">
        <f>HYPERLINK(AB2 &amp; "/mug/sn_eecb13f61a93b4048f58d8b19de93f99/rendering/09.obj", "3.98033325195")</f>
        <v>3.98033325195</v>
      </c>
      <c r="M1824" s="17" t="str">
        <f>HYPERLINK(AB2 &amp; "/mug/sn_eecb13f61a93b4048f58d8b19de93f99/rendering/10.obj", "4.10356384277")</f>
        <v>4.10356384277</v>
      </c>
      <c r="N1824" s="53" t="str">
        <f>HYPERLINK(AB2 &amp; "/mug/sn_eecb13f61a93b4048f58d8b19de93f99/rendering/11.obj", "5.92049804688")</f>
        <v>5.92049804688</v>
      </c>
      <c r="O1824" s="5" t="str">
        <f>HYPERLINK(AB2 &amp; "/mug/sn_eecb13f61a93b4048f58d8b19de93f99/rendering/12.obj", "3.87858673096")</f>
        <v>3.87858673096</v>
      </c>
      <c r="P1824" s="74" t="str">
        <f>HYPERLINK(AB2 &amp; "/mug/sn_eecb13f61a93b4048f58d8b19de93f99/rendering/13.obj", "4.24823608398")</f>
        <v>4.24823608398</v>
      </c>
      <c r="Q1824" s="26" t="str">
        <f>HYPERLINK(AB2 &amp; "/mug/sn_eecb13f61a93b4048f58d8b19de93f99/rendering/14.obj", "4.46508087158")</f>
        <v>4.46508087158</v>
      </c>
      <c r="R1824" s="10" t="str">
        <f>HYPERLINK(AB2 &amp; "/mug/sn_eecb13f61a93b4048f58d8b19de93f99/rendering/15.obj", "4.42082702637")</f>
        <v>4.42082702637</v>
      </c>
      <c r="S1824" s="74" t="str">
        <f>HYPERLINK(AB2 &amp; "/mug/sn_eecb13f61a93b4048f58d8b19de93f99/rendering/16.obj", "4.2543572998")</f>
        <v>4.2543572998</v>
      </c>
      <c r="T1824" s="60" t="str">
        <f>HYPERLINK(AB2 &amp; "/mug/sn_eecb13f61a93b4048f58d8b19de93f99/rendering/17.obj", "3.98382324219")</f>
        <v>3.98382324219</v>
      </c>
      <c r="U1824" s="42" t="str">
        <f>HYPERLINK(AB2 &amp; "/mug/sn_eecb13f61a93b4048f58d8b19de93f99/rendering/18.obj", "4.76148254395")</f>
        <v>4.76148254395</v>
      </c>
      <c r="V1824" s="38" t="str">
        <f>HYPERLINK(AB2 &amp; "/mug/sn_eecb13f61a93b4048f58d8b19de93f99/rendering/19.obj", "3.82371154785")</f>
        <v>3.82371154785</v>
      </c>
      <c r="W1824" s="12" t="s">
        <v>31</v>
      </c>
      <c r="X1824" s="13">
        <v>4.194832519531249</v>
      </c>
      <c r="Y1824" s="13">
        <v>0.49980324887233751</v>
      </c>
      <c r="Z1824" s="71">
        <v>0.11914736680075801</v>
      </c>
    </row>
    <row r="1825" spans="1:26" x14ac:dyDescent="0.2">
      <c r="A1825" s="1">
        <v>1823</v>
      </c>
      <c r="B1825" s="2" t="s">
        <v>397</v>
      </c>
      <c r="C1825" s="79" t="str">
        <f>HYPERLINK(AB2 &amp; "/mug/sn_eecb13f61a93b4048f58d8b19de93f99/rendering/00.obj", "5.73423957825")</f>
        <v>5.73423957825</v>
      </c>
      <c r="D1825" s="33" t="str">
        <f>HYPERLINK(AB2 &amp; "/mug/sn_eecb13f61a93b4048f58d8b19de93f99/rendering/01.obj", "6.05757284164")</f>
        <v>6.05757284164</v>
      </c>
      <c r="E1825" s="77" t="str">
        <f>HYPERLINK(AB2 &amp; "/mug/sn_eecb13f61a93b4048f58d8b19de93f99/rendering/02.obj", "8.07820320129")</f>
        <v>8.07820320129</v>
      </c>
      <c r="F1825" s="108" t="str">
        <f>HYPERLINK(AB2 &amp; "/mug/sn_eecb13f61a93b4048f58d8b19de93f99/rendering/03.obj", "8.47963905334")</f>
        <v>8.47963905334</v>
      </c>
      <c r="G1825" s="90" t="str">
        <f>HYPERLINK(AB2 &amp; "/mug/sn_eecb13f61a93b4048f58d8b19de93f99/rendering/04.obj", "6.15191984177")</f>
        <v>6.15191984177</v>
      </c>
      <c r="H1825" s="46" t="str">
        <f>HYPERLINK(AB2 &amp; "/mug/sn_eecb13f61a93b4048f58d8b19de93f99/rendering/05.obj", "6.90974998474")</f>
        <v>6.90974998474</v>
      </c>
      <c r="I1825" s="32" t="str">
        <f>HYPERLINK(AB2 &amp; "/mug/sn_eecb13f61a93b4048f58d8b19de93f99/rendering/06.obj", "6.08161973953")</f>
        <v>6.08161973953</v>
      </c>
      <c r="J1825" s="107" t="str">
        <f>HYPERLINK(AB2 &amp; "/mug/sn_eecb13f61a93b4048f58d8b19de93f99/rendering/07.obj", "6.2284078598")</f>
        <v>6.2284078598</v>
      </c>
      <c r="K1825" s="42" t="str">
        <f>HYPERLINK(AB2 &amp; "/mug/sn_eecb13f61a93b4048f58d8b19de93f99/rendering/08.obj", "5.87719345093")</f>
        <v>5.87719345093</v>
      </c>
      <c r="L1825" s="31" t="str">
        <f>HYPERLINK(AB2 &amp; "/mug/sn_eecb13f61a93b4048f58d8b19de93f99/rendering/09.obj", "5.73879051208")</f>
        <v>5.73879051208</v>
      </c>
      <c r="M1825" s="10" t="str">
        <f>HYPERLINK(AB2 &amp; "/mug/sn_eecb13f61a93b4048f58d8b19de93f99/rendering/10.obj", "6.42217874527")</f>
        <v>6.42217874527</v>
      </c>
      <c r="N1825" s="201" t="str">
        <f>HYPERLINK(AB2 &amp; "/mug/sn_eecb13f61a93b4048f58d8b19de93f99/rendering/11.obj", "10.7578210831")</f>
        <v>10.7578210831</v>
      </c>
      <c r="O1825" s="107" t="str">
        <f>HYPERLINK(AB2 &amp; "/mug/sn_eecb13f61a93b4048f58d8b19de93f99/rendering/12.obj", "6.23289728165")</f>
        <v>6.23289728165</v>
      </c>
      <c r="P1825" s="25" t="str">
        <f>HYPERLINK(AB2 &amp; "/mug/sn_eecb13f61a93b4048f58d8b19de93f99/rendering/13.obj", "6.73495101929")</f>
        <v>6.73495101929</v>
      </c>
      <c r="Q1825" s="63" t="str">
        <f>HYPERLINK(AB2 &amp; "/mug/sn_eecb13f61a93b4048f58d8b19de93f99/rendering/14.obj", "5.97790813446")</f>
        <v>5.97790813446</v>
      </c>
      <c r="R1825" s="34" t="str">
        <f>HYPERLINK(AB2 &amp; "/mug/sn_eecb13f61a93b4048f58d8b19de93f99/rendering/15.obj", "6.48151302338")</f>
        <v>6.48151302338</v>
      </c>
      <c r="S1825" s="133" t="str">
        <f>HYPERLINK(AB2 &amp; "/mug/sn_eecb13f61a93b4048f58d8b19de93f99/rendering/16.obj", "6.09920454025")</f>
        <v>6.09920454025</v>
      </c>
      <c r="T1825" s="39" t="str">
        <f>HYPERLINK(AB2 &amp; "/mug/sn_eecb13f61a93b4048f58d8b19de93f99/rendering/17.obj", "7.394135952")</f>
        <v>7.394135952</v>
      </c>
      <c r="U1825" s="172" t="str">
        <f>HYPERLINK(AB2 &amp; "/mug/sn_eecb13f61a93b4048f58d8b19de93f99/rendering/18.obj", "9.41776847839")</f>
        <v>9.41776847839</v>
      </c>
      <c r="V1825" s="136" t="str">
        <f>HYPERLINK(AB2 &amp; "/mug/sn_eecb13f61a93b4048f58d8b19de93f99/rendering/19.obj", "5.20006036758")</f>
        <v>5.20006036758</v>
      </c>
      <c r="W1825" s="12" t="s">
        <v>32</v>
      </c>
      <c r="X1825" s="13">
        <v>6.8027887344360352</v>
      </c>
      <c r="Y1825" s="13">
        <v>1.35205935042363</v>
      </c>
      <c r="Z1825" s="50">
        <v>0.19875074814236729</v>
      </c>
    </row>
    <row r="1826" spans="1:26" x14ac:dyDescent="0.2">
      <c r="A1826" s="1">
        <v>1824</v>
      </c>
      <c r="B1826" s="2" t="s">
        <v>397</v>
      </c>
      <c r="C1826" s="13" t="str">
        <f>HYPERLINK(AC2 &amp; "/mug/sn_eecb13f61a93b4048f58d8b19de93f99/rendering/00.xyz", "0.0")</f>
        <v>0.0</v>
      </c>
      <c r="D1826" s="13" t="str">
        <f>HYPERLINK(AC2 &amp; "/mug/sn_eecb13f61a93b4048f58d8b19de93f99/rendering/01.xyz", "0.0")</f>
        <v>0.0</v>
      </c>
      <c r="E1826" s="13" t="str">
        <f>HYPERLINK(AC2 &amp; "/mug/sn_eecb13f61a93b4048f58d8b19de93f99/rendering/02.xyz", "0.0")</f>
        <v>0.0</v>
      </c>
      <c r="F1826" s="13" t="str">
        <f>HYPERLINK(AC2 &amp; "/mug/sn_eecb13f61a93b4048f58d8b19de93f99/rendering/03.xyz", "0.0")</f>
        <v>0.0</v>
      </c>
      <c r="G1826" s="13" t="str">
        <f>HYPERLINK(AC2 &amp; "/mug/sn_eecb13f61a93b4048f58d8b19de93f99/rendering/04.xyz", "0.0")</f>
        <v>0.0</v>
      </c>
      <c r="H1826" s="13" t="str">
        <f>HYPERLINK(AC2 &amp; "/mug/sn_eecb13f61a93b4048f58d8b19de93f99/rendering/05.xyz", "0.0")</f>
        <v>0.0</v>
      </c>
      <c r="I1826" s="13" t="str">
        <f>HYPERLINK(AC2 &amp; "/mug/sn_eecb13f61a93b4048f58d8b19de93f99/rendering/06.xyz", "0.0")</f>
        <v>0.0</v>
      </c>
      <c r="J1826" s="13" t="str">
        <f>HYPERLINK(AC2 &amp; "/mug/sn_eecb13f61a93b4048f58d8b19de93f99/rendering/07.xyz", "0.0")</f>
        <v>0.0</v>
      </c>
      <c r="K1826" s="13" t="str">
        <f>HYPERLINK(AC2 &amp; "/mug/sn_eecb13f61a93b4048f58d8b19de93f99/rendering/08.xyz", "0.0")</f>
        <v>0.0</v>
      </c>
      <c r="L1826" s="13" t="str">
        <f>HYPERLINK(AC2 &amp; "/mug/sn_eecb13f61a93b4048f58d8b19de93f99/rendering/09.xyz", "0.0")</f>
        <v>0.0</v>
      </c>
      <c r="M1826" s="13" t="str">
        <f>HYPERLINK(AC2 &amp; "/mug/sn_eecb13f61a93b4048f58d8b19de93f99/rendering/10.xyz", "0.0")</f>
        <v>0.0</v>
      </c>
      <c r="N1826" s="13" t="str">
        <f>HYPERLINK(AC2 &amp; "/mug/sn_eecb13f61a93b4048f58d8b19de93f99/rendering/11.xyz", "0.0")</f>
        <v>0.0</v>
      </c>
      <c r="O1826" s="13" t="str">
        <f>HYPERLINK(AC2 &amp; "/mug/sn_eecb13f61a93b4048f58d8b19de93f99/rendering/12.xyz", "0.0")</f>
        <v>0.0</v>
      </c>
      <c r="P1826" s="13" t="str">
        <f>HYPERLINK(AC2 &amp; "/mug/sn_eecb13f61a93b4048f58d8b19de93f99/rendering/13.xyz", "0.0")</f>
        <v>0.0</v>
      </c>
      <c r="Q1826" s="13" t="str">
        <f>HYPERLINK(AC2 &amp; "/mug/sn_eecb13f61a93b4048f58d8b19de93f99/rendering/14.xyz", "0.0")</f>
        <v>0.0</v>
      </c>
      <c r="R1826" s="13" t="str">
        <f>HYPERLINK(AC2 &amp; "/mug/sn_eecb13f61a93b4048f58d8b19de93f99/rendering/15.xyz", "0.0")</f>
        <v>0.0</v>
      </c>
      <c r="S1826" s="13" t="str">
        <f>HYPERLINK(AC2 &amp; "/mug/sn_eecb13f61a93b4048f58d8b19de93f99/rendering/16.xyz", "0.0")</f>
        <v>0.0</v>
      </c>
      <c r="T1826" s="13" t="str">
        <f>HYPERLINK(AC2 &amp; "/mug/sn_eecb13f61a93b4048f58d8b19de93f99/rendering/17.xyz", "0.0")</f>
        <v>0.0</v>
      </c>
      <c r="U1826" s="13" t="str">
        <f>HYPERLINK(AC2 &amp; "/mug/sn_eecb13f61a93b4048f58d8b19de93f99/rendering/18.xyz", "0.0")</f>
        <v>0.0</v>
      </c>
      <c r="V1826" s="13" t="str">
        <f>HYPERLINK(AC2 &amp; "/mug/sn_eecb13f61a93b4048f58d8b19de93f99/rendering/19.xyz", "0.0")</f>
        <v>0.0</v>
      </c>
      <c r="W1826" s="12" t="s">
        <v>33</v>
      </c>
      <c r="X1826" s="13">
        <v>0</v>
      </c>
      <c r="Y1826" s="13">
        <v>0</v>
      </c>
      <c r="Z1826" s="13">
        <v>0</v>
      </c>
    </row>
    <row r="1827" spans="1:26" x14ac:dyDescent="0.2">
      <c r="A1827" s="1">
        <v>1825</v>
      </c>
      <c r="B1827" s="2" t="s">
        <v>398</v>
      </c>
      <c r="C1827" s="60" t="str">
        <f>HYPERLINK(AA2 &amp; "/mug/sn_ef24c302911bcde6ea6ff2182dd34668/rendering/00.obj", "10.099197998")</f>
        <v>10.099197998</v>
      </c>
      <c r="D1827" s="40" t="str">
        <f>HYPERLINK(AA2 &amp; "/mug/sn_ef24c302911bcde6ea6ff2182dd34668/rendering/01.obj", "7.96264404297")</f>
        <v>7.96264404297</v>
      </c>
      <c r="E1827" s="60" t="str">
        <f>HYPERLINK(AA2 &amp; "/mug/sn_ef24c302911bcde6ea6ff2182dd34668/rendering/02.obj", "9.10813415527")</f>
        <v>9.10813415527</v>
      </c>
      <c r="F1827" s="27" t="str">
        <f>HYPERLINK(AA2 &amp; "/mug/sn_ef24c302911bcde6ea6ff2182dd34668/rendering/03.obj", "8.92906860352")</f>
        <v>8.92906860352</v>
      </c>
      <c r="G1827" s="42" t="str">
        <f>HYPERLINK(AA2 &amp; "/mug/sn_ef24c302911bcde6ea6ff2182dd34668/rendering/04.obj", "10.9241760254")</f>
        <v>10.9241760254</v>
      </c>
      <c r="H1827" s="93" t="str">
        <f>HYPERLINK(AA2 &amp; "/mug/sn_ef24c302911bcde6ea6ff2182dd34668/rendering/05.obj", "8.28146606445")</f>
        <v>8.28146606445</v>
      </c>
      <c r="I1827" s="5" t="str">
        <f>HYPERLINK(AA2 &amp; "/mug/sn_ef24c302911bcde6ea6ff2182dd34668/rendering/06.obj", "8.8838470459")</f>
        <v>8.8838470459</v>
      </c>
      <c r="J1827" s="68" t="str">
        <f>HYPERLINK(AA2 &amp; "/mug/sn_ef24c302911bcde6ea6ff2182dd34668/rendering/07.obj", "9.21515930176")</f>
        <v>9.21515930176</v>
      </c>
      <c r="K1827" s="78" t="str">
        <f>HYPERLINK(AA2 &amp; "/mug/sn_ef24c302911bcde6ea6ff2182dd34668/rendering/08.obj", "9.02327148437")</f>
        <v>9.02327148437</v>
      </c>
      <c r="L1827" s="91" t="str">
        <f>HYPERLINK(AA2 &amp; "/mug/sn_ef24c302911bcde6ea6ff2182dd34668/rendering/09.obj", "9.34577880859")</f>
        <v>9.34577880859</v>
      </c>
      <c r="M1827" s="133" t="str">
        <f>HYPERLINK(AA2 &amp; "/mug/sn_ef24c302911bcde6ea6ff2182dd34668/rendering/10.obj", "10.5796118164")</f>
        <v>10.5796118164</v>
      </c>
      <c r="N1827" s="84" t="str">
        <f>HYPERLINK(AA2 &amp; "/mug/sn_ef24c302911bcde6ea6ff2182dd34668/rendering/11.obj", "11.0007629395")</f>
        <v>11.0007629395</v>
      </c>
      <c r="O1827" s="39" t="str">
        <f>HYPERLINK(AA2 &amp; "/mug/sn_ef24c302911bcde6ea6ff2182dd34668/rendering/12.obj", "10.4507727051")</f>
        <v>10.4507727051</v>
      </c>
      <c r="P1827" s="91" t="str">
        <f>HYPERLINK(AA2 &amp; "/mug/sn_ef24c302911bcde6ea6ff2182dd34668/rendering/13.obj", "9.36792053223")</f>
        <v>9.36792053223</v>
      </c>
      <c r="Q1827" s="77" t="str">
        <f>HYPERLINK(AA2 &amp; "/mug/sn_ef24c302911bcde6ea6ff2182dd34668/rendering/14.obj", "7.80937255859")</f>
        <v>7.80937255859</v>
      </c>
      <c r="R1827" s="93" t="str">
        <f>HYPERLINK(AA2 &amp; "/mug/sn_ef24c302911bcde6ea6ff2182dd34668/rendering/15.obj", "8.26067260742")</f>
        <v>8.26067260742</v>
      </c>
      <c r="S1827" s="90" t="str">
        <f>HYPERLINK(AA2 &amp; "/mug/sn_ef24c302911bcde6ea6ff2182dd34668/rendering/16.obj", "8.67963989258")</f>
        <v>8.67963989258</v>
      </c>
      <c r="T1827" s="137" t="str">
        <f>HYPERLINK(AA2 &amp; "/mug/sn_ef24c302911bcde6ea6ff2182dd34668/rendering/17.obj", "13.1169750977")</f>
        <v>13.1169750977</v>
      </c>
      <c r="U1827" s="110" t="str">
        <f>HYPERLINK(AA2 &amp; "/mug/sn_ef24c302911bcde6ea6ff2182dd34668/rendering/18.obj", "10.5516967773")</f>
        <v>10.5516967773</v>
      </c>
      <c r="V1827" s="33" t="str">
        <f>HYPERLINK(AA2 &amp; "/mug/sn_ef24c302911bcde6ea6ff2182dd34668/rendering/19.obj", "10.6461584473")</f>
        <v>10.6461584473</v>
      </c>
      <c r="W1827" s="12" t="s">
        <v>29</v>
      </c>
      <c r="X1827" s="13">
        <v>9.6118163452148444</v>
      </c>
      <c r="Y1827" s="13">
        <v>1.266601034472375</v>
      </c>
      <c r="Z1827" s="65">
        <v>0.13177540945244351</v>
      </c>
    </row>
    <row r="1828" spans="1:26" x14ac:dyDescent="0.2">
      <c r="A1828" s="1">
        <v>1826</v>
      </c>
      <c r="B1828" s="2" t="s">
        <v>398</v>
      </c>
      <c r="C1828" s="5" t="str">
        <f>HYPERLINK(AA2 &amp; "/mug/sn_ef24c302911bcde6ea6ff2182dd34668/rendering/00.obj", "22.4522476196")</f>
        <v>22.4522476196</v>
      </c>
      <c r="D1828" s="124" t="str">
        <f>HYPERLINK(AA2 &amp; "/mug/sn_ef24c302911bcde6ea6ff2182dd34668/rendering/01.obj", "12.9266757965")</f>
        <v>12.9266757965</v>
      </c>
      <c r="E1828" s="59" t="str">
        <f>HYPERLINK(AA2 &amp; "/mug/sn_ef24c302911bcde6ea6ff2182dd34668/rendering/02.obj", "15.8737697601")</f>
        <v>15.8737697601</v>
      </c>
      <c r="F1828" s="25" t="str">
        <f>HYPERLINK(AA2 &amp; "/mug/sn_ef24c302911bcde6ea6ff2182dd34668/rendering/03.obj", "21.0948085785")</f>
        <v>21.0948085785</v>
      </c>
      <c r="G1828" s="14" t="str">
        <f>HYPERLINK(AA2 &amp; "/mug/sn_ef24c302911bcde6ea6ff2182dd34668/rendering/04.obj", "26.8801116943")</f>
        <v>26.8801116943</v>
      </c>
      <c r="H1828" s="36" t="str">
        <f>HYPERLINK(AA2 &amp; "/mug/sn_ef24c302911bcde6ea6ff2182dd34668/rendering/05.obj", "16.3849258423")</f>
        <v>16.3849258423</v>
      </c>
      <c r="I1828" s="93" t="str">
        <f>HYPERLINK(AA2 &amp; "/mug/sn_ef24c302911bcde6ea6ff2182dd34668/rendering/06.obj", "17.9091682434")</f>
        <v>17.9091682434</v>
      </c>
      <c r="J1828" s="77" t="str">
        <f>HYPERLINK(AA2 &amp; "/mug/sn_ef24c302911bcde6ea6ff2182dd34668/rendering/07.obj", "16.9909439087")</f>
        <v>16.9909439087</v>
      </c>
      <c r="K1828" s="27" t="str">
        <f>HYPERLINK(AA2 &amp; "/mug/sn_ef24c302911bcde6ea6ff2182dd34668/rendering/08.obj", "19.3570976257")</f>
        <v>19.3570976257</v>
      </c>
      <c r="L1828" s="5" t="str">
        <f>HYPERLINK(AA2 &amp; "/mug/sn_ef24c302911bcde6ea6ff2182dd34668/rendering/09.obj", "22.4519138336")</f>
        <v>22.4519138336</v>
      </c>
      <c r="M1828" s="80" t="str">
        <f>HYPERLINK(AA2 &amp; "/mug/sn_ef24c302911bcde6ea6ff2182dd34668/rendering/10.obj", "23.9657001495")</f>
        <v>23.9657001495</v>
      </c>
      <c r="N1828" s="14" t="str">
        <f>HYPERLINK(AA2 &amp; "/mug/sn_ef24c302911bcde6ea6ff2182dd34668/rendering/11.obj", "26.8989906311")</f>
        <v>26.8989906311</v>
      </c>
      <c r="O1828" s="83" t="str">
        <f>HYPERLINK(AA2 &amp; "/mug/sn_ef24c302911bcde6ea6ff2182dd34668/rendering/12.obj", "23.9971981049")</f>
        <v>23.9971981049</v>
      </c>
      <c r="P1828" s="67" t="str">
        <f>HYPERLINK(AA2 &amp; "/mug/sn_ef24c302911bcde6ea6ff2182dd34668/rendering/13.obj", "18.8969459534")</f>
        <v>18.8969459534</v>
      </c>
      <c r="Q1828" s="54" t="str">
        <f>HYPERLINK(AA2 &amp; "/mug/sn_ef24c302911bcde6ea6ff2182dd34668/rendering/14.obj", "14.0379734039")</f>
        <v>14.0379734039</v>
      </c>
      <c r="R1828" s="170" t="str">
        <f>HYPERLINK(AA2 &amp; "/mug/sn_ef24c302911bcde6ea6ff2182dd34668/rendering/15.obj", "15.609454155")</f>
        <v>15.609454155</v>
      </c>
      <c r="S1828" s="70" t="str">
        <f>HYPERLINK(AA2 &amp; "/mug/sn_ef24c302911bcde6ea6ff2182dd34668/rendering/16.obj", "18.2307510376")</f>
        <v>18.2307510376</v>
      </c>
      <c r="T1828" s="245" t="str">
        <f>HYPERLINK(AA2 &amp; "/mug/sn_ef24c302911bcde6ea6ff2182dd34668/rendering/17.obj", "35.8570251465")</f>
        <v>35.8570251465</v>
      </c>
      <c r="U1828" s="71" t="str">
        <f>HYPERLINK(AA2 &amp; "/mug/sn_ef24c302911bcde6ea6ff2182dd34668/rendering/18.obj", "23.3264751434")</f>
        <v>23.3264751434</v>
      </c>
      <c r="V1828" s="84" t="str">
        <f>HYPERLINK(AA2 &amp; "/mug/sn_ef24c302911bcde6ea6ff2182dd34668/rendering/19.obj", "23.8755645752")</f>
        <v>23.8755645752</v>
      </c>
      <c r="W1828" s="12" t="s">
        <v>30</v>
      </c>
      <c r="X1828" s="13">
        <v>20.850887060165409</v>
      </c>
      <c r="Y1828" s="13">
        <v>5.2727900063563764</v>
      </c>
      <c r="Z1828" s="170">
        <v>0.25288084824121382</v>
      </c>
    </row>
    <row r="1829" spans="1:26" x14ac:dyDescent="0.2">
      <c r="A1829" s="1">
        <v>1827</v>
      </c>
      <c r="B1829" s="2" t="s">
        <v>398</v>
      </c>
      <c r="C1829" s="25" t="str">
        <f>HYPERLINK(AB2 &amp; "/mug/sn_ef24c302911bcde6ea6ff2182dd34668/rendering/00.obj", "8.12396179199")</f>
        <v>8.12396179199</v>
      </c>
      <c r="D1829" s="80" t="str">
        <f>HYPERLINK(AB2 &amp; "/mug/sn_ef24c302911bcde6ea6ff2182dd34668/rendering/01.obj", "6.82835632324")</f>
        <v>6.82835632324</v>
      </c>
      <c r="E1829" s="50" t="str">
        <f>HYPERLINK(AB2 &amp; "/mug/sn_ef24c302911bcde6ea6ff2182dd34668/rendering/02.obj", "6.43465820313")</f>
        <v>6.43465820313</v>
      </c>
      <c r="F1829" s="92" t="str">
        <f>HYPERLINK(AB2 &amp; "/mug/sn_ef24c302911bcde6ea6ff2182dd34668/rendering/03.obj", "9.01157958984")</f>
        <v>9.01157958984</v>
      </c>
      <c r="G1829" s="13" t="str">
        <f>HYPERLINK(AB2 &amp; "/mug/sn_ef24c302911bcde6ea6ff2182dd34668/rendering/04.obj", "8.01845092773")</f>
        <v>8.01845092773</v>
      </c>
      <c r="H1829" s="39" t="str">
        <f>HYPERLINK(AB2 &amp; "/mug/sn_ef24c302911bcde6ea6ff2182dd34668/rendering/05.obj", "7.32349609375")</f>
        <v>7.32349609375</v>
      </c>
      <c r="I1829" s="129" t="str">
        <f>HYPERLINK(AB2 &amp; "/mug/sn_ef24c302911bcde6ea6ff2182dd34668/rendering/06.obj", "10.0355218506")</f>
        <v>10.0355218506</v>
      </c>
      <c r="J1829" s="90" t="str">
        <f>HYPERLINK(AB2 &amp; "/mug/sn_ef24c302911bcde6ea6ff2182dd34668/rendering/07.obj", "7.24893676758")</f>
        <v>7.24893676758</v>
      </c>
      <c r="K1829" s="171" t="str">
        <f>HYPERLINK(AB2 &amp; "/mug/sn_ef24c302911bcde6ea6ff2182dd34668/rendering/08.obj", "10.476817627")</f>
        <v>10.476817627</v>
      </c>
      <c r="L1829" s="88" t="str">
        <f>HYPERLINK(AB2 &amp; "/mug/sn_ef24c302911bcde6ea6ff2182dd34668/rendering/09.obj", "9.64155029297")</f>
        <v>9.64155029297</v>
      </c>
      <c r="M1829" s="30" t="str">
        <f>HYPERLINK(AB2 &amp; "/mug/sn_ef24c302911bcde6ea6ff2182dd34668/rendering/10.obj", "8.06026367188")</f>
        <v>8.06026367188</v>
      </c>
      <c r="N1829" s="78" t="str">
        <f>HYPERLINK(AB2 &amp; "/mug/sn_ef24c302911bcde6ea6ff2182dd34668/rendering/11.obj", "7.54127685547")</f>
        <v>7.54127685547</v>
      </c>
      <c r="O1829" s="60" t="str">
        <f>HYPERLINK(AB2 &amp; "/mug/sn_ef24c302911bcde6ea6ff2182dd34668/rendering/12.obj", "8.44125244141")</f>
        <v>8.44125244141</v>
      </c>
      <c r="P1829" s="8" t="str">
        <f>HYPERLINK(AB2 &amp; "/mug/sn_ef24c302911bcde6ea6ff2182dd34668/rendering/13.obj", "9.16227661133")</f>
        <v>9.16227661133</v>
      </c>
      <c r="Q1829" s="26" t="str">
        <f>HYPERLINK(AB2 &amp; "/mug/sn_ef24c302911bcde6ea6ff2182dd34668/rendering/14.obj", "7.51887451172")</f>
        <v>7.51887451172</v>
      </c>
      <c r="R1829" s="75" t="str">
        <f>HYPERLINK(AB2 &amp; "/mug/sn_ef24c302911bcde6ea6ff2182dd34668/rendering/15.obj", "6.25492919922")</f>
        <v>6.25492919922</v>
      </c>
      <c r="S1829" s="71" t="str">
        <f>HYPERLINK(AB2 &amp; "/mug/sn_ef24c302911bcde6ea6ff2182dd34668/rendering/16.obj", "8.97156738281")</f>
        <v>8.97156738281</v>
      </c>
      <c r="T1829" s="40" t="str">
        <f>HYPERLINK(AB2 &amp; "/mug/sn_ef24c302911bcde6ea6ff2182dd34668/rendering/17.obj", "6.65727722168")</f>
        <v>6.65727722168</v>
      </c>
      <c r="U1829" s="47" t="str">
        <f>HYPERLINK(AB2 &amp; "/mug/sn_ef24c302911bcde6ea6ff2182dd34668/rendering/18.obj", "7.95699584961")</f>
        <v>7.95699584961</v>
      </c>
      <c r="V1829" s="83" t="str">
        <f>HYPERLINK(AB2 &amp; "/mug/sn_ef24c302911bcde6ea6ff2182dd34668/rendering/19.obj", "6.79526245117")</f>
        <v>6.79526245117</v>
      </c>
      <c r="W1829" s="12" t="s">
        <v>31</v>
      </c>
      <c r="X1829" s="13">
        <v>8.0251652832031262</v>
      </c>
      <c r="Y1829" s="13">
        <v>1.184911105320027</v>
      </c>
      <c r="Z1829" s="80">
        <v>0.14764943318987789</v>
      </c>
    </row>
    <row r="1830" spans="1:26" x14ac:dyDescent="0.2">
      <c r="A1830" s="1">
        <v>1828</v>
      </c>
      <c r="B1830" s="2" t="s">
        <v>398</v>
      </c>
      <c r="C1830" s="98" t="str">
        <f>HYPERLINK(AB2 &amp; "/mug/sn_ef24c302911bcde6ea6ff2182dd34668/rendering/00.obj", "10.8130874634")</f>
        <v>10.8130874634</v>
      </c>
      <c r="D1830" s="170" t="str">
        <f>HYPERLINK(AB2 &amp; "/mug/sn_ef24c302911bcde6ea6ff2182dd34668/rendering/01.obj", "10.5090761185")</f>
        <v>10.5090761185</v>
      </c>
      <c r="E1830" s="116" t="str">
        <f>HYPERLINK(AB2 &amp; "/mug/sn_ef24c302911bcde6ea6ff2182dd34668/rendering/02.obj", "7.92869710922")</f>
        <v>7.92869710922</v>
      </c>
      <c r="F1830" s="50" t="str">
        <f>HYPERLINK(AB2 &amp; "/mug/sn_ef24c302911bcde6ea6ff2182dd34668/rendering/03.obj", "11.2907619476")</f>
        <v>11.2907619476</v>
      </c>
      <c r="G1830" s="80" t="str">
        <f>HYPERLINK(AB2 &amp; "/mug/sn_ef24c302911bcde6ea6ff2182dd34668/rendering/04.obj", "16.1675720215")</f>
        <v>16.1675720215</v>
      </c>
      <c r="H1830" s="110" t="str">
        <f>HYPERLINK(AB2 &amp; "/mug/sn_ef24c302911bcde6ea6ff2182dd34668/rendering/05.obj", "12.6930875778")</f>
        <v>12.6930875778</v>
      </c>
      <c r="I1830" s="184" t="str">
        <f>HYPERLINK(AB2 &amp; "/mug/sn_ef24c302911bcde6ea6ff2182dd34668/rendering/06.obj", "24.4074420929")</f>
        <v>24.4074420929</v>
      </c>
      <c r="J1830" s="49" t="str">
        <f>HYPERLINK(AB2 &amp; "/mug/sn_ef24c302911bcde6ea6ff2182dd34668/rendering/07.obj", "11.1360750198")</f>
        <v>11.1360750198</v>
      </c>
      <c r="K1830" s="20" t="str">
        <f>HYPERLINK(AB2 &amp; "/mug/sn_ef24c302911bcde6ea6ff2182dd34668/rendering/08.obj", "26.0792636871")</f>
        <v>26.0792636871</v>
      </c>
      <c r="L1830" s="246" t="str">
        <f>HYPERLINK(AB2 &amp; "/mug/sn_ef24c302911bcde6ea6ff2182dd34668/rendering/09.obj", "22.6733646393")</f>
        <v>22.6733646393</v>
      </c>
      <c r="M1830" s="14" t="str">
        <f>HYPERLINK(AB2 &amp; "/mug/sn_ef24c302911bcde6ea6ff2182dd34668/rendering/10.obj", "9.98438262939")</f>
        <v>9.98438262939</v>
      </c>
      <c r="N1830" s="170" t="str">
        <f>HYPERLINK(AB2 &amp; "/mug/sn_ef24c302911bcde6ea6ff2182dd34668/rendering/11.obj", "10.5034303665")</f>
        <v>10.5034303665</v>
      </c>
      <c r="O1830" s="11" t="str">
        <f>HYPERLINK(AB2 &amp; "/mug/sn_ef24c302911bcde6ea6ff2182dd34668/rendering/12.obj", "10.9159545898")</f>
        <v>10.9159545898</v>
      </c>
      <c r="P1830" s="124" t="str">
        <f>HYPERLINK(AB2 &amp; "/mug/sn_ef24c302911bcde6ea6ff2182dd34668/rendering/13.obj", "19.4542732239")</f>
        <v>19.4542732239</v>
      </c>
      <c r="Q1830" s="6" t="str">
        <f>HYPERLINK(AB2 &amp; "/mug/sn_ef24c302911bcde6ea6ff2182dd34668/rendering/14.obj", "13.4150571823")</f>
        <v>13.4150571823</v>
      </c>
      <c r="R1830" s="159" t="str">
        <f>HYPERLINK(AB2 &amp; "/mug/sn_ef24c302911bcde6ea6ff2182dd34668/rendering/15.obj", "7.47550392151")</f>
        <v>7.47550392151</v>
      </c>
      <c r="S1830" s="125" t="str">
        <f>HYPERLINK(AB2 &amp; "/mug/sn_ef24c302911bcde6ea6ff2182dd34668/rendering/16.obj", "24.0589027405")</f>
        <v>24.0589027405</v>
      </c>
      <c r="T1830" s="136" t="str">
        <f>HYPERLINK(AB2 &amp; "/mug/sn_ef24c302911bcde6ea6ff2182dd34668/rendering/17.obj", "10.721830368")</f>
        <v>10.721830368</v>
      </c>
      <c r="U1830" s="66" t="str">
        <f>HYPERLINK(AB2 &amp; "/mug/sn_ef24c302911bcde6ea6ff2182dd34668/rendering/18.obj", "11.7925806046")</f>
        <v>11.7925806046</v>
      </c>
      <c r="V1830" s="54" t="str">
        <f>HYPERLINK(AB2 &amp; "/mug/sn_ef24c302911bcde6ea6ff2182dd34668/rendering/19.obj", "9.43962192535")</f>
        <v>9.43962192535</v>
      </c>
      <c r="W1830" s="12" t="s">
        <v>32</v>
      </c>
      <c r="X1830" s="13">
        <v>14.072998261451721</v>
      </c>
      <c r="Y1830" s="13">
        <v>5.7385396125239101</v>
      </c>
      <c r="Z1830" s="152">
        <v>0.40776951051310251</v>
      </c>
    </row>
    <row r="1831" spans="1:26" x14ac:dyDescent="0.2">
      <c r="A1831" s="1">
        <v>1829</v>
      </c>
      <c r="B1831" s="2" t="s">
        <v>398</v>
      </c>
      <c r="C1831" s="13" t="str">
        <f>HYPERLINK(AC2 &amp; "/mug/sn_ef24c302911bcde6ea6ff2182dd34668/rendering/00.xyz", "0.0")</f>
        <v>0.0</v>
      </c>
      <c r="D1831" s="13" t="str">
        <f>HYPERLINK(AC2 &amp; "/mug/sn_ef24c302911bcde6ea6ff2182dd34668/rendering/01.xyz", "0.0")</f>
        <v>0.0</v>
      </c>
      <c r="E1831" s="13" t="str">
        <f>HYPERLINK(AC2 &amp; "/mug/sn_ef24c302911bcde6ea6ff2182dd34668/rendering/02.xyz", "0.0")</f>
        <v>0.0</v>
      </c>
      <c r="F1831" s="13" t="str">
        <f>HYPERLINK(AC2 &amp; "/mug/sn_ef24c302911bcde6ea6ff2182dd34668/rendering/03.xyz", "0.0")</f>
        <v>0.0</v>
      </c>
      <c r="G1831" s="13" t="str">
        <f>HYPERLINK(AC2 &amp; "/mug/sn_ef24c302911bcde6ea6ff2182dd34668/rendering/04.xyz", "0.0")</f>
        <v>0.0</v>
      </c>
      <c r="H1831" s="13" t="str">
        <f>HYPERLINK(AC2 &amp; "/mug/sn_ef24c302911bcde6ea6ff2182dd34668/rendering/05.xyz", "0.0")</f>
        <v>0.0</v>
      </c>
      <c r="I1831" s="13" t="str">
        <f>HYPERLINK(AC2 &amp; "/mug/sn_ef24c302911bcde6ea6ff2182dd34668/rendering/06.xyz", "0.0")</f>
        <v>0.0</v>
      </c>
      <c r="J1831" s="13" t="str">
        <f>HYPERLINK(AC2 &amp; "/mug/sn_ef24c302911bcde6ea6ff2182dd34668/rendering/07.xyz", "0.0")</f>
        <v>0.0</v>
      </c>
      <c r="K1831" s="13" t="str">
        <f>HYPERLINK(AC2 &amp; "/mug/sn_ef24c302911bcde6ea6ff2182dd34668/rendering/08.xyz", "0.0")</f>
        <v>0.0</v>
      </c>
      <c r="L1831" s="13" t="str">
        <f>HYPERLINK(AC2 &amp; "/mug/sn_ef24c302911bcde6ea6ff2182dd34668/rendering/09.xyz", "0.0")</f>
        <v>0.0</v>
      </c>
      <c r="M1831" s="13" t="str">
        <f>HYPERLINK(AC2 &amp; "/mug/sn_ef24c302911bcde6ea6ff2182dd34668/rendering/10.xyz", "0.0")</f>
        <v>0.0</v>
      </c>
      <c r="N1831" s="13" t="str">
        <f>HYPERLINK(AC2 &amp; "/mug/sn_ef24c302911bcde6ea6ff2182dd34668/rendering/11.xyz", "0.0")</f>
        <v>0.0</v>
      </c>
      <c r="O1831" s="13" t="str">
        <f>HYPERLINK(AC2 &amp; "/mug/sn_ef24c302911bcde6ea6ff2182dd34668/rendering/12.xyz", "0.0")</f>
        <v>0.0</v>
      </c>
      <c r="P1831" s="13" t="str">
        <f>HYPERLINK(AC2 &amp; "/mug/sn_ef24c302911bcde6ea6ff2182dd34668/rendering/13.xyz", "0.0")</f>
        <v>0.0</v>
      </c>
      <c r="Q1831" s="13" t="str">
        <f>HYPERLINK(AC2 &amp; "/mug/sn_ef24c302911bcde6ea6ff2182dd34668/rendering/14.xyz", "0.0")</f>
        <v>0.0</v>
      </c>
      <c r="R1831" s="13" t="str">
        <f>HYPERLINK(AC2 &amp; "/mug/sn_ef24c302911bcde6ea6ff2182dd34668/rendering/15.xyz", "0.0")</f>
        <v>0.0</v>
      </c>
      <c r="S1831" s="13" t="str">
        <f>HYPERLINK(AC2 &amp; "/mug/sn_ef24c302911bcde6ea6ff2182dd34668/rendering/16.xyz", "0.0")</f>
        <v>0.0</v>
      </c>
      <c r="T1831" s="13" t="str">
        <f>HYPERLINK(AC2 &amp; "/mug/sn_ef24c302911bcde6ea6ff2182dd34668/rendering/17.xyz", "0.0")</f>
        <v>0.0</v>
      </c>
      <c r="U1831" s="13" t="str">
        <f>HYPERLINK(AC2 &amp; "/mug/sn_ef24c302911bcde6ea6ff2182dd34668/rendering/18.xyz", "0.0")</f>
        <v>0.0</v>
      </c>
      <c r="V1831" s="13" t="str">
        <f>HYPERLINK(AC2 &amp; "/mug/sn_ef24c302911bcde6ea6ff2182dd34668/rendering/19.xyz", "0.0")</f>
        <v>0.0</v>
      </c>
      <c r="W1831" s="12" t="s">
        <v>33</v>
      </c>
      <c r="X1831" s="13">
        <v>0</v>
      </c>
      <c r="Y1831" s="13">
        <v>0</v>
      </c>
      <c r="Z1831" s="13">
        <v>0</v>
      </c>
    </row>
    <row r="1832" spans="1:26" x14ac:dyDescent="0.2">
      <c r="A1832" s="1">
        <v>1830</v>
      </c>
      <c r="B1832" s="2" t="s">
        <v>399</v>
      </c>
      <c r="C1832" s="44" t="str">
        <f>HYPERLINK(AA2 &amp; "/mug/sn_f09e51579600cfbb88b651d2e4ea0846/rendering/00.obj", "4.25679504395")</f>
        <v>4.25679504395</v>
      </c>
      <c r="D1832" s="129" t="str">
        <f>HYPERLINK(AA2 &amp; "/mug/sn_f09e51579600cfbb88b651d2e4ea0846/rendering/01.obj", "3.97566772461")</f>
        <v>3.97566772461</v>
      </c>
      <c r="E1832" s="118" t="str">
        <f>HYPERLINK(AA2 &amp; "/mug/sn_f09e51579600cfbb88b651d2e4ea0846/rendering/02.obj", "6.84321166992")</f>
        <v>6.84321166992</v>
      </c>
      <c r="F1832" s="90" t="str">
        <f>HYPERLINK(AA2 &amp; "/mug/sn_f09e51579600cfbb88b651d2e4ea0846/rendering/03.obj", "4.78444580078")</f>
        <v>4.78444580078</v>
      </c>
      <c r="G1832" s="17" t="str">
        <f>HYPERLINK(AA2 &amp; "/mug/sn_f09e51579600cfbb88b651d2e4ea0846/rendering/04.obj", "5.4037890625")</f>
        <v>5.4037890625</v>
      </c>
      <c r="H1832" s="134" t="str">
        <f>HYPERLINK(AA2 &amp; "/mug/sn_f09e51579600cfbb88b651d2e4ea0846/rendering/05.obj", "4.33144348145")</f>
        <v>4.33144348145</v>
      </c>
      <c r="I1832" s="109" t="str">
        <f>HYPERLINK(AA2 &amp; "/mug/sn_f09e51579600cfbb88b651d2e4ea0846/rendering/06.obj", "6.29991394043")</f>
        <v>6.29991394043</v>
      </c>
      <c r="J1832" s="89" t="str">
        <f>HYPERLINK(AA2 &amp; "/mug/sn_f09e51579600cfbb88b651d2e4ea0846/rendering/07.obj", "3.92688415527")</f>
        <v>3.92688415527</v>
      </c>
      <c r="K1832" s="39" t="str">
        <f>HYPERLINK(AA2 &amp; "/mug/sn_f09e51579600cfbb88b651d2e4ea0846/rendering/08.obj", "5.74024902344")</f>
        <v>5.74024902344</v>
      </c>
      <c r="L1832" s="163" t="str">
        <f>HYPERLINK(AA2 &amp; "/mug/sn_f09e51579600cfbb88b651d2e4ea0846/rendering/09.obj", "7.62481811523")</f>
        <v>7.62481811523</v>
      </c>
      <c r="M1832" s="57" t="str">
        <f>HYPERLINK(AA2 &amp; "/mug/sn_f09e51579600cfbb88b651d2e4ea0846/rendering/10.obj", "3.62119873047")</f>
        <v>3.62119873047</v>
      </c>
      <c r="N1832" s="6" t="str">
        <f>HYPERLINK(AA2 &amp; "/mug/sn_f09e51579600cfbb88b651d2e4ea0846/rendering/11.obj", "5.049246521")</f>
        <v>5.049246521</v>
      </c>
      <c r="O1832" s="103" t="str">
        <f>HYPERLINK(AA2 &amp; "/mug/sn_f09e51579600cfbb88b651d2e4ea0846/rendering/12.obj", "3.57924530029")</f>
        <v>3.57924530029</v>
      </c>
      <c r="P1832" s="138" t="str">
        <f>HYPERLINK(AA2 &amp; "/mug/sn_f09e51579600cfbb88b651d2e4ea0846/rendering/13.obj", "3.50598510742")</f>
        <v>3.50598510742</v>
      </c>
      <c r="Q1832" s="20" t="str">
        <f>HYPERLINK(AA2 &amp; "/mug/sn_f09e51579600cfbb88b651d2e4ea0846/rendering/14.obj", "11.8026220703")</f>
        <v>11.8026220703</v>
      </c>
      <c r="R1832" s="81" t="str">
        <f>HYPERLINK(AA2 &amp; "/mug/sn_f09e51579600cfbb88b651d2e4ea0846/rendering/15.obj", "4.13409912109")</f>
        <v>4.13409912109</v>
      </c>
      <c r="S1832" s="20" t="str">
        <f>HYPERLINK(AA2 &amp; "/mug/sn_f09e51579600cfbb88b651d2e4ea0846/rendering/16.obj", "9.84526855469")</f>
        <v>9.84526855469</v>
      </c>
      <c r="T1832" s="14" t="str">
        <f>HYPERLINK(AA2 &amp; "/mug/sn_f09e51579600cfbb88b651d2e4ea0846/rendering/17.obj", "3.76165985107")</f>
        <v>3.76165985107</v>
      </c>
      <c r="U1832" s="171" t="str">
        <f>HYPERLINK(AA2 &amp; "/mug/sn_f09e51579600cfbb88b651d2e4ea0846/rendering/18.obj", "3.66389953613")</f>
        <v>3.66389953613</v>
      </c>
      <c r="V1832" s="57" t="str">
        <f>HYPERLINK(AA2 &amp; "/mug/sn_f09e51579600cfbb88b651d2e4ea0846/rendering/19.obj", "3.62232055664")</f>
        <v>3.62232055664</v>
      </c>
      <c r="W1832" s="12" t="s">
        <v>29</v>
      </c>
      <c r="X1832" s="13">
        <v>5.2886381683349608</v>
      </c>
      <c r="Y1832" s="13">
        <v>2.1925001941230748</v>
      </c>
      <c r="Z1832" s="157">
        <v>0.4145680086889641</v>
      </c>
    </row>
    <row r="1833" spans="1:26" x14ac:dyDescent="0.2">
      <c r="A1833" s="1">
        <v>1831</v>
      </c>
      <c r="B1833" s="2" t="s">
        <v>399</v>
      </c>
      <c r="C1833" s="108" t="str">
        <f>HYPERLINK(AA2 &amp; "/mug/sn_f09e51579600cfbb88b651d2e4ea0846/rendering/00.obj", "6.89850711823")</f>
        <v>6.89850711823</v>
      </c>
      <c r="D1833" s="82" t="str">
        <f>HYPERLINK(AA2 &amp; "/mug/sn_f09e51579600cfbb88b651d2e4ea0846/rendering/01.obj", "7.28221607208")</f>
        <v>7.28221607208</v>
      </c>
      <c r="E1833" s="54" t="str">
        <f>HYPERLINK(AA2 &amp; "/mug/sn_f09e51579600cfbb88b651d2e4ea0846/rendering/02.obj", "12.1409568787")</f>
        <v>12.1409568787</v>
      </c>
      <c r="F1833" s="77" t="str">
        <f>HYPERLINK(AA2 &amp; "/mug/sn_f09e51579600cfbb88b651d2e4ea0846/rendering/03.obj", "7.44790220261")</f>
        <v>7.44790220261</v>
      </c>
      <c r="G1833" s="46" t="str">
        <f>HYPERLINK(AA2 &amp; "/mug/sn_f09e51579600cfbb88b651d2e4ea0846/rendering/04.obj", "9.30400657654")</f>
        <v>9.30400657654</v>
      </c>
      <c r="H1833" s="26" t="str">
        <f>HYPERLINK(AA2 &amp; "/mug/sn_f09e51579600cfbb88b651d2e4ea0846/rendering/05.obj", "8.55973815918")</f>
        <v>8.55973815918</v>
      </c>
      <c r="I1833" s="84" t="str">
        <f>HYPERLINK(AA2 &amp; "/mug/sn_f09e51579600cfbb88b651d2e4ea0846/rendering/06.obj", "10.4772233963")</f>
        <v>10.4772233963</v>
      </c>
      <c r="J1833" s="49" t="str">
        <f>HYPERLINK(AA2 &amp; "/mug/sn_f09e51579600cfbb88b651d2e4ea0846/rendering/07.obj", "7.25745868683")</f>
        <v>7.25745868683</v>
      </c>
      <c r="K1833" s="6" t="str">
        <f>HYPERLINK(AA2 &amp; "/mug/sn_f09e51579600cfbb88b651d2e4ea0846/rendering/08.obj", "9.57990169525")</f>
        <v>9.57990169525</v>
      </c>
      <c r="L1833" s="106" t="str">
        <f>HYPERLINK(AA2 &amp; "/mug/sn_f09e51579600cfbb88b651d2e4ea0846/rendering/09.obj", "10.191075325")</f>
        <v>10.191075325</v>
      </c>
      <c r="M1833" s="96" t="str">
        <f>HYPERLINK(AA2 &amp; "/mug/sn_f09e51579600cfbb88b651d2e4ea0846/rendering/10.obj", "5.8503704071")</f>
        <v>5.8503704071</v>
      </c>
      <c r="N1833" s="17" t="str">
        <f>HYPERLINK(AA2 &amp; "/mug/sn_f09e51579600cfbb88b651d2e4ea0846/rendering/11.obj", "8.97241020203")</f>
        <v>8.97241020203</v>
      </c>
      <c r="O1833" s="43" t="str">
        <f>HYPERLINK(AA2 &amp; "/mug/sn_f09e51579600cfbb88b651d2e4ea0846/rendering/12.obj", "5.7340631485")</f>
        <v>5.7340631485</v>
      </c>
      <c r="P1833" s="149" t="str">
        <f>HYPERLINK(AA2 &amp; "/mug/sn_f09e51579600cfbb88b651d2e4ea0846/rendering/13.obj", "6.01016426086")</f>
        <v>6.01016426086</v>
      </c>
      <c r="Q1833" s="20" t="str">
        <f>HYPERLINK(AA2 &amp; "/mug/sn_f09e51579600cfbb88b651d2e4ea0846/rendering/14.obj", "17.7349853516")</f>
        <v>17.7349853516</v>
      </c>
      <c r="R1833" s="36" t="str">
        <f>HYPERLINK(AA2 &amp; "/mug/sn_f09e51579600cfbb88b651d2e4ea0846/rendering/15.obj", "7.19751882553")</f>
        <v>7.19751882553</v>
      </c>
      <c r="S1833" s="20" t="str">
        <f>HYPERLINK(AA2 &amp; "/mug/sn_f09e51579600cfbb88b651d2e4ea0846/rendering/16.obj", "23.2353153229")</f>
        <v>23.2353153229</v>
      </c>
      <c r="T1833" s="101" t="str">
        <f>HYPERLINK(AA2 &amp; "/mug/sn_f09e51579600cfbb88b651d2e4ea0846/rendering/17.obj", "5.68660497665")</f>
        <v>5.68660497665</v>
      </c>
      <c r="U1833" s="7" t="str">
        <f>HYPERLINK(AA2 &amp; "/mug/sn_f09e51579600cfbb88b651d2e4ea0846/rendering/18.obj", "6.60351657867")</f>
        <v>6.60351657867</v>
      </c>
      <c r="V1833" s="58" t="str">
        <f>HYPERLINK(AA2 &amp; "/mug/sn_f09e51579600cfbb88b651d2e4ea0846/rendering/19.obj", "6.91468334198")</f>
        <v>6.91468334198</v>
      </c>
      <c r="W1833" s="12" t="s">
        <v>30</v>
      </c>
      <c r="X1833" s="13">
        <v>9.1539309263229374</v>
      </c>
      <c r="Y1833" s="13">
        <v>4.2380265272277011</v>
      </c>
      <c r="Z1833" s="131">
        <v>0.46297340031711198</v>
      </c>
    </row>
    <row r="1834" spans="1:26" x14ac:dyDescent="0.2">
      <c r="A1834" s="1">
        <v>1832</v>
      </c>
      <c r="B1834" s="2" t="s">
        <v>399</v>
      </c>
      <c r="C1834" s="90" t="str">
        <f>HYPERLINK(AB2 &amp; "/mug/sn_f09e51579600cfbb88b651d2e4ea0846/rendering/00.obj", "3.33654846191")</f>
        <v>3.33654846191</v>
      </c>
      <c r="D1834" s="26" t="str">
        <f>HYPERLINK(AB2 &amp; "/mug/sn_f09e51579600cfbb88b651d2e4ea0846/rendering/01.obj", "3.93109375")</f>
        <v>3.93109375</v>
      </c>
      <c r="E1834" s="31" t="str">
        <f>HYPERLINK(AB2 &amp; "/mug/sn_f09e51579600cfbb88b651d2e4ea0846/rendering/02.obj", "4.26596954346")</f>
        <v>4.26596954346</v>
      </c>
      <c r="F1834" s="51" t="str">
        <f>HYPERLINK(AB2 &amp; "/mug/sn_f09e51579600cfbb88b651d2e4ea0846/rendering/03.obj", "3.98461425781")</f>
        <v>3.98461425781</v>
      </c>
      <c r="G1834" s="130" t="str">
        <f>HYPERLINK(AB2 &amp; "/mug/sn_f09e51579600cfbb88b651d2e4ea0846/rendering/04.obj", "5.34661621094")</f>
        <v>5.34661621094</v>
      </c>
      <c r="H1834" s="55" t="str">
        <f>HYPERLINK(AB2 &amp; "/mug/sn_f09e51579600cfbb88b651d2e4ea0846/rendering/05.obj", "2.97642089844")</f>
        <v>2.97642089844</v>
      </c>
      <c r="I1834" s="48" t="str">
        <f>HYPERLINK(AB2 &amp; "/mug/sn_f09e51579600cfbb88b651d2e4ea0846/rendering/06.obj", "3.77309875488")</f>
        <v>3.77309875488</v>
      </c>
      <c r="J1834" s="48" t="str">
        <f>HYPERLINK(AB2 &amp; "/mug/sn_f09e51579600cfbb88b651d2e4ea0846/rendering/07.obj", "3.60295806885")</f>
        <v>3.60295806885</v>
      </c>
      <c r="K1834" s="38" t="str">
        <f>HYPERLINK(AB2 &amp; "/mug/sn_f09e51579600cfbb88b651d2e4ea0846/rendering/08.obj", "3.36531036377")</f>
        <v>3.36531036377</v>
      </c>
      <c r="L1834" s="65" t="str">
        <f>HYPERLINK(AB2 &amp; "/mug/sn_f09e51579600cfbb88b651d2e4ea0846/rendering/09.obj", "4.17729980469")</f>
        <v>4.17729980469</v>
      </c>
      <c r="M1834" s="30" t="str">
        <f>HYPERLINK(AB2 &amp; "/mug/sn_f09e51579600cfbb88b651d2e4ea0846/rendering/10.obj", "3.71150878906")</f>
        <v>3.71150878906</v>
      </c>
      <c r="N1834" s="77" t="str">
        <f>HYPERLINK(AB2 &amp; "/mug/sn_f09e51579600cfbb88b651d2e4ea0846/rendering/11.obj", "3.0050958252")</f>
        <v>3.0050958252</v>
      </c>
      <c r="O1834" s="74" t="str">
        <f>HYPERLINK(AB2 &amp; "/mug/sn_f09e51579600cfbb88b651d2e4ea0846/rendering/12.obj", "3.63567260742")</f>
        <v>3.63567260742</v>
      </c>
      <c r="P1834" s="10" t="str">
        <f>HYPERLINK(AB2 &amp; "/mug/sn_f09e51579600cfbb88b651d2e4ea0846/rendering/13.obj", "3.89504302979")</f>
        <v>3.89504302979</v>
      </c>
      <c r="Q1834" s="26" t="str">
        <f>HYPERLINK(AB2 &amp; "/mug/sn_f09e51579600cfbb88b651d2e4ea0846/rendering/14.obj", "3.92185241699")</f>
        <v>3.92185241699</v>
      </c>
      <c r="R1834" s="48" t="str">
        <f>HYPERLINK(AB2 &amp; "/mug/sn_f09e51579600cfbb88b651d2e4ea0846/rendering/15.obj", "3.60177276611")</f>
        <v>3.60177276611</v>
      </c>
      <c r="S1834" s="136" t="str">
        <f>HYPERLINK(AB2 &amp; "/mug/sn_f09e51579600cfbb88b651d2e4ea0846/rendering/16.obj", "2.82132141113")</f>
        <v>2.82132141113</v>
      </c>
      <c r="T1834" s="10" t="str">
        <f>HYPERLINK(AB2 &amp; "/mug/sn_f09e51579600cfbb88b651d2e4ea0846/rendering/17.obj", "3.48443878174")</f>
        <v>3.48443878174</v>
      </c>
      <c r="U1834" s="90" t="str">
        <f>HYPERLINK(AB2 &amp; "/mug/sn_f09e51579600cfbb88b651d2e4ea0846/rendering/18.obj", "4.04664337158")</f>
        <v>4.04664337158</v>
      </c>
      <c r="V1834" s="49" t="str">
        <f>HYPERLINK(AB2 &amp; "/mug/sn_f09e51579600cfbb88b651d2e4ea0846/rendering/19.obj", "2.92083984375")</f>
        <v>2.92083984375</v>
      </c>
      <c r="W1834" s="12" t="s">
        <v>31</v>
      </c>
      <c r="X1834" s="13">
        <v>3.690205947875977</v>
      </c>
      <c r="Y1834" s="13">
        <v>0.56143922995339701</v>
      </c>
      <c r="Z1834" s="83">
        <v>0.1521430613585544</v>
      </c>
    </row>
    <row r="1835" spans="1:26" x14ac:dyDescent="0.2">
      <c r="A1835" s="1">
        <v>1833</v>
      </c>
      <c r="B1835" s="2" t="s">
        <v>399</v>
      </c>
      <c r="C1835" s="13" t="str">
        <f>HYPERLINK(AB2 &amp; "/mug/sn_f09e51579600cfbb88b651d2e4ea0846/rendering/00.obj", "5.38028860092")</f>
        <v>5.38028860092</v>
      </c>
      <c r="D1835" s="63" t="str">
        <f>HYPERLINK(AB2 &amp; "/mug/sn_f09e51579600cfbb88b651d2e4ea0846/rendering/01.obj", "4.74055051804")</f>
        <v>4.74055051804</v>
      </c>
      <c r="E1835" s="41" t="str">
        <f>HYPERLINK(AB2 &amp; "/mug/sn_f09e51579600cfbb88b651d2e4ea0846/rendering/02.obj", "5.03412485123")</f>
        <v>5.03412485123</v>
      </c>
      <c r="F1835" s="91" t="str">
        <f>HYPERLINK(AB2 &amp; "/mug/sn_f09e51579600cfbb88b651d2e4ea0846/rendering/03.obj", "5.53957557678")</f>
        <v>5.53957557678</v>
      </c>
      <c r="G1835" s="141" t="str">
        <f>HYPERLINK(AB2 &amp; "/mug/sn_f09e51579600cfbb88b651d2e4ea0846/rendering/04.obj", "8.36798763275")</f>
        <v>8.36798763275</v>
      </c>
      <c r="H1835" s="42" t="str">
        <f>HYPERLINK(AB2 &amp; "/mug/sn_f09e51579600cfbb88b651d2e4ea0846/rendering/05.obj", "4.64891004562")</f>
        <v>4.64891004562</v>
      </c>
      <c r="I1835" s="29" t="str">
        <f>HYPERLINK(AB2 &amp; "/mug/sn_f09e51579600cfbb88b651d2e4ea0846/rendering/06.obj", "6.09909248352")</f>
        <v>6.09909248352</v>
      </c>
      <c r="J1835" s="94" t="str">
        <f>HYPERLINK(AB2 &amp; "/mug/sn_f09e51579600cfbb88b651d2e4ea0846/rendering/07.obj", "5.78508615494")</f>
        <v>5.78508615494</v>
      </c>
      <c r="K1835" s="72" t="str">
        <f>HYPERLINK(AB2 &amp; "/mug/sn_f09e51579600cfbb88b651d2e4ea0846/rendering/08.obj", "5.5692191124")</f>
        <v>5.5692191124</v>
      </c>
      <c r="L1835" s="25" t="str">
        <f>HYPERLINK(AB2 &amp; "/mug/sn_f09e51579600cfbb88b651d2e4ea0846/rendering/09.obj", "5.45532608032")</f>
        <v>5.45532608032</v>
      </c>
      <c r="M1835" s="80" t="str">
        <f>HYPERLINK(AB2 &amp; "/mug/sn_f09e51579600cfbb88b651d2e4ea0846/rendering/10.obj", "4.58154344559")</f>
        <v>4.58154344559</v>
      </c>
      <c r="N1835" s="72" t="str">
        <f>HYPERLINK(AB2 &amp; "/mug/sn_f09e51579600cfbb88b651d2e4ea0846/rendering/11.obj", "5.57612419128")</f>
        <v>5.57612419128</v>
      </c>
      <c r="O1835" s="63" t="str">
        <f>HYPERLINK(AB2 &amp; "/mug/sn_f09e51579600cfbb88b651d2e4ea0846/rendering/12.obj", "4.74473619461")</f>
        <v>4.74473619461</v>
      </c>
      <c r="P1835" s="5" t="str">
        <f>HYPERLINK(AB2 &amp; "/mug/sn_f09e51579600cfbb88b651d2e4ea0846/rendering/13.obj", "4.97421073914")</f>
        <v>4.97421073914</v>
      </c>
      <c r="Q1835" s="17" t="str">
        <f>HYPERLINK(AB2 &amp; "/mug/sn_f09e51579600cfbb88b651d2e4ea0846/rendering/14.obj", "5.28401374817")</f>
        <v>5.28401374817</v>
      </c>
      <c r="R1835" s="41" t="str">
        <f>HYPERLINK(AB2 &amp; "/mug/sn_f09e51579600cfbb88b651d2e4ea0846/rendering/15.obj", "5.0269317627")</f>
        <v>5.0269317627</v>
      </c>
      <c r="S1835" s="30" t="str">
        <f>HYPERLINK(AB2 &amp; "/mug/sn_f09e51579600cfbb88b651d2e4ea0846/rendering/16.obj", "5.41619110107")</f>
        <v>5.41619110107</v>
      </c>
      <c r="T1835" s="133" t="str">
        <f>HYPERLINK(AB2 &amp; "/mug/sn_f09e51579600cfbb88b651d2e4ea0846/rendering/17.obj", "5.9389295578")</f>
        <v>5.9389295578</v>
      </c>
      <c r="U1835" s="27" t="str">
        <f>HYPERLINK(AB2 &amp; "/mug/sn_f09e51579600cfbb88b651d2e4ea0846/rendering/18.obj", "5.01504278183")</f>
        <v>5.01504278183</v>
      </c>
      <c r="V1835" s="29" t="str">
        <f>HYPERLINK(AB2 &amp; "/mug/sn_f09e51579600cfbb88b651d2e4ea0846/rendering/19.obj", "4.68513011932")</f>
        <v>4.68513011932</v>
      </c>
      <c r="W1835" s="12" t="s">
        <v>32</v>
      </c>
      <c r="X1835" s="13">
        <v>5.393150734901428</v>
      </c>
      <c r="Y1835" s="13">
        <v>0.80757672304579908</v>
      </c>
      <c r="Z1835" s="80">
        <v>0.14974117408208501</v>
      </c>
    </row>
    <row r="1836" spans="1:26" x14ac:dyDescent="0.2">
      <c r="A1836" s="1">
        <v>1834</v>
      </c>
      <c r="B1836" s="2" t="s">
        <v>399</v>
      </c>
      <c r="C1836" s="13" t="str">
        <f>HYPERLINK(AC2 &amp; "/mug/sn_f09e51579600cfbb88b651d2e4ea0846/rendering/00.xyz", "0.0")</f>
        <v>0.0</v>
      </c>
      <c r="D1836" s="13" t="str">
        <f>HYPERLINK(AC2 &amp; "/mug/sn_f09e51579600cfbb88b651d2e4ea0846/rendering/01.xyz", "0.0")</f>
        <v>0.0</v>
      </c>
      <c r="E1836" s="13" t="str">
        <f>HYPERLINK(AC2 &amp; "/mug/sn_f09e51579600cfbb88b651d2e4ea0846/rendering/02.xyz", "0.0")</f>
        <v>0.0</v>
      </c>
      <c r="F1836" s="13" t="str">
        <f>HYPERLINK(AC2 &amp; "/mug/sn_f09e51579600cfbb88b651d2e4ea0846/rendering/03.xyz", "0.0")</f>
        <v>0.0</v>
      </c>
      <c r="G1836" s="13" t="str">
        <f>HYPERLINK(AC2 &amp; "/mug/sn_f09e51579600cfbb88b651d2e4ea0846/rendering/04.xyz", "0.0")</f>
        <v>0.0</v>
      </c>
      <c r="H1836" s="13" t="str">
        <f>HYPERLINK(AC2 &amp; "/mug/sn_f09e51579600cfbb88b651d2e4ea0846/rendering/05.xyz", "0.0")</f>
        <v>0.0</v>
      </c>
      <c r="I1836" s="13" t="str">
        <f>HYPERLINK(AC2 &amp; "/mug/sn_f09e51579600cfbb88b651d2e4ea0846/rendering/06.xyz", "0.0")</f>
        <v>0.0</v>
      </c>
      <c r="J1836" s="13" t="str">
        <f>HYPERLINK(AC2 &amp; "/mug/sn_f09e51579600cfbb88b651d2e4ea0846/rendering/07.xyz", "0.0")</f>
        <v>0.0</v>
      </c>
      <c r="K1836" s="13" t="str">
        <f>HYPERLINK(AC2 &amp; "/mug/sn_f09e51579600cfbb88b651d2e4ea0846/rendering/08.xyz", "0.0")</f>
        <v>0.0</v>
      </c>
      <c r="L1836" s="13" t="str">
        <f>HYPERLINK(AC2 &amp; "/mug/sn_f09e51579600cfbb88b651d2e4ea0846/rendering/09.xyz", "0.0")</f>
        <v>0.0</v>
      </c>
      <c r="M1836" s="13" t="str">
        <f>HYPERLINK(AC2 &amp; "/mug/sn_f09e51579600cfbb88b651d2e4ea0846/rendering/10.xyz", "0.0")</f>
        <v>0.0</v>
      </c>
      <c r="N1836" s="13" t="str">
        <f>HYPERLINK(AC2 &amp; "/mug/sn_f09e51579600cfbb88b651d2e4ea0846/rendering/11.xyz", "0.0")</f>
        <v>0.0</v>
      </c>
      <c r="O1836" s="13" t="str">
        <f>HYPERLINK(AC2 &amp; "/mug/sn_f09e51579600cfbb88b651d2e4ea0846/rendering/12.xyz", "0.0")</f>
        <v>0.0</v>
      </c>
      <c r="P1836" s="13" t="str">
        <f>HYPERLINK(AC2 &amp; "/mug/sn_f09e51579600cfbb88b651d2e4ea0846/rendering/13.xyz", "0.0")</f>
        <v>0.0</v>
      </c>
      <c r="Q1836" s="13" t="str">
        <f>HYPERLINK(AC2 &amp; "/mug/sn_f09e51579600cfbb88b651d2e4ea0846/rendering/14.xyz", "0.0")</f>
        <v>0.0</v>
      </c>
      <c r="R1836" s="13" t="str">
        <f>HYPERLINK(AC2 &amp; "/mug/sn_f09e51579600cfbb88b651d2e4ea0846/rendering/15.xyz", "0.0")</f>
        <v>0.0</v>
      </c>
      <c r="S1836" s="13" t="str">
        <f>HYPERLINK(AC2 &amp; "/mug/sn_f09e51579600cfbb88b651d2e4ea0846/rendering/16.xyz", "0.0")</f>
        <v>0.0</v>
      </c>
      <c r="T1836" s="13" t="str">
        <f>HYPERLINK(AC2 &amp; "/mug/sn_f09e51579600cfbb88b651d2e4ea0846/rendering/17.xyz", "0.0")</f>
        <v>0.0</v>
      </c>
      <c r="U1836" s="13" t="str">
        <f>HYPERLINK(AC2 &amp; "/mug/sn_f09e51579600cfbb88b651d2e4ea0846/rendering/18.xyz", "0.0")</f>
        <v>0.0</v>
      </c>
      <c r="V1836" s="13" t="str">
        <f>HYPERLINK(AC2 &amp; "/mug/sn_f09e51579600cfbb88b651d2e4ea0846/rendering/19.xyz", "0.0")</f>
        <v>0.0</v>
      </c>
      <c r="W1836" s="12" t="s">
        <v>33</v>
      </c>
      <c r="X1836" s="13">
        <v>0</v>
      </c>
      <c r="Y1836" s="13">
        <v>0</v>
      </c>
      <c r="Z1836" s="13">
        <v>0</v>
      </c>
    </row>
    <row r="1837" spans="1:26" x14ac:dyDescent="0.2">
      <c r="A1837" s="1">
        <v>1835</v>
      </c>
      <c r="B1837" s="2" t="s">
        <v>400</v>
      </c>
      <c r="C1837" s="100" t="str">
        <f>HYPERLINK(AA2 &amp; "/mug/sn_f1866a48c2fc17f85b2ecd212557fda0/rendering/00.obj", "4.77721405029")</f>
        <v>4.77721405029</v>
      </c>
      <c r="D1837" s="245" t="str">
        <f>HYPERLINK(AA2 &amp; "/mug/sn_f1866a48c2fc17f85b2ecd212557fda0/rendering/01.obj", "11.7616394043")</f>
        <v>11.7616394043</v>
      </c>
      <c r="E1837" s="128" t="str">
        <f>HYPERLINK(AA2 &amp; "/mug/sn_f1866a48c2fc17f85b2ecd212557fda0/rendering/02.obj", "9.49930480957")</f>
        <v>9.49930480957</v>
      </c>
      <c r="F1837" s="98" t="str">
        <f>HYPERLINK(AA2 &amp; "/mug/sn_f1866a48c2fc17f85b2ecd212557fda0/rendering/03.obj", "8.41733398438")</f>
        <v>8.41733398438</v>
      </c>
      <c r="G1837" s="119" t="str">
        <f>HYPERLINK(AA2 &amp; "/mug/sn_f1866a48c2fc17f85b2ecd212557fda0/rendering/04.obj", "5.01638549805")</f>
        <v>5.01638549805</v>
      </c>
      <c r="H1837" s="38" t="str">
        <f>HYPERLINK(AA2 &amp; "/mug/sn_f1866a48c2fc17f85b2ecd212557fda0/rendering/05.obj", "6.23159423828")</f>
        <v>6.23159423828</v>
      </c>
      <c r="I1837" s="136" t="str">
        <f>HYPERLINK(AA2 &amp; "/mug/sn_f1866a48c2fc17f85b2ecd212557fda0/rendering/06.obj", "5.22478881836")</f>
        <v>5.22478881836</v>
      </c>
      <c r="J1837" s="13" t="str">
        <f>HYPERLINK(AA2 &amp; "/mug/sn_f1866a48c2fc17f85b2ecd212557fda0/rendering/07.obj", "6.82269897461")</f>
        <v>6.82269897461</v>
      </c>
      <c r="K1837" s="34" t="str">
        <f>HYPERLINK(AA2 &amp; "/mug/sn_f1866a48c2fc17f85b2ecd212557fda0/rendering/08.obj", "6.49212890625")</f>
        <v>6.49212890625</v>
      </c>
      <c r="L1837" s="77" t="str">
        <f>HYPERLINK(AA2 &amp; "/mug/sn_f1866a48c2fc17f85b2ecd212557fda0/rendering/09.obj", "5.55432128906")</f>
        <v>5.55432128906</v>
      </c>
      <c r="M1837" s="109" t="str">
        <f>HYPERLINK(AA2 &amp; "/mug/sn_f1866a48c2fc17f85b2ecd212557fda0/rendering/10.obj", "5.53867370605")</f>
        <v>5.53867370605</v>
      </c>
      <c r="N1837" s="108" t="str">
        <f>HYPERLINK(AA2 &amp; "/mug/sn_f1866a48c2fc17f85b2ecd212557fda0/rendering/11.obj", "8.51341186523")</f>
        <v>8.51341186523</v>
      </c>
      <c r="O1837" s="119" t="str">
        <f>HYPERLINK(AA2 &amp; "/mug/sn_f1866a48c2fc17f85b2ecd212557fda0/rendering/12.obj", "5.02751708984")</f>
        <v>5.02751708984</v>
      </c>
      <c r="P1837" s="59" t="str">
        <f>HYPERLINK(AA2 &amp; "/mug/sn_f1866a48c2fc17f85b2ecd212557fda0/rendering/13.obj", "8.46851928711")</f>
        <v>8.46851928711</v>
      </c>
      <c r="Q1837" s="196" t="str">
        <f>HYPERLINK(AA2 &amp; "/mug/sn_f1866a48c2fc17f85b2ecd212557fda0/rendering/14.obj", "9.53932739258")</f>
        <v>9.53932739258</v>
      </c>
      <c r="R1837" s="4" t="str">
        <f>HYPERLINK(AA2 &amp; "/mug/sn_f1866a48c2fc17f85b2ecd212557fda0/rendering/15.obj", "4.90296081543")</f>
        <v>4.90296081543</v>
      </c>
      <c r="S1837" s="61" t="str">
        <f>HYPERLINK(AA2 &amp; "/mug/sn_f1866a48c2fc17f85b2ecd212557fda0/rendering/16.obj", "4.77095458984")</f>
        <v>4.77095458984</v>
      </c>
      <c r="T1837" s="41" t="str">
        <f>HYPERLINK(AA2 &amp; "/mug/sn_f1866a48c2fc17f85b2ecd212557fda0/rendering/17.obj", "6.37584716797")</f>
        <v>6.37584716797</v>
      </c>
      <c r="U1837" s="170" t="str">
        <f>HYPERLINK(AA2 &amp; "/mug/sn_f1866a48c2fc17f85b2ecd212557fda0/rendering/18.obj", "5.10109008789")</f>
        <v>5.10109008789</v>
      </c>
      <c r="V1837" s="119" t="str">
        <f>HYPERLINK(AA2 &amp; "/mug/sn_f1866a48c2fc17f85b2ecd212557fda0/rendering/19.obj", "8.63686889648")</f>
        <v>8.63686889648</v>
      </c>
      <c r="W1837" s="12" t="s">
        <v>29</v>
      </c>
      <c r="X1837" s="13">
        <v>6.8336290435791014</v>
      </c>
      <c r="Y1837" s="13">
        <v>1.9790649212869951</v>
      </c>
      <c r="Z1837" s="14">
        <v>0.28960672413825711</v>
      </c>
    </row>
    <row r="1838" spans="1:26" x14ac:dyDescent="0.2">
      <c r="A1838" s="1">
        <v>1836</v>
      </c>
      <c r="B1838" s="2" t="s">
        <v>400</v>
      </c>
      <c r="C1838" s="19" t="str">
        <f>HYPERLINK(AA2 &amp; "/mug/sn_f1866a48c2fc17f85b2ecd212557fda0/rendering/00.obj", "10.2999019623")</f>
        <v>10.2999019623</v>
      </c>
      <c r="D1838" s="20" t="str">
        <f>HYPERLINK(AA2 &amp; "/mug/sn_f1866a48c2fc17f85b2ecd212557fda0/rendering/01.obj", "30.512430191")</f>
        <v>30.512430191</v>
      </c>
      <c r="E1838" s="172" t="str">
        <f>HYPERLINK(AA2 &amp; "/mug/sn_f1866a48c2fc17f85b2ecd212557fda0/rendering/02.obj", "19.3200416565")</f>
        <v>19.3200416565</v>
      </c>
      <c r="F1838" s="171" t="str">
        <f>HYPERLINK(AA2 &amp; "/mug/sn_f1866a48c2fc17f85b2ecd212557fda0/rendering/03.obj", "18.219045639")</f>
        <v>18.219045639</v>
      </c>
      <c r="G1838" s="140" t="str">
        <f>HYPERLINK(AA2 &amp; "/mug/sn_f1866a48c2fc17f85b2ecd212557fda0/rendering/04.obj", "9.10206413269")</f>
        <v>9.10206413269</v>
      </c>
      <c r="H1838" s="93" t="str">
        <f>HYPERLINK(AA2 &amp; "/mug/sn_f1866a48c2fc17f85b2ecd212557fda0/rendering/05.obj", "11.9838924408")</f>
        <v>11.9838924408</v>
      </c>
      <c r="I1838" s="106" t="str">
        <f>HYPERLINK(AA2 &amp; "/mug/sn_f1866a48c2fc17f85b2ecd212557fda0/rendering/06.obj", "12.3544120789")</f>
        <v>12.3544120789</v>
      </c>
      <c r="J1838" s="48" t="str">
        <f>HYPERLINK(AA2 &amp; "/mug/sn_f1866a48c2fc17f85b2ecd212557fda0/rendering/07.obj", "13.6050243378")</f>
        <v>13.6050243378</v>
      </c>
      <c r="K1838" s="33" t="str">
        <f>HYPERLINK(AA2 &amp; "/mug/sn_f1866a48c2fc17f85b2ecd212557fda0/rendering/08.obj", "12.4530563354")</f>
        <v>12.4530563354</v>
      </c>
      <c r="L1838" s="187" t="str">
        <f>HYPERLINK(AA2 &amp; "/mug/sn_f1866a48c2fc17f85b2ecd212557fda0/rendering/09.obj", "9.06053638458")</f>
        <v>9.06053638458</v>
      </c>
      <c r="M1838" s="95" t="str">
        <f>HYPERLINK(AA2 &amp; "/mug/sn_f1866a48c2fc17f85b2ecd212557fda0/rendering/10.obj", "10.0498275757")</f>
        <v>10.0498275757</v>
      </c>
      <c r="N1838" s="79" t="str">
        <f>HYPERLINK(AA2 &amp; "/mug/sn_f1866a48c2fc17f85b2ecd212557fda0/rendering/11.obj", "16.1373786926")</f>
        <v>16.1373786926</v>
      </c>
      <c r="O1838" s="136" t="str">
        <f>HYPERLINK(AA2 &amp; "/mug/sn_f1866a48c2fc17f85b2ecd212557fda0/rendering/12.obj", "10.6324653625")</f>
        <v>10.6324653625</v>
      </c>
      <c r="P1838" s="159" t="str">
        <f>HYPERLINK(AA2 &amp; "/mug/sn_f1866a48c2fc17f85b2ecd212557fda0/rendering/13.obj", "20.4937019348")</f>
        <v>20.4937019348</v>
      </c>
      <c r="Q1838" s="52" t="str">
        <f>HYPERLINK(AA2 &amp; "/mug/sn_f1866a48c2fc17f85b2ecd212557fda0/rendering/14.obj", "19.5345726013")</f>
        <v>19.5345726013</v>
      </c>
      <c r="R1838" s="138" t="str">
        <f>HYPERLINK(AA2 &amp; "/mug/sn_f1866a48c2fc17f85b2ecd212557fda0/rendering/15.obj", "9.23027229309")</f>
        <v>9.23027229309</v>
      </c>
      <c r="S1838" s="131" t="str">
        <f>HYPERLINK(AA2 &amp; "/mug/sn_f1866a48c2fc17f85b2ecd212557fda0/rendering/16.obj", "7.50529146194")</f>
        <v>7.50529146194</v>
      </c>
      <c r="T1838" s="106" t="str">
        <f>HYPERLINK(AA2 &amp; "/mug/sn_f1866a48c2fc17f85b2ecd212557fda0/rendering/17.obj", "12.3341350555")</f>
        <v>12.3341350555</v>
      </c>
      <c r="U1838" s="151" t="str">
        <f>HYPERLINK(AA2 &amp; "/mug/sn_f1866a48c2fc17f85b2ecd212557fda0/rendering/18.obj", "8.91897964478")</f>
        <v>8.91897964478</v>
      </c>
      <c r="V1838" s="175" t="str">
        <f>HYPERLINK(AA2 &amp; "/mug/sn_f1866a48c2fc17f85b2ecd212557fda0/rendering/19.obj", "17.1946544647")</f>
        <v>17.1946544647</v>
      </c>
      <c r="W1838" s="12" t="s">
        <v>30</v>
      </c>
      <c r="X1838" s="13">
        <v>13.94708421230316</v>
      </c>
      <c r="Y1838" s="13">
        <v>5.4687725352955363</v>
      </c>
      <c r="Z1838" s="128">
        <v>0.39210866243077241</v>
      </c>
    </row>
    <row r="1839" spans="1:26" x14ac:dyDescent="0.2">
      <c r="A1839" s="1">
        <v>1837</v>
      </c>
      <c r="B1839" s="2" t="s">
        <v>400</v>
      </c>
      <c r="C1839" s="8" t="str">
        <f>HYPERLINK(AB2 &amp; "/mug/sn_f1866a48c2fc17f85b2ecd212557fda0/rendering/00.obj", "6.41798583984")</f>
        <v>6.41798583984</v>
      </c>
      <c r="D1839" s="60" t="str">
        <f>HYPERLINK(AB2 &amp; "/mug/sn_f1866a48c2fc17f85b2ecd212557fda0/rendering/01.obj", "5.31155761719")</f>
        <v>5.31155761719</v>
      </c>
      <c r="E1839" s="46" t="str">
        <f>HYPERLINK(AB2 &amp; "/mug/sn_f1866a48c2fc17f85b2ecd212557fda0/rendering/02.obj", "5.51658508301")</f>
        <v>5.51658508301</v>
      </c>
      <c r="F1839" s="219" t="str">
        <f>HYPERLINK(AB2 &amp; "/mug/sn_f1866a48c2fc17f85b2ecd212557fda0/rendering/03.obj", "9.5357220459")</f>
        <v>9.5357220459</v>
      </c>
      <c r="G1839" s="8" t="str">
        <f>HYPERLINK(AB2 &amp; "/mug/sn_f1866a48c2fc17f85b2ecd212557fda0/rendering/04.obj", "4.8180859375")</f>
        <v>4.8180859375</v>
      </c>
      <c r="H1839" s="136" t="str">
        <f>HYPERLINK(AB2 &amp; "/mug/sn_f1866a48c2fc17f85b2ecd212557fda0/rendering/05.obj", "4.28082885742")</f>
        <v>4.28082885742</v>
      </c>
      <c r="I1839" s="92" t="str">
        <f>HYPERLINK(AB2 &amp; "/mug/sn_f1866a48c2fc17f85b2ecd212557fda0/rendering/06.obj", "4.92132446289")</f>
        <v>4.92132446289</v>
      </c>
      <c r="J1839" s="70" t="str">
        <f>HYPERLINK(AB2 &amp; "/mug/sn_f1866a48c2fc17f85b2ecd212557fda0/rendering/07.obj", "6.31993896484")</f>
        <v>6.31993896484</v>
      </c>
      <c r="K1839" s="26" t="str">
        <f>HYPERLINK(AB2 &amp; "/mug/sn_f1866a48c2fc17f85b2ecd212557fda0/rendering/08.obj", "5.96592773437")</f>
        <v>5.96592773437</v>
      </c>
      <c r="L1839" s="91" t="str">
        <f>HYPERLINK(AB2 &amp; "/mug/sn_f1866a48c2fc17f85b2ecd212557fda0/rendering/09.obj", "5.75605834961")</f>
        <v>5.75605834961</v>
      </c>
      <c r="M1839" s="83" t="str">
        <f>HYPERLINK(AB2 &amp; "/mug/sn_f1866a48c2fc17f85b2ecd212557fda0/rendering/10.obj", "4.75229431152")</f>
        <v>4.75229431152</v>
      </c>
      <c r="N1839" s="13" t="str">
        <f>HYPERLINK(AB2 &amp; "/mug/sn_f1866a48c2fc17f85b2ecd212557fda0/rendering/11.obj", "5.60264709473")</f>
        <v>5.60264709473</v>
      </c>
      <c r="O1839" s="42" t="str">
        <f>HYPERLINK(AB2 &amp; "/mug/sn_f1866a48c2fc17f85b2ecd212557fda0/rendering/12.obj", "4.84232940674")</f>
        <v>4.84232940674</v>
      </c>
      <c r="P1839" s="74" t="str">
        <f>HYPERLINK(AB2 &amp; "/mug/sn_f1866a48c2fc17f85b2ecd212557fda0/rendering/13.obj", "5.68606933594")</f>
        <v>5.68606933594</v>
      </c>
      <c r="Q1839" s="11" t="str">
        <f>HYPERLINK(AB2 &amp; "/mug/sn_f1866a48c2fc17f85b2ecd212557fda0/rendering/14.obj", "4.34839660645")</f>
        <v>4.34839660645</v>
      </c>
      <c r="R1839" s="94" t="str">
        <f>HYPERLINK(AB2 &amp; "/mug/sn_f1866a48c2fc17f85b2ecd212557fda0/rendering/15.obj", "5.20128295898")</f>
        <v>5.20128295898</v>
      </c>
      <c r="S1839" s="5" t="str">
        <f>HYPERLINK(AB2 &amp; "/mug/sn_f1866a48c2fc17f85b2ecd212557fda0/rendering/16.obj", "5.18775146484")</f>
        <v>5.18775146484</v>
      </c>
      <c r="T1839" s="142" t="str">
        <f>HYPERLINK(AB2 &amp; "/mug/sn_f1866a48c2fc17f85b2ecd212557fda0/rendering/17.obj", "7.8269519043")</f>
        <v>7.8269519043</v>
      </c>
      <c r="U1839" s="90" t="str">
        <f>HYPERLINK(AB2 &amp; "/mug/sn_f1866a48c2fc17f85b2ecd212557fda0/rendering/18.obj", "5.08128662109")</f>
        <v>5.08128662109</v>
      </c>
      <c r="V1839" s="42" t="str">
        <f>HYPERLINK(AB2 &amp; "/mug/sn_f1866a48c2fc17f85b2ecd212557fda0/rendering/19.obj", "4.84135070801")</f>
        <v>4.84135070801</v>
      </c>
      <c r="W1839" s="12" t="s">
        <v>31</v>
      </c>
      <c r="X1839" s="13">
        <v>5.61071876525879</v>
      </c>
      <c r="Y1839" s="13">
        <v>1.198646882577501</v>
      </c>
      <c r="Z1839" s="36">
        <v>0.21363517451622149</v>
      </c>
    </row>
    <row r="1840" spans="1:26" x14ac:dyDescent="0.2">
      <c r="A1840" s="1">
        <v>1838</v>
      </c>
      <c r="B1840" s="2" t="s">
        <v>400</v>
      </c>
      <c r="C1840" s="185" t="str">
        <f>HYPERLINK(AB2 &amp; "/mug/sn_f1866a48c2fc17f85b2ecd212557fda0/rendering/00.obj", "14.0253677368")</f>
        <v>14.0253677368</v>
      </c>
      <c r="D1840" s="30" t="str">
        <f>HYPERLINK(AB2 &amp; "/mug/sn_f1866a48c2fc17f85b2ecd212557fda0/rendering/01.obj", "10.4876508713")</f>
        <v>10.4876508713</v>
      </c>
      <c r="E1840" s="26" t="str">
        <f>HYPERLINK(AB2 &amp; "/mug/sn_f1866a48c2fc17f85b2ecd212557fda0/rendering/02.obj", "11.1312551498")</f>
        <v>11.1312551498</v>
      </c>
      <c r="F1840" s="20" t="str">
        <f>HYPERLINK(AB2 &amp; "/mug/sn_f1866a48c2fc17f85b2ecd212557fda0/rendering/03.obj", "21.3070373535")</f>
        <v>21.3070373535</v>
      </c>
      <c r="G1840" s="83" t="str">
        <f>HYPERLINK(AB2 &amp; "/mug/sn_f1866a48c2fc17f85b2ecd212557fda0/rendering/04.obj", "8.85947799683")</f>
        <v>8.85947799683</v>
      </c>
      <c r="H1840" s="14" t="str">
        <f>HYPERLINK(AB2 &amp; "/mug/sn_f1866a48c2fc17f85b2ecd212557fda0/rendering/05.obj", "7.42003488541")</f>
        <v>7.42003488541</v>
      </c>
      <c r="I1840" s="26" t="str">
        <f>HYPERLINK(AB2 &amp; "/mug/sn_f1866a48c2fc17f85b2ecd212557fda0/rendering/06.obj", "9.79364871979")</f>
        <v>9.79364871979</v>
      </c>
      <c r="J1840" s="72" t="str">
        <f>HYPERLINK(AB2 &amp; "/mug/sn_f1866a48c2fc17f85b2ecd212557fda0/rendering/07.obj", "10.0986652374")</f>
        <v>10.0986652374</v>
      </c>
      <c r="K1840" s="106" t="str">
        <f>HYPERLINK(AB2 &amp; "/mug/sn_f1866a48c2fc17f85b2ecd212557fda0/rendering/08.obj", "9.26785945892")</f>
        <v>9.26785945892</v>
      </c>
      <c r="L1840" s="39" t="str">
        <f>HYPERLINK(AB2 &amp; "/mug/sn_f1866a48c2fc17f85b2ecd212557fda0/rendering/09.obj", "11.3376684189")</f>
        <v>11.3376684189</v>
      </c>
      <c r="M1840" s="81" t="str">
        <f>HYPERLINK(AB2 &amp; "/mug/sn_f1866a48c2fc17f85b2ecd212557fda0/rendering/10.obj", "8.16717529297")</f>
        <v>8.16717529297</v>
      </c>
      <c r="N1840" s="64" t="str">
        <f>HYPERLINK(AB2 &amp; "/mug/sn_f1866a48c2fc17f85b2ecd212557fda0/rendering/11.obj", "8.73180007935")</f>
        <v>8.73180007935</v>
      </c>
      <c r="O1840" s="136" t="str">
        <f>HYPERLINK(AB2 &amp; "/mug/sn_f1866a48c2fc17f85b2ecd212557fda0/rendering/12.obj", "7.96464633942")</f>
        <v>7.96464633942</v>
      </c>
      <c r="P1840" s="34" t="str">
        <f>HYPERLINK(AB2 &amp; "/mug/sn_f1866a48c2fc17f85b2ecd212557fda0/rendering/13.obj", "10.976064682")</f>
        <v>10.976064682</v>
      </c>
      <c r="Q1840" s="87" t="str">
        <f>HYPERLINK(AB2 &amp; "/mug/sn_f1866a48c2fc17f85b2ecd212557fda0/rendering/14.obj", "8.06357288361")</f>
        <v>8.06357288361</v>
      </c>
      <c r="R1840" s="24" t="str">
        <f>HYPERLINK(AB2 &amp; "/mug/sn_f1866a48c2fc17f85b2ecd212557fda0/rendering/15.obj", "8.68564796448")</f>
        <v>8.68564796448</v>
      </c>
      <c r="S1840" s="32" t="str">
        <f>HYPERLINK(AB2 &amp; "/mug/sn_f1866a48c2fc17f85b2ecd212557fda0/rendering/16.obj", "9.35946750641")</f>
        <v>9.35946750641</v>
      </c>
      <c r="T1840" s="22" t="str">
        <f>HYPERLINK(AB2 &amp; "/mug/sn_f1866a48c2fc17f85b2ecd212557fda0/rendering/17.obj", "15.9135522842")</f>
        <v>15.9135522842</v>
      </c>
      <c r="U1840" s="80" t="str">
        <f>HYPERLINK(AB2 &amp; "/mug/sn_f1866a48c2fc17f85b2ecd212557fda0/rendering/18.obj", "8.90770435333")</f>
        <v>8.90770435333</v>
      </c>
      <c r="V1840" s="76" t="str">
        <f>HYPERLINK(AB2 &amp; "/mug/sn_f1866a48c2fc17f85b2ecd212557fda0/rendering/19.obj", "8.53957748413")</f>
        <v>8.53957748413</v>
      </c>
      <c r="W1840" s="12" t="s">
        <v>32</v>
      </c>
      <c r="X1840" s="13">
        <v>10.45189373493195</v>
      </c>
      <c r="Y1840" s="13">
        <v>3.2098856375854812</v>
      </c>
      <c r="Z1840" s="171">
        <v>0.30711043558140239</v>
      </c>
    </row>
    <row r="1841" spans="1:26" x14ac:dyDescent="0.2">
      <c r="A1841" s="1">
        <v>1839</v>
      </c>
      <c r="B1841" s="2" t="s">
        <v>400</v>
      </c>
      <c r="C1841" s="13" t="str">
        <f>HYPERLINK(AC2 &amp; "/mug/sn_f1866a48c2fc17f85b2ecd212557fda0/rendering/00.xyz", "0.0")</f>
        <v>0.0</v>
      </c>
      <c r="D1841" s="13" t="str">
        <f>HYPERLINK(AC2 &amp; "/mug/sn_f1866a48c2fc17f85b2ecd212557fda0/rendering/01.xyz", "0.0")</f>
        <v>0.0</v>
      </c>
      <c r="E1841" s="13" t="str">
        <f>HYPERLINK(AC2 &amp; "/mug/sn_f1866a48c2fc17f85b2ecd212557fda0/rendering/02.xyz", "0.0")</f>
        <v>0.0</v>
      </c>
      <c r="F1841" s="13" t="str">
        <f>HYPERLINK(AC2 &amp; "/mug/sn_f1866a48c2fc17f85b2ecd212557fda0/rendering/03.xyz", "0.0")</f>
        <v>0.0</v>
      </c>
      <c r="G1841" s="13" t="str">
        <f>HYPERLINK(AC2 &amp; "/mug/sn_f1866a48c2fc17f85b2ecd212557fda0/rendering/04.xyz", "0.0")</f>
        <v>0.0</v>
      </c>
      <c r="H1841" s="13" t="str">
        <f>HYPERLINK(AC2 &amp; "/mug/sn_f1866a48c2fc17f85b2ecd212557fda0/rendering/05.xyz", "0.0")</f>
        <v>0.0</v>
      </c>
      <c r="I1841" s="13" t="str">
        <f>HYPERLINK(AC2 &amp; "/mug/sn_f1866a48c2fc17f85b2ecd212557fda0/rendering/06.xyz", "0.0")</f>
        <v>0.0</v>
      </c>
      <c r="J1841" s="13" t="str">
        <f>HYPERLINK(AC2 &amp; "/mug/sn_f1866a48c2fc17f85b2ecd212557fda0/rendering/07.xyz", "0.0")</f>
        <v>0.0</v>
      </c>
      <c r="K1841" s="13" t="str">
        <f>HYPERLINK(AC2 &amp; "/mug/sn_f1866a48c2fc17f85b2ecd212557fda0/rendering/08.xyz", "0.0")</f>
        <v>0.0</v>
      </c>
      <c r="L1841" s="13" t="str">
        <f>HYPERLINK(AC2 &amp; "/mug/sn_f1866a48c2fc17f85b2ecd212557fda0/rendering/09.xyz", "0.0")</f>
        <v>0.0</v>
      </c>
      <c r="M1841" s="13" t="str">
        <f>HYPERLINK(AC2 &amp; "/mug/sn_f1866a48c2fc17f85b2ecd212557fda0/rendering/10.xyz", "0.0")</f>
        <v>0.0</v>
      </c>
      <c r="N1841" s="13" t="str">
        <f>HYPERLINK(AC2 &amp; "/mug/sn_f1866a48c2fc17f85b2ecd212557fda0/rendering/11.xyz", "0.0")</f>
        <v>0.0</v>
      </c>
      <c r="O1841" s="13" t="str">
        <f>HYPERLINK(AC2 &amp; "/mug/sn_f1866a48c2fc17f85b2ecd212557fda0/rendering/12.xyz", "0.0")</f>
        <v>0.0</v>
      </c>
      <c r="P1841" s="13" t="str">
        <f>HYPERLINK(AC2 &amp; "/mug/sn_f1866a48c2fc17f85b2ecd212557fda0/rendering/13.xyz", "0.0")</f>
        <v>0.0</v>
      </c>
      <c r="Q1841" s="13" t="str">
        <f>HYPERLINK(AC2 &amp; "/mug/sn_f1866a48c2fc17f85b2ecd212557fda0/rendering/14.xyz", "0.0")</f>
        <v>0.0</v>
      </c>
      <c r="R1841" s="13" t="str">
        <f>HYPERLINK(AC2 &amp; "/mug/sn_f1866a48c2fc17f85b2ecd212557fda0/rendering/15.xyz", "0.0")</f>
        <v>0.0</v>
      </c>
      <c r="S1841" s="13" t="str">
        <f>HYPERLINK(AC2 &amp; "/mug/sn_f1866a48c2fc17f85b2ecd212557fda0/rendering/16.xyz", "0.0")</f>
        <v>0.0</v>
      </c>
      <c r="T1841" s="13" t="str">
        <f>HYPERLINK(AC2 &amp; "/mug/sn_f1866a48c2fc17f85b2ecd212557fda0/rendering/17.xyz", "0.0")</f>
        <v>0.0</v>
      </c>
      <c r="U1841" s="13" t="str">
        <f>HYPERLINK(AC2 &amp; "/mug/sn_f1866a48c2fc17f85b2ecd212557fda0/rendering/18.xyz", "0.0")</f>
        <v>0.0</v>
      </c>
      <c r="V1841" s="13" t="str">
        <f>HYPERLINK(AC2 &amp; "/mug/sn_f1866a48c2fc17f85b2ecd212557fda0/rendering/19.xyz", "0.0")</f>
        <v>0.0</v>
      </c>
      <c r="W1841" s="12" t="s">
        <v>33</v>
      </c>
      <c r="X1841" s="13">
        <v>0</v>
      </c>
      <c r="Y1841" s="13">
        <v>0</v>
      </c>
      <c r="Z1841" s="13">
        <v>0</v>
      </c>
    </row>
    <row r="1842" spans="1:26" x14ac:dyDescent="0.2">
      <c r="A1842" s="1">
        <v>1840</v>
      </c>
      <c r="B1842" s="2" t="s">
        <v>401</v>
      </c>
      <c r="C1842" s="137" t="str">
        <f>HYPERLINK(AA2 &amp; "/mug/sn_f1c5b9bb744afd96d6e1954365b10b52/rendering/00.obj", "4.82991455078")</f>
        <v>4.82991455078</v>
      </c>
      <c r="D1842" s="56" t="str">
        <f>HYPERLINK(AA2 &amp; "/mug/sn_f1c5b9bb744afd96d6e1954365b10b52/rendering/01.obj", "9.96252197266")</f>
        <v>9.96252197266</v>
      </c>
      <c r="E1842" s="133" t="str">
        <f>HYPERLINK(AA2 &amp; "/mug/sn_f1c5b9bb744afd96d6e1954365b10b52/rendering/02.obj", "8.38395263672")</f>
        <v>8.38395263672</v>
      </c>
      <c r="F1842" s="55" t="str">
        <f>HYPERLINK(AA2 &amp; "/mug/sn_f1c5b9bb744afd96d6e1954365b10b52/rendering/03.obj", "9.08584411621")</f>
        <v>9.08584411621</v>
      </c>
      <c r="G1842" s="74" t="str">
        <f>HYPERLINK(AA2 &amp; "/mug/sn_f1c5b9bb744afd96d6e1954365b10b52/rendering/04.obj", "7.72204833984")</f>
        <v>7.72204833984</v>
      </c>
      <c r="H1842" s="123" t="str">
        <f>HYPERLINK(AA2 &amp; "/mug/sn_f1c5b9bb744afd96d6e1954365b10b52/rendering/05.obj", "4.80785675049")</f>
        <v>4.80785675049</v>
      </c>
      <c r="I1842" s="79" t="str">
        <f>HYPERLINK(AA2 &amp; "/mug/sn_f1c5b9bb744afd96d6e1954365b10b52/rendering/06.obj", "6.3907434082")</f>
        <v>6.3907434082</v>
      </c>
      <c r="J1842" s="91" t="str">
        <f>HYPERLINK(AA2 &amp; "/mug/sn_f1c5b9bb744afd96d6e1954365b10b52/rendering/07.obj", "7.39290649414")</f>
        <v>7.39290649414</v>
      </c>
      <c r="K1842" s="55" t="str">
        <f>HYPERLINK(AA2 &amp; "/mug/sn_f1c5b9bb744afd96d6e1954365b10b52/rendering/08.obj", "9.07145263672")</f>
        <v>9.07145263672</v>
      </c>
      <c r="L1842" s="20" t="str">
        <f>HYPERLINK(AA2 &amp; "/mug/sn_f1c5b9bb744afd96d6e1954365b10b52/rendering/09.obj", "14.7343847656")</f>
        <v>14.7343847656</v>
      </c>
      <c r="M1842" s="72" t="str">
        <f>HYPERLINK(AA2 &amp; "/mug/sn_f1c5b9bb744afd96d6e1954365b10b52/rendering/10.obj", "7.36676635742")</f>
        <v>7.36676635742</v>
      </c>
      <c r="N1842" s="117" t="str">
        <f>HYPERLINK(AA2 &amp; "/mug/sn_f1c5b9bb744afd96d6e1954365b10b52/rendering/11.obj", "8.94655761719")</f>
        <v>8.94655761719</v>
      </c>
      <c r="O1842" s="44" t="str">
        <f>HYPERLINK(AA2 &amp; "/mug/sn_f1c5b9bb744afd96d6e1954365b10b52/rendering/12.obj", "9.0901184082")</f>
        <v>9.0901184082</v>
      </c>
      <c r="P1842" s="101" t="str">
        <f>HYPERLINK(AA2 &amp; "/mug/sn_f1c5b9bb744afd96d6e1954365b10b52/rendering/13.obj", "4.72094970703")</f>
        <v>4.72094970703</v>
      </c>
      <c r="Q1842" s="212" t="str">
        <f>HYPERLINK(AA2 &amp; "/mug/sn_f1c5b9bb744afd96d6e1954365b10b52/rendering/14.obj", "4.31867126465")</f>
        <v>4.31867126465</v>
      </c>
      <c r="R1842" s="90" t="str">
        <f>HYPERLINK(AA2 &amp; "/mug/sn_f1c5b9bb744afd96d6e1954365b10b52/rendering/15.obj", "6.87788513184")</f>
        <v>6.87788513184</v>
      </c>
      <c r="S1842" s="113" t="str">
        <f>HYPERLINK(AA2 &amp; "/mug/sn_f1c5b9bb744afd96d6e1954365b10b52/rendering/16.obj", "5.5179284668")</f>
        <v>5.5179284668</v>
      </c>
      <c r="T1842" s="110" t="str">
        <f>HYPERLINK(AA2 &amp; "/mug/sn_f1c5b9bb744afd96d6e1954365b10b52/rendering/17.obj", "6.86137084961")</f>
        <v>6.86137084961</v>
      </c>
      <c r="U1842" s="218" t="str">
        <f>HYPERLINK(AA2 &amp; "/mug/sn_f1c5b9bb744afd96d6e1954365b10b52/rendering/18.obj", "11.5410498047")</f>
        <v>11.5410498047</v>
      </c>
      <c r="V1842" s="152" t="str">
        <f>HYPERLINK(AA2 &amp; "/mug/sn_f1c5b9bb744afd96d6e1954365b10b52/rendering/19.obj", "4.50773803711")</f>
        <v>4.50773803711</v>
      </c>
      <c r="W1842" s="12" t="s">
        <v>29</v>
      </c>
      <c r="X1842" s="13">
        <v>7.6065330657958992</v>
      </c>
      <c r="Y1842" s="13">
        <v>2.569992525073336</v>
      </c>
      <c r="Z1842" s="138">
        <v>0.33786647646741391</v>
      </c>
    </row>
    <row r="1843" spans="1:26" x14ac:dyDescent="0.2">
      <c r="A1843" s="1">
        <v>1841</v>
      </c>
      <c r="B1843" s="2" t="s">
        <v>401</v>
      </c>
      <c r="C1843" s="163" t="str">
        <f>HYPERLINK(AA2 &amp; "/mug/sn_f1c5b9bb744afd96d6e1954365b10b52/rendering/00.obj", "9.13163757324")</f>
        <v>9.13163757324</v>
      </c>
      <c r="D1843" s="14" t="str">
        <f>HYPERLINK(AA2 &amp; "/mug/sn_f1c5b9bb744afd96d6e1954365b10b52/rendering/01.obj", "21.0578289032")</f>
        <v>21.0578289032</v>
      </c>
      <c r="E1843" s="28" t="str">
        <f>HYPERLINK(AA2 &amp; "/mug/sn_f1c5b9bb744afd96d6e1954365b10b52/rendering/02.obj", "18.1221847534")</f>
        <v>18.1221847534</v>
      </c>
      <c r="F1843" s="57" t="str">
        <f>HYPERLINK(AA2 &amp; "/mug/sn_f1c5b9bb744afd96d6e1954365b10b52/rendering/03.obj", "21.4697322845")</f>
        <v>21.4697322845</v>
      </c>
      <c r="G1843" s="71" t="str">
        <f>HYPERLINK(AA2 &amp; "/mug/sn_f1c5b9bb744afd96d6e1954365b10b52/rendering/04.obj", "14.3979969025")</f>
        <v>14.3979969025</v>
      </c>
      <c r="H1843" s="212" t="str">
        <f>HYPERLINK(AA2 &amp; "/mug/sn_f1c5b9bb744afd96d6e1954365b10b52/rendering/05.obj", "9.27716827393")</f>
        <v>9.27716827393</v>
      </c>
      <c r="I1843" s="44" t="str">
        <f>HYPERLINK(AA2 &amp; "/mug/sn_f1c5b9bb744afd96d6e1954365b10b52/rendering/06.obj", "13.1048851013")</f>
        <v>13.1048851013</v>
      </c>
      <c r="J1843" s="109" t="str">
        <f>HYPERLINK(AA2 &amp; "/mug/sn_f1c5b9bb744afd96d6e1954365b10b52/rendering/07.obj", "13.224984169")</f>
        <v>13.224984169</v>
      </c>
      <c r="K1843" s="175" t="str">
        <f>HYPERLINK(AA2 &amp; "/mug/sn_f1c5b9bb744afd96d6e1954365b10b52/rendering/08.obj", "20.1357154846")</f>
        <v>20.1357154846</v>
      </c>
      <c r="L1843" s="20" t="str">
        <f>HYPERLINK(AA2 &amp; "/mug/sn_f1c5b9bb744afd96d6e1954365b10b52/rendering/09.obj", "41.3165512085")</f>
        <v>41.3165512085</v>
      </c>
      <c r="M1843" s="75" t="str">
        <f>HYPERLINK(AA2 &amp; "/mug/sn_f1c5b9bb744afd96d6e1954365b10b52/rendering/10.obj", "12.7163696289")</f>
        <v>12.7163696289</v>
      </c>
      <c r="N1843" s="230" t="str">
        <f>HYPERLINK(AA2 &amp; "/mug/sn_f1c5b9bb744afd96d6e1954365b10b52/rendering/11.obj", "23.7553443909")</f>
        <v>23.7553443909</v>
      </c>
      <c r="O1843" s="82" t="str">
        <f>HYPERLINK(AA2 &amp; "/mug/sn_f1c5b9bb744afd96d6e1954365b10b52/rendering/12.obj", "19.6724872589")</f>
        <v>19.6724872589</v>
      </c>
      <c r="P1843" s="97" t="str">
        <f>HYPERLINK(AA2 &amp; "/mug/sn_f1c5b9bb744afd96d6e1954365b10b52/rendering/13.obj", "9.22605037689")</f>
        <v>9.22605037689</v>
      </c>
      <c r="Q1843" s="198" t="str">
        <f>HYPERLINK(AA2 &amp; "/mug/sn_f1c5b9bb744afd96d6e1954365b10b52/rendering/14.obj", "9.99749183655")</f>
        <v>9.99749183655</v>
      </c>
      <c r="R1843" s="27" t="str">
        <f>HYPERLINK(AA2 &amp; "/mug/sn_f1c5b9bb744afd96d6e1954365b10b52/rendering/15.obj", "15.1612024307")</f>
        <v>15.1612024307</v>
      </c>
      <c r="S1843" s="203" t="str">
        <f>HYPERLINK(AA2 &amp; "/mug/sn_f1c5b9bb744afd96d6e1954365b10b52/rendering/16.obj", "8.70593833923")</f>
        <v>8.70593833923</v>
      </c>
      <c r="T1843" s="136" t="str">
        <f>HYPERLINK(AA2 &amp; "/mug/sn_f1c5b9bb744afd96d6e1954365b10b52/rendering/17.obj", "12.4317073822")</f>
        <v>12.4317073822</v>
      </c>
      <c r="U1843" s="143" t="str">
        <f>HYPERLINK(AA2 &amp; "/mug/sn_f1c5b9bb744afd96d6e1954365b10b52/rendering/18.obj", "24.0167808533")</f>
        <v>24.0167808533</v>
      </c>
      <c r="V1843" s="97" t="str">
        <f>HYPERLINK(AA2 &amp; "/mug/sn_f1c5b9bb744afd96d6e1954365b10b52/rendering/19.obj", "9.20602989197")</f>
        <v>9.20602989197</v>
      </c>
      <c r="W1843" s="12" t="s">
        <v>30</v>
      </c>
      <c r="X1843" s="13">
        <v>16.30640435218811</v>
      </c>
      <c r="Y1843" s="13">
        <v>7.6504081042831151</v>
      </c>
      <c r="Z1843" s="159">
        <v>0.46916585281760959</v>
      </c>
    </row>
    <row r="1844" spans="1:26" x14ac:dyDescent="0.2">
      <c r="A1844" s="1">
        <v>1842</v>
      </c>
      <c r="B1844" s="2" t="s">
        <v>401</v>
      </c>
      <c r="C1844" s="33" t="str">
        <f>HYPERLINK(AB2 &amp; "/mug/sn_f1c5b9bb744afd96d6e1954365b10b52/rendering/00.obj", "4.24735443115")</f>
        <v>4.24735443115</v>
      </c>
      <c r="D1844" s="34" t="str">
        <f>HYPERLINK(AB2 &amp; "/mug/sn_f1c5b9bb744afd96d6e1954365b10b52/rendering/01.obj", "3.64617614746")</f>
        <v>3.64617614746</v>
      </c>
      <c r="E1844" s="51" t="str">
        <f>HYPERLINK(AB2 &amp; "/mug/sn_f1c5b9bb744afd96d6e1954365b10b52/rendering/02.obj", "3.51807556152")</f>
        <v>3.51807556152</v>
      </c>
      <c r="F1844" s="28" t="str">
        <f>HYPERLINK(AB2 &amp; "/mug/sn_f1c5b9bb744afd96d6e1954365b10b52/rendering/03.obj", "3.39544006348")</f>
        <v>3.39544006348</v>
      </c>
      <c r="G1844" s="31" t="str">
        <f>HYPERLINK(AB2 &amp; "/mug/sn_f1c5b9bb744afd96d6e1954365b10b52/rendering/04.obj", "4.4191973877")</f>
        <v>4.4191973877</v>
      </c>
      <c r="H1844" s="84" t="str">
        <f>HYPERLINK(AB2 &amp; "/mug/sn_f1c5b9bb744afd96d6e1954365b10b52/rendering/05.obj", "4.38134155273")</f>
        <v>4.38134155273</v>
      </c>
      <c r="I1844" s="80" t="str">
        <f>HYPERLINK(AB2 &amp; "/mug/sn_f1c5b9bb744afd96d6e1954365b10b52/rendering/06.obj", "3.26103759766")</f>
        <v>3.26103759766</v>
      </c>
      <c r="J1844" s="133" t="str">
        <f>HYPERLINK(AB2 &amp; "/mug/sn_f1c5b9bb744afd96d6e1954365b10b52/rendering/07.obj", "3.4314074707")</f>
        <v>3.4314074707</v>
      </c>
      <c r="K1844" s="46" t="str">
        <f>HYPERLINK(AB2 &amp; "/mug/sn_f1c5b9bb744afd96d6e1954365b10b52/rendering/08.obj", "3.7638458252")</f>
        <v>3.7638458252</v>
      </c>
      <c r="L1844" s="78" t="str">
        <f>HYPERLINK(AB2 &amp; "/mug/sn_f1c5b9bb744afd96d6e1954365b10b52/rendering/09.obj", "3.59209259033")</f>
        <v>3.59209259033</v>
      </c>
      <c r="M1844" s="48" t="str">
        <f>HYPERLINK(AB2 &amp; "/mug/sn_f1c5b9bb744afd96d6e1954365b10b52/rendering/10.obj", "3.73720458984")</f>
        <v>3.73720458984</v>
      </c>
      <c r="N1844" s="175" t="str">
        <f>HYPERLINK(AB2 &amp; "/mug/sn_f1c5b9bb744afd96d6e1954365b10b52/rendering/11.obj", "4.72747955322")</f>
        <v>4.72747955322</v>
      </c>
      <c r="O1844" s="29" t="str">
        <f>HYPERLINK(AB2 &amp; "/mug/sn_f1c5b9bb744afd96d6e1954365b10b52/rendering/12.obj", "3.33295166016")</f>
        <v>3.33295166016</v>
      </c>
      <c r="P1844" s="30" t="str">
        <f>HYPERLINK(AB2 &amp; "/mug/sn_f1c5b9bb744afd96d6e1954365b10b52/rendering/13.obj", "3.84101013184")</f>
        <v>3.84101013184</v>
      </c>
      <c r="Q1844" s="136" t="str">
        <f>HYPERLINK(AB2 &amp; "/mug/sn_f1c5b9bb744afd96d6e1954365b10b52/rendering/14.obj", "4.73045837402")</f>
        <v>4.73045837402</v>
      </c>
      <c r="R1844" s="8" t="str">
        <f>HYPERLINK(AB2 &amp; "/mug/sn_f1c5b9bb744afd96d6e1954365b10b52/rendering/15.obj", "4.37193572998")</f>
        <v>4.37193572998</v>
      </c>
      <c r="S1844" s="90" t="str">
        <f>HYPERLINK(AB2 &amp; "/mug/sn_f1c5b9bb744afd96d6e1954365b10b52/rendering/16.obj", "3.46561523437")</f>
        <v>3.46561523437</v>
      </c>
      <c r="T1844" s="17" t="str">
        <f>HYPERLINK(AB2 &amp; "/mug/sn_f1c5b9bb744afd96d6e1954365b10b52/rendering/17.obj", "3.74479370117")</f>
        <v>3.74479370117</v>
      </c>
      <c r="U1844" s="67" t="str">
        <f>HYPERLINK(AB2 &amp; "/mug/sn_f1c5b9bb744afd96d6e1954365b10b52/rendering/18.obj", "3.47694824219")</f>
        <v>3.47694824219</v>
      </c>
      <c r="V1844" s="90" t="str">
        <f>HYPERLINK(AB2 &amp; "/mug/sn_f1c5b9bb744afd96d6e1954365b10b52/rendering/19.obj", "3.46718902588")</f>
        <v>3.46718902588</v>
      </c>
      <c r="W1844" s="12" t="s">
        <v>31</v>
      </c>
      <c r="X1844" s="13">
        <v>3.827577743530274</v>
      </c>
      <c r="Y1844" s="13">
        <v>0.46102014731868862</v>
      </c>
      <c r="Z1844" s="63">
        <v>0.1204469714816237</v>
      </c>
    </row>
    <row r="1845" spans="1:26" x14ac:dyDescent="0.2">
      <c r="A1845" s="1">
        <v>1843</v>
      </c>
      <c r="B1845" s="2" t="s">
        <v>401</v>
      </c>
      <c r="C1845" s="46" t="str">
        <f>HYPERLINK(AB2 &amp; "/mug/sn_f1c5b9bb744afd96d6e1954365b10b52/rendering/00.obj", "6.96044111252")</f>
        <v>6.96044111252</v>
      </c>
      <c r="D1845" s="34" t="str">
        <f>HYPERLINK(AB2 &amp; "/mug/sn_f1c5b9bb744afd96d6e1954365b10b52/rendering/01.obj", "6.72964906693")</f>
        <v>6.72964906693</v>
      </c>
      <c r="E1845" s="5" t="str">
        <f>HYPERLINK(AB2 &amp; "/mug/sn_f1c5b9bb744afd96d6e1954365b10b52/rendering/02.obj", "6.52217054367")</f>
        <v>6.52217054367</v>
      </c>
      <c r="F1845" s="69" t="str">
        <f>HYPERLINK(AB2 &amp; "/mug/sn_f1c5b9bb744afd96d6e1954365b10b52/rendering/03.obj", "7.27983140945")</f>
        <v>7.27983140945</v>
      </c>
      <c r="G1845" s="68" t="str">
        <f>HYPERLINK(AB2 &amp; "/mug/sn_f1c5b9bb744afd96d6e1954365b10b52/rendering/04.obj", "7.3772521019")</f>
        <v>7.3772521019</v>
      </c>
      <c r="H1845" s="32" t="str">
        <f>HYPERLINK(AB2 &amp; "/mug/sn_f1c5b9bb744afd96d6e1954365b10b52/rendering/05.obj", "7.81553602219")</f>
        <v>7.81553602219</v>
      </c>
      <c r="I1845" s="78" t="str">
        <f>HYPERLINK(AB2 &amp; "/mug/sn_f1c5b9bb744afd96d6e1954365b10b52/rendering/06.obj", "6.63710069656")</f>
        <v>6.63710069656</v>
      </c>
      <c r="J1845" s="10" t="str">
        <f>HYPERLINK(AB2 &amp; "/mug/sn_f1c5b9bb744afd96d6e1954365b10b52/rendering/07.obj", "6.68768835068")</f>
        <v>6.68768835068</v>
      </c>
      <c r="K1845" s="72" t="str">
        <f>HYPERLINK(AB2 &amp; "/mug/sn_f1c5b9bb744afd96d6e1954365b10b52/rendering/08.obj", "6.84333086014")</f>
        <v>6.84333086014</v>
      </c>
      <c r="L1845" s="68" t="str">
        <f>HYPERLINK(AB2 &amp; "/mug/sn_f1c5b9bb744afd96d6e1954365b10b52/rendering/09.obj", "6.78099489212")</f>
        <v>6.78099489212</v>
      </c>
      <c r="M1845" s="35" t="str">
        <f>HYPERLINK(AB2 &amp; "/mug/sn_f1c5b9bb744afd96d6e1954365b10b52/rendering/10.obj", "7.47891187668")</f>
        <v>7.47891187668</v>
      </c>
      <c r="N1845" s="68" t="str">
        <f>HYPERLINK(AB2 &amp; "/mug/sn_f1c5b9bb744afd96d6e1954365b10b52/rendering/11.obj", "6.78173589706")</f>
        <v>6.78173589706</v>
      </c>
      <c r="O1845" s="47" t="str">
        <f>HYPERLINK(AB2 &amp; "/mug/sn_f1c5b9bb744afd96d6e1954365b10b52/rendering/12.obj", "7.12680387497")</f>
        <v>7.12680387497</v>
      </c>
      <c r="P1845" s="25" t="str">
        <f>HYPERLINK(AB2 &amp; "/mug/sn_f1c5b9bb744afd96d6e1954365b10b52/rendering/13.obj", "7.14550065994")</f>
        <v>7.14550065994</v>
      </c>
      <c r="Q1845" s="27" t="str">
        <f>HYPERLINK(AB2 &amp; "/mug/sn_f1c5b9bb744afd96d6e1954365b10b52/rendering/14.obj", "7.57949638367")</f>
        <v>7.57949638367</v>
      </c>
      <c r="R1845" s="26" t="str">
        <f>HYPERLINK(AB2 &amp; "/mug/sn_f1c5b9bb744afd96d6e1954365b10b52/rendering/15.obj", "7.52939891815")</f>
        <v>7.52939891815</v>
      </c>
      <c r="S1845" s="17" t="str">
        <f>HYPERLINK(AB2 &amp; "/mug/sn_f1c5b9bb744afd96d6e1954365b10b52/rendering/16.obj", "6.933801651")</f>
        <v>6.933801651</v>
      </c>
      <c r="T1845" s="69" t="str">
        <f>HYPERLINK(AB2 &amp; "/mug/sn_f1c5b9bb744afd96d6e1954365b10b52/rendering/17.obj", "6.86570882797")</f>
        <v>6.86570882797</v>
      </c>
      <c r="U1845" s="25" t="str">
        <f>HYPERLINK(AB2 &amp; "/mug/sn_f1c5b9bb744afd96d6e1954365b10b52/rendering/18.obj", "7.15306138992")</f>
        <v>7.15306138992</v>
      </c>
      <c r="V1845" s="69" t="str">
        <f>HYPERLINK(AB2 &amp; "/mug/sn_f1c5b9bb744afd96d6e1954365b10b52/rendering/19.obj", "7.28203773499")</f>
        <v>7.28203773499</v>
      </c>
      <c r="W1845" s="12" t="s">
        <v>32</v>
      </c>
      <c r="X1845" s="13">
        <v>7.0755226135253908</v>
      </c>
      <c r="Y1845" s="13">
        <v>0.34871787102227231</v>
      </c>
      <c r="Z1845" s="34">
        <v>4.9285104446655577E-2</v>
      </c>
    </row>
    <row r="1846" spans="1:26" x14ac:dyDescent="0.2">
      <c r="A1846" s="1">
        <v>1844</v>
      </c>
      <c r="B1846" s="2" t="s">
        <v>401</v>
      </c>
      <c r="C1846" s="13" t="str">
        <f>HYPERLINK(AC2 &amp; "/mug/sn_f1c5b9bb744afd96d6e1954365b10b52/rendering/00.xyz", "0.0")</f>
        <v>0.0</v>
      </c>
      <c r="D1846" s="13" t="str">
        <f>HYPERLINK(AC2 &amp; "/mug/sn_f1c5b9bb744afd96d6e1954365b10b52/rendering/01.xyz", "0.0")</f>
        <v>0.0</v>
      </c>
      <c r="E1846" s="13" t="str">
        <f>HYPERLINK(AC2 &amp; "/mug/sn_f1c5b9bb744afd96d6e1954365b10b52/rendering/02.xyz", "0.0")</f>
        <v>0.0</v>
      </c>
      <c r="F1846" s="13" t="str">
        <f>HYPERLINK(AC2 &amp; "/mug/sn_f1c5b9bb744afd96d6e1954365b10b52/rendering/03.xyz", "0.0")</f>
        <v>0.0</v>
      </c>
      <c r="G1846" s="13" t="str">
        <f>HYPERLINK(AC2 &amp; "/mug/sn_f1c5b9bb744afd96d6e1954365b10b52/rendering/04.xyz", "0.0")</f>
        <v>0.0</v>
      </c>
      <c r="H1846" s="13" t="str">
        <f>HYPERLINK(AC2 &amp; "/mug/sn_f1c5b9bb744afd96d6e1954365b10b52/rendering/05.xyz", "0.0")</f>
        <v>0.0</v>
      </c>
      <c r="I1846" s="13" t="str">
        <f>HYPERLINK(AC2 &amp; "/mug/sn_f1c5b9bb744afd96d6e1954365b10b52/rendering/06.xyz", "0.0")</f>
        <v>0.0</v>
      </c>
      <c r="J1846" s="13" t="str">
        <f>HYPERLINK(AC2 &amp; "/mug/sn_f1c5b9bb744afd96d6e1954365b10b52/rendering/07.xyz", "0.0")</f>
        <v>0.0</v>
      </c>
      <c r="K1846" s="13" t="str">
        <f>HYPERLINK(AC2 &amp; "/mug/sn_f1c5b9bb744afd96d6e1954365b10b52/rendering/08.xyz", "0.0")</f>
        <v>0.0</v>
      </c>
      <c r="L1846" s="13" t="str">
        <f>HYPERLINK(AC2 &amp; "/mug/sn_f1c5b9bb744afd96d6e1954365b10b52/rendering/09.xyz", "0.0")</f>
        <v>0.0</v>
      </c>
      <c r="M1846" s="13" t="str">
        <f>HYPERLINK(AC2 &amp; "/mug/sn_f1c5b9bb744afd96d6e1954365b10b52/rendering/10.xyz", "0.0")</f>
        <v>0.0</v>
      </c>
      <c r="N1846" s="13" t="str">
        <f>HYPERLINK(AC2 &amp; "/mug/sn_f1c5b9bb744afd96d6e1954365b10b52/rendering/11.xyz", "0.0")</f>
        <v>0.0</v>
      </c>
      <c r="O1846" s="13" t="str">
        <f>HYPERLINK(AC2 &amp; "/mug/sn_f1c5b9bb744afd96d6e1954365b10b52/rendering/12.xyz", "0.0")</f>
        <v>0.0</v>
      </c>
      <c r="P1846" s="13" t="str">
        <f>HYPERLINK(AC2 &amp; "/mug/sn_f1c5b9bb744afd96d6e1954365b10b52/rendering/13.xyz", "0.0")</f>
        <v>0.0</v>
      </c>
      <c r="Q1846" s="13" t="str">
        <f>HYPERLINK(AC2 &amp; "/mug/sn_f1c5b9bb744afd96d6e1954365b10b52/rendering/14.xyz", "0.0")</f>
        <v>0.0</v>
      </c>
      <c r="R1846" s="13" t="str">
        <f>HYPERLINK(AC2 &amp; "/mug/sn_f1c5b9bb744afd96d6e1954365b10b52/rendering/15.xyz", "0.0")</f>
        <v>0.0</v>
      </c>
      <c r="S1846" s="13" t="str">
        <f>HYPERLINK(AC2 &amp; "/mug/sn_f1c5b9bb744afd96d6e1954365b10b52/rendering/16.xyz", "0.0")</f>
        <v>0.0</v>
      </c>
      <c r="T1846" s="13" t="str">
        <f>HYPERLINK(AC2 &amp; "/mug/sn_f1c5b9bb744afd96d6e1954365b10b52/rendering/17.xyz", "0.0")</f>
        <v>0.0</v>
      </c>
      <c r="U1846" s="13" t="str">
        <f>HYPERLINK(AC2 &amp; "/mug/sn_f1c5b9bb744afd96d6e1954365b10b52/rendering/18.xyz", "0.0")</f>
        <v>0.0</v>
      </c>
      <c r="V1846" s="13" t="str">
        <f>HYPERLINK(AC2 &amp; "/mug/sn_f1c5b9bb744afd96d6e1954365b10b52/rendering/19.xyz", "0.0")</f>
        <v>0.0</v>
      </c>
      <c r="W1846" s="12" t="s">
        <v>33</v>
      </c>
      <c r="X1846" s="13">
        <v>0</v>
      </c>
      <c r="Y1846" s="13">
        <v>0</v>
      </c>
      <c r="Z1846" s="13">
        <v>0</v>
      </c>
    </row>
    <row r="1847" spans="1:26" x14ac:dyDescent="0.2">
      <c r="A1847" s="1">
        <v>1845</v>
      </c>
      <c r="B1847" s="2" t="s">
        <v>402</v>
      </c>
      <c r="C1847" s="95" t="str">
        <f>HYPERLINK(AA2 &amp; "/mug/sn_f23a544c04e2f5ccb50d0c6a0c254040/rendering/00.obj", "8.57291015625")</f>
        <v>8.57291015625</v>
      </c>
      <c r="D1847" s="169" t="str">
        <f>HYPERLINK(AA2 &amp; "/mug/sn_f23a544c04e2f5ccb50d0c6a0c254040/rendering/01.obj", "4.59630126953")</f>
        <v>4.59630126953</v>
      </c>
      <c r="E1847" s="20" t="str">
        <f>HYPERLINK(AA2 &amp; "/mug/sn_f23a544c04e2f5ccb50d0c6a0c254040/rendering/02.obj", "12.5157373047")</f>
        <v>12.5157373047</v>
      </c>
      <c r="F1847" s="20" t="str">
        <f>HYPERLINK(AA2 &amp; "/mug/sn_f23a544c04e2f5ccb50d0c6a0c254040/rendering/03.obj", "13.3359729004")</f>
        <v>13.3359729004</v>
      </c>
      <c r="G1847" s="61" t="str">
        <f>HYPERLINK(AA2 &amp; "/mug/sn_f23a544c04e2f5ccb50d0c6a0c254040/rendering/04.obj", "4.65477478027")</f>
        <v>4.65477478027</v>
      </c>
      <c r="H1847" s="74" t="str">
        <f>HYPERLINK(AA2 &amp; "/mug/sn_f23a544c04e2f5ccb50d0c6a0c254040/rendering/05.obj", "6.5826940918")</f>
        <v>6.5826940918</v>
      </c>
      <c r="I1847" s="132" t="str">
        <f>HYPERLINK(AA2 &amp; "/mug/sn_f23a544c04e2f5ccb50d0c6a0c254040/rendering/06.obj", "3.89406738281")</f>
        <v>3.89406738281</v>
      </c>
      <c r="J1847" s="85" t="str">
        <f>HYPERLINK(AA2 &amp; "/mug/sn_f23a544c04e2f5ccb50d0c6a0c254040/rendering/07.obj", "4.69507049561")</f>
        <v>4.69507049561</v>
      </c>
      <c r="K1847" s="55" t="str">
        <f>HYPERLINK(AA2 &amp; "/mug/sn_f23a544c04e2f5ccb50d0c6a0c254040/rendering/08.obj", "5.40570373535")</f>
        <v>5.40570373535</v>
      </c>
      <c r="L1847" s="171" t="str">
        <f>HYPERLINK(AA2 &amp; "/mug/sn_f23a544c04e2f5ccb50d0c6a0c254040/rendering/09.obj", "8.72899047852")</f>
        <v>8.72899047852</v>
      </c>
      <c r="M1847" s="17" t="str">
        <f>HYPERLINK(AA2 &amp; "/mug/sn_f23a544c04e2f5ccb50d0c6a0c254040/rendering/10.obj", "6.55975708008")</f>
        <v>6.55975708008</v>
      </c>
      <c r="N1847" s="76" t="str">
        <f>HYPERLINK(AA2 &amp; "/mug/sn_f23a544c04e2f5ccb50d0c6a0c254040/rendering/11.obj", "5.46042297363")</f>
        <v>5.46042297363</v>
      </c>
      <c r="O1847" s="32" t="str">
        <f>HYPERLINK(AA2 &amp; "/mug/sn_f23a544c04e2f5ccb50d0c6a0c254040/rendering/12.obj", "5.99322753906")</f>
        <v>5.99322753906</v>
      </c>
      <c r="P1847" s="77" t="str">
        <f>HYPERLINK(AA2 &amp; "/mug/sn_f23a544c04e2f5ccb50d0c6a0c254040/rendering/13.obj", "5.43420288086")</f>
        <v>5.43420288086</v>
      </c>
      <c r="Q1847" s="90" t="str">
        <f>HYPERLINK(AA2 &amp; "/mug/sn_f23a544c04e2f5ccb50d0c6a0c254040/rendering/14.obj", "6.04750244141")</f>
        <v>6.04750244141</v>
      </c>
      <c r="R1847" s="116" t="str">
        <f>HYPERLINK(AA2 &amp; "/mug/sn_f23a544c04e2f5ccb50d0c6a0c254040/rendering/15.obj", "9.60885131836")</f>
        <v>9.60885131836</v>
      </c>
      <c r="S1847" s="198" t="str">
        <f>HYPERLINK(AA2 &amp; "/mug/sn_f23a544c04e2f5ccb50d0c6a0c254040/rendering/16.obj", "4.09691162109")</f>
        <v>4.09691162109</v>
      </c>
      <c r="T1847" s="74" t="str">
        <f>HYPERLINK(AA2 &amp; "/mug/sn_f23a544c04e2f5ccb50d0c6a0c254040/rendering/17.obj", "6.78028137207")</f>
        <v>6.78028137207</v>
      </c>
      <c r="U1847" s="134" t="str">
        <f>HYPERLINK(AA2 &amp; "/mug/sn_f23a544c04e2f5ccb50d0c6a0c254040/rendering/18.obj", "5.47974243164")</f>
        <v>5.47974243164</v>
      </c>
      <c r="V1847" s="49" t="str">
        <f>HYPERLINK(AA2 &amp; "/mug/sn_f23a544c04e2f5ccb50d0c6a0c254040/rendering/19.obj", "5.28170776367")</f>
        <v>5.28170776367</v>
      </c>
      <c r="W1847" s="12" t="s">
        <v>29</v>
      </c>
      <c r="X1847" s="13">
        <v>6.6862415008544929</v>
      </c>
      <c r="Y1847" s="13">
        <v>2.554392857795452</v>
      </c>
      <c r="Z1847" s="124">
        <v>0.3820371814971093</v>
      </c>
    </row>
    <row r="1848" spans="1:26" x14ac:dyDescent="0.2">
      <c r="A1848" s="1">
        <v>1846</v>
      </c>
      <c r="B1848" s="2" t="s">
        <v>402</v>
      </c>
      <c r="C1848" s="181" t="str">
        <f>HYPERLINK(AA2 &amp; "/mug/sn_f23a544c04e2f5ccb50d0c6a0c254040/rendering/00.obj", "20.7835464478")</f>
        <v>20.7835464478</v>
      </c>
      <c r="D1848" s="149" t="str">
        <f>HYPERLINK(AA2 &amp; "/mug/sn_f23a544c04e2f5ccb50d0c6a0c254040/rendering/01.obj", "9.43822956085")</f>
        <v>9.43822956085</v>
      </c>
      <c r="E1848" s="20" t="str">
        <f>HYPERLINK(AA2 &amp; "/mug/sn_f23a544c04e2f5ccb50d0c6a0c254040/rendering/02.obj", "29.8726444244")</f>
        <v>29.8726444244</v>
      </c>
      <c r="F1848" s="20" t="str">
        <f>HYPERLINK(AA2 &amp; "/mug/sn_f23a544c04e2f5ccb50d0c6a0c254040/rendering/03.obj", "30.2944126129")</f>
        <v>30.2944126129</v>
      </c>
      <c r="G1848" s="61" t="str">
        <f>HYPERLINK(AA2 &amp; "/mug/sn_f23a544c04e2f5ccb50d0c6a0c254040/rendering/04.obj", "10.0451440811")</f>
        <v>10.0451440811</v>
      </c>
      <c r="H1848" s="91" t="str">
        <f>HYPERLINK(AA2 &amp; "/mug/sn_f23a544c04e2f5ccb50d0c6a0c254040/rendering/05.obj", "14.0197105408")</f>
        <v>14.0197105408</v>
      </c>
      <c r="I1848" s="177" t="str">
        <f>HYPERLINK(AA2 &amp; "/mug/sn_f23a544c04e2f5ccb50d0c6a0c254040/rendering/06.obj", "6.67918109894")</f>
        <v>6.67918109894</v>
      </c>
      <c r="J1848" s="185" t="str">
        <f>HYPERLINK(AA2 &amp; "/mug/sn_f23a544c04e2f5ccb50d0c6a0c254040/rendering/07.obj", "9.47093200684")</f>
        <v>9.47093200684</v>
      </c>
      <c r="K1848" s="120" t="str">
        <f>HYPERLINK(AA2 &amp; "/mug/sn_f23a544c04e2f5ccb50d0c6a0c254040/rendering/08.obj", "11.3539676666")</f>
        <v>11.3539676666</v>
      </c>
      <c r="L1848" s="132" t="str">
        <f>HYPERLINK(AA2 &amp; "/mug/sn_f23a544c04e2f5ccb50d0c6a0c254040/rendering/09.obj", "20.4269561768")</f>
        <v>20.4269561768</v>
      </c>
      <c r="M1848" s="44" t="str">
        <f>HYPERLINK(AA2 &amp; "/mug/sn_f23a544c04e2f5ccb50d0c6a0c254040/rendering/10.obj", "11.5570898056")</f>
        <v>11.5570898056</v>
      </c>
      <c r="N1848" s="14" t="str">
        <f>HYPERLINK(AA2 &amp; "/mug/sn_f23a544c04e2f5ccb50d0c6a0c254040/rendering/11.obj", "10.1933956146")</f>
        <v>10.1933956146</v>
      </c>
      <c r="O1848" s="80" t="str">
        <f>HYPERLINK(AA2 &amp; "/mug/sn_f23a544c04e2f5ccb50d0c6a0c254040/rendering/12.obj", "12.2593240738")</f>
        <v>12.2593240738</v>
      </c>
      <c r="P1848" s="57" t="str">
        <f>HYPERLINK(AA2 &amp; "/mug/sn_f23a544c04e2f5ccb50d0c6a0c254040/rendering/13.obj", "9.85454177856")</f>
        <v>9.85454177856</v>
      </c>
      <c r="Q1848" s="17" t="str">
        <f>HYPERLINK(AA2 &amp; "/mug/sn_f23a544c04e2f5ccb50d0c6a0c254040/rendering/14.obj", "14.671002388")</f>
        <v>14.671002388</v>
      </c>
      <c r="R1848" s="159" t="str">
        <f>HYPERLINK(AA2 &amp; "/mug/sn_f23a544c04e2f5ccb50d0c6a0c254040/rendering/15.obj", "21.1473026276")</f>
        <v>21.1473026276</v>
      </c>
      <c r="S1848" s="43" t="str">
        <f>HYPERLINK(AA2 &amp; "/mug/sn_f23a544c04e2f5ccb50d0c6a0c254040/rendering/16.obj", "8.99727725983")</f>
        <v>8.99727725983</v>
      </c>
      <c r="T1848" s="40" t="str">
        <f>HYPERLINK(AA2 &amp; "/mug/sn_f23a544c04e2f5ccb50d0c6a0c254040/rendering/17.obj", "11.9310493469")</f>
        <v>11.9310493469</v>
      </c>
      <c r="U1848" s="67" t="str">
        <f>HYPERLINK(AA2 &amp; "/mug/sn_f23a544c04e2f5ccb50d0c6a0c254040/rendering/18.obj", "13.0591030121")</f>
        <v>13.0591030121</v>
      </c>
      <c r="V1848" s="77" t="str">
        <f>HYPERLINK(AA2 &amp; "/mug/sn_f23a544c04e2f5ccb50d0c6a0c254040/rendering/19.obj", "11.6991643906")</f>
        <v>11.6991643906</v>
      </c>
      <c r="W1848" s="12" t="s">
        <v>30</v>
      </c>
      <c r="X1848" s="13">
        <v>14.38769874572754</v>
      </c>
      <c r="Y1848" s="13">
        <v>6.5077571711506828</v>
      </c>
      <c r="Z1848" s="191">
        <v>0.45231397224543479</v>
      </c>
    </row>
    <row r="1849" spans="1:26" x14ac:dyDescent="0.2">
      <c r="A1849" s="1">
        <v>1847</v>
      </c>
      <c r="B1849" s="2" t="s">
        <v>402</v>
      </c>
      <c r="C1849" s="93" t="str">
        <f>HYPERLINK(AB2 &amp; "/mug/sn_f23a544c04e2f5ccb50d0c6a0c254040/rendering/00.obj", "6.39391113281")</f>
        <v>6.39391113281</v>
      </c>
      <c r="D1849" s="38" t="str">
        <f>HYPERLINK(AB2 &amp; "/mug/sn_f23a544c04e2f5ccb50d0c6a0c254040/rendering/01.obj", "5.09989074707")</f>
        <v>5.09989074707</v>
      </c>
      <c r="E1849" s="170" t="str">
        <f>HYPERLINK(AB2 &amp; "/mug/sn_f23a544c04e2f5ccb50d0c6a0c254040/rendering/02.obj", "7.02355285645")</f>
        <v>7.02355285645</v>
      </c>
      <c r="F1849" s="100" t="str">
        <f>HYPERLINK(AB2 &amp; "/mug/sn_f23a544c04e2f5ccb50d0c6a0c254040/rendering/03.obj", "7.29252807617")</f>
        <v>7.29252807617</v>
      </c>
      <c r="G1849" s="51" t="str">
        <f>HYPERLINK(AB2 &amp; "/mug/sn_f23a544c04e2f5ccb50d0c6a0c254040/rendering/04.obj", "5.15452758789")</f>
        <v>5.15452758789</v>
      </c>
      <c r="H1849" s="66" t="str">
        <f>HYPERLINK(AB2 &amp; "/mug/sn_f23a544c04e2f5ccb50d0c6a0c254040/rendering/05.obj", "6.50976318359")</f>
        <v>6.50976318359</v>
      </c>
      <c r="I1849" s="6" t="str">
        <f>HYPERLINK(AB2 &amp; "/mug/sn_f23a544c04e2f5ccb50d0c6a0c254040/rendering/06.obj", "5.86404907227")</f>
        <v>5.86404907227</v>
      </c>
      <c r="J1849" s="23" t="str">
        <f>HYPERLINK(AB2 &amp; "/mug/sn_f23a544c04e2f5ccb50d0c6a0c254040/rendering/07.obj", "5.83374633789")</f>
        <v>5.83374633789</v>
      </c>
      <c r="K1849" s="28" t="str">
        <f>HYPERLINK(AB2 &amp; "/mug/sn_f23a544c04e2f5ccb50d0c6a0c254040/rendering/08.obj", "4.98163238525")</f>
        <v>4.98163238525</v>
      </c>
      <c r="L1849" s="59" t="str">
        <f>HYPERLINK(AB2 &amp; "/mug/sn_f23a544c04e2f5ccb50d0c6a0c254040/rendering/09.obj", "4.25398193359")</f>
        <v>4.25398193359</v>
      </c>
      <c r="M1849" s="68" t="str">
        <f>HYPERLINK(AB2 &amp; "/mug/sn_f23a544c04e2f5ccb50d0c6a0c254040/rendering/10.obj", "5.84108032227")</f>
        <v>5.84108032227</v>
      </c>
      <c r="N1849" s="48" t="str">
        <f>HYPERLINK(AB2 &amp; "/mug/sn_f23a544c04e2f5ccb50d0c6a0c254040/rendering/11.obj", "5.73233886719")</f>
        <v>5.73233886719</v>
      </c>
      <c r="O1849" s="84" t="str">
        <f>HYPERLINK(AB2 &amp; "/mug/sn_f23a544c04e2f5ccb50d0c6a0c254040/rendering/12.obj", "6.4199206543")</f>
        <v>6.4199206543</v>
      </c>
      <c r="P1849" s="74" t="str">
        <f>HYPERLINK(AB2 &amp; "/mug/sn_f23a544c04e2f5ccb50d0c6a0c254040/rendering/13.obj", "5.53083862305")</f>
        <v>5.53083862305</v>
      </c>
      <c r="Q1849" s="90" t="str">
        <f>HYPERLINK(AB2 &amp; "/mug/sn_f23a544c04e2f5ccb50d0c6a0c254040/rendering/14.obj", "5.06862121582")</f>
        <v>5.06862121582</v>
      </c>
      <c r="R1849" s="108" t="str">
        <f>HYPERLINK(AB2 &amp; "/mug/sn_f23a544c04e2f5ccb50d0c6a0c254040/rendering/15.obj", "4.22202819824")</f>
        <v>4.22202819824</v>
      </c>
      <c r="S1849" s="72" t="str">
        <f>HYPERLINK(AB2 &amp; "/mug/sn_f23a544c04e2f5ccb50d0c6a0c254040/rendering/16.obj", "5.78821228027")</f>
        <v>5.78821228027</v>
      </c>
      <c r="T1849" s="133" t="str">
        <f>HYPERLINK(AB2 &amp; "/mug/sn_f23a544c04e2f5ccb50d0c6a0c254040/rendering/17.obj", "5.04036499023")</f>
        <v>5.04036499023</v>
      </c>
      <c r="U1849" s="65" t="str">
        <f>HYPERLINK(AB2 &amp; "/mug/sn_f23a544c04e2f5ccb50d0c6a0c254040/rendering/18.obj", "4.8562097168")</f>
        <v>4.8562097168</v>
      </c>
      <c r="V1849" s="26" t="str">
        <f>HYPERLINK(AB2 &amp; "/mug/sn_f23a544c04e2f5ccb50d0c6a0c254040/rendering/19.obj", "5.24868530273")</f>
        <v>5.24868530273</v>
      </c>
      <c r="W1849" s="12" t="s">
        <v>31</v>
      </c>
      <c r="X1849" s="13">
        <v>5.6077941741943356</v>
      </c>
      <c r="Y1849" s="13">
        <v>0.80851956370317524</v>
      </c>
      <c r="Z1849" s="8">
        <v>0.14417782439729679</v>
      </c>
    </row>
    <row r="1850" spans="1:26" x14ac:dyDescent="0.2">
      <c r="A1850" s="1">
        <v>1848</v>
      </c>
      <c r="B1850" s="2" t="s">
        <v>402</v>
      </c>
      <c r="C1850" s="77" t="str">
        <f>HYPERLINK(AB2 &amp; "/mug/sn_f23a544c04e2f5ccb50d0c6a0c254040/rendering/00.obj", "11.4976959229")</f>
        <v>11.4976959229</v>
      </c>
      <c r="D1850" s="107" t="str">
        <f>HYPERLINK(AB2 &amp; "/mug/sn_f23a544c04e2f5ccb50d0c6a0c254040/rendering/01.obj", "8.86712169647")</f>
        <v>8.86712169647</v>
      </c>
      <c r="E1850" s="150" t="str">
        <f>HYPERLINK(AB2 &amp; "/mug/sn_f23a544c04e2f5ccb50d0c6a0c254040/rendering/02.obj", "14.8782348633")</f>
        <v>14.8782348633</v>
      </c>
      <c r="F1850" s="96" t="str">
        <f>HYPERLINK(AB2 &amp; "/mug/sn_f23a544c04e2f5ccb50d0c6a0c254040/rendering/03.obj", "13.1830787659")</f>
        <v>13.1830787659</v>
      </c>
      <c r="G1850" s="63" t="str">
        <f>HYPERLINK(AB2 &amp; "/mug/sn_f23a544c04e2f5ccb50d0c6a0c254040/rendering/04.obj", "8.51683807373")</f>
        <v>8.51683807373</v>
      </c>
      <c r="H1850" s="58" t="str">
        <f>HYPERLINK(AB2 &amp; "/mug/sn_f23a544c04e2f5ccb50d0c6a0c254040/rendering/05.obj", "12.0436515808")</f>
        <v>12.0436515808</v>
      </c>
      <c r="I1850" s="46" t="str">
        <f>HYPERLINK(AB2 &amp; "/mug/sn_f23a544c04e2f5ccb50d0c6a0c254040/rendering/06.obj", "9.52262687683")</f>
        <v>9.52262687683</v>
      </c>
      <c r="J1850" s="117" t="str">
        <f>HYPERLINK(AB2 &amp; "/mug/sn_f23a544c04e2f5ccb50d0c6a0c254040/rendering/07.obj", "7.96112442017")</f>
        <v>7.96112442017</v>
      </c>
      <c r="K1850" s="28" t="str">
        <f>HYPERLINK(AB2 &amp; "/mug/sn_f23a544c04e2f5ccb50d0c6a0c254040/rendering/08.obj", "8.61020183563")</f>
        <v>8.61020183563</v>
      </c>
      <c r="L1850" s="135" t="str">
        <f>HYPERLINK(AB2 &amp; "/mug/sn_f23a544c04e2f5ccb50d0c6a0c254040/rendering/09.obj", "7.20876216888")</f>
        <v>7.20876216888</v>
      </c>
      <c r="M1850" s="107" t="str">
        <f>HYPERLINK(AB2 &amp; "/mug/sn_f23a544c04e2f5ccb50d0c6a0c254040/rendering/10.obj", "8.87515258789")</f>
        <v>8.87515258789</v>
      </c>
      <c r="N1850" s="107" t="str">
        <f>HYPERLINK(AB2 &amp; "/mug/sn_f23a544c04e2f5ccb50d0c6a0c254040/rendering/11.obj", "10.4875125885")</f>
        <v>10.4875125885</v>
      </c>
      <c r="O1850" s="79" t="str">
        <f>HYPERLINK(AB2 &amp; "/mug/sn_f23a544c04e2f5ccb50d0c6a0c254040/rendering/12.obj", "11.2196569443")</f>
        <v>11.2196569443</v>
      </c>
      <c r="P1850" s="107" t="str">
        <f>HYPERLINK(AB2 &amp; "/mug/sn_f23a544c04e2f5ccb50d0c6a0c254040/rendering/13.obj", "8.87863731384")</f>
        <v>8.87863731384</v>
      </c>
      <c r="Q1850" s="26" t="str">
        <f>HYPERLINK(AB2 &amp; "/mug/sn_f23a544c04e2f5ccb50d0c6a0c254040/rendering/14.obj", "9.04686641693")</f>
        <v>9.04686641693</v>
      </c>
      <c r="R1850" s="50" t="str">
        <f>HYPERLINK(AB2 &amp; "/mug/sn_f23a544c04e2f5ccb50d0c6a0c254040/rendering/15.obj", "7.75502920151")</f>
        <v>7.75502920151</v>
      </c>
      <c r="S1850" s="72" t="str">
        <f>HYPERLINK(AB2 &amp; "/mug/sn_f23a544c04e2f5ccb50d0c6a0c254040/rendering/16.obj", "9.37337970734")</f>
        <v>9.37337970734</v>
      </c>
      <c r="T1850" s="117" t="str">
        <f>HYPERLINK(AB2 &amp; "/mug/sn_f23a544c04e2f5ccb50d0c6a0c254040/rendering/17.obj", "7.97122716904")</f>
        <v>7.97122716904</v>
      </c>
      <c r="U1850" s="42" t="str">
        <f>HYPERLINK(AB2 &amp; "/mug/sn_f23a544c04e2f5ccb50d0c6a0c254040/rendering/18.obj", "8.35321712494")</f>
        <v>8.35321712494</v>
      </c>
      <c r="V1850" s="69" t="str">
        <f>HYPERLINK(AB2 &amp; "/mug/sn_f23a544c04e2f5ccb50d0c6a0c254040/rendering/19.obj", "9.38648033142")</f>
        <v>9.38648033142</v>
      </c>
      <c r="W1850" s="12" t="s">
        <v>32</v>
      </c>
      <c r="X1850" s="13">
        <v>9.6818247795104977</v>
      </c>
      <c r="Y1850" s="13">
        <v>1.9197381017396591</v>
      </c>
      <c r="Z1850" s="50">
        <v>0.19828267351030479</v>
      </c>
    </row>
    <row r="1851" spans="1:26" x14ac:dyDescent="0.2">
      <c r="A1851" s="1">
        <v>1849</v>
      </c>
      <c r="B1851" s="2" t="s">
        <v>402</v>
      </c>
      <c r="C1851" s="13" t="str">
        <f>HYPERLINK(AC2 &amp; "/mug/sn_f23a544c04e2f5ccb50d0c6a0c254040/rendering/00.xyz", "0.0")</f>
        <v>0.0</v>
      </c>
      <c r="D1851" s="13" t="str">
        <f>HYPERLINK(AC2 &amp; "/mug/sn_f23a544c04e2f5ccb50d0c6a0c254040/rendering/01.xyz", "0.0")</f>
        <v>0.0</v>
      </c>
      <c r="E1851" s="13" t="str">
        <f>HYPERLINK(AC2 &amp; "/mug/sn_f23a544c04e2f5ccb50d0c6a0c254040/rendering/02.xyz", "0.0")</f>
        <v>0.0</v>
      </c>
      <c r="F1851" s="13" t="str">
        <f>HYPERLINK(AC2 &amp; "/mug/sn_f23a544c04e2f5ccb50d0c6a0c254040/rendering/03.xyz", "0.0")</f>
        <v>0.0</v>
      </c>
      <c r="G1851" s="13" t="str">
        <f>HYPERLINK(AC2 &amp; "/mug/sn_f23a544c04e2f5ccb50d0c6a0c254040/rendering/04.xyz", "0.0")</f>
        <v>0.0</v>
      </c>
      <c r="H1851" s="13" t="str">
        <f>HYPERLINK(AC2 &amp; "/mug/sn_f23a544c04e2f5ccb50d0c6a0c254040/rendering/05.xyz", "0.0")</f>
        <v>0.0</v>
      </c>
      <c r="I1851" s="13" t="str">
        <f>HYPERLINK(AC2 &amp; "/mug/sn_f23a544c04e2f5ccb50d0c6a0c254040/rendering/06.xyz", "0.0")</f>
        <v>0.0</v>
      </c>
      <c r="J1851" s="13" t="str">
        <f>HYPERLINK(AC2 &amp; "/mug/sn_f23a544c04e2f5ccb50d0c6a0c254040/rendering/07.xyz", "0.0")</f>
        <v>0.0</v>
      </c>
      <c r="K1851" s="13" t="str">
        <f>HYPERLINK(AC2 &amp; "/mug/sn_f23a544c04e2f5ccb50d0c6a0c254040/rendering/08.xyz", "0.0")</f>
        <v>0.0</v>
      </c>
      <c r="L1851" s="13" t="str">
        <f>HYPERLINK(AC2 &amp; "/mug/sn_f23a544c04e2f5ccb50d0c6a0c254040/rendering/09.xyz", "0.0")</f>
        <v>0.0</v>
      </c>
      <c r="M1851" s="13" t="str">
        <f>HYPERLINK(AC2 &amp; "/mug/sn_f23a544c04e2f5ccb50d0c6a0c254040/rendering/10.xyz", "0.0")</f>
        <v>0.0</v>
      </c>
      <c r="N1851" s="13" t="str">
        <f>HYPERLINK(AC2 &amp; "/mug/sn_f23a544c04e2f5ccb50d0c6a0c254040/rendering/11.xyz", "0.0")</f>
        <v>0.0</v>
      </c>
      <c r="O1851" s="13" t="str">
        <f>HYPERLINK(AC2 &amp; "/mug/sn_f23a544c04e2f5ccb50d0c6a0c254040/rendering/12.xyz", "0.0")</f>
        <v>0.0</v>
      </c>
      <c r="P1851" s="13" t="str">
        <f>HYPERLINK(AC2 &amp; "/mug/sn_f23a544c04e2f5ccb50d0c6a0c254040/rendering/13.xyz", "0.0")</f>
        <v>0.0</v>
      </c>
      <c r="Q1851" s="13" t="str">
        <f>HYPERLINK(AC2 &amp; "/mug/sn_f23a544c04e2f5ccb50d0c6a0c254040/rendering/14.xyz", "0.0")</f>
        <v>0.0</v>
      </c>
      <c r="R1851" s="13" t="str">
        <f>HYPERLINK(AC2 &amp; "/mug/sn_f23a544c04e2f5ccb50d0c6a0c254040/rendering/15.xyz", "0.0")</f>
        <v>0.0</v>
      </c>
      <c r="S1851" s="13" t="str">
        <f>HYPERLINK(AC2 &amp; "/mug/sn_f23a544c04e2f5ccb50d0c6a0c254040/rendering/16.xyz", "0.0")</f>
        <v>0.0</v>
      </c>
      <c r="T1851" s="13" t="str">
        <f>HYPERLINK(AC2 &amp; "/mug/sn_f23a544c04e2f5ccb50d0c6a0c254040/rendering/17.xyz", "0.0")</f>
        <v>0.0</v>
      </c>
      <c r="U1851" s="13" t="str">
        <f>HYPERLINK(AC2 &amp; "/mug/sn_f23a544c04e2f5ccb50d0c6a0c254040/rendering/18.xyz", "0.0")</f>
        <v>0.0</v>
      </c>
      <c r="V1851" s="13" t="str">
        <f>HYPERLINK(AC2 &amp; "/mug/sn_f23a544c04e2f5ccb50d0c6a0c254040/rendering/19.xyz", "0.0")</f>
        <v>0.0</v>
      </c>
      <c r="W1851" s="12" t="s">
        <v>33</v>
      </c>
      <c r="X1851" s="13">
        <v>0</v>
      </c>
      <c r="Y1851" s="13">
        <v>0</v>
      </c>
      <c r="Z1851" s="13">
        <v>0</v>
      </c>
    </row>
    <row r="1852" spans="1:26" x14ac:dyDescent="0.2">
      <c r="A1852" s="1">
        <v>1850</v>
      </c>
      <c r="B1852" s="2" t="s">
        <v>403</v>
      </c>
      <c r="C1852" s="34" t="str">
        <f>HYPERLINK(AA2 &amp; "/mug/sn_f3a7f8198cc50c225f5e789acd4d1122/rendering/00.obj", "6.76770996094")</f>
        <v>6.76770996094</v>
      </c>
      <c r="D1852" s="135" t="str">
        <f>HYPERLINK(AA2 &amp; "/mug/sn_f3a7f8198cc50c225f5e789acd4d1122/rendering/01.obj", "5.30041992188")</f>
        <v>5.30041992188</v>
      </c>
      <c r="E1852" s="20" t="str">
        <f>HYPERLINK(AA2 &amp; "/mug/sn_f3a7f8198cc50c225f5e789acd4d1122/rendering/02.obj", "16.5068151855")</f>
        <v>16.5068151855</v>
      </c>
      <c r="F1852" s="50" t="str">
        <f>HYPERLINK(AA2 &amp; "/mug/sn_f3a7f8198cc50c225f5e789acd4d1122/rendering/03.obj", "8.52009277344")</f>
        <v>8.52009277344</v>
      </c>
      <c r="G1852" s="90" t="str">
        <f>HYPERLINK(AA2 &amp; "/mug/sn_f3a7f8198cc50c225f5e789acd4d1122/rendering/04.obj", "6.42942382813")</f>
        <v>6.42942382813</v>
      </c>
      <c r="H1852" s="81" t="str">
        <f>HYPERLINK(AA2 &amp; "/mug/sn_f3a7f8198cc50c225f5e789acd4d1122/rendering/05.obj", "5.54618225098")</f>
        <v>5.54618225098</v>
      </c>
      <c r="I1852" s="162" t="str">
        <f>HYPERLINK(AA2 &amp; "/mug/sn_f3a7f8198cc50c225f5e789acd4d1122/rendering/06.obj", "4.08589294434")</f>
        <v>4.08589294434</v>
      </c>
      <c r="J1852" s="49" t="str">
        <f>HYPERLINK(AA2 &amp; "/mug/sn_f3a7f8198cc50c225f5e789acd4d1122/rendering/07.obj", "5.63484863281")</f>
        <v>5.63484863281</v>
      </c>
      <c r="K1852" s="136" t="str">
        <f>HYPERLINK(AA2 &amp; "/mug/sn_f3a7f8198cc50c225f5e789acd4d1122/rendering/08.obj", "5.41346252441")</f>
        <v>5.41346252441</v>
      </c>
      <c r="L1852" s="85" t="str">
        <f>HYPERLINK(AA2 &amp; "/mug/sn_f3a7f8198cc50c225f5e789acd4d1122/rendering/09.obj", "5.00563354492")</f>
        <v>5.00563354492</v>
      </c>
      <c r="M1852" s="143" t="str">
        <f>HYPERLINK(AA2 &amp; "/mug/sn_f3a7f8198cc50c225f5e789acd4d1122/rendering/10.obj", "10.458104248")</f>
        <v>10.458104248</v>
      </c>
      <c r="N1852" s="4" t="str">
        <f>HYPERLINK(AA2 &amp; "/mug/sn_f3a7f8198cc50c225f5e789acd4d1122/rendering/11.obj", "5.08798278809")</f>
        <v>5.08798278809</v>
      </c>
      <c r="O1852" s="76" t="str">
        <f>HYPERLINK(AA2 &amp; "/mug/sn_f3a7f8198cc50c225f5e789acd4d1122/rendering/12.obj", "5.80419555664")</f>
        <v>5.80419555664</v>
      </c>
      <c r="P1852" s="134" t="str">
        <f>HYPERLINK(AA2 &amp; "/mug/sn_f3a7f8198cc50c225f5e789acd4d1122/rendering/13.obj", "5.82413330078")</f>
        <v>5.82413330078</v>
      </c>
      <c r="Q1852" s="8" t="str">
        <f>HYPERLINK(AA2 &amp; "/mug/sn_f3a7f8198cc50c225f5e789acd4d1122/rendering/14.obj", "6.10304077148")</f>
        <v>6.10304077148</v>
      </c>
      <c r="R1852" s="30" t="str">
        <f>HYPERLINK(AA2 &amp; "/mug/sn_f3a7f8198cc50c225f5e789acd4d1122/rendering/15.obj", "7.07001586914")</f>
        <v>7.07001586914</v>
      </c>
      <c r="S1852" s="110" t="str">
        <f>HYPERLINK(AA2 &amp; "/mug/sn_f3a7f8198cc50c225f5e789acd4d1122/rendering/16.obj", "6.39452514648")</f>
        <v>6.39452514648</v>
      </c>
      <c r="T1852" s="232" t="str">
        <f>HYPERLINK(AA2 &amp; "/mug/sn_f3a7f8198cc50c225f5e789acd4d1122/rendering/17.obj", "12.6675427246")</f>
        <v>12.6675427246</v>
      </c>
      <c r="U1852" s="145" t="str">
        <f>HYPERLINK(AA2 &amp; "/mug/sn_f3a7f8198cc50c225f5e789acd4d1122/rendering/18.obj", "3.61564208984")</f>
        <v>3.61564208984</v>
      </c>
      <c r="V1852" s="142" t="str">
        <f>HYPERLINK(AA2 &amp; "/mug/sn_f3a7f8198cc50c225f5e789acd4d1122/rendering/19.obj", "9.90004638672")</f>
        <v>9.90004638672</v>
      </c>
      <c r="W1852" s="12" t="s">
        <v>29</v>
      </c>
      <c r="X1852" s="13">
        <v>7.1067855224609371</v>
      </c>
      <c r="Y1852" s="13">
        <v>3.051902822612977</v>
      </c>
      <c r="Z1852" s="179">
        <v>0.42943505371978141</v>
      </c>
    </row>
    <row r="1853" spans="1:26" x14ac:dyDescent="0.2">
      <c r="A1853" s="1">
        <v>1851</v>
      </c>
      <c r="B1853" s="2" t="s">
        <v>403</v>
      </c>
      <c r="C1853" s="11" t="str">
        <f>HYPERLINK(AA2 &amp; "/mug/sn_f3a7f8198cc50c225f5e789acd4d1122/rendering/00.obj", "13.4342746735")</f>
        <v>13.4342746735</v>
      </c>
      <c r="D1853" s="143" t="str">
        <f>HYPERLINK(AA2 &amp; "/mug/sn_f3a7f8198cc50c225f5e789acd4d1122/rendering/01.obj", "9.13941287994")</f>
        <v>9.13941287994</v>
      </c>
      <c r="E1853" s="20" t="str">
        <f>HYPERLINK(AA2 &amp; "/mug/sn_f3a7f8198cc50c225f5e789acd4d1122/rendering/02.obj", "49.5292854309")</f>
        <v>49.5292854309</v>
      </c>
      <c r="F1853" s="168" t="str">
        <f>HYPERLINK(AA2 &amp; "/mug/sn_f3a7f8198cc50c225f5e789acd4d1122/rendering/03.obj", "22.9317398071")</f>
        <v>22.9317398071</v>
      </c>
      <c r="G1853" s="82" t="str">
        <f>HYPERLINK(AA2 &amp; "/mug/sn_f3a7f8198cc50c225f5e789acd4d1122/rendering/04.obj", "20.9329929352")</f>
        <v>20.9329929352</v>
      </c>
      <c r="H1853" s="49" t="str">
        <f>HYPERLINK(AA2 &amp; "/mug/sn_f3a7f8198cc50c225f5e789acd4d1122/rendering/05.obj", "13.7047128677")</f>
        <v>13.7047128677</v>
      </c>
      <c r="I1853" s="217" t="str">
        <f>HYPERLINK(AA2 &amp; "/mug/sn_f3a7f8198cc50c225f5e789acd4d1122/rendering/06.obj", "6.36951065063")</f>
        <v>6.36951065063</v>
      </c>
      <c r="J1853" s="114" t="str">
        <f>HYPERLINK(AA2 &amp; "/mug/sn_f3a7f8198cc50c225f5e789acd4d1122/rendering/07.obj", "9.36672782898")</f>
        <v>9.36672782898</v>
      </c>
      <c r="K1853" s="56" t="str">
        <f>HYPERLINK(AA2 &amp; "/mug/sn_f3a7f8198cc50c225f5e789acd4d1122/rendering/08.obj", "11.9735679626")</f>
        <v>11.9735679626</v>
      </c>
      <c r="L1853" s="130" t="str">
        <f>HYPERLINK(AA2 &amp; "/mug/sn_f3a7f8198cc50c225f5e789acd4d1122/rendering/09.obj", "9.52865028381")</f>
        <v>9.52865028381</v>
      </c>
      <c r="M1853" s="20" t="str">
        <f>HYPERLINK(AA2 &amp; "/mug/sn_f3a7f8198cc50c225f5e789acd4d1122/rendering/10.obj", "33.4382133484")</f>
        <v>33.4382133484</v>
      </c>
      <c r="N1853" s="196" t="str">
        <f>HYPERLINK(AA2 &amp; "/mug/sn_f3a7f8198cc50c225f5e789acd4d1122/rendering/11.obj", "10.4421787262")</f>
        <v>10.4421787262</v>
      </c>
      <c r="O1853" s="117" t="str">
        <f>HYPERLINK(AA2 &amp; "/mug/sn_f3a7f8198cc50c225f5e789acd4d1122/rendering/12.obj", "14.2651948929")</f>
        <v>14.2651948929</v>
      </c>
      <c r="P1853" s="142" t="str">
        <f>HYPERLINK(AA2 &amp; "/mug/sn_f3a7f8198cc50c225f5e789acd4d1122/rendering/13.obj", "10.5119857788")</f>
        <v>10.5119857788</v>
      </c>
      <c r="Q1853" s="134" t="str">
        <f>HYPERLINK(AA2 &amp; "/mug/sn_f3a7f8198cc50c225f5e789acd4d1122/rendering/14.obj", "14.2395744324")</f>
        <v>14.2395744324</v>
      </c>
      <c r="R1853" s="79" t="str">
        <f>HYPERLINK(AA2 &amp; "/mug/sn_f3a7f8198cc50c225f5e789acd4d1122/rendering/15.obj", "14.6171255112")</f>
        <v>14.6171255112</v>
      </c>
      <c r="S1853" s="87" t="str">
        <f>HYPERLINK(AA2 &amp; "/mug/sn_f3a7f8198cc50c225f5e789acd4d1122/rendering/16.obj", "13.4109764099")</f>
        <v>13.4109764099</v>
      </c>
      <c r="T1853" s="20" t="str">
        <f>HYPERLINK(AA2 &amp; "/mug/sn_f3a7f8198cc50c225f5e789acd4d1122/rendering/17.obj", "32.6619529724")</f>
        <v>32.6619529724</v>
      </c>
      <c r="U1853" s="115" t="str">
        <f>HYPERLINK(AA2 &amp; "/mug/sn_f3a7f8198cc50c225f5e789acd4d1122/rendering/18.obj", "6.26533460617")</f>
        <v>6.26533460617</v>
      </c>
      <c r="V1853" s="184" t="str">
        <f>HYPERLINK(AA2 &amp; "/mug/sn_f3a7f8198cc50c225f5e789acd4d1122/rendering/19.obj", "30.1039180756")</f>
        <v>30.1039180756</v>
      </c>
      <c r="W1853" s="12" t="s">
        <v>30</v>
      </c>
      <c r="X1853" s="13">
        <v>17.343366503715519</v>
      </c>
      <c r="Y1853" s="13">
        <v>10.875172928958101</v>
      </c>
      <c r="Z1853" s="189">
        <v>0.62705086273926602</v>
      </c>
    </row>
    <row r="1854" spans="1:26" x14ac:dyDescent="0.2">
      <c r="A1854" s="1">
        <v>1852</v>
      </c>
      <c r="B1854" s="2" t="s">
        <v>403</v>
      </c>
      <c r="C1854" s="69" t="str">
        <f>HYPERLINK(AB2 &amp; "/mug/sn_f3a7f8198cc50c225f5e789acd4d1122/rendering/00.obj", "4.74767089844")</f>
        <v>4.74767089844</v>
      </c>
      <c r="D1854" s="168" t="str">
        <f>HYPERLINK(AB2 &amp; "/mug/sn_f3a7f8198cc50c225f5e789acd4d1122/rendering/01.obj", "3.13221710205")</f>
        <v>3.13221710205</v>
      </c>
      <c r="E1854" s="67" t="str">
        <f>HYPERLINK(AB2 &amp; "/mug/sn_f3a7f8198cc50c225f5e789acd4d1122/rendering/02.obj", "5.04220397949")</f>
        <v>5.04220397949</v>
      </c>
      <c r="F1854" s="37" t="str">
        <f>HYPERLINK(AB2 &amp; "/mug/sn_f3a7f8198cc50c225f5e789acd4d1122/rendering/03.obj", "3.80308532715")</f>
        <v>3.80308532715</v>
      </c>
      <c r="G1854" s="74" t="str">
        <f>HYPERLINK(AB2 &amp; "/mug/sn_f3a7f8198cc50c225f5e789acd4d1122/rendering/04.obj", "4.54478912354")</f>
        <v>4.54478912354</v>
      </c>
      <c r="H1854" s="19" t="str">
        <f>HYPERLINK(AB2 &amp; "/mug/sn_f3a7f8198cc50c225f5e789acd4d1122/rendering/05.obj", "5.81148803711")</f>
        <v>5.81148803711</v>
      </c>
      <c r="I1854" s="67" t="str">
        <f>HYPERLINK(AB2 &amp; "/mug/sn_f3a7f8198cc50c225f5e789acd4d1122/rendering/06.obj", "4.18127502441")</f>
        <v>4.18127502441</v>
      </c>
      <c r="J1854" s="88" t="str">
        <f>HYPERLINK(AB2 &amp; "/mug/sn_f3a7f8198cc50c225f5e789acd4d1122/rendering/07.obj", "3.68430541992")</f>
        <v>3.68430541992</v>
      </c>
      <c r="K1854" s="36" t="str">
        <f>HYPERLINK(AB2 &amp; "/mug/sn_f3a7f8198cc50c225f5e789acd4d1122/rendering/08.obj", "5.60825500488")</f>
        <v>5.60825500488</v>
      </c>
      <c r="L1854" s="74" t="str">
        <f>HYPERLINK(AB2 &amp; "/mug/sn_f3a7f8198cc50c225f5e789acd4d1122/rendering/09.obj", "4.6810760498")</f>
        <v>4.6810760498</v>
      </c>
      <c r="M1854" s="67" t="str">
        <f>HYPERLINK(AB2 &amp; "/mug/sn_f3a7f8198cc50c225f5e789acd4d1122/rendering/10.obj", "5.04284820557")</f>
        <v>5.04284820557</v>
      </c>
      <c r="N1854" s="108" t="str">
        <f>HYPERLINK(AB2 &amp; "/mug/sn_f3a7f8198cc50c225f5e789acd4d1122/rendering/11.obj", "5.75259399414")</f>
        <v>5.75259399414</v>
      </c>
      <c r="O1854" s="65" t="str">
        <f>HYPERLINK(AB2 &amp; "/mug/sn_f3a7f8198cc50c225f5e789acd4d1122/rendering/12.obj", "4.00168334961")</f>
        <v>4.00168334961</v>
      </c>
      <c r="P1854" s="10" t="str">
        <f>HYPERLINK(AB2 &amp; "/mug/sn_f3a7f8198cc50c225f5e789acd4d1122/rendering/13.obj", "4.86710144043")</f>
        <v>4.86710144043</v>
      </c>
      <c r="Q1854" s="134" t="str">
        <f>HYPERLINK(AB2 &amp; "/mug/sn_f3a7f8198cc50c225f5e789acd4d1122/rendering/14.obj", "3.77559692383")</f>
        <v>3.77559692383</v>
      </c>
      <c r="R1854" s="120" t="str">
        <f>HYPERLINK(AB2 &amp; "/mug/sn_f3a7f8198cc50c225f5e789acd4d1122/rendering/15.obj", "5.58983764648")</f>
        <v>5.58983764648</v>
      </c>
      <c r="S1854" s="65" t="str">
        <f>HYPERLINK(AB2 &amp; "/mug/sn_f3a7f8198cc50c225f5e789acd4d1122/rendering/16.obj", "3.99745178223")</f>
        <v>3.99745178223</v>
      </c>
      <c r="T1854" s="84" t="str">
        <f>HYPERLINK(AB2 &amp; "/mug/sn_f3a7f8198cc50c225f5e789acd4d1122/rendering/17.obj", "5.28756225586")</f>
        <v>5.28756225586</v>
      </c>
      <c r="U1854" s="57" t="str">
        <f>HYPERLINK(AB2 &amp; "/mug/sn_f3a7f8198cc50c225f5e789acd4d1122/rendering/18.obj", "3.15131500244")</f>
        <v>3.15131500244</v>
      </c>
      <c r="V1854" s="44" t="str">
        <f>HYPERLINK(AB2 &amp; "/mug/sn_f3a7f8198cc50c225f5e789acd4d1122/rendering/19.obj", "5.51354919434")</f>
        <v>5.51354919434</v>
      </c>
      <c r="W1854" s="12" t="s">
        <v>31</v>
      </c>
      <c r="X1854" s="13">
        <v>4.6107952880859369</v>
      </c>
      <c r="Y1854" s="13">
        <v>0.83350492135724863</v>
      </c>
      <c r="Z1854" s="134">
        <v>0.18077248484897679</v>
      </c>
    </row>
    <row r="1855" spans="1:26" x14ac:dyDescent="0.2">
      <c r="A1855" s="1">
        <v>1853</v>
      </c>
      <c r="B1855" s="2" t="s">
        <v>403</v>
      </c>
      <c r="C1855" s="31" t="str">
        <f>HYPERLINK(AB2 &amp; "/mug/sn_f3a7f8198cc50c225f5e789acd4d1122/rendering/00.obj", "6.50302791595")</f>
        <v>6.50302791595</v>
      </c>
      <c r="D1855" s="43" t="str">
        <f>HYPERLINK(AB2 &amp; "/mug/sn_f3a7f8198cc50c225f5e789acd4d1122/rendering/01.obj", "4.80533885956")</f>
        <v>4.80533885956</v>
      </c>
      <c r="E1855" s="92" t="str">
        <f>HYPERLINK(AB2 &amp; "/mug/sn_f3a7f8198cc50c225f5e789acd4d1122/rendering/02.obj", "6.73937988281")</f>
        <v>6.73937988281</v>
      </c>
      <c r="F1855" s="58" t="str">
        <f>HYPERLINK(AB2 &amp; "/mug/sn_f3a7f8198cc50c225f5e789acd4d1122/rendering/03.obj", "5.83282423019")</f>
        <v>5.83282423019</v>
      </c>
      <c r="G1855" s="77" t="str">
        <f>HYPERLINK(AB2 &amp; "/mug/sn_f3a7f8198cc50c225f5e789acd4d1122/rendering/04.obj", "9.12893867493")</f>
        <v>9.12893867493</v>
      </c>
      <c r="H1855" s="194" t="str">
        <f>HYPERLINK(AB2 &amp; "/mug/sn_f3a7f8198cc50c225f5e789acd4d1122/rendering/05.obj", "12.4960927963")</f>
        <v>12.4960927963</v>
      </c>
      <c r="I1855" s="64" t="str">
        <f>HYPERLINK(AB2 &amp; "/mug/sn_f3a7f8198cc50c225f5e789acd4d1122/rendering/06.obj", "6.44234275818")</f>
        <v>6.44234275818</v>
      </c>
      <c r="J1855" s="171" t="str">
        <f>HYPERLINK(AB2 &amp; "/mug/sn_f3a7f8198cc50c225f5e789acd4d1122/rendering/07.obj", "5.33537054062")</f>
        <v>5.33537054062</v>
      </c>
      <c r="K1855" s="163" t="str">
        <f>HYPERLINK(AB2 &amp; "/mug/sn_f3a7f8198cc50c225f5e789acd4d1122/rendering/08.obj", "11.085896492")</f>
        <v>11.085896492</v>
      </c>
      <c r="L1855" s="55" t="str">
        <f>HYPERLINK(AB2 &amp; "/mug/sn_f3a7f8198cc50c225f5e789acd4d1122/rendering/09.obj", "6.21178865433")</f>
        <v>6.21178865433</v>
      </c>
      <c r="M1855" s="116" t="str">
        <f>HYPERLINK(AB2 &amp; "/mug/sn_f3a7f8198cc50c225f5e789acd4d1122/rendering/10.obj", "11.0602903366")</f>
        <v>11.0602903366</v>
      </c>
      <c r="N1855" s="230" t="str">
        <f>HYPERLINK(AB2 &amp; "/mug/sn_f3a7f8198cc50c225f5e789acd4d1122/rendering/11.obj", "11.2247505188")</f>
        <v>11.2247505188</v>
      </c>
      <c r="O1855" s="98" t="str">
        <f>HYPERLINK(AB2 &amp; "/mug/sn_f3a7f8198cc50c225f5e789acd4d1122/rendering/12.obj", "5.9146027565")</f>
        <v>5.9146027565</v>
      </c>
      <c r="P1855" s="87" t="str">
        <f>HYPERLINK(AB2 &amp; "/mug/sn_f3a7f8198cc50c225f5e789acd4d1122/rendering/13.obj", "5.94315576553")</f>
        <v>5.94315576553</v>
      </c>
      <c r="Q1855" s="50" t="str">
        <f>HYPERLINK(AB2 &amp; "/mug/sn_f3a7f8198cc50c225f5e789acd4d1122/rendering/14.obj", "6.17308664322")</f>
        <v>6.17308664322</v>
      </c>
      <c r="R1855" s="95" t="str">
        <f>HYPERLINK(AB2 &amp; "/mug/sn_f3a7f8198cc50c225f5e789acd4d1122/rendering/15.obj", "9.85825920105")</f>
        <v>9.85825920105</v>
      </c>
      <c r="S1855" s="56" t="str">
        <f>HYPERLINK(AB2 &amp; "/mug/sn_f3a7f8198cc50c225f5e789acd4d1122/rendering/16.obj", "5.31081438065")</f>
        <v>5.31081438065</v>
      </c>
      <c r="T1855" s="94" t="str">
        <f>HYPERLINK(AB2 &amp; "/mug/sn_f3a7f8198cc50c225f5e789acd4d1122/rendering/17.obj", "8.26705265045")</f>
        <v>8.26705265045</v>
      </c>
      <c r="U1855" s="152" t="str">
        <f>HYPERLINK(AB2 &amp; "/mug/sn_f3a7f8198cc50c225f5e789acd4d1122/rendering/18.obj", "4.58068990707")</f>
        <v>4.58068990707</v>
      </c>
      <c r="V1855" s="163" t="str">
        <f>HYPERLINK(AB2 &amp; "/mug/sn_f3a7f8198cc50c225f5e789acd4d1122/rendering/19.obj", "11.091750145")</f>
        <v>11.091750145</v>
      </c>
      <c r="W1855" s="12" t="s">
        <v>32</v>
      </c>
      <c r="X1855" s="13">
        <v>7.7002726554870602</v>
      </c>
      <c r="Y1855" s="13">
        <v>2.4935966489681478</v>
      </c>
      <c r="Z1855" s="103">
        <v>0.32383225380873509</v>
      </c>
    </row>
    <row r="1856" spans="1:26" x14ac:dyDescent="0.2">
      <c r="A1856" s="1">
        <v>1854</v>
      </c>
      <c r="B1856" s="2" t="s">
        <v>403</v>
      </c>
      <c r="C1856" s="13" t="str">
        <f>HYPERLINK(AC2 &amp; "/mug/sn_f3a7f8198cc50c225f5e789acd4d1122/rendering/00.xyz", "0.0")</f>
        <v>0.0</v>
      </c>
      <c r="D1856" s="13" t="str">
        <f>HYPERLINK(AC2 &amp; "/mug/sn_f3a7f8198cc50c225f5e789acd4d1122/rendering/01.xyz", "0.0")</f>
        <v>0.0</v>
      </c>
      <c r="E1856" s="13" t="str">
        <f>HYPERLINK(AC2 &amp; "/mug/sn_f3a7f8198cc50c225f5e789acd4d1122/rendering/02.xyz", "0.0")</f>
        <v>0.0</v>
      </c>
      <c r="F1856" s="13" t="str">
        <f>HYPERLINK(AC2 &amp; "/mug/sn_f3a7f8198cc50c225f5e789acd4d1122/rendering/03.xyz", "0.0")</f>
        <v>0.0</v>
      </c>
      <c r="G1856" s="13" t="str">
        <f>HYPERLINK(AC2 &amp; "/mug/sn_f3a7f8198cc50c225f5e789acd4d1122/rendering/04.xyz", "0.0")</f>
        <v>0.0</v>
      </c>
      <c r="H1856" s="13" t="str">
        <f>HYPERLINK(AC2 &amp; "/mug/sn_f3a7f8198cc50c225f5e789acd4d1122/rendering/05.xyz", "0.0")</f>
        <v>0.0</v>
      </c>
      <c r="I1856" s="13" t="str">
        <f>HYPERLINK(AC2 &amp; "/mug/sn_f3a7f8198cc50c225f5e789acd4d1122/rendering/06.xyz", "0.0")</f>
        <v>0.0</v>
      </c>
      <c r="J1856" s="13" t="str">
        <f>HYPERLINK(AC2 &amp; "/mug/sn_f3a7f8198cc50c225f5e789acd4d1122/rendering/07.xyz", "0.0")</f>
        <v>0.0</v>
      </c>
      <c r="K1856" s="13" t="str">
        <f>HYPERLINK(AC2 &amp; "/mug/sn_f3a7f8198cc50c225f5e789acd4d1122/rendering/08.xyz", "0.0")</f>
        <v>0.0</v>
      </c>
      <c r="L1856" s="13" t="str">
        <f>HYPERLINK(AC2 &amp; "/mug/sn_f3a7f8198cc50c225f5e789acd4d1122/rendering/09.xyz", "0.0")</f>
        <v>0.0</v>
      </c>
      <c r="M1856" s="13" t="str">
        <f>HYPERLINK(AC2 &amp; "/mug/sn_f3a7f8198cc50c225f5e789acd4d1122/rendering/10.xyz", "0.0")</f>
        <v>0.0</v>
      </c>
      <c r="N1856" s="13" t="str">
        <f>HYPERLINK(AC2 &amp; "/mug/sn_f3a7f8198cc50c225f5e789acd4d1122/rendering/11.xyz", "0.0")</f>
        <v>0.0</v>
      </c>
      <c r="O1856" s="13" t="str">
        <f>HYPERLINK(AC2 &amp; "/mug/sn_f3a7f8198cc50c225f5e789acd4d1122/rendering/12.xyz", "0.0")</f>
        <v>0.0</v>
      </c>
      <c r="P1856" s="13" t="str">
        <f>HYPERLINK(AC2 &amp; "/mug/sn_f3a7f8198cc50c225f5e789acd4d1122/rendering/13.xyz", "0.0")</f>
        <v>0.0</v>
      </c>
      <c r="Q1856" s="13" t="str">
        <f>HYPERLINK(AC2 &amp; "/mug/sn_f3a7f8198cc50c225f5e789acd4d1122/rendering/14.xyz", "0.0")</f>
        <v>0.0</v>
      </c>
      <c r="R1856" s="13" t="str">
        <f>HYPERLINK(AC2 &amp; "/mug/sn_f3a7f8198cc50c225f5e789acd4d1122/rendering/15.xyz", "0.0")</f>
        <v>0.0</v>
      </c>
      <c r="S1856" s="13" t="str">
        <f>HYPERLINK(AC2 &amp; "/mug/sn_f3a7f8198cc50c225f5e789acd4d1122/rendering/16.xyz", "0.0")</f>
        <v>0.0</v>
      </c>
      <c r="T1856" s="13" t="str">
        <f>HYPERLINK(AC2 &amp; "/mug/sn_f3a7f8198cc50c225f5e789acd4d1122/rendering/17.xyz", "0.0")</f>
        <v>0.0</v>
      </c>
      <c r="U1856" s="13" t="str">
        <f>HYPERLINK(AC2 &amp; "/mug/sn_f3a7f8198cc50c225f5e789acd4d1122/rendering/18.xyz", "0.0")</f>
        <v>0.0</v>
      </c>
      <c r="V1856" s="13" t="str">
        <f>HYPERLINK(AC2 &amp; "/mug/sn_f3a7f8198cc50c225f5e789acd4d1122/rendering/19.xyz", "0.0")</f>
        <v>0.0</v>
      </c>
      <c r="W1856" s="12" t="s">
        <v>33</v>
      </c>
      <c r="X1856" s="13">
        <v>0</v>
      </c>
      <c r="Y1856" s="13">
        <v>0</v>
      </c>
      <c r="Z1856" s="13">
        <v>0</v>
      </c>
    </row>
    <row r="1857" spans="1:26" x14ac:dyDescent="0.2">
      <c r="A1857" s="1">
        <v>1855</v>
      </c>
      <c r="B1857" s="2" t="s">
        <v>404</v>
      </c>
      <c r="C1857" s="69" t="str">
        <f>HYPERLINK(AA2 &amp; "/mug/sn_f626192a5930d6c712f0124e8fa3930b/rendering/00.obj", "5.23456481934")</f>
        <v>5.23456481934</v>
      </c>
      <c r="D1857" s="192" t="str">
        <f>HYPERLINK(AA2 &amp; "/mug/sn_f626192a5930d6c712f0124e8fa3930b/rendering/01.obj", "7.38552062988")</f>
        <v>7.38552062988</v>
      </c>
      <c r="E1857" s="49" t="str">
        <f>HYPERLINK(AA2 &amp; "/mug/sn_f626192a5930d6c712f0124e8fa3930b/rendering/02.obj", "4.26581817627")</f>
        <v>4.26581817627</v>
      </c>
      <c r="F1857" s="61" t="str">
        <f>HYPERLINK(AA2 &amp; "/mug/sn_f626192a5930d6c712f0124e8fa3930b/rendering/03.obj", "7.01653747559")</f>
        <v>7.01653747559</v>
      </c>
      <c r="G1857" s="29" t="str">
        <f>HYPERLINK(AA2 &amp; "/mug/sn_f626192a5930d6c712f0124e8fa3930b/rendering/04.obj", "4.69122802734")</f>
        <v>4.69122802734</v>
      </c>
      <c r="H1857" s="120" t="str">
        <f>HYPERLINK(AA2 &amp; "/mug/sn_f626192a5930d6c712f0124e8fa3930b/rendering/05.obj", "4.2411026001")</f>
        <v>4.2411026001</v>
      </c>
      <c r="I1857" s="26" t="str">
        <f>HYPERLINK(AA2 &amp; "/mug/sn_f626192a5930d6c712f0124e8fa3930b/rendering/06.obj", "5.0388848877")</f>
        <v>5.0388848877</v>
      </c>
      <c r="J1857" s="110" t="str">
        <f>HYPERLINK(AA2 &amp; "/mug/sn_f626192a5930d6c712f0124e8fa3930b/rendering/07.obj", "5.93046386719")</f>
        <v>5.93046386719</v>
      </c>
      <c r="K1857" s="68" t="str">
        <f>HYPERLINK(AA2 &amp; "/mug/sn_f626192a5930d6c712f0124e8fa3930b/rendering/08.obj", "5.16453125")</f>
        <v>5.16453125</v>
      </c>
      <c r="L1857" s="15" t="str">
        <f>HYPERLINK(AA2 &amp; "/mug/sn_f626192a5930d6c712f0124e8fa3930b/rendering/09.obj", "8.11404296875")</f>
        <v>8.11404296875</v>
      </c>
      <c r="M1857" s="11" t="str">
        <f>HYPERLINK(AA2 &amp; "/mug/sn_f626192a5930d6c712f0124e8fa3930b/rendering/10.obj", "4.18530822754")</f>
        <v>4.18530822754</v>
      </c>
      <c r="N1857" s="64" t="str">
        <f>HYPERLINK(AA2 &amp; "/mug/sn_f626192a5930d6c712f0124e8fa3930b/rendering/11.obj", "4.49716369629")</f>
        <v>4.49716369629</v>
      </c>
      <c r="O1857" s="29" t="str">
        <f>HYPERLINK(AA2 &amp; "/mug/sn_f626192a5930d6c712f0124e8fa3930b/rendering/12.obj", "4.68135986328")</f>
        <v>4.68135986328</v>
      </c>
      <c r="P1857" s="82" t="str">
        <f>HYPERLINK(AA2 &amp; "/mug/sn_f626192a5930d6c712f0124e8fa3930b/rendering/13.obj", "4.2754788208")</f>
        <v>4.2754788208</v>
      </c>
      <c r="Q1857" s="29" t="str">
        <f>HYPERLINK(AA2 &amp; "/mug/sn_f626192a5930d6c712f0124e8fa3930b/rendering/14.obj", "6.09660522461")</f>
        <v>6.09660522461</v>
      </c>
      <c r="R1857" s="76" t="str">
        <f>HYPERLINK(AA2 &amp; "/mug/sn_f626192a5930d6c712f0124e8fa3930b/rendering/15.obj", "4.39923980713")</f>
        <v>4.39923980713</v>
      </c>
      <c r="S1857" s="29" t="str">
        <f>HYPERLINK(AA2 &amp; "/mug/sn_f626192a5930d6c712f0124e8fa3930b/rendering/16.obj", "4.68411743164")</f>
        <v>4.68411743164</v>
      </c>
      <c r="T1857" s="67" t="str">
        <f>HYPERLINK(AA2 &amp; "/mug/sn_f626192a5930d6c712f0124e8fa3930b/rendering/17.obj", "4.89903686523")</f>
        <v>4.89903686523</v>
      </c>
      <c r="U1857" s="141" t="str">
        <f>HYPERLINK(AA2 &amp; "/mug/sn_f626192a5930d6c712f0124e8fa3930b/rendering/18.obj", "8.36427734375")</f>
        <v>8.36427734375</v>
      </c>
      <c r="V1857" s="93" t="str">
        <f>HYPERLINK(AA2 &amp; "/mug/sn_f626192a5930d6c712f0124e8fa3930b/rendering/19.obj", "4.63180175781")</f>
        <v>4.63180175781</v>
      </c>
      <c r="W1857" s="12" t="s">
        <v>29</v>
      </c>
      <c r="X1857" s="13">
        <v>5.3898541870117196</v>
      </c>
      <c r="Y1857" s="13">
        <v>1.289277262422754</v>
      </c>
      <c r="Z1857" s="59">
        <v>0.2392044789503969</v>
      </c>
    </row>
    <row r="1858" spans="1:26" x14ac:dyDescent="0.2">
      <c r="A1858" s="1">
        <v>1856</v>
      </c>
      <c r="B1858" s="2" t="s">
        <v>404</v>
      </c>
      <c r="C1858" s="33" t="str">
        <f>HYPERLINK(AA2 &amp; "/mug/sn_f626192a5930d6c712f0124e8fa3930b/rendering/00.obj", "9.38663578033")</f>
        <v>9.38663578033</v>
      </c>
      <c r="D1858" s="37" t="str">
        <f>HYPERLINK(AA2 &amp; "/mug/sn_f626192a5930d6c712f0124e8fa3930b/rendering/01.obj", "9.94367218018")</f>
        <v>9.94367218018</v>
      </c>
      <c r="E1858" s="55" t="str">
        <f>HYPERLINK(AA2 &amp; "/mug/sn_f626192a5930d6c712f0124e8fa3930b/rendering/02.obj", "6.84285068512")</f>
        <v>6.84285068512</v>
      </c>
      <c r="F1858" s="5" t="str">
        <f>HYPERLINK(AA2 &amp; "/mug/sn_f626192a5930d6c712f0124e8fa3930b/rendering/03.obj", "7.82153558731")</f>
        <v>7.82153558731</v>
      </c>
      <c r="G1858" s="68" t="str">
        <f>HYPERLINK(AA2 &amp; "/mug/sn_f626192a5930d6c712f0124e8fa3930b/rendering/04.obj", "8.09573173523")</f>
        <v>8.09573173523</v>
      </c>
      <c r="H1858" s="82" t="str">
        <f>HYPERLINK(AA2 &amp; "/mug/sn_f626192a5930d6c712f0124e8fa3930b/rendering/05.obj", "6.71743965149")</f>
        <v>6.71743965149</v>
      </c>
      <c r="I1858" s="71" t="str">
        <f>HYPERLINK(AA2 &amp; "/mug/sn_f626192a5930d6c712f0124e8fa3930b/rendering/06.obj", "7.4648194313")</f>
        <v>7.4648194313</v>
      </c>
      <c r="J1858" s="27" t="str">
        <f>HYPERLINK(AA2 &amp; "/mug/sn_f626192a5930d6c712f0124e8fa3930b/rendering/07.obj", "7.86328458786")</f>
        <v>7.86328458786</v>
      </c>
      <c r="K1858" s="63" t="str">
        <f>HYPERLINK(AA2 &amp; "/mug/sn_f626192a5930d6c712f0124e8fa3930b/rendering/08.obj", "7.44645547867")</f>
        <v>7.44645547867</v>
      </c>
      <c r="L1858" s="54" t="str">
        <f>HYPERLINK(AA2 &amp; "/mug/sn_f626192a5930d6c712f0124e8fa3930b/rendering/09.obj", "11.2548217773")</f>
        <v>11.2548217773</v>
      </c>
      <c r="M1858" s="5" t="str">
        <f>HYPERLINK(AA2 &amp; "/mug/sn_f626192a5930d6c712f0124e8fa3930b/rendering/10.obj", "7.81496334076")</f>
        <v>7.81496334076</v>
      </c>
      <c r="N1858" s="65" t="str">
        <f>HYPERLINK(AA2 &amp; "/mug/sn_f626192a5930d6c712f0124e8fa3930b/rendering/11.obj", "9.5966835022")</f>
        <v>9.5966835022</v>
      </c>
      <c r="O1858" s="60" t="str">
        <f>HYPERLINK(AA2 &amp; "/mug/sn_f626192a5930d6c712f0124e8fa3930b/rendering/12.obj", "8.04133415222")</f>
        <v>8.04133415222</v>
      </c>
      <c r="P1858" s="32" t="str">
        <f>HYPERLINK(AA2 &amp; "/mug/sn_f626192a5930d6c712f0124e8fa3930b/rendering/13.obj", "7.56426143646")</f>
        <v>7.56426143646</v>
      </c>
      <c r="Q1858" s="109" t="str">
        <f>HYPERLINK(AA2 &amp; "/mug/sn_f626192a5930d6c712f0124e8fa3930b/rendering/14.obj", "10.0834913254")</f>
        <v>10.0834913254</v>
      </c>
      <c r="R1858" s="13" t="str">
        <f>HYPERLINK(AA2 &amp; "/mug/sn_f626192a5930d6c712f0124e8fa3930b/rendering/15.obj", "8.45074081421")</f>
        <v>8.45074081421</v>
      </c>
      <c r="S1858" s="133" t="str">
        <f>HYPERLINK(AA2 &amp; "/mug/sn_f626192a5930d6c712f0124e8fa3930b/rendering/16.obj", "9.32075405121")</f>
        <v>9.32075405121</v>
      </c>
      <c r="T1858" s="25" t="str">
        <f>HYPERLINK(AA2 &amp; "/mug/sn_f626192a5930d6c712f0124e8fa3930b/rendering/17.obj", "8.3691368103")</f>
        <v>8.3691368103</v>
      </c>
      <c r="U1858" s="66" t="str">
        <f>HYPERLINK(AA2 &amp; "/mug/sn_f626192a5930d6c712f0124e8fa3930b/rendering/18.obj", "9.82703018188")</f>
        <v>9.82703018188</v>
      </c>
      <c r="V1858" s="92" t="str">
        <f>HYPERLINK(AA2 &amp; "/mug/sn_f626192a5930d6c712f0124e8fa3930b/rendering/19.obj", "7.42332696915")</f>
        <v>7.42332696915</v>
      </c>
      <c r="W1858" s="12" t="s">
        <v>30</v>
      </c>
      <c r="X1858" s="13">
        <v>8.4664484739303596</v>
      </c>
      <c r="Y1858" s="13">
        <v>1.1926871596876401</v>
      </c>
      <c r="Z1858" s="93">
        <v>0.14087219255631539</v>
      </c>
    </row>
    <row r="1859" spans="1:26" x14ac:dyDescent="0.2">
      <c r="A1859" s="1">
        <v>1857</v>
      </c>
      <c r="B1859" s="2" t="s">
        <v>404</v>
      </c>
      <c r="C1859" s="71" t="str">
        <f>HYPERLINK(AB2 &amp; "/mug/sn_f626192a5930d6c712f0124e8fa3930b/rendering/00.obj", "4.23033355713")</f>
        <v>4.23033355713</v>
      </c>
      <c r="D1859" s="35" t="str">
        <f>HYPERLINK(AB2 &amp; "/mug/sn_f626192a5930d6c712f0124e8fa3930b/rendering/01.obj", "4.5162121582")</f>
        <v>4.5162121582</v>
      </c>
      <c r="E1859" s="51" t="str">
        <f>HYPERLINK(AB2 &amp; "/mug/sn_f626192a5930d6c712f0124e8fa3930b/rendering/02.obj", "5.18366210937")</f>
        <v>5.18366210937</v>
      </c>
      <c r="F1859" s="25" t="str">
        <f>HYPERLINK(AB2 &amp; "/mug/sn_f626192a5930d6c712f0124e8fa3930b/rendering/03.obj", "4.84826751709")</f>
        <v>4.84826751709</v>
      </c>
      <c r="G1859" s="66" t="str">
        <f>HYPERLINK(AB2 &amp; "/mug/sn_f626192a5930d6c712f0124e8fa3930b/rendering/04.obj", "5.56360229492")</f>
        <v>5.56360229492</v>
      </c>
      <c r="H1859" s="78" t="str">
        <f>HYPERLINK(AB2 &amp; "/mug/sn_f626192a5930d6c712f0124e8fa3930b/rendering/05.obj", "5.08397003174")</f>
        <v>5.08397003174</v>
      </c>
      <c r="I1859" s="90" t="str">
        <f>HYPERLINK(AB2 &amp; "/mug/sn_f626192a5930d6c712f0124e8fa3930b/rendering/06.obj", "5.25768066406")</f>
        <v>5.25768066406</v>
      </c>
      <c r="J1859" s="41" t="str">
        <f>HYPERLINK(AB2 &amp; "/mug/sn_f626192a5930d6c712f0124e8fa3930b/rendering/07.obj", "5.12234558105")</f>
        <v>5.12234558105</v>
      </c>
      <c r="K1859" s="79" t="str">
        <f>HYPERLINK(AB2 &amp; "/mug/sn_f626192a5930d6c712f0124e8fa3930b/rendering/08.obj", "4.02982330322")</f>
        <v>4.02982330322</v>
      </c>
      <c r="L1859" s="6" t="str">
        <f>HYPERLINK(AB2 &amp; "/mug/sn_f626192a5930d6c712f0124e8fa3930b/rendering/09.obj", "5.01746398926")</f>
        <v>5.01746398926</v>
      </c>
      <c r="M1859" s="74" t="str">
        <f>HYPERLINK(AB2 &amp; "/mug/sn_f626192a5930d6c712f0124e8fa3930b/rendering/10.obj", "4.72928100586")</f>
        <v>4.72928100586</v>
      </c>
      <c r="N1859" s="106" t="str">
        <f>HYPERLINK(AB2 &amp; "/mug/sn_f626192a5930d6c712f0124e8fa3930b/rendering/11.obj", "5.34232543945")</f>
        <v>5.34232543945</v>
      </c>
      <c r="O1859" s="68" t="str">
        <f>HYPERLINK(AB2 &amp; "/mug/sn_f626192a5930d6c712f0124e8fa3930b/rendering/12.obj", "4.58340606689")</f>
        <v>4.58340606689</v>
      </c>
      <c r="P1859" s="33" t="str">
        <f>HYPERLINK(AB2 &amp; "/mug/sn_f626192a5930d6c712f0124e8fa3930b/rendering/13.obj", "4.26791595459")</f>
        <v>4.26791595459</v>
      </c>
      <c r="Q1859" s="76" t="str">
        <f>HYPERLINK(AB2 &amp; "/mug/sn_f626192a5930d6c712f0124e8fa3930b/rendering/14.obj", "3.90700927734")</f>
        <v>3.90700927734</v>
      </c>
      <c r="R1859" s="32" t="str">
        <f>HYPERLINK(AB2 &amp; "/mug/sn_f626192a5930d6c712f0124e8fa3930b/rendering/15.obj", "4.29562713623")</f>
        <v>4.29562713623</v>
      </c>
      <c r="S1859" s="23" t="str">
        <f>HYPERLINK(AB2 &amp; "/mug/sn_f626192a5930d6c712f0124e8fa3930b/rendering/16.obj", "4.9742010498")</f>
        <v>4.9742010498</v>
      </c>
      <c r="T1859" s="34" t="str">
        <f>HYPERLINK(AB2 &amp; "/mug/sn_f626192a5930d6c712f0124e8fa3930b/rendering/17.obj", "5.03156311035")</f>
        <v>5.03156311035</v>
      </c>
      <c r="U1859" s="25" t="str">
        <f>HYPERLINK(AB2 &amp; "/mug/sn_f626192a5930d6c712f0124e8fa3930b/rendering/18.obj", "4.85004943848")</f>
        <v>4.85004943848</v>
      </c>
      <c r="V1859" s="34" t="str">
        <f>HYPERLINK(AB2 &amp; "/mug/sn_f626192a5930d6c712f0124e8fa3930b/rendering/19.obj", "5.02189575195")</f>
        <v>5.02189575195</v>
      </c>
      <c r="W1859" s="12" t="s">
        <v>31</v>
      </c>
      <c r="X1859" s="13">
        <v>4.7928317718505857</v>
      </c>
      <c r="Y1859" s="13">
        <v>0.44653115905984508</v>
      </c>
      <c r="Z1859" s="67">
        <v>9.3166457809436651E-2</v>
      </c>
    </row>
    <row r="1860" spans="1:26" x14ac:dyDescent="0.2">
      <c r="A1860" s="1">
        <v>1858</v>
      </c>
      <c r="B1860" s="2" t="s">
        <v>404</v>
      </c>
      <c r="C1860" s="89" t="str">
        <f>HYPERLINK(AB2 &amp; "/mug/sn_f626192a5930d6c712f0124e8fa3930b/rendering/00.obj", "5.99974727631")</f>
        <v>5.99974727631</v>
      </c>
      <c r="D1860" s="100" t="str">
        <f>HYPERLINK(AB2 &amp; "/mug/sn_f626192a5930d6c712f0124e8fa3930b/rendering/01.obj", "10.5107803345")</f>
        <v>10.5107803345</v>
      </c>
      <c r="E1860" s="32" t="str">
        <f>HYPERLINK(AB2 &amp; "/mug/sn_f626192a5930d6c712f0124e8fa3930b/rendering/02.obj", "8.92442703247")</f>
        <v>8.92442703247</v>
      </c>
      <c r="F1860" s="82" t="str">
        <f>HYPERLINK(AB2 &amp; "/mug/sn_f626192a5930d6c712f0124e8fa3930b/rendering/03.obj", "9.75715827942")</f>
        <v>9.75715827942</v>
      </c>
      <c r="G1860" s="13" t="str">
        <f>HYPERLINK(AB2 &amp; "/mug/sn_f626192a5930d6c712f0124e8fa3930b/rendering/04.obj", "8.10050392151")</f>
        <v>8.10050392151</v>
      </c>
      <c r="H1860" s="36" t="str">
        <f>HYPERLINK(AB2 &amp; "/mug/sn_f626192a5930d6c712f0124e8fa3930b/rendering/05.obj", "6.35572099686")</f>
        <v>6.35572099686</v>
      </c>
      <c r="I1860" s="8" t="str">
        <f>HYPERLINK(AB2 &amp; "/mug/sn_f626192a5930d6c712f0124e8fa3930b/rendering/06.obj", "6.92995548248")</f>
        <v>6.92995548248</v>
      </c>
      <c r="J1860" s="34" t="str">
        <f>HYPERLINK(AB2 &amp; "/mug/sn_f626192a5930d6c712f0124e8fa3930b/rendering/07.obj", "8.47553157806")</f>
        <v>8.47553157806</v>
      </c>
      <c r="K1860" s="87" t="str">
        <f>HYPERLINK(AB2 &amp; "/mug/sn_f626192a5930d6c712f0124e8fa3930b/rendering/08.obj", "6.25585126877")</f>
        <v>6.25585126877</v>
      </c>
      <c r="L1860" s="71" t="str">
        <f>HYPERLINK(AB2 &amp; "/mug/sn_f626192a5930d6c712f0124e8fa3930b/rendering/09.obj", "9.02856826782")</f>
        <v>9.02856826782</v>
      </c>
      <c r="M1860" s="133" t="str">
        <f>HYPERLINK(AB2 &amp; "/mug/sn_f626192a5930d6c712f0124e8fa3930b/rendering/10.obj", "8.89851474762")</f>
        <v>8.89851474762</v>
      </c>
      <c r="N1860" s="93" t="str">
        <f>HYPERLINK(AB2 &amp; "/mug/sn_f626192a5930d6c712f0124e8fa3930b/rendering/11.obj", "9.20746898651")</f>
        <v>9.20746898651</v>
      </c>
      <c r="O1860" s="28" t="str">
        <f>HYPERLINK(AB2 &amp; "/mug/sn_f626192a5930d6c712f0124e8fa3930b/rendering/12.obj", "7.18803977966")</f>
        <v>7.18803977966</v>
      </c>
      <c r="P1860" s="170" t="str">
        <f>HYPERLINK(AB2 &amp; "/mug/sn_f626192a5930d6c712f0124e8fa3930b/rendering/13.obj", "6.03283596039")</f>
        <v>6.03283596039</v>
      </c>
      <c r="Q1860" s="99" t="str">
        <f>HYPERLINK(AB2 &amp; "/mug/sn_f626192a5930d6c712f0124e8fa3930b/rendering/14.obj", "5.89065217972")</f>
        <v>5.89065217972</v>
      </c>
      <c r="R1860" s="119" t="str">
        <f>HYPERLINK(AB2 &amp; "/mug/sn_f626192a5930d6c712f0124e8fa3930b/rendering/15.obj", "5.95404720306")</f>
        <v>5.95404720306</v>
      </c>
      <c r="S1860" s="63" t="str">
        <f>HYPERLINK(AB2 &amp; "/mug/sn_f626192a5930d6c712f0124e8fa3930b/rendering/16.obj", "9.0667514801")</f>
        <v>9.0667514801</v>
      </c>
      <c r="T1860" s="43" t="str">
        <f>HYPERLINK(AB2 &amp; "/mug/sn_f626192a5930d6c712f0124e8fa3930b/rendering/17.obj", "11.1231479645")</f>
        <v>11.1231479645</v>
      </c>
      <c r="U1860" s="79" t="str">
        <f>HYPERLINK(AB2 &amp; "/mug/sn_f626192a5930d6c712f0124e8fa3930b/rendering/18.obj", "9.36055469513")</f>
        <v>9.36055469513</v>
      </c>
      <c r="V1860" s="41" t="str">
        <f>HYPERLINK(AB2 &amp; "/mug/sn_f626192a5930d6c712f0124e8fa3930b/rendering/19.obj", "8.63777446747")</f>
        <v>8.63777446747</v>
      </c>
      <c r="W1860" s="12" t="s">
        <v>32</v>
      </c>
      <c r="X1860" s="13">
        <v>8.084901595115662</v>
      </c>
      <c r="Y1860" s="13">
        <v>1.5947945558951879</v>
      </c>
      <c r="Z1860" s="44">
        <v>0.19725590189726641</v>
      </c>
    </row>
    <row r="1861" spans="1:26" x14ac:dyDescent="0.2">
      <c r="A1861" s="1">
        <v>1859</v>
      </c>
      <c r="B1861" s="2" t="s">
        <v>404</v>
      </c>
      <c r="C1861" s="13" t="str">
        <f>HYPERLINK(AC2 &amp; "/mug/sn_f626192a5930d6c712f0124e8fa3930b/rendering/00.xyz", "0.0")</f>
        <v>0.0</v>
      </c>
      <c r="D1861" s="13" t="str">
        <f>HYPERLINK(AC2 &amp; "/mug/sn_f626192a5930d6c712f0124e8fa3930b/rendering/01.xyz", "0.0")</f>
        <v>0.0</v>
      </c>
      <c r="E1861" s="13" t="str">
        <f>HYPERLINK(AC2 &amp; "/mug/sn_f626192a5930d6c712f0124e8fa3930b/rendering/02.xyz", "0.0")</f>
        <v>0.0</v>
      </c>
      <c r="F1861" s="13" t="str">
        <f>HYPERLINK(AC2 &amp; "/mug/sn_f626192a5930d6c712f0124e8fa3930b/rendering/03.xyz", "0.0")</f>
        <v>0.0</v>
      </c>
      <c r="G1861" s="13" t="str">
        <f>HYPERLINK(AC2 &amp; "/mug/sn_f626192a5930d6c712f0124e8fa3930b/rendering/04.xyz", "0.0")</f>
        <v>0.0</v>
      </c>
      <c r="H1861" s="13" t="str">
        <f>HYPERLINK(AC2 &amp; "/mug/sn_f626192a5930d6c712f0124e8fa3930b/rendering/05.xyz", "0.0")</f>
        <v>0.0</v>
      </c>
      <c r="I1861" s="13" t="str">
        <f>HYPERLINK(AC2 &amp; "/mug/sn_f626192a5930d6c712f0124e8fa3930b/rendering/06.xyz", "0.0")</f>
        <v>0.0</v>
      </c>
      <c r="J1861" s="13" t="str">
        <f>HYPERLINK(AC2 &amp; "/mug/sn_f626192a5930d6c712f0124e8fa3930b/rendering/07.xyz", "0.0")</f>
        <v>0.0</v>
      </c>
      <c r="K1861" s="13" t="str">
        <f>HYPERLINK(AC2 &amp; "/mug/sn_f626192a5930d6c712f0124e8fa3930b/rendering/08.xyz", "0.0")</f>
        <v>0.0</v>
      </c>
      <c r="L1861" s="13" t="str">
        <f>HYPERLINK(AC2 &amp; "/mug/sn_f626192a5930d6c712f0124e8fa3930b/rendering/09.xyz", "0.0")</f>
        <v>0.0</v>
      </c>
      <c r="M1861" s="13" t="str">
        <f>HYPERLINK(AC2 &amp; "/mug/sn_f626192a5930d6c712f0124e8fa3930b/rendering/10.xyz", "0.0")</f>
        <v>0.0</v>
      </c>
      <c r="N1861" s="13" t="str">
        <f>HYPERLINK(AC2 &amp; "/mug/sn_f626192a5930d6c712f0124e8fa3930b/rendering/11.xyz", "0.0")</f>
        <v>0.0</v>
      </c>
      <c r="O1861" s="13" t="str">
        <f>HYPERLINK(AC2 &amp; "/mug/sn_f626192a5930d6c712f0124e8fa3930b/rendering/12.xyz", "0.0")</f>
        <v>0.0</v>
      </c>
      <c r="P1861" s="13" t="str">
        <f>HYPERLINK(AC2 &amp; "/mug/sn_f626192a5930d6c712f0124e8fa3930b/rendering/13.xyz", "0.0")</f>
        <v>0.0</v>
      </c>
      <c r="Q1861" s="13" t="str">
        <f>HYPERLINK(AC2 &amp; "/mug/sn_f626192a5930d6c712f0124e8fa3930b/rendering/14.xyz", "0.0")</f>
        <v>0.0</v>
      </c>
      <c r="R1861" s="13" t="str">
        <f>HYPERLINK(AC2 &amp; "/mug/sn_f626192a5930d6c712f0124e8fa3930b/rendering/15.xyz", "0.0")</f>
        <v>0.0</v>
      </c>
      <c r="S1861" s="13" t="str">
        <f>HYPERLINK(AC2 &amp; "/mug/sn_f626192a5930d6c712f0124e8fa3930b/rendering/16.xyz", "0.0")</f>
        <v>0.0</v>
      </c>
      <c r="T1861" s="13" t="str">
        <f>HYPERLINK(AC2 &amp; "/mug/sn_f626192a5930d6c712f0124e8fa3930b/rendering/17.xyz", "0.0")</f>
        <v>0.0</v>
      </c>
      <c r="U1861" s="13" t="str">
        <f>HYPERLINK(AC2 &amp; "/mug/sn_f626192a5930d6c712f0124e8fa3930b/rendering/18.xyz", "0.0")</f>
        <v>0.0</v>
      </c>
      <c r="V1861" s="13" t="str">
        <f>HYPERLINK(AC2 &amp; "/mug/sn_f626192a5930d6c712f0124e8fa3930b/rendering/19.xyz", "0.0")</f>
        <v>0.0</v>
      </c>
      <c r="W1861" s="12" t="s">
        <v>33</v>
      </c>
      <c r="X1861" s="13">
        <v>0</v>
      </c>
      <c r="Y1861" s="13">
        <v>0</v>
      </c>
      <c r="Z1861" s="13">
        <v>0</v>
      </c>
    </row>
    <row r="1862" spans="1:26" x14ac:dyDescent="0.2">
      <c r="A1862" s="1">
        <v>1860</v>
      </c>
      <c r="B1862" s="2" t="s">
        <v>405</v>
      </c>
      <c r="C1862" s="26" t="str">
        <f>HYPERLINK(AA2 &amp; "/mug/sn_f7d776fd68b126f23b67070c4a034f08/rendering/00.obj", "3.50860565186")</f>
        <v>3.50860565186</v>
      </c>
      <c r="D1862" s="20" t="str">
        <f>HYPERLINK(AA2 &amp; "/mug/sn_f7d776fd68b126f23b67070c4a034f08/rendering/01.obj", "8.43227539062")</f>
        <v>8.43227539062</v>
      </c>
      <c r="E1862" s="69" t="str">
        <f>HYPERLINK(AA2 &amp; "/mug/sn_f7d776fd68b126f23b67070c4a034f08/rendering/02.obj", "3.38848693848")</f>
        <v>3.38848693848</v>
      </c>
      <c r="F1862" s="138" t="str">
        <f>HYPERLINK(AA2 &amp; "/mug/sn_f7d776fd68b126f23b67070c4a034f08/rendering/03.obj", "2.17834091187")</f>
        <v>2.17834091187</v>
      </c>
      <c r="G1862" s="48" t="str">
        <f>HYPERLINK(AA2 &amp; "/mug/sn_f7d776fd68b126f23b67070c4a034f08/rendering/04.obj", "3.36970153809")</f>
        <v>3.36970153809</v>
      </c>
      <c r="H1862" s="171" t="str">
        <f>HYPERLINK(AA2 &amp; "/mug/sn_f7d776fd68b126f23b67070c4a034f08/rendering/05.obj", "2.28972503662")</f>
        <v>2.28972503662</v>
      </c>
      <c r="I1862" s="168" t="str">
        <f>HYPERLINK(AA2 &amp; "/mug/sn_f7d776fd68b126f23b67070c4a034f08/rendering/06.obj", "4.34782287598")</f>
        <v>4.34782287598</v>
      </c>
      <c r="J1862" s="100" t="str">
        <f>HYPERLINK(AA2 &amp; "/mug/sn_f7d776fd68b126f23b67070c4a034f08/rendering/07.obj", "2.30427490234")</f>
        <v>2.30427490234</v>
      </c>
      <c r="K1862" s="180" t="str">
        <f>HYPERLINK(AA2 &amp; "/mug/sn_f7d776fd68b126f23b67070c4a034f08/rendering/08.obj", "5.89103637695")</f>
        <v>5.89103637695</v>
      </c>
      <c r="L1862" s="123" t="str">
        <f>HYPERLINK(AA2 &amp; "/mug/sn_f7d776fd68b126f23b67070c4a034f08/rendering/09.obj", "2.08257476807")</f>
        <v>2.08257476807</v>
      </c>
      <c r="M1862" s="7" t="str">
        <f>HYPERLINK(AA2 &amp; "/mug/sn_f7d776fd68b126f23b67070c4a034f08/rendering/10.obj", "4.20804443359")</f>
        <v>4.20804443359</v>
      </c>
      <c r="N1862" s="56" t="str">
        <f>HYPERLINK(AA2 &amp; "/mug/sn_f7d776fd68b126f23b67070c4a034f08/rendering/11.obj", "2.27950241089")</f>
        <v>2.27950241089</v>
      </c>
      <c r="O1862" s="77" t="str">
        <f>HYPERLINK(AA2 &amp; "/mug/sn_f7d776fd68b126f23b67070c4a034f08/rendering/12.obj", "2.68209564209")</f>
        <v>2.68209564209</v>
      </c>
      <c r="P1862" s="123" t="str">
        <f>HYPERLINK(AA2 &amp; "/mug/sn_f7d776fd68b126f23b67070c4a034f08/rendering/13.obj", "2.07876541138")</f>
        <v>2.07876541138</v>
      </c>
      <c r="Q1862" s="94" t="str">
        <f>HYPERLINK(AA2 &amp; "/mug/sn_f7d776fd68b126f23b67070c4a034f08/rendering/14.obj", "3.05030151367")</f>
        <v>3.05030151367</v>
      </c>
      <c r="R1862" s="128" t="str">
        <f>HYPERLINK(AA2 &amp; "/mug/sn_f7d776fd68b126f23b67070c4a034f08/rendering/15.obj", "2.00378219604")</f>
        <v>2.00378219604</v>
      </c>
      <c r="S1862" s="119" t="str">
        <f>HYPERLINK(AA2 &amp; "/mug/sn_f7d776fd68b126f23b67070c4a034f08/rendering/16.obj", "2.42490539551")</f>
        <v>2.42490539551</v>
      </c>
      <c r="T1862" s="169" t="str">
        <f>HYPERLINK(AA2 &amp; "/mug/sn_f7d776fd68b126f23b67070c4a034f08/rendering/17.obj", "2.2628364563")</f>
        <v>2.2628364563</v>
      </c>
      <c r="U1862" s="96" t="str">
        <f>HYPERLINK(AA2 &amp; "/mug/sn_f7d776fd68b126f23b67070c4a034f08/rendering/18.obj", "4.48359191895")</f>
        <v>4.48359191895</v>
      </c>
      <c r="V1862" s="49" t="str">
        <f>HYPERLINK(AA2 &amp; "/mug/sn_f7d776fd68b126f23b67070c4a034f08/rendering/19.obj", "2.60511688232")</f>
        <v>2.60511688232</v>
      </c>
      <c r="W1862" s="12" t="s">
        <v>29</v>
      </c>
      <c r="X1862" s="13">
        <v>3.293589332580567</v>
      </c>
      <c r="Y1862" s="13">
        <v>1.5518756990343601</v>
      </c>
      <c r="Z1862" s="143">
        <v>0.47118069143685481</v>
      </c>
    </row>
    <row r="1863" spans="1:26" x14ac:dyDescent="0.2">
      <c r="A1863" s="1">
        <v>1861</v>
      </c>
      <c r="B1863" s="2" t="s">
        <v>405</v>
      </c>
      <c r="C1863" s="28" t="str">
        <f>HYPERLINK(AA2 &amp; "/mug/sn_f7d776fd68b126f23b67070c4a034f08/rendering/00.obj", "6.23254346848")</f>
        <v>6.23254346848</v>
      </c>
      <c r="D1863" s="20" t="str">
        <f>HYPERLINK(AA2 &amp; "/mug/sn_f7d776fd68b126f23b67070c4a034f08/rendering/01.obj", "16.3365001678")</f>
        <v>16.3365001678</v>
      </c>
      <c r="E1863" s="92" t="str">
        <f>HYPERLINK(AA2 &amp; "/mug/sn_f7d776fd68b126f23b67070c4a034f08/rendering/02.obj", "4.90695476532")</f>
        <v>4.90695476532</v>
      </c>
      <c r="F1863" s="168" t="str">
        <f>HYPERLINK(AA2 &amp; "/mug/sn_f7d776fd68b126f23b67070c4a034f08/rendering/03.obj", "3.79496312141")</f>
        <v>3.79496312141</v>
      </c>
      <c r="G1863" s="109" t="str">
        <f>HYPERLINK(AA2 &amp; "/mug/sn_f7d776fd68b126f23b67070c4a034f08/rendering/04.obj", "4.5475564003")</f>
        <v>4.5475564003</v>
      </c>
      <c r="H1863" s="36" t="str">
        <f>HYPERLINK(AA2 &amp; "/mug/sn_f7d776fd68b126f23b67070c4a034f08/rendering/05.obj", "4.40363359451")</f>
        <v>4.40363359451</v>
      </c>
      <c r="I1863" s="28" t="str">
        <f>HYPERLINK(AA2 &amp; "/mug/sn_f7d776fd68b126f23b67070c4a034f08/rendering/06.obj", "6.2222328186")</f>
        <v>6.2222328186</v>
      </c>
      <c r="J1863" s="84" t="str">
        <f>HYPERLINK(AA2 &amp; "/mug/sn_f7d776fd68b126f23b67070c4a034f08/rendering/07.obj", "4.79131603241")</f>
        <v>4.79131603241</v>
      </c>
      <c r="K1863" s="230" t="str">
        <f>HYPERLINK(AA2 &amp; "/mug/sn_f7d776fd68b126f23b67070c4a034f08/rendering/08.obj", "8.15856742859")</f>
        <v>8.15856742859</v>
      </c>
      <c r="L1863" s="7" t="str">
        <f>HYPERLINK(AA2 &amp; "/mug/sn_f7d776fd68b126f23b67070c4a034f08/rendering/09.obj", "4.05233335495")</f>
        <v>4.05233335495</v>
      </c>
      <c r="M1863" s="72" t="str">
        <f>HYPERLINK(AA2 &amp; "/mug/sn_f7d776fd68b126f23b67070c4a034f08/rendering/10.obj", "5.79027223587")</f>
        <v>5.79027223587</v>
      </c>
      <c r="N1863" s="85" t="str">
        <f>HYPERLINK(AA2 &amp; "/mug/sn_f7d776fd68b126f23b67070c4a034f08/rendering/11.obj", "3.9464507103")</f>
        <v>3.9464507103</v>
      </c>
      <c r="O1863" s="81" t="str">
        <f>HYPERLINK(AA2 &amp; "/mug/sn_f7d776fd68b126f23b67070c4a034f08/rendering/12.obj", "4.38700151443")</f>
        <v>4.38700151443</v>
      </c>
      <c r="P1863" s="4" t="str">
        <f>HYPERLINK(AA2 &amp; "/mug/sn_f7d776fd68b126f23b67070c4a034f08/rendering/13.obj", "4.00979661942")</f>
        <v>4.00979661942</v>
      </c>
      <c r="Q1863" s="78" t="str">
        <f>HYPERLINK(AA2 &amp; "/mug/sn_f7d776fd68b126f23b67070c4a034f08/rendering/14.obj", "5.94184541702")</f>
        <v>5.94184541702</v>
      </c>
      <c r="R1863" s="100" t="str">
        <f>HYPERLINK(AA2 &amp; "/mug/sn_f7d776fd68b126f23b67070c4a034f08/rendering/15.obj", "3.91964864731")</f>
        <v>3.91964864731</v>
      </c>
      <c r="S1863" s="108" t="str">
        <f>HYPERLINK(AA2 &amp; "/mug/sn_f7d776fd68b126f23b67070c4a034f08/rendering/16.obj", "4.21824550629")</f>
        <v>4.21824550629</v>
      </c>
      <c r="T1863" s="129" t="str">
        <f>HYPERLINK(AA2 &amp; "/mug/sn_f7d776fd68b126f23b67070c4a034f08/rendering/17.obj", "4.20255899429")</f>
        <v>4.20255899429</v>
      </c>
      <c r="U1863" s="176" t="str">
        <f>HYPERLINK(AA2 &amp; "/mug/sn_f7d776fd68b126f23b67070c4a034f08/rendering/18.obj", "7.38748645782")</f>
        <v>7.38748645782</v>
      </c>
      <c r="V1863" s="42" t="str">
        <f>HYPERLINK(AA2 &amp; "/mug/sn_f7d776fd68b126f23b67070c4a034f08/rendering/19.obj", "4.83751726151")</f>
        <v>4.83751726151</v>
      </c>
      <c r="W1863" s="12" t="s">
        <v>30</v>
      </c>
      <c r="X1863" s="13">
        <v>5.6043712258338916</v>
      </c>
      <c r="Y1863" s="13">
        <v>2.73204870116267</v>
      </c>
      <c r="Z1863" s="147">
        <v>0.4874853201317263</v>
      </c>
    </row>
    <row r="1864" spans="1:26" x14ac:dyDescent="0.2">
      <c r="A1864" s="1">
        <v>1862</v>
      </c>
      <c r="B1864" s="2" t="s">
        <v>405</v>
      </c>
      <c r="C1864" s="10" t="str">
        <f>HYPERLINK(AB2 &amp; "/mug/sn_f7d776fd68b126f23b67070c4a034f08/rendering/00.obj", "2.59104400635")</f>
        <v>2.59104400635</v>
      </c>
      <c r="D1864" s="17" t="str">
        <f>HYPERLINK(AB2 &amp; "/mug/sn_f7d776fd68b126f23b67070c4a034f08/rendering/01.obj", "2.79428161621")</f>
        <v>2.79428161621</v>
      </c>
      <c r="E1864" s="23" t="str">
        <f>HYPERLINK(AB2 &amp; "/mug/sn_f7d776fd68b126f23b67070c4a034f08/rendering/02.obj", "2.62784973145")</f>
        <v>2.62784973145</v>
      </c>
      <c r="F1864" s="23" t="str">
        <f>HYPERLINK(AB2 &amp; "/mug/sn_f7d776fd68b126f23b67070c4a034f08/rendering/03.obj", "2.63027709961")</f>
        <v>2.63027709961</v>
      </c>
      <c r="G1864" s="90" t="str">
        <f>HYPERLINK(AB2 &amp; "/mug/sn_f7d776fd68b126f23b67070c4a034f08/rendering/04.obj", "2.47955795288")</f>
        <v>2.47955795288</v>
      </c>
      <c r="H1864" s="30" t="str">
        <f>HYPERLINK(AB2 &amp; "/mug/sn_f7d776fd68b126f23b67070c4a034f08/rendering/05.obj", "2.74933929443")</f>
        <v>2.74933929443</v>
      </c>
      <c r="I1864" s="35" t="str">
        <f>HYPERLINK(AB2 &amp; "/mug/sn_f7d776fd68b126f23b67070c4a034f08/rendering/06.obj", "2.89900421143")</f>
        <v>2.89900421143</v>
      </c>
      <c r="J1864" s="68" t="str">
        <f>HYPERLINK(AB2 &amp; "/mug/sn_f7d776fd68b126f23b67070c4a034f08/rendering/07.obj", "2.61955444336")</f>
        <v>2.61955444336</v>
      </c>
      <c r="K1864" s="39" t="str">
        <f>HYPERLINK(AB2 &amp; "/mug/sn_f7d776fd68b126f23b67070c4a034f08/rendering/08.obj", "2.49785064697")</f>
        <v>2.49785064697</v>
      </c>
      <c r="L1864" s="38" t="str">
        <f>HYPERLINK(AB2 &amp; "/mug/sn_f7d776fd68b126f23b67070c4a034f08/rendering/09.obj", "2.9801159668")</f>
        <v>2.9801159668</v>
      </c>
      <c r="M1864" s="67" t="str">
        <f>HYPERLINK(AB2 &amp; "/mug/sn_f7d776fd68b126f23b67070c4a034f08/rendering/10.obj", "2.4835949707")</f>
        <v>2.4835949707</v>
      </c>
      <c r="N1864" s="32" t="str">
        <f>HYPERLINK(AB2 &amp; "/mug/sn_f7d776fd68b126f23b67070c4a034f08/rendering/11.obj", "2.44989105225")</f>
        <v>2.44989105225</v>
      </c>
      <c r="O1864" s="92" t="str">
        <f>HYPERLINK(AB2 &amp; "/mug/sn_f7d776fd68b126f23b67070c4a034f08/rendering/12.obj", "3.07837554932")</f>
        <v>3.07837554932</v>
      </c>
      <c r="P1864" s="39" t="str">
        <f>HYPERLINK(AB2 &amp; "/mug/sn_f7d776fd68b126f23b67070c4a034f08/rendering/13.obj", "2.97082427979")</f>
        <v>2.97082427979</v>
      </c>
      <c r="Q1864" s="108" t="str">
        <f>HYPERLINK(AB2 &amp; "/mug/sn_f7d776fd68b126f23b67070c4a034f08/rendering/14.obj", "3.40939147949")</f>
        <v>3.40939147949</v>
      </c>
      <c r="R1864" s="25" t="str">
        <f>HYPERLINK(AB2 &amp; "/mug/sn_f7d776fd68b126f23b67070c4a034f08/rendering/15.obj", "2.7689050293")</f>
        <v>2.7689050293</v>
      </c>
      <c r="S1864" s="6" t="str">
        <f>HYPERLINK(AB2 &amp; "/mug/sn_f7d776fd68b126f23b67070c4a034f08/rendering/16.obj", "2.61573974609")</f>
        <v>2.61573974609</v>
      </c>
      <c r="T1864" s="73" t="str">
        <f>HYPERLINK(AB2 &amp; "/mug/sn_f7d776fd68b126f23b67070c4a034f08/rendering/17.obj", "2.64223022461")</f>
        <v>2.64223022461</v>
      </c>
      <c r="U1864" s="72" t="str">
        <f>HYPERLINK(AB2 &amp; "/mug/sn_f7d776fd68b126f23b67070c4a034f08/rendering/18.obj", "2.64515716553")</f>
        <v>2.64515716553</v>
      </c>
      <c r="V1864" s="69" t="str">
        <f>HYPERLINK(AB2 &amp; "/mug/sn_f7d776fd68b126f23b67070c4a034f08/rendering/19.obj", "2.82367279053")</f>
        <v>2.82367279053</v>
      </c>
      <c r="W1864" s="12" t="s">
        <v>31</v>
      </c>
      <c r="X1864" s="13">
        <v>2.7378328628540052</v>
      </c>
      <c r="Y1864" s="13">
        <v>0.2325141806093862</v>
      </c>
      <c r="Z1864" s="39">
        <v>8.492636046709072E-2</v>
      </c>
    </row>
    <row r="1865" spans="1:26" x14ac:dyDescent="0.2">
      <c r="A1865" s="1">
        <v>1863</v>
      </c>
      <c r="B1865" s="2" t="s">
        <v>405</v>
      </c>
      <c r="C1865" s="51" t="str">
        <f>HYPERLINK(AB2 &amp; "/mug/sn_f7d776fd68b126f23b67070c4a034f08/rendering/00.obj", "3.87931847572")</f>
        <v>3.87931847572</v>
      </c>
      <c r="D1865" s="39" t="str">
        <f>HYPERLINK(AB2 &amp; "/mug/sn_f7d776fd68b126f23b67070c4a034f08/rendering/01.obj", "4.58059644699")</f>
        <v>4.58059644699</v>
      </c>
      <c r="E1865" s="68" t="str">
        <f>HYPERLINK(AB2 &amp; "/mug/sn_f7d776fd68b126f23b67070c4a034f08/rendering/02.obj", "4.04252481461")</f>
        <v>4.04252481461</v>
      </c>
      <c r="F1865" s="17" t="str">
        <f>HYPERLINK(AB2 &amp; "/mug/sn_f7d776fd68b126f23b67070c4a034f08/rendering/03.obj", "4.12237787247")</f>
        <v>4.12237787247</v>
      </c>
      <c r="G1865" s="34" t="str">
        <f>HYPERLINK(AB2 &amp; "/mug/sn_f7d776fd68b126f23b67070c4a034f08/rendering/04.obj", "4.00571918488")</f>
        <v>4.00571918488</v>
      </c>
      <c r="H1865" s="34" t="str">
        <f>HYPERLINK(AB2 &amp; "/mug/sn_f7d776fd68b126f23b67070c4a034f08/rendering/05.obj", "4.01178598404")</f>
        <v>4.01178598404</v>
      </c>
      <c r="I1865" s="51" t="str">
        <f>HYPERLINK(AB2 &amp; "/mug/sn_f7d776fd68b126f23b67070c4a034f08/rendering/06.obj", "4.55496740341")</f>
        <v>4.55496740341</v>
      </c>
      <c r="J1865" s="35" t="str">
        <f>HYPERLINK(AB2 &amp; "/mug/sn_f7d776fd68b126f23b67070c4a034f08/rendering/07.obj", "3.96550369263")</f>
        <v>3.96550369263</v>
      </c>
      <c r="K1865" s="91" t="str">
        <f>HYPERLINK(AB2 &amp; "/mug/sn_f7d776fd68b126f23b67070c4a034f08/rendering/08.obj", "4.09894323349")</f>
        <v>4.09894323349</v>
      </c>
      <c r="L1865" s="107" t="str">
        <f>HYPERLINK(AB2 &amp; "/mug/sn_f7d776fd68b126f23b67070c4a034f08/rendering/09.obj", "4.56034088135")</f>
        <v>4.56034088135</v>
      </c>
      <c r="M1865" s="73" t="str">
        <f>HYPERLINK(AB2 &amp; "/mug/sn_f7d776fd68b126f23b67070c4a034f08/rendering/10.obj", "4.05600404739")</f>
        <v>4.05600404739</v>
      </c>
      <c r="N1865" s="72" t="str">
        <f>HYPERLINK(AB2 &amp; "/mug/sn_f7d776fd68b126f23b67070c4a034f08/rendering/11.obj", "4.07077932358")</f>
        <v>4.07077932358</v>
      </c>
      <c r="O1865" s="90" t="str">
        <f>HYPERLINK(AB2 &amp; "/mug/sn_f7d776fd68b126f23b67070c4a034f08/rendering/12.obj", "4.61192560196")</f>
        <v>4.61192560196</v>
      </c>
      <c r="P1865" s="51" t="str">
        <f>HYPERLINK(AB2 &amp; "/mug/sn_f7d776fd68b126f23b67070c4a034f08/rendering/13.obj", "4.55617427826")</f>
        <v>4.55617427826</v>
      </c>
      <c r="Q1865" s="70" t="str">
        <f>HYPERLINK(AB2 &amp; "/mug/sn_f7d776fd68b126f23b67070c4a034f08/rendering/14.obj", "4.74460554123")</f>
        <v>4.74460554123</v>
      </c>
      <c r="R1865" s="48" t="str">
        <f>HYPERLINK(AB2 &amp; "/mug/sn_f7d776fd68b126f23b67070c4a034f08/rendering/15.obj", "4.31974315643")</f>
        <v>4.31974315643</v>
      </c>
      <c r="S1865" s="17" t="str">
        <f>HYPERLINK(AB2 &amp; "/mug/sn_f7d776fd68b126f23b67070c4a034f08/rendering/16.obj", "4.13223409653")</f>
        <v>4.13223409653</v>
      </c>
      <c r="T1865" s="51" t="str">
        <f>HYPERLINK(AB2 &amp; "/mug/sn_f7d776fd68b126f23b67070c4a034f08/rendering/17.obj", "3.87368535995")</f>
        <v>3.87368535995</v>
      </c>
      <c r="U1865" s="26" t="str">
        <f>HYPERLINK(AB2 &amp; "/mug/sn_f7d776fd68b126f23b67070c4a034f08/rendering/18.obj", "3.94606089592")</f>
        <v>3.94606089592</v>
      </c>
      <c r="V1865" s="74" t="str">
        <f>HYPERLINK(AB2 &amp; "/mug/sn_f7d776fd68b126f23b67070c4a034f08/rendering/19.obj", "4.15753602982")</f>
        <v>4.15753602982</v>
      </c>
      <c r="W1865" s="12" t="s">
        <v>32</v>
      </c>
      <c r="X1865" s="13">
        <v>4.2145413160324097</v>
      </c>
      <c r="Y1865" s="13">
        <v>0.27301775108483528</v>
      </c>
      <c r="Z1865" s="26">
        <v>6.4779944153413968E-2</v>
      </c>
    </row>
    <row r="1866" spans="1:26" x14ac:dyDescent="0.2">
      <c r="A1866" s="1">
        <v>1864</v>
      </c>
      <c r="B1866" s="2" t="s">
        <v>405</v>
      </c>
      <c r="C1866" s="13" t="str">
        <f>HYPERLINK(AC2 &amp; "/mug/sn_f7d776fd68b126f23b67070c4a034f08/rendering/00.xyz", "0.0")</f>
        <v>0.0</v>
      </c>
      <c r="D1866" s="13" t="str">
        <f>HYPERLINK(AC2 &amp; "/mug/sn_f7d776fd68b126f23b67070c4a034f08/rendering/01.xyz", "0.0")</f>
        <v>0.0</v>
      </c>
      <c r="E1866" s="13" t="str">
        <f>HYPERLINK(AC2 &amp; "/mug/sn_f7d776fd68b126f23b67070c4a034f08/rendering/02.xyz", "0.0")</f>
        <v>0.0</v>
      </c>
      <c r="F1866" s="13" t="str">
        <f>HYPERLINK(AC2 &amp; "/mug/sn_f7d776fd68b126f23b67070c4a034f08/rendering/03.xyz", "0.0")</f>
        <v>0.0</v>
      </c>
      <c r="G1866" s="13" t="str">
        <f>HYPERLINK(AC2 &amp; "/mug/sn_f7d776fd68b126f23b67070c4a034f08/rendering/04.xyz", "0.0")</f>
        <v>0.0</v>
      </c>
      <c r="H1866" s="13" t="str">
        <f>HYPERLINK(AC2 &amp; "/mug/sn_f7d776fd68b126f23b67070c4a034f08/rendering/05.xyz", "0.0")</f>
        <v>0.0</v>
      </c>
      <c r="I1866" s="13" t="str">
        <f>HYPERLINK(AC2 &amp; "/mug/sn_f7d776fd68b126f23b67070c4a034f08/rendering/06.xyz", "0.0")</f>
        <v>0.0</v>
      </c>
      <c r="J1866" s="13" t="str">
        <f>HYPERLINK(AC2 &amp; "/mug/sn_f7d776fd68b126f23b67070c4a034f08/rendering/07.xyz", "0.0")</f>
        <v>0.0</v>
      </c>
      <c r="K1866" s="13" t="str">
        <f>HYPERLINK(AC2 &amp; "/mug/sn_f7d776fd68b126f23b67070c4a034f08/rendering/08.xyz", "0.0")</f>
        <v>0.0</v>
      </c>
      <c r="L1866" s="13" t="str">
        <f>HYPERLINK(AC2 &amp; "/mug/sn_f7d776fd68b126f23b67070c4a034f08/rendering/09.xyz", "0.0")</f>
        <v>0.0</v>
      </c>
      <c r="M1866" s="13" t="str">
        <f>HYPERLINK(AC2 &amp; "/mug/sn_f7d776fd68b126f23b67070c4a034f08/rendering/10.xyz", "0.0")</f>
        <v>0.0</v>
      </c>
      <c r="N1866" s="13" t="str">
        <f>HYPERLINK(AC2 &amp; "/mug/sn_f7d776fd68b126f23b67070c4a034f08/rendering/11.xyz", "0.0")</f>
        <v>0.0</v>
      </c>
      <c r="O1866" s="13" t="str">
        <f>HYPERLINK(AC2 &amp; "/mug/sn_f7d776fd68b126f23b67070c4a034f08/rendering/12.xyz", "0.0")</f>
        <v>0.0</v>
      </c>
      <c r="P1866" s="13" t="str">
        <f>HYPERLINK(AC2 &amp; "/mug/sn_f7d776fd68b126f23b67070c4a034f08/rendering/13.xyz", "0.0")</f>
        <v>0.0</v>
      </c>
      <c r="Q1866" s="13" t="str">
        <f>HYPERLINK(AC2 &amp; "/mug/sn_f7d776fd68b126f23b67070c4a034f08/rendering/14.xyz", "0.0")</f>
        <v>0.0</v>
      </c>
      <c r="R1866" s="13" t="str">
        <f>HYPERLINK(AC2 &amp; "/mug/sn_f7d776fd68b126f23b67070c4a034f08/rendering/15.xyz", "0.0")</f>
        <v>0.0</v>
      </c>
      <c r="S1866" s="13" t="str">
        <f>HYPERLINK(AC2 &amp; "/mug/sn_f7d776fd68b126f23b67070c4a034f08/rendering/16.xyz", "0.0")</f>
        <v>0.0</v>
      </c>
      <c r="T1866" s="13" t="str">
        <f>HYPERLINK(AC2 &amp; "/mug/sn_f7d776fd68b126f23b67070c4a034f08/rendering/17.xyz", "0.0")</f>
        <v>0.0</v>
      </c>
      <c r="U1866" s="13" t="str">
        <f>HYPERLINK(AC2 &amp; "/mug/sn_f7d776fd68b126f23b67070c4a034f08/rendering/18.xyz", "0.0")</f>
        <v>0.0</v>
      </c>
      <c r="V1866" s="13" t="str">
        <f>HYPERLINK(AC2 &amp; "/mug/sn_f7d776fd68b126f23b67070c4a034f08/rendering/19.xyz", "0.0")</f>
        <v>0.0</v>
      </c>
      <c r="W1866" s="12" t="s">
        <v>33</v>
      </c>
      <c r="X1866" s="13">
        <v>0</v>
      </c>
      <c r="Y1866" s="13">
        <v>0</v>
      </c>
      <c r="Z1866" s="13">
        <v>0</v>
      </c>
    </row>
    <row r="1867" spans="1:26" x14ac:dyDescent="0.2">
      <c r="A1867" s="1">
        <v>1865</v>
      </c>
      <c r="B1867" s="2" t="s">
        <v>406</v>
      </c>
      <c r="C1867" s="59" t="str">
        <f>HYPERLINK(AA2 &amp; "/mug/sn_f99e19b8c4a729353deb88581ea8417a/rendering/00.obj", "3.25895202637")</f>
        <v>3.25895202637</v>
      </c>
      <c r="D1867" s="55" t="str">
        <f>HYPERLINK(AA2 &amp; "/mug/sn_f99e19b8c4a729353deb88581ea8417a/rendering/01.obj", "5.11286865234")</f>
        <v>5.11286865234</v>
      </c>
      <c r="E1867" s="90" t="str">
        <f>HYPERLINK(AA2 &amp; "/mug/sn_f99e19b8c4a729353deb88581ea8417a/rendering/02.obj", "4.69328826904")</f>
        <v>4.69328826904</v>
      </c>
      <c r="F1867" s="40" t="str">
        <f>HYPERLINK(AA2 &amp; "/mug/sn_f99e19b8c4a729353deb88581ea8417a/rendering/03.obj", "3.5494152832")</f>
        <v>3.5494152832</v>
      </c>
      <c r="G1867" s="136" t="str">
        <f>HYPERLINK(AA2 &amp; "/mug/sn_f99e19b8c4a729353deb88581ea8417a/rendering/04.obj", "5.29915710449")</f>
        <v>5.29915710449</v>
      </c>
      <c r="H1867" s="98" t="str">
        <f>HYPERLINK(AA2 &amp; "/mug/sn_f99e19b8c4a729353deb88581ea8417a/rendering/05.obj", "3.30095153809")</f>
        <v>3.30095153809</v>
      </c>
      <c r="I1867" s="84" t="str">
        <f>HYPERLINK(AA2 &amp; "/mug/sn_f99e19b8c4a729353deb88581ea8417a/rendering/06.obj", "3.65878356934")</f>
        <v>3.65878356934</v>
      </c>
      <c r="J1867" s="77" t="str">
        <f>HYPERLINK(AA2 &amp; "/mug/sn_f99e19b8c4a729353deb88581ea8417a/rendering/07.obj", "3.48939819336")</f>
        <v>3.48939819336</v>
      </c>
      <c r="K1867" s="27" t="str">
        <f>HYPERLINK(AA2 &amp; "/mug/sn_f99e19b8c4a729353deb88581ea8417a/rendering/08.obj", "3.98197692871")</f>
        <v>3.98197692871</v>
      </c>
      <c r="L1867" s="19" t="str">
        <f>HYPERLINK(AA2 &amp; "/mug/sn_f99e19b8c4a729353deb88581ea8417a/rendering/09.obj", "3.16708496094")</f>
        <v>3.16708496094</v>
      </c>
      <c r="M1867" s="49" t="str">
        <f>HYPERLINK(AA2 &amp; "/mug/sn_f99e19b8c4a729353deb88581ea8417a/rendering/10.obj", "3.3933895874")</f>
        <v>3.3933895874</v>
      </c>
      <c r="N1867" s="38" t="str">
        <f>HYPERLINK(AA2 &amp; "/mug/sn_f99e19b8c4a729353deb88581ea8417a/rendering/11.obj", "3.90395263672")</f>
        <v>3.90395263672</v>
      </c>
      <c r="O1867" s="35" t="str">
        <f>HYPERLINK(AA2 &amp; "/mug/sn_f99e19b8c4a729353deb88581ea8417a/rendering/12.obj", "4.03139373779")</f>
        <v>4.03139373779</v>
      </c>
      <c r="P1867" s="76" t="str">
        <f>HYPERLINK(AA2 &amp; "/mug/sn_f99e19b8c4a729353deb88581ea8417a/rendering/13.obj", "3.49658752441")</f>
        <v>3.49658752441</v>
      </c>
      <c r="Q1867" s="10" t="str">
        <f>HYPERLINK(AA2 &amp; "/mug/sn_f99e19b8c4a729353deb88581ea8417a/rendering/14.obj", "4.05290710449")</f>
        <v>4.05290710449</v>
      </c>
      <c r="R1867" s="120" t="str">
        <f>HYPERLINK(AA2 &amp; "/mug/sn_f99e19b8c4a729353deb88581ea8417a/rendering/15.obj", "3.37915039062")</f>
        <v>3.37915039062</v>
      </c>
      <c r="S1867" s="89" t="str">
        <f>HYPERLINK(AA2 &amp; "/mug/sn_f99e19b8c4a729353deb88581ea8417a/rendering/16.obj", "3.17863769531")</f>
        <v>3.17863769531</v>
      </c>
      <c r="T1867" s="80" t="str">
        <f>HYPERLINK(AA2 &amp; "/mug/sn_f99e19b8c4a729353deb88581ea8417a/rendering/17.obj", "3.64342254639")</f>
        <v>3.64342254639</v>
      </c>
      <c r="U1867" s="11" t="str">
        <f>HYPERLINK(AA2 &amp; "/mug/sn_f99e19b8c4a729353deb88581ea8417a/rendering/18.obj", "3.32717712402")</f>
        <v>3.32717712402</v>
      </c>
      <c r="V1867" s="20" t="str">
        <f>HYPERLINK(AA2 &amp; "/mug/sn_f99e19b8c4a729353deb88581ea8417a/rendering/19.obj", "13.77359375")</f>
        <v>13.77359375</v>
      </c>
      <c r="W1867" s="12" t="s">
        <v>29</v>
      </c>
      <c r="X1867" s="13">
        <v>4.2846044311523439</v>
      </c>
      <c r="Y1867" s="13">
        <v>2.2571716449105348</v>
      </c>
      <c r="Z1867" s="174">
        <v>0.52680980967558522</v>
      </c>
    </row>
    <row r="1868" spans="1:26" x14ac:dyDescent="0.2">
      <c r="A1868" s="1">
        <v>1866</v>
      </c>
      <c r="B1868" s="2" t="s">
        <v>406</v>
      </c>
      <c r="C1868" s="175" t="str">
        <f>HYPERLINK(AA2 &amp; "/mug/sn_f99e19b8c4a729353deb88581ea8417a/rendering/00.obj", "7.25355958939")</f>
        <v>7.25355958939</v>
      </c>
      <c r="D1868" s="75" t="str">
        <f>HYPERLINK(AA2 &amp; "/mug/sn_f99e19b8c4a729353deb88581ea8417a/rendering/01.obj", "11.576792717")</f>
        <v>11.576792717</v>
      </c>
      <c r="E1868" s="109" t="str">
        <f>HYPERLINK(AA2 &amp; "/mug/sn_f99e19b8c4a729353deb88581ea8417a/rendering/02.obj", "11.2806196213")</f>
        <v>11.2806196213</v>
      </c>
      <c r="F1868" s="46" t="str">
        <f>HYPERLINK(AA2 &amp; "/mug/sn_f99e19b8c4a729353deb88581ea8417a/rendering/03.obj", "9.29547119141")</f>
        <v>9.29547119141</v>
      </c>
      <c r="G1868" s="65" t="str">
        <f>HYPERLINK(AA2 &amp; "/mug/sn_f99e19b8c4a729353deb88581ea8417a/rendering/04.obj", "10.7366695404")</f>
        <v>10.7366695404</v>
      </c>
      <c r="H1868" s="36" t="str">
        <f>HYPERLINK(AA2 &amp; "/mug/sn_f99e19b8c4a729353deb88581ea8417a/rendering/05.obj", "7.43709754944")</f>
        <v>7.43709754944</v>
      </c>
      <c r="I1868" s="175" t="str">
        <f>HYPERLINK(AA2 &amp; "/mug/sn_f99e19b8c4a729353deb88581ea8417a/rendering/06.obj", "7.27134227753")</f>
        <v>7.27134227753</v>
      </c>
      <c r="J1868" s="36" t="str">
        <f>HYPERLINK(AA2 &amp; "/mug/sn_f99e19b8c4a729353deb88581ea8417a/rendering/07.obj", "7.44173526764")</f>
        <v>7.44173526764</v>
      </c>
      <c r="K1868" s="6" t="str">
        <f>HYPERLINK(AA2 &amp; "/mug/sn_f99e19b8c4a729353deb88581ea8417a/rendering/08.obj", "9.03193187714")</f>
        <v>9.03193187714</v>
      </c>
      <c r="L1868" s="44" t="str">
        <f>HYPERLINK(AA2 &amp; "/mug/sn_f99e19b8c4a729353deb88581ea8417a/rendering/09.obj", "7.62493133545")</f>
        <v>7.62493133545</v>
      </c>
      <c r="M1868" s="44" t="str">
        <f>HYPERLINK(AA2 &amp; "/mug/sn_f99e19b8c4a729353deb88581ea8417a/rendering/10.obj", "7.62750101089")</f>
        <v>7.62750101089</v>
      </c>
      <c r="N1868" s="78" t="str">
        <f>HYPERLINK(AA2 &amp; "/mug/sn_f99e19b8c4a729353deb88581ea8417a/rendering/11.obj", "8.8991355896")</f>
        <v>8.8991355896</v>
      </c>
      <c r="O1868" s="106" t="str">
        <f>HYPERLINK(AA2 &amp; "/mug/sn_f99e19b8c4a729353deb88581ea8417a/rendering/12.obj", "8.38415813446")</f>
        <v>8.38415813446</v>
      </c>
      <c r="P1868" s="136" t="str">
        <f>HYPERLINK(AA2 &amp; "/mug/sn_f99e19b8c4a729353deb88581ea8417a/rendering/13.obj", "7.23729276657")</f>
        <v>7.23729276657</v>
      </c>
      <c r="Q1868" s="58" t="str">
        <f>HYPERLINK(AA2 &amp; "/mug/sn_f99e19b8c4a729353deb88581ea8417a/rendering/14.obj", "7.15947771072")</f>
        <v>7.15947771072</v>
      </c>
      <c r="R1868" s="24" t="str">
        <f>HYPERLINK(AA2 &amp; "/mug/sn_f99e19b8c4a729353deb88581ea8417a/rendering/15.obj", "7.87937545776")</f>
        <v>7.87937545776</v>
      </c>
      <c r="S1868" s="55" t="str">
        <f>HYPERLINK(AA2 &amp; "/mug/sn_f99e19b8c4a729353deb88581ea8417a/rendering/16.obj", "7.64845895767")</f>
        <v>7.64845895767</v>
      </c>
      <c r="T1868" s="129" t="str">
        <f>HYPERLINK(AA2 &amp; "/mug/sn_f99e19b8c4a729353deb88581ea8417a/rendering/17.obj", "7.09524583817")</f>
        <v>7.09524583817</v>
      </c>
      <c r="U1868" s="87" t="str">
        <f>HYPERLINK(AA2 &amp; "/mug/sn_f99e19b8c4a729353deb88581ea8417a/rendering/18.obj", "7.31975364685")</f>
        <v>7.31975364685</v>
      </c>
      <c r="V1868" s="20" t="str">
        <f>HYPERLINK(AA2 &amp; "/mug/sn_f99e19b8c4a729353deb88581ea8417a/rendering/19.obj", "31.2498970032")</f>
        <v>31.2498970032</v>
      </c>
      <c r="W1868" s="12" t="s">
        <v>30</v>
      </c>
      <c r="X1868" s="13">
        <v>9.4725223541259762</v>
      </c>
      <c r="Y1868" s="13">
        <v>5.1799585150651</v>
      </c>
      <c r="Z1868" s="195">
        <v>0.54684046354441684</v>
      </c>
    </row>
    <row r="1869" spans="1:26" x14ac:dyDescent="0.2">
      <c r="A1869" s="1">
        <v>1867</v>
      </c>
      <c r="B1869" s="2" t="s">
        <v>406</v>
      </c>
      <c r="C1869" s="110" t="str">
        <f>HYPERLINK(AB2 &amp; "/mug/sn_f99e19b8c4a729353deb88581ea8417a/rendering/00.obj", "3.6257434082")</f>
        <v>3.6257434082</v>
      </c>
      <c r="D1869" s="38" t="str">
        <f>HYPERLINK(AB2 &amp; "/mug/sn_f99e19b8c4a729353deb88581ea8417a/rendering/01.obj", "3.66439758301")</f>
        <v>3.66439758301</v>
      </c>
      <c r="E1869" s="70" t="str">
        <f>HYPERLINK(AB2 &amp; "/mug/sn_f99e19b8c4a729353deb88581ea8417a/rendering/02.obj", "3.51412872314")</f>
        <v>3.51412872314</v>
      </c>
      <c r="F1869" s="109" t="str">
        <f>HYPERLINK(AB2 &amp; "/mug/sn_f99e19b8c4a729353deb88581ea8417a/rendering/03.obj", "3.25451751709")</f>
        <v>3.25451751709</v>
      </c>
      <c r="G1869" s="133" t="str">
        <f>HYPERLINK(AB2 &amp; "/mug/sn_f99e19b8c4a729353deb88581ea8417a/rendering/04.obj", "3.6168560791")</f>
        <v>3.6168560791</v>
      </c>
      <c r="H1869" s="69" t="str">
        <f>HYPERLINK(AB2 &amp; "/mug/sn_f99e19b8c4a729353deb88581ea8417a/rendering/05.obj", "3.89919158936")</f>
        <v>3.89919158936</v>
      </c>
      <c r="I1869" s="51" t="str">
        <f>HYPERLINK(AB2 &amp; "/mug/sn_f99e19b8c4a729353deb88581ea8417a/rendering/06.obj", "3.70011352539")</f>
        <v>3.70011352539</v>
      </c>
      <c r="J1869" s="44" t="str">
        <f>HYPERLINK(AB2 &amp; "/mug/sn_f99e19b8c4a729353deb88581ea8417a/rendering/07.obj", "4.81121520996")</f>
        <v>4.81121520996</v>
      </c>
      <c r="K1869" s="63" t="str">
        <f>HYPERLINK(AB2 &amp; "/mug/sn_f99e19b8c4a729353deb88581ea8417a/rendering/08.obj", "3.53958099365")</f>
        <v>3.53958099365</v>
      </c>
      <c r="L1869" s="74" t="str">
        <f>HYPERLINK(AB2 &amp; "/mug/sn_f99e19b8c4a729353deb88581ea8417a/rendering/09.obj", "4.07833190918")</f>
        <v>4.07833190918</v>
      </c>
      <c r="M1869" s="54" t="str">
        <f>HYPERLINK(AB2 &amp; "/mug/sn_f99e19b8c4a729353deb88581ea8417a/rendering/10.obj", "5.34089233398")</f>
        <v>5.34089233398</v>
      </c>
      <c r="N1869" s="19" t="str">
        <f>HYPERLINK(AB2 &amp; "/mug/sn_f99e19b8c4a729353deb88581ea8417a/rendering/11.obj", "5.07215637207")</f>
        <v>5.07215637207</v>
      </c>
      <c r="O1869" s="130" t="str">
        <f>HYPERLINK(AB2 &amp; "/mug/sn_f99e19b8c4a729353deb88581ea8417a/rendering/12.obj", "5.83250305176")</f>
        <v>5.83250305176</v>
      </c>
      <c r="P1869" s="75" t="str">
        <f>HYPERLINK(AB2 &amp; "/mug/sn_f99e19b8c4a729353deb88581ea8417a/rendering/13.obj", "4.91312316895")</f>
        <v>4.91312316895</v>
      </c>
      <c r="Q1869" s="109" t="str">
        <f>HYPERLINK(AB2 &amp; "/mug/sn_f99e19b8c4a729353deb88581ea8417a/rendering/14.obj", "3.2538482666")</f>
        <v>3.2538482666</v>
      </c>
      <c r="R1869" s="41" t="str">
        <f>HYPERLINK(AB2 &amp; "/mug/sn_f99e19b8c4a729353deb88581ea8417a/rendering/15.obj", "3.75003570557")</f>
        <v>3.75003570557</v>
      </c>
      <c r="S1869" s="106" t="str">
        <f>HYPERLINK(AB2 &amp; "/mug/sn_f99e19b8c4a729353deb88581ea8417a/rendering/16.obj", "4.48140869141")</f>
        <v>4.48140869141</v>
      </c>
      <c r="T1869" s="76" t="str">
        <f>HYPERLINK(AB2 &amp; "/mug/sn_f99e19b8c4a729353deb88581ea8417a/rendering/17.obj", "3.28855560303")</f>
        <v>3.28855560303</v>
      </c>
      <c r="U1869" s="75" t="str">
        <f>HYPERLINK(AB2 &amp; "/mug/sn_f99e19b8c4a729353deb88581ea8417a/rendering/18.obj", "3.12963745117")</f>
        <v>3.12963745117</v>
      </c>
      <c r="V1869" s="107" t="str">
        <f>HYPERLINK(AB2 &amp; "/mug/sn_f99e19b8c4a729353deb88581ea8417a/rendering/19.obj", "3.69102874756")</f>
        <v>3.69102874756</v>
      </c>
      <c r="W1869" s="12" t="s">
        <v>31</v>
      </c>
      <c r="X1869" s="13">
        <v>4.0228632965087892</v>
      </c>
      <c r="Y1869" s="13">
        <v>0.75850648240334129</v>
      </c>
      <c r="Z1869" s="109">
        <v>0.1885489082021766</v>
      </c>
    </row>
    <row r="1870" spans="1:26" x14ac:dyDescent="0.2">
      <c r="A1870" s="1">
        <v>1868</v>
      </c>
      <c r="B1870" s="2" t="s">
        <v>406</v>
      </c>
      <c r="C1870" s="51" t="str">
        <f>HYPERLINK(AB2 &amp; "/mug/sn_f99e19b8c4a729353deb88581ea8417a/rendering/00.obj", "7.51971054077")</f>
        <v>7.51971054077</v>
      </c>
      <c r="D1870" s="133" t="str">
        <f>HYPERLINK(AB2 &amp; "/mug/sn_f99e19b8c4a729353deb88581ea8417a/rendering/01.obj", "7.33572101593")</f>
        <v>7.33572101593</v>
      </c>
      <c r="E1870" s="78" t="str">
        <f>HYPERLINK(AB2 &amp; "/mug/sn_f99e19b8c4a729353deb88581ea8417a/rendering/02.obj", "7.66184329987")</f>
        <v>7.66184329987</v>
      </c>
      <c r="F1870" s="24" t="str">
        <f>HYPERLINK(AB2 &amp; "/mug/sn_f99e19b8c4a729353deb88581ea8417a/rendering/03.obj", "6.79665184021")</f>
        <v>6.79665184021</v>
      </c>
      <c r="G1870" s="28" t="str">
        <f>HYPERLINK(AB2 &amp; "/mug/sn_f99e19b8c4a729353deb88581ea8417a/rendering/04.obj", "7.247153759")</f>
        <v>7.247153759</v>
      </c>
      <c r="H1870" s="32" t="str">
        <f>HYPERLINK(AB2 &amp; "/mug/sn_f99e19b8c4a729353deb88581ea8417a/rendering/05.obj", "7.31206178665")</f>
        <v>7.31206178665</v>
      </c>
      <c r="I1870" s="107" t="str">
        <f>HYPERLINK(AB2 &amp; "/mug/sn_f99e19b8c4a729353deb88581ea8417a/rendering/06.obj", "7.48047399521")</f>
        <v>7.48047399521</v>
      </c>
      <c r="J1870" s="82" t="str">
        <f>HYPERLINK(AB2 &amp; "/mug/sn_f99e19b8c4a729353deb88581ea8417a/rendering/07.obj", "9.83945178986")</f>
        <v>9.83945178986</v>
      </c>
      <c r="K1870" s="92" t="str">
        <f>HYPERLINK(AB2 &amp; "/mug/sn_f99e19b8c4a729353deb88581ea8417a/rendering/08.obj", "7.14478302002")</f>
        <v>7.14478302002</v>
      </c>
      <c r="L1870" s="41" t="str">
        <f>HYPERLINK(AB2 &amp; "/mug/sn_f99e19b8c4a729353deb88581ea8417a/rendering/09.obj", "8.71127510071")</f>
        <v>8.71127510071</v>
      </c>
      <c r="M1870" s="4" t="str">
        <f>HYPERLINK(AB2 &amp; "/mug/sn_f99e19b8c4a729353deb88581ea8417a/rendering/10.obj", "10.4813404083")</f>
        <v>10.4813404083</v>
      </c>
      <c r="N1870" s="81" t="str">
        <f>HYPERLINK(AB2 &amp; "/mug/sn_f99e19b8c4a729353deb88581ea8417a/rendering/11.obj", "9.94729042053")</f>
        <v>9.94729042053</v>
      </c>
      <c r="O1870" s="140" t="str">
        <f>HYPERLINK(AB2 &amp; "/mug/sn_f99e19b8c4a729353deb88581ea8417a/rendering/12.obj", "10.9964694977")</f>
        <v>10.9964694977</v>
      </c>
      <c r="P1870" s="64" t="str">
        <f>HYPERLINK(AB2 &amp; "/mug/sn_f99e19b8c4a729353deb88581ea8417a/rendering/13.obj", "9.51275730133")</f>
        <v>9.51275730133</v>
      </c>
      <c r="Q1870" s="42" t="str">
        <f>HYPERLINK(AB2 &amp; "/mug/sn_f99e19b8c4a729353deb88581ea8417a/rendering/14.obj", "7.04713487625")</f>
        <v>7.04713487625</v>
      </c>
      <c r="R1870" s="133" t="str">
        <f>HYPERLINK(AB2 &amp; "/mug/sn_f99e19b8c4a729353deb88581ea8417a/rendering/15.obj", "7.32137489319")</f>
        <v>7.32137489319</v>
      </c>
      <c r="S1870" s="117" t="str">
        <f>HYPERLINK(AB2 &amp; "/mug/sn_f99e19b8c4a729353deb88581ea8417a/rendering/16.obj", "9.6039648056")</f>
        <v>9.6039648056</v>
      </c>
      <c r="T1870" s="65" t="str">
        <f>HYPERLINK(AB2 &amp; "/mug/sn_f99e19b8c4a729353deb88581ea8417a/rendering/17.obj", "7.07257795334")</f>
        <v>7.07257795334</v>
      </c>
      <c r="U1870" s="80" t="str">
        <f>HYPERLINK(AB2 &amp; "/mug/sn_f99e19b8c4a729353deb88581ea8417a/rendering/18.obj", "6.93301677704")</f>
        <v>6.93301677704</v>
      </c>
      <c r="V1870" s="28" t="str">
        <f>HYPERLINK(AB2 &amp; "/mug/sn_f99e19b8c4a729353deb88581ea8417a/rendering/19.obj", "7.25136852264")</f>
        <v>7.25136852264</v>
      </c>
      <c r="W1870" s="12" t="s">
        <v>32</v>
      </c>
      <c r="X1870" s="13">
        <v>8.1608210802078247</v>
      </c>
      <c r="Y1870" s="13">
        <v>1.329743643801828</v>
      </c>
      <c r="Z1870" s="66">
        <v>0.16294238419548401</v>
      </c>
    </row>
    <row r="1871" spans="1:26" x14ac:dyDescent="0.2">
      <c r="A1871" s="1">
        <v>1869</v>
      </c>
      <c r="B1871" s="2" t="s">
        <v>406</v>
      </c>
      <c r="C1871" s="13" t="str">
        <f>HYPERLINK(AC2 &amp; "/mug/sn_f99e19b8c4a729353deb88581ea8417a/rendering/00.xyz", "0.0")</f>
        <v>0.0</v>
      </c>
      <c r="D1871" s="13" t="str">
        <f>HYPERLINK(AC2 &amp; "/mug/sn_f99e19b8c4a729353deb88581ea8417a/rendering/01.xyz", "0.0")</f>
        <v>0.0</v>
      </c>
      <c r="E1871" s="13" t="str">
        <f>HYPERLINK(AC2 &amp; "/mug/sn_f99e19b8c4a729353deb88581ea8417a/rendering/02.xyz", "0.0")</f>
        <v>0.0</v>
      </c>
      <c r="F1871" s="13" t="str">
        <f>HYPERLINK(AC2 &amp; "/mug/sn_f99e19b8c4a729353deb88581ea8417a/rendering/03.xyz", "0.0")</f>
        <v>0.0</v>
      </c>
      <c r="G1871" s="13" t="str">
        <f>HYPERLINK(AC2 &amp; "/mug/sn_f99e19b8c4a729353deb88581ea8417a/rendering/04.xyz", "0.0")</f>
        <v>0.0</v>
      </c>
      <c r="H1871" s="13" t="str">
        <f>HYPERLINK(AC2 &amp; "/mug/sn_f99e19b8c4a729353deb88581ea8417a/rendering/05.xyz", "0.0")</f>
        <v>0.0</v>
      </c>
      <c r="I1871" s="13" t="str">
        <f>HYPERLINK(AC2 &amp; "/mug/sn_f99e19b8c4a729353deb88581ea8417a/rendering/06.xyz", "0.0")</f>
        <v>0.0</v>
      </c>
      <c r="J1871" s="13" t="str">
        <f>HYPERLINK(AC2 &amp; "/mug/sn_f99e19b8c4a729353deb88581ea8417a/rendering/07.xyz", "0.0")</f>
        <v>0.0</v>
      </c>
      <c r="K1871" s="13" t="str">
        <f>HYPERLINK(AC2 &amp; "/mug/sn_f99e19b8c4a729353deb88581ea8417a/rendering/08.xyz", "0.0")</f>
        <v>0.0</v>
      </c>
      <c r="L1871" s="13" t="str">
        <f>HYPERLINK(AC2 &amp; "/mug/sn_f99e19b8c4a729353deb88581ea8417a/rendering/09.xyz", "0.0")</f>
        <v>0.0</v>
      </c>
      <c r="M1871" s="13" t="str">
        <f>HYPERLINK(AC2 &amp; "/mug/sn_f99e19b8c4a729353deb88581ea8417a/rendering/10.xyz", "0.0")</f>
        <v>0.0</v>
      </c>
      <c r="N1871" s="13" t="str">
        <f>HYPERLINK(AC2 &amp; "/mug/sn_f99e19b8c4a729353deb88581ea8417a/rendering/11.xyz", "0.0")</f>
        <v>0.0</v>
      </c>
      <c r="O1871" s="13" t="str">
        <f>HYPERLINK(AC2 &amp; "/mug/sn_f99e19b8c4a729353deb88581ea8417a/rendering/12.xyz", "0.0")</f>
        <v>0.0</v>
      </c>
      <c r="P1871" s="13" t="str">
        <f>HYPERLINK(AC2 &amp; "/mug/sn_f99e19b8c4a729353deb88581ea8417a/rendering/13.xyz", "0.0")</f>
        <v>0.0</v>
      </c>
      <c r="Q1871" s="13" t="str">
        <f>HYPERLINK(AC2 &amp; "/mug/sn_f99e19b8c4a729353deb88581ea8417a/rendering/14.xyz", "0.0")</f>
        <v>0.0</v>
      </c>
      <c r="R1871" s="13" t="str">
        <f>HYPERLINK(AC2 &amp; "/mug/sn_f99e19b8c4a729353deb88581ea8417a/rendering/15.xyz", "0.0")</f>
        <v>0.0</v>
      </c>
      <c r="S1871" s="13" t="str">
        <f>HYPERLINK(AC2 &amp; "/mug/sn_f99e19b8c4a729353deb88581ea8417a/rendering/16.xyz", "0.0")</f>
        <v>0.0</v>
      </c>
      <c r="T1871" s="13" t="str">
        <f>HYPERLINK(AC2 &amp; "/mug/sn_f99e19b8c4a729353deb88581ea8417a/rendering/17.xyz", "0.0")</f>
        <v>0.0</v>
      </c>
      <c r="U1871" s="13" t="str">
        <f>HYPERLINK(AC2 &amp; "/mug/sn_f99e19b8c4a729353deb88581ea8417a/rendering/18.xyz", "0.0")</f>
        <v>0.0</v>
      </c>
      <c r="V1871" s="13" t="str">
        <f>HYPERLINK(AC2 &amp; "/mug/sn_f99e19b8c4a729353deb88581ea8417a/rendering/19.xyz", "0.0")</f>
        <v>0.0</v>
      </c>
      <c r="W1871" s="12" t="s">
        <v>33</v>
      </c>
      <c r="X1871" s="13">
        <v>0</v>
      </c>
      <c r="Y1871" s="13">
        <v>0</v>
      </c>
      <c r="Z1871" s="13">
        <v>0</v>
      </c>
    </row>
    <row r="1872" spans="1:26" x14ac:dyDescent="0.2">
      <c r="A1872" s="1">
        <v>1870</v>
      </c>
      <c r="B1872" s="2" t="s">
        <v>407</v>
      </c>
      <c r="C1872" s="223" t="str">
        <f>HYPERLINK(AA2 &amp; "/mug/sn_fad118b32085f3f2c2c72e575af174cd/rendering/00.obj", "8.26652648926")</f>
        <v>8.26652648926</v>
      </c>
      <c r="D1872" s="110" t="str">
        <f>HYPERLINK(AA2 &amp; "/mug/sn_fad118b32085f3f2c2c72e575af174cd/rendering/01.obj", "4.78122619629")</f>
        <v>4.78122619629</v>
      </c>
      <c r="E1872" s="19" t="str">
        <f>HYPERLINK(AA2 &amp; "/mug/sn_fad118b32085f3f2c2c72e575af174cd/rendering/02.obj", "6.68668334961")</f>
        <v>6.68668334961</v>
      </c>
      <c r="F1872" s="30" t="str">
        <f>HYPERLINK(AA2 &amp; "/mug/sn_fad118b32085f3f2c2c72e575af174cd/rendering/03.obj", "5.31802368164")</f>
        <v>5.31802368164</v>
      </c>
      <c r="G1872" s="52" t="str">
        <f>HYPERLINK(AA2 &amp; "/mug/sn_fad118b32085f3f2c2c72e575af174cd/rendering/04.obj", "3.17830566406")</f>
        <v>3.17830566406</v>
      </c>
      <c r="H1872" s="92" t="str">
        <f>HYPERLINK(AA2 &amp; "/mug/sn_fad118b32085f3f2c2c72e575af174cd/rendering/05.obj", "5.96107116699")</f>
        <v>5.96107116699</v>
      </c>
      <c r="I1872" s="91" t="str">
        <f>HYPERLINK(AA2 &amp; "/mug/sn_fad118b32085f3f2c2c72e575af174cd/rendering/06.obj", "5.44084594727")</f>
        <v>5.44084594727</v>
      </c>
      <c r="J1872" s="169" t="str">
        <f>HYPERLINK(AA2 &amp; "/mug/sn_fad118b32085f3f2c2c72e575af174cd/rendering/07.obj", "3.63558227539")</f>
        <v>3.63558227539</v>
      </c>
      <c r="K1872" s="53" t="str">
        <f>HYPERLINK(AA2 &amp; "/mug/sn_fad118b32085f3f2c2c72e575af174cd/rendering/08.obj", "7.47973876953")</f>
        <v>7.47973876953</v>
      </c>
      <c r="L1872" s="158" t="str">
        <f>HYPERLINK(AA2 &amp; "/mug/sn_fad118b32085f3f2c2c72e575af174cd/rendering/09.obj", "7.45873046875")</f>
        <v>7.45873046875</v>
      </c>
      <c r="M1872" s="29" t="str">
        <f>HYPERLINK(AA2 &amp; "/mug/sn_fad118b32085f3f2c2c72e575af174cd/rendering/10.obj", "4.60127624512")</f>
        <v>4.60127624512</v>
      </c>
      <c r="N1872" s="101" t="str">
        <f>HYPERLINK(AA2 &amp; "/mug/sn_fad118b32085f3f2c2c72e575af174cd/rendering/11.obj", "3.29282531738")</f>
        <v>3.29282531738</v>
      </c>
      <c r="O1872" s="90" t="str">
        <f>HYPERLINK(AA2 &amp; "/mug/sn_fad118b32085f3f2c2c72e575af174cd/rendering/12.obj", "4.78812316895")</f>
        <v>4.78812316895</v>
      </c>
      <c r="P1872" s="28" t="str">
        <f>HYPERLINK(AA2 &amp; "/mug/sn_fad118b32085f3f2c2c72e575af174cd/rendering/13.obj", "5.88805725098")</f>
        <v>5.88805725098</v>
      </c>
      <c r="Q1872" s="92" t="str">
        <f>HYPERLINK(AA2 &amp; "/mug/sn_fad118b32085f3f2c2c72e575af174cd/rendering/14.obj", "4.64669769287")</f>
        <v>4.64669769287</v>
      </c>
      <c r="R1872" s="151" t="str">
        <f>HYPERLINK(AA2 &amp; "/mug/sn_fad118b32085f3f2c2c72e575af174cd/rendering/15.obj", "3.39004333496")</f>
        <v>3.39004333496</v>
      </c>
      <c r="S1872" s="40" t="str">
        <f>HYPERLINK(AA2 &amp; "/mug/sn_fad118b32085f3f2c2c72e575af174cd/rendering/16.obj", "4.38384094238")</f>
        <v>4.38384094238</v>
      </c>
      <c r="T1872" s="119" t="str">
        <f>HYPERLINK(AA2 &amp; "/mug/sn_fad118b32085f3f2c2c72e575af174cd/rendering/17.obj", "6.69331665039")</f>
        <v>6.69331665039</v>
      </c>
      <c r="U1872" s="37" t="str">
        <f>HYPERLINK(AA2 &amp; "/mug/sn_fad118b32085f3f2c2c72e575af174cd/rendering/18.obj", "6.21321289062")</f>
        <v>6.21321289062</v>
      </c>
      <c r="V1872" s="113" t="str">
        <f>HYPERLINK(AA2 &amp; "/mug/sn_fad118b32085f3f2c2c72e575af174cd/rendering/19.obj", "3.83705413818")</f>
        <v>3.83705413818</v>
      </c>
      <c r="W1872" s="12" t="s">
        <v>29</v>
      </c>
      <c r="X1872" s="13">
        <v>5.2970590820312502</v>
      </c>
      <c r="Y1872" s="13">
        <v>1.467769264001644</v>
      </c>
      <c r="Z1872" s="7">
        <v>0.27709135225254128</v>
      </c>
    </row>
    <row r="1873" spans="1:26" x14ac:dyDescent="0.2">
      <c r="A1873" s="1">
        <v>1871</v>
      </c>
      <c r="B1873" s="2" t="s">
        <v>407</v>
      </c>
      <c r="C1873" s="216" t="str">
        <f>HYPERLINK(AA2 &amp; "/mug/sn_fad118b32085f3f2c2c72e575af174cd/rendering/00.obj", "16.7923355103")</f>
        <v>16.7923355103</v>
      </c>
      <c r="D1873" s="91" t="str">
        <f>HYPERLINK(AA2 &amp; "/mug/sn_fad118b32085f3f2c2c72e575af174cd/rendering/01.obj", "10.4298400879")</f>
        <v>10.4298400879</v>
      </c>
      <c r="E1873" s="172" t="str">
        <f>HYPERLINK(AA2 &amp; "/mug/sn_fad118b32085f3f2c2c72e575af174cd/rendering/02.obj", "14.081788063")</f>
        <v>14.081788063</v>
      </c>
      <c r="F1873" s="32" t="str">
        <f>HYPERLINK(AA2 &amp; "/mug/sn_fad118b32085f3f2c2c72e575af174cd/rendering/03.obj", "11.2402973175")</f>
        <v>11.2402973175</v>
      </c>
      <c r="G1873" s="138" t="str">
        <f>HYPERLINK(AA2 &amp; "/mug/sn_fad118b32085f3f2c2c72e575af174cd/rendering/04.obj", "6.75403690338")</f>
        <v>6.75403690338</v>
      </c>
      <c r="H1873" s="63" t="str">
        <f>HYPERLINK(AA2 &amp; "/mug/sn_fad118b32085f3f2c2c72e575af174cd/rendering/05.obj", "11.3922605515")</f>
        <v>11.3922605515</v>
      </c>
      <c r="I1873" s="34" t="str">
        <f>HYPERLINK(AA2 &amp; "/mug/sn_fad118b32085f3f2c2c72e575af174cd/rendering/06.obj", "9.67564868927")</f>
        <v>9.67564868927</v>
      </c>
      <c r="J1873" s="192" t="str">
        <f>HYPERLINK(AA2 &amp; "/mug/sn_fad118b32085f3f2c2c72e575af174cd/rendering/07.obj", "6.4000453949")</f>
        <v>6.4000453949</v>
      </c>
      <c r="K1873" s="249" t="str">
        <f>HYPERLINK(AA2 &amp; "/mug/sn_fad118b32085f3f2c2c72e575af174cd/rendering/08.obj", "15.9959831238")</f>
        <v>15.9959831238</v>
      </c>
      <c r="L1873" s="145" t="str">
        <f>HYPERLINK(AA2 &amp; "/mug/sn_fad118b32085f3f2c2c72e575af174cd/rendering/09.obj", "15.1739311218")</f>
        <v>15.1739311218</v>
      </c>
      <c r="M1873" s="89" t="str">
        <f>HYPERLINK(AA2 &amp; "/mug/sn_fad118b32085f3f2c2c72e575af174cd/rendering/10.obj", "7.55283689499")</f>
        <v>7.55283689499</v>
      </c>
      <c r="N1873" s="196" t="str">
        <f>HYPERLINK(AA2 &amp; "/mug/sn_fad118b32085f3f2c2c72e575af174cd/rendering/11.obj", "6.13450479507")</f>
        <v>6.13450479507</v>
      </c>
      <c r="O1873" s="66" t="str">
        <f>HYPERLINK(AA2 &amp; "/mug/sn_fad118b32085f3f2c2c72e575af174cd/rendering/12.obj", "8.5297908783")</f>
        <v>8.5297908783</v>
      </c>
      <c r="P1873" s="26" t="str">
        <f>HYPERLINK(AA2 &amp; "/mug/sn_fad118b32085f3f2c2c72e575af174cd/rendering/13.obj", "10.8190937042")</f>
        <v>10.8190937042</v>
      </c>
      <c r="Q1873" s="117" t="str">
        <f>HYPERLINK(AA2 &amp; "/mug/sn_fad118b32085f3f2c2c72e575af174cd/rendering/14.obj", "8.35546970367")</f>
        <v>8.35546970367</v>
      </c>
      <c r="R1873" s="108" t="str">
        <f>HYPERLINK(AA2 &amp; "/mug/sn_fad118b32085f3f2c2c72e575af174cd/rendering/15.obj", "7.67386198044")</f>
        <v>7.67386198044</v>
      </c>
      <c r="S1873" s="33" t="str">
        <f>HYPERLINK(AA2 &amp; "/mug/sn_fad118b32085f3f2c2c72e575af174cd/rendering/16.obj", "9.05335044861")</f>
        <v>9.05335044861</v>
      </c>
      <c r="T1873" s="35" t="str">
        <f>HYPERLINK(AA2 &amp; "/mug/sn_fad118b32085f3f2c2c72e575af174cd/rendering/17.obj", "9.57077884674")</f>
        <v>9.57077884674</v>
      </c>
      <c r="U1873" s="13" t="str">
        <f>HYPERLINK(AA2 &amp; "/mug/sn_fad118b32085f3f2c2c72e575af174cd/rendering/18.obj", "10.1549167633")</f>
        <v>10.1549167633</v>
      </c>
      <c r="V1873" s="129" t="str">
        <f>HYPERLINK(AA2 &amp; "/mug/sn_fad118b32085f3f2c2c72e575af174cd/rendering/19.obj", "7.6204624176")</f>
        <v>7.6204624176</v>
      </c>
      <c r="W1873" s="12" t="s">
        <v>30</v>
      </c>
      <c r="X1873" s="13">
        <v>10.17006165981293</v>
      </c>
      <c r="Y1873" s="13">
        <v>3.0890733075266552</v>
      </c>
      <c r="Z1873" s="61">
        <v>0.30374184649569541</v>
      </c>
    </row>
    <row r="1874" spans="1:26" x14ac:dyDescent="0.2">
      <c r="A1874" s="1">
        <v>1872</v>
      </c>
      <c r="B1874" s="2" t="s">
        <v>407</v>
      </c>
      <c r="C1874" s="67" t="str">
        <f>HYPERLINK(AB2 &amp; "/mug/sn_fad118b32085f3f2c2c72e575af174cd/rendering/00.obj", "3.07071655273")</f>
        <v>3.07071655273</v>
      </c>
      <c r="D1874" s="82" t="str">
        <f>HYPERLINK(AB2 &amp; "/mug/sn_fad118b32085f3f2c2c72e575af174cd/rendering/01.obj", "4.07001647949")</f>
        <v>4.07001647949</v>
      </c>
      <c r="E1874" s="110" t="str">
        <f>HYPERLINK(AB2 &amp; "/mug/sn_fad118b32085f3f2c2c72e575af174cd/rendering/02.obj", "3.03987304687")</f>
        <v>3.03987304687</v>
      </c>
      <c r="F1874" s="25" t="str">
        <f>HYPERLINK(AB2 &amp; "/mug/sn_fad118b32085f3f2c2c72e575af174cd/rendering/03.obj", "3.33720489502")</f>
        <v>3.33720489502</v>
      </c>
      <c r="G1874" s="78" t="str">
        <f>HYPERLINK(AB2 &amp; "/mug/sn_fad118b32085f3f2c2c72e575af174cd/rendering/04.obj", "3.58561676025")</f>
        <v>3.58561676025</v>
      </c>
      <c r="H1874" s="27" t="str">
        <f>HYPERLINK(AB2 &amp; "/mug/sn_fad118b32085f3f2c2c72e575af174cd/rendering/05.obj", "3.13956054687")</f>
        <v>3.13956054687</v>
      </c>
      <c r="I1874" s="74" t="str">
        <f>HYPERLINK(AB2 &amp; "/mug/sn_fad118b32085f3f2c2c72e575af174cd/rendering/06.obj", "3.32640258789")</f>
        <v>3.32640258789</v>
      </c>
      <c r="J1874" s="26" t="str">
        <f>HYPERLINK(AB2 &amp; "/mug/sn_fad118b32085f3f2c2c72e575af174cd/rendering/07.obj", "3.16629638672")</f>
        <v>3.16629638672</v>
      </c>
      <c r="K1874" s="68" t="str">
        <f>HYPERLINK(AB2 &amp; "/mug/sn_fad118b32085f3f2c2c72e575af174cd/rendering/08.obj", "3.52452911377")</f>
        <v>3.52452911377</v>
      </c>
      <c r="L1874" s="28" t="str">
        <f>HYPERLINK(AB2 &amp; "/mug/sn_fad118b32085f3f2c2c72e575af174cd/rendering/09.obj", "3.00675445557")</f>
        <v>3.00675445557</v>
      </c>
      <c r="M1874" s="67" t="str">
        <f>HYPERLINK(AB2 &amp; "/mug/sn_fad118b32085f3f2c2c72e575af174cd/rendering/10.obj", "3.06378326416")</f>
        <v>3.06378326416</v>
      </c>
      <c r="N1874" s="47" t="str">
        <f>HYPERLINK(AB2 &amp; "/mug/sn_fad118b32085f3f2c2c72e575af174cd/rendering/11.obj", "3.35611633301")</f>
        <v>3.35611633301</v>
      </c>
      <c r="O1874" s="10" t="str">
        <f>HYPERLINK(AB2 &amp; "/mug/sn_fad118b32085f3f2c2c72e575af174cd/rendering/12.obj", "3.19530822754")</f>
        <v>3.19530822754</v>
      </c>
      <c r="P1874" s="68" t="str">
        <f>HYPERLINK(AB2 &amp; "/mug/sn_fad118b32085f3f2c2c72e575af174cd/rendering/13.obj", "3.23398223877")</f>
        <v>3.23398223877</v>
      </c>
      <c r="Q1874" s="46" t="str">
        <f>HYPERLINK(AB2 &amp; "/mug/sn_fad118b32085f3f2c2c72e575af174cd/rendering/14.obj", "3.439296875")</f>
        <v>3.439296875</v>
      </c>
      <c r="R1874" s="10" t="str">
        <f>HYPERLINK(AB2 &amp; "/mug/sn_fad118b32085f3f2c2c72e575af174cd/rendering/15.obj", "3.56497436523")</f>
        <v>3.56497436523</v>
      </c>
      <c r="S1874" s="51" t="str">
        <f>HYPERLINK(AB2 &amp; "/mug/sn_fad118b32085f3f2c2c72e575af174cd/rendering/16.obj", "3.65158813477")</f>
        <v>3.65158813477</v>
      </c>
      <c r="T1874" s="13" t="str">
        <f>HYPERLINK(AB2 &amp; "/mug/sn_fad118b32085f3f2c2c72e575af174cd/rendering/17.obj", "3.38528686523")</f>
        <v>3.38528686523</v>
      </c>
      <c r="U1874" s="29" t="str">
        <f>HYPERLINK(AB2 &amp; "/mug/sn_fad118b32085f3f2c2c72e575af174cd/rendering/18.obj", "3.81621398926")</f>
        <v>3.81621398926</v>
      </c>
      <c r="V1874" s="26" t="str">
        <f>HYPERLINK(AB2 &amp; "/mug/sn_fad118b32085f3f2c2c72e575af174cd/rendering/19.obj", "3.59780761719")</f>
        <v>3.59780761719</v>
      </c>
      <c r="W1874" s="12" t="s">
        <v>31</v>
      </c>
      <c r="X1874" s="13">
        <v>3.3785664367675778</v>
      </c>
      <c r="Y1874" s="13">
        <v>0.27416473617908771</v>
      </c>
      <c r="Z1874" s="51">
        <v>8.1148244768983469E-2</v>
      </c>
    </row>
    <row r="1875" spans="1:26" x14ac:dyDescent="0.2">
      <c r="A1875" s="1">
        <v>1873</v>
      </c>
      <c r="B1875" s="2" t="s">
        <v>407</v>
      </c>
      <c r="C1875" s="72" t="str">
        <f>HYPERLINK(AB2 &amp; "/mug/sn_fad118b32085f3f2c2c72e575af174cd/rendering/00.obj", "5.59309244156")</f>
        <v>5.59309244156</v>
      </c>
      <c r="D1875" s="117" t="str">
        <f>HYPERLINK(AB2 &amp; "/mug/sn_fad118b32085f3f2c2c72e575af174cd/rendering/01.obj", "6.80317783356")</f>
        <v>6.80317783356</v>
      </c>
      <c r="E1875" s="6" t="str">
        <f>HYPERLINK(AB2 &amp; "/mug/sn_fad118b32085f3f2c2c72e575af174cd/rendering/02.obj", "5.51488018036")</f>
        <v>5.51488018036</v>
      </c>
      <c r="F1875" s="69" t="str">
        <f>HYPERLINK(AB2 &amp; "/mug/sn_fad118b32085f3f2c2c72e575af174cd/rendering/03.obj", "5.6022400856")</f>
        <v>5.6022400856</v>
      </c>
      <c r="G1875" s="29" t="str">
        <f>HYPERLINK(AB2 &amp; "/mug/sn_fad118b32085f3f2c2c72e575af174cd/rendering/04.obj", "6.54067325592")</f>
        <v>6.54067325592</v>
      </c>
      <c r="H1875" s="68" t="str">
        <f>HYPERLINK(AB2 &amp; "/mug/sn_fad118b32085f3f2c2c72e575af174cd/rendering/05.obj", "5.53211021423")</f>
        <v>5.53211021423</v>
      </c>
      <c r="I1875" s="48" t="str">
        <f>HYPERLINK(AB2 &amp; "/mug/sn_fad118b32085f3f2c2c72e575af174cd/rendering/06.obj", "5.64945030212")</f>
        <v>5.64945030212</v>
      </c>
      <c r="J1875" s="48" t="str">
        <f>HYPERLINK(AB2 &amp; "/mug/sn_fad118b32085f3f2c2c72e575af174cd/rendering/07.obj", "5.65513134003")</f>
        <v>5.65513134003</v>
      </c>
      <c r="K1875" s="17" t="str">
        <f>HYPERLINK(AB2 &amp; "/mug/sn_fad118b32085f3f2c2c72e575af174cd/rendering/08.obj", "5.65721607208")</f>
        <v>5.65721607208</v>
      </c>
      <c r="L1875" s="60" t="str">
        <f>HYPERLINK(AB2 &amp; "/mug/sn_fad118b32085f3f2c2c72e575af174cd/rendering/09.obj", "5.47847366333")</f>
        <v>5.47847366333</v>
      </c>
      <c r="M1875" s="25" t="str">
        <f>HYPERLINK(AB2 &amp; "/mug/sn_fad118b32085f3f2c2c72e575af174cd/rendering/10.obj", "5.71773910522")</f>
        <v>5.71773910522</v>
      </c>
      <c r="N1875" s="17" t="str">
        <f>HYPERLINK(AB2 &amp; "/mug/sn_fad118b32085f3f2c2c72e575af174cd/rendering/11.obj", "5.90182065964")</f>
        <v>5.90182065964</v>
      </c>
      <c r="O1875" s="23" t="str">
        <f>HYPERLINK(AB2 &amp; "/mug/sn_fad118b32085f3f2c2c72e575af174cd/rendering/12.obj", "5.55870294571")</f>
        <v>5.55870294571</v>
      </c>
      <c r="P1875" s="78" t="str">
        <f>HYPERLINK(AB2 &amp; "/mug/sn_fad118b32085f3f2c2c72e575af174cd/rendering/13.obj", "5.43304109573")</f>
        <v>5.43304109573</v>
      </c>
      <c r="Q1875" s="23" t="str">
        <f>HYPERLINK(AB2 &amp; "/mug/sn_fad118b32085f3f2c2c72e575af174cd/rendering/14.obj", "5.54937791824")</f>
        <v>5.54937791824</v>
      </c>
      <c r="R1875" s="17" t="str">
        <f>HYPERLINK(AB2 &amp; "/mug/sn_fad118b32085f3f2c2c72e575af174cd/rendering/15.obj", "5.89438295364")</f>
        <v>5.89438295364</v>
      </c>
      <c r="S1875" s="72" t="str">
        <f>HYPERLINK(AB2 &amp; "/mug/sn_fad118b32085f3f2c2c72e575af174cd/rendering/16.obj", "5.96898889542")</f>
        <v>5.96898889542</v>
      </c>
      <c r="T1875" s="46" t="str">
        <f>HYPERLINK(AB2 &amp; "/mug/sn_fad118b32085f3f2c2c72e575af174cd/rendering/17.obj", "5.68748617172")</f>
        <v>5.68748617172</v>
      </c>
      <c r="U1875" s="78" t="str">
        <f>HYPERLINK(AB2 &amp; "/mug/sn_fad118b32085f3f2c2c72e575af174cd/rendering/18.obj", "6.13796424866")</f>
        <v>6.13796424866</v>
      </c>
      <c r="V1875" s="13" t="str">
        <f>HYPERLINK(AB2 &amp; "/mug/sn_fad118b32085f3f2c2c72e575af174cd/rendering/19.obj", "5.77378988266")</f>
        <v>5.77378988266</v>
      </c>
      <c r="W1875" s="12" t="s">
        <v>32</v>
      </c>
      <c r="X1875" s="13">
        <v>5.7824869632720954</v>
      </c>
      <c r="Y1875" s="13">
        <v>0.34562157365803509</v>
      </c>
      <c r="Z1875" s="78">
        <v>5.977040257129447E-2</v>
      </c>
    </row>
    <row r="1876" spans="1:26" x14ac:dyDescent="0.2">
      <c r="A1876" s="1">
        <v>1874</v>
      </c>
      <c r="B1876" s="2" t="s">
        <v>407</v>
      </c>
      <c r="C1876" s="13" t="str">
        <f>HYPERLINK(AC2 &amp; "/mug/sn_fad118b32085f3f2c2c72e575af174cd/rendering/00.xyz", "0.0")</f>
        <v>0.0</v>
      </c>
      <c r="D1876" s="13" t="str">
        <f>HYPERLINK(AC2 &amp; "/mug/sn_fad118b32085f3f2c2c72e575af174cd/rendering/01.xyz", "0.0")</f>
        <v>0.0</v>
      </c>
      <c r="E1876" s="13" t="str">
        <f>HYPERLINK(AC2 &amp; "/mug/sn_fad118b32085f3f2c2c72e575af174cd/rendering/02.xyz", "0.0")</f>
        <v>0.0</v>
      </c>
      <c r="F1876" s="13" t="str">
        <f>HYPERLINK(AC2 &amp; "/mug/sn_fad118b32085f3f2c2c72e575af174cd/rendering/03.xyz", "0.0")</f>
        <v>0.0</v>
      </c>
      <c r="G1876" s="13" t="str">
        <f>HYPERLINK(AC2 &amp; "/mug/sn_fad118b32085f3f2c2c72e575af174cd/rendering/04.xyz", "0.0")</f>
        <v>0.0</v>
      </c>
      <c r="H1876" s="13" t="str">
        <f>HYPERLINK(AC2 &amp; "/mug/sn_fad118b32085f3f2c2c72e575af174cd/rendering/05.xyz", "0.0")</f>
        <v>0.0</v>
      </c>
      <c r="I1876" s="13" t="str">
        <f>HYPERLINK(AC2 &amp; "/mug/sn_fad118b32085f3f2c2c72e575af174cd/rendering/06.xyz", "0.0")</f>
        <v>0.0</v>
      </c>
      <c r="J1876" s="13" t="str">
        <f>HYPERLINK(AC2 &amp; "/mug/sn_fad118b32085f3f2c2c72e575af174cd/rendering/07.xyz", "0.0")</f>
        <v>0.0</v>
      </c>
      <c r="K1876" s="13" t="str">
        <f>HYPERLINK(AC2 &amp; "/mug/sn_fad118b32085f3f2c2c72e575af174cd/rendering/08.xyz", "0.0")</f>
        <v>0.0</v>
      </c>
      <c r="L1876" s="13" t="str">
        <f>HYPERLINK(AC2 &amp; "/mug/sn_fad118b32085f3f2c2c72e575af174cd/rendering/09.xyz", "0.0")</f>
        <v>0.0</v>
      </c>
      <c r="M1876" s="13" t="str">
        <f>HYPERLINK(AC2 &amp; "/mug/sn_fad118b32085f3f2c2c72e575af174cd/rendering/10.xyz", "0.0")</f>
        <v>0.0</v>
      </c>
      <c r="N1876" s="13" t="str">
        <f>HYPERLINK(AC2 &amp; "/mug/sn_fad118b32085f3f2c2c72e575af174cd/rendering/11.xyz", "0.0")</f>
        <v>0.0</v>
      </c>
      <c r="O1876" s="13" t="str">
        <f>HYPERLINK(AC2 &amp; "/mug/sn_fad118b32085f3f2c2c72e575af174cd/rendering/12.xyz", "0.0")</f>
        <v>0.0</v>
      </c>
      <c r="P1876" s="13" t="str">
        <f>HYPERLINK(AC2 &amp; "/mug/sn_fad118b32085f3f2c2c72e575af174cd/rendering/13.xyz", "0.0")</f>
        <v>0.0</v>
      </c>
      <c r="Q1876" s="13" t="str">
        <f>HYPERLINK(AC2 &amp; "/mug/sn_fad118b32085f3f2c2c72e575af174cd/rendering/14.xyz", "0.0")</f>
        <v>0.0</v>
      </c>
      <c r="R1876" s="13" t="str">
        <f>HYPERLINK(AC2 &amp; "/mug/sn_fad118b32085f3f2c2c72e575af174cd/rendering/15.xyz", "0.0")</f>
        <v>0.0</v>
      </c>
      <c r="S1876" s="13" t="str">
        <f>HYPERLINK(AC2 &amp; "/mug/sn_fad118b32085f3f2c2c72e575af174cd/rendering/16.xyz", "0.0")</f>
        <v>0.0</v>
      </c>
      <c r="T1876" s="13" t="str">
        <f>HYPERLINK(AC2 &amp; "/mug/sn_fad118b32085f3f2c2c72e575af174cd/rendering/17.xyz", "0.0")</f>
        <v>0.0</v>
      </c>
      <c r="U1876" s="13" t="str">
        <f>HYPERLINK(AC2 &amp; "/mug/sn_fad118b32085f3f2c2c72e575af174cd/rendering/18.xyz", "0.0")</f>
        <v>0.0</v>
      </c>
      <c r="V1876" s="13" t="str">
        <f>HYPERLINK(AC2 &amp; "/mug/sn_fad118b32085f3f2c2c72e575af174cd/rendering/19.xyz", "0.0")</f>
        <v>0.0</v>
      </c>
      <c r="W1876" s="12" t="s">
        <v>33</v>
      </c>
      <c r="X1876" s="13">
        <v>0</v>
      </c>
      <c r="Y1876" s="13">
        <v>0</v>
      </c>
      <c r="Z1876" s="13">
        <v>0</v>
      </c>
    </row>
    <row r="1877" spans="1:26" x14ac:dyDescent="0.2">
      <c r="A1877" s="1">
        <v>1875</v>
      </c>
      <c r="B1877" s="2" t="s">
        <v>408</v>
      </c>
      <c r="C1877" s="61" t="str">
        <f>HYPERLINK(AA2 &amp; "/mug/sn_ff1a44e1c1785d618bca309f2c51966a/rendering/00.obj", "2.59976837158")</f>
        <v>2.59976837158</v>
      </c>
      <c r="D1877" s="111" t="str">
        <f>HYPERLINK(AA2 &amp; "/mug/sn_ff1a44e1c1785d618bca309f2c51966a/rendering/01.obj", "5.30343017578")</f>
        <v>5.30343017578</v>
      </c>
      <c r="E1877" s="170" t="str">
        <f>HYPERLINK(AA2 &amp; "/mug/sn_ff1a44e1c1785d618bca309f2c51966a/rendering/02.obj", "2.78741607666")</f>
        <v>2.78741607666</v>
      </c>
      <c r="F1877" s="51" t="str">
        <f>HYPERLINK(AA2 &amp; "/mug/sn_ff1a44e1c1785d618bca309f2c51966a/rendering/03.obj", "3.43156921387")</f>
        <v>3.43156921387</v>
      </c>
      <c r="G1877" s="97" t="str">
        <f>HYPERLINK(AA2 &amp; "/mug/sn_ff1a44e1c1785d618bca309f2c51966a/rendering/04.obj", "5.35393676758")</f>
        <v>5.35393676758</v>
      </c>
      <c r="H1877" s="77" t="str">
        <f>HYPERLINK(AA2 &amp; "/mug/sn_ff1a44e1c1785d618bca309f2c51966a/rendering/05.obj", "3.03802246094")</f>
        <v>3.03802246094</v>
      </c>
      <c r="I1877" s="39" t="str">
        <f>HYPERLINK(AA2 &amp; "/mug/sn_ff1a44e1c1785d618bca309f2c51966a/rendering/06.obj", "3.40679199219")</f>
        <v>3.40679199219</v>
      </c>
      <c r="J1877" s="68" t="str">
        <f>HYPERLINK(AA2 &amp; "/mug/sn_ff1a44e1c1785d618bca309f2c51966a/rendering/07.obj", "3.56856079102")</f>
        <v>3.56856079102</v>
      </c>
      <c r="K1877" s="106" t="str">
        <f>HYPERLINK(AA2 &amp; "/mug/sn_ff1a44e1c1785d618bca309f2c51966a/rendering/08.obj", "4.16025421143")</f>
        <v>4.16025421143</v>
      </c>
      <c r="L1877" s="74" t="str">
        <f>HYPERLINK(AA2 &amp; "/mug/sn_ff1a44e1c1785d618bca309f2c51966a/rendering/09.obj", "3.77668151855")</f>
        <v>3.77668151855</v>
      </c>
      <c r="M1877" s="98" t="str">
        <f>HYPERLINK(AA2 &amp; "/mug/sn_ff1a44e1c1785d618bca309f2c51966a/rendering/10.obj", "4.58487548828")</f>
        <v>4.58487548828</v>
      </c>
      <c r="N1877" s="92" t="str">
        <f>HYPERLINK(AA2 &amp; "/mug/sn_ff1a44e1c1785d618bca309f2c51966a/rendering/11.obj", "3.26327026367")</f>
        <v>3.26327026367</v>
      </c>
      <c r="O1877" s="24" t="str">
        <f>HYPERLINK(AA2 &amp; "/mug/sn_ff1a44e1c1785d618bca309f2c51966a/rendering/12.obj", "3.10183288574")</f>
        <v>3.10183288574</v>
      </c>
      <c r="P1877" s="139" t="str">
        <f>HYPERLINK(AA2 &amp; "/mug/sn_ff1a44e1c1785d618bca309f2c51966a/rendering/13.obj", "5.51864929199")</f>
        <v>5.51864929199</v>
      </c>
      <c r="Q1877" s="11" t="str">
        <f>HYPERLINK(AA2 &amp; "/mug/sn_ff1a44e1c1785d618bca309f2c51966a/rendering/14.obj", "2.88741577148")</f>
        <v>2.88741577148</v>
      </c>
      <c r="R1877" s="87" t="str">
        <f>HYPERLINK(AA2 &amp; "/mug/sn_ff1a44e1c1785d618bca309f2c51966a/rendering/15.obj", "2.88216430664")</f>
        <v>2.88216430664</v>
      </c>
      <c r="S1877" s="113" t="str">
        <f>HYPERLINK(AA2 &amp; "/mug/sn_ff1a44e1c1785d618bca309f2c51966a/rendering/16.obj", "4.75256652832")</f>
        <v>4.75256652832</v>
      </c>
      <c r="T1877" s="69" t="str">
        <f>HYPERLINK(AA2 &amp; "/mug/sn_ff1a44e1c1785d618bca309f2c51966a/rendering/17.obj", "3.61432098389")</f>
        <v>3.61432098389</v>
      </c>
      <c r="U1877" s="106" t="str">
        <f>HYPERLINK(AA2 &amp; "/mug/sn_ff1a44e1c1785d618bca309f2c51966a/rendering/18.obj", "3.30512542725")</f>
        <v>3.30512542725</v>
      </c>
      <c r="V1877" s="29" t="str">
        <f>HYPERLINK(AA2 &amp; "/mug/sn_ff1a44e1c1785d618bca309f2c51966a/rendering/19.obj", "3.23900512695")</f>
        <v>3.23900512695</v>
      </c>
      <c r="W1877" s="12" t="s">
        <v>29</v>
      </c>
      <c r="X1877" s="13">
        <v>3.7287828826904299</v>
      </c>
      <c r="Y1877" s="13">
        <v>0.88363821920864949</v>
      </c>
      <c r="Z1877" s="136">
        <v>0.23697765383729649</v>
      </c>
    </row>
    <row r="1878" spans="1:26" x14ac:dyDescent="0.2">
      <c r="A1878" s="1">
        <v>1876</v>
      </c>
      <c r="B1878" s="2" t="s">
        <v>408</v>
      </c>
      <c r="C1878" s="58" t="str">
        <f>HYPERLINK(AA2 &amp; "/mug/sn_ff1a44e1c1785d618bca309f2c51966a/rendering/00.obj", "5.84650802612")</f>
        <v>5.84650802612</v>
      </c>
      <c r="D1878" s="169" t="str">
        <f>HYPERLINK(AA2 &amp; "/mug/sn_ff1a44e1c1785d618bca309f2c51966a/rendering/01.obj", "10.1180238724")</f>
        <v>10.1180238724</v>
      </c>
      <c r="E1878" s="81" t="str">
        <f>HYPERLINK(AA2 &amp; "/mug/sn_ff1a44e1c1785d618bca309f2c51966a/rendering/02.obj", "6.02847862244")</f>
        <v>6.02847862244</v>
      </c>
      <c r="F1878" s="55" t="str">
        <f>HYPERLINK(AA2 &amp; "/mug/sn_ff1a44e1c1785d618bca309f2c51966a/rendering/03.obj", "6.22134542465")</f>
        <v>6.22134542465</v>
      </c>
      <c r="G1878" s="179" t="str">
        <f>HYPERLINK(AA2 &amp; "/mug/sn_ff1a44e1c1785d618bca309f2c51966a/rendering/04.obj", "11.0126857758")</f>
        <v>11.0126857758</v>
      </c>
      <c r="H1878" s="100" t="str">
        <f>HYPERLINK(AA2 &amp; "/mug/sn_ff1a44e1c1785d618bca309f2c51966a/rendering/05.obj", "5.39815616608")</f>
        <v>5.39815616608</v>
      </c>
      <c r="I1878" s="106" t="str">
        <f>HYPERLINK(AA2 &amp; "/mug/sn_ff1a44e1c1785d618bca309f2c51966a/rendering/06.obj", "6.82064342499")</f>
        <v>6.82064342499</v>
      </c>
      <c r="J1878" s="6" t="str">
        <f>HYPERLINK(AA2 &amp; "/mug/sn_ff1a44e1c1785d618bca309f2c51966a/rendering/07.obj", "7.35124254227")</f>
        <v>7.35124254227</v>
      </c>
      <c r="K1878" s="83" t="str">
        <f>HYPERLINK(AA2 &amp; "/mug/sn_ff1a44e1c1785d618bca309f2c51966a/rendering/08.obj", "8.89422893524")</f>
        <v>8.89422893524</v>
      </c>
      <c r="L1878" s="170" t="str">
        <f>HYPERLINK(AA2 &amp; "/mug/sn_ff1a44e1c1785d618bca309f2c51966a/rendering/09.obj", "9.6512928009")</f>
        <v>9.6512928009</v>
      </c>
      <c r="M1878" s="8" t="str">
        <f>HYPERLINK(AA2 &amp; "/mug/sn_ff1a44e1c1785d618bca309f2c51966a/rendering/10.obj", "8.81128025055")</f>
        <v>8.81128025055</v>
      </c>
      <c r="N1878" s="29" t="str">
        <f>HYPERLINK(AA2 &amp; "/mug/sn_ff1a44e1c1785d618bca309f2c51966a/rendering/11.obj", "6.6967625618")</f>
        <v>6.6967625618</v>
      </c>
      <c r="O1878" s="81" t="str">
        <f>HYPERLINK(AA2 &amp; "/mug/sn_ff1a44e1c1785d618bca309f2c51966a/rendering/12.obj", "6.02626085281")</f>
        <v>6.02626085281</v>
      </c>
      <c r="P1878" s="111" t="str">
        <f>HYPERLINK(AA2 &amp; "/mug/sn_ff1a44e1c1785d618bca309f2c51966a/rendering/13.obj", "10.9559059143")</f>
        <v>10.9559059143</v>
      </c>
      <c r="Q1878" s="49" t="str">
        <f>HYPERLINK(AA2 &amp; "/mug/sn_ff1a44e1c1785d618bca309f2c51966a/rendering/14.obj", "6.10625743866")</f>
        <v>6.10625743866</v>
      </c>
      <c r="R1878" s="58" t="str">
        <f>HYPERLINK(AA2 &amp; "/mug/sn_ff1a44e1c1785d618bca309f2c51966a/rendering/15.obj", "5.84416532516")</f>
        <v>5.84416532516</v>
      </c>
      <c r="S1878" s="7" t="str">
        <f>HYPERLINK(AA2 &amp; "/mug/sn_ff1a44e1c1785d618bca309f2c51966a/rendering/16.obj", "9.84262657166")</f>
        <v>9.84262657166</v>
      </c>
      <c r="T1878" s="74" t="str">
        <f>HYPERLINK(AA2 &amp; "/mug/sn_ff1a44e1c1785d618bca309f2c51966a/rendering/17.obj", "7.60411977768")</f>
        <v>7.60411977768</v>
      </c>
      <c r="U1878" s="25" t="str">
        <f>HYPERLINK(AA2 &amp; "/mug/sn_ff1a44e1c1785d618bca309f2c51966a/rendering/18.obj", "7.79882717133")</f>
        <v>7.79882717133</v>
      </c>
      <c r="V1878" s="27" t="str">
        <f>HYPERLINK(AA2 &amp; "/mug/sn_ff1a44e1c1785d618bca309f2c51966a/rendering/19.obj", "7.16553211212")</f>
        <v>7.16553211212</v>
      </c>
      <c r="W1878" s="12" t="s">
        <v>30</v>
      </c>
      <c r="X1878" s="13">
        <v>7.7097171783447269</v>
      </c>
      <c r="Y1878" s="13">
        <v>1.777429914202163</v>
      </c>
      <c r="Z1878" s="98">
        <v>0.2305441137574617</v>
      </c>
    </row>
    <row r="1879" spans="1:26" x14ac:dyDescent="0.2">
      <c r="A1879" s="1">
        <v>1877</v>
      </c>
      <c r="B1879" s="2" t="s">
        <v>408</v>
      </c>
      <c r="C1879" s="168" t="str">
        <f>HYPERLINK(AB2 &amp; "/mug/sn_ff1a44e1c1785d618bca309f2c51966a/rendering/00.obj", "5.02935913086")</f>
        <v>5.02935913086</v>
      </c>
      <c r="D1879" s="19" t="str">
        <f>HYPERLINK(AB2 &amp; "/mug/sn_ff1a44e1c1785d618bca309f2c51966a/rendering/01.obj", "2.80685516357")</f>
        <v>2.80685516357</v>
      </c>
      <c r="E1879" s="94" t="str">
        <f>HYPERLINK(AB2 &amp; "/mug/sn_ff1a44e1c1785d618bca309f2c51966a/rendering/02.obj", "3.52899688721")</f>
        <v>3.52899688721</v>
      </c>
      <c r="F1879" s="48" t="str">
        <f>HYPERLINK(AB2 &amp; "/mug/sn_ff1a44e1c1785d618bca309f2c51966a/rendering/03.obj", "3.90279174805")</f>
        <v>3.90279174805</v>
      </c>
      <c r="G1879" s="33" t="str">
        <f>HYPERLINK(AB2 &amp; "/mug/sn_ff1a44e1c1785d618bca309f2c51966a/rendering/04.obj", "3.40264953613")</f>
        <v>3.40264953613</v>
      </c>
      <c r="H1879" s="59" t="str">
        <f>HYPERLINK(AB2 &amp; "/mug/sn_ff1a44e1c1785d618bca309f2c51966a/rendering/05.obj", "2.89665100098")</f>
        <v>2.89665100098</v>
      </c>
      <c r="I1879" s="129" t="str">
        <f>HYPERLINK(AB2 &amp; "/mug/sn_ff1a44e1c1785d618bca309f2c51966a/rendering/06.obj", "4.76135803223")</f>
        <v>4.76135803223</v>
      </c>
      <c r="J1879" s="89" t="str">
        <f>HYPERLINK(AB2 &amp; "/mug/sn_ff1a44e1c1785d618bca309f2c51966a/rendering/07.obj", "2.81980133057")</f>
        <v>2.81980133057</v>
      </c>
      <c r="K1879" s="71" t="str">
        <f>HYPERLINK(AB2 &amp; "/mug/sn_ff1a44e1c1785d618bca309f2c51966a/rendering/08.obj", "3.36029052734")</f>
        <v>3.36029052734</v>
      </c>
      <c r="L1879" s="23" t="str">
        <f>HYPERLINK(AB2 &amp; "/mug/sn_ff1a44e1c1785d618bca309f2c51966a/rendering/09.obj", "3.96249389648")</f>
        <v>3.96249389648</v>
      </c>
      <c r="M1879" s="118" t="str">
        <f>HYPERLINK(AB2 &amp; "/mug/sn_ff1a44e1c1785d618bca309f2c51966a/rendering/10.obj", "4.92710510254")</f>
        <v>4.92710510254</v>
      </c>
      <c r="N1879" s="5" t="str">
        <f>HYPERLINK(AB2 &amp; "/mug/sn_ff1a44e1c1785d618bca309f2c51966a/rendering/11.obj", "4.10393371582")</f>
        <v>4.10393371582</v>
      </c>
      <c r="O1879" s="47" t="str">
        <f>HYPERLINK(AB2 &amp; "/mug/sn_ff1a44e1c1785d618bca309f2c51966a/rendering/12.obj", "3.8440536499")</f>
        <v>3.8440536499</v>
      </c>
      <c r="P1879" s="91" t="str">
        <f>HYPERLINK(AB2 &amp; "/mug/sn_ff1a44e1c1785d618bca309f2c51966a/rendering/13.obj", "3.71019836426")</f>
        <v>3.71019836426</v>
      </c>
      <c r="Q1879" s="60" t="str">
        <f>HYPERLINK(AB2 &amp; "/mug/sn_ff1a44e1c1785d618bca309f2c51966a/rendering/14.obj", "3.61449981689")</f>
        <v>3.61449981689</v>
      </c>
      <c r="R1879" s="60" t="str">
        <f>HYPERLINK(AB2 &amp; "/mug/sn_ff1a44e1c1785d618bca309f2c51966a/rendering/15.obj", "4.01221618652")</f>
        <v>4.01221618652</v>
      </c>
      <c r="S1879" s="120" t="str">
        <f>HYPERLINK(AB2 &amp; "/mug/sn_ff1a44e1c1785d618bca309f2c51966a/rendering/16.obj", "3.00725952148")</f>
        <v>3.00725952148</v>
      </c>
      <c r="T1879" s="38" t="str">
        <f>HYPERLINK(AB2 &amp; "/mug/sn_ff1a44e1c1785d618bca309f2c51966a/rendering/17.obj", "4.15465240479")</f>
        <v>4.15465240479</v>
      </c>
      <c r="U1879" s="36" t="str">
        <f>HYPERLINK(AB2 &amp; "/mug/sn_ff1a44e1c1785d618bca309f2c51966a/rendering/18.obj", "4.63315307617")</f>
        <v>4.63315307617</v>
      </c>
      <c r="V1879" s="48" t="str">
        <f>HYPERLINK(AB2 &amp; "/mug/sn_ff1a44e1c1785d618bca309f2c51966a/rendering/19.obj", "3.71973327637")</f>
        <v>3.71973327637</v>
      </c>
      <c r="W1879" s="12" t="s">
        <v>31</v>
      </c>
      <c r="X1879" s="13">
        <v>3.809902618408203</v>
      </c>
      <c r="Y1879" s="13">
        <v>0.65442255512279346</v>
      </c>
      <c r="Z1879" s="40">
        <v>0.1717688404844884</v>
      </c>
    </row>
    <row r="1880" spans="1:26" x14ac:dyDescent="0.2">
      <c r="A1880" s="1">
        <v>1878</v>
      </c>
      <c r="B1880" s="2" t="s">
        <v>408</v>
      </c>
      <c r="C1880" s="160" t="str">
        <f>HYPERLINK(AB2 &amp; "/mug/sn_ff1a44e1c1785d618bca309f2c51966a/rendering/00.obj", "8.96195793152")</f>
        <v>8.96195793152</v>
      </c>
      <c r="D1880" s="24" t="str">
        <f>HYPERLINK(AB2 &amp; "/mug/sn_ff1a44e1c1785d618bca309f2c51966a/rendering/01.obj", "4.88243198395")</f>
        <v>4.88243198395</v>
      </c>
      <c r="E1880" s="134" t="str">
        <f>HYPERLINK(AB2 &amp; "/mug/sn_ff1a44e1c1785d618bca309f2c51966a/rendering/02.obj", "4.81851530075")</f>
        <v>4.81851530075</v>
      </c>
      <c r="F1880" s="60" t="str">
        <f>HYPERLINK(AB2 &amp; "/mug/sn_ff1a44e1c1785d618bca309f2c51966a/rendering/03.obj", "5.55638837814")</f>
        <v>5.55638837814</v>
      </c>
      <c r="G1880" s="133" t="str">
        <f>HYPERLINK(AB2 &amp; "/mug/sn_ff1a44e1c1785d618bca309f2c51966a/rendering/04.obj", "5.26143074036")</f>
        <v>5.26143074036</v>
      </c>
      <c r="H1880" s="44" t="str">
        <f>HYPERLINK(AB2 &amp; "/mug/sn_ff1a44e1c1785d618bca309f2c51966a/rendering/05.obj", "4.70932245255")</f>
        <v>4.70932245255</v>
      </c>
      <c r="I1880" s="33" t="str">
        <f>HYPERLINK(AB2 &amp; "/mug/sn_ff1a44e1c1785d618bca309f2c51966a/rendering/06.obj", "6.50828027725")</f>
        <v>6.50828027725</v>
      </c>
      <c r="J1880" s="55" t="str">
        <f>HYPERLINK(AB2 &amp; "/mug/sn_ff1a44e1c1785d618bca309f2c51966a/rendering/07.obj", "4.74166440964")</f>
        <v>4.74166440964</v>
      </c>
      <c r="K1880" s="60" t="str">
        <f>HYPERLINK(AB2 &amp; "/mug/sn_ff1a44e1c1785d618bca309f2c51966a/rendering/08.obj", "5.56042480469")</f>
        <v>5.56042480469</v>
      </c>
      <c r="L1880" s="29" t="str">
        <f>HYPERLINK(AB2 &amp; "/mug/sn_ff1a44e1c1785d618bca309f2c51966a/rendering/09.obj", "6.64011716843")</f>
        <v>6.64011716843</v>
      </c>
      <c r="M1880" s="25" t="str">
        <f>HYPERLINK(AB2 &amp; "/mug/sn_ff1a44e1c1785d618bca309f2c51966a/rendering/10.obj", "5.80524301529")</f>
        <v>5.80524301529</v>
      </c>
      <c r="N1880" s="81" t="str">
        <f>HYPERLINK(AB2 &amp; "/mug/sn_ff1a44e1c1785d618bca309f2c51966a/rendering/11.obj", "7.14755058289")</f>
        <v>7.14755058289</v>
      </c>
      <c r="O1880" s="90" t="str">
        <f>HYPERLINK(AB2 &amp; "/mug/sn_ff1a44e1c1785d618bca309f2c51966a/rendering/12.obj", "6.4308423996")</f>
        <v>6.4308423996</v>
      </c>
      <c r="P1880" s="78" t="str">
        <f>HYPERLINK(AB2 &amp; "/mug/sn_ff1a44e1c1785d618bca309f2c51966a/rendering/13.obj", "6.23343515396")</f>
        <v>6.23343515396</v>
      </c>
      <c r="Q1880" s="64" t="str">
        <f>HYPERLINK(AB2 &amp; "/mug/sn_ff1a44e1c1785d618bca309f2c51966a/rendering/14.obj", "4.89985990524")</f>
        <v>4.89985990524</v>
      </c>
      <c r="R1880" s="46" t="str">
        <f>HYPERLINK(AB2 &amp; "/mug/sn_ff1a44e1c1785d618bca309f2c51966a/rendering/15.obj", "5.96238422394")</f>
        <v>5.96238422394</v>
      </c>
      <c r="S1880" s="31" t="str">
        <f>HYPERLINK(AB2 &amp; "/mug/sn_ff1a44e1c1785d618bca309f2c51966a/rendering/16.obj", "4.95997428894")</f>
        <v>4.95997428894</v>
      </c>
      <c r="T1880" s="40" t="str">
        <f>HYPERLINK(AB2 &amp; "/mug/sn_ff1a44e1c1785d618bca309f2c51966a/rendering/17.obj", "4.866065979")</f>
        <v>4.866065979</v>
      </c>
      <c r="U1880" s="148" t="str">
        <f>HYPERLINK(AB2 &amp; "/mug/sn_ff1a44e1c1785d618bca309f2c51966a/rendering/18.obj", "8.71213626862")</f>
        <v>8.71213626862</v>
      </c>
      <c r="V1880" s="50" t="str">
        <f>HYPERLINK(AB2 &amp; "/mug/sn_ff1a44e1c1785d618bca309f2c51966a/rendering/19.obj", "4.70285701752")</f>
        <v>4.70285701752</v>
      </c>
      <c r="W1880" s="12" t="s">
        <v>32</v>
      </c>
      <c r="X1880" s="13">
        <v>5.8680441141128536</v>
      </c>
      <c r="Y1880" s="13">
        <v>1.227498184786918</v>
      </c>
      <c r="Z1880" s="49">
        <v>0.2091835304773427</v>
      </c>
    </row>
    <row r="1881" spans="1:26" x14ac:dyDescent="0.2">
      <c r="A1881" s="1">
        <v>1879</v>
      </c>
      <c r="B1881" s="2" t="s">
        <v>408</v>
      </c>
      <c r="C1881" s="13" t="str">
        <f>HYPERLINK(AC2 &amp; "/mug/sn_ff1a44e1c1785d618bca309f2c51966a/rendering/00.xyz", "0.0")</f>
        <v>0.0</v>
      </c>
      <c r="D1881" s="13" t="str">
        <f>HYPERLINK(AC2 &amp; "/mug/sn_ff1a44e1c1785d618bca309f2c51966a/rendering/01.xyz", "0.0")</f>
        <v>0.0</v>
      </c>
      <c r="E1881" s="13" t="str">
        <f>HYPERLINK(AC2 &amp; "/mug/sn_ff1a44e1c1785d618bca309f2c51966a/rendering/02.xyz", "0.0")</f>
        <v>0.0</v>
      </c>
      <c r="F1881" s="13" t="str">
        <f>HYPERLINK(AC2 &amp; "/mug/sn_ff1a44e1c1785d618bca309f2c51966a/rendering/03.xyz", "0.0")</f>
        <v>0.0</v>
      </c>
      <c r="G1881" s="13" t="str">
        <f>HYPERLINK(AC2 &amp; "/mug/sn_ff1a44e1c1785d618bca309f2c51966a/rendering/04.xyz", "0.0")</f>
        <v>0.0</v>
      </c>
      <c r="H1881" s="13" t="str">
        <f>HYPERLINK(AC2 &amp; "/mug/sn_ff1a44e1c1785d618bca309f2c51966a/rendering/05.xyz", "0.0")</f>
        <v>0.0</v>
      </c>
      <c r="I1881" s="13" t="str">
        <f>HYPERLINK(AC2 &amp; "/mug/sn_ff1a44e1c1785d618bca309f2c51966a/rendering/06.xyz", "0.0")</f>
        <v>0.0</v>
      </c>
      <c r="J1881" s="13" t="str">
        <f>HYPERLINK(AC2 &amp; "/mug/sn_ff1a44e1c1785d618bca309f2c51966a/rendering/07.xyz", "0.0")</f>
        <v>0.0</v>
      </c>
      <c r="K1881" s="13" t="str">
        <f>HYPERLINK(AC2 &amp; "/mug/sn_ff1a44e1c1785d618bca309f2c51966a/rendering/08.xyz", "0.0")</f>
        <v>0.0</v>
      </c>
      <c r="L1881" s="13" t="str">
        <f>HYPERLINK(AC2 &amp; "/mug/sn_ff1a44e1c1785d618bca309f2c51966a/rendering/09.xyz", "0.0")</f>
        <v>0.0</v>
      </c>
      <c r="M1881" s="13" t="str">
        <f>HYPERLINK(AC2 &amp; "/mug/sn_ff1a44e1c1785d618bca309f2c51966a/rendering/10.xyz", "0.0")</f>
        <v>0.0</v>
      </c>
      <c r="N1881" s="13" t="str">
        <f>HYPERLINK(AC2 &amp; "/mug/sn_ff1a44e1c1785d618bca309f2c51966a/rendering/11.xyz", "0.0")</f>
        <v>0.0</v>
      </c>
      <c r="O1881" s="13" t="str">
        <f>HYPERLINK(AC2 &amp; "/mug/sn_ff1a44e1c1785d618bca309f2c51966a/rendering/12.xyz", "0.0")</f>
        <v>0.0</v>
      </c>
      <c r="P1881" s="13" t="str">
        <f>HYPERLINK(AC2 &amp; "/mug/sn_ff1a44e1c1785d618bca309f2c51966a/rendering/13.xyz", "0.0")</f>
        <v>0.0</v>
      </c>
      <c r="Q1881" s="13" t="str">
        <f>HYPERLINK(AC2 &amp; "/mug/sn_ff1a44e1c1785d618bca309f2c51966a/rendering/14.xyz", "0.0")</f>
        <v>0.0</v>
      </c>
      <c r="R1881" s="13" t="str">
        <f>HYPERLINK(AC2 &amp; "/mug/sn_ff1a44e1c1785d618bca309f2c51966a/rendering/15.xyz", "0.0")</f>
        <v>0.0</v>
      </c>
      <c r="S1881" s="13" t="str">
        <f>HYPERLINK(AC2 &amp; "/mug/sn_ff1a44e1c1785d618bca309f2c51966a/rendering/16.xyz", "0.0")</f>
        <v>0.0</v>
      </c>
      <c r="T1881" s="13" t="str">
        <f>HYPERLINK(AC2 &amp; "/mug/sn_ff1a44e1c1785d618bca309f2c51966a/rendering/17.xyz", "0.0")</f>
        <v>0.0</v>
      </c>
      <c r="U1881" s="13" t="str">
        <f>HYPERLINK(AC2 &amp; "/mug/sn_ff1a44e1c1785d618bca309f2c51966a/rendering/18.xyz", "0.0")</f>
        <v>0.0</v>
      </c>
      <c r="V1881" s="13" t="str">
        <f>HYPERLINK(AC2 &amp; "/mug/sn_ff1a44e1c1785d618bca309f2c51966a/rendering/19.xyz", "0.0")</f>
        <v>0.0</v>
      </c>
      <c r="W1881" s="12" t="s">
        <v>33</v>
      </c>
      <c r="X1881" s="13">
        <v>0</v>
      </c>
      <c r="Y1881" s="13">
        <v>0</v>
      </c>
      <c r="Z1881" s="13">
        <v>0</v>
      </c>
    </row>
    <row r="1882" spans="1:26" x14ac:dyDescent="0.2">
      <c r="A1882" s="1">
        <v>1880</v>
      </c>
      <c r="B1882" s="2" t="s">
        <v>409</v>
      </c>
      <c r="C1882" s="3" t="str">
        <f>HYPERLINK(AA2 &amp; "/nail/sn_b284568e076ac28188aebe877241c8de/rendering/00.obj", "nan")</f>
        <v>nan</v>
      </c>
      <c r="D1882" s="3" t="str">
        <f>HYPERLINK(AA2 &amp; "/nail/sn_b284568e076ac28188aebe877241c8de/rendering/01.obj", "nan")</f>
        <v>nan</v>
      </c>
      <c r="E1882" s="3" t="str">
        <f>HYPERLINK(AA2 &amp; "/nail/sn_b284568e076ac28188aebe877241c8de/rendering/02.obj", "nan")</f>
        <v>nan</v>
      </c>
      <c r="F1882" s="3" t="str">
        <f>HYPERLINK(AA2 &amp; "/nail/sn_b284568e076ac28188aebe877241c8de/rendering/03.obj", "nan")</f>
        <v>nan</v>
      </c>
      <c r="G1882" s="3" t="str">
        <f>HYPERLINK(AA2 &amp; "/nail/sn_b284568e076ac28188aebe877241c8de/rendering/04.obj", "nan")</f>
        <v>nan</v>
      </c>
      <c r="H1882" s="3" t="str">
        <f>HYPERLINK(AA2 &amp; "/nail/sn_b284568e076ac28188aebe877241c8de/rendering/05.obj", "nan")</f>
        <v>nan</v>
      </c>
      <c r="I1882" s="3" t="str">
        <f>HYPERLINK(AA2 &amp; "/nail/sn_b284568e076ac28188aebe877241c8de/rendering/06.obj", "nan")</f>
        <v>nan</v>
      </c>
      <c r="J1882" s="3" t="str">
        <f>HYPERLINK(AA2 &amp; "/nail/sn_b284568e076ac28188aebe877241c8de/rendering/07.obj", "nan")</f>
        <v>nan</v>
      </c>
      <c r="K1882" s="3" t="str">
        <f>HYPERLINK(AA2 &amp; "/nail/sn_b284568e076ac28188aebe877241c8de/rendering/08.obj", "nan")</f>
        <v>nan</v>
      </c>
      <c r="L1882" s="3" t="str">
        <f>HYPERLINK(AA2 &amp; "/nail/sn_b284568e076ac28188aebe877241c8de/rendering/09.obj", "nan")</f>
        <v>nan</v>
      </c>
      <c r="M1882" s="3" t="str">
        <f>HYPERLINK(AA2 &amp; "/nail/sn_b284568e076ac28188aebe877241c8de/rendering/10.obj", "nan")</f>
        <v>nan</v>
      </c>
      <c r="N1882" s="3" t="str">
        <f>HYPERLINK(AA2 &amp; "/nail/sn_b284568e076ac28188aebe877241c8de/rendering/11.obj", "nan")</f>
        <v>nan</v>
      </c>
      <c r="O1882" s="3" t="str">
        <f>HYPERLINK(AA2 &amp; "/nail/sn_b284568e076ac28188aebe877241c8de/rendering/12.obj", "nan")</f>
        <v>nan</v>
      </c>
      <c r="P1882" s="3" t="str">
        <f>HYPERLINK(AA2 &amp; "/nail/sn_b284568e076ac28188aebe877241c8de/rendering/13.obj", "nan")</f>
        <v>nan</v>
      </c>
      <c r="Q1882" s="3" t="str">
        <f>HYPERLINK(AA2 &amp; "/nail/sn_b284568e076ac28188aebe877241c8de/rendering/14.obj", "nan")</f>
        <v>nan</v>
      </c>
      <c r="R1882" s="3" t="str">
        <f>HYPERLINK(AA2 &amp; "/nail/sn_b284568e076ac28188aebe877241c8de/rendering/15.obj", "nan")</f>
        <v>nan</v>
      </c>
      <c r="S1882" s="94" t="str">
        <f>HYPERLINK(AA2 &amp; "/nail/sn_b284568e076ac28188aebe877241c8de/rendering/16.obj", "5.27479919434")</f>
        <v>5.27479919434</v>
      </c>
      <c r="T1882" s="109" t="str">
        <f>HYPERLINK(AA2 &amp; "/nail/sn_b284568e076ac28188aebe877241c8de/rendering/17.obj", "6.7684197998")</f>
        <v>6.7684197998</v>
      </c>
      <c r="U1882" s="25" t="str">
        <f>HYPERLINK(AA2 &amp; "/nail/sn_b284568e076ac28188aebe877241c8de/rendering/18.obj", "5.63120117188")</f>
        <v>5.63120117188</v>
      </c>
      <c r="V1882" s="33" t="str">
        <f>HYPERLINK(AA2 &amp; "/nail/sn_b284568e076ac28188aebe877241c8de/rendering/19.obj", "5.0679788208")</f>
        <v>5.0679788208</v>
      </c>
      <c r="W1882" s="12" t="s">
        <v>29</v>
      </c>
      <c r="X1882" s="13">
        <v>5.685599746704102</v>
      </c>
      <c r="Y1882" s="13">
        <v>0.65682402024436071</v>
      </c>
      <c r="Z1882" s="106">
        <v>0.11552413984560141</v>
      </c>
    </row>
    <row r="1883" spans="1:26" x14ac:dyDescent="0.2">
      <c r="A1883" s="1">
        <v>1881</v>
      </c>
      <c r="B1883" s="2" t="s">
        <v>409</v>
      </c>
      <c r="C1883" s="3" t="str">
        <f>HYPERLINK(AA2 &amp; "/nail/sn_b284568e076ac28188aebe877241c8de/rendering/00.obj", "nan")</f>
        <v>nan</v>
      </c>
      <c r="D1883" s="3" t="str">
        <f>HYPERLINK(AA2 &amp; "/nail/sn_b284568e076ac28188aebe877241c8de/rendering/01.obj", "nan")</f>
        <v>nan</v>
      </c>
      <c r="E1883" s="3" t="str">
        <f>HYPERLINK(AA2 &amp; "/nail/sn_b284568e076ac28188aebe877241c8de/rendering/02.obj", "nan")</f>
        <v>nan</v>
      </c>
      <c r="F1883" s="3" t="str">
        <f>HYPERLINK(AA2 &amp; "/nail/sn_b284568e076ac28188aebe877241c8de/rendering/03.obj", "nan")</f>
        <v>nan</v>
      </c>
      <c r="G1883" s="3" t="str">
        <f>HYPERLINK(AA2 &amp; "/nail/sn_b284568e076ac28188aebe877241c8de/rendering/04.obj", "nan")</f>
        <v>nan</v>
      </c>
      <c r="H1883" s="3" t="str">
        <f>HYPERLINK(AA2 &amp; "/nail/sn_b284568e076ac28188aebe877241c8de/rendering/05.obj", "nan")</f>
        <v>nan</v>
      </c>
      <c r="I1883" s="3" t="str">
        <f>HYPERLINK(AA2 &amp; "/nail/sn_b284568e076ac28188aebe877241c8de/rendering/06.obj", "nan")</f>
        <v>nan</v>
      </c>
      <c r="J1883" s="3" t="str">
        <f>HYPERLINK(AA2 &amp; "/nail/sn_b284568e076ac28188aebe877241c8de/rendering/07.obj", "nan")</f>
        <v>nan</v>
      </c>
      <c r="K1883" s="3" t="str">
        <f>HYPERLINK(AA2 &amp; "/nail/sn_b284568e076ac28188aebe877241c8de/rendering/08.obj", "nan")</f>
        <v>nan</v>
      </c>
      <c r="L1883" s="3" t="str">
        <f>HYPERLINK(AA2 &amp; "/nail/sn_b284568e076ac28188aebe877241c8de/rendering/09.obj", "nan")</f>
        <v>nan</v>
      </c>
      <c r="M1883" s="3" t="str">
        <f>HYPERLINK(AA2 &amp; "/nail/sn_b284568e076ac28188aebe877241c8de/rendering/10.obj", "nan")</f>
        <v>nan</v>
      </c>
      <c r="N1883" s="3" t="str">
        <f>HYPERLINK(AA2 &amp; "/nail/sn_b284568e076ac28188aebe877241c8de/rendering/11.obj", "nan")</f>
        <v>nan</v>
      </c>
      <c r="O1883" s="3" t="str">
        <f>HYPERLINK(AA2 &amp; "/nail/sn_b284568e076ac28188aebe877241c8de/rendering/12.obj", "nan")</f>
        <v>nan</v>
      </c>
      <c r="P1883" s="3" t="str">
        <f>HYPERLINK(AA2 &amp; "/nail/sn_b284568e076ac28188aebe877241c8de/rendering/13.obj", "nan")</f>
        <v>nan</v>
      </c>
      <c r="Q1883" s="3" t="str">
        <f>HYPERLINK(AA2 &amp; "/nail/sn_b284568e076ac28188aebe877241c8de/rendering/14.obj", "nan")</f>
        <v>nan</v>
      </c>
      <c r="R1883" s="3" t="str">
        <f>HYPERLINK(AA2 &amp; "/nail/sn_b284568e076ac28188aebe877241c8de/rendering/15.obj", "nan")</f>
        <v>nan</v>
      </c>
      <c r="S1883" s="140" t="str">
        <f>HYPERLINK(AA2 &amp; "/nail/sn_b284568e076ac28188aebe877241c8de/rendering/16.obj", "1.07367300987")</f>
        <v>1.07367300987</v>
      </c>
      <c r="T1883" s="20" t="str">
        <f>HYPERLINK(AA2 &amp; "/nail/sn_b284568e076ac28188aebe877241c8de/rendering/17.obj", "3.46349859238")</f>
        <v>3.46349859238</v>
      </c>
      <c r="U1883" s="137" t="str">
        <f>HYPERLINK(AA2 &amp; "/nail/sn_b284568e076ac28188aebe877241c8de/rendering/18.obj", "1.03927087784")</f>
        <v>1.03927087784</v>
      </c>
      <c r="V1883" s="196" t="str">
        <f>HYPERLINK(AA2 &amp; "/nail/sn_b284568e076ac28188aebe877241c8de/rendering/19.obj", "0.990876615047")</f>
        <v>0.990876615047</v>
      </c>
      <c r="W1883" s="12" t="s">
        <v>30</v>
      </c>
      <c r="X1883" s="13">
        <v>1.641829773783684</v>
      </c>
      <c r="Y1883" s="13">
        <v>1.0521521552232831</v>
      </c>
      <c r="Z1883" s="241">
        <v>0.64084119561222408</v>
      </c>
    </row>
    <row r="1884" spans="1:26" x14ac:dyDescent="0.2">
      <c r="A1884" s="1">
        <v>1882</v>
      </c>
      <c r="B1884" s="2" t="s">
        <v>409</v>
      </c>
      <c r="C1884" s="3" t="str">
        <f>HYPERLINK(AB2 &amp; "/nail/sn_b284568e076ac28188aebe877241c8de/rendering/00.obj", "nan")</f>
        <v>nan</v>
      </c>
      <c r="D1884" s="3" t="str">
        <f>HYPERLINK(AB2 &amp; "/nail/sn_b284568e076ac28188aebe877241c8de/rendering/01.obj", "nan")</f>
        <v>nan</v>
      </c>
      <c r="E1884" s="3" t="str">
        <f>HYPERLINK(AB2 &amp; "/nail/sn_b284568e076ac28188aebe877241c8de/rendering/02.obj", "nan")</f>
        <v>nan</v>
      </c>
      <c r="F1884" s="3" t="str">
        <f>HYPERLINK(AB2 &amp; "/nail/sn_b284568e076ac28188aebe877241c8de/rendering/03.obj", "nan")</f>
        <v>nan</v>
      </c>
      <c r="G1884" s="3" t="str">
        <f>HYPERLINK(AB2 &amp; "/nail/sn_b284568e076ac28188aebe877241c8de/rendering/04.obj", "nan")</f>
        <v>nan</v>
      </c>
      <c r="H1884" s="3" t="str">
        <f>HYPERLINK(AB2 &amp; "/nail/sn_b284568e076ac28188aebe877241c8de/rendering/05.obj", "nan")</f>
        <v>nan</v>
      </c>
      <c r="I1884" s="3" t="str">
        <f>HYPERLINK(AB2 &amp; "/nail/sn_b284568e076ac28188aebe877241c8de/rendering/06.obj", "nan")</f>
        <v>nan</v>
      </c>
      <c r="J1884" s="3" t="str">
        <f>HYPERLINK(AB2 &amp; "/nail/sn_b284568e076ac28188aebe877241c8de/rendering/07.obj", "nan")</f>
        <v>nan</v>
      </c>
      <c r="K1884" s="3" t="str">
        <f>HYPERLINK(AB2 &amp; "/nail/sn_b284568e076ac28188aebe877241c8de/rendering/08.obj", "nan")</f>
        <v>nan</v>
      </c>
      <c r="L1884" s="3" t="str">
        <f>HYPERLINK(AB2 &amp; "/nail/sn_b284568e076ac28188aebe877241c8de/rendering/09.obj", "nan")</f>
        <v>nan</v>
      </c>
      <c r="M1884" s="3" t="str">
        <f>HYPERLINK(AB2 &amp; "/nail/sn_b284568e076ac28188aebe877241c8de/rendering/10.obj", "nan")</f>
        <v>nan</v>
      </c>
      <c r="N1884" s="3" t="str">
        <f>HYPERLINK(AB2 &amp; "/nail/sn_b284568e076ac28188aebe877241c8de/rendering/11.obj", "nan")</f>
        <v>nan</v>
      </c>
      <c r="O1884" s="3" t="str">
        <f>HYPERLINK(AB2 &amp; "/nail/sn_b284568e076ac28188aebe877241c8de/rendering/12.obj", "nan")</f>
        <v>nan</v>
      </c>
      <c r="P1884" s="3" t="str">
        <f>HYPERLINK(AB2 &amp; "/nail/sn_b284568e076ac28188aebe877241c8de/rendering/13.obj", "nan")</f>
        <v>nan</v>
      </c>
      <c r="Q1884" s="3" t="str">
        <f>HYPERLINK(AB2 &amp; "/nail/sn_b284568e076ac28188aebe877241c8de/rendering/14.obj", "nan")</f>
        <v>nan</v>
      </c>
      <c r="R1884" s="3" t="str">
        <f>HYPERLINK(AB2 &amp; "/nail/sn_b284568e076ac28188aebe877241c8de/rendering/15.obj", "nan")</f>
        <v>nan</v>
      </c>
      <c r="S1884" s="73" t="str">
        <f>HYPERLINK(AB2 &amp; "/nail/sn_b284568e076ac28188aebe877241c8de/rendering/16.obj", "5.22586303711")</f>
        <v>5.22586303711</v>
      </c>
      <c r="T1884" s="25" t="str">
        <f>HYPERLINK(AB2 &amp; "/nail/sn_b284568e076ac28188aebe877241c8de/rendering/17.obj", "5.08867736816")</f>
        <v>5.08867736816</v>
      </c>
      <c r="U1884" s="78" t="str">
        <f>HYPERLINK(AB2 &amp; "/nail/sn_b284568e076ac28188aebe877241c8de/rendering/18.obj", "4.72329162598")</f>
        <v>4.72329162598</v>
      </c>
      <c r="V1884" s="74" t="str">
        <f>HYPERLINK(AB2 &amp; "/nail/sn_b284568e076ac28188aebe877241c8de/rendering/19.obj", "5.10845092773")</f>
        <v>5.10845092773</v>
      </c>
      <c r="W1884" s="12" t="s">
        <v>31</v>
      </c>
      <c r="X1884" s="13">
        <v>5.0365707397460939</v>
      </c>
      <c r="Y1884" s="13">
        <v>0.18831970098452969</v>
      </c>
      <c r="Z1884" s="73">
        <v>3.7390460834473137E-2</v>
      </c>
    </row>
    <row r="1885" spans="1:26" x14ac:dyDescent="0.2">
      <c r="A1885" s="1">
        <v>1883</v>
      </c>
      <c r="B1885" s="2" t="s">
        <v>409</v>
      </c>
      <c r="C1885" s="3" t="str">
        <f>HYPERLINK(AB2 &amp; "/nail/sn_b284568e076ac28188aebe877241c8de/rendering/00.obj", "nan")</f>
        <v>nan</v>
      </c>
      <c r="D1885" s="3" t="str">
        <f>HYPERLINK(AB2 &amp; "/nail/sn_b284568e076ac28188aebe877241c8de/rendering/01.obj", "nan")</f>
        <v>nan</v>
      </c>
      <c r="E1885" s="3" t="str">
        <f>HYPERLINK(AB2 &amp; "/nail/sn_b284568e076ac28188aebe877241c8de/rendering/02.obj", "nan")</f>
        <v>nan</v>
      </c>
      <c r="F1885" s="3" t="str">
        <f>HYPERLINK(AB2 &amp; "/nail/sn_b284568e076ac28188aebe877241c8de/rendering/03.obj", "nan")</f>
        <v>nan</v>
      </c>
      <c r="G1885" s="3" t="str">
        <f>HYPERLINK(AB2 &amp; "/nail/sn_b284568e076ac28188aebe877241c8de/rendering/04.obj", "nan")</f>
        <v>nan</v>
      </c>
      <c r="H1885" s="3" t="str">
        <f>HYPERLINK(AB2 &amp; "/nail/sn_b284568e076ac28188aebe877241c8de/rendering/05.obj", "nan")</f>
        <v>nan</v>
      </c>
      <c r="I1885" s="3" t="str">
        <f>HYPERLINK(AB2 &amp; "/nail/sn_b284568e076ac28188aebe877241c8de/rendering/06.obj", "nan")</f>
        <v>nan</v>
      </c>
      <c r="J1885" s="3" t="str">
        <f>HYPERLINK(AB2 &amp; "/nail/sn_b284568e076ac28188aebe877241c8de/rendering/07.obj", "nan")</f>
        <v>nan</v>
      </c>
      <c r="K1885" s="3" t="str">
        <f>HYPERLINK(AB2 &amp; "/nail/sn_b284568e076ac28188aebe877241c8de/rendering/08.obj", "nan")</f>
        <v>nan</v>
      </c>
      <c r="L1885" s="3" t="str">
        <f>HYPERLINK(AB2 &amp; "/nail/sn_b284568e076ac28188aebe877241c8de/rendering/09.obj", "nan")</f>
        <v>nan</v>
      </c>
      <c r="M1885" s="3" t="str">
        <f>HYPERLINK(AB2 &amp; "/nail/sn_b284568e076ac28188aebe877241c8de/rendering/10.obj", "nan")</f>
        <v>nan</v>
      </c>
      <c r="N1885" s="3" t="str">
        <f>HYPERLINK(AB2 &amp; "/nail/sn_b284568e076ac28188aebe877241c8de/rendering/11.obj", "nan")</f>
        <v>nan</v>
      </c>
      <c r="O1885" s="3" t="str">
        <f>HYPERLINK(AB2 &amp; "/nail/sn_b284568e076ac28188aebe877241c8de/rendering/12.obj", "nan")</f>
        <v>nan</v>
      </c>
      <c r="P1885" s="3" t="str">
        <f>HYPERLINK(AB2 &amp; "/nail/sn_b284568e076ac28188aebe877241c8de/rendering/13.obj", "nan")</f>
        <v>nan</v>
      </c>
      <c r="Q1885" s="3" t="str">
        <f>HYPERLINK(AB2 &amp; "/nail/sn_b284568e076ac28188aebe877241c8de/rendering/14.obj", "nan")</f>
        <v>nan</v>
      </c>
      <c r="R1885" s="3" t="str">
        <f>HYPERLINK(AB2 &amp; "/nail/sn_b284568e076ac28188aebe877241c8de/rendering/15.obj", "nan")</f>
        <v>nan</v>
      </c>
      <c r="S1885" s="40" t="str">
        <f>HYPERLINK(AB2 &amp; "/nail/sn_b284568e076ac28188aebe877241c8de/rendering/16.obj", "0.781828403473")</f>
        <v>0.781828403473</v>
      </c>
      <c r="T1885" s="51" t="str">
        <f>HYPERLINK(AB2 &amp; "/nail/sn_b284568e076ac28188aebe877241c8de/rendering/17.obj", "1.01991081238")</f>
        <v>1.01991081238</v>
      </c>
      <c r="U1885" s="40" t="str">
        <f>HYPERLINK(AB2 &amp; "/nail/sn_b284568e076ac28188aebe877241c8de/rendering/18.obj", "1.1062656641")</f>
        <v>1.1062656641</v>
      </c>
      <c r="V1885" s="51" t="str">
        <f>HYPERLINK(AB2 &amp; "/nail/sn_b284568e076ac28188aebe877241c8de/rendering/19.obj", "0.868606328964")</f>
        <v>0.868606328964</v>
      </c>
      <c r="W1885" s="12" t="s">
        <v>32</v>
      </c>
      <c r="X1885" s="13">
        <v>0.94415280222892761</v>
      </c>
      <c r="Y1885" s="13">
        <v>0.12656652019809031</v>
      </c>
      <c r="Z1885" s="65">
        <v>0.1340530048730415</v>
      </c>
    </row>
    <row r="1886" spans="1:26" x14ac:dyDescent="0.2">
      <c r="A1886" s="1">
        <v>1884</v>
      </c>
      <c r="B1886" s="2" t="s">
        <v>409</v>
      </c>
      <c r="C1886" s="13" t="str">
        <f>HYPERLINK(AC2 &amp; "/nail/sn_b284568e076ac28188aebe877241c8de/rendering/00.xyz", "0.0")</f>
        <v>0.0</v>
      </c>
      <c r="D1886" s="13" t="str">
        <f>HYPERLINK(AC2 &amp; "/nail/sn_b284568e076ac28188aebe877241c8de/rendering/01.xyz", "0.0")</f>
        <v>0.0</v>
      </c>
      <c r="E1886" s="13" t="str">
        <f>HYPERLINK(AC2 &amp; "/nail/sn_b284568e076ac28188aebe877241c8de/rendering/02.xyz", "0.0")</f>
        <v>0.0</v>
      </c>
      <c r="F1886" s="13" t="str">
        <f>HYPERLINK(AC2 &amp; "/nail/sn_b284568e076ac28188aebe877241c8de/rendering/03.xyz", "0.0")</f>
        <v>0.0</v>
      </c>
      <c r="G1886" s="13" t="str">
        <f>HYPERLINK(AC2 &amp; "/nail/sn_b284568e076ac28188aebe877241c8de/rendering/04.xyz", "0.0")</f>
        <v>0.0</v>
      </c>
      <c r="H1886" s="13" t="str">
        <f>HYPERLINK(AC2 &amp; "/nail/sn_b284568e076ac28188aebe877241c8de/rendering/05.xyz", "0.0")</f>
        <v>0.0</v>
      </c>
      <c r="I1886" s="13" t="str">
        <f>HYPERLINK(AC2 &amp; "/nail/sn_b284568e076ac28188aebe877241c8de/rendering/06.xyz", "0.0")</f>
        <v>0.0</v>
      </c>
      <c r="J1886" s="13" t="str">
        <f>HYPERLINK(AC2 &amp; "/nail/sn_b284568e076ac28188aebe877241c8de/rendering/07.xyz", "0.0")</f>
        <v>0.0</v>
      </c>
      <c r="K1886" s="13" t="str">
        <f>HYPERLINK(AC2 &amp; "/nail/sn_b284568e076ac28188aebe877241c8de/rendering/08.xyz", "0.0")</f>
        <v>0.0</v>
      </c>
      <c r="L1886" s="13" t="str">
        <f>HYPERLINK(AC2 &amp; "/nail/sn_b284568e076ac28188aebe877241c8de/rendering/09.xyz", "0.0")</f>
        <v>0.0</v>
      </c>
      <c r="M1886" s="13" t="str">
        <f>HYPERLINK(AC2 &amp; "/nail/sn_b284568e076ac28188aebe877241c8de/rendering/10.xyz", "0.0")</f>
        <v>0.0</v>
      </c>
      <c r="N1886" s="13" t="str">
        <f>HYPERLINK(AC2 &amp; "/nail/sn_b284568e076ac28188aebe877241c8de/rendering/11.xyz", "0.0")</f>
        <v>0.0</v>
      </c>
      <c r="O1886" s="13" t="str">
        <f>HYPERLINK(AC2 &amp; "/nail/sn_b284568e076ac28188aebe877241c8de/rendering/12.xyz", "0.0")</f>
        <v>0.0</v>
      </c>
      <c r="P1886" s="13" t="str">
        <f>HYPERLINK(AC2 &amp; "/nail/sn_b284568e076ac28188aebe877241c8de/rendering/13.xyz", "0.0")</f>
        <v>0.0</v>
      </c>
      <c r="Q1886" s="13" t="str">
        <f>HYPERLINK(AC2 &amp; "/nail/sn_b284568e076ac28188aebe877241c8de/rendering/14.xyz", "0.0")</f>
        <v>0.0</v>
      </c>
      <c r="R1886" s="13" t="str">
        <f>HYPERLINK(AC2 &amp; "/nail/sn_b284568e076ac28188aebe877241c8de/rendering/15.xyz", "0.0")</f>
        <v>0.0</v>
      </c>
      <c r="S1886" s="13" t="str">
        <f>HYPERLINK(AC2 &amp; "/nail/sn_b284568e076ac28188aebe877241c8de/rendering/16.xyz", "0.0")</f>
        <v>0.0</v>
      </c>
      <c r="T1886" s="13" t="str">
        <f>HYPERLINK(AC2 &amp; "/nail/sn_b284568e076ac28188aebe877241c8de/rendering/17.xyz", "0.0")</f>
        <v>0.0</v>
      </c>
      <c r="U1886" s="13" t="str">
        <f>HYPERLINK(AC2 &amp; "/nail/sn_b284568e076ac28188aebe877241c8de/rendering/18.xyz", "0.0")</f>
        <v>0.0</v>
      </c>
      <c r="V1886" s="13" t="str">
        <f>HYPERLINK(AC2 &amp; "/nail/sn_b284568e076ac28188aebe877241c8de/rendering/19.xyz", "0.0")</f>
        <v>0.0</v>
      </c>
      <c r="W1886" s="12" t="s">
        <v>33</v>
      </c>
      <c r="X1886" s="13">
        <v>0</v>
      </c>
      <c r="Y1886" s="13">
        <v>0</v>
      </c>
      <c r="Z1886" s="13">
        <v>0</v>
      </c>
    </row>
    <row r="1887" spans="1:26" x14ac:dyDescent="0.2">
      <c r="A1887" s="1">
        <v>1885</v>
      </c>
      <c r="B1887" s="2" t="s">
        <v>410</v>
      </c>
      <c r="C1887" s="47" t="str">
        <f>HYPERLINK(AA2 &amp; "/nail/sn_b7385d52dc086354d9177228189afde4/rendering/00.obj", "3.16308959961")</f>
        <v>3.16308959961</v>
      </c>
      <c r="D1887" s="30" t="str">
        <f>HYPERLINK(AA2 &amp; "/nail/sn_b7385d52dc086354d9177228189afde4/rendering/01.obj", "3.16516418457")</f>
        <v>3.16516418457</v>
      </c>
      <c r="E1887" s="10" t="str">
        <f>HYPERLINK(AA2 &amp; "/nail/sn_b7385d52dc086354d9177228189afde4/rendering/02.obj", "3.00809570312")</f>
        <v>3.00809570312</v>
      </c>
      <c r="F1887" s="48" t="str">
        <f>HYPERLINK(AA2 &amp; "/nail/sn_b7385d52dc086354d9177228189afde4/rendering/03.obj", "3.25463287354")</f>
        <v>3.25463287354</v>
      </c>
      <c r="G1887" s="72" t="str">
        <f>HYPERLINK(AA2 &amp; "/nail/sn_b7385d52dc086354d9177228189afde4/rendering/04.obj", "3.28956176758")</f>
        <v>3.28956176758</v>
      </c>
      <c r="H1887" s="107" t="str">
        <f>HYPERLINK(AA2 &amp; "/nail/sn_b7385d52dc086354d9177228189afde4/rendering/05.obj", "2.91932922363")</f>
        <v>2.91932922363</v>
      </c>
      <c r="I1887" s="35" t="str">
        <f>HYPERLINK(AA2 &amp; "/nail/sn_b7385d52dc086354d9177228189afde4/rendering/06.obj", "3.3660144043")</f>
        <v>3.3660144043</v>
      </c>
      <c r="J1887" s="78" t="str">
        <f>HYPERLINK(AA2 &amp; "/nail/sn_b7385d52dc086354d9177228189afde4/rendering/07.obj", "3.37447387695")</f>
        <v>3.37447387695</v>
      </c>
      <c r="K1887" s="25" t="str">
        <f>HYPERLINK(AA2 &amp; "/nail/sn_b7385d52dc086354d9177228189afde4/rendering/08.obj", "3.14537658691")</f>
        <v>3.14537658691</v>
      </c>
      <c r="L1887" s="47" t="str">
        <f>HYPERLINK(AA2 &amp; "/nail/sn_b7385d52dc086354d9177228189afde4/rendering/09.obj", "3.20516052246")</f>
        <v>3.20516052246</v>
      </c>
      <c r="M1887" s="30" t="str">
        <f>HYPERLINK(AA2 &amp; "/nail/sn_b7385d52dc086354d9177228189afde4/rendering/10.obj", "3.16698608398")</f>
        <v>3.16698608398</v>
      </c>
      <c r="N1887" s="46" t="str">
        <f>HYPERLINK(AA2 &amp; "/nail/sn_b7385d52dc086354d9177228189afde4/rendering/11.obj", "3.23520233154")</f>
        <v>3.23520233154</v>
      </c>
      <c r="O1887" s="13" t="str">
        <f>HYPERLINK(AA2 &amp; "/nail/sn_b7385d52dc086354d9177228189afde4/rendering/12.obj", "3.1767477417")</f>
        <v>3.1767477417</v>
      </c>
      <c r="P1887" s="47" t="str">
        <f>HYPERLINK(AA2 &amp; "/nail/sn_b7385d52dc086354d9177228189afde4/rendering/13.obj", "3.20433532715")</f>
        <v>3.20433532715</v>
      </c>
      <c r="Q1887" s="34" t="str">
        <f>HYPERLINK(AA2 &amp; "/nail/sn_b7385d52dc086354d9177228189afde4/rendering/14.obj", "3.02665710449")</f>
        <v>3.02665710449</v>
      </c>
      <c r="R1887" s="17" t="str">
        <f>HYPERLINK(AA2 &amp; "/nail/sn_b7385d52dc086354d9177228189afde4/rendering/15.obj", "3.24815216064")</f>
        <v>3.24815216064</v>
      </c>
      <c r="S1887" s="30" t="str">
        <f>HYPERLINK(AA2 &amp; "/nail/sn_b7385d52dc086354d9177228189afde4/rendering/16.obj", "3.16982299805")</f>
        <v>3.16982299805</v>
      </c>
      <c r="T1887" s="25" t="str">
        <f>HYPERLINK(AA2 &amp; "/nail/sn_b7385d52dc086354d9177228189afde4/rendering/17.obj", "3.2200088501")</f>
        <v>3.2200088501</v>
      </c>
      <c r="U1887" s="13" t="str">
        <f>HYPERLINK(AA2 &amp; "/nail/sn_b7385d52dc086354d9177228189afde4/rendering/18.obj", "3.1774420166")</f>
        <v>3.1774420166</v>
      </c>
      <c r="V1887" s="25" t="str">
        <f>HYPERLINK(AA2 &amp; "/nail/sn_b7385d52dc086354d9177228189afde4/rendering/19.obj", "3.14554931641")</f>
        <v>3.14554931641</v>
      </c>
      <c r="W1887" s="12" t="s">
        <v>29</v>
      </c>
      <c r="X1887" s="13">
        <v>3.183090133666993</v>
      </c>
      <c r="Y1887" s="13">
        <v>0.1059524492251295</v>
      </c>
      <c r="Z1887" s="72">
        <v>3.3286034883049272E-2</v>
      </c>
    </row>
    <row r="1888" spans="1:26" x14ac:dyDescent="0.2">
      <c r="A1888" s="1">
        <v>1886</v>
      </c>
      <c r="B1888" s="2" t="s">
        <v>410</v>
      </c>
      <c r="C1888" s="46" t="str">
        <f>HYPERLINK(AA2 &amp; "/nail/sn_b7385d52dc086354d9177228189afde4/rendering/00.obj", "1.06107354164")</f>
        <v>1.06107354164</v>
      </c>
      <c r="D1888" s="17" t="str">
        <f>HYPERLINK(AA2 &amp; "/nail/sn_b7385d52dc086354d9177228189afde4/rendering/01.obj", "1.05897271633")</f>
        <v>1.05897271633</v>
      </c>
      <c r="E1888" s="72" t="str">
        <f>HYPERLINK(AA2 &amp; "/nail/sn_b7385d52dc086354d9177228189afde4/rendering/02.obj", "1.04393553734")</f>
        <v>1.04393553734</v>
      </c>
      <c r="F1888" s="6" t="str">
        <f>HYPERLINK(AA2 &amp; "/nail/sn_b7385d52dc086354d9177228189afde4/rendering/03.obj", "1.12952637672")</f>
        <v>1.12952637672</v>
      </c>
      <c r="G1888" s="17" t="str">
        <f>HYPERLINK(AA2 &amp; "/nail/sn_b7385d52dc086354d9177228189afde4/rendering/04.obj", "1.10358333588")</f>
        <v>1.10358333588</v>
      </c>
      <c r="H1888" s="51" t="str">
        <f>HYPERLINK(AA2 &amp; "/nail/sn_b7385d52dc086354d9177228189afde4/rendering/05.obj", "1.16740381718")</f>
        <v>1.16740381718</v>
      </c>
      <c r="I1888" s="34" t="str">
        <f>HYPERLINK(AA2 &amp; "/nail/sn_b7385d52dc086354d9177228189afde4/rendering/06.obj", "1.13266026974")</f>
        <v>1.13266026974</v>
      </c>
      <c r="J1888" s="48" t="str">
        <f>HYPERLINK(AA2 &amp; "/nail/sn_b7385d52dc086354d9177228189afde4/rendering/07.obj", "1.10610437393")</f>
        <v>1.10610437393</v>
      </c>
      <c r="K1888" s="46" t="str">
        <f>HYPERLINK(AA2 &amp; "/nail/sn_b7385d52dc086354d9177228189afde4/rendering/08.obj", "1.06092739105")</f>
        <v>1.06092739105</v>
      </c>
      <c r="L1888" s="26" t="str">
        <f>HYPERLINK(AA2 &amp; "/nail/sn_b7385d52dc086354d9177228189afde4/rendering/09.obj", "1.01162838936")</f>
        <v>1.01162838936</v>
      </c>
      <c r="M1888" s="91" t="str">
        <f>HYPERLINK(AA2 &amp; "/nail/sn_b7385d52dc086354d9177228189afde4/rendering/10.obj", "1.11029493809")</f>
        <v>1.11029493809</v>
      </c>
      <c r="N1888" s="73" t="str">
        <f>HYPERLINK(AA2 &amp; "/nail/sn_b7385d52dc086354d9177228189afde4/rendering/11.obj", "1.04064750671")</f>
        <v>1.04064750671</v>
      </c>
      <c r="O1888" s="6" t="str">
        <f>HYPERLINK(AA2 &amp; "/nail/sn_b7385d52dc086354d9177228189afde4/rendering/12.obj", "1.03089761734")</f>
        <v>1.03089761734</v>
      </c>
      <c r="P1888" s="10" t="str">
        <f>HYPERLINK(AA2 &amp; "/nail/sn_b7385d52dc086354d9177228189afde4/rendering/13.obj", "1.02129304409")</f>
        <v>1.02129304409</v>
      </c>
      <c r="Q1888" s="67" t="str">
        <f>HYPERLINK(AA2 &amp; "/nail/sn_b7385d52dc086354d9177228189afde4/rendering/14.obj", "1.18113148212")</f>
        <v>1.18113148212</v>
      </c>
      <c r="R1888" s="46" t="str">
        <f>HYPERLINK(AA2 &amp; "/nail/sn_b7385d52dc086354d9177228189afde4/rendering/15.obj", "1.09995448589")</f>
        <v>1.09995448589</v>
      </c>
      <c r="S1888" s="72" t="str">
        <f>HYPERLINK(AA2 &amp; "/nail/sn_b7385d52dc086354d9177228189afde4/rendering/16.obj", "1.04456472397")</f>
        <v>1.04456472397</v>
      </c>
      <c r="T1888" s="46" t="str">
        <f>HYPERLINK(AA2 &amp; "/nail/sn_b7385d52dc086354d9177228189afde4/rendering/17.obj", "1.06270766258")</f>
        <v>1.06270766258</v>
      </c>
      <c r="U1888" s="48" t="str">
        <f>HYPERLINK(AA2 &amp; "/nail/sn_b7385d52dc086354d9177228189afde4/rendering/18.obj", "1.10563611984")</f>
        <v>1.10563611984</v>
      </c>
      <c r="V1888" s="6" t="str">
        <f>HYPERLINK(AA2 &amp; "/nail/sn_b7385d52dc086354d9177228189afde4/rendering/19.obj", "1.03232622147")</f>
        <v>1.03232622147</v>
      </c>
      <c r="W1888" s="12" t="s">
        <v>30</v>
      </c>
      <c r="X1888" s="13">
        <v>1.080263477563858</v>
      </c>
      <c r="Y1888" s="13">
        <v>4.7262805558488413E-2</v>
      </c>
      <c r="Z1888" s="68">
        <v>4.3751183428946898E-2</v>
      </c>
    </row>
    <row r="1889" spans="1:26" x14ac:dyDescent="0.2">
      <c r="A1889" s="1">
        <v>1887</v>
      </c>
      <c r="B1889" s="2" t="s">
        <v>410</v>
      </c>
      <c r="C1889" s="6" t="str">
        <f>HYPERLINK(AB2 &amp; "/nail/sn_b7385d52dc086354d9177228189afde4/rendering/00.obj", "4.78049743652")</f>
        <v>4.78049743652</v>
      </c>
      <c r="D1889" s="69" t="str">
        <f>HYPERLINK(AB2 &amp; "/nail/sn_b7385d52dc086354d9177228189afde4/rendering/01.obj", "4.70813354492")</f>
        <v>4.70813354492</v>
      </c>
      <c r="E1889" s="46" t="str">
        <f>HYPERLINK(AB2 &amp; "/nail/sn_b7385d52dc086354d9177228189afde4/rendering/02.obj", "4.65113525391")</f>
        <v>4.65113525391</v>
      </c>
      <c r="F1889" s="91" t="str">
        <f>HYPERLINK(AB2 &amp; "/nail/sn_b7385d52dc086354d9177228189afde4/rendering/03.obj", "4.44630828857")</f>
        <v>4.44630828857</v>
      </c>
      <c r="G1889" s="13" t="str">
        <f>HYPERLINK(AB2 &amp; "/nail/sn_b7385d52dc086354d9177228189afde4/rendering/04.obj", "4.57638946533")</f>
        <v>4.57638946533</v>
      </c>
      <c r="H1889" s="13" t="str">
        <f>HYPERLINK(AB2 &amp; "/nail/sn_b7385d52dc086354d9177228189afde4/rendering/05.obj", "4.57490203857")</f>
        <v>4.57490203857</v>
      </c>
      <c r="I1889" s="10" t="str">
        <f>HYPERLINK(AB2 &amp; "/nail/sn_b7385d52dc086354d9177228189afde4/rendering/06.obj", "4.31768737793")</f>
        <v>4.31768737793</v>
      </c>
      <c r="J1889" s="69" t="str">
        <f>HYPERLINK(AB2 &amp; "/nail/sn_b7385d52dc086354d9177228189afde4/rendering/07.obj", "4.70778320313")</f>
        <v>4.70778320313</v>
      </c>
      <c r="K1889" s="13" t="str">
        <f>HYPERLINK(AB2 &amp; "/nail/sn_b7385d52dc086354d9177228189afde4/rendering/08.obj", "4.55929382324")</f>
        <v>4.55929382324</v>
      </c>
      <c r="L1889" s="46" t="str">
        <f>HYPERLINK(AB2 &amp; "/nail/sn_b7385d52dc086354d9177228189afde4/rendering/09.obj", "4.64274536133")</f>
        <v>4.64274536133</v>
      </c>
      <c r="M1889" s="25" t="str">
        <f>HYPERLINK(AB2 &amp; "/nail/sn_b7385d52dc086354d9177228189afde4/rendering/10.obj", "4.61718139648")</f>
        <v>4.61718139648</v>
      </c>
      <c r="N1889" s="47" t="str">
        <f>HYPERLINK(AB2 &amp; "/nail/sn_b7385d52dc086354d9177228189afde4/rendering/11.obj", "4.60561767578")</f>
        <v>4.60561767578</v>
      </c>
      <c r="O1889" s="46" t="str">
        <f>HYPERLINK(AB2 &amp; "/nail/sn_b7385d52dc086354d9177228189afde4/rendering/12.obj", "4.49624389648")</f>
        <v>4.49624389648</v>
      </c>
      <c r="P1889" s="13" t="str">
        <f>HYPERLINK(AB2 &amp; "/nail/sn_b7385d52dc086354d9177228189afde4/rendering/13.obj", "4.55918518066")</f>
        <v>4.55918518066</v>
      </c>
      <c r="Q1889" s="69" t="str">
        <f>HYPERLINK(AB2 &amp; "/nail/sn_b7385d52dc086354d9177228189afde4/rendering/14.obj", "4.42973449707")</f>
        <v>4.42973449707</v>
      </c>
      <c r="R1889" s="72" t="str">
        <f>HYPERLINK(AB2 &amp; "/nail/sn_b7385d52dc086354d9177228189afde4/rendering/15.obj", "4.71772003174")</f>
        <v>4.71772003174</v>
      </c>
      <c r="S1889" s="17" t="str">
        <f>HYPERLINK(AB2 &amp; "/nail/sn_b7385d52dc086354d9177228189afde4/rendering/16.obj", "4.48056213379")</f>
        <v>4.48056213379</v>
      </c>
      <c r="T1889" s="25" t="str">
        <f>HYPERLINK(AB2 &amp; "/nail/sn_b7385d52dc086354d9177228189afde4/rendering/17.obj", "4.62454315186")</f>
        <v>4.62454315186</v>
      </c>
      <c r="U1889" s="69" t="str">
        <f>HYPERLINK(AB2 &amp; "/nail/sn_b7385d52dc086354d9177228189afde4/rendering/18.obj", "4.4395690918")</f>
        <v>4.4395690918</v>
      </c>
      <c r="V1889" s="17" t="str">
        <f>HYPERLINK(AB2 &amp; "/nail/sn_b7385d52dc086354d9177228189afde4/rendering/19.obj", "4.47710601807")</f>
        <v>4.47710601807</v>
      </c>
      <c r="W1889" s="12" t="s">
        <v>31</v>
      </c>
      <c r="X1889" s="13">
        <v>4.570616943359374</v>
      </c>
      <c r="Y1889" s="13">
        <v>0.11413699776030869</v>
      </c>
      <c r="Z1889" s="48">
        <v>2.497190186242532E-2</v>
      </c>
    </row>
    <row r="1890" spans="1:26" x14ac:dyDescent="0.2">
      <c r="A1890" s="1">
        <v>1888</v>
      </c>
      <c r="B1890" s="2" t="s">
        <v>410</v>
      </c>
      <c r="C1890" s="41" t="str">
        <f>HYPERLINK(AB2 &amp; "/nail/sn_b7385d52dc086354d9177228189afde4/rendering/00.obj", "1.36646080017")</f>
        <v>1.36646080017</v>
      </c>
      <c r="D1890" s="41" t="str">
        <f>HYPERLINK(AB2 &amp; "/nail/sn_b7385d52dc086354d9177228189afde4/rendering/01.obj", "1.3661788702")</f>
        <v>1.3661788702</v>
      </c>
      <c r="E1890" s="46" t="str">
        <f>HYPERLINK(AB2 &amp; "/nail/sn_b7385d52dc086354d9177228189afde4/rendering/02.obj", "1.3027869463")</f>
        <v>1.3027869463</v>
      </c>
      <c r="F1890" s="47" t="str">
        <f>HYPERLINK(AB2 &amp; "/nail/sn_b7385d52dc086354d9177228189afde4/rendering/03.obj", "1.29017472267")</f>
        <v>1.29017472267</v>
      </c>
      <c r="G1890" s="48" t="str">
        <f>HYPERLINK(AB2 &amp; "/nail/sn_b7385d52dc086354d9177228189afde4/rendering/04.obj", "1.30999410152")</f>
        <v>1.30999410152</v>
      </c>
      <c r="H1890" s="30" t="str">
        <f>HYPERLINK(AB2 &amp; "/nail/sn_b7385d52dc086354d9177228189afde4/rendering/05.obj", "1.27325606346")</f>
        <v>1.27325606346</v>
      </c>
      <c r="I1890" s="48" t="str">
        <f>HYPERLINK(AB2 &amp; "/nail/sn_b7385d52dc086354d9177228189afde4/rendering/06.obj", "1.2501527071")</f>
        <v>1.2501527071</v>
      </c>
      <c r="J1890" s="13" t="str">
        <f>HYPERLINK(AB2 &amp; "/nail/sn_b7385d52dc086354d9177228189afde4/rendering/07.obj", "1.27731239796")</f>
        <v>1.27731239796</v>
      </c>
      <c r="K1890" s="25" t="str">
        <f>HYPERLINK(AB2 &amp; "/nail/sn_b7385d52dc086354d9177228189afde4/rendering/08.obj", "1.2635781765")</f>
        <v>1.2635781765</v>
      </c>
      <c r="L1890" s="73" t="str">
        <f>HYPERLINK(AB2 &amp; "/nail/sn_b7385d52dc086354d9177228189afde4/rendering/09.obj", "1.3262399435")</f>
        <v>1.3262399435</v>
      </c>
      <c r="M1890" s="30" t="str">
        <f>HYPERLINK(AB2 &amp; "/nail/sn_b7385d52dc086354d9177228189afde4/rendering/10.obj", "1.27139270306")</f>
        <v>1.27139270306</v>
      </c>
      <c r="N1890" s="30" t="str">
        <f>HYPERLINK(AB2 &amp; "/nail/sn_b7385d52dc086354d9177228189afde4/rendering/11.obj", "1.28574681282")</f>
        <v>1.28574681282</v>
      </c>
      <c r="O1890" s="6" t="str">
        <f>HYPERLINK(AB2 &amp; "/nail/sn_b7385d52dc086354d9177228189afde4/rendering/12.obj", "1.22128486633")</f>
        <v>1.22128486633</v>
      </c>
      <c r="P1890" s="69" t="str">
        <f>HYPERLINK(AB2 &amp; "/nail/sn_b7385d52dc086354d9177228189afde4/rendering/13.obj", "1.24317467213")</f>
        <v>1.24317467213</v>
      </c>
      <c r="Q1890" s="6" t="str">
        <f>HYPERLINK(AB2 &amp; "/nail/sn_b7385d52dc086354d9177228189afde4/rendering/14.obj", "1.22065341473")</f>
        <v>1.22065341473</v>
      </c>
      <c r="R1890" s="35" t="str">
        <f>HYPERLINK(AB2 &amp; "/nail/sn_b7385d52dc086354d9177228189afde4/rendering/15.obj", "1.35437393188")</f>
        <v>1.35437393188</v>
      </c>
      <c r="S1890" s="30" t="str">
        <f>HYPERLINK(AB2 &amp; "/nail/sn_b7385d52dc086354d9177228189afde4/rendering/16.obj", "1.27418267727")</f>
        <v>1.27418267727</v>
      </c>
      <c r="T1890" s="13" t="str">
        <f>HYPERLINK(AB2 &amp; "/nail/sn_b7385d52dc086354d9177228189afde4/rendering/17.obj", "1.27812743187")</f>
        <v>1.27812743187</v>
      </c>
      <c r="U1890" s="60" t="str">
        <f>HYPERLINK(AB2 &amp; "/nail/sn_b7385d52dc086354d9177228189afde4/rendering/18.obj", "1.21242892742")</f>
        <v>1.21242892742</v>
      </c>
      <c r="V1890" s="78" t="str">
        <f>HYPERLINK(AB2 &amp; "/nail/sn_b7385d52dc086354d9177228189afde4/rendering/19.obj", "1.19996190071")</f>
        <v>1.19996190071</v>
      </c>
      <c r="W1890" s="12" t="s">
        <v>32</v>
      </c>
      <c r="X1890" s="13">
        <v>1.2793731033802029</v>
      </c>
      <c r="Y1890" s="13">
        <v>4.7297819241765703E-2</v>
      </c>
      <c r="Z1890" s="73">
        <v>3.6969527588786397E-2</v>
      </c>
    </row>
    <row r="1891" spans="1:26" x14ac:dyDescent="0.2">
      <c r="A1891" s="1">
        <v>1889</v>
      </c>
      <c r="B1891" s="2" t="s">
        <v>410</v>
      </c>
      <c r="C1891" s="13" t="str">
        <f>HYPERLINK(AC2 &amp; "/nail/sn_b7385d52dc086354d9177228189afde4/rendering/00.xyz", "0.0")</f>
        <v>0.0</v>
      </c>
      <c r="D1891" s="13" t="str">
        <f>HYPERLINK(AC2 &amp; "/nail/sn_b7385d52dc086354d9177228189afde4/rendering/01.xyz", "0.0")</f>
        <v>0.0</v>
      </c>
      <c r="E1891" s="13" t="str">
        <f>HYPERLINK(AC2 &amp; "/nail/sn_b7385d52dc086354d9177228189afde4/rendering/02.xyz", "0.0")</f>
        <v>0.0</v>
      </c>
      <c r="F1891" s="13" t="str">
        <f>HYPERLINK(AC2 &amp; "/nail/sn_b7385d52dc086354d9177228189afde4/rendering/03.xyz", "0.0")</f>
        <v>0.0</v>
      </c>
      <c r="G1891" s="13" t="str">
        <f>HYPERLINK(AC2 &amp; "/nail/sn_b7385d52dc086354d9177228189afde4/rendering/04.xyz", "0.0")</f>
        <v>0.0</v>
      </c>
      <c r="H1891" s="13" t="str">
        <f>HYPERLINK(AC2 &amp; "/nail/sn_b7385d52dc086354d9177228189afde4/rendering/05.xyz", "0.0")</f>
        <v>0.0</v>
      </c>
      <c r="I1891" s="13" t="str">
        <f>HYPERLINK(AC2 &amp; "/nail/sn_b7385d52dc086354d9177228189afde4/rendering/06.xyz", "0.0")</f>
        <v>0.0</v>
      </c>
      <c r="J1891" s="13" t="str">
        <f>HYPERLINK(AC2 &amp; "/nail/sn_b7385d52dc086354d9177228189afde4/rendering/07.xyz", "0.0")</f>
        <v>0.0</v>
      </c>
      <c r="K1891" s="13" t="str">
        <f>HYPERLINK(AC2 &amp; "/nail/sn_b7385d52dc086354d9177228189afde4/rendering/08.xyz", "0.0")</f>
        <v>0.0</v>
      </c>
      <c r="L1891" s="13" t="str">
        <f>HYPERLINK(AC2 &amp; "/nail/sn_b7385d52dc086354d9177228189afde4/rendering/09.xyz", "0.0")</f>
        <v>0.0</v>
      </c>
      <c r="M1891" s="13" t="str">
        <f>HYPERLINK(AC2 &amp; "/nail/sn_b7385d52dc086354d9177228189afde4/rendering/10.xyz", "0.0")</f>
        <v>0.0</v>
      </c>
      <c r="N1891" s="13" t="str">
        <f>HYPERLINK(AC2 &amp; "/nail/sn_b7385d52dc086354d9177228189afde4/rendering/11.xyz", "0.0")</f>
        <v>0.0</v>
      </c>
      <c r="O1891" s="13" t="str">
        <f>HYPERLINK(AC2 &amp; "/nail/sn_b7385d52dc086354d9177228189afde4/rendering/12.xyz", "0.0")</f>
        <v>0.0</v>
      </c>
      <c r="P1891" s="13" t="str">
        <f>HYPERLINK(AC2 &amp; "/nail/sn_b7385d52dc086354d9177228189afde4/rendering/13.xyz", "0.0")</f>
        <v>0.0</v>
      </c>
      <c r="Q1891" s="13" t="str">
        <f>HYPERLINK(AC2 &amp; "/nail/sn_b7385d52dc086354d9177228189afde4/rendering/14.xyz", "0.0")</f>
        <v>0.0</v>
      </c>
      <c r="R1891" s="13" t="str">
        <f>HYPERLINK(AC2 &amp; "/nail/sn_b7385d52dc086354d9177228189afde4/rendering/15.xyz", "0.0")</f>
        <v>0.0</v>
      </c>
      <c r="S1891" s="13" t="str">
        <f>HYPERLINK(AC2 &amp; "/nail/sn_b7385d52dc086354d9177228189afde4/rendering/16.xyz", "0.0")</f>
        <v>0.0</v>
      </c>
      <c r="T1891" s="13" t="str">
        <f>HYPERLINK(AC2 &amp; "/nail/sn_b7385d52dc086354d9177228189afde4/rendering/17.xyz", "0.0")</f>
        <v>0.0</v>
      </c>
      <c r="U1891" s="13" t="str">
        <f>HYPERLINK(AC2 &amp; "/nail/sn_b7385d52dc086354d9177228189afde4/rendering/18.xyz", "0.0")</f>
        <v>0.0</v>
      </c>
      <c r="V1891" s="13" t="str">
        <f>HYPERLINK(AC2 &amp; "/nail/sn_b7385d52dc086354d9177228189afde4/rendering/19.xyz", "0.0")</f>
        <v>0.0</v>
      </c>
      <c r="W1891" s="12" t="s">
        <v>33</v>
      </c>
      <c r="X1891" s="13">
        <v>0</v>
      </c>
      <c r="Y1891" s="13">
        <v>0</v>
      </c>
      <c r="Z1891" s="13">
        <v>0</v>
      </c>
    </row>
    <row r="1892" spans="1:26" x14ac:dyDescent="0.2">
      <c r="A1892" s="1">
        <v>1890</v>
      </c>
      <c r="B1892" s="2" t="s">
        <v>411</v>
      </c>
      <c r="C1892" s="192" t="str">
        <f>HYPERLINK(AA2 &amp; "/nail/sn_cc494a96b0a106e106a689fbe9ded83/rendering/00.obj", "8.04365356445")</f>
        <v>8.04365356445</v>
      </c>
      <c r="D1892" s="8" t="str">
        <f>HYPERLINK(AA2 &amp; "/nail/sn_cc494a96b0a106e106a689fbe9ded83/rendering/01.obj", "10.9557800293")</f>
        <v>10.9557800293</v>
      </c>
      <c r="E1892" s="42" t="str">
        <f>HYPERLINK(AA2 &amp; "/nail/sn_cc494a96b0a106e106a689fbe9ded83/rendering/02.obj", "11.041607666")</f>
        <v>11.041607666</v>
      </c>
      <c r="F1892" s="77" t="str">
        <f>HYPERLINK(AA2 &amp; "/nail/sn_cc494a96b0a106e106a689fbe9ded83/rendering/03.obj", "10.3852648926")</f>
        <v>10.3852648926</v>
      </c>
      <c r="G1892" s="20" t="str">
        <f>HYPERLINK(AA2 &amp; "/nail/sn_cc494a96b0a106e106a689fbe9ded83/rendering/04.obj", "24.1674707031")</f>
        <v>24.1674707031</v>
      </c>
      <c r="H1892" s="20" t="str">
        <f>HYPERLINK(AA2 &amp; "/nail/sn_cc494a96b0a106e106a689fbe9ded83/rendering/05.obj", "23.7385498047")</f>
        <v>23.7385498047</v>
      </c>
      <c r="I1892" s="177" t="str">
        <f>HYPERLINK(AA2 &amp; "/nail/sn_cc494a96b0a106e106a689fbe9ded83/rendering/06.obj", "19.6350024414")</f>
        <v>19.6350024414</v>
      </c>
      <c r="J1892" s="99" t="str">
        <f>HYPERLINK(AA2 &amp; "/nail/sn_cc494a96b0a106e106a689fbe9ded83/rendering/07.obj", "9.30588806152")</f>
        <v>9.30588806152</v>
      </c>
      <c r="K1892" s="50" t="str">
        <f>HYPERLINK(AA2 &amp; "/nail/sn_cc494a96b0a106e106a689fbe9ded83/rendering/08.obj", "10.2214105225")</f>
        <v>10.2214105225</v>
      </c>
      <c r="L1892" s="118" t="str">
        <f>HYPERLINK(AA2 &amp; "/nail/sn_cc494a96b0a106e106a689fbe9ded83/rendering/09.obj", "9.03043640137")</f>
        <v>9.03043640137</v>
      </c>
      <c r="M1892" s="140" t="str">
        <f>HYPERLINK(AA2 &amp; "/nail/sn_cc494a96b0a106e106a689fbe9ded83/rendering/10.obj", "17.2313208008")</f>
        <v>17.2313208008</v>
      </c>
      <c r="N1892" s="65" t="str">
        <f>HYPERLINK(AA2 &amp; "/nail/sn_cc494a96b0a106e106a689fbe9ded83/rendering/11.obj", "14.4934814453")</f>
        <v>14.4934814453</v>
      </c>
      <c r="O1892" s="87" t="str">
        <f>HYPERLINK(AA2 &amp; "/nail/sn_cc494a96b0a106e106a689fbe9ded83/rendering/12.obj", "9.86726196289")</f>
        <v>9.86726196289</v>
      </c>
      <c r="P1892" s="171" t="str">
        <f>HYPERLINK(AA2 &amp; "/nail/sn_cc494a96b0a106e106a689fbe9ded83/rendering/13.obj", "8.86295776367")</f>
        <v>8.86295776367</v>
      </c>
      <c r="Q1892" s="6" t="str">
        <f>HYPERLINK(AA2 &amp; "/nail/sn_cc494a96b0a106e106a689fbe9ded83/rendering/14.obj", "13.3857421875")</f>
        <v>13.3857421875</v>
      </c>
      <c r="R1892" s="120" t="str">
        <f>HYPERLINK(AA2 &amp; "/nail/sn_cc494a96b0a106e106a689fbe9ded83/rendering/15.obj", "10.0620263672")</f>
        <v>10.0620263672</v>
      </c>
      <c r="S1892" s="64" t="str">
        <f>HYPERLINK(AA2 &amp; "/nail/sn_cc494a96b0a106e106a689fbe9ded83/rendering/16.obj", "10.6866943359")</f>
        <v>10.6866943359</v>
      </c>
      <c r="T1892" s="135" t="str">
        <f>HYPERLINK(AA2 &amp; "/nail/sn_cc494a96b0a106e106a689fbe9ded83/rendering/17.obj", "9.50685791016")</f>
        <v>9.50685791016</v>
      </c>
      <c r="U1892" s="65" t="str">
        <f>HYPERLINK(AA2 &amp; "/nail/sn_cc494a96b0a106e106a689fbe9ded83/rendering/18.obj", "11.0650952148")</f>
        <v>11.0650952148</v>
      </c>
      <c r="V1892" s="133" t="str">
        <f>HYPERLINK(AA2 &amp; "/nail/sn_cc494a96b0a106e106a689fbe9ded83/rendering/19.obj", "14.0869335938")</f>
        <v>14.0869335938</v>
      </c>
      <c r="W1892" s="12" t="s">
        <v>29</v>
      </c>
      <c r="X1892" s="13">
        <v>12.788671783447271</v>
      </c>
      <c r="Y1892" s="13">
        <v>4.6798645424163343</v>
      </c>
      <c r="Z1892" s="137">
        <v>0.36593827894415232</v>
      </c>
    </row>
    <row r="1893" spans="1:26" x14ac:dyDescent="0.2">
      <c r="A1893" s="1">
        <v>1891</v>
      </c>
      <c r="B1893" s="2" t="s">
        <v>411</v>
      </c>
      <c r="C1893" s="20" t="str">
        <f>HYPERLINK(AA2 &amp; "/nail/sn_cc494a96b0a106e106a689fbe9ded83/rendering/00.obj", "10.5565071106")</f>
        <v>10.5565071106</v>
      </c>
      <c r="D1893" s="242" t="str">
        <f>HYPERLINK(AA2 &amp; "/nail/sn_cc494a96b0a106e106a689fbe9ded83/rendering/01.obj", "14.7007799149")</f>
        <v>14.7007799149</v>
      </c>
      <c r="E1893" s="22" t="str">
        <f>HYPERLINK(AA2 &amp; "/nail/sn_cc494a96b0a106e106a689fbe9ded83/rendering/02.obj", "26.4179668427")</f>
        <v>26.4179668427</v>
      </c>
      <c r="F1893" s="219" t="str">
        <f>HYPERLINK(AA2 &amp; "/nail/sn_cc494a96b0a106e106a689fbe9ded83/rendering/03.obj", "16.5743179321")</f>
        <v>16.5743179321</v>
      </c>
      <c r="G1893" s="20" t="str">
        <f>HYPERLINK(AA2 &amp; "/nail/sn_cc494a96b0a106e106a689fbe9ded83/rendering/04.obj", "210.013244629")</f>
        <v>210.013244629</v>
      </c>
      <c r="H1893" s="20" t="str">
        <f>HYPERLINK(AA2 &amp; "/nail/sn_cc494a96b0a106e106a689fbe9ded83/rendering/05.obj", "169.343154907")</f>
        <v>169.343154907</v>
      </c>
      <c r="I1893" s="20" t="str">
        <f>HYPERLINK(AA2 &amp; "/nail/sn_cc494a96b0a106e106a689fbe9ded83/rendering/06.obj", "137.525375366")</f>
        <v>137.525375366</v>
      </c>
      <c r="J1893" s="20" t="str">
        <f>HYPERLINK(AA2 &amp; "/nail/sn_cc494a96b0a106e106a689fbe9ded83/rendering/07.obj", "7.74223327637")</f>
        <v>7.74223327637</v>
      </c>
      <c r="K1893" s="139" t="str">
        <f>HYPERLINK(AA2 &amp; "/nail/sn_cc494a96b0a106e106a689fbe9ded83/rendering/08.obj", "28.6027297974")</f>
        <v>28.6027297974</v>
      </c>
      <c r="L1893" s="180" t="str">
        <f>HYPERLINK(AA2 &amp; "/nail/sn_cc494a96b0a106e106a689fbe9ded83/rendering/09.obj", "11.6971578598")</f>
        <v>11.6971578598</v>
      </c>
      <c r="M1893" s="20" t="str">
        <f>HYPERLINK(AA2 &amp; "/nail/sn_cc494a96b0a106e106a689fbe9ded83/rendering/10.obj", "121.750259399")</f>
        <v>121.750259399</v>
      </c>
      <c r="N1893" s="181" t="str">
        <f>HYPERLINK(AA2 &amp; "/nail/sn_cc494a96b0a106e106a689fbe9ded83/rendering/11.obj", "79.654586792")</f>
        <v>79.654586792</v>
      </c>
      <c r="O1893" s="206" t="str">
        <f>HYPERLINK(AA2 &amp; "/nail/sn_cc494a96b0a106e106a689fbe9ded83/rendering/12.obj", "22.5677032471")</f>
        <v>22.5677032471</v>
      </c>
      <c r="P1893" s="115" t="str">
        <f>HYPERLINK(AA2 &amp; "/nail/sn_cc494a96b0a106e106a689fbe9ded83/rendering/13.obj", "19.930475235")</f>
        <v>19.930475235</v>
      </c>
      <c r="Q1893" s="242" t="str">
        <f>HYPERLINK(AA2 &amp; "/nail/sn_cc494a96b0a106e106a689fbe9ded83/rendering/14.obj", "95.5770645142")</f>
        <v>95.5770645142</v>
      </c>
      <c r="R1893" s="189" t="str">
        <f>HYPERLINK(AA2 &amp; "/nail/sn_cc494a96b0a106e106a689fbe9ded83/rendering/15.obj", "20.6133079529")</f>
        <v>20.6133079529</v>
      </c>
      <c r="S1893" s="238" t="str">
        <f>HYPERLINK(AA2 &amp; "/nail/sn_cc494a96b0a106e106a689fbe9ded83/rendering/16.obj", "16.318655014")</f>
        <v>16.318655014</v>
      </c>
      <c r="T1893" s="211" t="str">
        <f>HYPERLINK(AA2 &amp; "/nail/sn_cc494a96b0a106e106a689fbe9ded83/rendering/17.obj", "12.7668457031")</f>
        <v>12.7668457031</v>
      </c>
      <c r="U1893" s="227" t="str">
        <f>HYPERLINK(AA2 &amp; "/nail/sn_cc494a96b0a106e106a689fbe9ded83/rendering/18.obj", "26.9583950043")</f>
        <v>26.9583950043</v>
      </c>
      <c r="V1893" s="69" t="str">
        <f>HYPERLINK(AA2 &amp; "/nail/sn_cc494a96b0a106e106a689fbe9ded83/rendering/19.obj", "53.4582214355")</f>
        <v>53.4582214355</v>
      </c>
      <c r="W1893" s="12" t="s">
        <v>30</v>
      </c>
      <c r="X1893" s="13">
        <v>55.138449096679693</v>
      </c>
      <c r="Y1893" s="13">
        <v>58.674607424094809</v>
      </c>
      <c r="Z1893" s="20">
        <v>1.064132350208379</v>
      </c>
    </row>
    <row r="1894" spans="1:26" x14ac:dyDescent="0.2">
      <c r="A1894" s="1">
        <v>1892</v>
      </c>
      <c r="B1894" s="2" t="s">
        <v>411</v>
      </c>
      <c r="C1894" s="13" t="str">
        <f>HYPERLINK(AB2 &amp; "/nail/sn_cc494a96b0a106e106a689fbe9ded83/rendering/00.obj", "7.32879394531")</f>
        <v>7.32879394531</v>
      </c>
      <c r="D1894" s="64" t="str">
        <f>HYPERLINK(AB2 &amp; "/nail/sn_cc494a96b0a106e106a689fbe9ded83/rendering/01.obj", "6.1423059082")</f>
        <v>6.1423059082</v>
      </c>
      <c r="E1894" s="69" t="str">
        <f>HYPERLINK(AB2 &amp; "/nail/sn_cc494a96b0a106e106a689fbe9ded83/rendering/02.obj", "7.12313049316")</f>
        <v>7.12313049316</v>
      </c>
      <c r="F1894" s="107" t="str">
        <f>HYPERLINK(AB2 &amp; "/nail/sn_cc494a96b0a106e106a689fbe9ded83/rendering/03.obj", "7.95202148437")</f>
        <v>7.95202148437</v>
      </c>
      <c r="G1894" s="84" t="str">
        <f>HYPERLINK(AB2 &amp; "/nail/sn_cc494a96b0a106e106a689fbe9ded83/rendering/04.obj", "8.4146887207")</f>
        <v>8.4146887207</v>
      </c>
      <c r="H1894" s="91" t="str">
        <f>HYPERLINK(AB2 &amp; "/nail/sn_cc494a96b0a106e106a689fbe9ded83/rendering/05.obj", "7.14813598633")</f>
        <v>7.14813598633</v>
      </c>
      <c r="I1894" s="67" t="str">
        <f>HYPERLINK(AB2 &amp; "/nail/sn_cc494a96b0a106e106a689fbe9ded83/rendering/06.obj", "6.67677734375")</f>
        <v>6.67677734375</v>
      </c>
      <c r="J1894" s="81" t="str">
        <f>HYPERLINK(AB2 &amp; "/nail/sn_cc494a96b0a106e106a689fbe9ded83/rendering/07.obj", "5.74105224609")</f>
        <v>5.74105224609</v>
      </c>
      <c r="K1894" s="136" t="str">
        <f>HYPERLINK(AB2 &amp; "/nail/sn_cc494a96b0a106e106a689fbe9ded83/rendering/08.obj", "9.09116699219")</f>
        <v>9.09116699219</v>
      </c>
      <c r="L1894" s="51" t="str">
        <f>HYPERLINK(AB2 &amp; "/nail/sn_cc494a96b0a106e106a689fbe9ded83/rendering/09.obj", "7.93346069336")</f>
        <v>7.93346069336</v>
      </c>
      <c r="M1894" s="51" t="str">
        <f>HYPERLINK(AB2 &amp; "/nail/sn_cc494a96b0a106e106a689fbe9ded83/rendering/10.obj", "6.76573608398")</f>
        <v>6.76573608398</v>
      </c>
      <c r="N1894" s="66" t="str">
        <f>HYPERLINK(AB2 &amp; "/nail/sn_cc494a96b0a106e106a689fbe9ded83/rendering/11.obj", "8.54409423828")</f>
        <v>8.54409423828</v>
      </c>
      <c r="O1894" s="85" t="str">
        <f>HYPERLINK(AB2 &amp; "/nail/sn_cc494a96b0a106e106a689fbe9ded83/rendering/12.obj", "9.51887817383")</f>
        <v>9.51887817383</v>
      </c>
      <c r="P1894" s="77" t="str">
        <f>HYPERLINK(AB2 &amp; "/nail/sn_cc494a96b0a106e106a689fbe9ded83/rendering/13.obj", "5.97009765625")</f>
        <v>5.97009765625</v>
      </c>
      <c r="Q1894" s="28" t="str">
        <f>HYPERLINK(AB2 &amp; "/nail/sn_cc494a96b0a106e106a689fbe9ded83/rendering/14.obj", "6.52289123535")</f>
        <v>6.52289123535</v>
      </c>
      <c r="R1894" s="34" t="str">
        <f>HYPERLINK(AB2 &amp; "/nail/sn_cc494a96b0a106e106a689fbe9ded83/rendering/15.obj", "7.70474487305")</f>
        <v>7.70474487305</v>
      </c>
      <c r="S1894" s="50" t="str">
        <f>HYPERLINK(AB2 &amp; "/nail/sn_cc494a96b0a106e106a689fbe9ded83/rendering/16.obj", "5.89237487793")</f>
        <v>5.89237487793</v>
      </c>
      <c r="T1894" s="133" t="str">
        <f>HYPERLINK(AB2 &amp; "/nail/sn_cc494a96b0a106e106a689fbe9ded83/rendering/17.obj", "8.08780151367")</f>
        <v>8.08780151367</v>
      </c>
      <c r="U1894" s="73" t="str">
        <f>HYPERLINK(AB2 &amp; "/nail/sn_cc494a96b0a106e106a689fbe9ded83/rendering/18.obj", "7.079140625")</f>
        <v>7.079140625</v>
      </c>
      <c r="V1894" s="47" t="str">
        <f>HYPERLINK(AB2 &amp; "/nail/sn_cc494a96b0a106e106a689fbe9ded83/rendering/19.obj", "7.28813476563")</f>
        <v>7.28813476563</v>
      </c>
      <c r="W1894" s="12" t="s">
        <v>31</v>
      </c>
      <c r="X1894" s="13">
        <v>7.3462713928222652</v>
      </c>
      <c r="Y1894" s="13">
        <v>1.0342266035598791</v>
      </c>
      <c r="Z1894" s="93">
        <v>0.14078252058185309</v>
      </c>
    </row>
    <row r="1895" spans="1:26" x14ac:dyDescent="0.2">
      <c r="A1895" s="1">
        <v>1893</v>
      </c>
      <c r="B1895" s="2" t="s">
        <v>411</v>
      </c>
      <c r="C1895" s="60" t="str">
        <f>HYPERLINK(AB2 &amp; "/nail/sn_cc494a96b0a106e106a689fbe9ded83/rendering/00.obj", "8.92833995819")</f>
        <v>8.92833995819</v>
      </c>
      <c r="D1895" s="213" t="str">
        <f>HYPERLINK(AB2 &amp; "/nail/sn_cc494a96b0a106e106a689fbe9ded83/rendering/01.obj", "4.76043844223")</f>
        <v>4.76043844223</v>
      </c>
      <c r="E1895" s="19" t="str">
        <f>HYPERLINK(AB2 &amp; "/nail/sn_cc494a96b0a106e106a689fbe9ded83/rendering/02.obj", "6.9576792717")</f>
        <v>6.9576792717</v>
      </c>
      <c r="F1895" s="103" t="str">
        <f>HYPERLINK(AB2 &amp; "/nail/sn_cc494a96b0a106e106a689fbe9ded83/rendering/03.obj", "12.4650173187")</f>
        <v>12.4650173187</v>
      </c>
      <c r="G1895" s="137" t="str">
        <f>HYPERLINK(AB2 &amp; "/nail/sn_cc494a96b0a106e106a689fbe9ded83/rendering/04.obj", "12.852186203")</f>
        <v>12.852186203</v>
      </c>
      <c r="H1895" s="76" t="str">
        <f>HYPERLINK(AB2 &amp; "/nail/sn_cc494a96b0a106e106a689fbe9ded83/rendering/05.obj", "7.69920682907")</f>
        <v>7.69920682907</v>
      </c>
      <c r="I1895" s="135" t="str">
        <f>HYPERLINK(AB2 &amp; "/nail/sn_cc494a96b0a106e106a689fbe9ded83/rendering/06.obj", "7.00573253632")</f>
        <v>7.00573253632</v>
      </c>
      <c r="J1895" s="159" t="str">
        <f>HYPERLINK(AB2 &amp; "/nail/sn_cc494a96b0a106e106a689fbe9ded83/rendering/07.obj", "4.98705720901")</f>
        <v>4.98705720901</v>
      </c>
      <c r="K1895" s="231" t="str">
        <f>HYPERLINK(AB2 &amp; "/nail/sn_cc494a96b0a106e106a689fbe9ded83/rendering/08.obj", "14.8306064606")</f>
        <v>14.8306064606</v>
      </c>
      <c r="L1895" s="172" t="str">
        <f>HYPERLINK(AB2 &amp; "/nail/sn_cc494a96b0a106e106a689fbe9ded83/rendering/09.obj", "13.034160614")</f>
        <v>13.034160614</v>
      </c>
      <c r="M1895" s="61" t="str">
        <f>HYPERLINK(AB2 &amp; "/nail/sn_cc494a96b0a106e106a689fbe9ded83/rendering/10.obj", "6.57244539261")</f>
        <v>6.57244539261</v>
      </c>
      <c r="N1895" s="187" t="str">
        <f>HYPERLINK(AB2 &amp; "/nail/sn_cc494a96b0a106e106a689fbe9ded83/rendering/11.obj", "12.7102746964")</f>
        <v>12.7102746964</v>
      </c>
      <c r="O1895" s="189" t="str">
        <f>HYPERLINK(AB2 &amp; "/nail/sn_cc494a96b0a106e106a689fbe9ded83/rendering/12.obj", "15.2924022675")</f>
        <v>15.2924022675</v>
      </c>
      <c r="P1895" s="86" t="str">
        <f>HYPERLINK(AB2 &amp; "/nail/sn_cc494a96b0a106e106a689fbe9ded83/rendering/13.obj", "6.89906167984")</f>
        <v>6.89906167984</v>
      </c>
      <c r="Q1895" s="48" t="str">
        <f>HYPERLINK(AB2 &amp; "/nail/sn_cc494a96b0a106e106a689fbe9ded83/rendering/14.obj", "9.19530391693")</f>
        <v>9.19530391693</v>
      </c>
      <c r="R1895" s="109" t="str">
        <f>HYPERLINK(AB2 &amp; "/nail/sn_cc494a96b0a106e106a689fbe9ded83/rendering/15.obj", "11.2112522125")</f>
        <v>11.2112522125</v>
      </c>
      <c r="S1895" s="200" t="str">
        <f>HYPERLINK(AB2 &amp; "/nail/sn_cc494a96b0a106e106a689fbe9ded83/rendering/16.obj", "4.91872835159")</f>
        <v>4.91872835159</v>
      </c>
      <c r="T1895" s="251" t="str">
        <f>HYPERLINK(AB2 &amp; "/nail/sn_cc494a96b0a106e106a689fbe9ded83/rendering/17.obj", "14.9530715942")</f>
        <v>14.9530715942</v>
      </c>
      <c r="U1895" s="121" t="str">
        <f>HYPERLINK(AB2 &amp; "/nail/sn_cc494a96b0a106e106a689fbe9ded83/rendering/18.obj", "6.08663845062")</f>
        <v>6.08663845062</v>
      </c>
      <c r="V1895" s="119" t="str">
        <f>HYPERLINK(AB2 &amp; "/nail/sn_cc494a96b0a106e106a689fbe9ded83/rendering/19.obj", "6.91039943695")</f>
        <v>6.91039943695</v>
      </c>
      <c r="W1895" s="12" t="s">
        <v>32</v>
      </c>
      <c r="X1895" s="13">
        <v>9.4135001420974724</v>
      </c>
      <c r="Y1895" s="13">
        <v>3.5437591623228011</v>
      </c>
      <c r="Z1895" s="43">
        <v>0.37645499642316849</v>
      </c>
    </row>
    <row r="1896" spans="1:26" x14ac:dyDescent="0.2">
      <c r="A1896" s="1">
        <v>1894</v>
      </c>
      <c r="B1896" s="2" t="s">
        <v>411</v>
      </c>
      <c r="C1896" s="13" t="str">
        <f>HYPERLINK(AC2 &amp; "/nail/sn_cc494a96b0a106e106a689fbe9ded83/rendering/00.xyz", "0.0")</f>
        <v>0.0</v>
      </c>
      <c r="D1896" s="13" t="str">
        <f>HYPERLINK(AC2 &amp; "/nail/sn_cc494a96b0a106e106a689fbe9ded83/rendering/01.xyz", "0.0")</f>
        <v>0.0</v>
      </c>
      <c r="E1896" s="13" t="str">
        <f>HYPERLINK(AC2 &amp; "/nail/sn_cc494a96b0a106e106a689fbe9ded83/rendering/02.xyz", "0.0")</f>
        <v>0.0</v>
      </c>
      <c r="F1896" s="13" t="str">
        <f>HYPERLINK(AC2 &amp; "/nail/sn_cc494a96b0a106e106a689fbe9ded83/rendering/03.xyz", "0.0")</f>
        <v>0.0</v>
      </c>
      <c r="G1896" s="13" t="str">
        <f>HYPERLINK(AC2 &amp; "/nail/sn_cc494a96b0a106e106a689fbe9ded83/rendering/04.xyz", "0.0")</f>
        <v>0.0</v>
      </c>
      <c r="H1896" s="13" t="str">
        <f>HYPERLINK(AC2 &amp; "/nail/sn_cc494a96b0a106e106a689fbe9ded83/rendering/05.xyz", "0.0")</f>
        <v>0.0</v>
      </c>
      <c r="I1896" s="13" t="str">
        <f>HYPERLINK(AC2 &amp; "/nail/sn_cc494a96b0a106e106a689fbe9ded83/rendering/06.xyz", "0.0")</f>
        <v>0.0</v>
      </c>
      <c r="J1896" s="13" t="str">
        <f>HYPERLINK(AC2 &amp; "/nail/sn_cc494a96b0a106e106a689fbe9ded83/rendering/07.xyz", "0.0")</f>
        <v>0.0</v>
      </c>
      <c r="K1896" s="13" t="str">
        <f>HYPERLINK(AC2 &amp; "/nail/sn_cc494a96b0a106e106a689fbe9ded83/rendering/08.xyz", "0.0")</f>
        <v>0.0</v>
      </c>
      <c r="L1896" s="13" t="str">
        <f>HYPERLINK(AC2 &amp; "/nail/sn_cc494a96b0a106e106a689fbe9ded83/rendering/09.xyz", "0.0")</f>
        <v>0.0</v>
      </c>
      <c r="M1896" s="13" t="str">
        <f>HYPERLINK(AC2 &amp; "/nail/sn_cc494a96b0a106e106a689fbe9ded83/rendering/10.xyz", "0.0")</f>
        <v>0.0</v>
      </c>
      <c r="N1896" s="13" t="str">
        <f>HYPERLINK(AC2 &amp; "/nail/sn_cc494a96b0a106e106a689fbe9ded83/rendering/11.xyz", "0.0")</f>
        <v>0.0</v>
      </c>
      <c r="O1896" s="13" t="str">
        <f>HYPERLINK(AC2 &amp; "/nail/sn_cc494a96b0a106e106a689fbe9ded83/rendering/12.xyz", "0.0")</f>
        <v>0.0</v>
      </c>
      <c r="P1896" s="13" t="str">
        <f>HYPERLINK(AC2 &amp; "/nail/sn_cc494a96b0a106e106a689fbe9ded83/rendering/13.xyz", "0.0")</f>
        <v>0.0</v>
      </c>
      <c r="Q1896" s="13" t="str">
        <f>HYPERLINK(AC2 &amp; "/nail/sn_cc494a96b0a106e106a689fbe9ded83/rendering/14.xyz", "0.0")</f>
        <v>0.0</v>
      </c>
      <c r="R1896" s="13" t="str">
        <f>HYPERLINK(AC2 &amp; "/nail/sn_cc494a96b0a106e106a689fbe9ded83/rendering/15.xyz", "0.0")</f>
        <v>0.0</v>
      </c>
      <c r="S1896" s="13" t="str">
        <f>HYPERLINK(AC2 &amp; "/nail/sn_cc494a96b0a106e106a689fbe9ded83/rendering/16.xyz", "0.0")</f>
        <v>0.0</v>
      </c>
      <c r="T1896" s="13" t="str">
        <f>HYPERLINK(AC2 &amp; "/nail/sn_cc494a96b0a106e106a689fbe9ded83/rendering/17.xyz", "0.0")</f>
        <v>0.0</v>
      </c>
      <c r="U1896" s="13" t="str">
        <f>HYPERLINK(AC2 &amp; "/nail/sn_cc494a96b0a106e106a689fbe9ded83/rendering/18.xyz", "0.0")</f>
        <v>0.0</v>
      </c>
      <c r="V1896" s="13" t="str">
        <f>HYPERLINK(AC2 &amp; "/nail/sn_cc494a96b0a106e106a689fbe9ded83/rendering/19.xyz", "0.0")</f>
        <v>0.0</v>
      </c>
      <c r="W1896" s="12" t="s">
        <v>33</v>
      </c>
      <c r="X1896" s="13">
        <v>0</v>
      </c>
      <c r="Y1896" s="13">
        <v>0</v>
      </c>
      <c r="Z1896" s="13">
        <v>0</v>
      </c>
    </row>
    <row r="1897" spans="1:26" x14ac:dyDescent="0.2">
      <c r="A1897" s="1">
        <v>1895</v>
      </c>
      <c r="B1897" s="2" t="s">
        <v>412</v>
      </c>
      <c r="C1897" s="36" t="str">
        <f>HYPERLINK(AA2 &amp; "/nail/sn_cf09c6a7f47bd82fcd3315e81c0e01b5/rendering/00.obj", "4.10477294922")</f>
        <v>4.10477294922</v>
      </c>
      <c r="D1897" s="20" t="str">
        <f>HYPERLINK(AA2 &amp; "/nail/sn_cf09c6a7f47bd82fcd3315e81c0e01b5/rendering/01.obj", "10.1271539307")</f>
        <v>10.1271539307</v>
      </c>
      <c r="E1897" s="65" t="str">
        <f>HYPERLINK(AA2 &amp; "/nail/sn_cf09c6a7f47bd82fcd3315e81c0e01b5/rendering/02.obj", "4.52799316406")</f>
        <v>4.52799316406</v>
      </c>
      <c r="F1897" s="40" t="str">
        <f>HYPERLINK(AA2 &amp; "/nail/sn_cf09c6a7f47bd82fcd3315e81c0e01b5/rendering/03.obj", "4.33190917969")</f>
        <v>4.33190917969</v>
      </c>
      <c r="G1897" s="70" t="str">
        <f>HYPERLINK(AA2 &amp; "/nail/sn_cf09c6a7f47bd82fcd3315e81c0e01b5/rendering/04.obj", "4.55589477539")</f>
        <v>4.55589477539</v>
      </c>
      <c r="H1897" s="39" t="str">
        <f>HYPERLINK(AA2 &amp; "/nail/sn_cf09c6a7f47bd82fcd3315e81c0e01b5/rendering/05.obj", "4.77005126953")</f>
        <v>4.77005126953</v>
      </c>
      <c r="I1897" s="10" t="str">
        <f>HYPERLINK(AA2 &amp; "/nail/sn_cf09c6a7f47bd82fcd3315e81c0e01b5/rendering/06.obj", "5.51557922363")</f>
        <v>5.51557922363</v>
      </c>
      <c r="J1897" s="78" t="str">
        <f>HYPERLINK(AA2 &amp; "/nail/sn_cf09c6a7f47bd82fcd3315e81c0e01b5/rendering/07.obj", "5.53458007812")</f>
        <v>5.53458007812</v>
      </c>
      <c r="K1897" s="134" t="str">
        <f>HYPERLINK(AA2 &amp; "/nail/sn_cf09c6a7f47bd82fcd3315e81c0e01b5/rendering/08.obj", "4.28469238281")</f>
        <v>4.28469238281</v>
      </c>
      <c r="L1897" s="64" t="str">
        <f>HYPERLINK(AA2 &amp; "/nail/sn_cf09c6a7f47bd82fcd3315e81c0e01b5/rendering/09.obj", "4.35968505859")</f>
        <v>4.35968505859</v>
      </c>
      <c r="M1897" s="73" t="str">
        <f>HYPERLINK(AA2 &amp; "/nail/sn_cf09c6a7f47bd82fcd3315e81c0e01b5/rendering/10.obj", "5.03541870117")</f>
        <v>5.03541870117</v>
      </c>
      <c r="N1897" s="110" t="str">
        <f>HYPERLINK(AA2 &amp; "/nail/sn_cf09c6a7f47bd82fcd3315e81c0e01b5/rendering/11.obj", "5.73634216309")</f>
        <v>5.73634216309</v>
      </c>
      <c r="O1897" s="91" t="str">
        <f>HYPERLINK(AA2 &amp; "/nail/sn_cf09c6a7f47bd82fcd3315e81c0e01b5/rendering/12.obj", "5.08250610352")</f>
        <v>5.08250610352</v>
      </c>
      <c r="P1897" s="8" t="str">
        <f>HYPERLINK(AA2 &amp; "/nail/sn_cf09c6a7f47bd82fcd3315e81c0e01b5/rendering/13.obj", "5.96251831055")</f>
        <v>5.96251831055</v>
      </c>
      <c r="Q1897" s="93" t="str">
        <f>HYPERLINK(AA2 &amp; "/nail/sn_cf09c6a7f47bd82fcd3315e81c0e01b5/rendering/14.obj", "4.49145721436")</f>
        <v>4.49145721436</v>
      </c>
      <c r="R1897" s="60" t="str">
        <f>HYPERLINK(AA2 &amp; "/nail/sn_cf09c6a7f47bd82fcd3315e81c0e01b5/rendering/15.obj", "4.95583190918")</f>
        <v>4.95583190918</v>
      </c>
      <c r="S1897" s="35" t="str">
        <f>HYPERLINK(AA2 &amp; "/nail/sn_cf09c6a7f47bd82fcd3315e81c0e01b5/rendering/16.obj", "4.91245391846")</f>
        <v>4.91245391846</v>
      </c>
      <c r="T1897" s="110" t="str">
        <f>HYPERLINK(AA2 &amp; "/nail/sn_cf09c6a7f47bd82fcd3315e81c0e01b5/rendering/17.obj", "5.73287658691")</f>
        <v>5.73287658691</v>
      </c>
      <c r="U1897" s="36" t="str">
        <f>HYPERLINK(AA2 &amp; "/nail/sn_cf09c6a7f47bd82fcd3315e81c0e01b5/rendering/18.obj", "6.33872070313")</f>
        <v>6.33872070313</v>
      </c>
      <c r="V1897" s="81" t="str">
        <f>HYPERLINK(AA2 &amp; "/nail/sn_cf09c6a7f47bd82fcd3315e81c0e01b5/rendering/19.obj", "4.07920074463")</f>
        <v>4.07920074463</v>
      </c>
      <c r="W1897" s="12" t="s">
        <v>29</v>
      </c>
      <c r="X1897" s="13">
        <v>5.2219819183349614</v>
      </c>
      <c r="Y1897" s="13">
        <v>1.2926371017629881</v>
      </c>
      <c r="Z1897" s="108">
        <v>0.24753764413170321</v>
      </c>
    </row>
    <row r="1898" spans="1:26" x14ac:dyDescent="0.2">
      <c r="A1898" s="1">
        <v>1896</v>
      </c>
      <c r="B1898" s="2" t="s">
        <v>412</v>
      </c>
      <c r="C1898" s="182" t="str">
        <f>HYPERLINK(AA2 &amp; "/nail/sn_cf09c6a7f47bd82fcd3315e81c0e01b5/rendering/00.obj", "1.91848659515")</f>
        <v>1.91848659515</v>
      </c>
      <c r="D1898" s="20" t="str">
        <f>HYPERLINK(AA2 &amp; "/nail/sn_cf09c6a7f47bd82fcd3315e81c0e01b5/rendering/01.obj", "8.99666118622")</f>
        <v>8.99666118622</v>
      </c>
      <c r="E1898" s="152" t="str">
        <f>HYPERLINK(AA2 &amp; "/nail/sn_cf09c6a7f47bd82fcd3315e81c0e01b5/rendering/02.obj", "1.704236269")</f>
        <v>1.704236269</v>
      </c>
      <c r="F1898" s="145" t="str">
        <f>HYPERLINK(AA2 &amp; "/nail/sn_cf09c6a7f47bd82fcd3315e81c0e01b5/rendering/03.obj", "1.4607963562")</f>
        <v>1.4607963562</v>
      </c>
      <c r="G1898" s="230" t="str">
        <f>HYPERLINK(AA2 &amp; "/nail/sn_cf09c6a7f47bd82fcd3315e81c0e01b5/rendering/04.obj", "1.56233036518")</f>
        <v>1.56233036518</v>
      </c>
      <c r="H1898" s="144" t="str">
        <f>HYPERLINK(AA2 &amp; "/nail/sn_cf09c6a7f47bd82fcd3315e81c0e01b5/rendering/05.obj", "1.42427146435")</f>
        <v>1.42427146435</v>
      </c>
      <c r="I1898" s="66" t="str">
        <f>HYPERLINK(AA2 &amp; "/nail/sn_cf09c6a7f47bd82fcd3315e81c0e01b5/rendering/06.obj", "2.41000103951")</f>
        <v>2.41000103951</v>
      </c>
      <c r="J1898" s="86" t="str">
        <f>HYPERLINK(AA2 &amp; "/nail/sn_cf09c6a7f47bd82fcd3315e81c0e01b5/rendering/07.obj", "2.10349678993")</f>
        <v>2.10349678993</v>
      </c>
      <c r="K1898" s="143" t="str">
        <f>HYPERLINK(AA2 &amp; "/nail/sn_cf09c6a7f47bd82fcd3315e81c0e01b5/rendering/08.obj", "1.51566934586")</f>
        <v>1.51566934586</v>
      </c>
      <c r="L1898" s="116" t="str">
        <f>HYPERLINK(AA2 &amp; "/nail/sn_cf09c6a7f47bd82fcd3315e81c0e01b5/rendering/09.obj", "1.61614084244")</f>
        <v>1.61614084244</v>
      </c>
      <c r="M1898" s="138" t="str">
        <f>HYPERLINK(AA2 &amp; "/nail/sn_cf09c6a7f47bd82fcd3315e81c0e01b5/rendering/10.obj", "1.90265393257")</f>
        <v>1.90265393257</v>
      </c>
      <c r="N1898" s="225" t="str">
        <f>HYPERLINK(AA2 &amp; "/nail/sn_cf09c6a7f47bd82fcd3315e81c0e01b5/rendering/11.obj", "4.51257038116")</f>
        <v>4.51257038116</v>
      </c>
      <c r="O1898" s="19" t="str">
        <f>HYPERLINK(AA2 &amp; "/nail/sn_cf09c6a7f47bd82fcd3315e81c0e01b5/rendering/12.obj", "3.62997484207")</f>
        <v>3.62997484207</v>
      </c>
      <c r="P1898" s="230" t="str">
        <f>HYPERLINK(AA2 &amp; "/nail/sn_cf09c6a7f47bd82fcd3315e81c0e01b5/rendering/13.obj", "4.19343948364")</f>
        <v>4.19343948364</v>
      </c>
      <c r="Q1898" s="159" t="str">
        <f>HYPERLINK(AA2 &amp; "/nail/sn_cf09c6a7f47bd82fcd3315e81c0e01b5/rendering/14.obj", "1.52873015404")</f>
        <v>1.52873015404</v>
      </c>
      <c r="R1898" s="23" t="str">
        <f>HYPERLINK(AA2 &amp; "/nail/sn_cf09c6a7f47bd82fcd3315e81c0e01b5/rendering/15.obj", "2.99126958847")</f>
        <v>2.99126958847</v>
      </c>
      <c r="S1898" s="61" t="str">
        <f>HYPERLINK(AA2 &amp; "/nail/sn_cf09c6a7f47bd82fcd3315e81c0e01b5/rendering/16.obj", "2.00783848763")</f>
        <v>2.00783848763</v>
      </c>
      <c r="T1898" s="226" t="str">
        <f>HYPERLINK(AA2 &amp; "/nail/sn_cf09c6a7f47bd82fcd3315e81c0e01b5/rendering/17.obj", "4.49316596985")</f>
        <v>4.49316596985</v>
      </c>
      <c r="U1898" s="20" t="str">
        <f>HYPERLINK(AA2 &amp; "/nail/sn_cf09c6a7f47bd82fcd3315e81c0e01b5/rendering/18.obj", "5.88809299469")</f>
        <v>5.88809299469</v>
      </c>
      <c r="V1898" s="132" t="str">
        <f>HYPERLINK(AA2 &amp; "/nail/sn_cf09c6a7f47bd82fcd3315e81c0e01b5/rendering/19.obj", "1.67571783066")</f>
        <v>1.67571783066</v>
      </c>
      <c r="W1898" s="12" t="s">
        <v>30</v>
      </c>
      <c r="X1898" s="13">
        <v>2.8767771959304809</v>
      </c>
      <c r="Y1898" s="13">
        <v>1.890511492944366</v>
      </c>
      <c r="Z1898" s="9">
        <v>0.65716298628155956</v>
      </c>
    </row>
    <row r="1899" spans="1:26" x14ac:dyDescent="0.2">
      <c r="A1899" s="1">
        <v>1897</v>
      </c>
      <c r="B1899" s="2" t="s">
        <v>412</v>
      </c>
      <c r="C1899" s="41" t="str">
        <f>HYPERLINK(AB2 &amp; "/nail/sn_cf09c6a7f47bd82fcd3315e81c0e01b5/rendering/00.obj", "3.78402282715")</f>
        <v>3.78402282715</v>
      </c>
      <c r="D1899" s="66" t="str">
        <f>HYPERLINK(AB2 &amp; "/nail/sn_cf09c6a7f47bd82fcd3315e81c0e01b5/rendering/01.obj", "4.70182800293")</f>
        <v>4.70182800293</v>
      </c>
      <c r="E1899" s="67" t="str">
        <f>HYPERLINK(AB2 &amp; "/nail/sn_cf09c6a7f47bd82fcd3315e81c0e01b5/rendering/02.obj", "3.6724508667")</f>
        <v>3.6724508667</v>
      </c>
      <c r="F1899" s="94" t="str">
        <f>HYPERLINK(AB2 &amp; "/nail/sn_cf09c6a7f47bd82fcd3315e81c0e01b5/rendering/03.obj", "4.35261169434")</f>
        <v>4.35261169434</v>
      </c>
      <c r="G1899" s="17" t="str">
        <f>HYPERLINK(AB2 &amp; "/nail/sn_cf09c6a7f47bd82fcd3315e81c0e01b5/rendering/04.obj", "4.13715576172")</f>
        <v>4.13715576172</v>
      </c>
      <c r="H1899" s="94" t="str">
        <f>HYPERLINK(AB2 &amp; "/nail/sn_cf09c6a7f47bd82fcd3315e81c0e01b5/rendering/05.obj", "3.75038330078")</f>
        <v>3.75038330078</v>
      </c>
      <c r="I1899" s="91" t="str">
        <f>HYPERLINK(AB2 &amp; "/nail/sn_cf09c6a7f47bd82fcd3315e81c0e01b5/rendering/06.obj", "3.93913085938")</f>
        <v>3.93913085938</v>
      </c>
      <c r="J1899" s="106" t="str">
        <f>HYPERLINK(AB2 &amp; "/nail/sn_cf09c6a7f47bd82fcd3315e81c0e01b5/rendering/07.obj", "3.59231903076")</f>
        <v>3.59231903076</v>
      </c>
      <c r="K1899" s="78" t="str">
        <f>HYPERLINK(AB2 &amp; "/nail/sn_cf09c6a7f47bd82fcd3315e81c0e01b5/rendering/08.obj", "3.80951477051")</f>
        <v>3.80951477051</v>
      </c>
      <c r="L1899" s="91" t="str">
        <f>HYPERLINK(AB2 &amp; "/nail/sn_cf09c6a7f47bd82fcd3315e81c0e01b5/rendering/09.obj", "3.94656402588")</f>
        <v>3.94656402588</v>
      </c>
      <c r="M1899" s="79" t="str">
        <f>HYPERLINK(AB2 &amp; "/nail/sn_cf09c6a7f47bd82fcd3315e81c0e01b5/rendering/10.obj", "4.69702392578")</f>
        <v>4.69702392578</v>
      </c>
      <c r="N1899" s="47" t="str">
        <f>HYPERLINK(AB2 &amp; "/nail/sn_cf09c6a7f47bd82fcd3315e81c0e01b5/rendering/11.obj", "4.09049682617")</f>
        <v>4.09049682617</v>
      </c>
      <c r="O1899" s="69" t="str">
        <f>HYPERLINK(AB2 &amp; "/nail/sn_cf09c6a7f47bd82fcd3315e81c0e01b5/rendering/12.obj", "3.93412109375")</f>
        <v>3.93412109375</v>
      </c>
      <c r="P1899" s="27" t="str">
        <f>HYPERLINK(AB2 &amp; "/nail/sn_cf09c6a7f47bd82fcd3315e81c0e01b5/rendering/13.obj", "3.76943481445")</f>
        <v>3.76943481445</v>
      </c>
      <c r="Q1899" s="67" t="str">
        <f>HYPERLINK(AB2 &amp; "/nail/sn_cf09c6a7f47bd82fcd3315e81c0e01b5/rendering/14.obj", "3.678984375")</f>
        <v>3.678984375</v>
      </c>
      <c r="R1899" s="25" t="str">
        <f>HYPERLINK(AB2 &amp; "/nail/sn_cf09c6a7f47bd82fcd3315e81c0e01b5/rendering/15.obj", "4.00672912598")</f>
        <v>4.00672912598</v>
      </c>
      <c r="S1899" s="198" t="str">
        <f>HYPERLINK(AB2 &amp; "/nail/sn_cf09c6a7f47bd82fcd3315e81c0e01b5/rendering/16.obj", "5.62834228516")</f>
        <v>5.62834228516</v>
      </c>
      <c r="T1899" s="69" t="str">
        <f>HYPERLINK(AB2 &amp; "/nail/sn_cf09c6a7f47bd82fcd3315e81c0e01b5/rendering/17.obj", "3.93774261475")</f>
        <v>3.93774261475</v>
      </c>
      <c r="U1899" s="91" t="str">
        <f>HYPERLINK(AB2 &amp; "/nail/sn_cf09c6a7f47bd82fcd3315e81c0e01b5/rendering/18.obj", "3.94006652832")</f>
        <v>3.94006652832</v>
      </c>
      <c r="V1899" s="38" t="str">
        <f>HYPERLINK(AB2 &amp; "/nail/sn_cf09c6a7f47bd82fcd3315e81c0e01b5/rendering/19.obj", "3.68857055664")</f>
        <v>3.68857055664</v>
      </c>
      <c r="W1899" s="12" t="s">
        <v>31</v>
      </c>
      <c r="X1899" s="13">
        <v>4.0528746643066409</v>
      </c>
      <c r="Y1899" s="13">
        <v>0.46987605545305178</v>
      </c>
      <c r="Z1899" s="106">
        <v>0.1159364881404339</v>
      </c>
    </row>
    <row r="1900" spans="1:26" x14ac:dyDescent="0.2">
      <c r="A1900" s="1">
        <v>1898</v>
      </c>
      <c r="B1900" s="2" t="s">
        <v>412</v>
      </c>
      <c r="C1900" s="75" t="str">
        <f>HYPERLINK(AB2 &amp; "/nail/sn_cf09c6a7f47bd82fcd3315e81c0e01b5/rendering/00.obj", "1.19915211201")</f>
        <v>1.19915211201</v>
      </c>
      <c r="D1900" s="256" t="str">
        <f>HYPERLINK(AB2 &amp; "/nail/sn_cf09c6a7f47bd82fcd3315e81c0e01b5/rendering/01.obj", "2.49271059036")</f>
        <v>2.49271059036</v>
      </c>
      <c r="E1900" s="91" t="str">
        <f>HYPERLINK(AB2 &amp; "/nail/sn_cf09c6a7f47bd82fcd3315e81c0e01b5/rendering/02.obj", "1.57979798317")</f>
        <v>1.57979798317</v>
      </c>
      <c r="F1900" s="10" t="str">
        <f>HYPERLINK(AB2 &amp; "/nail/sn_cf09c6a7f47bd82fcd3315e81c0e01b5/rendering/03.obj", "1.45376849174")</f>
        <v>1.45376849174</v>
      </c>
      <c r="G1900" s="50" t="str">
        <f>HYPERLINK(AB2 &amp; "/nail/sn_cf09c6a7f47bd82fcd3315e81c0e01b5/rendering/04.obj", "1.23278641701")</f>
        <v>1.23278641701</v>
      </c>
      <c r="H1900" s="110" t="str">
        <f>HYPERLINK(AB2 &amp; "/nail/sn_cf09c6a7f47bd82fcd3315e81c0e01b5/rendering/05.obj", "1.38756418228")</f>
        <v>1.38756418228</v>
      </c>
      <c r="I1900" s="33" t="str">
        <f>HYPERLINK(AB2 &amp; "/nail/sn_cf09c6a7f47bd82fcd3315e81c0e01b5/rendering/06.obj", "1.37023031712")</f>
        <v>1.37023031712</v>
      </c>
      <c r="J1900" s="80" t="str">
        <f>HYPERLINK(AB2 &amp; "/nail/sn_cf09c6a7f47bd82fcd3315e81c0e01b5/rendering/07.obj", "1.31100058556")</f>
        <v>1.31100058556</v>
      </c>
      <c r="K1900" s="75" t="str">
        <f>HYPERLINK(AB2 &amp; "/nail/sn_cf09c6a7f47bd82fcd3315e81c0e01b5/rendering/08.obj", "1.20101058483")</f>
        <v>1.20101058483</v>
      </c>
      <c r="L1900" s="60" t="str">
        <f>HYPERLINK(AB2 &amp; "/nail/sn_cf09c6a7f47bd82fcd3315e81c0e01b5/rendering/09.obj", "1.45741510391")</f>
        <v>1.45741510391</v>
      </c>
      <c r="M1900" s="93" t="str">
        <f>HYPERLINK(AB2 &amp; "/nail/sn_cf09c6a7f47bd82fcd3315e81c0e01b5/rendering/10.obj", "1.3227711916")</f>
        <v>1.3227711916</v>
      </c>
      <c r="N1900" s="42" t="str">
        <f>HYPERLINK(AB2 &amp; "/nail/sn_cf09c6a7f47bd82fcd3315e81c0e01b5/rendering/11.obj", "1.33030664921")</f>
        <v>1.33030664921</v>
      </c>
      <c r="O1900" s="49" t="str">
        <f>HYPERLINK(AB2 &amp; "/nail/sn_cf09c6a7f47bd82fcd3315e81c0e01b5/rendering/12.obj", "1.21677494049")</f>
        <v>1.21677494049</v>
      </c>
      <c r="P1900" s="91" t="str">
        <f>HYPERLINK(AB2 &amp; "/nail/sn_cf09c6a7f47bd82fcd3315e81c0e01b5/rendering/13.obj", "1.49888920784")</f>
        <v>1.49888920784</v>
      </c>
      <c r="Q1900" s="46" t="str">
        <f>HYPERLINK(AB2 &amp; "/nail/sn_cf09c6a7f47bd82fcd3315e81c0e01b5/rendering/14.obj", "1.5117149353")</f>
        <v>1.5117149353</v>
      </c>
      <c r="R1900" s="24" t="str">
        <f>HYPERLINK(AB2 &amp; "/nail/sn_cf09c6a7f47bd82fcd3315e81c0e01b5/rendering/15.obj", "1.28011369705")</f>
        <v>1.28011369705</v>
      </c>
      <c r="S1900" s="20" t="str">
        <f>HYPERLINK(AB2 &amp; "/nail/sn_cf09c6a7f47bd82fcd3315e81c0e01b5/rendering/16.obj", "3.70051527023")</f>
        <v>3.70051527023</v>
      </c>
      <c r="T1900" s="72" t="str">
        <f>HYPERLINK(AB2 &amp; "/nail/sn_cf09c6a7f47bd82fcd3315e81c0e01b5/rendering/17.obj", "1.48844516277")</f>
        <v>1.48844516277</v>
      </c>
      <c r="U1900" s="24" t="str">
        <f>HYPERLINK(AB2 &amp; "/nail/sn_cf09c6a7f47bd82fcd3315e81c0e01b5/rendering/18.obj", "1.27938044071")</f>
        <v>1.27938044071</v>
      </c>
      <c r="V1900" s="6" t="str">
        <f>HYPERLINK(AB2 &amp; "/nail/sn_cf09c6a7f47bd82fcd3315e81c0e01b5/rendering/19.obj", "1.47040379047")</f>
        <v>1.47040379047</v>
      </c>
      <c r="W1900" s="12" t="s">
        <v>32</v>
      </c>
      <c r="X1900" s="13">
        <v>1.5392375826835629</v>
      </c>
      <c r="Y1900" s="13">
        <v>0.56402002437274346</v>
      </c>
      <c r="Z1900" s="137">
        <v>0.36642817893610052</v>
      </c>
    </row>
    <row r="1901" spans="1:26" x14ac:dyDescent="0.2">
      <c r="A1901" s="1">
        <v>1899</v>
      </c>
      <c r="B1901" s="2" t="s">
        <v>412</v>
      </c>
      <c r="C1901" s="13" t="str">
        <f>HYPERLINK(AC2 &amp; "/nail/sn_cf09c6a7f47bd82fcd3315e81c0e01b5/rendering/00.xyz", "0.0")</f>
        <v>0.0</v>
      </c>
      <c r="D1901" s="13" t="str">
        <f>HYPERLINK(AC2 &amp; "/nail/sn_cf09c6a7f47bd82fcd3315e81c0e01b5/rendering/01.xyz", "0.0")</f>
        <v>0.0</v>
      </c>
      <c r="E1901" s="13" t="str">
        <f>HYPERLINK(AC2 &amp; "/nail/sn_cf09c6a7f47bd82fcd3315e81c0e01b5/rendering/02.xyz", "0.0")</f>
        <v>0.0</v>
      </c>
      <c r="F1901" s="13" t="str">
        <f>HYPERLINK(AC2 &amp; "/nail/sn_cf09c6a7f47bd82fcd3315e81c0e01b5/rendering/03.xyz", "0.0")</f>
        <v>0.0</v>
      </c>
      <c r="G1901" s="13" t="str">
        <f>HYPERLINK(AC2 &amp; "/nail/sn_cf09c6a7f47bd82fcd3315e81c0e01b5/rendering/04.xyz", "0.0")</f>
        <v>0.0</v>
      </c>
      <c r="H1901" s="13" t="str">
        <f>HYPERLINK(AC2 &amp; "/nail/sn_cf09c6a7f47bd82fcd3315e81c0e01b5/rendering/05.xyz", "0.0")</f>
        <v>0.0</v>
      </c>
      <c r="I1901" s="13" t="str">
        <f>HYPERLINK(AC2 &amp; "/nail/sn_cf09c6a7f47bd82fcd3315e81c0e01b5/rendering/06.xyz", "0.0")</f>
        <v>0.0</v>
      </c>
      <c r="J1901" s="13" t="str">
        <f>HYPERLINK(AC2 &amp; "/nail/sn_cf09c6a7f47bd82fcd3315e81c0e01b5/rendering/07.xyz", "0.0")</f>
        <v>0.0</v>
      </c>
      <c r="K1901" s="13" t="str">
        <f>HYPERLINK(AC2 &amp; "/nail/sn_cf09c6a7f47bd82fcd3315e81c0e01b5/rendering/08.xyz", "0.0")</f>
        <v>0.0</v>
      </c>
      <c r="L1901" s="13" t="str">
        <f>HYPERLINK(AC2 &amp; "/nail/sn_cf09c6a7f47bd82fcd3315e81c0e01b5/rendering/09.xyz", "0.0")</f>
        <v>0.0</v>
      </c>
      <c r="M1901" s="13" t="str">
        <f>HYPERLINK(AC2 &amp; "/nail/sn_cf09c6a7f47bd82fcd3315e81c0e01b5/rendering/10.xyz", "0.0")</f>
        <v>0.0</v>
      </c>
      <c r="N1901" s="13" t="str">
        <f>HYPERLINK(AC2 &amp; "/nail/sn_cf09c6a7f47bd82fcd3315e81c0e01b5/rendering/11.xyz", "0.0")</f>
        <v>0.0</v>
      </c>
      <c r="O1901" s="13" t="str">
        <f>HYPERLINK(AC2 &amp; "/nail/sn_cf09c6a7f47bd82fcd3315e81c0e01b5/rendering/12.xyz", "0.0")</f>
        <v>0.0</v>
      </c>
      <c r="P1901" s="13" t="str">
        <f>HYPERLINK(AC2 &amp; "/nail/sn_cf09c6a7f47bd82fcd3315e81c0e01b5/rendering/13.xyz", "0.0")</f>
        <v>0.0</v>
      </c>
      <c r="Q1901" s="13" t="str">
        <f>HYPERLINK(AC2 &amp; "/nail/sn_cf09c6a7f47bd82fcd3315e81c0e01b5/rendering/14.xyz", "0.0")</f>
        <v>0.0</v>
      </c>
      <c r="R1901" s="13" t="str">
        <f>HYPERLINK(AC2 &amp; "/nail/sn_cf09c6a7f47bd82fcd3315e81c0e01b5/rendering/15.xyz", "0.0")</f>
        <v>0.0</v>
      </c>
      <c r="S1901" s="13" t="str">
        <f>HYPERLINK(AC2 &amp; "/nail/sn_cf09c6a7f47bd82fcd3315e81c0e01b5/rendering/16.xyz", "0.0")</f>
        <v>0.0</v>
      </c>
      <c r="T1901" s="13" t="str">
        <f>HYPERLINK(AC2 &amp; "/nail/sn_cf09c6a7f47bd82fcd3315e81c0e01b5/rendering/17.xyz", "0.0")</f>
        <v>0.0</v>
      </c>
      <c r="U1901" s="13" t="str">
        <f>HYPERLINK(AC2 &amp; "/nail/sn_cf09c6a7f47bd82fcd3315e81c0e01b5/rendering/18.xyz", "0.0")</f>
        <v>0.0</v>
      </c>
      <c r="V1901" s="13" t="str">
        <f>HYPERLINK(AC2 &amp; "/nail/sn_cf09c6a7f47bd82fcd3315e81c0e01b5/rendering/19.xyz", "0.0")</f>
        <v>0.0</v>
      </c>
      <c r="W1901" s="12" t="s">
        <v>33</v>
      </c>
      <c r="X1901" s="13">
        <v>0</v>
      </c>
      <c r="Y1901" s="13">
        <v>0</v>
      </c>
      <c r="Z1901" s="13">
        <v>0</v>
      </c>
    </row>
    <row r="1902" spans="1:26" x14ac:dyDescent="0.2">
      <c r="A1902" s="1">
        <v>1900</v>
      </c>
      <c r="B1902" s="2" t="s">
        <v>413</v>
      </c>
      <c r="C1902" s="10" t="str">
        <f>HYPERLINK(AA2 &amp; "/nail/sn_d0373893d43ee0689dd775adf479755b/rendering/00.obj", "3.02629516602")</f>
        <v>3.02629516602</v>
      </c>
      <c r="D1902" s="60" t="str">
        <f>HYPERLINK(AA2 &amp; "/nail/sn_d0373893d43ee0689dd775adf479755b/rendering/01.obj", "2.72589477539")</f>
        <v>2.72589477539</v>
      </c>
      <c r="E1902" s="48" t="str">
        <f>HYPERLINK(AA2 &amp; "/nail/sn_d0373893d43ee0689dd775adf479755b/rendering/02.obj", "2.80745574951")</f>
        <v>2.80745574951</v>
      </c>
      <c r="F1902" s="68" t="str">
        <f>HYPERLINK(AA2 &amp; "/nail/sn_d0373893d43ee0689dd775adf479755b/rendering/03.obj", "2.99015228271")</f>
        <v>2.99015228271</v>
      </c>
      <c r="G1902" s="133" t="str">
        <f>HYPERLINK(AA2 &amp; "/nail/sn_d0373893d43ee0689dd775adf479755b/rendering/04.obj", "2.5803326416")</f>
        <v>2.5803326416</v>
      </c>
      <c r="H1902" s="73" t="str">
        <f>HYPERLINK(AA2 &amp; "/nail/sn_d0373893d43ee0689dd775adf479755b/rendering/05.obj", "2.77062133789")</f>
        <v>2.77062133789</v>
      </c>
      <c r="I1902" s="91" t="str">
        <f>HYPERLINK(AA2 &amp; "/nail/sn_d0373893d43ee0689dd775adf479755b/rendering/06.obj", "2.95028015137")</f>
        <v>2.95028015137</v>
      </c>
      <c r="J1902" s="42" t="str">
        <f>HYPERLINK(AA2 &amp; "/nail/sn_d0373893d43ee0689dd775adf479755b/rendering/07.obj", "3.26202880859")</f>
        <v>3.26202880859</v>
      </c>
      <c r="K1902" s="39" t="str">
        <f>HYPERLINK(AA2 &amp; "/nail/sn_d0373893d43ee0689dd775adf479755b/rendering/08.obj", "2.62121398926")</f>
        <v>2.62121398926</v>
      </c>
      <c r="L1902" s="74" t="str">
        <f>HYPERLINK(AA2 &amp; "/nail/sn_d0373893d43ee0689dd775adf479755b/rendering/09.obj", "2.83589782715")</f>
        <v>2.83589782715</v>
      </c>
      <c r="M1902" s="25" t="str">
        <f>HYPERLINK(AA2 &amp; "/nail/sn_d0373893d43ee0689dd775adf479755b/rendering/10.obj", "2.83678405762")</f>
        <v>2.83678405762</v>
      </c>
      <c r="N1902" s="30" t="str">
        <f>HYPERLINK(AA2 &amp; "/nail/sn_d0373893d43ee0689dd775adf479755b/rendering/11.obj", "2.85523986816")</f>
        <v>2.85523986816</v>
      </c>
      <c r="O1902" s="41" t="str">
        <f>HYPERLINK(AA2 &amp; "/nail/sn_d0373893d43ee0689dd775adf479755b/rendering/12.obj", "2.6832244873")</f>
        <v>2.6832244873</v>
      </c>
      <c r="P1902" s="30" t="str">
        <f>HYPERLINK(AA2 &amp; "/nail/sn_d0373893d43ee0689dd775adf479755b/rendering/13.obj", "2.88298980713")</f>
        <v>2.88298980713</v>
      </c>
      <c r="Q1902" s="67" t="str">
        <f>HYPERLINK(AA2 &amp; "/nail/sn_d0373893d43ee0689dd775adf479755b/rendering/14.obj", "2.60873260498")</f>
        <v>2.60873260498</v>
      </c>
      <c r="R1902" s="29" t="str">
        <f>HYPERLINK(AA2 &amp; "/nail/sn_d0373893d43ee0689dd775adf479755b/rendering/15.obj", "3.24645996094")</f>
        <v>3.24645996094</v>
      </c>
      <c r="S1902" s="80" t="str">
        <f>HYPERLINK(AA2 &amp; "/nail/sn_d0373893d43ee0689dd775adf479755b/rendering/16.obj", "3.29639953613")</f>
        <v>3.29639953613</v>
      </c>
      <c r="T1902" s="92" t="str">
        <f>HYPERLINK(AA2 &amp; "/nail/sn_d0373893d43ee0689dd775adf479755b/rendering/17.obj", "2.52022094727")</f>
        <v>2.52022094727</v>
      </c>
      <c r="U1902" s="47" t="str">
        <f>HYPERLINK(AA2 &amp; "/nail/sn_d0373893d43ee0689dd775adf479755b/rendering/18.obj", "2.85301879883")</f>
        <v>2.85301879883</v>
      </c>
      <c r="V1902" s="51" t="str">
        <f>HYPERLINK(AA2 &amp; "/nail/sn_d0373893d43ee0689dd775adf479755b/rendering/19.obj", "3.10165863037")</f>
        <v>3.10165863037</v>
      </c>
      <c r="W1902" s="12" t="s">
        <v>29</v>
      </c>
      <c r="X1902" s="13">
        <v>2.8727450714111331</v>
      </c>
      <c r="Y1902" s="13">
        <v>0.22190517549898339</v>
      </c>
      <c r="Z1902" s="5">
        <v>7.7244993893586411E-2</v>
      </c>
    </row>
    <row r="1903" spans="1:26" x14ac:dyDescent="0.2">
      <c r="A1903" s="1">
        <v>1901</v>
      </c>
      <c r="B1903" s="2" t="s">
        <v>413</v>
      </c>
      <c r="C1903" s="33" t="str">
        <f>HYPERLINK(AA2 &amp; "/nail/sn_d0373893d43ee0689dd775adf479755b/rendering/00.obj", "1.52734601498")</f>
        <v>1.52734601498</v>
      </c>
      <c r="D1903" s="46" t="str">
        <f>HYPERLINK(AA2 &amp; "/nail/sn_d0373893d43ee0689dd775adf479755b/rendering/01.obj", "1.35290622711")</f>
        <v>1.35290622711</v>
      </c>
      <c r="E1903" s="73" t="str">
        <f>HYPERLINK(AA2 &amp; "/nail/sn_d0373893d43ee0689dd775adf479755b/rendering/02.obj", "1.42768931389")</f>
        <v>1.42768931389</v>
      </c>
      <c r="F1903" s="117" t="str">
        <f>HYPERLINK(AA2 &amp; "/nail/sn_d0373893d43ee0689dd775adf479755b/rendering/03.obj", "1.62368154526")</f>
        <v>1.62368154526</v>
      </c>
      <c r="G1903" s="71" t="str">
        <f>HYPERLINK(AA2 &amp; "/nail/sn_d0373893d43ee0689dd775adf479755b/rendering/04.obj", "1.21486628056")</f>
        <v>1.21486628056</v>
      </c>
      <c r="H1903" s="30" t="str">
        <f>HYPERLINK(AA2 &amp; "/nail/sn_d0373893d43ee0689dd775adf479755b/rendering/05.obj", "1.38244879246")</f>
        <v>1.38244879246</v>
      </c>
      <c r="I1903" s="34" t="str">
        <f>HYPERLINK(AA2 &amp; "/nail/sn_d0373893d43ee0689dd775adf479755b/rendering/06.obj", "1.44298458099")</f>
        <v>1.44298458099</v>
      </c>
      <c r="J1903" s="38" t="str">
        <f>HYPERLINK(AA2 &amp; "/nail/sn_d0373893d43ee0689dd775adf479755b/rendering/07.obj", "1.49979424477")</f>
        <v>1.49979424477</v>
      </c>
      <c r="K1903" s="51" t="str">
        <f>HYPERLINK(AA2 &amp; "/nail/sn_d0373893d43ee0689dd775adf479755b/rendering/08.obj", "1.26870667934")</f>
        <v>1.26870667934</v>
      </c>
      <c r="L1903" s="30" t="str">
        <f>HYPERLINK(AA2 &amp; "/nail/sn_d0373893d43ee0689dd775adf479755b/rendering/09.obj", "1.37292289734")</f>
        <v>1.37292289734</v>
      </c>
      <c r="M1903" s="74" t="str">
        <f>HYPERLINK(AA2 &amp; "/nail/sn_d0373893d43ee0689dd775adf479755b/rendering/10.obj", "1.35624241829")</f>
        <v>1.35624241829</v>
      </c>
      <c r="N1903" s="35" t="str">
        <f>HYPERLINK(AA2 &amp; "/nail/sn_d0373893d43ee0689dd775adf479755b/rendering/11.obj", "1.29775726795")</f>
        <v>1.29775726795</v>
      </c>
      <c r="O1903" s="41" t="str">
        <f>HYPERLINK(AA2 &amp; "/nail/sn_d0373893d43ee0689dd775adf479755b/rendering/12.obj", "1.28353345394")</f>
        <v>1.28353345394</v>
      </c>
      <c r="P1903" s="80" t="str">
        <f>HYPERLINK(AA2 &amp; "/nail/sn_d0373893d43ee0689dd775adf479755b/rendering/13.obj", "1.58122074604")</f>
        <v>1.58122074604</v>
      </c>
      <c r="Q1903" s="39" t="str">
        <f>HYPERLINK(AA2 &amp; "/nail/sn_d0373893d43ee0689dd775adf479755b/rendering/14.obj", "1.2586991787")</f>
        <v>1.2586991787</v>
      </c>
      <c r="R1903" s="17" t="str">
        <f>HYPERLINK(AA2 &amp; "/nail/sn_d0373893d43ee0689dd775adf479755b/rendering/15.obj", "1.34803271294")</f>
        <v>1.34803271294</v>
      </c>
      <c r="S1903" s="6" t="str">
        <f>HYPERLINK(AA2 &amp; "/nail/sn_d0373893d43ee0689dd775adf479755b/rendering/16.obj", "1.43892002106")</f>
        <v>1.43892002106</v>
      </c>
      <c r="T1903" s="93" t="str">
        <f>HYPERLINK(AA2 &amp; "/nail/sn_d0373893d43ee0689dd775adf479755b/rendering/17.obj", "1.18401634693")</f>
        <v>1.18401634693</v>
      </c>
      <c r="U1903" s="78" t="str">
        <f>HYPERLINK(AA2 &amp; "/nail/sn_d0373893d43ee0689dd775adf479755b/rendering/18.obj", "1.2927980423")</f>
        <v>1.2927980423</v>
      </c>
      <c r="V1903" s="25" t="str">
        <f>HYPERLINK(AA2 &amp; "/nail/sn_d0373893d43ee0689dd775adf479755b/rendering/19.obj", "1.39298391342")</f>
        <v>1.39298391342</v>
      </c>
      <c r="W1903" s="12" t="s">
        <v>30</v>
      </c>
      <c r="X1903" s="13">
        <v>1.377377533912659</v>
      </c>
      <c r="Y1903" s="13">
        <v>0.11500110506966341</v>
      </c>
      <c r="Z1903" s="107">
        <v>8.3492798625068712E-2</v>
      </c>
    </row>
    <row r="1904" spans="1:26" x14ac:dyDescent="0.2">
      <c r="A1904" s="1">
        <v>1902</v>
      </c>
      <c r="B1904" s="2" t="s">
        <v>413</v>
      </c>
      <c r="C1904" s="41" t="str">
        <f>HYPERLINK(AB2 &amp; "/nail/sn_d0373893d43ee0689dd775adf479755b/rendering/00.obj", "4.50691833496")</f>
        <v>4.50691833496</v>
      </c>
      <c r="D1904" s="78" t="str">
        <f>HYPERLINK(AB2 &amp; "/nail/sn_d0373893d43ee0689dd775adf479755b/rendering/01.obj", "4.48765533447")</f>
        <v>4.48765533447</v>
      </c>
      <c r="E1904" s="35" t="str">
        <f>HYPERLINK(AB2 &amp; "/nail/sn_d0373893d43ee0689dd775adf479755b/rendering/02.obj", "4.47015441895")</f>
        <v>4.47015441895</v>
      </c>
      <c r="F1904" s="78" t="str">
        <f>HYPERLINK(AB2 &amp; "/nail/sn_d0373893d43ee0689dd775adf479755b/rendering/03.obj", "4.48877685547")</f>
        <v>4.48877685547</v>
      </c>
      <c r="G1904" s="10" t="str">
        <f>HYPERLINK(AB2 &amp; "/nail/sn_d0373893d43ee0689dd775adf479755b/rendering/04.obj", "3.99839263916")</f>
        <v>3.99839263916</v>
      </c>
      <c r="H1904" s="28" t="str">
        <f>HYPERLINK(AB2 &amp; "/nail/sn_d0373893d43ee0689dd775adf479755b/rendering/05.obj", "3.7549621582")</f>
        <v>3.7549621582</v>
      </c>
      <c r="I1904" s="28" t="str">
        <f>HYPERLINK(AB2 &amp; "/nail/sn_d0373893d43ee0689dd775adf479755b/rendering/06.obj", "4.69018737793")</f>
        <v>4.69018737793</v>
      </c>
      <c r="J1904" s="110" t="str">
        <f>HYPERLINK(AB2 &amp; "/nail/sn_d0373893d43ee0689dd775adf479755b/rendering/07.obj", "4.63779205322")</f>
        <v>4.63779205322</v>
      </c>
      <c r="K1904" s="110" t="str">
        <f>HYPERLINK(AB2 &amp; "/nail/sn_d0373893d43ee0689dd775adf479755b/rendering/08.obj", "3.80348754883")</f>
        <v>3.80348754883</v>
      </c>
      <c r="L1904" s="78" t="str">
        <f>HYPERLINK(AB2 &amp; "/nail/sn_d0373893d43ee0689dd775adf479755b/rendering/09.obj", "4.47913024902")</f>
        <v>4.47913024902</v>
      </c>
      <c r="M1904" s="67" t="str">
        <f>HYPERLINK(AB2 &amp; "/nail/sn_d0373893d43ee0689dd775adf479755b/rendering/10.obj", "4.62110839844")</f>
        <v>4.62110839844</v>
      </c>
      <c r="N1904" s="70" t="str">
        <f>HYPERLINK(AB2 &amp; "/nail/sn_d0373893d43ee0689dd775adf479755b/rendering/11.obj", "3.69196533203")</f>
        <v>3.69196533203</v>
      </c>
      <c r="O1904" s="17" t="str">
        <f>HYPERLINK(AB2 &amp; "/nail/sn_d0373893d43ee0689dd775adf479755b/rendering/12.obj", "4.13277404785")</f>
        <v>4.13277404785</v>
      </c>
      <c r="P1904" s="65" t="str">
        <f>HYPERLINK(AB2 &amp; "/nail/sn_d0373893d43ee0689dd775adf479755b/rendering/13.obj", "3.65895721436")</f>
        <v>3.65895721436</v>
      </c>
      <c r="Q1904" s="77" t="str">
        <f>HYPERLINK(AB2 &amp; "/nail/sn_d0373893d43ee0689dd775adf479755b/rendering/14.obj", "3.43641052246")</f>
        <v>3.43641052246</v>
      </c>
      <c r="R1904" s="67" t="str">
        <f>HYPERLINK(AB2 &amp; "/nail/sn_d0373893d43ee0689dd775adf479755b/rendering/15.obj", "4.61755249023")</f>
        <v>4.61755249023</v>
      </c>
      <c r="S1904" s="70" t="str">
        <f>HYPERLINK(AB2 &amp; "/nail/sn_d0373893d43ee0689dd775adf479755b/rendering/16.obj", "4.76093200684")</f>
        <v>4.76093200684</v>
      </c>
      <c r="T1904" s="32" t="str">
        <f>HYPERLINK(AB2 &amp; "/nail/sn_d0373893d43ee0689dd775adf479755b/rendering/17.obj", "3.78206298828")</f>
        <v>3.78206298828</v>
      </c>
      <c r="U1904" s="17" t="str">
        <f>HYPERLINK(AB2 &amp; "/nail/sn_d0373893d43ee0689dd775adf479755b/rendering/18.obj", "4.31274139404")</f>
        <v>4.31274139404</v>
      </c>
      <c r="V1904" s="25" t="str">
        <f>HYPERLINK(AB2 &amp; "/nail/sn_d0373893d43ee0689dd775adf479755b/rendering/19.obj", "4.17393676758")</f>
        <v>4.17393676758</v>
      </c>
      <c r="W1904" s="12" t="s">
        <v>31</v>
      </c>
      <c r="X1904" s="13">
        <v>4.2252949066162122</v>
      </c>
      <c r="Y1904" s="13">
        <v>0.40119271852146338</v>
      </c>
      <c r="Z1904" s="90">
        <v>9.4950228892485708E-2</v>
      </c>
    </row>
    <row r="1905" spans="1:26" x14ac:dyDescent="0.2">
      <c r="A1905" s="1">
        <v>1903</v>
      </c>
      <c r="B1905" s="2" t="s">
        <v>413</v>
      </c>
      <c r="C1905" s="74" t="str">
        <f>HYPERLINK(AB2 &amp; "/nail/sn_d0373893d43ee0689dd775adf479755b/rendering/00.obj", "1.45454549789")</f>
        <v>1.45454549789</v>
      </c>
      <c r="D1905" s="65" t="str">
        <f>HYPERLINK(AB2 &amp; "/nail/sn_d0373893d43ee0689dd775adf479755b/rendering/01.obj", "1.67119979858")</f>
        <v>1.67119979858</v>
      </c>
      <c r="E1905" s="17" t="str">
        <f>HYPERLINK(AB2 &amp; "/nail/sn_d0373893d43ee0689dd775adf479755b/rendering/02.obj", "1.5048532486")</f>
        <v>1.5048532486</v>
      </c>
      <c r="F1905" s="74" t="str">
        <f>HYPERLINK(AB2 &amp; "/nail/sn_d0373893d43ee0689dd775adf479755b/rendering/03.obj", "1.45100462437")</f>
        <v>1.45100462437</v>
      </c>
      <c r="G1905" s="27" t="str">
        <f>HYPERLINK(AB2 &amp; "/nail/sn_d0373893d43ee0689dd775adf479755b/rendering/04.obj", "1.36824607849")</f>
        <v>1.36824607849</v>
      </c>
      <c r="H1905" s="78" t="str">
        <f>HYPERLINK(AB2 &amp; "/nail/sn_d0373893d43ee0689dd775adf479755b/rendering/05.obj", "1.38384079933")</f>
        <v>1.38384079933</v>
      </c>
      <c r="I1905" s="67" t="str">
        <f>HYPERLINK(AB2 &amp; "/nail/sn_d0373893d43ee0689dd775adf479755b/rendering/06.obj", "1.60963821411")</f>
        <v>1.60963821411</v>
      </c>
      <c r="J1905" s="51" t="str">
        <f>HYPERLINK(AB2 &amp; "/nail/sn_d0373893d43ee0689dd775adf479755b/rendering/07.obj", "1.59115433693")</f>
        <v>1.59115433693</v>
      </c>
      <c r="K1905" s="92" t="str">
        <f>HYPERLINK(AB2 &amp; "/nail/sn_d0373893d43ee0689dd775adf479755b/rendering/08.obj", "1.29212427139")</f>
        <v>1.29212427139</v>
      </c>
      <c r="L1905" s="133" t="str">
        <f>HYPERLINK(AB2 &amp; "/nail/sn_d0373893d43ee0689dd775adf479755b/rendering/09.obj", "1.62576842308")</f>
        <v>1.62576842308</v>
      </c>
      <c r="M1905" s="41" t="str">
        <f>HYPERLINK(AB2 &amp; "/nail/sn_d0373893d43ee0689dd775adf479755b/rendering/10.obj", "1.57548010349")</f>
        <v>1.57548010349</v>
      </c>
      <c r="N1905" s="28" t="str">
        <f>HYPERLINK(AB2 &amp; "/nail/sn_d0373893d43ee0689dd775adf479755b/rendering/11.obj", "1.31198167801")</f>
        <v>1.31198167801</v>
      </c>
      <c r="O1905" s="29" t="str">
        <f>HYPERLINK(AB2 &amp; "/nail/sn_d0373893d43ee0689dd775adf479755b/rendering/12.obj", "1.2818351984")</f>
        <v>1.2818351984</v>
      </c>
      <c r="P1905" s="39" t="str">
        <f>HYPERLINK(AB2 &amp; "/nail/sn_d0373893d43ee0689dd775adf479755b/rendering/13.obj", "1.34658646584")</f>
        <v>1.34658646584</v>
      </c>
      <c r="Q1905" s="65" t="str">
        <f>HYPERLINK(AB2 &amp; "/nail/sn_d0373893d43ee0689dd775adf479755b/rendering/14.obj", "1.27722716331")</f>
        <v>1.27722716331</v>
      </c>
      <c r="R1905" s="79" t="str">
        <f>HYPERLINK(AB2 &amp; "/nail/sn_d0373893d43ee0689dd775adf479755b/rendering/15.obj", "1.70509433746")</f>
        <v>1.70509433746</v>
      </c>
      <c r="S1905" s="59" t="str">
        <f>HYPERLINK(AB2 &amp; "/nail/sn_d0373893d43ee0689dd775adf479755b/rendering/16.obj", "1.82817661762")</f>
        <v>1.82817661762</v>
      </c>
      <c r="T1905" s="38" t="str">
        <f>HYPERLINK(AB2 &amp; "/nail/sn_d0373893d43ee0689dd775adf479755b/rendering/17.obj", "1.3423781395")</f>
        <v>1.3423781395</v>
      </c>
      <c r="U1905" s="72" t="str">
        <f>HYPERLINK(AB2 &amp; "/nail/sn_d0373893d43ee0689dd775adf479755b/rendering/18.obj", "1.42562282085")</f>
        <v>1.42562282085</v>
      </c>
      <c r="V1905" s="69" t="str">
        <f>HYPERLINK(AB2 &amp; "/nail/sn_d0373893d43ee0689dd775adf479755b/rendering/19.obj", "1.43013906479")</f>
        <v>1.43013906479</v>
      </c>
      <c r="W1905" s="12" t="s">
        <v>32</v>
      </c>
      <c r="X1905" s="13">
        <v>1.47384484410286</v>
      </c>
      <c r="Y1905" s="13">
        <v>0.15445997419875809</v>
      </c>
      <c r="Z1905" s="32">
        <v>0.1048007019305883</v>
      </c>
    </row>
    <row r="1906" spans="1:26" x14ac:dyDescent="0.2">
      <c r="A1906" s="1">
        <v>1904</v>
      </c>
      <c r="B1906" s="2" t="s">
        <v>413</v>
      </c>
      <c r="C1906" s="13" t="str">
        <f>HYPERLINK(AC2 &amp; "/nail/sn_d0373893d43ee0689dd775adf479755b/rendering/00.xyz", "0.0")</f>
        <v>0.0</v>
      </c>
      <c r="D1906" s="13" t="str">
        <f>HYPERLINK(AC2 &amp; "/nail/sn_d0373893d43ee0689dd775adf479755b/rendering/01.xyz", "0.0")</f>
        <v>0.0</v>
      </c>
      <c r="E1906" s="13" t="str">
        <f>HYPERLINK(AC2 &amp; "/nail/sn_d0373893d43ee0689dd775adf479755b/rendering/02.xyz", "0.0")</f>
        <v>0.0</v>
      </c>
      <c r="F1906" s="13" t="str">
        <f>HYPERLINK(AC2 &amp; "/nail/sn_d0373893d43ee0689dd775adf479755b/rendering/03.xyz", "0.0")</f>
        <v>0.0</v>
      </c>
      <c r="G1906" s="13" t="str">
        <f>HYPERLINK(AC2 &amp; "/nail/sn_d0373893d43ee0689dd775adf479755b/rendering/04.xyz", "0.0")</f>
        <v>0.0</v>
      </c>
      <c r="H1906" s="13" t="str">
        <f>HYPERLINK(AC2 &amp; "/nail/sn_d0373893d43ee0689dd775adf479755b/rendering/05.xyz", "0.0")</f>
        <v>0.0</v>
      </c>
      <c r="I1906" s="13" t="str">
        <f>HYPERLINK(AC2 &amp; "/nail/sn_d0373893d43ee0689dd775adf479755b/rendering/06.xyz", "0.0")</f>
        <v>0.0</v>
      </c>
      <c r="J1906" s="13" t="str">
        <f>HYPERLINK(AC2 &amp; "/nail/sn_d0373893d43ee0689dd775adf479755b/rendering/07.xyz", "0.0")</f>
        <v>0.0</v>
      </c>
      <c r="K1906" s="13" t="str">
        <f>HYPERLINK(AC2 &amp; "/nail/sn_d0373893d43ee0689dd775adf479755b/rendering/08.xyz", "0.0")</f>
        <v>0.0</v>
      </c>
      <c r="L1906" s="13" t="str">
        <f>HYPERLINK(AC2 &amp; "/nail/sn_d0373893d43ee0689dd775adf479755b/rendering/09.xyz", "0.0")</f>
        <v>0.0</v>
      </c>
      <c r="M1906" s="13" t="str">
        <f>HYPERLINK(AC2 &amp; "/nail/sn_d0373893d43ee0689dd775adf479755b/rendering/10.xyz", "0.0")</f>
        <v>0.0</v>
      </c>
      <c r="N1906" s="13" t="str">
        <f>HYPERLINK(AC2 &amp; "/nail/sn_d0373893d43ee0689dd775adf479755b/rendering/11.xyz", "0.0")</f>
        <v>0.0</v>
      </c>
      <c r="O1906" s="13" t="str">
        <f>HYPERLINK(AC2 &amp; "/nail/sn_d0373893d43ee0689dd775adf479755b/rendering/12.xyz", "0.0")</f>
        <v>0.0</v>
      </c>
      <c r="P1906" s="13" t="str">
        <f>HYPERLINK(AC2 &amp; "/nail/sn_d0373893d43ee0689dd775adf479755b/rendering/13.xyz", "0.0")</f>
        <v>0.0</v>
      </c>
      <c r="Q1906" s="13" t="str">
        <f>HYPERLINK(AC2 &amp; "/nail/sn_d0373893d43ee0689dd775adf479755b/rendering/14.xyz", "0.0")</f>
        <v>0.0</v>
      </c>
      <c r="R1906" s="13" t="str">
        <f>HYPERLINK(AC2 &amp; "/nail/sn_d0373893d43ee0689dd775adf479755b/rendering/15.xyz", "0.0")</f>
        <v>0.0</v>
      </c>
      <c r="S1906" s="13" t="str">
        <f>HYPERLINK(AC2 &amp; "/nail/sn_d0373893d43ee0689dd775adf479755b/rendering/16.xyz", "0.0")</f>
        <v>0.0</v>
      </c>
      <c r="T1906" s="13" t="str">
        <f>HYPERLINK(AC2 &amp; "/nail/sn_d0373893d43ee0689dd775adf479755b/rendering/17.xyz", "0.0")</f>
        <v>0.0</v>
      </c>
      <c r="U1906" s="13" t="str">
        <f>HYPERLINK(AC2 &amp; "/nail/sn_d0373893d43ee0689dd775adf479755b/rendering/18.xyz", "0.0")</f>
        <v>0.0</v>
      </c>
      <c r="V1906" s="13" t="str">
        <f>HYPERLINK(AC2 &amp; "/nail/sn_d0373893d43ee0689dd775adf479755b/rendering/19.xyz", "0.0")</f>
        <v>0.0</v>
      </c>
      <c r="W1906" s="12" t="s">
        <v>33</v>
      </c>
      <c r="X1906" s="13">
        <v>0</v>
      </c>
      <c r="Y1906" s="13">
        <v>0</v>
      </c>
      <c r="Z1906" s="13">
        <v>0</v>
      </c>
    </row>
    <row r="1907" spans="1:26" x14ac:dyDescent="0.2">
      <c r="A1907" s="1">
        <v>1905</v>
      </c>
      <c r="B1907" s="2" t="s">
        <v>414</v>
      </c>
      <c r="C1907" s="174" t="str">
        <f>HYPERLINK(AA2 &amp; "/nail/sn_d224f3427c2a4bc79133e432dd7411d/rendering/00.obj", "7.39029663086")</f>
        <v>7.39029663086</v>
      </c>
      <c r="D1907" s="20" t="str">
        <f>HYPERLINK(AA2 &amp; "/nail/sn_d224f3427c2a4bc79133e432dd7411d/rendering/01.obj", "31.3607739258")</f>
        <v>31.3607739258</v>
      </c>
      <c r="E1907" s="28" t="str">
        <f>HYPERLINK(AA2 &amp; "/nail/sn_d224f3427c2a4bc79133e432dd7411d/rendering/02.obj", "13.8089331055")</f>
        <v>13.8089331055</v>
      </c>
      <c r="F1907" s="20" t="str">
        <f>HYPERLINK(AA2 &amp; "/nail/sn_d224f3427c2a4bc79133e432dd7411d/rendering/03.obj", "38.4310595703")</f>
        <v>38.4310595703</v>
      </c>
      <c r="G1907" s="87" t="str">
        <f>HYPERLINK(AA2 &amp; "/nail/sn_d224f3427c2a4bc79133e432dd7411d/rendering/04.obj", "12.0113269043")</f>
        <v>12.0113269043</v>
      </c>
      <c r="H1907" s="136" t="str">
        <f>HYPERLINK(AA2 &amp; "/nail/sn_d224f3427c2a4bc79133e432dd7411d/rendering/05.obj", "11.8852575684")</f>
        <v>11.8852575684</v>
      </c>
      <c r="I1907" s="192" t="str">
        <f>HYPERLINK(AA2 &amp; "/nail/sn_d224f3427c2a4bc79133e432dd7411d/rendering/06.obj", "9.77112426758")</f>
        <v>9.77112426758</v>
      </c>
      <c r="J1907" s="158" t="str">
        <f>HYPERLINK(AA2 &amp; "/nail/sn_d224f3427c2a4bc79133e432dd7411d/rendering/07.obj", "9.20013793945")</f>
        <v>9.20013793945</v>
      </c>
      <c r="K1907" s="89" t="str">
        <f>HYPERLINK(AA2 &amp; "/nail/sn_d224f3427c2a4bc79133e432dd7411d/rendering/08.obj", "11.5340722656")</f>
        <v>11.5340722656</v>
      </c>
      <c r="L1907" s="17" t="str">
        <f>HYPERLINK(AA2 &amp; "/nail/sn_d224f3427c2a4bc79133e432dd7411d/rendering/09.obj", "15.861003418")</f>
        <v>15.861003418</v>
      </c>
      <c r="M1907" s="105" t="str">
        <f>HYPERLINK(AA2 &amp; "/nail/sn_d224f3427c2a4bc79133e432dd7411d/rendering/10.obj", "7.5558605957")</f>
        <v>7.5558605957</v>
      </c>
      <c r="N1907" s="198" t="str">
        <f>HYPERLINK(AA2 &amp; "/nail/sn_d224f3427c2a4bc79133e432dd7411d/rendering/11.obj", "9.53647827148")</f>
        <v>9.53647827148</v>
      </c>
      <c r="O1907" s="61" t="str">
        <f>HYPERLINK(AA2 &amp; "/nail/sn_d224f3427c2a4bc79133e432dd7411d/rendering/12.obj", "10.834888916")</f>
        <v>10.834888916</v>
      </c>
      <c r="P1907" s="162" t="str">
        <f>HYPERLINK(AA2 &amp; "/nail/sn_d224f3427c2a4bc79133e432dd7411d/rendering/13.obj", "22.1883886719")</f>
        <v>22.1883886719</v>
      </c>
      <c r="Q1907" s="139" t="str">
        <f>HYPERLINK(AA2 &amp; "/nail/sn_d224f3427c2a4bc79133e432dd7411d/rendering/14.obj", "8.07225219727")</f>
        <v>8.07225219727</v>
      </c>
      <c r="R1907" s="16" t="str">
        <f>HYPERLINK(AA2 &amp; "/nail/sn_d224f3427c2a4bc79133e432dd7411d/rendering/15.obj", "7.10713378906")</f>
        <v>7.10713378906</v>
      </c>
      <c r="S1907" s="36" t="str">
        <f>HYPERLINK(AA2 &amp; "/nail/sn_d224f3427c2a4bc79133e432dd7411d/rendering/16.obj", "12.2264782715")</f>
        <v>12.2264782715</v>
      </c>
      <c r="T1907" s="192" t="str">
        <f>HYPERLINK(AA2 &amp; "/nail/sn_d224f3427c2a4bc79133e432dd7411d/rendering/17.obj", "21.3585449219")</f>
        <v>21.3585449219</v>
      </c>
      <c r="U1907" s="20" t="str">
        <f>HYPERLINK(AA2 &amp; "/nail/sn_d224f3427c2a4bc79133e432dd7411d/rendering/18.obj", "41.5990039062")</f>
        <v>41.5990039062</v>
      </c>
      <c r="V1907" s="142" t="str">
        <f>HYPERLINK(AA2 &amp; "/nail/sn_d224f3427c2a4bc79133e432dd7411d/rendering/19.obj", "9.40985290527")</f>
        <v>9.40985290527</v>
      </c>
      <c r="W1907" s="12" t="s">
        <v>29</v>
      </c>
      <c r="X1907" s="13">
        <v>15.55714340209961</v>
      </c>
      <c r="Y1907" s="13">
        <v>10.034023361543619</v>
      </c>
      <c r="Z1907" s="252">
        <v>0.64497852222596408</v>
      </c>
    </row>
    <row r="1908" spans="1:26" x14ac:dyDescent="0.2">
      <c r="A1908" s="1">
        <v>1906</v>
      </c>
      <c r="B1908" s="2" t="s">
        <v>414</v>
      </c>
      <c r="C1908" s="20" t="str">
        <f>HYPERLINK(AA2 &amp; "/nail/sn_d224f3427c2a4bc79133e432dd7411d/rendering/00.obj", "19.0429172516")</f>
        <v>19.0429172516</v>
      </c>
      <c r="D1908" s="20" t="str">
        <f>HYPERLINK(AA2 &amp; "/nail/sn_d224f3427c2a4bc79133e432dd7411d/rendering/01.obj", "278.205047607")</f>
        <v>278.205047607</v>
      </c>
      <c r="E1908" s="142" t="str">
        <f>HYPERLINK(AA2 &amp; "/nail/sn_d224f3427c2a4bc79133e432dd7411d/rendering/02.obj", "63.6507339478")</f>
        <v>63.6507339478</v>
      </c>
      <c r="F1908" s="20" t="str">
        <f>HYPERLINK(AA2 &amp; "/nail/sn_d224f3427c2a4bc79133e432dd7411d/rendering/03.obj", "464.301269531")</f>
        <v>464.301269531</v>
      </c>
      <c r="G1908" s="257" t="str">
        <f>HYPERLINK(AA2 &amp; "/nail/sn_d224f3427c2a4bc79133e432dd7411d/rendering/04.obj", "30.1587505341")</f>
        <v>30.1587505341</v>
      </c>
      <c r="H1908" s="244" t="str">
        <f>HYPERLINK(AA2 &amp; "/nail/sn_d224f3427c2a4bc79133e432dd7411d/rendering/05.obj", "40.629283905")</f>
        <v>40.629283905</v>
      </c>
      <c r="I1908" s="20" t="str">
        <f>HYPERLINK(AA2 &amp; "/nail/sn_d224f3427c2a4bc79133e432dd7411d/rendering/06.obj", "18.0659942627")</f>
        <v>18.0659942627</v>
      </c>
      <c r="J1908" s="20" t="str">
        <f>HYPERLINK(AA2 &amp; "/nail/sn_d224f3427c2a4bc79133e432dd7411d/rendering/07.obj", "15.2512493134")</f>
        <v>15.2512493134</v>
      </c>
      <c r="K1908" s="167" t="str">
        <f>HYPERLINK(AA2 &amp; "/nail/sn_d224f3427c2a4bc79133e432dd7411d/rendering/08.obj", "41.8381996155")</f>
        <v>41.8381996155</v>
      </c>
      <c r="L1908" s="85" t="str">
        <f>HYPERLINK(AA2 &amp; "/nail/sn_d224f3427c2a4bc79133e432dd7411d/rendering/09.obj", "74.1465301514")</f>
        <v>74.1465301514</v>
      </c>
      <c r="M1908" s="20" t="str">
        <f>HYPERLINK(AA2 &amp; "/nail/sn_d224f3427c2a4bc79133e432dd7411d/rendering/10.obj", "12.2207164764")</f>
        <v>12.2207164764</v>
      </c>
      <c r="N1908" s="180" t="str">
        <f>HYPERLINK(AA2 &amp; "/nail/sn_d224f3427c2a4bc79133e432dd7411d/rendering/11.obj", "22.3066196442")</f>
        <v>22.3066196442</v>
      </c>
      <c r="O1908" s="202" t="str">
        <f>HYPERLINK(AA2 &amp; "/nail/sn_d224f3427c2a4bc79133e432dd7411d/rendering/12.obj", "38.8851966858")</f>
        <v>38.8851966858</v>
      </c>
      <c r="P1908" s="44" t="str">
        <f>HYPERLINK(AA2 &amp; "/nail/sn_d224f3427c2a4bc79133e432dd7411d/rendering/13.obj", "125.970054626")</f>
        <v>125.970054626</v>
      </c>
      <c r="Q1908" s="20" t="str">
        <f>HYPERLINK(AA2 &amp; "/nail/sn_d224f3427c2a4bc79133e432dd7411d/rendering/14.obj", "13.2358341217")</f>
        <v>13.2358341217</v>
      </c>
      <c r="R1908" s="20" t="str">
        <f>HYPERLINK(AA2 &amp; "/nail/sn_d224f3427c2a4bc79133e432dd7411d/rendering/15.obj", "20.0398426056")</f>
        <v>20.0398426056</v>
      </c>
      <c r="S1908" s="167" t="str">
        <f>HYPERLINK(AA2 &amp; "/nail/sn_d224f3427c2a4bc79133e432dd7411d/rendering/16.obj", "41.6128044128")</f>
        <v>41.6128044128</v>
      </c>
      <c r="T1908" s="11" t="str">
        <f>HYPERLINK(AA2 &amp; "/nail/sn_d224f3427c2a4bc79133e432dd7411d/rendering/17.obj", "128.754043579")</f>
        <v>128.754043579</v>
      </c>
      <c r="U1908" s="20" t="str">
        <f>HYPERLINK(AA2 &amp; "/nail/sn_d224f3427c2a4bc79133e432dd7411d/rendering/18.obj", "633.605102539")</f>
        <v>633.605102539</v>
      </c>
      <c r="V1908" s="199" t="str">
        <f>HYPERLINK(AA2 &amp; "/nail/sn_d224f3427c2a4bc79133e432dd7411d/rendering/19.obj", "22.4413032532")</f>
        <v>22.4413032532</v>
      </c>
      <c r="W1908" s="12" t="s">
        <v>30</v>
      </c>
      <c r="X1908" s="13">
        <v>105.2180747032166</v>
      </c>
      <c r="Y1908" s="13">
        <v>162.05104257336029</v>
      </c>
      <c r="Z1908" s="20">
        <v>1.5401445334411381</v>
      </c>
    </row>
    <row r="1909" spans="1:26" x14ac:dyDescent="0.2">
      <c r="A1909" s="1">
        <v>1907</v>
      </c>
      <c r="B1909" s="2" t="s">
        <v>414</v>
      </c>
      <c r="C1909" s="142" t="str">
        <f>HYPERLINK(AB2 &amp; "/nail/sn_d224f3427c2a4bc79133e432dd7411d/rendering/00.obj", "5.98944335938")</f>
        <v>5.98944335938</v>
      </c>
      <c r="D1909" s="236" t="str">
        <f>HYPERLINK(AB2 &amp; "/nail/sn_d224f3427c2a4bc79133e432dd7411d/rendering/01.obj", "17.202512207")</f>
        <v>17.202512207</v>
      </c>
      <c r="E1909" s="168" t="str">
        <f>HYPERLINK(AB2 &amp; "/nail/sn_d224f3427c2a4bc79133e432dd7411d/rendering/02.obj", "6.72124511719")</f>
        <v>6.72124511719</v>
      </c>
      <c r="F1909" s="220" t="str">
        <f>HYPERLINK(AB2 &amp; "/nail/sn_d224f3427c2a4bc79133e432dd7411d/rendering/03.obj", "16.6306311035")</f>
        <v>16.6306311035</v>
      </c>
      <c r="G1909" s="51" t="str">
        <f>HYPERLINK(AB2 &amp; "/nail/sn_d224f3427c2a4bc79133e432dd7411d/rendering/04.obj", "9.110859375")</f>
        <v>9.110859375</v>
      </c>
      <c r="H1909" s="91" t="str">
        <f>HYPERLINK(AB2 &amp; "/nail/sn_d224f3427c2a4bc79133e432dd7411d/rendering/05.obj", "10.1465979004")</f>
        <v>10.1465979004</v>
      </c>
      <c r="I1909" s="106" t="str">
        <f>HYPERLINK(AB2 &amp; "/nail/sn_d224f3427c2a4bc79133e432dd7411d/rendering/06.obj", "8.76958862305")</f>
        <v>8.76958862305</v>
      </c>
      <c r="J1909" s="107" t="str">
        <f>HYPERLINK(AB2 &amp; "/nail/sn_d224f3427c2a4bc79133e432dd7411d/rendering/07.obj", "9.05920288086")</f>
        <v>9.05920288086</v>
      </c>
      <c r="K1909" s="42" t="str">
        <f>HYPERLINK(AB2 &amp; "/nail/sn_d224f3427c2a4bc79133e432dd7411d/rendering/08.obj", "8.54808837891")</f>
        <v>8.54808837891</v>
      </c>
      <c r="L1909" s="31" t="str">
        <f>HYPERLINK(AB2 &amp; "/nail/sn_d224f3427c2a4bc79133e432dd7411d/rendering/09.obj", "8.36720092773")</f>
        <v>8.36720092773</v>
      </c>
      <c r="M1909" s="156" t="str">
        <f>HYPERLINK(AB2 &amp; "/nail/sn_d224f3427c2a4bc79133e432dd7411d/rendering/10.obj", "5.47219238281")</f>
        <v>5.47219238281</v>
      </c>
      <c r="N1909" s="35" t="str">
        <f>HYPERLINK(AB2 &amp; "/nail/sn_d224f3427c2a4bc79133e432dd7411d/rendering/11.obj", "10.4635876465")</f>
        <v>10.4635876465</v>
      </c>
      <c r="O1909" s="26" t="str">
        <f>HYPERLINK(AB2 &amp; "/nail/sn_d224f3427c2a4bc79133e432dd7411d/rendering/12.obj", "10.5222973633")</f>
        <v>10.5222973633</v>
      </c>
      <c r="P1909" s="78" t="str">
        <f>HYPERLINK(AB2 &amp; "/nail/sn_d224f3427c2a4bc79133e432dd7411d/rendering/13.obj", "10.5012255859")</f>
        <v>10.5012255859</v>
      </c>
      <c r="Q1909" s="140" t="str">
        <f>HYPERLINK(AB2 &amp; "/nail/sn_d224f3427c2a4bc79133e432dd7411d/rendering/14.obj", "6.47824829102")</f>
        <v>6.47824829102</v>
      </c>
      <c r="R1909" s="74" t="str">
        <f>HYPERLINK(AB2 &amp; "/nail/sn_d224f3427c2a4bc79133e432dd7411d/rendering/15.obj", "10.0436743164")</f>
        <v>10.0436743164</v>
      </c>
      <c r="S1909" s="93" t="str">
        <f>HYPERLINK(AB2 &amp; "/nail/sn_d224f3427c2a4bc79133e432dd7411d/rendering/16.obj", "11.2679541016")</f>
        <v>11.2679541016</v>
      </c>
      <c r="T1909" s="95" t="str">
        <f>HYPERLINK(AB2 &amp; "/nail/sn_d224f3427c2a4bc79133e432dd7411d/rendering/17.obj", "7.11903930664")</f>
        <v>7.11903930664</v>
      </c>
      <c r="U1909" s="20" t="str">
        <f>HYPERLINK(AB2 &amp; "/nail/sn_d224f3427c2a4bc79133e432dd7411d/rendering/18.obj", "18.0754370117")</f>
        <v>18.0754370117</v>
      </c>
      <c r="V1909" s="108" t="str">
        <f>HYPERLINK(AB2 &amp; "/nail/sn_d224f3427c2a4bc79133e432dd7411d/rendering/19.obj", "7.45387451172")</f>
        <v>7.45387451172</v>
      </c>
      <c r="W1909" s="12" t="s">
        <v>31</v>
      </c>
      <c r="X1909" s="13">
        <v>9.8971450195312496</v>
      </c>
      <c r="Y1909" s="13">
        <v>3.5049787389930258</v>
      </c>
      <c r="Z1909" s="121">
        <v>0.35414038412857662</v>
      </c>
    </row>
    <row r="1910" spans="1:26" x14ac:dyDescent="0.2">
      <c r="A1910" s="1">
        <v>1908</v>
      </c>
      <c r="B1910" s="2" t="s">
        <v>414</v>
      </c>
      <c r="C1910" s="20" t="str">
        <f>HYPERLINK(AB2 &amp; "/nail/sn_d224f3427c2a4bc79133e432dd7411d/rendering/00.obj", "4.34813308716")</f>
        <v>4.34813308716</v>
      </c>
      <c r="D1910" s="20" t="str">
        <f>HYPERLINK(AB2 &amp; "/nail/sn_d224f3427c2a4bc79133e432dd7411d/rendering/01.obj", "73.4633636475")</f>
        <v>73.4633636475</v>
      </c>
      <c r="E1910" s="200" t="str">
        <f>HYPERLINK(AB2 &amp; "/nail/sn_d224f3427c2a4bc79133e432dd7411d/rendering/02.obj", "13.1807746887")</f>
        <v>13.1807746887</v>
      </c>
      <c r="F1910" s="20" t="str">
        <f>HYPERLINK(AB2 &amp; "/nail/sn_d224f3427c2a4bc79133e432dd7411d/rendering/03.obj", "68.8058319092")</f>
        <v>68.8058319092</v>
      </c>
      <c r="G1910" s="117" t="str">
        <f>HYPERLINK(AB2 &amp; "/nail/sn_d224f3427c2a4bc79133e432dd7411d/rendering/04.obj", "20.749835968")</f>
        <v>20.749835968</v>
      </c>
      <c r="H1910" s="44" t="str">
        <f>HYPERLINK(AB2 &amp; "/nail/sn_d224f3427c2a4bc79133e432dd7411d/rendering/05.obj", "30.1967754364")</f>
        <v>30.1967754364</v>
      </c>
      <c r="I1910" s="20" t="str">
        <f>HYPERLINK(AB2 &amp; "/nail/sn_d224f3427c2a4bc79133e432dd7411d/rendering/06.obj", "4.29137563705")</f>
        <v>4.29137563705</v>
      </c>
      <c r="J1910" s="162" t="str">
        <f>HYPERLINK(AB2 &amp; "/nail/sn_d224f3427c2a4bc79133e432dd7411d/rendering/07.obj", "14.5257902145")</f>
        <v>14.5257902145</v>
      </c>
      <c r="K1910" s="58" t="str">
        <f>HYPERLINK(AB2 &amp; "/nail/sn_d224f3427c2a4bc79133e432dd7411d/rendering/08.obj", "19.1056251526")</f>
        <v>19.1056251526</v>
      </c>
      <c r="L1910" s="118" t="str">
        <f>HYPERLINK(AB2 &amp; "/nail/sn_d224f3427c2a4bc79133e432dd7411d/rendering/09.obj", "17.8145256042")</f>
        <v>17.8145256042</v>
      </c>
      <c r="M1910" s="20" t="str">
        <f>HYPERLINK(AB2 &amp; "/nail/sn_d224f3427c2a4bc79133e432dd7411d/rendering/10.obj", "3.80946779251")</f>
        <v>3.80946779251</v>
      </c>
      <c r="N1910" s="57" t="str">
        <f>HYPERLINK(AB2 &amp; "/nail/sn_d224f3427c2a4bc79133e432dd7411d/rendering/11.obj", "17.3050308228")</f>
        <v>17.3050308228</v>
      </c>
      <c r="O1910" s="134" t="str">
        <f>HYPERLINK(AB2 &amp; "/nail/sn_d224f3427c2a4bc79133e432dd7411d/rendering/12.obj", "20.6951122284")</f>
        <v>20.6951122284</v>
      </c>
      <c r="P1910" s="171" t="str">
        <f>HYPERLINK(AB2 &amp; "/nail/sn_d224f3427c2a4bc79133e432dd7411d/rendering/13.obj", "32.9206809998")</f>
        <v>32.9206809998</v>
      </c>
      <c r="Q1910" s="245" t="str">
        <f>HYPERLINK(AB2 &amp; "/nail/sn_d224f3427c2a4bc79133e432dd7411d/rendering/14.obj", "7.05934524536")</f>
        <v>7.05934524536</v>
      </c>
      <c r="R1910" s="46" t="str">
        <f>HYPERLINK(AB2 &amp; "/nail/sn_d224f3427c2a4bc79133e432dd7411d/rendering/15.obj", "25.7016372681")</f>
        <v>25.7016372681</v>
      </c>
      <c r="S1910" s="50" t="str">
        <f>HYPERLINK(AB2 &amp; "/nail/sn_d224f3427c2a4bc79133e432dd7411d/rendering/16.obj", "30.2526378632")</f>
        <v>30.2526378632</v>
      </c>
      <c r="T1910" s="150" t="str">
        <f>HYPERLINK(AB2 &amp; "/nail/sn_d224f3427c2a4bc79133e432dd7411d/rendering/17.obj", "11.6348171234")</f>
        <v>11.6348171234</v>
      </c>
      <c r="U1910" s="20" t="str">
        <f>HYPERLINK(AB2 &amp; "/nail/sn_d224f3427c2a4bc79133e432dd7411d/rendering/18.obj", "75.8170166016")</f>
        <v>75.8170166016</v>
      </c>
      <c r="V1910" s="147" t="str">
        <f>HYPERLINK(AB2 &amp; "/nail/sn_d224f3427c2a4bc79133e432dd7411d/rendering/19.obj", "12.9486732483")</f>
        <v>12.9486732483</v>
      </c>
      <c r="W1910" s="12" t="s">
        <v>32</v>
      </c>
      <c r="X1910" s="13">
        <v>25.231322526931759</v>
      </c>
      <c r="Y1910" s="13">
        <v>21.619985068900331</v>
      </c>
      <c r="Z1910" s="20">
        <v>0.8568708614391215</v>
      </c>
    </row>
    <row r="1911" spans="1:26" x14ac:dyDescent="0.2">
      <c r="A1911" s="1">
        <v>1909</v>
      </c>
      <c r="B1911" s="2" t="s">
        <v>414</v>
      </c>
      <c r="C1911" s="13" t="str">
        <f>HYPERLINK(AC2 &amp; "/nail/sn_d224f3427c2a4bc79133e432dd7411d/rendering/00.xyz", "0.0")</f>
        <v>0.0</v>
      </c>
      <c r="D1911" s="13" t="str">
        <f>HYPERLINK(AC2 &amp; "/nail/sn_d224f3427c2a4bc79133e432dd7411d/rendering/01.xyz", "0.0")</f>
        <v>0.0</v>
      </c>
      <c r="E1911" s="13" t="str">
        <f>HYPERLINK(AC2 &amp; "/nail/sn_d224f3427c2a4bc79133e432dd7411d/rendering/02.xyz", "0.0")</f>
        <v>0.0</v>
      </c>
      <c r="F1911" s="13" t="str">
        <f>HYPERLINK(AC2 &amp; "/nail/sn_d224f3427c2a4bc79133e432dd7411d/rendering/03.xyz", "0.0")</f>
        <v>0.0</v>
      </c>
      <c r="G1911" s="13" t="str">
        <f>HYPERLINK(AC2 &amp; "/nail/sn_d224f3427c2a4bc79133e432dd7411d/rendering/04.xyz", "0.0")</f>
        <v>0.0</v>
      </c>
      <c r="H1911" s="13" t="str">
        <f>HYPERLINK(AC2 &amp; "/nail/sn_d224f3427c2a4bc79133e432dd7411d/rendering/05.xyz", "0.0")</f>
        <v>0.0</v>
      </c>
      <c r="I1911" s="13" t="str">
        <f>HYPERLINK(AC2 &amp; "/nail/sn_d224f3427c2a4bc79133e432dd7411d/rendering/06.xyz", "0.0")</f>
        <v>0.0</v>
      </c>
      <c r="J1911" s="13" t="str">
        <f>HYPERLINK(AC2 &amp; "/nail/sn_d224f3427c2a4bc79133e432dd7411d/rendering/07.xyz", "0.0")</f>
        <v>0.0</v>
      </c>
      <c r="K1911" s="13" t="str">
        <f>HYPERLINK(AC2 &amp; "/nail/sn_d224f3427c2a4bc79133e432dd7411d/rendering/08.xyz", "0.0")</f>
        <v>0.0</v>
      </c>
      <c r="L1911" s="13" t="str">
        <f>HYPERLINK(AC2 &amp; "/nail/sn_d224f3427c2a4bc79133e432dd7411d/rendering/09.xyz", "0.0")</f>
        <v>0.0</v>
      </c>
      <c r="M1911" s="13" t="str">
        <f>HYPERLINK(AC2 &amp; "/nail/sn_d224f3427c2a4bc79133e432dd7411d/rendering/10.xyz", "0.0")</f>
        <v>0.0</v>
      </c>
      <c r="N1911" s="13" t="str">
        <f>HYPERLINK(AC2 &amp; "/nail/sn_d224f3427c2a4bc79133e432dd7411d/rendering/11.xyz", "0.0")</f>
        <v>0.0</v>
      </c>
      <c r="O1911" s="13" t="str">
        <f>HYPERLINK(AC2 &amp; "/nail/sn_d224f3427c2a4bc79133e432dd7411d/rendering/12.xyz", "0.0")</f>
        <v>0.0</v>
      </c>
      <c r="P1911" s="13" t="str">
        <f>HYPERLINK(AC2 &amp; "/nail/sn_d224f3427c2a4bc79133e432dd7411d/rendering/13.xyz", "0.0")</f>
        <v>0.0</v>
      </c>
      <c r="Q1911" s="13" t="str">
        <f>HYPERLINK(AC2 &amp; "/nail/sn_d224f3427c2a4bc79133e432dd7411d/rendering/14.xyz", "0.0")</f>
        <v>0.0</v>
      </c>
      <c r="R1911" s="13" t="str">
        <f>HYPERLINK(AC2 &amp; "/nail/sn_d224f3427c2a4bc79133e432dd7411d/rendering/15.xyz", "0.0")</f>
        <v>0.0</v>
      </c>
      <c r="S1911" s="13" t="str">
        <f>HYPERLINK(AC2 &amp; "/nail/sn_d224f3427c2a4bc79133e432dd7411d/rendering/16.xyz", "0.0")</f>
        <v>0.0</v>
      </c>
      <c r="T1911" s="13" t="str">
        <f>HYPERLINK(AC2 &amp; "/nail/sn_d224f3427c2a4bc79133e432dd7411d/rendering/17.xyz", "0.0")</f>
        <v>0.0</v>
      </c>
      <c r="U1911" s="13" t="str">
        <f>HYPERLINK(AC2 &amp; "/nail/sn_d224f3427c2a4bc79133e432dd7411d/rendering/18.xyz", "0.0")</f>
        <v>0.0</v>
      </c>
      <c r="V1911" s="13" t="str">
        <f>HYPERLINK(AC2 &amp; "/nail/sn_d224f3427c2a4bc79133e432dd7411d/rendering/19.xyz", "0.0")</f>
        <v>0.0</v>
      </c>
      <c r="W1911" s="12" t="s">
        <v>33</v>
      </c>
      <c r="X1911" s="13">
        <v>0</v>
      </c>
      <c r="Y1911" s="13">
        <v>0</v>
      </c>
      <c r="Z1911" s="13">
        <v>0</v>
      </c>
    </row>
    <row r="1912" spans="1:26" x14ac:dyDescent="0.2">
      <c r="A1912" s="1">
        <v>1910</v>
      </c>
      <c r="B1912" s="2" t="s">
        <v>415</v>
      </c>
      <c r="C1912" s="60" t="str">
        <f>HYPERLINK(AA2 &amp; "/nail/sn_d43416e2406096b5716dddf657de749c/rendering/00.obj", "3.62154846191")</f>
        <v>3.62154846191</v>
      </c>
      <c r="D1912" s="74" t="str">
        <f>HYPERLINK(AA2 &amp; "/nail/sn_d43416e2406096b5716dddf657de749c/rendering/01.obj", "3.48729187012")</f>
        <v>3.48729187012</v>
      </c>
      <c r="E1912" s="35" t="str">
        <f>HYPERLINK(AA2 &amp; "/nail/sn_d43416e2406096b5716dddf657de749c/rendering/02.obj", "3.64259735107")</f>
        <v>3.64259735107</v>
      </c>
      <c r="F1912" s="32" t="str">
        <f>HYPERLINK(AA2 &amp; "/nail/sn_d43416e2406096b5716dddf657de749c/rendering/03.obj", "3.80641601562")</f>
        <v>3.80641601562</v>
      </c>
      <c r="G1912" s="27" t="str">
        <f>HYPERLINK(AA2 &amp; "/nail/sn_d43416e2406096b5716dddf657de749c/rendering/04.obj", "3.20187927246")</f>
        <v>3.20187927246</v>
      </c>
      <c r="H1912" s="68" t="str">
        <f>HYPERLINK(AA2 &amp; "/nail/sn_d43416e2406096b5716dddf657de749c/rendering/05.obj", "3.29193206787")</f>
        <v>3.29193206787</v>
      </c>
      <c r="I1912" s="35" t="str">
        <f>HYPERLINK(AA2 &amp; "/nail/sn_d43416e2406096b5716dddf657de749c/rendering/06.obj", "3.23895263672")</f>
        <v>3.23895263672</v>
      </c>
      <c r="J1912" s="71" t="str">
        <f>HYPERLINK(AA2 &amp; "/nail/sn_d43416e2406096b5716dddf657de749c/rendering/07.obj", "3.03946777344")</f>
        <v>3.03946777344</v>
      </c>
      <c r="K1912" s="46" t="str">
        <f>HYPERLINK(AA2 &amp; "/nail/sn_d43416e2406096b5716dddf657de749c/rendering/08.obj", "3.38147949219")</f>
        <v>3.38147949219</v>
      </c>
      <c r="L1912" s="68" t="str">
        <f>HYPERLINK(AA2 &amp; "/nail/sn_d43416e2406096b5716dddf657de749c/rendering/09.obj", "3.29761138916")</f>
        <v>3.29761138916</v>
      </c>
      <c r="M1912" s="34" t="str">
        <f>HYPERLINK(AA2 &amp; "/nail/sn_d43416e2406096b5716dddf657de749c/rendering/10.obj", "3.60797851563")</f>
        <v>3.60797851563</v>
      </c>
      <c r="N1912" s="47" t="str">
        <f>HYPERLINK(AA2 &amp; "/nail/sn_d43416e2406096b5716dddf657de749c/rendering/11.obj", "3.46616027832")</f>
        <v>3.46616027832</v>
      </c>
      <c r="O1912" s="13" t="str">
        <f>HYPERLINK(AA2 &amp; "/nail/sn_d43416e2406096b5716dddf657de749c/rendering/12.obj", "3.43036437988")</f>
        <v>3.43036437988</v>
      </c>
      <c r="P1912" s="60" t="str">
        <f>HYPERLINK(AA2 &amp; "/nail/sn_d43416e2406096b5716dddf657de749c/rendering/13.obj", "3.61824951172")</f>
        <v>3.61824951172</v>
      </c>
      <c r="Q1912" s="78" t="str">
        <f>HYPERLINK(AA2 &amp; "/nail/sn_d43416e2406096b5716dddf657de749c/rendering/14.obj", "3.64589904785")</f>
        <v>3.64589904785</v>
      </c>
      <c r="R1912" s="73" t="str">
        <f>HYPERLINK(AA2 &amp; "/nail/sn_d43416e2406096b5716dddf657de749c/rendering/15.obj", "3.31348388672")</f>
        <v>3.31348388672</v>
      </c>
      <c r="S1912" s="48" t="str">
        <f>HYPERLINK(AA2 &amp; "/nail/sn_d43416e2406096b5716dddf657de749c/rendering/16.obj", "3.52038513184")</f>
        <v>3.52038513184</v>
      </c>
      <c r="T1912" s="23" t="str">
        <f>HYPERLINK(AA2 &amp; "/nail/sn_d43416e2406096b5716dddf657de749c/rendering/17.obj", "3.30875427246")</f>
        <v>3.30875427246</v>
      </c>
      <c r="U1912" s="13" t="str">
        <f>HYPERLINK(AA2 &amp; "/nail/sn_d43416e2406096b5716dddf657de749c/rendering/18.obj", "3.44586151123")</f>
        <v>3.44586151123</v>
      </c>
      <c r="V1912" s="13" t="str">
        <f>HYPERLINK(AA2 &amp; "/nail/sn_d43416e2406096b5716dddf657de749c/rendering/19.obj", "3.44157531738")</f>
        <v>3.44157531738</v>
      </c>
      <c r="W1912" s="12" t="s">
        <v>29</v>
      </c>
      <c r="X1912" s="13">
        <v>3.4403944091796879</v>
      </c>
      <c r="Y1912" s="13">
        <v>0.18118528819907401</v>
      </c>
      <c r="Z1912" s="60">
        <v>5.2664103777065208E-2</v>
      </c>
    </row>
    <row r="1913" spans="1:26" x14ac:dyDescent="0.2">
      <c r="A1913" s="1">
        <v>1911</v>
      </c>
      <c r="B1913" s="2" t="s">
        <v>415</v>
      </c>
      <c r="C1913" s="44" t="str">
        <f>HYPERLINK(AA2 &amp; "/nail/sn_d43416e2406096b5716dddf657de749c/rendering/00.obj", "1.68354594707")</f>
        <v>1.68354594707</v>
      </c>
      <c r="D1913" s="26" t="str">
        <f>HYPERLINK(AA2 &amp; "/nail/sn_d43416e2406096b5716dddf657de749c/rendering/01.obj", "1.31798684597")</f>
        <v>1.31798684597</v>
      </c>
      <c r="E1913" s="92" t="str">
        <f>HYPERLINK(AA2 &amp; "/nail/sn_d43416e2406096b5716dddf657de749c/rendering/02.obj", "1.23368501663")</f>
        <v>1.23368501663</v>
      </c>
      <c r="F1913" s="72" t="str">
        <f>HYPERLINK(AA2 &amp; "/nail/sn_d43416e2406096b5716dddf657de749c/rendering/03.obj", "1.45656967163")</f>
        <v>1.45656967163</v>
      </c>
      <c r="G1913" s="60" t="str">
        <f>HYPERLINK(AA2 &amp; "/nail/sn_d43416e2406096b5716dddf657de749c/rendering/04.obj", "1.48133122921")</f>
        <v>1.48133122921</v>
      </c>
      <c r="H1913" s="42" t="str">
        <f>HYPERLINK(AA2 &amp; "/nail/sn_d43416e2406096b5716dddf657de749c/rendering/05.obj", "1.2173140049")</f>
        <v>1.2173140049</v>
      </c>
      <c r="I1913" s="10" t="str">
        <f>HYPERLINK(AA2 &amp; "/nail/sn_d43416e2406096b5716dddf657de749c/rendering/06.obj", "1.32968688011")</f>
        <v>1.32968688011</v>
      </c>
      <c r="J1913" s="34" t="str">
        <f>HYPERLINK(AA2 &amp; "/nail/sn_d43416e2406096b5716dddf657de749c/rendering/07.obj", "1.34195017815")</f>
        <v>1.34195017815</v>
      </c>
      <c r="K1913" s="71" t="str">
        <f>HYPERLINK(AA2 &amp; "/nail/sn_d43416e2406096b5716dddf657de749c/rendering/08.obj", "1.24343407154")</f>
        <v>1.24343407154</v>
      </c>
      <c r="L1913" s="72" t="str">
        <f>HYPERLINK(AA2 &amp; "/nail/sn_d43416e2406096b5716dddf657de749c/rendering/09.obj", "1.36136293411")</f>
        <v>1.36136293411</v>
      </c>
      <c r="M1913" s="110" t="str">
        <f>HYPERLINK(AA2 &amp; "/nail/sn_d43416e2406096b5716dddf657de749c/rendering/10.obj", "1.26715445518")</f>
        <v>1.26715445518</v>
      </c>
      <c r="N1913" s="46" t="str">
        <f>HYPERLINK(AA2 &amp; "/nail/sn_d43416e2406096b5716dddf657de749c/rendering/11.obj", "1.38229370117")</f>
        <v>1.38229370117</v>
      </c>
      <c r="O1913" s="27" t="str">
        <f>HYPERLINK(AA2 &amp; "/nail/sn_d43416e2406096b5716dddf657de749c/rendering/12.obj", "1.508025527")</f>
        <v>1.508025527</v>
      </c>
      <c r="P1913" s="77" t="str">
        <f>HYPERLINK(AA2 &amp; "/nail/sn_d43416e2406096b5716dddf657de749c/rendering/13.obj", "1.67290723324")</f>
        <v>1.67290723324</v>
      </c>
      <c r="Q1913" s="30" t="str">
        <f>HYPERLINK(AA2 &amp; "/nail/sn_d43416e2406096b5716dddf657de749c/rendering/14.obj", "1.400583148")</f>
        <v>1.400583148</v>
      </c>
      <c r="R1913" s="41" t="str">
        <f>HYPERLINK(AA2 &amp; "/nail/sn_d43416e2406096b5716dddf657de749c/rendering/15.obj", "1.31326174736")</f>
        <v>1.31326174736</v>
      </c>
      <c r="S1913" s="51" t="str">
        <f>HYPERLINK(AA2 &amp; "/nail/sn_d43416e2406096b5716dddf657de749c/rendering/16.obj", "1.2947845459")</f>
        <v>1.2947845459</v>
      </c>
      <c r="T1913" s="78" t="str">
        <f>HYPERLINK(AA2 &amp; "/nail/sn_d43416e2406096b5716dddf657de749c/rendering/17.obj", "1.49634850025")</f>
        <v>1.49634850025</v>
      </c>
      <c r="U1913" s="48" t="str">
        <f>HYPERLINK(AA2 &amp; "/nail/sn_d43416e2406096b5716dddf657de749c/rendering/18.obj", "1.3737988472")</f>
        <v>1.3737988472</v>
      </c>
      <c r="V1913" s="99" t="str">
        <f>HYPERLINK(AA2 &amp; "/nail/sn_d43416e2406096b5716dddf657de749c/rendering/19.obj", "1.79119765759")</f>
        <v>1.79119765759</v>
      </c>
      <c r="W1913" s="12" t="s">
        <v>30</v>
      </c>
      <c r="X1913" s="13">
        <v>1.408361107110977</v>
      </c>
      <c r="Y1913" s="13">
        <v>0.15437034909641081</v>
      </c>
      <c r="Z1913" s="33">
        <v>0.10960992057859111</v>
      </c>
    </row>
    <row r="1914" spans="1:26" x14ac:dyDescent="0.2">
      <c r="A1914" s="1">
        <v>1912</v>
      </c>
      <c r="B1914" s="2" t="s">
        <v>415</v>
      </c>
      <c r="C1914" s="110" t="str">
        <f>HYPERLINK(AB2 &amp; "/nail/sn_d43416e2406096b5716dddf657de749c/rendering/00.obj", "4.62205383301")</f>
        <v>4.62205383301</v>
      </c>
      <c r="D1914" s="46" t="str">
        <f>HYPERLINK(AB2 &amp; "/nail/sn_d43416e2406096b5716dddf657de749c/rendering/01.obj", "4.13486541748")</f>
        <v>4.13486541748</v>
      </c>
      <c r="E1914" s="74" t="str">
        <f>HYPERLINK(AB2 &amp; "/nail/sn_d43416e2406096b5716dddf657de749c/rendering/02.obj", "4.14618164063")</f>
        <v>4.14618164063</v>
      </c>
      <c r="F1914" s="78" t="str">
        <f>HYPERLINK(AB2 &amp; "/nail/sn_d43416e2406096b5716dddf657de749c/rendering/03.obj", "4.46386474609")</f>
        <v>4.46386474609</v>
      </c>
      <c r="G1914" s="25" t="str">
        <f>HYPERLINK(AB2 &amp; "/nail/sn_d43416e2406096b5716dddf657de749c/rendering/04.obj", "4.16426849365")</f>
        <v>4.16426849365</v>
      </c>
      <c r="H1914" s="25" t="str">
        <f>HYPERLINK(AB2 &amp; "/nail/sn_d43416e2406096b5716dddf657de749c/rendering/05.obj", "4.26219848633")</f>
        <v>4.26219848633</v>
      </c>
      <c r="I1914" s="30" t="str">
        <f>HYPERLINK(AB2 &amp; "/nail/sn_d43416e2406096b5716dddf657de749c/rendering/06.obj", "4.23191070557")</f>
        <v>4.23191070557</v>
      </c>
      <c r="J1914" s="47" t="str">
        <f>HYPERLINK(AB2 &amp; "/nail/sn_d43416e2406096b5716dddf657de749c/rendering/07.obj", "4.25019104004")</f>
        <v>4.25019104004</v>
      </c>
      <c r="K1914" s="5" t="str">
        <f>HYPERLINK(AB2 &amp; "/nail/sn_d43416e2406096b5716dddf657de749c/rendering/08.obj", "3.88118377686")</f>
        <v>3.88118377686</v>
      </c>
      <c r="L1914" s="68" t="str">
        <f>HYPERLINK(AB2 &amp; "/nail/sn_d43416e2406096b5716dddf657de749c/rendering/09.obj", "4.03109008789")</f>
        <v>4.03109008789</v>
      </c>
      <c r="M1914" s="72" t="str">
        <f>HYPERLINK(AB2 &amp; "/nail/sn_d43416e2406096b5716dddf657de749c/rendering/10.obj", "4.35205505371")</f>
        <v>4.35205505371</v>
      </c>
      <c r="N1914" s="34" t="str">
        <f>HYPERLINK(AB2 &amp; "/nail/sn_d43416e2406096b5716dddf657de749c/rendering/11.obj", "4.00023193359")</f>
        <v>4.00023193359</v>
      </c>
      <c r="O1914" s="74" t="str">
        <f>HYPERLINK(AB2 &amp; "/nail/sn_d43416e2406096b5716dddf657de749c/rendering/12.obj", "4.15333465576")</f>
        <v>4.15333465576</v>
      </c>
      <c r="P1914" s="30" t="str">
        <f>HYPERLINK(AB2 &amp; "/nail/sn_d43416e2406096b5716dddf657de749c/rendering/13.obj", "4.19511535645")</f>
        <v>4.19511535645</v>
      </c>
      <c r="Q1914" s="17" t="str">
        <f>HYPERLINK(AB2 &amp; "/nail/sn_d43416e2406096b5716dddf657de749c/rendering/14.obj", "4.30152099609")</f>
        <v>4.30152099609</v>
      </c>
      <c r="R1914" s="69" t="str">
        <f>HYPERLINK(AB2 &amp; "/nail/sn_d43416e2406096b5716dddf657de749c/rendering/15.obj", "4.08233459473")</f>
        <v>4.08233459473</v>
      </c>
      <c r="S1914" s="46" t="str">
        <f>HYPERLINK(AB2 &amp; "/nail/sn_d43416e2406096b5716dddf657de749c/rendering/16.obj", "4.14175720215")</f>
        <v>4.14175720215</v>
      </c>
      <c r="T1914" s="47" t="str">
        <f>HYPERLINK(AB2 &amp; "/nail/sn_d43416e2406096b5716dddf657de749c/rendering/17.obj", "4.17904785156")</f>
        <v>4.17904785156</v>
      </c>
      <c r="U1914" s="60" t="str">
        <f>HYPERLINK(AB2 &amp; "/nail/sn_d43416e2406096b5716dddf657de749c/rendering/18.obj", "3.99263580322")</f>
        <v>3.99263580322</v>
      </c>
      <c r="V1914" s="110" t="str">
        <f>HYPERLINK(AB2 &amp; "/nail/sn_d43416e2406096b5716dddf657de749c/rendering/19.obj", "4.62994628906")</f>
        <v>4.62994628906</v>
      </c>
      <c r="W1914" s="12" t="s">
        <v>31</v>
      </c>
      <c r="X1914" s="13">
        <v>4.2107893981933593</v>
      </c>
      <c r="Y1914" s="13">
        <v>0.18874427801367041</v>
      </c>
      <c r="Z1914" s="6">
        <v>4.4823965334065678E-2</v>
      </c>
    </row>
    <row r="1915" spans="1:26" x14ac:dyDescent="0.2">
      <c r="A1915" s="1">
        <v>1913</v>
      </c>
      <c r="B1915" s="2" t="s">
        <v>415</v>
      </c>
      <c r="C1915" s="8" t="str">
        <f>HYPERLINK(AB2 &amp; "/nail/sn_d43416e2406096b5716dddf657de749c/rendering/00.obj", "1.58605659008")</f>
        <v>1.58605659008</v>
      </c>
      <c r="D1915" s="17" t="str">
        <f>HYPERLINK(AB2 &amp; "/nail/sn_d43416e2406096b5716dddf657de749c/rendering/01.obj", "1.41715943813")</f>
        <v>1.41715943813</v>
      </c>
      <c r="E1915" s="17" t="str">
        <f>HYPERLINK(AB2 &amp; "/nail/sn_d43416e2406096b5716dddf657de749c/rendering/02.obj", "1.41868507862")</f>
        <v>1.41868507862</v>
      </c>
      <c r="F1915" s="84" t="str">
        <f>HYPERLINK(AB2 &amp; "/nail/sn_d43416e2406096b5716dddf657de749c/rendering/03.obj", "1.59282970428")</f>
        <v>1.59282970428</v>
      </c>
      <c r="G1915" s="6" t="str">
        <f>HYPERLINK(AB2 &amp; "/nail/sn_d43416e2406096b5716dddf657de749c/rendering/04.obj", "1.3270111084")</f>
        <v>1.3270111084</v>
      </c>
      <c r="H1915" s="73" t="str">
        <f>HYPERLINK(AB2 &amp; "/nail/sn_d43416e2406096b5716dddf657de749c/rendering/05.obj", "1.33736729622")</f>
        <v>1.33736729622</v>
      </c>
      <c r="I1915" s="78" t="str">
        <f>HYPERLINK(AB2 &amp; "/nail/sn_d43416e2406096b5716dddf657de749c/rendering/06.obj", "1.30581986904")</f>
        <v>1.30581986904</v>
      </c>
      <c r="J1915" s="23" t="str">
        <f>HYPERLINK(AB2 &amp; "/nail/sn_d43416e2406096b5716dddf657de749c/rendering/07.obj", "1.33220171928")</f>
        <v>1.33220171928</v>
      </c>
      <c r="K1915" s="94" t="str">
        <f>HYPERLINK(AB2 &amp; "/nail/sn_d43416e2406096b5716dddf657de749c/rendering/08.obj", "1.28734397888")</f>
        <v>1.28734397888</v>
      </c>
      <c r="L1915" s="34" t="str">
        <f>HYPERLINK(AB2 &amp; "/nail/sn_d43416e2406096b5716dddf657de749c/rendering/09.obj", "1.31920409203")</f>
        <v>1.31920409203</v>
      </c>
      <c r="M1915" s="35" t="str">
        <f>HYPERLINK(AB2 &amp; "/nail/sn_d43416e2406096b5716dddf657de749c/rendering/10.obj", "1.47136199474")</f>
        <v>1.47136199474</v>
      </c>
      <c r="N1915" s="41" t="str">
        <f>HYPERLINK(AB2 &amp; "/nail/sn_d43416e2406096b5716dddf657de749c/rendering/11.obj", "1.29616725445")</f>
        <v>1.29616725445</v>
      </c>
      <c r="O1915" s="35" t="str">
        <f>HYPERLINK(AB2 &amp; "/nail/sn_d43416e2406096b5716dddf657de749c/rendering/12.obj", "1.3084526062")</f>
        <v>1.3084526062</v>
      </c>
      <c r="P1915" s="25" t="str">
        <f>HYPERLINK(AB2 &amp; "/nail/sn_d43416e2406096b5716dddf657de749c/rendering/13.obj", "1.37189638615")</f>
        <v>1.37189638615</v>
      </c>
      <c r="Q1915" s="133" t="str">
        <f>HYPERLINK(AB2 &amp; "/nail/sn_d43416e2406096b5716dddf657de749c/rendering/14.obj", "1.52911376953")</f>
        <v>1.52911376953</v>
      </c>
      <c r="R1915" s="78" t="str">
        <f>HYPERLINK(AB2 &amp; "/nail/sn_d43416e2406096b5716dddf657de749c/rendering/15.obj", "1.3016756773")</f>
        <v>1.3016756773</v>
      </c>
      <c r="S1915" s="25" t="str">
        <f>HYPERLINK(AB2 &amp; "/nail/sn_d43416e2406096b5716dddf657de749c/rendering/16.obj", "1.37317311764")</f>
        <v>1.37317311764</v>
      </c>
      <c r="T1915" s="47" t="str">
        <f>HYPERLINK(AB2 &amp; "/nail/sn_d43416e2406096b5716dddf657de749c/rendering/17.obj", "1.39735722542")</f>
        <v>1.39735722542</v>
      </c>
      <c r="U1915" s="78" t="str">
        <f>HYPERLINK(AB2 &amp; "/nail/sn_d43416e2406096b5716dddf657de749c/rendering/18.obj", "1.30183839798")</f>
        <v>1.30183839798</v>
      </c>
      <c r="V1915" s="5" t="str">
        <f>HYPERLINK(AB2 &amp; "/nail/sn_d43416e2406096b5716dddf657de749c/rendering/19.obj", "1.49747884274")</f>
        <v>1.49747884274</v>
      </c>
      <c r="W1915" s="12" t="s">
        <v>32</v>
      </c>
      <c r="X1915" s="13">
        <v>1.388609707355499</v>
      </c>
      <c r="Y1915" s="13">
        <v>9.5664070794935024E-2</v>
      </c>
      <c r="Z1915" s="41">
        <v>6.8891978997554268E-2</v>
      </c>
    </row>
    <row r="1916" spans="1:26" x14ac:dyDescent="0.2">
      <c r="A1916" s="1">
        <v>1914</v>
      </c>
      <c r="B1916" s="2" t="s">
        <v>415</v>
      </c>
      <c r="C1916" s="13" t="str">
        <f>HYPERLINK(AC2 &amp; "/nail/sn_d43416e2406096b5716dddf657de749c/rendering/00.xyz", "0.0")</f>
        <v>0.0</v>
      </c>
      <c r="D1916" s="13" t="str">
        <f>HYPERLINK(AC2 &amp; "/nail/sn_d43416e2406096b5716dddf657de749c/rendering/01.xyz", "0.0")</f>
        <v>0.0</v>
      </c>
      <c r="E1916" s="13" t="str">
        <f>HYPERLINK(AC2 &amp; "/nail/sn_d43416e2406096b5716dddf657de749c/rendering/02.xyz", "0.0")</f>
        <v>0.0</v>
      </c>
      <c r="F1916" s="13" t="str">
        <f>HYPERLINK(AC2 &amp; "/nail/sn_d43416e2406096b5716dddf657de749c/rendering/03.xyz", "0.0")</f>
        <v>0.0</v>
      </c>
      <c r="G1916" s="13" t="str">
        <f>HYPERLINK(AC2 &amp; "/nail/sn_d43416e2406096b5716dddf657de749c/rendering/04.xyz", "0.0")</f>
        <v>0.0</v>
      </c>
      <c r="H1916" s="13" t="str">
        <f>HYPERLINK(AC2 &amp; "/nail/sn_d43416e2406096b5716dddf657de749c/rendering/05.xyz", "0.0")</f>
        <v>0.0</v>
      </c>
      <c r="I1916" s="13" t="str">
        <f>HYPERLINK(AC2 &amp; "/nail/sn_d43416e2406096b5716dddf657de749c/rendering/06.xyz", "0.0")</f>
        <v>0.0</v>
      </c>
      <c r="J1916" s="13" t="str">
        <f>HYPERLINK(AC2 &amp; "/nail/sn_d43416e2406096b5716dddf657de749c/rendering/07.xyz", "0.0")</f>
        <v>0.0</v>
      </c>
      <c r="K1916" s="13" t="str">
        <f>HYPERLINK(AC2 &amp; "/nail/sn_d43416e2406096b5716dddf657de749c/rendering/08.xyz", "0.0")</f>
        <v>0.0</v>
      </c>
      <c r="L1916" s="13" t="str">
        <f>HYPERLINK(AC2 &amp; "/nail/sn_d43416e2406096b5716dddf657de749c/rendering/09.xyz", "0.0")</f>
        <v>0.0</v>
      </c>
      <c r="M1916" s="13" t="str">
        <f>HYPERLINK(AC2 &amp; "/nail/sn_d43416e2406096b5716dddf657de749c/rendering/10.xyz", "0.0")</f>
        <v>0.0</v>
      </c>
      <c r="N1916" s="13" t="str">
        <f>HYPERLINK(AC2 &amp; "/nail/sn_d43416e2406096b5716dddf657de749c/rendering/11.xyz", "0.0")</f>
        <v>0.0</v>
      </c>
      <c r="O1916" s="13" t="str">
        <f>HYPERLINK(AC2 &amp; "/nail/sn_d43416e2406096b5716dddf657de749c/rendering/12.xyz", "0.0")</f>
        <v>0.0</v>
      </c>
      <c r="P1916" s="13" t="str">
        <f>HYPERLINK(AC2 &amp; "/nail/sn_d43416e2406096b5716dddf657de749c/rendering/13.xyz", "0.0")</f>
        <v>0.0</v>
      </c>
      <c r="Q1916" s="13" t="str">
        <f>HYPERLINK(AC2 &amp; "/nail/sn_d43416e2406096b5716dddf657de749c/rendering/14.xyz", "0.0")</f>
        <v>0.0</v>
      </c>
      <c r="R1916" s="13" t="str">
        <f>HYPERLINK(AC2 &amp; "/nail/sn_d43416e2406096b5716dddf657de749c/rendering/15.xyz", "0.0")</f>
        <v>0.0</v>
      </c>
      <c r="S1916" s="13" t="str">
        <f>HYPERLINK(AC2 &amp; "/nail/sn_d43416e2406096b5716dddf657de749c/rendering/16.xyz", "0.0")</f>
        <v>0.0</v>
      </c>
      <c r="T1916" s="13" t="str">
        <f>HYPERLINK(AC2 &amp; "/nail/sn_d43416e2406096b5716dddf657de749c/rendering/17.xyz", "0.0")</f>
        <v>0.0</v>
      </c>
      <c r="U1916" s="13" t="str">
        <f>HYPERLINK(AC2 &amp; "/nail/sn_d43416e2406096b5716dddf657de749c/rendering/18.xyz", "0.0")</f>
        <v>0.0</v>
      </c>
      <c r="V1916" s="13" t="str">
        <f>HYPERLINK(AC2 &amp; "/nail/sn_d43416e2406096b5716dddf657de749c/rendering/19.xyz", "0.0")</f>
        <v>0.0</v>
      </c>
      <c r="W1916" s="12" t="s">
        <v>33</v>
      </c>
      <c r="X1916" s="13">
        <v>0</v>
      </c>
      <c r="Y1916" s="13">
        <v>0</v>
      </c>
      <c r="Z1916" s="13">
        <v>0</v>
      </c>
    </row>
    <row r="1917" spans="1:26" x14ac:dyDescent="0.2">
      <c r="A1917" s="1">
        <v>1915</v>
      </c>
      <c r="B1917" s="2" t="s">
        <v>416</v>
      </c>
      <c r="C1917" s="25" t="str">
        <f>HYPERLINK(AA2 &amp; "/nail/sn_d44592655f34e031779c13fb99242e09/rendering/00.obj", "4.83683624268")</f>
        <v>4.83683624268</v>
      </c>
      <c r="D1917" s="48" t="str">
        <f>HYPERLINK(AA2 &amp; "/nail/sn_d44592655f34e031779c13fb99242e09/rendering/01.obj", "4.66409301758")</f>
        <v>4.66409301758</v>
      </c>
      <c r="E1917" s="10" t="str">
        <f>HYPERLINK(AA2 &amp; "/nail/sn_d44592655f34e031779c13fb99242e09/rendering/02.obj", "4.51613861084")</f>
        <v>4.51613861084</v>
      </c>
      <c r="F1917" s="26" t="str">
        <f>HYPERLINK(AA2 &amp; "/nail/sn_d44592655f34e031779c13fb99242e09/rendering/03.obj", "5.08672576904")</f>
        <v>5.08672576904</v>
      </c>
      <c r="G1917" s="47" t="str">
        <f>HYPERLINK(AA2 &amp; "/nail/sn_d44592655f34e031779c13fb99242e09/rendering/04.obj", "4.81201446533")</f>
        <v>4.81201446533</v>
      </c>
      <c r="H1917" s="74" t="str">
        <f>HYPERLINK(AA2 &amp; "/nail/sn_d44592655f34e031779c13fb99242e09/rendering/05.obj", "4.70866394043")</f>
        <v>4.70866394043</v>
      </c>
      <c r="I1917" s="17" t="str">
        <f>HYPERLINK(AA2 &amp; "/nail/sn_d44592655f34e031779c13fb99242e09/rendering/06.obj", "4.87957550049")</f>
        <v>4.87957550049</v>
      </c>
      <c r="J1917" s="48" t="str">
        <f>HYPERLINK(AA2 &amp; "/nail/sn_d44592655f34e031779c13fb99242e09/rendering/07.obj", "4.89183166504")</f>
        <v>4.89183166504</v>
      </c>
      <c r="K1917" s="67" t="str">
        <f>HYPERLINK(AA2 &amp; "/nail/sn_d44592655f34e031779c13fb99242e09/rendering/08.obj", "5.22583618164")</f>
        <v>5.22583618164</v>
      </c>
      <c r="L1917" s="84" t="str">
        <f>HYPERLINK(AA2 &amp; "/nail/sn_d44592655f34e031779c13fb99242e09/rendering/09.obj", "5.47455444336")</f>
        <v>5.47455444336</v>
      </c>
      <c r="M1917" s="91" t="str">
        <f>HYPERLINK(AA2 &amp; "/nail/sn_d44592655f34e031779c13fb99242e09/rendering/10.obj", "4.90255828857")</f>
        <v>4.90255828857</v>
      </c>
      <c r="N1917" s="26" t="str">
        <f>HYPERLINK(AA2 &amp; "/nail/sn_d44592655f34e031779c13fb99242e09/rendering/11.obj", "4.47657653809")</f>
        <v>4.47657653809</v>
      </c>
      <c r="O1917" s="51" t="str">
        <f>HYPERLINK(AA2 &amp; "/nail/sn_d44592655f34e031779c13fb99242e09/rendering/12.obj", "4.39274719238")</f>
        <v>4.39274719238</v>
      </c>
      <c r="P1917" s="13" t="str">
        <f>HYPERLINK(AA2 &amp; "/nail/sn_d44592655f34e031779c13fb99242e09/rendering/13.obj", "4.78366668701")</f>
        <v>4.78366668701</v>
      </c>
      <c r="Q1917" s="32" t="str">
        <f>HYPERLINK(AA2 &amp; "/nail/sn_d44592655f34e031779c13fb99242e09/rendering/14.obj", "4.27035858154")</f>
        <v>4.27035858154</v>
      </c>
      <c r="R1917" s="29" t="str">
        <f>HYPERLINK(AA2 &amp; "/nail/sn_d44592655f34e031779c13fb99242e09/rendering/15.obj", "4.15868652344")</f>
        <v>4.15868652344</v>
      </c>
      <c r="S1917" s="41" t="str">
        <f>HYPERLINK(AA2 &amp; "/nail/sn_d44592655f34e031779c13fb99242e09/rendering/16.obj", "4.45024200439")</f>
        <v>4.45024200439</v>
      </c>
      <c r="T1917" s="74" t="str">
        <f>HYPERLINK(AA2 &amp; "/nail/sn_d44592655f34e031779c13fb99242e09/rendering/17.obj", "4.70622833252")</f>
        <v>4.70622833252</v>
      </c>
      <c r="U1917" s="42" t="str">
        <f>HYPERLINK(AA2 &amp; "/nail/sn_d44592655f34e031779c13fb99242e09/rendering/18.obj", "5.42499572754")</f>
        <v>5.42499572754</v>
      </c>
      <c r="V1917" s="72" t="str">
        <f>HYPERLINK(AA2 &amp; "/nail/sn_d44592655f34e031779c13fb99242e09/rendering/19.obj", "4.93813842773")</f>
        <v>4.93813842773</v>
      </c>
      <c r="W1917" s="12" t="s">
        <v>29</v>
      </c>
      <c r="X1917" s="13">
        <v>4.780023406982421</v>
      </c>
      <c r="Y1917" s="13">
        <v>0.34264548828080271</v>
      </c>
      <c r="Z1917" s="27">
        <v>7.1682805523563584E-2</v>
      </c>
    </row>
    <row r="1918" spans="1:26" x14ac:dyDescent="0.2">
      <c r="A1918" s="1">
        <v>1916</v>
      </c>
      <c r="B1918" s="2" t="s">
        <v>416</v>
      </c>
      <c r="C1918" s="19" t="str">
        <f>HYPERLINK(AA2 &amp; "/nail/sn_d44592655f34e031779c13fb99242e09/rendering/00.obj", "1.01291644573")</f>
        <v>1.01291644573</v>
      </c>
      <c r="D1918" s="88" t="str">
        <f>HYPERLINK(AA2 &amp; "/nail/sn_d44592655f34e031779c13fb99242e09/rendering/01.obj", "1.09131920338")</f>
        <v>1.09131920338</v>
      </c>
      <c r="E1918" s="129" t="str">
        <f>HYPERLINK(AA2 &amp; "/nail/sn_d44592655f34e031779c13fb99242e09/rendering/02.obj", "1.02899694443")</f>
        <v>1.02899694443</v>
      </c>
      <c r="F1918" s="74" t="str">
        <f>HYPERLINK(AA2 &amp; "/nail/sn_d44592655f34e031779c13fb99242e09/rendering/03.obj", "1.38995933533")</f>
        <v>1.38995933533</v>
      </c>
      <c r="G1918" s="91" t="str">
        <f>HYPERLINK(AA2 &amp; "/nail/sn_d44592655f34e031779c13fb99242e09/rendering/04.obj", "1.33384239674")</f>
        <v>1.33384239674</v>
      </c>
      <c r="H1918" s="25" t="str">
        <f>HYPERLINK(AA2 &amp; "/nail/sn_d44592655f34e031779c13fb99242e09/rendering/05.obj", "1.38379228115")</f>
        <v>1.38379228115</v>
      </c>
      <c r="I1918" s="84" t="str">
        <f>HYPERLINK(AA2 &amp; "/nail/sn_d44592655f34e031779c13fb99242e09/rendering/06.obj", "1.56932508945")</f>
        <v>1.56932508945</v>
      </c>
      <c r="J1918" s="74" t="str">
        <f>HYPERLINK(AA2 &amp; "/nail/sn_d44592655f34e031779c13fb99242e09/rendering/07.obj", "1.35023725033")</f>
        <v>1.35023725033</v>
      </c>
      <c r="K1918" s="59" t="str">
        <f>HYPERLINK(AA2 &amp; "/nail/sn_d44592655f34e031779c13fb99242e09/rendering/08.obj", "1.69943094254")</f>
        <v>1.69943094254</v>
      </c>
      <c r="L1918" s="46" t="str">
        <f>HYPERLINK(AA2 &amp; "/nail/sn_d44592655f34e031779c13fb99242e09/rendering/09.obj", "1.39289724827")</f>
        <v>1.39289724827</v>
      </c>
      <c r="M1918" s="9" t="str">
        <f>HYPERLINK(AA2 &amp; "/nail/sn_d44592655f34e031779c13fb99242e09/rendering/10.obj", "2.27150940895")</f>
        <v>2.27150940895</v>
      </c>
      <c r="N1918" s="103" t="str">
        <f>HYPERLINK(AA2 &amp; "/nail/sn_d44592655f34e031779c13fb99242e09/rendering/11.obj", "1.81719863415")</f>
        <v>1.81719863415</v>
      </c>
      <c r="O1918" s="83" t="str">
        <f>HYPERLINK(AA2 &amp; "/nail/sn_d44592655f34e031779c13fb99242e09/rendering/12.obj", "1.16350197792")</f>
        <v>1.16350197792</v>
      </c>
      <c r="P1918" s="79" t="str">
        <f>HYPERLINK(AA2 &amp; "/nail/sn_d44592655f34e031779c13fb99242e09/rendering/13.obj", "1.58901619911")</f>
        <v>1.58901619911</v>
      </c>
      <c r="Q1918" s="68" t="str">
        <f>HYPERLINK(AA2 &amp; "/nail/sn_d44592655f34e031779c13fb99242e09/rendering/14.obj", "1.31180739403")</f>
        <v>1.31180739403</v>
      </c>
      <c r="R1918" s="118" t="str">
        <f>HYPERLINK(AA2 &amp; "/nail/sn_d44592655f34e031779c13fb99242e09/rendering/15.obj", "0.968179345131")</f>
        <v>0.968179345131</v>
      </c>
      <c r="S1918" s="87" t="str">
        <f>HYPERLINK(AA2 &amp; "/nail/sn_d44592655f34e031779c13fb99242e09/rendering/16.obj", "1.05973815918")</f>
        <v>1.05973815918</v>
      </c>
      <c r="T1918" s="23" t="str">
        <f>HYPERLINK(AA2 &amp; "/nail/sn_d44592655f34e031779c13fb99242e09/rendering/17.obj", "1.42238068581")</f>
        <v>1.42238068581</v>
      </c>
      <c r="U1918" s="41" t="str">
        <f>HYPERLINK(AA2 &amp; "/nail/sn_d44592655f34e031779c13fb99242e09/rendering/18.obj", "1.46308803558")</f>
        <v>1.46308803558</v>
      </c>
      <c r="V1918" s="82" t="str">
        <f>HYPERLINK(AA2 &amp; "/nail/sn_d44592655f34e031779c13fb99242e09/rendering/19.obj", "1.08973586559")</f>
        <v>1.08973586559</v>
      </c>
      <c r="W1918" s="12" t="s">
        <v>30</v>
      </c>
      <c r="X1918" s="13">
        <v>1.370443642139435</v>
      </c>
      <c r="Y1918" s="13">
        <v>0.31039474491933422</v>
      </c>
      <c r="Z1918" s="87">
        <v>0.2264921631033065</v>
      </c>
    </row>
    <row r="1919" spans="1:26" x14ac:dyDescent="0.2">
      <c r="A1919" s="1">
        <v>1917</v>
      </c>
      <c r="B1919" s="2" t="s">
        <v>416</v>
      </c>
      <c r="C1919" s="48" t="str">
        <f>HYPERLINK(AB2 &amp; "/nail/sn_d44592655f34e031779c13fb99242e09/rendering/00.obj", "6.11480102539")</f>
        <v>6.11480102539</v>
      </c>
      <c r="D1919" s="74" t="str">
        <f>HYPERLINK(AB2 &amp; "/nail/sn_d44592655f34e031779c13fb99242e09/rendering/01.obj", "6.35677490234")</f>
        <v>6.35677490234</v>
      </c>
      <c r="E1919" s="72" t="str">
        <f>HYPERLINK(AB2 &amp; "/nail/sn_d44592655f34e031779c13fb99242e09/rendering/02.obj", "6.47138671875")</f>
        <v>6.47138671875</v>
      </c>
      <c r="F1919" s="48" t="str">
        <f>HYPERLINK(AB2 &amp; "/nail/sn_d44592655f34e031779c13fb99242e09/rendering/03.obj", "6.40316101074")</f>
        <v>6.40316101074</v>
      </c>
      <c r="G1919" s="10" t="str">
        <f>HYPERLINK(AB2 &amp; "/nail/sn_d44592655f34e031779c13fb99242e09/rendering/04.obj", "6.61711181641")</f>
        <v>6.61711181641</v>
      </c>
      <c r="H1919" s="30" t="str">
        <f>HYPERLINK(AB2 &amp; "/nail/sn_d44592655f34e031779c13fb99242e09/rendering/05.obj", "6.28771179199")</f>
        <v>6.28771179199</v>
      </c>
      <c r="I1919" s="25" t="str">
        <f>HYPERLINK(AB2 &amp; "/nail/sn_d44592655f34e031779c13fb99242e09/rendering/06.obj", "6.19541381836")</f>
        <v>6.19541381836</v>
      </c>
      <c r="J1919" s="68" t="str">
        <f>HYPERLINK(AB2 &amp; "/nail/sn_d44592655f34e031779c13fb99242e09/rendering/07.obj", "6.51958618164")</f>
        <v>6.51958618164</v>
      </c>
      <c r="K1919" s="17" t="str">
        <f>HYPERLINK(AB2 &amp; "/nail/sn_d44592655f34e031779c13fb99242e09/rendering/08.obj", "6.14352661133")</f>
        <v>6.14352661133</v>
      </c>
      <c r="L1919" s="34" t="str">
        <f>HYPERLINK(AB2 &amp; "/nail/sn_d44592655f34e031779c13fb99242e09/rendering/09.obj", "5.95811035156")</f>
        <v>5.95811035156</v>
      </c>
      <c r="M1919" s="30" t="str">
        <f>HYPERLINK(AB2 &amp; "/nail/sn_d44592655f34e031779c13fb99242e09/rendering/10.obj", "6.29959350586")</f>
        <v>6.29959350586</v>
      </c>
      <c r="N1919" s="73" t="str">
        <f>HYPERLINK(AB2 &amp; "/nail/sn_d44592655f34e031779c13fb99242e09/rendering/11.obj", "6.04227905273")</f>
        <v>6.04227905273</v>
      </c>
      <c r="O1919" s="23" t="str">
        <f>HYPERLINK(AB2 &amp; "/nail/sn_d44592655f34e031779c13fb99242e09/rendering/12.obj", "6.02063659668")</f>
        <v>6.02063659668</v>
      </c>
      <c r="P1919" s="41" t="str">
        <f>HYPERLINK(AB2 &amp; "/nail/sn_d44592655f34e031779c13fb99242e09/rendering/13.obj", "5.84557006836")</f>
        <v>5.84557006836</v>
      </c>
      <c r="Q1919" s="74" t="str">
        <f>HYPERLINK(AB2 &amp; "/nail/sn_d44592655f34e031779c13fb99242e09/rendering/14.obj", "6.35725952148")</f>
        <v>6.35725952148</v>
      </c>
      <c r="R1919" s="23" t="str">
        <f>HYPERLINK(AB2 &amp; "/nail/sn_d44592655f34e031779c13fb99242e09/rendering/15.obj", "6.51716186523")</f>
        <v>6.51716186523</v>
      </c>
      <c r="S1919" s="73" t="str">
        <f>HYPERLINK(AB2 &amp; "/nail/sn_d44592655f34e031779c13fb99242e09/rendering/16.obj", "6.48123291016")</f>
        <v>6.48123291016</v>
      </c>
      <c r="T1919" s="68" t="str">
        <f>HYPERLINK(AB2 &amp; "/nail/sn_d44592655f34e031779c13fb99242e09/rendering/17.obj", "5.99532958984")</f>
        <v>5.99532958984</v>
      </c>
      <c r="U1919" s="91" t="str">
        <f>HYPERLINK(AB2 &amp; "/nail/sn_d44592655f34e031779c13fb99242e09/rendering/18.obj", "6.09944458008")</f>
        <v>6.09944458008</v>
      </c>
      <c r="V1919" s="6" t="str">
        <f>HYPERLINK(AB2 &amp; "/nail/sn_d44592655f34e031779c13fb99242e09/rendering/19.obj", "6.5557824707")</f>
        <v>6.5557824707</v>
      </c>
      <c r="W1919" s="12" t="s">
        <v>31</v>
      </c>
      <c r="X1919" s="13">
        <v>6.264093719482422</v>
      </c>
      <c r="Y1919" s="13">
        <v>0.2220042093107438</v>
      </c>
      <c r="Z1919" s="73">
        <v>3.5440754760784003E-2</v>
      </c>
    </row>
    <row r="1920" spans="1:26" x14ac:dyDescent="0.2">
      <c r="A1920" s="1">
        <v>1918</v>
      </c>
      <c r="B1920" s="2" t="s">
        <v>416</v>
      </c>
      <c r="C1920" s="23" t="str">
        <f>HYPERLINK(AB2 &amp; "/nail/sn_d44592655f34e031779c13fb99242e09/rendering/00.obj", "1.41654396057")</f>
        <v>1.41654396057</v>
      </c>
      <c r="D1920" s="76" t="str">
        <f>HYPERLINK(AB2 &amp; "/nail/sn_d44592655f34e031779c13fb99242e09/rendering/01.obj", "1.11162340641")</f>
        <v>1.11162340641</v>
      </c>
      <c r="E1920" s="58" t="str">
        <f>HYPERLINK(AB2 &amp; "/nail/sn_d44592655f34e031779c13fb99242e09/rendering/02.obj", "1.69283378124")</f>
        <v>1.69283378124</v>
      </c>
      <c r="F1920" s="170" t="str">
        <f>HYPERLINK(AB2 &amp; "/nail/sn_d44592655f34e031779c13fb99242e09/rendering/03.obj", "1.70451307297")</f>
        <v>1.70451307297</v>
      </c>
      <c r="G1920" s="83" t="str">
        <f>HYPERLINK(AB2 &amp; "/nail/sn_d44592655f34e031779c13fb99242e09/rendering/04.obj", "1.56711375713")</f>
        <v>1.56711375713</v>
      </c>
      <c r="H1920" s="17" t="str">
        <f>HYPERLINK(AB2 &amp; "/nail/sn_d44592655f34e031779c13fb99242e09/rendering/05.obj", "1.33415353298")</f>
        <v>1.33415353298</v>
      </c>
      <c r="I1920" s="34" t="str">
        <f>HYPERLINK(AB2 &amp; "/nail/sn_d44592655f34e031779c13fb99242e09/rendering/06.obj", "1.42602026463")</f>
        <v>1.42602026463</v>
      </c>
      <c r="J1920" s="7" t="str">
        <f>HYPERLINK(AB2 &amp; "/nail/sn_d44592655f34e031779c13fb99242e09/rendering/07.obj", "1.73859500885")</f>
        <v>1.73859500885</v>
      </c>
      <c r="K1920" s="74" t="str">
        <f>HYPERLINK(AB2 &amp; "/nail/sn_d44592655f34e031779c13fb99242e09/rendering/08.obj", "1.34114229679")</f>
        <v>1.34114229679</v>
      </c>
      <c r="L1920" s="88" t="str">
        <f>HYPERLINK(AB2 &amp; "/nail/sn_d44592655f34e031779c13fb99242e09/rendering/09.obj", "1.08539605141")</f>
        <v>1.08539605141</v>
      </c>
      <c r="M1920" s="70" t="str">
        <f>HYPERLINK(AB2 &amp; "/nail/sn_d44592655f34e031779c13fb99242e09/rendering/10.obj", "1.18835520744")</f>
        <v>1.18835520744</v>
      </c>
      <c r="N1920" s="46" t="str">
        <f>HYPERLINK(AB2 &amp; "/nail/sn_d44592655f34e031779c13fb99242e09/rendering/11.obj", "1.33852791786")</f>
        <v>1.33852791786</v>
      </c>
      <c r="O1920" s="80" t="str">
        <f>HYPERLINK(AB2 &amp; "/nail/sn_d44592655f34e031779c13fb99242e09/rendering/12.obj", "1.15820896626")</f>
        <v>1.15820896626</v>
      </c>
      <c r="P1920" s="55" t="str">
        <f>HYPERLINK(AB2 &amp; "/nail/sn_d44592655f34e031779c13fb99242e09/rendering/13.obj", "1.09986698627")</f>
        <v>1.09986698627</v>
      </c>
      <c r="Q1920" s="76" t="str">
        <f>HYPERLINK(AB2 &amp; "/nail/sn_d44592655f34e031779c13fb99242e09/rendering/14.obj", "1.112672925")</f>
        <v>1.112672925</v>
      </c>
      <c r="R1920" s="107" t="str">
        <f>HYPERLINK(AB2 &amp; "/nail/sn_d44592655f34e031779c13fb99242e09/rendering/15.obj", "1.24731230736")</f>
        <v>1.24731230736</v>
      </c>
      <c r="S1920" s="110" t="str">
        <f>HYPERLINK(AB2 &amp; "/nail/sn_d44592655f34e031779c13fb99242e09/rendering/16.obj", "1.49828183651")</f>
        <v>1.49828183651</v>
      </c>
      <c r="T1920" s="78" t="str">
        <f>HYPERLINK(AB2 &amp; "/nail/sn_d44592655f34e031779c13fb99242e09/rendering/17.obj", "1.28045153618")</f>
        <v>1.28045153618</v>
      </c>
      <c r="U1920" s="23" t="str">
        <f>HYPERLINK(AB2 &amp; "/nail/sn_d44592655f34e031779c13fb99242e09/rendering/18.obj", "1.30816435814")</f>
        <v>1.30816435814</v>
      </c>
      <c r="V1920" s="64" t="str">
        <f>HYPERLINK(AB2 &amp; "/nail/sn_d44592655f34e031779c13fb99242e09/rendering/19.obj", "1.58446669579")</f>
        <v>1.58446669579</v>
      </c>
      <c r="W1920" s="12" t="s">
        <v>32</v>
      </c>
      <c r="X1920" s="13">
        <v>1.361712193489075</v>
      </c>
      <c r="Y1920" s="13">
        <v>0.2064001082712951</v>
      </c>
      <c r="Z1920" s="83">
        <v>0.15157395906284879</v>
      </c>
    </row>
    <row r="1921" spans="1:26" x14ac:dyDescent="0.2">
      <c r="A1921" s="1">
        <v>1919</v>
      </c>
      <c r="B1921" s="2" t="s">
        <v>416</v>
      </c>
      <c r="C1921" s="13" t="str">
        <f>HYPERLINK(AC2 &amp; "/nail/sn_d44592655f34e031779c13fb99242e09/rendering/00.xyz", "0.0")</f>
        <v>0.0</v>
      </c>
      <c r="D1921" s="13" t="str">
        <f>HYPERLINK(AC2 &amp; "/nail/sn_d44592655f34e031779c13fb99242e09/rendering/01.xyz", "0.0")</f>
        <v>0.0</v>
      </c>
      <c r="E1921" s="13" t="str">
        <f>HYPERLINK(AC2 &amp; "/nail/sn_d44592655f34e031779c13fb99242e09/rendering/02.xyz", "0.0")</f>
        <v>0.0</v>
      </c>
      <c r="F1921" s="13" t="str">
        <f>HYPERLINK(AC2 &amp; "/nail/sn_d44592655f34e031779c13fb99242e09/rendering/03.xyz", "0.0")</f>
        <v>0.0</v>
      </c>
      <c r="G1921" s="13" t="str">
        <f>HYPERLINK(AC2 &amp; "/nail/sn_d44592655f34e031779c13fb99242e09/rendering/04.xyz", "0.0")</f>
        <v>0.0</v>
      </c>
      <c r="H1921" s="13" t="str">
        <f>HYPERLINK(AC2 &amp; "/nail/sn_d44592655f34e031779c13fb99242e09/rendering/05.xyz", "0.0")</f>
        <v>0.0</v>
      </c>
      <c r="I1921" s="13" t="str">
        <f>HYPERLINK(AC2 &amp; "/nail/sn_d44592655f34e031779c13fb99242e09/rendering/06.xyz", "0.0")</f>
        <v>0.0</v>
      </c>
      <c r="J1921" s="13" t="str">
        <f>HYPERLINK(AC2 &amp; "/nail/sn_d44592655f34e031779c13fb99242e09/rendering/07.xyz", "0.0")</f>
        <v>0.0</v>
      </c>
      <c r="K1921" s="13" t="str">
        <f>HYPERLINK(AC2 &amp; "/nail/sn_d44592655f34e031779c13fb99242e09/rendering/08.xyz", "0.0")</f>
        <v>0.0</v>
      </c>
      <c r="L1921" s="13" t="str">
        <f>HYPERLINK(AC2 &amp; "/nail/sn_d44592655f34e031779c13fb99242e09/rendering/09.xyz", "0.0")</f>
        <v>0.0</v>
      </c>
      <c r="M1921" s="13" t="str">
        <f>HYPERLINK(AC2 &amp; "/nail/sn_d44592655f34e031779c13fb99242e09/rendering/10.xyz", "0.0")</f>
        <v>0.0</v>
      </c>
      <c r="N1921" s="13" t="str">
        <f>HYPERLINK(AC2 &amp; "/nail/sn_d44592655f34e031779c13fb99242e09/rendering/11.xyz", "0.0")</f>
        <v>0.0</v>
      </c>
      <c r="O1921" s="13" t="str">
        <f>HYPERLINK(AC2 &amp; "/nail/sn_d44592655f34e031779c13fb99242e09/rendering/12.xyz", "0.0")</f>
        <v>0.0</v>
      </c>
      <c r="P1921" s="13" t="str">
        <f>HYPERLINK(AC2 &amp; "/nail/sn_d44592655f34e031779c13fb99242e09/rendering/13.xyz", "0.0")</f>
        <v>0.0</v>
      </c>
      <c r="Q1921" s="13" t="str">
        <f>HYPERLINK(AC2 &amp; "/nail/sn_d44592655f34e031779c13fb99242e09/rendering/14.xyz", "0.0")</f>
        <v>0.0</v>
      </c>
      <c r="R1921" s="13" t="str">
        <f>HYPERLINK(AC2 &amp; "/nail/sn_d44592655f34e031779c13fb99242e09/rendering/15.xyz", "0.0")</f>
        <v>0.0</v>
      </c>
      <c r="S1921" s="13" t="str">
        <f>HYPERLINK(AC2 &amp; "/nail/sn_d44592655f34e031779c13fb99242e09/rendering/16.xyz", "0.0")</f>
        <v>0.0</v>
      </c>
      <c r="T1921" s="13" t="str">
        <f>HYPERLINK(AC2 &amp; "/nail/sn_d44592655f34e031779c13fb99242e09/rendering/17.xyz", "0.0")</f>
        <v>0.0</v>
      </c>
      <c r="U1921" s="13" t="str">
        <f>HYPERLINK(AC2 &amp; "/nail/sn_d44592655f34e031779c13fb99242e09/rendering/18.xyz", "0.0")</f>
        <v>0.0</v>
      </c>
      <c r="V1921" s="13" t="str">
        <f>HYPERLINK(AC2 &amp; "/nail/sn_d44592655f34e031779c13fb99242e09/rendering/19.xyz", "0.0")</f>
        <v>0.0</v>
      </c>
      <c r="W1921" s="12" t="s">
        <v>33</v>
      </c>
      <c r="X1921" s="13">
        <v>0</v>
      </c>
      <c r="Y1921" s="13">
        <v>0</v>
      </c>
      <c r="Z1921" s="13">
        <v>0</v>
      </c>
    </row>
    <row r="1922" spans="1:26" x14ac:dyDescent="0.2">
      <c r="A1922" s="1">
        <v>1920</v>
      </c>
      <c r="B1922" s="2" t="s">
        <v>417</v>
      </c>
      <c r="C1922" s="89" t="str">
        <f>HYPERLINK(AA2 &amp; "/nail/sn_de642d3804b80c0d8994705288c0baa4/rendering/00.obj", "5.19759643555")</f>
        <v>5.19759643555</v>
      </c>
      <c r="D1922" s="106" t="str">
        <f>HYPERLINK(AA2 &amp; "/nail/sn_de642d3804b80c0d8994705288c0baa4/rendering/01.obj", "6.19834594727")</f>
        <v>6.19834594727</v>
      </c>
      <c r="E1922" s="26" t="str">
        <f>HYPERLINK(AA2 &amp; "/nail/sn_de642d3804b80c0d8994705288c0baa4/rendering/02.obj", "7.46044921875")</f>
        <v>7.46044921875</v>
      </c>
      <c r="F1922" s="67" t="str">
        <f>HYPERLINK(AA2 &amp; "/nail/sn_de642d3804b80c0d8994705288c0baa4/rendering/03.obj", "6.35754272461")</f>
        <v>6.35754272461</v>
      </c>
      <c r="G1922" s="72" t="str">
        <f>HYPERLINK(AA2 &amp; "/nail/sn_de642d3804b80c0d8994705288c0baa4/rendering/04.obj", "7.23926391602")</f>
        <v>7.23926391602</v>
      </c>
      <c r="H1922" s="65" t="str">
        <f>HYPERLINK(AA2 &amp; "/nail/sn_de642d3804b80c0d8994705288c0baa4/rendering/05.obj", "6.0782800293")</f>
        <v>6.0782800293</v>
      </c>
      <c r="I1922" s="6" t="str">
        <f>HYPERLINK(AA2 &amp; "/nail/sn_de642d3804b80c0d8994705288c0baa4/rendering/06.obj", "7.3212890625")</f>
        <v>7.3212890625</v>
      </c>
      <c r="J1922" s="168" t="str">
        <f>HYPERLINK(AA2 &amp; "/nail/sn_de642d3804b80c0d8994705288c0baa4/rendering/07.obj", "9.26022766113")</f>
        <v>9.26022766113</v>
      </c>
      <c r="K1922" s="120" t="str">
        <f>HYPERLINK(AA2 &amp; "/nail/sn_de642d3804b80c0d8994705288c0baa4/rendering/08.obj", "8.47993347168")</f>
        <v>8.47993347168</v>
      </c>
      <c r="L1922" s="32" t="str">
        <f>HYPERLINK(AA2 &amp; "/nail/sn_de642d3804b80c0d8994705288c0baa4/rendering/09.obj", "6.25684936523")</f>
        <v>6.25684936523</v>
      </c>
      <c r="M1922" s="60" t="str">
        <f>HYPERLINK(AA2 &amp; "/nail/sn_de642d3804b80c0d8994705288c0baa4/rendering/10.obj", "7.36278076172")</f>
        <v>7.36278076172</v>
      </c>
      <c r="N1922" s="17" t="str">
        <f>HYPERLINK(AA2 &amp; "/nail/sn_de642d3804b80c0d8994705288c0baa4/rendering/11.obj", "6.84831848145")</f>
        <v>6.84831848145</v>
      </c>
      <c r="O1922" s="162" t="str">
        <f>HYPERLINK(AA2 &amp; "/nail/sn_de642d3804b80c0d8994705288c0baa4/rendering/12.obj", "9.98583984375")</f>
        <v>9.98583984375</v>
      </c>
      <c r="P1922" s="89" t="str">
        <f>HYPERLINK(AA2 &amp; "/nail/sn_de642d3804b80c0d8994705288c0baa4/rendering/13.obj", "5.19141479492")</f>
        <v>5.19141479492</v>
      </c>
      <c r="Q1922" s="38" t="str">
        <f>HYPERLINK(AA2 &amp; "/nail/sn_de642d3804b80c0d8994705288c0baa4/rendering/14.obj", "6.36584655762")</f>
        <v>6.36584655762</v>
      </c>
      <c r="R1922" s="27" t="str">
        <f>HYPERLINK(AA2 &amp; "/nail/sn_de642d3804b80c0d8994705288c0baa4/rendering/15.obj", "6.50649169922")</f>
        <v>6.50649169922</v>
      </c>
      <c r="S1922" s="67" t="str">
        <f>HYPERLINK(AA2 &amp; "/nail/sn_de642d3804b80c0d8994705288c0baa4/rendering/16.obj", "7.64100646973")</f>
        <v>7.64100646973</v>
      </c>
      <c r="T1922" s="171" t="str">
        <f>HYPERLINK(AA2 &amp; "/nail/sn_de642d3804b80c0d8994705288c0baa4/rendering/17.obj", "9.14022033691")</f>
        <v>9.14022033691</v>
      </c>
      <c r="U1922" s="55" t="str">
        <f>HYPERLINK(AA2 &amp; "/nail/sn_de642d3804b80c0d8994705288c0baa4/rendering/18.obj", "5.64844909668")</f>
        <v>5.64844909668</v>
      </c>
      <c r="V1922" s="36" t="str">
        <f>HYPERLINK(AA2 &amp; "/nail/sn_de642d3804b80c0d8994705288c0baa4/rendering/19.obj", "5.49834960938")</f>
        <v>5.49834960938</v>
      </c>
      <c r="W1922" s="12" t="s">
        <v>29</v>
      </c>
      <c r="X1922" s="13">
        <v>7.0019247741699218</v>
      </c>
      <c r="Y1922" s="13">
        <v>1.3311040440018931</v>
      </c>
      <c r="Z1922" s="109">
        <v>0.19010544770665511</v>
      </c>
    </row>
    <row r="1923" spans="1:26" x14ac:dyDescent="0.2">
      <c r="A1923" s="1">
        <v>1921</v>
      </c>
      <c r="B1923" s="2" t="s">
        <v>417</v>
      </c>
      <c r="C1923" s="104" t="str">
        <f>HYPERLINK(AA2 &amp; "/nail/sn_de642d3804b80c0d8994705288c0baa4/rendering/00.obj", "3.67362618446")</f>
        <v>3.67362618446</v>
      </c>
      <c r="D1923" s="136" t="str">
        <f>HYPERLINK(AA2 &amp; "/nail/sn_de642d3804b80c0d8994705288c0baa4/rendering/01.obj", "5.33792829514")</f>
        <v>5.33792829514</v>
      </c>
      <c r="E1923" s="50" t="str">
        <f>HYPERLINK(AA2 &amp; "/nail/sn_de642d3804b80c0d8994705288c0baa4/rendering/02.obj", "8.41292190552")</f>
        <v>8.41292190552</v>
      </c>
      <c r="F1923" s="70" t="str">
        <f>HYPERLINK(AA2 &amp; "/nail/sn_de642d3804b80c0d8994705288c0baa4/rendering/03.obj", "6.1106801033")</f>
        <v>6.1106801033</v>
      </c>
      <c r="G1923" s="55" t="str">
        <f>HYPERLINK(AA2 &amp; "/nail/sn_de642d3804b80c0d8994705288c0baa4/rendering/04.obj", "8.36697483063")</f>
        <v>8.36697483063</v>
      </c>
      <c r="H1923" s="153" t="str">
        <f>HYPERLINK(AA2 &amp; "/nail/sn_de642d3804b80c0d8994705288c0baa4/rendering/05.obj", "4.50272226334")</f>
        <v>4.50272226334</v>
      </c>
      <c r="I1923" s="65" t="str">
        <f>HYPERLINK(AA2 &amp; "/nail/sn_de642d3804b80c0d8994705288c0baa4/rendering/06.obj", "6.08152151108")</f>
        <v>6.08152151108</v>
      </c>
      <c r="J1923" s="26" t="str">
        <f>HYPERLINK(AA2 &amp; "/nail/sn_de642d3804b80c0d8994705288c0baa4/rendering/07.obj", "6.55647563934")</f>
        <v>6.55647563934</v>
      </c>
      <c r="K1923" s="80" t="str">
        <f>HYPERLINK(AA2 &amp; "/nail/sn_de642d3804b80c0d8994705288c0baa4/rendering/08.obj", "8.04855537415")</f>
        <v>8.04855537415</v>
      </c>
      <c r="L1923" s="39" t="str">
        <f>HYPERLINK(AA2 &amp; "/nail/sn_de642d3804b80c0d8994705288c0baa4/rendering/09.obj", "6.39479112625")</f>
        <v>6.39479112625</v>
      </c>
      <c r="M1923" s="74" t="str">
        <f>HYPERLINK(AA2 &amp; "/nail/sn_de642d3804b80c0d8994705288c0baa4/rendering/10.obj", "7.10647439957")</f>
        <v>7.10647439957</v>
      </c>
      <c r="N1923" s="171" t="str">
        <f>HYPERLINK(AA2 &amp; "/nail/sn_de642d3804b80c0d8994705288c0baa4/rendering/11.obj", "9.14967346191")</f>
        <v>9.14967346191</v>
      </c>
      <c r="O1923" s="237" t="str">
        <f>HYPERLINK(AA2 &amp; "/nail/sn_de642d3804b80c0d8994705288c0baa4/rendering/12.obj", "11.7137212753")</f>
        <v>11.7137212753</v>
      </c>
      <c r="P1923" s="170" t="str">
        <f>HYPERLINK(AA2 &amp; "/nail/sn_de642d3804b80c0d8994705288c0baa4/rendering/13.obj", "5.2288107872")</f>
        <v>5.2288107872</v>
      </c>
      <c r="Q1923" s="76" t="str">
        <f>HYPERLINK(AA2 &amp; "/nail/sn_de642d3804b80c0d8994705288c0baa4/rendering/14.obj", "5.71997117996")</f>
        <v>5.71997117996</v>
      </c>
      <c r="R1923" s="11" t="str">
        <f>HYPERLINK(AA2 &amp; "/nail/sn_de642d3804b80c0d8994705288c0baa4/rendering/15.obj", "5.42912960052")</f>
        <v>5.42912960052</v>
      </c>
      <c r="S1923" s="48" t="str">
        <f>HYPERLINK(AA2 &amp; "/nail/sn_de642d3804b80c0d8994705288c0baa4/rendering/16.obj", "6.83607292175")</f>
        <v>6.83607292175</v>
      </c>
      <c r="T1923" s="20" t="str">
        <f>HYPERLINK(AA2 &amp; "/nail/sn_de642d3804b80c0d8994705288c0baa4/rendering/17.obj", "16.0380630493")</f>
        <v>16.0380630493</v>
      </c>
      <c r="U1923" s="40" t="str">
        <f>HYPERLINK(AA2 &amp; "/nail/sn_de642d3804b80c0d8994705288c0baa4/rendering/18.obj", "5.81936502457")</f>
        <v>5.81936502457</v>
      </c>
      <c r="V1923" s="139" t="str">
        <f>HYPERLINK(AA2 &amp; "/nail/sn_de642d3804b80c0d8994705288c0baa4/rendering/19.obj", "3.64035058022")</f>
        <v>3.64035058022</v>
      </c>
      <c r="W1923" s="12" t="s">
        <v>30</v>
      </c>
      <c r="X1923" s="13">
        <v>7.0083914756774899</v>
      </c>
      <c r="Y1923" s="13">
        <v>2.7902828960940642</v>
      </c>
      <c r="Z1923" s="196">
        <v>0.39813456565285998</v>
      </c>
    </row>
    <row r="1924" spans="1:26" x14ac:dyDescent="0.2">
      <c r="A1924" s="1">
        <v>1922</v>
      </c>
      <c r="B1924" s="2" t="s">
        <v>417</v>
      </c>
      <c r="C1924" s="110" t="str">
        <f>HYPERLINK(AB2 &amp; "/nail/sn_de642d3804b80c0d8994705288c0baa4/rendering/00.obj", "4.86084411621")</f>
        <v>4.86084411621</v>
      </c>
      <c r="D1924" s="68" t="str">
        <f>HYPERLINK(AB2 &amp; "/nail/sn_de642d3804b80c0d8994705288c0baa4/rendering/01.obj", "5.62952514648")</f>
        <v>5.62952514648</v>
      </c>
      <c r="E1924" s="35" t="str">
        <f>HYPERLINK(AB2 &amp; "/nail/sn_de642d3804b80c0d8994705288c0baa4/rendering/02.obj", "5.71556152344")</f>
        <v>5.71556152344</v>
      </c>
      <c r="F1924" s="135" t="str">
        <f>HYPERLINK(AB2 &amp; "/nail/sn_de642d3804b80c0d8994705288c0baa4/rendering/03.obj", "6.78353271484")</f>
        <v>6.78353271484</v>
      </c>
      <c r="G1924" s="60" t="str">
        <f>HYPERLINK(AB2 &amp; "/nail/sn_de642d3804b80c0d8994705288c0baa4/rendering/04.obj", "5.68326477051")</f>
        <v>5.68326477051</v>
      </c>
      <c r="H1924" s="72" t="str">
        <f>HYPERLINK(AB2 &amp; "/nail/sn_de642d3804b80c0d8994705288c0baa4/rendering/05.obj", "5.22372070313")</f>
        <v>5.22372070313</v>
      </c>
      <c r="I1924" s="6" t="str">
        <f>HYPERLINK(AB2 &amp; "/nail/sn_de642d3804b80c0d8994705288c0baa4/rendering/06.obj", "5.64419067383")</f>
        <v>5.64419067383</v>
      </c>
      <c r="J1924" s="39" t="str">
        <f>HYPERLINK(AB2 &amp; "/nail/sn_de642d3804b80c0d8994705288c0baa4/rendering/07.obj", "5.86186889648")</f>
        <v>5.86186889648</v>
      </c>
      <c r="K1924" s="41" t="str">
        <f>HYPERLINK(AB2 &amp; "/nail/sn_de642d3804b80c0d8994705288c0baa4/rendering/08.obj", "5.76601318359")</f>
        <v>5.76601318359</v>
      </c>
      <c r="L1924" s="46" t="str">
        <f>HYPERLINK(AB2 &amp; "/nail/sn_de642d3804b80c0d8994705288c0baa4/rendering/09.obj", "5.49249938965")</f>
        <v>5.49249938965</v>
      </c>
      <c r="M1924" s="30" t="str">
        <f>HYPERLINK(AB2 &amp; "/nail/sn_de642d3804b80c0d8994705288c0baa4/rendering/10.obj", "5.42407348633")</f>
        <v>5.42407348633</v>
      </c>
      <c r="N1924" s="23" t="str">
        <f>HYPERLINK(AB2 &amp; "/nail/sn_de642d3804b80c0d8994705288c0baa4/rendering/11.obj", "5.1870501709")</f>
        <v>5.1870501709</v>
      </c>
      <c r="O1924" s="83" t="str">
        <f>HYPERLINK(AB2 &amp; "/nail/sn_de642d3804b80c0d8994705288c0baa4/rendering/12.obj", "6.22317749023")</f>
        <v>6.22317749023</v>
      </c>
      <c r="P1924" s="48" t="str">
        <f>HYPERLINK(AB2 &amp; "/nail/sn_de642d3804b80c0d8994705288c0baa4/rendering/13.obj", "5.27643310547")</f>
        <v>5.27643310547</v>
      </c>
      <c r="Q1924" s="110" t="str">
        <f>HYPERLINK(AB2 &amp; "/nail/sn_de642d3804b80c0d8994705288c0baa4/rendering/14.obj", "4.87274475098")</f>
        <v>4.87274475098</v>
      </c>
      <c r="R1924" s="134" t="str">
        <f>HYPERLINK(AB2 &amp; "/nail/sn_de642d3804b80c0d8994705288c0baa4/rendering/15.obj", "4.43461242676")</f>
        <v>4.43461242676</v>
      </c>
      <c r="S1924" s="93" t="str">
        <f>HYPERLINK(AB2 &amp; "/nail/sn_de642d3804b80c0d8994705288c0baa4/rendering/16.obj", "6.16042724609")</f>
        <v>6.16042724609</v>
      </c>
      <c r="T1924" s="32" t="str">
        <f>HYPERLINK(AB2 &amp; "/nail/sn_de642d3804b80c0d8994705288c0baa4/rendering/17.obj", "4.83559326172")</f>
        <v>4.83559326172</v>
      </c>
      <c r="U1924" s="106" t="str">
        <f>HYPERLINK(AB2 &amp; "/nail/sn_de642d3804b80c0d8994705288c0baa4/rendering/18.obj", "4.77970336914")</f>
        <v>4.77970336914</v>
      </c>
      <c r="V1924" s="98" t="str">
        <f>HYPERLINK(AB2 &amp; "/nail/sn_de642d3804b80c0d8994705288c0baa4/rendering/19.obj", "4.15469482422")</f>
        <v>4.15469482422</v>
      </c>
      <c r="W1924" s="12" t="s">
        <v>31</v>
      </c>
      <c r="X1924" s="13">
        <v>5.4004765625000006</v>
      </c>
      <c r="Y1924" s="13">
        <v>0.61907354471305809</v>
      </c>
      <c r="Z1924" s="106">
        <v>0.1146331323816495</v>
      </c>
    </row>
    <row r="1925" spans="1:26" x14ac:dyDescent="0.2">
      <c r="A1925" s="1">
        <v>1923</v>
      </c>
      <c r="B1925" s="2" t="s">
        <v>417</v>
      </c>
      <c r="C1925" s="108" t="str">
        <f>HYPERLINK(AB2 &amp; "/nail/sn_de642d3804b80c0d8994705288c0baa4/rendering/00.obj", "6.50665283203")</f>
        <v>6.50665283203</v>
      </c>
      <c r="D1925" s="8" t="str">
        <f>HYPERLINK(AB2 &amp; "/nail/sn_de642d3804b80c0d8994705288c0baa4/rendering/01.obj", "5.97312402725")</f>
        <v>5.97312402725</v>
      </c>
      <c r="E1925" s="28" t="str">
        <f>HYPERLINK(AB2 &amp; "/nail/sn_de642d3804b80c0d8994705288c0baa4/rendering/02.obj", "4.65052461624")</f>
        <v>4.65052461624</v>
      </c>
      <c r="F1925" s="192" t="str">
        <f>HYPERLINK(AB2 &amp; "/nail/sn_de642d3804b80c0d8994705288c0baa4/rendering/03.obj", "7.17576551437")</f>
        <v>7.17576551437</v>
      </c>
      <c r="G1925" s="80" t="str">
        <f>HYPERLINK(AB2 &amp; "/nail/sn_de642d3804b80c0d8994705288c0baa4/rendering/04.obj", "4.4408659935")</f>
        <v>4.4408659935</v>
      </c>
      <c r="H1925" s="48" t="str">
        <f>HYPERLINK(AB2 &amp; "/nail/sn_de642d3804b80c0d8994705288c0baa4/rendering/05.obj", "5.10726642609")</f>
        <v>5.10726642609</v>
      </c>
      <c r="I1925" s="32" t="str">
        <f>HYPERLINK(AB2 &amp; "/nail/sn_de642d3804b80c0d8994705288c0baa4/rendering/06.obj", "4.6707406044")</f>
        <v>4.6707406044</v>
      </c>
      <c r="J1925" s="90" t="str">
        <f>HYPERLINK(AB2 &amp; "/nail/sn_de642d3804b80c0d8994705288c0baa4/rendering/07.obj", "4.72583389282")</f>
        <v>4.72583389282</v>
      </c>
      <c r="K1925" s="39" t="str">
        <f>HYPERLINK(AB2 &amp; "/nail/sn_de642d3804b80c0d8994705288c0baa4/rendering/08.obj", "4.77339458466")</f>
        <v>4.77339458466</v>
      </c>
      <c r="L1925" s="187" t="str">
        <f>HYPERLINK(AB2 &amp; "/nail/sn_de642d3804b80c0d8994705288c0baa4/rendering/09.obj", "7.0570063591")</f>
        <v>7.0570063591</v>
      </c>
      <c r="M1925" s="31" t="str">
        <f>HYPERLINK(AB2 &amp; "/nail/sn_de642d3804b80c0d8994705288c0baa4/rendering/10.obj", "4.41050577164")</f>
        <v>4.41050577164</v>
      </c>
      <c r="N1925" s="84" t="str">
        <f>HYPERLINK(AB2 &amp; "/nail/sn_de642d3804b80c0d8994705288c0baa4/rendering/11.obj", "5.98443651199")</f>
        <v>5.98443651199</v>
      </c>
      <c r="O1925" s="39" t="str">
        <f>HYPERLINK(AB2 &amp; "/nail/sn_de642d3804b80c0d8994705288c0baa4/rendering/12.obj", "4.78241634369")</f>
        <v>4.78241634369</v>
      </c>
      <c r="P1925" s="136" t="str">
        <f>HYPERLINK(AB2 &amp; "/nail/sn_de642d3804b80c0d8994705288c0baa4/rendering/13.obj", "3.98955702782")</f>
        <v>3.98955702782</v>
      </c>
      <c r="Q1925" s="7" t="str">
        <f>HYPERLINK(AB2 &amp; "/nail/sn_de642d3804b80c0d8994705288c0baa4/rendering/14.obj", "3.77454900742")</f>
        <v>3.77454900742</v>
      </c>
      <c r="R1925" s="59" t="str">
        <f>HYPERLINK(AB2 &amp; "/nail/sn_de642d3804b80c0d8994705288c0baa4/rendering/15.obj", "3.97219562531")</f>
        <v>3.97219562531</v>
      </c>
      <c r="S1925" s="34" t="str">
        <f>HYPERLINK(AB2 &amp; "/nail/sn_de642d3804b80c0d8994705288c0baa4/rendering/16.obj", "5.48005723953")</f>
        <v>5.48005723953</v>
      </c>
      <c r="T1925" s="17" t="str">
        <f>HYPERLINK(AB2 &amp; "/nail/sn_de642d3804b80c0d8994705288c0baa4/rendering/17.obj", "5.1212272644")</f>
        <v>5.1212272644</v>
      </c>
      <c r="U1925" s="66" t="str">
        <f>HYPERLINK(AB2 &amp; "/nail/sn_de642d3804b80c0d8994705288c0baa4/rendering/18.obj", "6.07468938828")</f>
        <v>6.07468938828</v>
      </c>
      <c r="V1925" s="71" t="str">
        <f>HYPERLINK(AB2 &amp; "/nail/sn_de642d3804b80c0d8994705288c0baa4/rendering/19.obj", "5.84656476974")</f>
        <v>5.84656476974</v>
      </c>
      <c r="W1925" s="12" t="s">
        <v>32</v>
      </c>
      <c r="X1925" s="13">
        <v>5.2258686900138853</v>
      </c>
      <c r="Y1925" s="13">
        <v>0.97218614078716759</v>
      </c>
      <c r="Z1925" s="77">
        <v>0.18603340390946271</v>
      </c>
    </row>
    <row r="1926" spans="1:26" x14ac:dyDescent="0.2">
      <c r="A1926" s="1">
        <v>1924</v>
      </c>
      <c r="B1926" s="2" t="s">
        <v>417</v>
      </c>
      <c r="C1926" s="13" t="str">
        <f>HYPERLINK(AC2 &amp; "/nail/sn_de642d3804b80c0d8994705288c0baa4/rendering/00.xyz", "0.0")</f>
        <v>0.0</v>
      </c>
      <c r="D1926" s="13" t="str">
        <f>HYPERLINK(AC2 &amp; "/nail/sn_de642d3804b80c0d8994705288c0baa4/rendering/01.xyz", "0.0")</f>
        <v>0.0</v>
      </c>
      <c r="E1926" s="13" t="str">
        <f>HYPERLINK(AC2 &amp; "/nail/sn_de642d3804b80c0d8994705288c0baa4/rendering/02.xyz", "0.0")</f>
        <v>0.0</v>
      </c>
      <c r="F1926" s="13" t="str">
        <f>HYPERLINK(AC2 &amp; "/nail/sn_de642d3804b80c0d8994705288c0baa4/rendering/03.xyz", "0.0")</f>
        <v>0.0</v>
      </c>
      <c r="G1926" s="13" t="str">
        <f>HYPERLINK(AC2 &amp; "/nail/sn_de642d3804b80c0d8994705288c0baa4/rendering/04.xyz", "0.0")</f>
        <v>0.0</v>
      </c>
      <c r="H1926" s="13" t="str">
        <f>HYPERLINK(AC2 &amp; "/nail/sn_de642d3804b80c0d8994705288c0baa4/rendering/05.xyz", "0.0")</f>
        <v>0.0</v>
      </c>
      <c r="I1926" s="13" t="str">
        <f>HYPERLINK(AC2 &amp; "/nail/sn_de642d3804b80c0d8994705288c0baa4/rendering/06.xyz", "0.0")</f>
        <v>0.0</v>
      </c>
      <c r="J1926" s="13" t="str">
        <f>HYPERLINK(AC2 &amp; "/nail/sn_de642d3804b80c0d8994705288c0baa4/rendering/07.xyz", "0.0")</f>
        <v>0.0</v>
      </c>
      <c r="K1926" s="13" t="str">
        <f>HYPERLINK(AC2 &amp; "/nail/sn_de642d3804b80c0d8994705288c0baa4/rendering/08.xyz", "0.0")</f>
        <v>0.0</v>
      </c>
      <c r="L1926" s="13" t="str">
        <f>HYPERLINK(AC2 &amp; "/nail/sn_de642d3804b80c0d8994705288c0baa4/rendering/09.xyz", "0.0")</f>
        <v>0.0</v>
      </c>
      <c r="M1926" s="13" t="str">
        <f>HYPERLINK(AC2 &amp; "/nail/sn_de642d3804b80c0d8994705288c0baa4/rendering/10.xyz", "0.0")</f>
        <v>0.0</v>
      </c>
      <c r="N1926" s="13" t="str">
        <f>HYPERLINK(AC2 &amp; "/nail/sn_de642d3804b80c0d8994705288c0baa4/rendering/11.xyz", "0.0")</f>
        <v>0.0</v>
      </c>
      <c r="O1926" s="13" t="str">
        <f>HYPERLINK(AC2 &amp; "/nail/sn_de642d3804b80c0d8994705288c0baa4/rendering/12.xyz", "0.0")</f>
        <v>0.0</v>
      </c>
      <c r="P1926" s="13" t="str">
        <f>HYPERLINK(AC2 &amp; "/nail/sn_de642d3804b80c0d8994705288c0baa4/rendering/13.xyz", "0.0")</f>
        <v>0.0</v>
      </c>
      <c r="Q1926" s="13" t="str">
        <f>HYPERLINK(AC2 &amp; "/nail/sn_de642d3804b80c0d8994705288c0baa4/rendering/14.xyz", "0.0")</f>
        <v>0.0</v>
      </c>
      <c r="R1926" s="13" t="str">
        <f>HYPERLINK(AC2 &amp; "/nail/sn_de642d3804b80c0d8994705288c0baa4/rendering/15.xyz", "0.0")</f>
        <v>0.0</v>
      </c>
      <c r="S1926" s="13" t="str">
        <f>HYPERLINK(AC2 &amp; "/nail/sn_de642d3804b80c0d8994705288c0baa4/rendering/16.xyz", "0.0")</f>
        <v>0.0</v>
      </c>
      <c r="T1926" s="13" t="str">
        <f>HYPERLINK(AC2 &amp; "/nail/sn_de642d3804b80c0d8994705288c0baa4/rendering/17.xyz", "0.0")</f>
        <v>0.0</v>
      </c>
      <c r="U1926" s="13" t="str">
        <f>HYPERLINK(AC2 &amp; "/nail/sn_de642d3804b80c0d8994705288c0baa4/rendering/18.xyz", "0.0")</f>
        <v>0.0</v>
      </c>
      <c r="V1926" s="13" t="str">
        <f>HYPERLINK(AC2 &amp; "/nail/sn_de642d3804b80c0d8994705288c0baa4/rendering/19.xyz", "0.0")</f>
        <v>0.0</v>
      </c>
      <c r="W1926" s="12" t="s">
        <v>33</v>
      </c>
      <c r="X1926" s="13">
        <v>0</v>
      </c>
      <c r="Y1926" s="13">
        <v>0</v>
      </c>
      <c r="Z1926" s="13">
        <v>0</v>
      </c>
    </row>
    <row r="1927" spans="1:26" x14ac:dyDescent="0.2">
      <c r="A1927" s="1">
        <v>1925</v>
      </c>
      <c r="B1927" s="2" t="s">
        <v>418</v>
      </c>
      <c r="C1927" s="25" t="str">
        <f>HYPERLINK(AA2 &amp; "/nail/sn_e571327556a64455c7c5c542899ff42d/rendering/00.obj", "5.04467559814")</f>
        <v>5.04467559814</v>
      </c>
      <c r="D1927" s="26" t="str">
        <f>HYPERLINK(AA2 &amp; "/nail/sn_e571327556a64455c7c5c542899ff42d/rendering/01.obj", "4.76957763672")</f>
        <v>4.76957763672</v>
      </c>
      <c r="E1927" s="41" t="str">
        <f>HYPERLINK(AA2 &amp; "/nail/sn_e571327556a64455c7c5c542899ff42d/rendering/02.obj", "4.76306884766")</f>
        <v>4.76306884766</v>
      </c>
      <c r="F1927" s="34" t="str">
        <f>HYPERLINK(AA2 &amp; "/nail/sn_e571327556a64455c7c5c542899ff42d/rendering/03.obj", "4.8549432373")</f>
        <v>4.8549432373</v>
      </c>
      <c r="G1927" s="5" t="str">
        <f>HYPERLINK(AA2 &amp; "/nail/sn_e571327556a64455c7c5c542899ff42d/rendering/04.obj", "5.49041015625")</f>
        <v>5.49041015625</v>
      </c>
      <c r="H1927" s="6" t="str">
        <f>HYPERLINK(AA2 &amp; "/nail/sn_e571327556a64455c7c5c542899ff42d/rendering/05.obj", "4.8705065918")</f>
        <v>4.8705065918</v>
      </c>
      <c r="I1927" s="30" t="str">
        <f>HYPERLINK(AA2 &amp; "/nail/sn_e571327556a64455c7c5c542899ff42d/rendering/06.obj", "5.13248901367")</f>
        <v>5.13248901367</v>
      </c>
      <c r="J1927" s="69" t="str">
        <f>HYPERLINK(AA2 &amp; "/nail/sn_e571327556a64455c7c5c542899ff42d/rendering/07.obj", "4.95194396973")</f>
        <v>4.95194396973</v>
      </c>
      <c r="K1927" s="69" t="str">
        <f>HYPERLINK(AA2 &amp; "/nail/sn_e571327556a64455c7c5c542899ff42d/rendering/08.obj", "5.25696166992")</f>
        <v>5.25696166992</v>
      </c>
      <c r="L1927" s="6" t="str">
        <f>HYPERLINK(AA2 &amp; "/nail/sn_e571327556a64455c7c5c542899ff42d/rendering/09.obj", "4.87181182861")</f>
        <v>4.87181182861</v>
      </c>
      <c r="M1927" s="91" t="str">
        <f>HYPERLINK(AA2 &amp; "/nail/sn_e571327556a64455c7c5c542899ff42d/rendering/10.obj", "5.23974975586")</f>
        <v>5.23974975586</v>
      </c>
      <c r="N1927" s="23" t="str">
        <f>HYPERLINK(AA2 &amp; "/nail/sn_e571327556a64455c7c5c542899ff42d/rendering/11.obj", "5.31124938965")</f>
        <v>5.31124938965</v>
      </c>
      <c r="O1927" s="13" t="str">
        <f>HYPERLINK(AA2 &amp; "/nail/sn_e571327556a64455c7c5c542899ff42d/rendering/12.obj", "5.10680175781")</f>
        <v>5.10680175781</v>
      </c>
      <c r="P1927" s="25" t="str">
        <f>HYPERLINK(AA2 &amp; "/nail/sn_e571327556a64455c7c5c542899ff42d/rendering/13.obj", "5.15141662598")</f>
        <v>5.15141662598</v>
      </c>
      <c r="Q1927" s="73" t="str">
        <f>HYPERLINK(AA2 &amp; "/nail/sn_e571327556a64455c7c5c542899ff42d/rendering/14.obj", "5.28044799805")</f>
        <v>5.28044799805</v>
      </c>
      <c r="R1927" s="91" t="str">
        <f>HYPERLINK(AA2 &amp; "/nail/sn_e571327556a64455c7c5c542899ff42d/rendering/15.obj", "5.23842468262")</f>
        <v>5.23842468262</v>
      </c>
      <c r="S1927" s="78" t="str">
        <f>HYPERLINK(AA2 &amp; "/nail/sn_e571327556a64455c7c5c542899ff42d/rendering/16.obj", "5.41600524902")</f>
        <v>5.41600524902</v>
      </c>
      <c r="T1927" s="35" t="str">
        <f>HYPERLINK(AA2 &amp; "/nail/sn_e571327556a64455c7c5c542899ff42d/rendering/17.obj", "4.80667480469")</f>
        <v>4.80667480469</v>
      </c>
      <c r="U1927" s="10" t="str">
        <f>HYPERLINK(AA2 &amp; "/nail/sn_e571327556a64455c7c5c542899ff42d/rendering/18.obj", "5.38145263672")</f>
        <v>5.38145263672</v>
      </c>
      <c r="V1927" s="30" t="str">
        <f>HYPERLINK(AA2 &amp; "/nail/sn_e571327556a64455c7c5c542899ff42d/rendering/19.obj", "5.12447387695")</f>
        <v>5.12447387695</v>
      </c>
      <c r="W1927" s="12" t="s">
        <v>29</v>
      </c>
      <c r="X1927" s="13">
        <v>5.1031542663574214</v>
      </c>
      <c r="Y1927" s="13">
        <v>0.2207565462232596</v>
      </c>
      <c r="Z1927" s="68">
        <v>4.3258842414112118E-2</v>
      </c>
    </row>
    <row r="1928" spans="1:26" x14ac:dyDescent="0.2">
      <c r="A1928" s="1">
        <v>1926</v>
      </c>
      <c r="B1928" s="2" t="s">
        <v>418</v>
      </c>
      <c r="C1928" s="69" t="str">
        <f>HYPERLINK(AA2 &amp; "/nail/sn_e571327556a64455c7c5c542899ff42d/rendering/00.obj", "1.26816225052")</f>
        <v>1.26816225052</v>
      </c>
      <c r="D1928" s="26" t="str">
        <f>HYPERLINK(AA2 &amp; "/nail/sn_e571327556a64455c7c5c542899ff42d/rendering/01.obj", "1.3115503788")</f>
        <v>1.3115503788</v>
      </c>
      <c r="E1928" s="35" t="str">
        <f>HYPERLINK(AA2 &amp; "/nail/sn_e571327556a64455c7c5c542899ff42d/rendering/02.obj", "1.30050909519")</f>
        <v>1.30050909519</v>
      </c>
      <c r="F1928" s="73" t="str">
        <f>HYPERLINK(AA2 &amp; "/nail/sn_e571327556a64455c7c5c542899ff42d/rendering/03.obj", "1.27480947971")</f>
        <v>1.27480947971</v>
      </c>
      <c r="G1928" s="23" t="str">
        <f>HYPERLINK(AA2 &amp; "/nail/sn_e571327556a64455c7c5c542899ff42d/rendering/04.obj", "1.18148827553")</f>
        <v>1.18148827553</v>
      </c>
      <c r="H1928" s="34" t="str">
        <f>HYPERLINK(AA2 &amp; "/nail/sn_e571327556a64455c7c5c542899ff42d/rendering/05.obj", "1.17045462132")</f>
        <v>1.17045462132</v>
      </c>
      <c r="I1928" s="26" t="str">
        <f>HYPERLINK(AA2 &amp; "/nail/sn_e571327556a64455c7c5c542899ff42d/rendering/06.obj", "1.15132057667")</f>
        <v>1.15132057667</v>
      </c>
      <c r="J1928" s="78" t="str">
        <f>HYPERLINK(AA2 &amp; "/nail/sn_e571327556a64455c7c5c542899ff42d/rendering/07.obj", "1.30609500408")</f>
        <v>1.30609500408</v>
      </c>
      <c r="K1928" s="92" t="str">
        <f>HYPERLINK(AA2 &amp; "/nail/sn_e571327556a64455c7c5c542899ff42d/rendering/08.obj", "1.0783829689")</f>
        <v>1.0783829689</v>
      </c>
      <c r="L1928" s="17" t="str">
        <f>HYPERLINK(AA2 &amp; "/nail/sn_e571327556a64455c7c5c542899ff42d/rendering/09.obj", "1.25442636013")</f>
        <v>1.25442636013</v>
      </c>
      <c r="M1928" s="71" t="str">
        <f>HYPERLINK(AA2 &amp; "/nail/sn_e571327556a64455c7c5c542899ff42d/rendering/10.obj", "1.37425255775")</f>
        <v>1.37425255775</v>
      </c>
      <c r="N1928" s="64" t="str">
        <f>HYPERLINK(AA2 &amp; "/nail/sn_e571327556a64455c7c5c542899ff42d/rendering/11.obj", "1.4339953661")</f>
        <v>1.4339953661</v>
      </c>
      <c r="O1928" s="48" t="str">
        <f>HYPERLINK(AA2 &amp; "/nail/sn_e571327556a64455c7c5c542899ff42d/rendering/12.obj", "1.26147210598")</f>
        <v>1.26147210598</v>
      </c>
      <c r="P1928" s="91" t="str">
        <f>HYPERLINK(AA2 &amp; "/nail/sn_e571327556a64455c7c5c542899ff42d/rendering/13.obj", "1.26283800602")</f>
        <v>1.26283800602</v>
      </c>
      <c r="Q1928" s="25" t="str">
        <f>HYPERLINK(AA2 &amp; "/nail/sn_e571327556a64455c7c5c542899ff42d/rendering/14.obj", "1.21788179874")</f>
        <v>1.21788179874</v>
      </c>
      <c r="R1928" s="8" t="str">
        <f>HYPERLINK(AA2 &amp; "/nail/sn_e571327556a64455c7c5c542899ff42d/rendering/15.obj", "1.0558437109")</f>
        <v>1.0558437109</v>
      </c>
      <c r="S1928" s="133" t="str">
        <f>HYPERLINK(AA2 &amp; "/nail/sn_e571327556a64455c7c5c542899ff42d/rendering/16.obj", "1.10344445705")</f>
        <v>1.10344445705</v>
      </c>
      <c r="T1928" s="10" t="str">
        <f>HYPERLINK(AA2 &amp; "/nail/sn_e571327556a64455c7c5c542899ff42d/rendering/17.obj", "1.16163563728")</f>
        <v>1.16163563728</v>
      </c>
      <c r="U1928" s="27" t="str">
        <f>HYPERLINK(AA2 &amp; "/nail/sn_e571327556a64455c7c5c542899ff42d/rendering/18.obj", "1.14503347874")</f>
        <v>1.14503347874</v>
      </c>
      <c r="V1928" s="35" t="str">
        <f>HYPERLINK(AA2 &amp; "/nail/sn_e571327556a64455c7c5c542899ff42d/rendering/19.obj", "1.30319559574")</f>
        <v>1.30319559574</v>
      </c>
      <c r="W1928" s="12" t="s">
        <v>30</v>
      </c>
      <c r="X1928" s="13">
        <v>1.2308395862579351</v>
      </c>
      <c r="Y1928" s="13">
        <v>9.6117728800290639E-2</v>
      </c>
      <c r="Z1928" s="5">
        <v>7.8091190658331824E-2</v>
      </c>
    </row>
    <row r="1929" spans="1:26" x14ac:dyDescent="0.2">
      <c r="A1929" s="1">
        <v>1927</v>
      </c>
      <c r="B1929" s="2" t="s">
        <v>418</v>
      </c>
      <c r="C1929" s="74" t="str">
        <f>HYPERLINK(AB2 &amp; "/nail/sn_e571327556a64455c7c5c542899ff42d/rendering/00.obj", "6.10689697266")</f>
        <v>6.10689697266</v>
      </c>
      <c r="D1929" s="30" t="str">
        <f>HYPERLINK(AB2 &amp; "/nail/sn_e571327556a64455c7c5c542899ff42d/rendering/01.obj", "6.16679077148")</f>
        <v>6.16679077148</v>
      </c>
      <c r="E1929" s="25" t="str">
        <f>HYPERLINK(AB2 &amp; "/nail/sn_e571327556a64455c7c5c542899ff42d/rendering/02.obj", "6.25637084961")</f>
        <v>6.25637084961</v>
      </c>
      <c r="F1929" s="47" t="str">
        <f>HYPERLINK(AB2 &amp; "/nail/sn_e571327556a64455c7c5c542899ff42d/rendering/03.obj", "6.25032287598")</f>
        <v>6.25032287598</v>
      </c>
      <c r="G1929" s="23" t="str">
        <f>HYPERLINK(AB2 &amp; "/nail/sn_e571327556a64455c7c5c542899ff42d/rendering/04.obj", "5.95023925781")</f>
        <v>5.95023925781</v>
      </c>
      <c r="H1929" s="68" t="str">
        <f>HYPERLINK(AB2 &amp; "/nail/sn_e571327556a64455c7c5c542899ff42d/rendering/05.obj", "6.45109619141")</f>
        <v>6.45109619141</v>
      </c>
      <c r="I1929" s="17" t="str">
        <f>HYPERLINK(AB2 &amp; "/nail/sn_e571327556a64455c7c5c542899ff42d/rendering/06.obj", "6.06020996094")</f>
        <v>6.06020996094</v>
      </c>
      <c r="J1929" s="13" t="str">
        <f>HYPERLINK(AB2 &amp; "/nail/sn_e571327556a64455c7c5c542899ff42d/rendering/07.obj", "6.19410827637")</f>
        <v>6.19410827637</v>
      </c>
      <c r="K1929" s="17" t="str">
        <f>HYPERLINK(AB2 &amp; "/nail/sn_e571327556a64455c7c5c542899ff42d/rendering/08.obj", "6.07713867187")</f>
        <v>6.07713867187</v>
      </c>
      <c r="L1929" s="69" t="str">
        <f>HYPERLINK(AB2 &amp; "/nail/sn_e571327556a64455c7c5c542899ff42d/rendering/09.obj", "6.38906982422")</f>
        <v>6.38906982422</v>
      </c>
      <c r="M1929" s="25" t="str">
        <f>HYPERLINK(AB2 &amp; "/nail/sn_e571327556a64455c7c5c542899ff42d/rendering/10.obj", "6.25939025879")</f>
        <v>6.25939025879</v>
      </c>
      <c r="N1929" s="46" t="str">
        <f>HYPERLINK(AB2 &amp; "/nail/sn_e571327556a64455c7c5c542899ff42d/rendering/11.obj", "6.30097351074")</f>
        <v>6.30097351074</v>
      </c>
      <c r="O1929" s="72" t="str">
        <f>HYPERLINK(AB2 &amp; "/nail/sn_e571327556a64455c7c5c542899ff42d/rendering/12.obj", "6.40631103516")</f>
        <v>6.40631103516</v>
      </c>
      <c r="P1929" s="73" t="str">
        <f>HYPERLINK(AB2 &amp; "/nail/sn_e571327556a64455c7c5c542899ff42d/rendering/13.obj", "6.41791381836")</f>
        <v>6.41791381836</v>
      </c>
      <c r="Q1929" s="25" t="str">
        <f>HYPERLINK(AB2 &amp; "/nail/sn_e571327556a64455c7c5c542899ff42d/rendering/14.obj", "6.26161071777")</f>
        <v>6.26161071777</v>
      </c>
      <c r="R1929" s="68" t="str">
        <f>HYPERLINK(AB2 &amp; "/nail/sn_e571327556a64455c7c5c542899ff42d/rendering/15.obj", "5.93975463867")</f>
        <v>5.93975463867</v>
      </c>
      <c r="S1929" s="72" t="str">
        <f>HYPERLINK(AB2 &amp; "/nail/sn_e571327556a64455c7c5c542899ff42d/rendering/16.obj", "5.99482543945")</f>
        <v>5.99482543945</v>
      </c>
      <c r="T1929" s="74" t="str">
        <f>HYPERLINK(AB2 &amp; "/nail/sn_e571327556a64455c7c5c542899ff42d/rendering/17.obj", "6.27852172852")</f>
        <v>6.27852172852</v>
      </c>
      <c r="U1929" s="91" t="str">
        <f>HYPERLINK(AB2 &amp; "/nail/sn_e571327556a64455c7c5c542899ff42d/rendering/18.obj", "6.021171875")</f>
        <v>6.021171875</v>
      </c>
      <c r="V1929" s="47" t="str">
        <f>HYPERLINK(AB2 &amp; "/nail/sn_e571327556a64455c7c5c542899ff42d/rendering/19.obj", "6.13869140625")</f>
        <v>6.13869140625</v>
      </c>
      <c r="W1929" s="12" t="s">
        <v>31</v>
      </c>
      <c r="X1929" s="13">
        <v>6.1960704040527341</v>
      </c>
      <c r="Y1929" s="13">
        <v>0.1533489183202357</v>
      </c>
      <c r="Z1929" s="48">
        <v>2.4749382805581581E-2</v>
      </c>
    </row>
    <row r="1930" spans="1:26" x14ac:dyDescent="0.2">
      <c r="A1930" s="1">
        <v>1928</v>
      </c>
      <c r="B1930" s="2" t="s">
        <v>418</v>
      </c>
      <c r="C1930" s="32" t="str">
        <f>HYPERLINK(AB2 &amp; "/nail/sn_e571327556a64455c7c5c542899ff42d/rendering/00.obj", "1.55081403255")</f>
        <v>1.55081403255</v>
      </c>
      <c r="D1930" s="133" t="str">
        <f>HYPERLINK(AB2 &amp; "/nail/sn_e571327556a64455c7c5c542899ff42d/rendering/01.obj", "1.5447999239")</f>
        <v>1.5447999239</v>
      </c>
      <c r="E1930" s="79" t="str">
        <f>HYPERLINK(AB2 &amp; "/nail/sn_e571327556a64455c7c5c542899ff42d/rendering/02.obj", "1.62486827374")</f>
        <v>1.62486827374</v>
      </c>
      <c r="F1930" s="91" t="str">
        <f>HYPERLINK(AB2 &amp; "/nail/sn_e571327556a64455c7c5c542899ff42d/rendering/03.obj", "1.44001054764")</f>
        <v>1.44001054764</v>
      </c>
      <c r="G1930" s="24" t="str">
        <f>HYPERLINK(AB2 &amp; "/nail/sn_e571327556a64455c7c5c542899ff42d/rendering/04.obj", "1.16814351082")</f>
        <v>1.16814351082</v>
      </c>
      <c r="H1930" s="94" t="str">
        <f>HYPERLINK(AB2 &amp; "/nail/sn_e571327556a64455c7c5c542899ff42d/rendering/05.obj", "1.50518345833")</f>
        <v>1.50518345833</v>
      </c>
      <c r="I1930" s="27" t="str">
        <f>HYPERLINK(AB2 &amp; "/nail/sn_e571327556a64455c7c5c542899ff42d/rendering/06.obj", "1.30035817623")</f>
        <v>1.30035817623</v>
      </c>
      <c r="J1930" s="10" t="str">
        <f>HYPERLINK(AB2 &amp; "/nail/sn_e571327556a64455c7c5c542899ff42d/rendering/07.obj", "1.47999823093")</f>
        <v>1.47999823093</v>
      </c>
      <c r="K1930" s="73" t="str">
        <f>HYPERLINK(AB2 &amp; "/nail/sn_e571327556a64455c7c5c542899ff42d/rendering/08.obj", "1.34969162941")</f>
        <v>1.34969162941</v>
      </c>
      <c r="L1930" s="133" t="str">
        <f>HYPERLINK(AB2 &amp; "/nail/sn_e571327556a64455c7c5c542899ff42d/rendering/09.obj", "1.54611134529")</f>
        <v>1.54611134529</v>
      </c>
      <c r="M1930" s="34" t="str">
        <f>HYPERLINK(AB2 &amp; "/nail/sn_e571327556a64455c7c5c542899ff42d/rendering/10.obj", "1.33534812927")</f>
        <v>1.33534812927</v>
      </c>
      <c r="N1930" s="74" t="str">
        <f>HYPERLINK(AB2 &amp; "/nail/sn_e571327556a64455c7c5c542899ff42d/rendering/11.obj", "1.42262041569")</f>
        <v>1.42262041569</v>
      </c>
      <c r="O1930" s="6" t="str">
        <f>HYPERLINK(AB2 &amp; "/nail/sn_e571327556a64455c7c5c542899ff42d/rendering/12.obj", "1.46374046803")</f>
        <v>1.46374046803</v>
      </c>
      <c r="P1930" s="46" t="str">
        <f>HYPERLINK(AB2 &amp; "/nail/sn_e571327556a64455c7c5c542899ff42d/rendering/13.obj", "1.42700123787")</f>
        <v>1.42700123787</v>
      </c>
      <c r="Q1930" s="25" t="str">
        <f>HYPERLINK(AB2 &amp; "/nail/sn_e571327556a64455c7c5c542899ff42d/rendering/14.obj", "1.38744115829")</f>
        <v>1.38744115829</v>
      </c>
      <c r="R1930" s="31" t="str">
        <f>HYPERLINK(AB2 &amp; "/nail/sn_e571327556a64455c7c5c542899ff42d/rendering/15.obj", "1.18533170223")</f>
        <v>1.18533170223</v>
      </c>
      <c r="S1930" s="24" t="str">
        <f>HYPERLINK(AB2 &amp; "/nail/sn_e571327556a64455c7c5c542899ff42d/rendering/16.obj", "1.16674566269")</f>
        <v>1.16674566269</v>
      </c>
      <c r="T1930" s="42" t="str">
        <f>HYPERLINK(AB2 &amp; "/nail/sn_e571327556a64455c7c5c542899ff42d/rendering/17.obj", "1.59476470947")</f>
        <v>1.59476470947</v>
      </c>
      <c r="U1930" s="120" t="str">
        <f>HYPERLINK(AB2 &amp; "/nail/sn_e571327556a64455c7c5c542899ff42d/rendering/18.obj", "1.10595583916")</f>
        <v>1.10595583916</v>
      </c>
      <c r="V1930" s="17" t="str">
        <f>HYPERLINK(AB2 &amp; "/nail/sn_e571327556a64455c7c5c542899ff42d/rendering/19.obj", "1.4288495779")</f>
        <v>1.4288495779</v>
      </c>
      <c r="W1930" s="12" t="s">
        <v>32</v>
      </c>
      <c r="X1930" s="13">
        <v>1.4013889014720919</v>
      </c>
      <c r="Y1930" s="13">
        <v>0.14768672276388531</v>
      </c>
      <c r="Z1930" s="32">
        <v>0.1053859657435188</v>
      </c>
    </row>
    <row r="1931" spans="1:26" x14ac:dyDescent="0.2">
      <c r="A1931" s="1">
        <v>1929</v>
      </c>
      <c r="B1931" s="2" t="s">
        <v>418</v>
      </c>
      <c r="C1931" s="13" t="str">
        <f>HYPERLINK(AC2 &amp; "/nail/sn_e571327556a64455c7c5c542899ff42d/rendering/00.xyz", "0.0")</f>
        <v>0.0</v>
      </c>
      <c r="D1931" s="13" t="str">
        <f>HYPERLINK(AC2 &amp; "/nail/sn_e571327556a64455c7c5c542899ff42d/rendering/01.xyz", "0.0")</f>
        <v>0.0</v>
      </c>
      <c r="E1931" s="13" t="str">
        <f>HYPERLINK(AC2 &amp; "/nail/sn_e571327556a64455c7c5c542899ff42d/rendering/02.xyz", "0.0")</f>
        <v>0.0</v>
      </c>
      <c r="F1931" s="13" t="str">
        <f>HYPERLINK(AC2 &amp; "/nail/sn_e571327556a64455c7c5c542899ff42d/rendering/03.xyz", "0.0")</f>
        <v>0.0</v>
      </c>
      <c r="G1931" s="13" t="str">
        <f>HYPERLINK(AC2 &amp; "/nail/sn_e571327556a64455c7c5c542899ff42d/rendering/04.xyz", "0.0")</f>
        <v>0.0</v>
      </c>
      <c r="H1931" s="13" t="str">
        <f>HYPERLINK(AC2 &amp; "/nail/sn_e571327556a64455c7c5c542899ff42d/rendering/05.xyz", "0.0")</f>
        <v>0.0</v>
      </c>
      <c r="I1931" s="13" t="str">
        <f>HYPERLINK(AC2 &amp; "/nail/sn_e571327556a64455c7c5c542899ff42d/rendering/06.xyz", "0.0")</f>
        <v>0.0</v>
      </c>
      <c r="J1931" s="13" t="str">
        <f>HYPERLINK(AC2 &amp; "/nail/sn_e571327556a64455c7c5c542899ff42d/rendering/07.xyz", "0.0")</f>
        <v>0.0</v>
      </c>
      <c r="K1931" s="13" t="str">
        <f>HYPERLINK(AC2 &amp; "/nail/sn_e571327556a64455c7c5c542899ff42d/rendering/08.xyz", "0.0")</f>
        <v>0.0</v>
      </c>
      <c r="L1931" s="13" t="str">
        <f>HYPERLINK(AC2 &amp; "/nail/sn_e571327556a64455c7c5c542899ff42d/rendering/09.xyz", "0.0")</f>
        <v>0.0</v>
      </c>
      <c r="M1931" s="13" t="str">
        <f>HYPERLINK(AC2 &amp; "/nail/sn_e571327556a64455c7c5c542899ff42d/rendering/10.xyz", "0.0")</f>
        <v>0.0</v>
      </c>
      <c r="N1931" s="13" t="str">
        <f>HYPERLINK(AC2 &amp; "/nail/sn_e571327556a64455c7c5c542899ff42d/rendering/11.xyz", "0.0")</f>
        <v>0.0</v>
      </c>
      <c r="O1931" s="13" t="str">
        <f>HYPERLINK(AC2 &amp; "/nail/sn_e571327556a64455c7c5c542899ff42d/rendering/12.xyz", "0.0")</f>
        <v>0.0</v>
      </c>
      <c r="P1931" s="13" t="str">
        <f>HYPERLINK(AC2 &amp; "/nail/sn_e571327556a64455c7c5c542899ff42d/rendering/13.xyz", "0.0")</f>
        <v>0.0</v>
      </c>
      <c r="Q1931" s="13" t="str">
        <f>HYPERLINK(AC2 &amp; "/nail/sn_e571327556a64455c7c5c542899ff42d/rendering/14.xyz", "0.0")</f>
        <v>0.0</v>
      </c>
      <c r="R1931" s="13" t="str">
        <f>HYPERLINK(AC2 &amp; "/nail/sn_e571327556a64455c7c5c542899ff42d/rendering/15.xyz", "0.0")</f>
        <v>0.0</v>
      </c>
      <c r="S1931" s="13" t="str">
        <f>HYPERLINK(AC2 &amp; "/nail/sn_e571327556a64455c7c5c542899ff42d/rendering/16.xyz", "0.0")</f>
        <v>0.0</v>
      </c>
      <c r="T1931" s="13" t="str">
        <f>HYPERLINK(AC2 &amp; "/nail/sn_e571327556a64455c7c5c542899ff42d/rendering/17.xyz", "0.0")</f>
        <v>0.0</v>
      </c>
      <c r="U1931" s="13" t="str">
        <f>HYPERLINK(AC2 &amp; "/nail/sn_e571327556a64455c7c5c542899ff42d/rendering/18.xyz", "0.0")</f>
        <v>0.0</v>
      </c>
      <c r="V1931" s="13" t="str">
        <f>HYPERLINK(AC2 &amp; "/nail/sn_e571327556a64455c7c5c542899ff42d/rendering/19.xyz", "0.0")</f>
        <v>0.0</v>
      </c>
      <c r="W1931" s="12" t="s">
        <v>33</v>
      </c>
      <c r="X1931" s="13">
        <v>0</v>
      </c>
      <c r="Y1931" s="13">
        <v>0</v>
      </c>
      <c r="Z1931" s="13">
        <v>0</v>
      </c>
    </row>
    <row r="1932" spans="1:26" x14ac:dyDescent="0.2">
      <c r="A1932" s="1">
        <v>1930</v>
      </c>
      <c r="B1932" s="2" t="s">
        <v>419</v>
      </c>
      <c r="C1932" s="66" t="str">
        <f>HYPERLINK(AA2 &amp; "/nail/sn_e9fa13aa4b6979951cf644619c59e0de/rendering/00.obj", "4.67379364014")</f>
        <v>4.67379364014</v>
      </c>
      <c r="D1932" s="103" t="str">
        <f>HYPERLINK(AA2 &amp; "/nail/sn_e9fa13aa4b6979951cf644619c59e0de/rendering/01.obj", "7.37962646484")</f>
        <v>7.37962646484</v>
      </c>
      <c r="E1932" s="33" t="str">
        <f>HYPERLINK(AA2 &amp; "/nail/sn_e9fa13aa4b6979951cf644619c59e0de/rendering/02.obj", "4.96269104004")</f>
        <v>4.96269104004</v>
      </c>
      <c r="F1932" s="24" t="str">
        <f>HYPERLINK(AA2 &amp; "/nail/sn_e9fa13aa4b6979951cf644619c59e0de/rendering/03.obj", "4.6382244873")</f>
        <v>4.6382244873</v>
      </c>
      <c r="G1932" s="27" t="str">
        <f>HYPERLINK(AA2 &amp; "/nail/sn_e9fa13aa4b6979951cf644619c59e0de/rendering/04.obj", "5.17161987305")</f>
        <v>5.17161987305</v>
      </c>
      <c r="H1932" s="27" t="str">
        <f>HYPERLINK(AA2 &amp; "/nail/sn_e9fa13aa4b6979951cf644619c59e0de/rendering/05.obj", "5.17418395996")</f>
        <v>5.17418395996</v>
      </c>
      <c r="I1932" s="40" t="str">
        <f>HYPERLINK(AA2 &amp; "/nail/sn_e9fa13aa4b6979951cf644619c59e0de/rendering/06.obj", "4.6255557251")</f>
        <v>4.6255557251</v>
      </c>
      <c r="J1932" s="60" t="str">
        <f>HYPERLINK(AA2 &amp; "/nail/sn_e9fa13aa4b6979951cf644619c59e0de/rendering/07.obj", "5.28677307129")</f>
        <v>5.28677307129</v>
      </c>
      <c r="K1932" s="77" t="str">
        <f>HYPERLINK(AA2 &amp; "/nail/sn_e9fa13aa4b6979951cf644619c59e0de/rendering/08.obj", "4.52355224609")</f>
        <v>4.52355224609</v>
      </c>
      <c r="L1932" s="68" t="str">
        <f>HYPERLINK(AA2 &amp; "/nail/sn_e9fa13aa4b6979951cf644619c59e0de/rendering/09.obj", "5.34288818359")</f>
        <v>5.34288818359</v>
      </c>
      <c r="M1932" s="5" t="str">
        <f>HYPERLINK(AA2 &amp; "/nail/sn_e9fa13aa4b6979951cf644619c59e0de/rendering/10.obj", "5.13484619141")</f>
        <v>5.13484619141</v>
      </c>
      <c r="N1932" s="61" t="str">
        <f>HYPERLINK(AA2 &amp; "/nail/sn_e9fa13aa4b6979951cf644619c59e0de/rendering/11.obj", "7.25873657227")</f>
        <v>7.25873657227</v>
      </c>
      <c r="O1932" s="239" t="str">
        <f>HYPERLINK(AA2 &amp; "/nail/sn_e9fa13aa4b6979951cf644619c59e0de/rendering/12.obj", "8.95819580078")</f>
        <v>8.95819580078</v>
      </c>
      <c r="P1932" s="110" t="str">
        <f>HYPERLINK(AA2 &amp; "/nail/sn_e9fa13aa4b6979951cf644619c59e0de/rendering/13.obj", "5.02701293945")</f>
        <v>5.02701293945</v>
      </c>
      <c r="Q1932" s="10" t="str">
        <f>HYPERLINK(AA2 &amp; "/nail/sn_e9fa13aa4b6979951cf644619c59e0de/rendering/14.obj", "5.26838134766")</f>
        <v>5.26838134766</v>
      </c>
      <c r="R1932" s="73" t="str">
        <f>HYPERLINK(AA2 &amp; "/nail/sn_e9fa13aa4b6979951cf644619c59e0de/rendering/15.obj", "5.37583740234")</f>
        <v>5.37583740234</v>
      </c>
      <c r="S1932" s="98" t="str">
        <f>HYPERLINK(AA2 &amp; "/nail/sn_e9fa13aa4b6979951cf644619c59e0de/rendering/16.obj", "4.2800378418")</f>
        <v>4.2800378418</v>
      </c>
      <c r="T1932" s="93" t="str">
        <f>HYPERLINK(AA2 &amp; "/nail/sn_e9fa13aa4b6979951cf644619c59e0de/rendering/17.obj", "6.34169433594")</f>
        <v>6.34169433594</v>
      </c>
      <c r="U1932" s="71" t="str">
        <f>HYPERLINK(AA2 &amp; "/nail/sn_e9fa13aa4b6979951cf644619c59e0de/rendering/18.obj", "6.23282470703")</f>
        <v>6.23282470703</v>
      </c>
      <c r="V1932" s="72" t="str">
        <f>HYPERLINK(AA2 &amp; "/nail/sn_e9fa13aa4b6979951cf644619c59e0de/rendering/19.obj", "5.74706115723")</f>
        <v>5.74706115723</v>
      </c>
      <c r="W1932" s="12" t="s">
        <v>29</v>
      </c>
      <c r="X1932" s="13">
        <v>5.5701768493652351</v>
      </c>
      <c r="Y1932" s="13">
        <v>1.1274736278001529</v>
      </c>
      <c r="Z1932" s="88">
        <v>0.20241253703257869</v>
      </c>
    </row>
    <row r="1933" spans="1:26" x14ac:dyDescent="0.2">
      <c r="A1933" s="1">
        <v>1931</v>
      </c>
      <c r="B1933" s="2" t="s">
        <v>419</v>
      </c>
      <c r="C1933" s="62" t="str">
        <f>HYPERLINK(AA2 &amp; "/nail/sn_e9fa13aa4b6979951cf644619c59e0de/rendering/00.obj", "1.4613212347")</f>
        <v>1.4613212347</v>
      </c>
      <c r="D1933" s="20" t="str">
        <f>HYPERLINK(AA2 &amp; "/nail/sn_e9fa13aa4b6979951cf644619c59e0de/rendering/01.obj", "8.20880699158")</f>
        <v>8.20880699158</v>
      </c>
      <c r="E1933" s="67" t="str">
        <f>HYPERLINK(AA2 &amp; "/nail/sn_e9fa13aa4b6979951cf644619c59e0de/rendering/02.obj", "3.29120326042")</f>
        <v>3.29120326042</v>
      </c>
      <c r="F1933" s="15" t="str">
        <f>HYPERLINK(AA2 &amp; "/nail/sn_e9fa13aa4b6979951cf644619c59e0de/rendering/03.obj", "1.79300320148")</f>
        <v>1.79300320148</v>
      </c>
      <c r="G1933" s="15" t="str">
        <f>HYPERLINK(AA2 &amp; "/nail/sn_e9fa13aa4b6979951cf644619c59e0de/rendering/04.obj", "1.79446339607")</f>
        <v>1.79446339607</v>
      </c>
      <c r="H1933" s="30" t="str">
        <f>HYPERLINK(AA2 &amp; "/nail/sn_e9fa13aa4b6979951cf644619c59e0de/rendering/05.obj", "3.61850357056")</f>
        <v>3.61850357056</v>
      </c>
      <c r="I1933" s="7" t="str">
        <f>HYPERLINK(AA2 &amp; "/nail/sn_e9fa13aa4b6979951cf644619c59e0de/rendering/06.obj", "2.62370657921")</f>
        <v>2.62370657921</v>
      </c>
      <c r="J1933" s="101" t="str">
        <f>HYPERLINK(AA2 &amp; "/nail/sn_e9fa13aa4b6979951cf644619c59e0de/rendering/07.obj", "2.26112222672")</f>
        <v>2.26112222672</v>
      </c>
      <c r="K1933" s="212" t="str">
        <f>HYPERLINK(AA2 &amp; "/nail/sn_e9fa13aa4b6979951cf644619c59e0de/rendering/08.obj", "2.06993198395")</f>
        <v>2.06993198395</v>
      </c>
      <c r="L1933" s="156" t="str">
        <f>HYPERLINK(AA2 &amp; "/nail/sn_e9fa13aa4b6979951cf644619c59e0de/rendering/09.obj", "2.01200032234")</f>
        <v>2.01200032234</v>
      </c>
      <c r="M1933" s="58" t="str">
        <f>HYPERLINK(AA2 &amp; "/nail/sn_e9fa13aa4b6979951cf644619c59e0de/rendering/10.obj", "2.75084400177")</f>
        <v>2.75084400177</v>
      </c>
      <c r="N1933" s="20" t="str">
        <f>HYPERLINK(AA2 &amp; "/nail/sn_e9fa13aa4b6979951cf644619c59e0de/rendering/11.obj", "6.77534389496")</f>
        <v>6.77534389496</v>
      </c>
      <c r="O1933" s="20" t="str">
        <f>HYPERLINK(AA2 &amp; "/nail/sn_e9fa13aa4b6979951cf644619c59e0de/rendering/12.obj", "14.4489622116")</f>
        <v>14.4489622116</v>
      </c>
      <c r="P1933" s="18" t="str">
        <f>HYPERLINK(AA2 &amp; "/nail/sn_e9fa13aa4b6979951cf644619c59e0de/rendering/13.obj", "1.53473043442")</f>
        <v>1.53473043442</v>
      </c>
      <c r="Q1933" s="104" t="str">
        <f>HYPERLINK(AA2 &amp; "/nail/sn_e9fa13aa4b6979951cf644619c59e0de/rendering/14.obj", "1.90183210373")</f>
        <v>1.90183210373</v>
      </c>
      <c r="R1933" s="104" t="str">
        <f>HYPERLINK(AA2 &amp; "/nail/sn_e9fa13aa4b6979951cf644619c59e0de/rendering/15.obj", "1.90884518623")</f>
        <v>1.90884518623</v>
      </c>
      <c r="S1933" s="249" t="str">
        <f>HYPERLINK(AA2 &amp; "/nail/sn_e9fa13aa4b6979951cf644619c59e0de/rendering/16.obj", "1.5481647253")</f>
        <v>1.5481647253</v>
      </c>
      <c r="T1933" s="181" t="str">
        <f>HYPERLINK(AA2 &amp; "/nail/sn_e9fa13aa4b6979951cf644619c59e0de/rendering/17.obj", "5.24042654037")</f>
        <v>5.24042654037</v>
      </c>
      <c r="U1933" s="38" t="str">
        <f>HYPERLINK(AA2 &amp; "/nail/sn_e9fa13aa4b6979951cf644619c59e0de/rendering/18.obj", "3.96217894554")</f>
        <v>3.96217894554</v>
      </c>
      <c r="V1933" s="10" t="str">
        <f>HYPERLINK(AA2 &amp; "/nail/sn_e9fa13aa4b6979951cf644619c59e0de/rendering/19.obj", "3.43801188469")</f>
        <v>3.43801188469</v>
      </c>
      <c r="W1933" s="12" t="s">
        <v>30</v>
      </c>
      <c r="X1933" s="13">
        <v>3.632170134782791</v>
      </c>
      <c r="Y1933" s="13">
        <v>3.0462703071957642</v>
      </c>
      <c r="Z1933" s="20">
        <v>0.83869152439301564</v>
      </c>
    </row>
    <row r="1934" spans="1:26" x14ac:dyDescent="0.2">
      <c r="A1934" s="1">
        <v>1932</v>
      </c>
      <c r="B1934" s="2" t="s">
        <v>419</v>
      </c>
      <c r="C1934" s="48" t="str">
        <f>HYPERLINK(AB2 &amp; "/nail/sn_e9fa13aa4b6979951cf644619c59e0de/rendering/00.obj", "4.31480773926")</f>
        <v>4.31480773926</v>
      </c>
      <c r="D1934" s="79" t="str">
        <f>HYPERLINK(AB2 &amp; "/nail/sn_e9fa13aa4b6979951cf644619c59e0de/rendering/01.obj", "3.55116851807")</f>
        <v>3.55116851807</v>
      </c>
      <c r="E1934" s="106" t="str">
        <f>HYPERLINK(AB2 &amp; "/nail/sn_e9fa13aa4b6979951cf644619c59e0de/rendering/02.obj", "3.72805419922")</f>
        <v>3.72805419922</v>
      </c>
      <c r="F1934" s="65" t="str">
        <f>HYPERLINK(AB2 &amp; "/nail/sn_e9fa13aa4b6979951cf644619c59e0de/rendering/03.obj", "4.77679016113")</f>
        <v>4.77679016113</v>
      </c>
      <c r="G1934" s="67" t="str">
        <f>HYPERLINK(AB2 &amp; "/nail/sn_e9fa13aa4b6979951cf644619c59e0de/rendering/04.obj", "3.82925048828")</f>
        <v>3.82925048828</v>
      </c>
      <c r="H1934" s="46" t="str">
        <f>HYPERLINK(AB2 &amp; "/nail/sn_e9fa13aa4b6979951cf644619c59e0de/rendering/05.obj", "4.28450164795")</f>
        <v>4.28450164795</v>
      </c>
      <c r="I1934" s="68" t="str">
        <f>HYPERLINK(AB2 &amp; "/nail/sn_e9fa13aa4b6979951cf644619c59e0de/rendering/06.obj", "4.3898449707")</f>
        <v>4.3898449707</v>
      </c>
      <c r="J1934" s="5" t="str">
        <f>HYPERLINK(AB2 &amp; "/nail/sn_e9fa13aa4b6979951cf644619c59e0de/rendering/07.obj", "3.88748962402")</f>
        <v>3.88748962402</v>
      </c>
      <c r="K1934" s="30" t="str">
        <f>HYPERLINK(AB2 &amp; "/nail/sn_e9fa13aa4b6979951cf644619c59e0de/rendering/08.obj", "4.23467895508")</f>
        <v>4.23467895508</v>
      </c>
      <c r="L1934" s="60" t="str">
        <f>HYPERLINK(AB2 &amp; "/nail/sn_e9fa13aa4b6979951cf644619c59e0de/rendering/09.obj", "3.99294006348")</f>
        <v>3.99294006348</v>
      </c>
      <c r="M1934" s="90" t="str">
        <f>HYPERLINK(AB2 &amp; "/nail/sn_e9fa13aa4b6979951cf644619c59e0de/rendering/10.obj", "3.8068182373")</f>
        <v>3.8068182373</v>
      </c>
      <c r="N1934" s="84" t="str">
        <f>HYPERLINK(AB2 &amp; "/nail/sn_e9fa13aa4b6979951cf644619c59e0de/rendering/11.obj", "4.82771911621")</f>
        <v>4.82771911621</v>
      </c>
      <c r="O1934" s="78" t="str">
        <f>HYPERLINK(AB2 &amp; "/nail/sn_e9fa13aa4b6979951cf644619c59e0de/rendering/12.obj", "4.47355041504")</f>
        <v>4.47355041504</v>
      </c>
      <c r="P1934" s="72" t="str">
        <f>HYPERLINK(AB2 &amp; "/nail/sn_e9fa13aa4b6979951cf644619c59e0de/rendering/13.obj", "4.34934661865")</f>
        <v>4.34934661865</v>
      </c>
      <c r="Q1934" s="51" t="str">
        <f>HYPERLINK(AB2 &amp; "/nail/sn_e9fa13aa4b6979951cf644619c59e0de/rendering/14.obj", "4.54869140625")</f>
        <v>4.54869140625</v>
      </c>
      <c r="R1934" s="69" t="str">
        <f>HYPERLINK(AB2 &amp; "/nail/sn_e9fa13aa4b6979951cf644619c59e0de/rendering/15.obj", "4.33896057129")</f>
        <v>4.33896057129</v>
      </c>
      <c r="S1934" s="83" t="str">
        <f>HYPERLINK(AB2 &amp; "/nail/sn_e9fa13aa4b6979951cf644619c59e0de/rendering/16.obj", "3.56939208984")</f>
        <v>3.56939208984</v>
      </c>
      <c r="T1934" s="78" t="str">
        <f>HYPERLINK(AB2 &amp; "/nail/sn_e9fa13aa4b6979951cf644619c59e0de/rendering/17.obj", "4.47542419434")</f>
        <v>4.47542419434</v>
      </c>
      <c r="U1934" s="74" t="str">
        <f>HYPERLINK(AB2 &amp; "/nail/sn_e9fa13aa4b6979951cf644619c59e0de/rendering/18.obj", "4.15876281738")</f>
        <v>4.15876281738</v>
      </c>
      <c r="V1934" s="65" t="str">
        <f>HYPERLINK(AB2 &amp; "/nail/sn_e9fa13aa4b6979951cf644619c59e0de/rendering/19.obj", "4.77530944824")</f>
        <v>4.77530944824</v>
      </c>
      <c r="W1934" s="12" t="s">
        <v>31</v>
      </c>
      <c r="X1934" s="13">
        <v>4.2156750640869136</v>
      </c>
      <c r="Y1934" s="13">
        <v>0.38078236340104787</v>
      </c>
      <c r="Z1934" s="38">
        <v>9.0325358954941842E-2</v>
      </c>
    </row>
    <row r="1935" spans="1:26" x14ac:dyDescent="0.2">
      <c r="A1935" s="1">
        <v>1933</v>
      </c>
      <c r="B1935" s="2" t="s">
        <v>419</v>
      </c>
      <c r="C1935" s="33" t="str">
        <f>HYPERLINK(AB2 &amp; "/nail/sn_e9fa13aa4b6979951cf644619c59e0de/rendering/00.obj", "1.47482776642")</f>
        <v>1.47482776642</v>
      </c>
      <c r="D1935" s="60" t="str">
        <f>HYPERLINK(AB2 &amp; "/nail/sn_e9fa13aa4b6979951cf644619c59e0de/rendering/01.obj", "1.56888222694")</f>
        <v>1.56888222694</v>
      </c>
      <c r="E1935" s="79" t="str">
        <f>HYPERLINK(AB2 &amp; "/nail/sn_e9fa13aa4b6979951cf644619c59e0de/rendering/02.obj", "1.3947198391")</f>
        <v>1.3947198391</v>
      </c>
      <c r="F1935" s="136" t="str">
        <f>HYPERLINK(AB2 &amp; "/nail/sn_e9fa13aa4b6979951cf644619c59e0de/rendering/03.obj", "2.04677891731")</f>
        <v>2.04677891731</v>
      </c>
      <c r="G1935" s="64" t="str">
        <f>HYPERLINK(AB2 &amp; "/nail/sn_e9fa13aa4b6979951cf644619c59e0de/rendering/04.obj", "1.38236224651")</f>
        <v>1.38236224651</v>
      </c>
      <c r="H1935" s="39" t="str">
        <f>HYPERLINK(AB2 &amp; "/nail/sn_e9fa13aa4b6979951cf644619c59e0de/rendering/05.obj", "1.51277327538")</f>
        <v>1.51277327538</v>
      </c>
      <c r="I1935" s="37" t="str">
        <f>HYPERLINK(AB2 &amp; "/nail/sn_e9fa13aa4b6979951cf644619c59e0de/rendering/06.obj", "1.94266486168")</f>
        <v>1.94266486168</v>
      </c>
      <c r="J1935" s="66" t="str">
        <f>HYPERLINK(AB2 &amp; "/nail/sn_e9fa13aa4b6979951cf644619c59e0de/rendering/07.obj", "1.38926792145")</f>
        <v>1.38926792145</v>
      </c>
      <c r="K1935" s="41" t="str">
        <f>HYPERLINK(AB2 &amp; "/nail/sn_e9fa13aa4b6979951cf644619c59e0de/rendering/08.obj", "1.54460811615")</f>
        <v>1.54460811615</v>
      </c>
      <c r="L1935" s="133" t="str">
        <f>HYPERLINK(AB2 &amp; "/nail/sn_e9fa13aa4b6979951cf644619c59e0de/rendering/09.obj", "1.48834741116")</f>
        <v>1.48834741116</v>
      </c>
      <c r="M1935" s="93" t="str">
        <f>HYPERLINK(AB2 &amp; "/nail/sn_e9fa13aa4b6979951cf644619c59e0de/rendering/10.obj", "1.42328119278")</f>
        <v>1.42328119278</v>
      </c>
      <c r="N1935" s="110" t="str">
        <f>HYPERLINK(AB2 &amp; "/nail/sn_e9fa13aa4b6979951cf644619c59e0de/rendering/11.obj", "1.82180821896")</f>
        <v>1.82180821896</v>
      </c>
      <c r="O1935" s="109" t="str">
        <f>HYPERLINK(AB2 &amp; "/nail/sn_e9fa13aa4b6979951cf644619c59e0de/rendering/12.obj", "1.9697535038")</f>
        <v>1.9697535038</v>
      </c>
      <c r="P1935" s="51" t="str">
        <f>HYPERLINK(AB2 &amp; "/nail/sn_e9fa13aa4b6979951cf644619c59e0de/rendering/13.obj", "1.52259373665")</f>
        <v>1.52259373665</v>
      </c>
      <c r="Q1935" s="65" t="str">
        <f>HYPERLINK(AB2 &amp; "/nail/sn_e9fa13aa4b6979951cf644619c59e0de/rendering/14.obj", "1.43723082542")</f>
        <v>1.43723082542</v>
      </c>
      <c r="R1935" s="79" t="str">
        <f>HYPERLINK(AB2 &amp; "/nail/sn_e9fa13aa4b6979951cf644619c59e0de/rendering/15.obj", "1.39270627499")</f>
        <v>1.39270627499</v>
      </c>
      <c r="S1935" s="49" t="str">
        <f>HYPERLINK(AB2 &amp; "/nail/sn_e9fa13aa4b6979951cf644619c59e0de/rendering/16.obj", "1.31017649174")</f>
        <v>1.31017649174</v>
      </c>
      <c r="T1935" s="172" t="str">
        <f>HYPERLINK(AB2 &amp; "/nail/sn_e9fa13aa4b6979951cf644619c59e0de/rendering/17.obj", "2.29428815842")</f>
        <v>2.29428815842</v>
      </c>
      <c r="U1935" s="37" t="str">
        <f>HYPERLINK(AB2 &amp; "/nail/sn_e9fa13aa4b6979951cf644619c59e0de/rendering/18.obj", "1.94639897346")</f>
        <v>1.94639897346</v>
      </c>
      <c r="V1935" s="137" t="str">
        <f>HYPERLINK(AB2 &amp; "/nail/sn_e9fa13aa4b6979951cf644619c59e0de/rendering/19.obj", "2.26338458061")</f>
        <v>2.26338458061</v>
      </c>
      <c r="W1935" s="12" t="s">
        <v>32</v>
      </c>
      <c r="X1935" s="13">
        <v>1.656342726945877</v>
      </c>
      <c r="Y1935" s="13">
        <v>0.30380433874112089</v>
      </c>
      <c r="Z1935" s="76">
        <v>0.18341876581382671</v>
      </c>
    </row>
    <row r="1936" spans="1:26" x14ac:dyDescent="0.2">
      <c r="A1936" s="1">
        <v>1934</v>
      </c>
      <c r="B1936" s="2" t="s">
        <v>419</v>
      </c>
      <c r="C1936" s="13" t="str">
        <f>HYPERLINK(AC2 &amp; "/nail/sn_e9fa13aa4b6979951cf644619c59e0de/rendering/00.xyz", "0.0")</f>
        <v>0.0</v>
      </c>
      <c r="D1936" s="13" t="str">
        <f>HYPERLINK(AC2 &amp; "/nail/sn_e9fa13aa4b6979951cf644619c59e0de/rendering/01.xyz", "0.0")</f>
        <v>0.0</v>
      </c>
      <c r="E1936" s="13" t="str">
        <f>HYPERLINK(AC2 &amp; "/nail/sn_e9fa13aa4b6979951cf644619c59e0de/rendering/02.xyz", "0.0")</f>
        <v>0.0</v>
      </c>
      <c r="F1936" s="13" t="str">
        <f>HYPERLINK(AC2 &amp; "/nail/sn_e9fa13aa4b6979951cf644619c59e0de/rendering/03.xyz", "0.0")</f>
        <v>0.0</v>
      </c>
      <c r="G1936" s="13" t="str">
        <f>HYPERLINK(AC2 &amp; "/nail/sn_e9fa13aa4b6979951cf644619c59e0de/rendering/04.xyz", "0.0")</f>
        <v>0.0</v>
      </c>
      <c r="H1936" s="13" t="str">
        <f>HYPERLINK(AC2 &amp; "/nail/sn_e9fa13aa4b6979951cf644619c59e0de/rendering/05.xyz", "0.0")</f>
        <v>0.0</v>
      </c>
      <c r="I1936" s="13" t="str">
        <f>HYPERLINK(AC2 &amp; "/nail/sn_e9fa13aa4b6979951cf644619c59e0de/rendering/06.xyz", "0.0")</f>
        <v>0.0</v>
      </c>
      <c r="J1936" s="13" t="str">
        <f>HYPERLINK(AC2 &amp; "/nail/sn_e9fa13aa4b6979951cf644619c59e0de/rendering/07.xyz", "0.0")</f>
        <v>0.0</v>
      </c>
      <c r="K1936" s="13" t="str">
        <f>HYPERLINK(AC2 &amp; "/nail/sn_e9fa13aa4b6979951cf644619c59e0de/rendering/08.xyz", "0.0")</f>
        <v>0.0</v>
      </c>
      <c r="L1936" s="13" t="str">
        <f>HYPERLINK(AC2 &amp; "/nail/sn_e9fa13aa4b6979951cf644619c59e0de/rendering/09.xyz", "0.0")</f>
        <v>0.0</v>
      </c>
      <c r="M1936" s="13" t="str">
        <f>HYPERLINK(AC2 &amp; "/nail/sn_e9fa13aa4b6979951cf644619c59e0de/rendering/10.xyz", "0.0")</f>
        <v>0.0</v>
      </c>
      <c r="N1936" s="13" t="str">
        <f>HYPERLINK(AC2 &amp; "/nail/sn_e9fa13aa4b6979951cf644619c59e0de/rendering/11.xyz", "0.0")</f>
        <v>0.0</v>
      </c>
      <c r="O1936" s="13" t="str">
        <f>HYPERLINK(AC2 &amp; "/nail/sn_e9fa13aa4b6979951cf644619c59e0de/rendering/12.xyz", "0.0")</f>
        <v>0.0</v>
      </c>
      <c r="P1936" s="13" t="str">
        <f>HYPERLINK(AC2 &amp; "/nail/sn_e9fa13aa4b6979951cf644619c59e0de/rendering/13.xyz", "0.0")</f>
        <v>0.0</v>
      </c>
      <c r="Q1936" s="13" t="str">
        <f>HYPERLINK(AC2 &amp; "/nail/sn_e9fa13aa4b6979951cf644619c59e0de/rendering/14.xyz", "0.0")</f>
        <v>0.0</v>
      </c>
      <c r="R1936" s="13" t="str">
        <f>HYPERLINK(AC2 &amp; "/nail/sn_e9fa13aa4b6979951cf644619c59e0de/rendering/15.xyz", "0.0")</f>
        <v>0.0</v>
      </c>
      <c r="S1936" s="13" t="str">
        <f>HYPERLINK(AC2 &amp; "/nail/sn_e9fa13aa4b6979951cf644619c59e0de/rendering/16.xyz", "0.0")</f>
        <v>0.0</v>
      </c>
      <c r="T1936" s="13" t="str">
        <f>HYPERLINK(AC2 &amp; "/nail/sn_e9fa13aa4b6979951cf644619c59e0de/rendering/17.xyz", "0.0")</f>
        <v>0.0</v>
      </c>
      <c r="U1936" s="13" t="str">
        <f>HYPERLINK(AC2 &amp; "/nail/sn_e9fa13aa4b6979951cf644619c59e0de/rendering/18.xyz", "0.0")</f>
        <v>0.0</v>
      </c>
      <c r="V1936" s="13" t="str">
        <f>HYPERLINK(AC2 &amp; "/nail/sn_e9fa13aa4b6979951cf644619c59e0de/rendering/19.xyz", "0.0")</f>
        <v>0.0</v>
      </c>
      <c r="W1936" s="12" t="s">
        <v>33</v>
      </c>
      <c r="X1936" s="13">
        <v>0</v>
      </c>
      <c r="Y1936" s="13">
        <v>0</v>
      </c>
      <c r="Z1936" s="13">
        <v>0</v>
      </c>
    </row>
    <row r="1937" spans="1:26" x14ac:dyDescent="0.2">
      <c r="A1937" s="1">
        <v>1935</v>
      </c>
      <c r="B1937" s="2" t="s">
        <v>420</v>
      </c>
      <c r="C1937" s="30" t="str">
        <f>HYPERLINK(AA2 &amp; "/nail/sn_f5315e52d5c498446a498af1e79a3e17/rendering/00.obj", "3.77109344482")</f>
        <v>3.77109344482</v>
      </c>
      <c r="D1937" s="74" t="str">
        <f>HYPERLINK(AA2 &amp; "/nail/sn_f5315e52d5c498446a498af1e79a3e17/rendering/01.obj", "3.85067749023")</f>
        <v>3.85067749023</v>
      </c>
      <c r="E1937" s="23" t="str">
        <f>HYPERLINK(AA2 &amp; "/nail/sn_f5315e52d5c498446a498af1e79a3e17/rendering/02.obj", "3.64708648682")</f>
        <v>3.64708648682</v>
      </c>
      <c r="F1937" s="48" t="str">
        <f>HYPERLINK(AA2 &amp; "/nail/sn_f5315e52d5c498446a498af1e79a3e17/rendering/03.obj", "3.70182128906")</f>
        <v>3.70182128906</v>
      </c>
      <c r="G1937" s="13" t="str">
        <f>HYPERLINK(AA2 &amp; "/nail/sn_f5315e52d5c498446a498af1e79a3e17/rendering/04.obj", "3.79523742676")</f>
        <v>3.79523742676</v>
      </c>
      <c r="H1937" s="91" t="str">
        <f>HYPERLINK(AA2 &amp; "/nail/sn_f5315e52d5c498446a498af1e79a3e17/rendering/05.obj", "3.89718933105")</f>
        <v>3.89718933105</v>
      </c>
      <c r="I1937" s="68" t="str">
        <f>HYPERLINK(AA2 &amp; "/nail/sn_f5315e52d5c498446a498af1e79a3e17/rendering/06.obj", "3.63160644531")</f>
        <v>3.63160644531</v>
      </c>
      <c r="J1937" s="23" t="str">
        <f>HYPERLINK(AA2 &amp; "/nail/sn_f5315e52d5c498446a498af1e79a3e17/rendering/07.obj", "3.93651855469")</f>
        <v>3.93651855469</v>
      </c>
      <c r="K1937" s="17" t="str">
        <f>HYPERLINK(AA2 &amp; "/nail/sn_f5315e52d5c498446a498af1e79a3e17/rendering/08.obj", "3.86959014893")</f>
        <v>3.86959014893</v>
      </c>
      <c r="L1937" s="73" t="str">
        <f>HYPERLINK(AA2 &amp; "/nail/sn_f5315e52d5c498446a498af1e79a3e17/rendering/09.obj", "3.92904785156")</f>
        <v>3.92904785156</v>
      </c>
      <c r="M1937" s="13" t="str">
        <f>HYPERLINK(AA2 &amp; "/nail/sn_f5315e52d5c498446a498af1e79a3e17/rendering/10.obj", "3.80260681152")</f>
        <v>3.80260681152</v>
      </c>
      <c r="N1937" s="91" t="str">
        <f>HYPERLINK(AA2 &amp; "/nail/sn_f5315e52d5c498446a498af1e79a3e17/rendering/11.obj", "3.89835144043")</f>
        <v>3.89835144043</v>
      </c>
      <c r="O1937" s="73" t="str">
        <f>HYPERLINK(AA2 &amp; "/nail/sn_f5315e52d5c498446a498af1e79a3e17/rendering/12.obj", "3.65481872559")</f>
        <v>3.65481872559</v>
      </c>
      <c r="P1937" s="25" t="str">
        <f>HYPERLINK(AA2 &amp; "/nail/sn_f5315e52d5c498446a498af1e79a3e17/rendering/13.obj", "3.75410095215")</f>
        <v>3.75410095215</v>
      </c>
      <c r="Q1937" s="91" t="str">
        <f>HYPERLINK(AA2 &amp; "/nail/sn_f5315e52d5c498446a498af1e79a3e17/rendering/14.obj", "3.88874938965")</f>
        <v>3.88874938965</v>
      </c>
      <c r="R1937" s="73" t="str">
        <f>HYPERLINK(AA2 &amp; "/nail/sn_f5315e52d5c498446a498af1e79a3e17/rendering/15.obj", "3.65299438477")</f>
        <v>3.65299438477</v>
      </c>
      <c r="S1937" s="46" t="str">
        <f>HYPERLINK(AA2 &amp; "/nail/sn_f5315e52d5c498446a498af1e79a3e17/rendering/16.obj", "3.72309082031")</f>
        <v>3.72309082031</v>
      </c>
      <c r="T1937" s="69" t="str">
        <f>HYPERLINK(AA2 &amp; "/nail/sn_f5315e52d5c498446a498af1e79a3e17/rendering/17.obj", "3.68132415771")</f>
        <v>3.68132415771</v>
      </c>
      <c r="U1937" s="91" t="str">
        <f>HYPERLINK(AA2 &amp; "/nail/sn_f5315e52d5c498446a498af1e79a3e17/rendering/18.obj", "3.88993286133")</f>
        <v>3.88993286133</v>
      </c>
      <c r="V1937" s="91" t="str">
        <f>HYPERLINK(AA2 &amp; "/nail/sn_f5315e52d5c498446a498af1e79a3e17/rendering/19.obj", "3.89207641602")</f>
        <v>3.89207641602</v>
      </c>
      <c r="W1937" s="12" t="s">
        <v>29</v>
      </c>
      <c r="X1937" s="13">
        <v>3.7933957214355472</v>
      </c>
      <c r="Y1937" s="13">
        <v>0.103060068326702</v>
      </c>
      <c r="Z1937" s="91">
        <v>2.7168288229022591E-2</v>
      </c>
    </row>
    <row r="1938" spans="1:26" x14ac:dyDescent="0.2">
      <c r="A1938" s="1">
        <v>1936</v>
      </c>
      <c r="B1938" s="2" t="s">
        <v>420</v>
      </c>
      <c r="C1938" s="30" t="str">
        <f>HYPERLINK(AA2 &amp; "/nail/sn_f5315e52d5c498446a498af1e79a3e17/rendering/00.obj", "1.23082506657")</f>
        <v>1.23082506657</v>
      </c>
      <c r="D1938" s="34" t="str">
        <f>HYPERLINK(AA2 &amp; "/nail/sn_f5315e52d5c498446a498af1e79a3e17/rendering/01.obj", "1.29849541187")</f>
        <v>1.29849541187</v>
      </c>
      <c r="E1938" s="25" t="str">
        <f>HYPERLINK(AA2 &amp; "/nail/sn_f5315e52d5c498446a498af1e79a3e17/rendering/02.obj", "1.22309017181")</f>
        <v>1.22309017181</v>
      </c>
      <c r="F1938" s="91" t="str">
        <f>HYPERLINK(AA2 &amp; "/nail/sn_f5315e52d5c498446a498af1e79a3e17/rendering/03.obj", "1.2041529417")</f>
        <v>1.2041529417</v>
      </c>
      <c r="G1938" s="34" t="str">
        <f>HYPERLINK(AA2 &amp; "/nail/sn_f5315e52d5c498446a498af1e79a3e17/rendering/04.obj", "1.17563664913")</f>
        <v>1.17563664913</v>
      </c>
      <c r="H1938" s="60" t="str">
        <f>HYPERLINK(AA2 &amp; "/nail/sn_f5315e52d5c498446a498af1e79a3e17/rendering/05.obj", "1.17272949219")</f>
        <v>1.17272949219</v>
      </c>
      <c r="I1938" s="10" t="str">
        <f>HYPERLINK(AA2 &amp; "/nail/sn_f5315e52d5c498446a498af1e79a3e17/rendering/06.obj", "1.1673181057")</f>
        <v>1.1673181057</v>
      </c>
      <c r="J1938" s="5" t="str">
        <f>HYPERLINK(AA2 &amp; "/nail/sn_f5315e52d5c498446a498af1e79a3e17/rendering/07.obj", "1.33186042309")</f>
        <v>1.33186042309</v>
      </c>
      <c r="K1938" s="10" t="str">
        <f>HYPERLINK(AA2 &amp; "/nail/sn_f5315e52d5c498446a498af1e79a3e17/rendering/08.obj", "1.30302894115")</f>
        <v>1.30302894115</v>
      </c>
      <c r="L1938" s="90" t="str">
        <f>HYPERLINK(AA2 &amp; "/nail/sn_f5315e52d5c498446a498af1e79a3e17/rendering/09.obj", "1.35309505463")</f>
        <v>1.35309505463</v>
      </c>
      <c r="M1938" s="48" t="str">
        <f>HYPERLINK(AA2 &amp; "/nail/sn_f5315e52d5c498446a498af1e79a3e17/rendering/10.obj", "1.20704460144")</f>
        <v>1.20704460144</v>
      </c>
      <c r="N1938" s="23" t="str">
        <f>HYPERLINK(AA2 &amp; "/nail/sn_f5315e52d5c498446a498af1e79a3e17/rendering/11.obj", "1.28658378124")</f>
        <v>1.28658378124</v>
      </c>
      <c r="O1938" s="34" t="str">
        <f>HYPERLINK(AA2 &amp; "/nail/sn_f5315e52d5c498446a498af1e79a3e17/rendering/12.obj", "1.17486262321")</f>
        <v>1.17486262321</v>
      </c>
      <c r="P1938" s="78" t="str">
        <f>HYPERLINK(AA2 &amp; "/nail/sn_f5315e52d5c498446a498af1e79a3e17/rendering/13.obj", "1.16083168983")</f>
        <v>1.16083168983</v>
      </c>
      <c r="Q1938" s="26" t="str">
        <f>HYPERLINK(AA2 &amp; "/nail/sn_f5315e52d5c498446a498af1e79a3e17/rendering/14.obj", "1.31778454781")</f>
        <v>1.31778454781</v>
      </c>
      <c r="R1938" s="74" t="str">
        <f>HYPERLINK(AA2 &amp; "/nail/sn_f5315e52d5c498446a498af1e79a3e17/rendering/15.obj", "1.25296115875")</f>
        <v>1.25296115875</v>
      </c>
      <c r="S1938" s="60" t="str">
        <f>HYPERLINK(AA2 &amp; "/nail/sn_f5315e52d5c498446a498af1e79a3e17/rendering/16.obj", "1.17130351067")</f>
        <v>1.17130351067</v>
      </c>
      <c r="T1938" s="30" t="str">
        <f>HYPERLINK(AA2 &amp; "/nail/sn_f5315e52d5c498446a498af1e79a3e17/rendering/17.obj", "1.23204755783")</f>
        <v>1.23204755783</v>
      </c>
      <c r="U1938" s="25" t="str">
        <f>HYPERLINK(AA2 &amp; "/nail/sn_f5315e52d5c498446a498af1e79a3e17/rendering/18.obj", "1.25097692013")</f>
        <v>1.25097692013</v>
      </c>
      <c r="V1938" s="46" t="str">
        <f>HYPERLINK(AA2 &amp; "/nail/sn_f5315e52d5c498446a498af1e79a3e17/rendering/19.obj", "1.21438694")</f>
        <v>1.21438694</v>
      </c>
      <c r="W1938" s="12" t="s">
        <v>30</v>
      </c>
      <c r="X1938" s="13">
        <v>1.2364507794380191</v>
      </c>
      <c r="Y1938" s="13">
        <v>5.8958039096423193E-2</v>
      </c>
      <c r="Z1938" s="34">
        <v>4.7683288390355738E-2</v>
      </c>
    </row>
    <row r="1939" spans="1:26" x14ac:dyDescent="0.2">
      <c r="A1939" s="1">
        <v>1937</v>
      </c>
      <c r="B1939" s="2" t="s">
        <v>420</v>
      </c>
      <c r="C1939" s="46" t="str">
        <f>HYPERLINK(AB2 &amp; "/nail/sn_f5315e52d5c498446a498af1e79a3e17/rendering/00.obj", "4.45395629883")</f>
        <v>4.45395629883</v>
      </c>
      <c r="D1939" s="46" t="str">
        <f>HYPERLINK(AB2 &amp; "/nail/sn_f5315e52d5c498446a498af1e79a3e17/rendering/01.obj", "4.4645703125")</f>
        <v>4.4645703125</v>
      </c>
      <c r="E1939" s="25" t="str">
        <f>HYPERLINK(AB2 &amp; "/nail/sn_f5315e52d5c498446a498af1e79a3e17/rendering/02.obj", "4.49235656738")</f>
        <v>4.49235656738</v>
      </c>
      <c r="F1939" s="35" t="str">
        <f>HYPERLINK(AB2 &amp; "/nail/sn_f5315e52d5c498446a498af1e79a3e17/rendering/03.obj", "4.26884460449")</f>
        <v>4.26884460449</v>
      </c>
      <c r="G1939" s="25" t="str">
        <f>HYPERLINK(AB2 &amp; "/nail/sn_f5315e52d5c498446a498af1e79a3e17/rendering/04.obj", "4.58974121094")</f>
        <v>4.58974121094</v>
      </c>
      <c r="H1939" s="91" t="str">
        <f>HYPERLINK(AB2 &amp; "/nail/sn_f5315e52d5c498446a498af1e79a3e17/rendering/05.obj", "4.66138122559")</f>
        <v>4.66138122559</v>
      </c>
      <c r="I1939" s="68" t="str">
        <f>HYPERLINK(AB2 &amp; "/nail/sn_f5315e52d5c498446a498af1e79a3e17/rendering/06.obj", "4.34096984863")</f>
        <v>4.34096984863</v>
      </c>
      <c r="J1939" s="60" t="str">
        <f>HYPERLINK(AB2 &amp; "/nail/sn_f5315e52d5c498446a498af1e79a3e17/rendering/07.obj", "4.77366241455")</f>
        <v>4.77366241455</v>
      </c>
      <c r="K1939" s="25" t="str">
        <f>HYPERLINK(AB2 &amp; "/nail/sn_f5315e52d5c498446a498af1e79a3e17/rendering/08.obj", "4.48293609619")</f>
        <v>4.48293609619</v>
      </c>
      <c r="L1939" s="5" t="str">
        <f>HYPERLINK(AB2 &amp; "/nail/sn_f5315e52d5c498446a498af1e79a3e17/rendering/09.obj", "4.87949920654")</f>
        <v>4.87949920654</v>
      </c>
      <c r="M1939" s="47" t="str">
        <f>HYPERLINK(AB2 &amp; "/nail/sn_f5315e52d5c498446a498af1e79a3e17/rendering/10.obj", "4.5694934082")</f>
        <v>4.5694934082</v>
      </c>
      <c r="N1939" s="46" t="str">
        <f>HYPERLINK(AB2 &amp; "/nail/sn_f5315e52d5c498446a498af1e79a3e17/rendering/11.obj", "4.61800506592")</f>
        <v>4.61800506592</v>
      </c>
      <c r="O1939" s="91" t="str">
        <f>HYPERLINK(AB2 &amp; "/nail/sn_f5315e52d5c498446a498af1e79a3e17/rendering/12.obj", "4.42164215088")</f>
        <v>4.42164215088</v>
      </c>
      <c r="P1939" s="13" t="str">
        <f>HYPERLINK(AB2 &amp; "/nail/sn_f5315e52d5c498446a498af1e79a3e17/rendering/13.obj", "4.54535827637")</f>
        <v>4.54535827637</v>
      </c>
      <c r="Q1939" s="26" t="str">
        <f>HYPERLINK(AB2 &amp; "/nail/sn_f5315e52d5c498446a498af1e79a3e17/rendering/14.obj", "4.8260333252")</f>
        <v>4.8260333252</v>
      </c>
      <c r="R1939" s="17" t="str">
        <f>HYPERLINK(AB2 &amp; "/nail/sn_f5315e52d5c498446a498af1e79a3e17/rendering/15.obj", "4.44685577393")</f>
        <v>4.44685577393</v>
      </c>
      <c r="S1939" s="73" t="str">
        <f>HYPERLINK(AB2 &amp; "/nail/sn_f5315e52d5c498446a498af1e79a3e17/rendering/16.obj", "4.37823608398")</f>
        <v>4.37823608398</v>
      </c>
      <c r="T1939" s="23" t="str">
        <f>HYPERLINK(AB2 &amp; "/nail/sn_f5315e52d5c498446a498af1e79a3e17/rendering/17.obj", "4.35989349365")</f>
        <v>4.35989349365</v>
      </c>
      <c r="U1939" s="47" t="str">
        <f>HYPERLINK(AB2 &amp; "/nail/sn_f5315e52d5c498446a498af1e79a3e17/rendering/18.obj", "4.5646875")</f>
        <v>4.5646875</v>
      </c>
      <c r="V1939" s="25" t="str">
        <f>HYPERLINK(AB2 &amp; "/nail/sn_f5315e52d5c498446a498af1e79a3e17/rendering/19.obj", "4.58631469727")</f>
        <v>4.58631469727</v>
      </c>
      <c r="W1939" s="12" t="s">
        <v>31</v>
      </c>
      <c r="X1939" s="13">
        <v>4.5362218780517578</v>
      </c>
      <c r="Y1939" s="13">
        <v>0.1567451478990361</v>
      </c>
      <c r="Z1939" s="73">
        <v>3.4554118407972567E-2</v>
      </c>
    </row>
    <row r="1940" spans="1:26" x14ac:dyDescent="0.2">
      <c r="A1940" s="1">
        <v>1938</v>
      </c>
      <c r="B1940" s="2" t="s">
        <v>420</v>
      </c>
      <c r="C1940" s="13" t="str">
        <f>HYPERLINK(AB2 &amp; "/nail/sn_f5315e52d5c498446a498af1e79a3e17/rendering/00.obj", "1.3841201067")</f>
        <v>1.3841201067</v>
      </c>
      <c r="D1940" s="69" t="str">
        <f>HYPERLINK(AB2 &amp; "/nail/sn_f5315e52d5c498446a498af1e79a3e17/rendering/01.obj", "1.4242619276")</f>
        <v>1.4242619276</v>
      </c>
      <c r="E1940" s="6" t="str">
        <f>HYPERLINK(AB2 &amp; "/nail/sn_f5315e52d5c498446a498af1e79a3e17/rendering/02.obj", "1.44887018204")</f>
        <v>1.44887018204</v>
      </c>
      <c r="F1940" s="69" t="str">
        <f>HYPERLINK(AB2 &amp; "/nail/sn_f5315e52d5c498446a498af1e79a3e17/rendering/03.obj", "1.34446275234")</f>
        <v>1.34446275234</v>
      </c>
      <c r="G1940" s="23" t="str">
        <f>HYPERLINK(AB2 &amp; "/nail/sn_f5315e52d5c498446a498af1e79a3e17/rendering/04.obj", "1.32821035385")</f>
        <v>1.32821035385</v>
      </c>
      <c r="H1940" s="6" t="str">
        <f>HYPERLINK(AB2 &amp; "/nail/sn_f5315e52d5c498446a498af1e79a3e17/rendering/05.obj", "1.32333266735")</f>
        <v>1.32333266735</v>
      </c>
      <c r="I1940" s="69" t="str">
        <f>HYPERLINK(AB2 &amp; "/nail/sn_f5315e52d5c498446a498af1e79a3e17/rendering/06.obj", "1.34279227257")</f>
        <v>1.34279227257</v>
      </c>
      <c r="J1940" s="13" t="str">
        <f>HYPERLINK(AB2 &amp; "/nail/sn_f5315e52d5c498446a498af1e79a3e17/rendering/07.obj", "1.38136672974")</f>
        <v>1.38136672974</v>
      </c>
      <c r="K1940" s="30" t="str">
        <f>HYPERLINK(AB2 &amp; "/nail/sn_f5315e52d5c498446a498af1e79a3e17/rendering/08.obj", "1.37833499908")</f>
        <v>1.37833499908</v>
      </c>
      <c r="L1940" s="91" t="str">
        <f>HYPERLINK(AB2 &amp; "/nail/sn_f5315e52d5c498446a498af1e79a3e17/rendering/09.obj", "1.42337107658")</f>
        <v>1.42337107658</v>
      </c>
      <c r="M1940" s="30" t="str">
        <f>HYPERLINK(AB2 &amp; "/nail/sn_f5315e52d5c498446a498af1e79a3e17/rendering/10.obj", "1.37825107574")</f>
        <v>1.37825107574</v>
      </c>
      <c r="N1940" s="30" t="str">
        <f>HYPERLINK(AB2 &amp; "/nail/sn_f5315e52d5c498446a498af1e79a3e17/rendering/11.obj", "1.38878452778")</f>
        <v>1.38878452778</v>
      </c>
      <c r="O1940" s="60" t="str">
        <f>HYPERLINK(AB2 &amp; "/nail/sn_f5315e52d5c498446a498af1e79a3e17/rendering/12.obj", "1.31439173222")</f>
        <v>1.31439173222</v>
      </c>
      <c r="P1940" s="30" t="str">
        <f>HYPERLINK(AB2 &amp; "/nail/sn_f5315e52d5c498446a498af1e79a3e17/rendering/13.obj", "1.37726736069")</f>
        <v>1.37726736069</v>
      </c>
      <c r="Q1940" s="68" t="str">
        <f>HYPERLINK(AB2 &amp; "/nail/sn_f5315e52d5c498446a498af1e79a3e17/rendering/14.obj", "1.44378960133")</f>
        <v>1.44378960133</v>
      </c>
      <c r="R1940" s="13" t="str">
        <f>HYPERLINK(AB2 &amp; "/nail/sn_f5315e52d5c498446a498af1e79a3e17/rendering/15.obj", "1.3886204958")</f>
        <v>1.3886204958</v>
      </c>
      <c r="S1940" s="74" t="str">
        <f>HYPERLINK(AB2 &amp; "/nail/sn_f5315e52d5c498446a498af1e79a3e17/rendering/16.obj", "1.36458659172")</f>
        <v>1.36458659172</v>
      </c>
      <c r="T1940" s="60" t="str">
        <f>HYPERLINK(AB2 &amp; "/nail/sn_f5315e52d5c498446a498af1e79a3e17/rendering/17.obj", "1.45488810539")</f>
        <v>1.45488810539</v>
      </c>
      <c r="U1940" s="13" t="str">
        <f>HYPERLINK(AB2 &amp; "/nail/sn_f5315e52d5c498446a498af1e79a3e17/rendering/18.obj", "1.38232600689")</f>
        <v>1.38232600689</v>
      </c>
      <c r="V1940" s="48" t="str">
        <f>HYPERLINK(AB2 &amp; "/nail/sn_f5315e52d5c498446a498af1e79a3e17/rendering/19.obj", "1.41633820534")</f>
        <v>1.41633820534</v>
      </c>
      <c r="W1940" s="12" t="s">
        <v>32</v>
      </c>
      <c r="X1940" s="13">
        <v>1.384418338537216</v>
      </c>
      <c r="Y1940" s="13">
        <v>4.0287937747860617E-2</v>
      </c>
      <c r="Z1940" s="69">
        <v>2.910098532097535E-2</v>
      </c>
    </row>
    <row r="1941" spans="1:26" x14ac:dyDescent="0.2">
      <c r="A1941" s="1">
        <v>1939</v>
      </c>
      <c r="B1941" s="2" t="s">
        <v>420</v>
      </c>
      <c r="C1941" s="13" t="str">
        <f>HYPERLINK(AC2 &amp; "/nail/sn_f5315e52d5c498446a498af1e79a3e17/rendering/00.xyz", "0.0")</f>
        <v>0.0</v>
      </c>
      <c r="D1941" s="13" t="str">
        <f>HYPERLINK(AC2 &amp; "/nail/sn_f5315e52d5c498446a498af1e79a3e17/rendering/01.xyz", "0.0")</f>
        <v>0.0</v>
      </c>
      <c r="E1941" s="13" t="str">
        <f>HYPERLINK(AC2 &amp; "/nail/sn_f5315e52d5c498446a498af1e79a3e17/rendering/02.xyz", "0.0")</f>
        <v>0.0</v>
      </c>
      <c r="F1941" s="13" t="str">
        <f>HYPERLINK(AC2 &amp; "/nail/sn_f5315e52d5c498446a498af1e79a3e17/rendering/03.xyz", "0.0")</f>
        <v>0.0</v>
      </c>
      <c r="G1941" s="13" t="str">
        <f>HYPERLINK(AC2 &amp; "/nail/sn_f5315e52d5c498446a498af1e79a3e17/rendering/04.xyz", "0.0")</f>
        <v>0.0</v>
      </c>
      <c r="H1941" s="13" t="str">
        <f>HYPERLINK(AC2 &amp; "/nail/sn_f5315e52d5c498446a498af1e79a3e17/rendering/05.xyz", "0.0")</f>
        <v>0.0</v>
      </c>
      <c r="I1941" s="13" t="str">
        <f>HYPERLINK(AC2 &amp; "/nail/sn_f5315e52d5c498446a498af1e79a3e17/rendering/06.xyz", "0.0")</f>
        <v>0.0</v>
      </c>
      <c r="J1941" s="13" t="str">
        <f>HYPERLINK(AC2 &amp; "/nail/sn_f5315e52d5c498446a498af1e79a3e17/rendering/07.xyz", "0.0")</f>
        <v>0.0</v>
      </c>
      <c r="K1941" s="13" t="str">
        <f>HYPERLINK(AC2 &amp; "/nail/sn_f5315e52d5c498446a498af1e79a3e17/rendering/08.xyz", "0.0")</f>
        <v>0.0</v>
      </c>
      <c r="L1941" s="13" t="str">
        <f>HYPERLINK(AC2 &amp; "/nail/sn_f5315e52d5c498446a498af1e79a3e17/rendering/09.xyz", "0.0")</f>
        <v>0.0</v>
      </c>
      <c r="M1941" s="13" t="str">
        <f>HYPERLINK(AC2 &amp; "/nail/sn_f5315e52d5c498446a498af1e79a3e17/rendering/10.xyz", "0.0")</f>
        <v>0.0</v>
      </c>
      <c r="N1941" s="13" t="str">
        <f>HYPERLINK(AC2 &amp; "/nail/sn_f5315e52d5c498446a498af1e79a3e17/rendering/11.xyz", "0.0")</f>
        <v>0.0</v>
      </c>
      <c r="O1941" s="13" t="str">
        <f>HYPERLINK(AC2 &amp; "/nail/sn_f5315e52d5c498446a498af1e79a3e17/rendering/12.xyz", "0.0")</f>
        <v>0.0</v>
      </c>
      <c r="P1941" s="13" t="str">
        <f>HYPERLINK(AC2 &amp; "/nail/sn_f5315e52d5c498446a498af1e79a3e17/rendering/13.xyz", "0.0")</f>
        <v>0.0</v>
      </c>
      <c r="Q1941" s="13" t="str">
        <f>HYPERLINK(AC2 &amp; "/nail/sn_f5315e52d5c498446a498af1e79a3e17/rendering/14.xyz", "0.0")</f>
        <v>0.0</v>
      </c>
      <c r="R1941" s="13" t="str">
        <f>HYPERLINK(AC2 &amp; "/nail/sn_f5315e52d5c498446a498af1e79a3e17/rendering/15.xyz", "0.0")</f>
        <v>0.0</v>
      </c>
      <c r="S1941" s="13" t="str">
        <f>HYPERLINK(AC2 &amp; "/nail/sn_f5315e52d5c498446a498af1e79a3e17/rendering/16.xyz", "0.0")</f>
        <v>0.0</v>
      </c>
      <c r="T1941" s="13" t="str">
        <f>HYPERLINK(AC2 &amp; "/nail/sn_f5315e52d5c498446a498af1e79a3e17/rendering/17.xyz", "0.0")</f>
        <v>0.0</v>
      </c>
      <c r="U1941" s="13" t="str">
        <f>HYPERLINK(AC2 &amp; "/nail/sn_f5315e52d5c498446a498af1e79a3e17/rendering/18.xyz", "0.0")</f>
        <v>0.0</v>
      </c>
      <c r="V1941" s="13" t="str">
        <f>HYPERLINK(AC2 &amp; "/nail/sn_f5315e52d5c498446a498af1e79a3e17/rendering/19.xyz", "0.0")</f>
        <v>0.0</v>
      </c>
      <c r="W1941" s="12" t="s">
        <v>33</v>
      </c>
      <c r="X1941" s="13">
        <v>0</v>
      </c>
      <c r="Y1941" s="13">
        <v>0</v>
      </c>
      <c r="Z1941" s="13">
        <v>0</v>
      </c>
    </row>
    <row r="1942" spans="1:26" x14ac:dyDescent="0.2">
      <c r="A1942" s="1">
        <v>1940</v>
      </c>
      <c r="B1942" s="2" t="s">
        <v>421</v>
      </c>
      <c r="C1942" s="175" t="str">
        <f>HYPERLINK(AA2 &amp; "/nail/sn_fbaa929cb56c6178f5993ac337e655ec/rendering/00.obj", "3.87332824707")</f>
        <v>3.87332824707</v>
      </c>
      <c r="D1942" s="86" t="str">
        <f>HYPERLINK(AA2 &amp; "/nail/sn_fbaa929cb56c6178f5993ac337e655ec/rendering/01.obj", "3.70121246338")</f>
        <v>3.70121246338</v>
      </c>
      <c r="E1942" s="24" t="str">
        <f>HYPERLINK(AA2 &amp; "/nail/sn_fbaa929cb56c6178f5993ac337e655ec/rendering/02.obj", "4.21432800293")</f>
        <v>4.21432800293</v>
      </c>
      <c r="F1942" s="63" t="str">
        <f>HYPERLINK(AA2 &amp; "/nail/sn_fbaa929cb56c6178f5993ac337e655ec/rendering/03.obj", "4.4530645752")</f>
        <v>4.4530645752</v>
      </c>
      <c r="G1942" s="20" t="str">
        <f>HYPERLINK(AA2 &amp; "/nail/sn_fbaa929cb56c6178f5993ac337e655ec/rendering/04.obj", "13.6080517578")</f>
        <v>13.6080517578</v>
      </c>
      <c r="H1942" s="152" t="str">
        <f>HYPERLINK(AA2 &amp; "/nail/sn_fbaa929cb56c6178f5993ac337e655ec/rendering/05.obj", "3.00121520996")</f>
        <v>3.00121520996</v>
      </c>
      <c r="I1942" s="56" t="str">
        <f>HYPERLINK(AA2 &amp; "/nail/sn_fbaa929cb56c6178f5993ac337e655ec/rendering/06.obj", "3.49741119385")</f>
        <v>3.49741119385</v>
      </c>
      <c r="J1942" s="169" t="str">
        <f>HYPERLINK(AA2 &amp; "/nail/sn_fbaa929cb56c6178f5993ac337e655ec/rendering/07.obj", "3.47417175293")</f>
        <v>3.47417175293</v>
      </c>
      <c r="K1942" s="49" t="str">
        <f>HYPERLINK(AA2 &amp; "/nail/sn_fbaa929cb56c6178f5993ac337e655ec/rendering/08.obj", "3.99771240234")</f>
        <v>3.99771240234</v>
      </c>
      <c r="L1942" s="138" t="str">
        <f>HYPERLINK(AA2 &amp; "/nail/sn_fbaa929cb56c6178f5993ac337e655ec/rendering/09.obj", "3.34669281006")</f>
        <v>3.34669281006</v>
      </c>
      <c r="M1942" s="100" t="str">
        <f>HYPERLINK(AA2 &amp; "/nail/sn_fbaa929cb56c6178f5993ac337e655ec/rendering/10.obj", "3.54793060303")</f>
        <v>3.54793060303</v>
      </c>
      <c r="N1942" s="20" t="str">
        <f>HYPERLINK(AA2 &amp; "/nail/sn_fbaa929cb56c6178f5993ac337e655ec/rendering/11.obj", "15.0798706055")</f>
        <v>15.0798706055</v>
      </c>
      <c r="O1942" s="203" t="str">
        <f>HYPERLINK(AA2 &amp; "/nail/sn_fbaa929cb56c6178f5993ac337e655ec/rendering/12.obj", "2.70293273926")</f>
        <v>2.70293273926</v>
      </c>
      <c r="P1942" s="168" t="str">
        <f>HYPERLINK(AA2 &amp; "/nail/sn_fbaa929cb56c6178f5993ac337e655ec/rendering/13.obj", "3.42724395752")</f>
        <v>3.42724395752</v>
      </c>
      <c r="Q1942" s="129" t="str">
        <f>HYPERLINK(AA2 &amp; "/nail/sn_fbaa929cb56c6178f5993ac337e655ec/rendering/14.obj", "3.79173492432")</f>
        <v>3.79173492432</v>
      </c>
      <c r="R1942" s="118" t="str">
        <f>HYPERLINK(AA2 &amp; "/nail/sn_fbaa929cb56c6178f5993ac337e655ec/rendering/15.obj", "3.58229492187")</f>
        <v>3.58229492187</v>
      </c>
      <c r="S1942" s="36" t="str">
        <f>HYPERLINK(AA2 &amp; "/nail/sn_fbaa929cb56c6178f5993ac337e655ec/rendering/16.obj", "3.97999694824")</f>
        <v>3.97999694824</v>
      </c>
      <c r="T1942" s="20" t="str">
        <f>HYPERLINK(AA2 &amp; "/nail/sn_fbaa929cb56c6178f5993ac337e655ec/rendering/17.obj", "10.0863977051")</f>
        <v>10.0863977051</v>
      </c>
      <c r="U1942" s="137" t="str">
        <f>HYPERLINK(AA2 &amp; "/nail/sn_fbaa929cb56c6178f5993ac337e655ec/rendering/18.obj", "3.21031616211")</f>
        <v>3.21031616211</v>
      </c>
      <c r="V1942" s="51" t="str">
        <f>HYPERLINK(AA2 &amp; "/nail/sn_fbaa929cb56c6178f5993ac337e655ec/rendering/19.obj", "4.64988342285")</f>
        <v>4.64988342285</v>
      </c>
      <c r="W1942" s="12" t="s">
        <v>29</v>
      </c>
      <c r="X1942" s="13">
        <v>5.0612895202636716</v>
      </c>
      <c r="Y1942" s="13">
        <v>3.4306320205152709</v>
      </c>
      <c r="Z1942" s="220">
        <v>0.67781777880522232</v>
      </c>
    </row>
    <row r="1943" spans="1:26" x14ac:dyDescent="0.2">
      <c r="A1943" s="1">
        <v>1941</v>
      </c>
      <c r="B1943" s="2" t="s">
        <v>421</v>
      </c>
      <c r="C1943" s="147" t="str">
        <f>HYPERLINK(AA2 &amp; "/nail/sn_fbaa929cb56c6178f5993ac337e655ec/rendering/00.obj", "2.41382861137")</f>
        <v>2.41382861137</v>
      </c>
      <c r="D1943" s="104" t="str">
        <f>HYPERLINK(AA2 &amp; "/nail/sn_fbaa929cb56c6178f5993ac337e655ec/rendering/01.obj", "2.48142027855")</f>
        <v>2.48142027855</v>
      </c>
      <c r="E1943" s="200" t="str">
        <f>HYPERLINK(AA2 &amp; "/nail/sn_fbaa929cb56c6178f5993ac337e655ec/rendering/02.obj", "2.47169876099")</f>
        <v>2.47169876099</v>
      </c>
      <c r="F1943" s="59" t="str">
        <f>HYPERLINK(AA2 &amp; "/nail/sn_fbaa929cb56c6178f5993ac337e655ec/rendering/03.obj", "3.58997535706")</f>
        <v>3.58997535706</v>
      </c>
      <c r="G1943" s="20" t="str">
        <f>HYPERLINK(AA2 &amp; "/nail/sn_fbaa929cb56c6178f5993ac337e655ec/rendering/04.obj", "19.0106754303")</f>
        <v>19.0106754303</v>
      </c>
      <c r="H1943" s="101" t="str">
        <f>HYPERLINK(AA2 &amp; "/nail/sn_fbaa929cb56c6178f5993ac337e655ec/rendering/05.obj", "2.93465662003")</f>
        <v>2.93465662003</v>
      </c>
      <c r="I1943" s="141" t="str">
        <f>HYPERLINK(AA2 &amp; "/nail/sn_fbaa929cb56c6178f5993ac337e655ec/rendering/06.obj", "2.11974787712")</f>
        <v>2.11974787712</v>
      </c>
      <c r="J1943" s="214" t="str">
        <f>HYPERLINK(AA2 &amp; "/nail/sn_fbaa929cb56c6178f5993ac337e655ec/rendering/07.obj", "1.81242382526")</f>
        <v>1.81242382526</v>
      </c>
      <c r="K1943" s="223" t="str">
        <f>HYPERLINK(AA2 &amp; "/nail/sn_fbaa929cb56c6178f5993ac337e655ec/rendering/08.obj", "2.08497643471")</f>
        <v>2.08497643471</v>
      </c>
      <c r="L1943" s="241" t="str">
        <f>HYPERLINK(AA2 &amp; "/nail/sn_fbaa929cb56c6178f5993ac337e655ec/rendering/09.obj", "1.69096171856")</f>
        <v>1.69096171856</v>
      </c>
      <c r="M1943" s="122" t="str">
        <f>HYPERLINK(AA2 &amp; "/nail/sn_fbaa929cb56c6178f5993ac337e655ec/rendering/10.obj", "2.8200314045")</f>
        <v>2.8200314045</v>
      </c>
      <c r="N1943" s="20" t="str">
        <f>HYPERLINK(AA2 &amp; "/nail/sn_fbaa929cb56c6178f5993ac337e655ec/rendering/11.obj", "24.1443443298")</f>
        <v>24.1443443298</v>
      </c>
      <c r="O1943" s="239" t="str">
        <f>HYPERLINK(AA2 &amp; "/nail/sn_fbaa929cb56c6178f5993ac337e655ec/rendering/12.obj", "1.86156988144")</f>
        <v>1.86156988144</v>
      </c>
      <c r="P1943" s="141" t="str">
        <f>HYPERLINK(AA2 &amp; "/nail/sn_fbaa929cb56c6178f5993ac337e655ec/rendering/13.obj", "2.12188053131")</f>
        <v>2.12188053131</v>
      </c>
      <c r="Q1943" s="235" t="str">
        <f>HYPERLINK(AA2 &amp; "/nail/sn_fbaa929cb56c6178f5993ac337e655ec/rendering/14.obj", "2.17334961891")</f>
        <v>2.17334961891</v>
      </c>
      <c r="R1943" s="150" t="str">
        <f>HYPERLINK(AA2 &amp; "/nail/sn_fbaa929cb56c6178f5993ac337e655ec/rendering/15.obj", "2.18509602547")</f>
        <v>2.18509602547</v>
      </c>
      <c r="S1943" s="181" t="str">
        <f>HYPERLINK(AA2 &amp; "/nail/sn_fbaa929cb56c6178f5993ac337e655ec/rendering/16.obj", "2.63477182388")</f>
        <v>2.63477182388</v>
      </c>
      <c r="T1943" s="20" t="str">
        <f>HYPERLINK(AA2 &amp; "/nail/sn_fbaa929cb56c6178f5993ac337e655ec/rendering/17.obj", "10.9643774033")</f>
        <v>10.9643774033</v>
      </c>
      <c r="U1943" s="167" t="str">
        <f>HYPERLINK(AA2 &amp; "/nail/sn_fbaa929cb56c6178f5993ac337e655ec/rendering/18.obj", "1.87383615971")</f>
        <v>1.87383615971</v>
      </c>
      <c r="V1943" s="182" t="str">
        <f>HYPERLINK(AA2 &amp; "/nail/sn_fbaa929cb56c6178f5993ac337e655ec/rendering/19.obj", "3.14726376534")</f>
        <v>3.14726376534</v>
      </c>
      <c r="W1943" s="12" t="s">
        <v>30</v>
      </c>
      <c r="X1943" s="13">
        <v>4.7268442928791048</v>
      </c>
      <c r="Y1943" s="13">
        <v>5.9919393825469056</v>
      </c>
      <c r="Z1943" s="20">
        <v>1.2676405253233409</v>
      </c>
    </row>
    <row r="1944" spans="1:26" x14ac:dyDescent="0.2">
      <c r="A1944" s="1">
        <v>1942</v>
      </c>
      <c r="B1944" s="2" t="s">
        <v>421</v>
      </c>
      <c r="C1944" s="32" t="str">
        <f>HYPERLINK(AB2 &amp; "/nail/sn_fbaa929cb56c6178f5993ac337e655ec/rendering/00.obj", "2.98831542969")</f>
        <v>2.98831542969</v>
      </c>
      <c r="D1944" s="129" t="str">
        <f>HYPERLINK(AB2 &amp; "/nail/sn_fbaa929cb56c6178f5993ac337e655ec/rendering/01.obj", "2.50475738525")</f>
        <v>2.50475738525</v>
      </c>
      <c r="E1944" s="25" t="str">
        <f>HYPERLINK(AB2 &amp; "/nail/sn_fbaa929cb56c6178f5993ac337e655ec/rendering/02.obj", "3.3029385376")</f>
        <v>3.3029385376</v>
      </c>
      <c r="F1944" s="79" t="str">
        <f>HYPERLINK(AB2 &amp; "/nail/sn_fbaa929cb56c6178f5993ac337e655ec/rendering/03.obj", "2.81345062256")</f>
        <v>2.81345062256</v>
      </c>
      <c r="G1944" s="46" t="str">
        <f>HYPERLINK(AB2 &amp; "/nail/sn_fbaa929cb56c6178f5993ac337e655ec/rendering/04.obj", "3.401199646")</f>
        <v>3.401199646</v>
      </c>
      <c r="H1944" s="72" t="str">
        <f>HYPERLINK(AB2 &amp; "/nail/sn_fbaa929cb56c6178f5993ac337e655ec/rendering/05.obj", "3.23826385498")</f>
        <v>3.23826385498</v>
      </c>
      <c r="I1944" s="73" t="str">
        <f>HYPERLINK(AB2 &amp; "/nail/sn_fbaa929cb56c6178f5993ac337e655ec/rendering/06.obj", "3.21842559814")</f>
        <v>3.21842559814</v>
      </c>
      <c r="J1944" s="68" t="str">
        <f>HYPERLINK(AB2 &amp; "/nail/sn_fbaa929cb56c6178f5993ac337e655ec/rendering/07.obj", "3.48408752441")</f>
        <v>3.48408752441</v>
      </c>
      <c r="K1944" s="10" t="str">
        <f>HYPERLINK(AB2 &amp; "/nail/sn_fbaa929cb56c6178f5993ac337e655ec/rendering/08.obj", "3.52683105469")</f>
        <v>3.52683105469</v>
      </c>
      <c r="L1944" s="35" t="str">
        <f>HYPERLINK(AB2 &amp; "/nail/sn_fbaa929cb56c6178f5993ac337e655ec/rendering/09.obj", "3.14600646973")</f>
        <v>3.14600646973</v>
      </c>
      <c r="M1944" s="25" t="str">
        <f>HYPERLINK(AB2 &amp; "/nail/sn_fbaa929cb56c6178f5993ac337e655ec/rendering/10.obj", "3.38047790527")</f>
        <v>3.38047790527</v>
      </c>
      <c r="N1944" s="24" t="str">
        <f>HYPERLINK(AB2 &amp; "/nail/sn_fbaa929cb56c6178f5993ac337e655ec/rendering/11.obj", "3.90101837158")</f>
        <v>3.90101837158</v>
      </c>
      <c r="O1944" s="60" t="str">
        <f>HYPERLINK(AB2 &amp; "/nail/sn_fbaa929cb56c6178f5993ac337e655ec/rendering/12.obj", "3.51769714355")</f>
        <v>3.51769714355</v>
      </c>
      <c r="P1944" s="78" t="str">
        <f>HYPERLINK(AB2 &amp; "/nail/sn_fbaa929cb56c6178f5993ac337e655ec/rendering/13.obj", "3.54560577393")</f>
        <v>3.54560577393</v>
      </c>
      <c r="Q1944" s="68" t="str">
        <f>HYPERLINK(AB2 &amp; "/nail/sn_fbaa929cb56c6178f5993ac337e655ec/rendering/14.obj", "3.48307739258")</f>
        <v>3.48307739258</v>
      </c>
      <c r="R1944" s="46" t="str">
        <f>HYPERLINK(AB2 &amp; "/nail/sn_fbaa929cb56c6178f5993ac337e655ec/rendering/15.obj", "3.39758728027")</f>
        <v>3.39758728027</v>
      </c>
      <c r="S1944" s="30" t="str">
        <f>HYPERLINK(AB2 &amp; "/nail/sn_fbaa929cb56c6178f5993ac337e655ec/rendering/16.obj", "3.32585235596")</f>
        <v>3.32585235596</v>
      </c>
      <c r="T1944" s="65" t="str">
        <f>HYPERLINK(AB2 &amp; "/nail/sn_fbaa929cb56c6178f5993ac337e655ec/rendering/17.obj", "3.78777893066")</f>
        <v>3.78777893066</v>
      </c>
      <c r="U1944" s="48" t="str">
        <f>HYPERLINK(AB2 &amp; "/nail/sn_fbaa929cb56c6178f5993ac337e655ec/rendering/18.obj", "3.42619812012")</f>
        <v>3.42619812012</v>
      </c>
      <c r="V1944" s="68" t="str">
        <f>HYPERLINK(AB2 &amp; "/nail/sn_fbaa929cb56c6178f5993ac337e655ec/rendering/19.obj", "3.48034698486")</f>
        <v>3.48034698486</v>
      </c>
      <c r="W1944" s="12" t="s">
        <v>31</v>
      </c>
      <c r="X1944" s="13">
        <v>3.3434958190917969</v>
      </c>
      <c r="Y1944" s="13">
        <v>0.30526408287004841</v>
      </c>
      <c r="Z1944" s="67">
        <v>9.1300871718442325E-2</v>
      </c>
    </row>
    <row r="1945" spans="1:26" x14ac:dyDescent="0.2">
      <c r="A1945" s="1">
        <v>1943</v>
      </c>
      <c r="B1945" s="2" t="s">
        <v>421</v>
      </c>
      <c r="C1945" s="33" t="str">
        <f>HYPERLINK(AB2 &amp; "/nail/sn_fbaa929cb56c6178f5993ac337e655ec/rendering/00.obj", "1.71177840233")</f>
        <v>1.71177840233</v>
      </c>
      <c r="D1945" s="5" t="str">
        <f>HYPERLINK(AB2 &amp; "/nail/sn_fbaa929cb56c6178f5993ac337e655ec/rendering/01.obj", "1.7722748518")</f>
        <v>1.7722748518</v>
      </c>
      <c r="E1945" s="51" t="str">
        <f>HYPERLINK(AB2 &amp; "/nail/sn_fbaa929cb56c6178f5993ac337e655ec/rendering/02.obj", "1.76364350319")</f>
        <v>1.76364350319</v>
      </c>
      <c r="F1945" s="38" t="str">
        <f>HYPERLINK(AB2 &amp; "/nail/sn_fbaa929cb56c6178f5993ac337e655ec/rendering/03.obj", "1.74704933167")</f>
        <v>1.74704933167</v>
      </c>
      <c r="G1945" s="84" t="str">
        <f>HYPERLINK(AB2 &amp; "/nail/sn_fbaa929cb56c6178f5993ac337e655ec/rendering/04.obj", "2.19578409195")</f>
        <v>2.19578409195</v>
      </c>
      <c r="H1945" s="90" t="str">
        <f>HYPERLINK(AB2 &amp; "/nail/sn_fbaa929cb56c6178f5993ac337e655ec/rendering/05.obj", "1.73555314541")</f>
        <v>1.73555314541</v>
      </c>
      <c r="I1945" s="48" t="str">
        <f>HYPERLINK(AB2 &amp; "/nail/sn_fbaa929cb56c6178f5993ac337e655ec/rendering/06.obj", "1.87266540527")</f>
        <v>1.87266540527</v>
      </c>
      <c r="J1945" s="78" t="str">
        <f>HYPERLINK(AB2 &amp; "/nail/sn_fbaa929cb56c6178f5993ac337e655ec/rendering/07.obj", "1.79897212982")</f>
        <v>1.79897212982</v>
      </c>
      <c r="K1945" s="13" t="str">
        <f>HYPERLINK(AB2 &amp; "/nail/sn_fbaa929cb56c6178f5993ac337e655ec/rendering/08.obj", "1.92112112045")</f>
        <v>1.92112112045</v>
      </c>
      <c r="L1945" s="94" t="str">
        <f>HYPERLINK(AB2 &amp; "/nail/sn_fbaa929cb56c6178f5993ac337e655ec/rendering/09.obj", "1.77503550053")</f>
        <v>1.77503550053</v>
      </c>
      <c r="M1945" s="17" t="str">
        <f>HYPERLINK(AB2 &amp; "/nail/sn_fbaa929cb56c6178f5993ac337e655ec/rendering/10.obj", "1.87915277481")</f>
        <v>1.87915277481</v>
      </c>
      <c r="N1945" s="56" t="str">
        <f>HYPERLINK(AB2 &amp; "/nail/sn_fbaa929cb56c6178f5993ac337e655ec/rendering/11.obj", "2.51069355011")</f>
        <v>2.51069355011</v>
      </c>
      <c r="O1945" s="94" t="str">
        <f>HYPERLINK(AB2 &amp; "/nail/sn_fbaa929cb56c6178f5993ac337e655ec/rendering/12.obj", "2.06099891663")</f>
        <v>2.06099891663</v>
      </c>
      <c r="P1945" s="90" t="str">
        <f>HYPERLINK(AB2 &amp; "/nail/sn_fbaa929cb56c6178f5993ac337e655ec/rendering/13.obj", "1.7350050211")</f>
        <v>1.7350050211</v>
      </c>
      <c r="Q1945" s="25" t="str">
        <f>HYPERLINK(AB2 &amp; "/nail/sn_fbaa929cb56c6178f5993ac337e655ec/rendering/14.obj", "1.89670312405")</f>
        <v>1.89670312405</v>
      </c>
      <c r="R1945" s="8" t="str">
        <f>HYPERLINK(AB2 &amp; "/nail/sn_fbaa929cb56c6178f5993ac337e655ec/rendering/15.obj", "1.64487290382")</f>
        <v>1.64487290382</v>
      </c>
      <c r="S1945" s="27" t="str">
        <f>HYPERLINK(AB2 &amp; "/nail/sn_fbaa929cb56c6178f5993ac337e655ec/rendering/16.obj", "1.78283464909")</f>
        <v>1.78283464909</v>
      </c>
      <c r="T1945" s="57" t="str">
        <f>HYPERLINK(AB2 &amp; "/nail/sn_fbaa929cb56c6178f5993ac337e655ec/rendering/17.obj", "2.52045249939")</f>
        <v>2.52045249939</v>
      </c>
      <c r="U1945" s="106" t="str">
        <f>HYPERLINK(AB2 &amp; "/nail/sn_fbaa929cb56c6178f5993ac337e655ec/rendering/18.obj", "2.1395072937")</f>
        <v>2.1395072937</v>
      </c>
      <c r="V1945" s="46" t="str">
        <f>HYPERLINK(AB2 &amp; "/nail/sn_fbaa929cb56c6178f5993ac337e655ec/rendering/19.obj", "1.8850467205")</f>
        <v>1.8850467205</v>
      </c>
      <c r="W1945" s="12" t="s">
        <v>32</v>
      </c>
      <c r="X1945" s="13">
        <v>1.917457246780395</v>
      </c>
      <c r="Y1945" s="13">
        <v>0.24259867025661361</v>
      </c>
      <c r="Z1945" s="70">
        <v>0.12652103230148229</v>
      </c>
    </row>
    <row r="1946" spans="1:26" x14ac:dyDescent="0.2">
      <c r="A1946" s="1">
        <v>1944</v>
      </c>
      <c r="B1946" s="2" t="s">
        <v>421</v>
      </c>
      <c r="C1946" s="13" t="str">
        <f>HYPERLINK(AC2 &amp; "/nail/sn_fbaa929cb56c6178f5993ac337e655ec/rendering/00.xyz", "0.0")</f>
        <v>0.0</v>
      </c>
      <c r="D1946" s="13" t="str">
        <f>HYPERLINK(AC2 &amp; "/nail/sn_fbaa929cb56c6178f5993ac337e655ec/rendering/01.xyz", "0.0")</f>
        <v>0.0</v>
      </c>
      <c r="E1946" s="13" t="str">
        <f>HYPERLINK(AC2 &amp; "/nail/sn_fbaa929cb56c6178f5993ac337e655ec/rendering/02.xyz", "0.0")</f>
        <v>0.0</v>
      </c>
      <c r="F1946" s="13" t="str">
        <f>HYPERLINK(AC2 &amp; "/nail/sn_fbaa929cb56c6178f5993ac337e655ec/rendering/03.xyz", "0.0")</f>
        <v>0.0</v>
      </c>
      <c r="G1946" s="13" t="str">
        <f>HYPERLINK(AC2 &amp; "/nail/sn_fbaa929cb56c6178f5993ac337e655ec/rendering/04.xyz", "0.0")</f>
        <v>0.0</v>
      </c>
      <c r="H1946" s="13" t="str">
        <f>HYPERLINK(AC2 &amp; "/nail/sn_fbaa929cb56c6178f5993ac337e655ec/rendering/05.xyz", "0.0")</f>
        <v>0.0</v>
      </c>
      <c r="I1946" s="13" t="str">
        <f>HYPERLINK(AC2 &amp; "/nail/sn_fbaa929cb56c6178f5993ac337e655ec/rendering/06.xyz", "0.0")</f>
        <v>0.0</v>
      </c>
      <c r="J1946" s="13" t="str">
        <f>HYPERLINK(AC2 &amp; "/nail/sn_fbaa929cb56c6178f5993ac337e655ec/rendering/07.xyz", "0.0")</f>
        <v>0.0</v>
      </c>
      <c r="K1946" s="13" t="str">
        <f>HYPERLINK(AC2 &amp; "/nail/sn_fbaa929cb56c6178f5993ac337e655ec/rendering/08.xyz", "0.0")</f>
        <v>0.0</v>
      </c>
      <c r="L1946" s="13" t="str">
        <f>HYPERLINK(AC2 &amp; "/nail/sn_fbaa929cb56c6178f5993ac337e655ec/rendering/09.xyz", "0.0")</f>
        <v>0.0</v>
      </c>
      <c r="M1946" s="13" t="str">
        <f>HYPERLINK(AC2 &amp; "/nail/sn_fbaa929cb56c6178f5993ac337e655ec/rendering/10.xyz", "0.0")</f>
        <v>0.0</v>
      </c>
      <c r="N1946" s="13" t="str">
        <f>HYPERLINK(AC2 &amp; "/nail/sn_fbaa929cb56c6178f5993ac337e655ec/rendering/11.xyz", "0.0")</f>
        <v>0.0</v>
      </c>
      <c r="O1946" s="13" t="str">
        <f>HYPERLINK(AC2 &amp; "/nail/sn_fbaa929cb56c6178f5993ac337e655ec/rendering/12.xyz", "0.0")</f>
        <v>0.0</v>
      </c>
      <c r="P1946" s="13" t="str">
        <f>HYPERLINK(AC2 &amp; "/nail/sn_fbaa929cb56c6178f5993ac337e655ec/rendering/13.xyz", "0.0")</f>
        <v>0.0</v>
      </c>
      <c r="Q1946" s="13" t="str">
        <f>HYPERLINK(AC2 &amp; "/nail/sn_fbaa929cb56c6178f5993ac337e655ec/rendering/14.xyz", "0.0")</f>
        <v>0.0</v>
      </c>
      <c r="R1946" s="13" t="str">
        <f>HYPERLINK(AC2 &amp; "/nail/sn_fbaa929cb56c6178f5993ac337e655ec/rendering/15.xyz", "0.0")</f>
        <v>0.0</v>
      </c>
      <c r="S1946" s="13" t="str">
        <f>HYPERLINK(AC2 &amp; "/nail/sn_fbaa929cb56c6178f5993ac337e655ec/rendering/16.xyz", "0.0")</f>
        <v>0.0</v>
      </c>
      <c r="T1946" s="13" t="str">
        <f>HYPERLINK(AC2 &amp; "/nail/sn_fbaa929cb56c6178f5993ac337e655ec/rendering/17.xyz", "0.0")</f>
        <v>0.0</v>
      </c>
      <c r="U1946" s="13" t="str">
        <f>HYPERLINK(AC2 &amp; "/nail/sn_fbaa929cb56c6178f5993ac337e655ec/rendering/18.xyz", "0.0")</f>
        <v>0.0</v>
      </c>
      <c r="V1946" s="13" t="str">
        <f>HYPERLINK(AC2 &amp; "/nail/sn_fbaa929cb56c6178f5993ac337e655ec/rendering/19.xyz", "0.0")</f>
        <v>0.0</v>
      </c>
      <c r="W1946" s="12" t="s">
        <v>33</v>
      </c>
      <c r="X1946" s="13">
        <v>0</v>
      </c>
      <c r="Y1946" s="13">
        <v>0</v>
      </c>
      <c r="Z1946" s="13">
        <v>0</v>
      </c>
    </row>
    <row r="1947" spans="1:26" x14ac:dyDescent="0.2">
      <c r="A1947" s="1">
        <v>1945</v>
      </c>
      <c r="B1947" s="2" t="s">
        <v>422</v>
      </c>
      <c r="C1947" s="3" t="str">
        <f>HYPERLINK(AA2 &amp; "/pencil/sn_c955ba94aad87661fb1d05f07f4c34b8/rendering/00.obj", "nan")</f>
        <v>nan</v>
      </c>
      <c r="D1947" s="3" t="str">
        <f>HYPERLINK(AA2 &amp; "/pencil/sn_c955ba94aad87661fb1d05f07f4c34b8/rendering/01.obj", "nan")</f>
        <v>nan</v>
      </c>
      <c r="E1947" s="3" t="str">
        <f>HYPERLINK(AA2 &amp; "/pencil/sn_c955ba94aad87661fb1d05f07f4c34b8/rendering/02.obj", "nan")</f>
        <v>nan</v>
      </c>
      <c r="F1947" s="3" t="str">
        <f>HYPERLINK(AA2 &amp; "/pencil/sn_c955ba94aad87661fb1d05f07f4c34b8/rendering/03.obj", "nan")</f>
        <v>nan</v>
      </c>
      <c r="G1947" s="3" t="str">
        <f>HYPERLINK(AA2 &amp; "/pencil/sn_c955ba94aad87661fb1d05f07f4c34b8/rendering/04.obj", "nan")</f>
        <v>nan</v>
      </c>
      <c r="H1947" s="3" t="str">
        <f>HYPERLINK(AA2 &amp; "/pencil/sn_c955ba94aad87661fb1d05f07f4c34b8/rendering/05.obj", "nan")</f>
        <v>nan</v>
      </c>
      <c r="I1947" s="3" t="str">
        <f>HYPERLINK(AA2 &amp; "/pencil/sn_c955ba94aad87661fb1d05f07f4c34b8/rendering/06.obj", "nan")</f>
        <v>nan</v>
      </c>
      <c r="J1947" s="3" t="str">
        <f>HYPERLINK(AA2 &amp; "/pencil/sn_c955ba94aad87661fb1d05f07f4c34b8/rendering/07.obj", "nan")</f>
        <v>nan</v>
      </c>
      <c r="K1947" s="3" t="str">
        <f>HYPERLINK(AA2 &amp; "/pencil/sn_c955ba94aad87661fb1d05f07f4c34b8/rendering/08.obj", "nan")</f>
        <v>nan</v>
      </c>
      <c r="L1947" s="3" t="str">
        <f>HYPERLINK(AA2 &amp; "/pencil/sn_c955ba94aad87661fb1d05f07f4c34b8/rendering/09.obj", "nan")</f>
        <v>nan</v>
      </c>
      <c r="M1947" s="3" t="str">
        <f>HYPERLINK(AA2 &amp; "/pencil/sn_c955ba94aad87661fb1d05f07f4c34b8/rendering/10.obj", "nan")</f>
        <v>nan</v>
      </c>
      <c r="N1947" s="3" t="str">
        <f>HYPERLINK(AA2 &amp; "/pencil/sn_c955ba94aad87661fb1d05f07f4c34b8/rendering/11.obj", "nan")</f>
        <v>nan</v>
      </c>
      <c r="O1947" s="3" t="str">
        <f>HYPERLINK(AA2 &amp; "/pencil/sn_c955ba94aad87661fb1d05f07f4c34b8/rendering/12.obj", "nan")</f>
        <v>nan</v>
      </c>
      <c r="P1947" s="3" t="str">
        <f>HYPERLINK(AA2 &amp; "/pencil/sn_c955ba94aad87661fb1d05f07f4c34b8/rendering/13.obj", "nan")</f>
        <v>nan</v>
      </c>
      <c r="Q1947" s="3" t="str">
        <f>HYPERLINK(AA2 &amp; "/pencil/sn_c955ba94aad87661fb1d05f07f4c34b8/rendering/14.obj", "nan")</f>
        <v>nan</v>
      </c>
      <c r="R1947" s="3" t="str">
        <f>HYPERLINK(AA2 &amp; "/pencil/sn_c955ba94aad87661fb1d05f07f4c34b8/rendering/15.obj", "nan")</f>
        <v>nan</v>
      </c>
      <c r="S1947" s="72" t="str">
        <f>HYPERLINK(AA2 &amp; "/pencil/sn_c955ba94aad87661fb1d05f07f4c34b8/rendering/16.obj", "3.53534301758")</f>
        <v>3.53534301758</v>
      </c>
      <c r="T1947" s="153" t="str">
        <f>HYPERLINK(AA2 &amp; "/pencil/sn_c955ba94aad87661fb1d05f07f4c34b8/rendering/17.obj", "2.351615448")</f>
        <v>2.351615448</v>
      </c>
      <c r="U1947" s="7" t="str">
        <f>HYPERLINK(AA2 &amp; "/pencil/sn_c955ba94aad87661fb1d05f07f4c34b8/rendering/18.obj", "2.63467346191")</f>
        <v>2.63467346191</v>
      </c>
      <c r="V1947" s="205" t="str">
        <f>HYPERLINK(AA2 &amp; "/pencil/sn_c955ba94aad87661fb1d05f07f4c34b8/rendering/19.obj", "6.08419799805")</f>
        <v>6.08419799805</v>
      </c>
      <c r="W1947" s="12" t="s">
        <v>29</v>
      </c>
      <c r="X1947" s="13">
        <v>3.6514574813842771</v>
      </c>
      <c r="Y1947" s="13">
        <v>1.4709816487744201</v>
      </c>
      <c r="Z1947" s="122">
        <v>0.40284780975096213</v>
      </c>
    </row>
    <row r="1948" spans="1:26" x14ac:dyDescent="0.2">
      <c r="A1948" s="1">
        <v>1946</v>
      </c>
      <c r="B1948" s="2" t="s">
        <v>422</v>
      </c>
      <c r="C1948" s="3" t="str">
        <f>HYPERLINK(AA2 &amp; "/pencil/sn_c955ba94aad87661fb1d05f07f4c34b8/rendering/00.obj", "nan")</f>
        <v>nan</v>
      </c>
      <c r="D1948" s="3" t="str">
        <f>HYPERLINK(AA2 &amp; "/pencil/sn_c955ba94aad87661fb1d05f07f4c34b8/rendering/01.obj", "nan")</f>
        <v>nan</v>
      </c>
      <c r="E1948" s="3" t="str">
        <f>HYPERLINK(AA2 &amp; "/pencil/sn_c955ba94aad87661fb1d05f07f4c34b8/rendering/02.obj", "nan")</f>
        <v>nan</v>
      </c>
      <c r="F1948" s="3" t="str">
        <f>HYPERLINK(AA2 &amp; "/pencil/sn_c955ba94aad87661fb1d05f07f4c34b8/rendering/03.obj", "nan")</f>
        <v>nan</v>
      </c>
      <c r="G1948" s="3" t="str">
        <f>HYPERLINK(AA2 &amp; "/pencil/sn_c955ba94aad87661fb1d05f07f4c34b8/rendering/04.obj", "nan")</f>
        <v>nan</v>
      </c>
      <c r="H1948" s="3" t="str">
        <f>HYPERLINK(AA2 &amp; "/pencil/sn_c955ba94aad87661fb1d05f07f4c34b8/rendering/05.obj", "nan")</f>
        <v>nan</v>
      </c>
      <c r="I1948" s="3" t="str">
        <f>HYPERLINK(AA2 &amp; "/pencil/sn_c955ba94aad87661fb1d05f07f4c34b8/rendering/06.obj", "nan")</f>
        <v>nan</v>
      </c>
      <c r="J1948" s="3" t="str">
        <f>HYPERLINK(AA2 &amp; "/pencil/sn_c955ba94aad87661fb1d05f07f4c34b8/rendering/07.obj", "nan")</f>
        <v>nan</v>
      </c>
      <c r="K1948" s="3" t="str">
        <f>HYPERLINK(AA2 &amp; "/pencil/sn_c955ba94aad87661fb1d05f07f4c34b8/rendering/08.obj", "nan")</f>
        <v>nan</v>
      </c>
      <c r="L1948" s="3" t="str">
        <f>HYPERLINK(AA2 &amp; "/pencil/sn_c955ba94aad87661fb1d05f07f4c34b8/rendering/09.obj", "nan")</f>
        <v>nan</v>
      </c>
      <c r="M1948" s="3" t="str">
        <f>HYPERLINK(AA2 &amp; "/pencil/sn_c955ba94aad87661fb1d05f07f4c34b8/rendering/10.obj", "nan")</f>
        <v>nan</v>
      </c>
      <c r="N1948" s="3" t="str">
        <f>HYPERLINK(AA2 &amp; "/pencil/sn_c955ba94aad87661fb1d05f07f4c34b8/rendering/11.obj", "nan")</f>
        <v>nan</v>
      </c>
      <c r="O1948" s="3" t="str">
        <f>HYPERLINK(AA2 &amp; "/pencil/sn_c955ba94aad87661fb1d05f07f4c34b8/rendering/12.obj", "nan")</f>
        <v>nan</v>
      </c>
      <c r="P1948" s="3" t="str">
        <f>HYPERLINK(AA2 &amp; "/pencil/sn_c955ba94aad87661fb1d05f07f4c34b8/rendering/13.obj", "nan")</f>
        <v>nan</v>
      </c>
      <c r="Q1948" s="3" t="str">
        <f>HYPERLINK(AA2 &amp; "/pencil/sn_c955ba94aad87661fb1d05f07f4c34b8/rendering/14.obj", "nan")</f>
        <v>nan</v>
      </c>
      <c r="R1948" s="3" t="str">
        <f>HYPERLINK(AA2 &amp; "/pencil/sn_c955ba94aad87661fb1d05f07f4c34b8/rendering/15.obj", "nan")</f>
        <v>nan</v>
      </c>
      <c r="S1948" s="51" t="str">
        <f>HYPERLINK(AA2 &amp; "/pencil/sn_c955ba94aad87661fb1d05f07f4c34b8/rendering/16.obj", "2.23184776306")</f>
        <v>2.23184776306</v>
      </c>
      <c r="T1948" s="240" t="str">
        <f>HYPERLINK(AA2 &amp; "/pencil/sn_c955ba94aad87661fb1d05f07f4c34b8/rendering/17.obj", "0.840985953808")</f>
        <v>0.840985953808</v>
      </c>
      <c r="U1948" s="251" t="str">
        <f>HYPERLINK(AA2 &amp; "/pencil/sn_c955ba94aad87661fb1d05f07f4c34b8/rendering/18.obj", "1.00294589996")</f>
        <v>1.00294589996</v>
      </c>
      <c r="V1948" s="20" t="str">
        <f>HYPERLINK(AA2 &amp; "/pencil/sn_c955ba94aad87661fb1d05f07f4c34b8/rendering/19.obj", "5.6315407753")</f>
        <v>5.6315407753</v>
      </c>
      <c r="W1948" s="12" t="s">
        <v>30</v>
      </c>
      <c r="X1948" s="13">
        <v>2.4268300980329509</v>
      </c>
      <c r="Y1948" s="13">
        <v>1.926819691565594</v>
      </c>
      <c r="Z1948" s="204">
        <v>0.7939656315979281</v>
      </c>
    </row>
    <row r="1949" spans="1:26" x14ac:dyDescent="0.2">
      <c r="A1949" s="1">
        <v>1947</v>
      </c>
      <c r="B1949" s="2" t="s">
        <v>422</v>
      </c>
      <c r="C1949" s="3" t="str">
        <f>HYPERLINK(AB2 &amp; "/pencil/sn_c955ba94aad87661fb1d05f07f4c34b8/rendering/00.obj", "nan")</f>
        <v>nan</v>
      </c>
      <c r="D1949" s="3" t="str">
        <f>HYPERLINK(AB2 &amp; "/pencil/sn_c955ba94aad87661fb1d05f07f4c34b8/rendering/01.obj", "nan")</f>
        <v>nan</v>
      </c>
      <c r="E1949" s="3" t="str">
        <f>HYPERLINK(AB2 &amp; "/pencil/sn_c955ba94aad87661fb1d05f07f4c34b8/rendering/02.obj", "nan")</f>
        <v>nan</v>
      </c>
      <c r="F1949" s="3" t="str">
        <f>HYPERLINK(AB2 &amp; "/pencil/sn_c955ba94aad87661fb1d05f07f4c34b8/rendering/03.obj", "nan")</f>
        <v>nan</v>
      </c>
      <c r="G1949" s="3" t="str">
        <f>HYPERLINK(AB2 &amp; "/pencil/sn_c955ba94aad87661fb1d05f07f4c34b8/rendering/04.obj", "nan")</f>
        <v>nan</v>
      </c>
      <c r="H1949" s="3" t="str">
        <f>HYPERLINK(AB2 &amp; "/pencil/sn_c955ba94aad87661fb1d05f07f4c34b8/rendering/05.obj", "nan")</f>
        <v>nan</v>
      </c>
      <c r="I1949" s="3" t="str">
        <f>HYPERLINK(AB2 &amp; "/pencil/sn_c955ba94aad87661fb1d05f07f4c34b8/rendering/06.obj", "nan")</f>
        <v>nan</v>
      </c>
      <c r="J1949" s="3" t="str">
        <f>HYPERLINK(AB2 &amp; "/pencil/sn_c955ba94aad87661fb1d05f07f4c34b8/rendering/07.obj", "nan")</f>
        <v>nan</v>
      </c>
      <c r="K1949" s="3" t="str">
        <f>HYPERLINK(AB2 &amp; "/pencil/sn_c955ba94aad87661fb1d05f07f4c34b8/rendering/08.obj", "nan")</f>
        <v>nan</v>
      </c>
      <c r="L1949" s="3" t="str">
        <f>HYPERLINK(AB2 &amp; "/pencil/sn_c955ba94aad87661fb1d05f07f4c34b8/rendering/09.obj", "nan")</f>
        <v>nan</v>
      </c>
      <c r="M1949" s="3" t="str">
        <f>HYPERLINK(AB2 &amp; "/pencil/sn_c955ba94aad87661fb1d05f07f4c34b8/rendering/10.obj", "nan")</f>
        <v>nan</v>
      </c>
      <c r="N1949" s="3" t="str">
        <f>HYPERLINK(AB2 &amp; "/pencil/sn_c955ba94aad87661fb1d05f07f4c34b8/rendering/11.obj", "nan")</f>
        <v>nan</v>
      </c>
      <c r="O1949" s="3" t="str">
        <f>HYPERLINK(AB2 &amp; "/pencil/sn_c955ba94aad87661fb1d05f07f4c34b8/rendering/12.obj", "nan")</f>
        <v>nan</v>
      </c>
      <c r="P1949" s="3" t="str">
        <f>HYPERLINK(AB2 &amp; "/pencil/sn_c955ba94aad87661fb1d05f07f4c34b8/rendering/13.obj", "nan")</f>
        <v>nan</v>
      </c>
      <c r="Q1949" s="3" t="str">
        <f>HYPERLINK(AB2 &amp; "/pencil/sn_c955ba94aad87661fb1d05f07f4c34b8/rendering/14.obj", "nan")</f>
        <v>nan</v>
      </c>
      <c r="R1949" s="3" t="str">
        <f>HYPERLINK(AB2 &amp; "/pencil/sn_c955ba94aad87661fb1d05f07f4c34b8/rendering/15.obj", "nan")</f>
        <v>nan</v>
      </c>
      <c r="S1949" s="47" t="str">
        <f>HYPERLINK(AB2 &amp; "/pencil/sn_c955ba94aad87661fb1d05f07f4c34b8/rendering/16.obj", "2.11400314331")</f>
        <v>2.11400314331</v>
      </c>
      <c r="T1949" s="46" t="str">
        <f>HYPERLINK(AB2 &amp; "/pencil/sn_c955ba94aad87661fb1d05f07f4c34b8/rendering/17.obj", "2.09249679565")</f>
        <v>2.09249679565</v>
      </c>
      <c r="U1949" s="69" t="str">
        <f>HYPERLINK(AB2 &amp; "/pencil/sn_c955ba94aad87661fb1d05f07f4c34b8/rendering/18.obj", "2.19537475586")</f>
        <v>2.19537475586</v>
      </c>
      <c r="V1949" s="30" t="str">
        <f>HYPERLINK(AB2 &amp; "/pencil/sn_c955ba94aad87661fb1d05f07f4c34b8/rendering/19.obj", "2.12468948364")</f>
        <v>2.12468948364</v>
      </c>
      <c r="W1949" s="12" t="s">
        <v>31</v>
      </c>
      <c r="X1949" s="13">
        <v>2.1316410446166989</v>
      </c>
      <c r="Y1949" s="13">
        <v>3.858003997554256E-2</v>
      </c>
      <c r="Z1949" s="46">
        <v>1.8098750759642939E-2</v>
      </c>
    </row>
    <row r="1950" spans="1:26" x14ac:dyDescent="0.2">
      <c r="A1950" s="1">
        <v>1948</v>
      </c>
      <c r="B1950" s="2" t="s">
        <v>422</v>
      </c>
      <c r="C1950" s="3" t="str">
        <f>HYPERLINK(AB2 &amp; "/pencil/sn_c955ba94aad87661fb1d05f07f4c34b8/rendering/00.obj", "nan")</f>
        <v>nan</v>
      </c>
      <c r="D1950" s="3" t="str">
        <f>HYPERLINK(AB2 &amp; "/pencil/sn_c955ba94aad87661fb1d05f07f4c34b8/rendering/01.obj", "nan")</f>
        <v>nan</v>
      </c>
      <c r="E1950" s="3" t="str">
        <f>HYPERLINK(AB2 &amp; "/pencil/sn_c955ba94aad87661fb1d05f07f4c34b8/rendering/02.obj", "nan")</f>
        <v>nan</v>
      </c>
      <c r="F1950" s="3" t="str">
        <f>HYPERLINK(AB2 &amp; "/pencil/sn_c955ba94aad87661fb1d05f07f4c34b8/rendering/03.obj", "nan")</f>
        <v>nan</v>
      </c>
      <c r="G1950" s="3" t="str">
        <f>HYPERLINK(AB2 &amp; "/pencil/sn_c955ba94aad87661fb1d05f07f4c34b8/rendering/04.obj", "nan")</f>
        <v>nan</v>
      </c>
      <c r="H1950" s="3" t="str">
        <f>HYPERLINK(AB2 &amp; "/pencil/sn_c955ba94aad87661fb1d05f07f4c34b8/rendering/05.obj", "nan")</f>
        <v>nan</v>
      </c>
      <c r="I1950" s="3" t="str">
        <f>HYPERLINK(AB2 &amp; "/pencil/sn_c955ba94aad87661fb1d05f07f4c34b8/rendering/06.obj", "nan")</f>
        <v>nan</v>
      </c>
      <c r="J1950" s="3" t="str">
        <f>HYPERLINK(AB2 &amp; "/pencil/sn_c955ba94aad87661fb1d05f07f4c34b8/rendering/07.obj", "nan")</f>
        <v>nan</v>
      </c>
      <c r="K1950" s="3" t="str">
        <f>HYPERLINK(AB2 &amp; "/pencil/sn_c955ba94aad87661fb1d05f07f4c34b8/rendering/08.obj", "nan")</f>
        <v>nan</v>
      </c>
      <c r="L1950" s="3" t="str">
        <f>HYPERLINK(AB2 &amp; "/pencil/sn_c955ba94aad87661fb1d05f07f4c34b8/rendering/09.obj", "nan")</f>
        <v>nan</v>
      </c>
      <c r="M1950" s="3" t="str">
        <f>HYPERLINK(AB2 &amp; "/pencil/sn_c955ba94aad87661fb1d05f07f4c34b8/rendering/10.obj", "nan")</f>
        <v>nan</v>
      </c>
      <c r="N1950" s="3" t="str">
        <f>HYPERLINK(AB2 &amp; "/pencil/sn_c955ba94aad87661fb1d05f07f4c34b8/rendering/11.obj", "nan")</f>
        <v>nan</v>
      </c>
      <c r="O1950" s="3" t="str">
        <f>HYPERLINK(AB2 &amp; "/pencil/sn_c955ba94aad87661fb1d05f07f4c34b8/rendering/12.obj", "nan")</f>
        <v>nan</v>
      </c>
      <c r="P1950" s="3" t="str">
        <f>HYPERLINK(AB2 &amp; "/pencil/sn_c955ba94aad87661fb1d05f07f4c34b8/rendering/13.obj", "nan")</f>
        <v>nan</v>
      </c>
      <c r="Q1950" s="3" t="str">
        <f>HYPERLINK(AB2 &amp; "/pencil/sn_c955ba94aad87661fb1d05f07f4c34b8/rendering/14.obj", "nan")</f>
        <v>nan</v>
      </c>
      <c r="R1950" s="3" t="str">
        <f>HYPERLINK(AB2 &amp; "/pencil/sn_c955ba94aad87661fb1d05f07f4c34b8/rendering/15.obj", "nan")</f>
        <v>nan</v>
      </c>
      <c r="S1950" s="48" t="str">
        <f>HYPERLINK(AB2 &amp; "/pencil/sn_c955ba94aad87661fb1d05f07f4c34b8/rendering/16.obj", "0.89742821455")</f>
        <v>0.89742821455</v>
      </c>
      <c r="T1950" s="13" t="str">
        <f>HYPERLINK(AB2 &amp; "/pencil/sn_c955ba94aad87661fb1d05f07f4c34b8/rendering/17.obj", "0.875855863094")</f>
        <v>0.875855863094</v>
      </c>
      <c r="U1950" s="91" t="str">
        <f>HYPERLINK(AB2 &amp; "/pencil/sn_c955ba94aad87661fb1d05f07f4c34b8/rendering/18.obj", "0.900369107723")</f>
        <v>0.900369107723</v>
      </c>
      <c r="V1950" s="34" t="str">
        <f>HYPERLINK(AB2 &amp; "/pencil/sn_c955ba94aad87661fb1d05f07f4c34b8/rendering/19.obj", "0.835870742798")</f>
        <v>0.835870742798</v>
      </c>
      <c r="W1950" s="12" t="s">
        <v>32</v>
      </c>
      <c r="X1950" s="13">
        <v>0.87738098204135895</v>
      </c>
      <c r="Y1950" s="13">
        <v>2.5767088521396031E-2</v>
      </c>
      <c r="Z1950" s="69">
        <v>2.9368186738496449E-2</v>
      </c>
    </row>
    <row r="1951" spans="1:26" x14ac:dyDescent="0.2">
      <c r="A1951" s="1">
        <v>1949</v>
      </c>
      <c r="B1951" s="2" t="s">
        <v>422</v>
      </c>
      <c r="C1951" s="13" t="str">
        <f>HYPERLINK(AC2 &amp; "/pencil/sn_c955ba94aad87661fb1d05f07f4c34b8/rendering/00.xyz", "0.0")</f>
        <v>0.0</v>
      </c>
      <c r="D1951" s="13" t="str">
        <f>HYPERLINK(AC2 &amp; "/pencil/sn_c955ba94aad87661fb1d05f07f4c34b8/rendering/01.xyz", "0.0")</f>
        <v>0.0</v>
      </c>
      <c r="E1951" s="13" t="str">
        <f>HYPERLINK(AC2 &amp; "/pencil/sn_c955ba94aad87661fb1d05f07f4c34b8/rendering/02.xyz", "0.0")</f>
        <v>0.0</v>
      </c>
      <c r="F1951" s="13" t="str">
        <f>HYPERLINK(AC2 &amp; "/pencil/sn_c955ba94aad87661fb1d05f07f4c34b8/rendering/03.xyz", "0.0")</f>
        <v>0.0</v>
      </c>
      <c r="G1951" s="13" t="str">
        <f>HYPERLINK(AC2 &amp; "/pencil/sn_c955ba94aad87661fb1d05f07f4c34b8/rendering/04.xyz", "0.0")</f>
        <v>0.0</v>
      </c>
      <c r="H1951" s="13" t="str">
        <f>HYPERLINK(AC2 &amp; "/pencil/sn_c955ba94aad87661fb1d05f07f4c34b8/rendering/05.xyz", "0.0")</f>
        <v>0.0</v>
      </c>
      <c r="I1951" s="13" t="str">
        <f>HYPERLINK(AC2 &amp; "/pencil/sn_c955ba94aad87661fb1d05f07f4c34b8/rendering/06.xyz", "0.0")</f>
        <v>0.0</v>
      </c>
      <c r="J1951" s="13" t="str">
        <f>HYPERLINK(AC2 &amp; "/pencil/sn_c955ba94aad87661fb1d05f07f4c34b8/rendering/07.xyz", "0.0")</f>
        <v>0.0</v>
      </c>
      <c r="K1951" s="13" t="str">
        <f>HYPERLINK(AC2 &amp; "/pencil/sn_c955ba94aad87661fb1d05f07f4c34b8/rendering/08.xyz", "0.0")</f>
        <v>0.0</v>
      </c>
      <c r="L1951" s="13" t="str">
        <f>HYPERLINK(AC2 &amp; "/pencil/sn_c955ba94aad87661fb1d05f07f4c34b8/rendering/09.xyz", "0.0")</f>
        <v>0.0</v>
      </c>
      <c r="M1951" s="13" t="str">
        <f>HYPERLINK(AC2 &amp; "/pencil/sn_c955ba94aad87661fb1d05f07f4c34b8/rendering/10.xyz", "0.0")</f>
        <v>0.0</v>
      </c>
      <c r="N1951" s="13" t="str">
        <f>HYPERLINK(AC2 &amp; "/pencil/sn_c955ba94aad87661fb1d05f07f4c34b8/rendering/11.xyz", "0.0")</f>
        <v>0.0</v>
      </c>
      <c r="O1951" s="13" t="str">
        <f>HYPERLINK(AC2 &amp; "/pencil/sn_c955ba94aad87661fb1d05f07f4c34b8/rendering/12.xyz", "0.0")</f>
        <v>0.0</v>
      </c>
      <c r="P1951" s="13" t="str">
        <f>HYPERLINK(AC2 &amp; "/pencil/sn_c955ba94aad87661fb1d05f07f4c34b8/rendering/13.xyz", "0.0")</f>
        <v>0.0</v>
      </c>
      <c r="Q1951" s="13" t="str">
        <f>HYPERLINK(AC2 &amp; "/pencil/sn_c955ba94aad87661fb1d05f07f4c34b8/rendering/14.xyz", "0.0")</f>
        <v>0.0</v>
      </c>
      <c r="R1951" s="13" t="str">
        <f>HYPERLINK(AC2 &amp; "/pencil/sn_c955ba94aad87661fb1d05f07f4c34b8/rendering/15.xyz", "0.0")</f>
        <v>0.0</v>
      </c>
      <c r="S1951" s="13" t="str">
        <f>HYPERLINK(AC2 &amp; "/pencil/sn_c955ba94aad87661fb1d05f07f4c34b8/rendering/16.xyz", "0.0")</f>
        <v>0.0</v>
      </c>
      <c r="T1951" s="13" t="str">
        <f>HYPERLINK(AC2 &amp; "/pencil/sn_c955ba94aad87661fb1d05f07f4c34b8/rendering/17.xyz", "0.0")</f>
        <v>0.0</v>
      </c>
      <c r="U1951" s="13" t="str">
        <f>HYPERLINK(AC2 &amp; "/pencil/sn_c955ba94aad87661fb1d05f07f4c34b8/rendering/18.xyz", "0.0")</f>
        <v>0.0</v>
      </c>
      <c r="V1951" s="13" t="str">
        <f>HYPERLINK(AC2 &amp; "/pencil/sn_c955ba94aad87661fb1d05f07f4c34b8/rendering/19.xyz", "0.0")</f>
        <v>0.0</v>
      </c>
      <c r="W1951" s="12" t="s">
        <v>33</v>
      </c>
      <c r="X1951" s="13">
        <v>0</v>
      </c>
      <c r="Y1951" s="13">
        <v>0</v>
      </c>
      <c r="Z1951" s="13">
        <v>0</v>
      </c>
    </row>
    <row r="1952" spans="1:26" x14ac:dyDescent="0.2">
      <c r="A1952" s="1">
        <v>1950</v>
      </c>
      <c r="B1952" s="2" t="s">
        <v>423</v>
      </c>
      <c r="C1952" s="187" t="str">
        <f>HYPERLINK(AA2 &amp; "/pencil/sn_c99a9fb0441d562ea19aad949f3ccb55/rendering/00.obj", "16.2736035156")</f>
        <v>16.2736035156</v>
      </c>
      <c r="D1952" s="112" t="str">
        <f>HYPERLINK(AA2 &amp; "/pencil/sn_c99a9fb0441d562ea19aad949f3ccb55/rendering/01.obj", "4.89620697021")</f>
        <v>4.89620697021</v>
      </c>
      <c r="E1952" s="181" t="str">
        <f>HYPERLINK(AA2 &amp; "/pencil/sn_c99a9fb0441d562ea19aad949f3ccb55/rendering/02.obj", "6.70503845215")</f>
        <v>6.70503845215</v>
      </c>
      <c r="F1952" s="186" t="str">
        <f>HYPERLINK(AA2 &amp; "/pencil/sn_c99a9fb0441d562ea19aad949f3ccb55/rendering/03.obj", "4.79120239258")</f>
        <v>4.79120239258</v>
      </c>
      <c r="G1952" s="32" t="str">
        <f>HYPERLINK(AA2 &amp; "/pencil/sn_c99a9fb0441d562ea19aad949f3ccb55/rendering/04.obj", "10.7670605469")</f>
        <v>10.7670605469</v>
      </c>
      <c r="H1952" s="37" t="str">
        <f>HYPERLINK(AA2 &amp; "/pencil/sn_c99a9fb0441d562ea19aad949f3ccb55/rendering/05.obj", "9.94476806641")</f>
        <v>9.94476806641</v>
      </c>
      <c r="I1952" s="86" t="str">
        <f>HYPERLINK(AA2 &amp; "/pencil/sn_c99a9fb0441d562ea19aad949f3ccb55/rendering/06.obj", "8.82671264648")</f>
        <v>8.82671264648</v>
      </c>
      <c r="J1952" s="237" t="str">
        <f>HYPERLINK(AA2 &amp; "/pencil/sn_c99a9fb0441d562ea19aad949f3ccb55/rendering/07.obj", "20.1594287109")</f>
        <v>20.1594287109</v>
      </c>
      <c r="K1952" s="66" t="str">
        <f>HYPERLINK(AA2 &amp; "/pencil/sn_c99a9fb0441d562ea19aad949f3ccb55/rendering/08.obj", "13.986907959")</f>
        <v>13.986907959</v>
      </c>
      <c r="L1952" s="179" t="str">
        <f>HYPERLINK(AA2 &amp; "/pencil/sn_c99a9fb0441d562ea19aad949f3ccb55/rendering/09.obj", "17.2187841797")</f>
        <v>17.2187841797</v>
      </c>
      <c r="M1952" s="20" t="str">
        <f>HYPERLINK(AA2 &amp; "/pencil/sn_c99a9fb0441d562ea19aad949f3ccb55/rendering/10.obj", "22.4706787109")</f>
        <v>22.4706787109</v>
      </c>
      <c r="N1952" s="171" t="str">
        <f>HYPERLINK(AA2 &amp; "/pencil/sn_c99a9fb0441d562ea19aad949f3ccb55/rendering/11.obj", "8.36257507324")</f>
        <v>8.36257507324</v>
      </c>
      <c r="O1952" s="81" t="str">
        <f>HYPERLINK(AA2 &amp; "/pencil/sn_c99a9fb0441d562ea19aad949f3ccb55/rendering/12.obj", "9.40557495117")</f>
        <v>9.40557495117</v>
      </c>
      <c r="P1952" s="111" t="str">
        <f>HYPERLINK(AA2 &amp; "/pencil/sn_c99a9fb0441d562ea19aad949f3ccb55/rendering/13.obj", "6.9514050293")</f>
        <v>6.9514050293</v>
      </c>
      <c r="Q1952" s="4" t="str">
        <f>HYPERLINK(AA2 &amp; "/pencil/sn_c99a9fb0441d562ea19aad949f3ccb55/rendering/14.obj", "8.63258666992")</f>
        <v>8.63258666992</v>
      </c>
      <c r="R1952" s="204" t="str">
        <f>HYPERLINK(AA2 &amp; "/pencil/sn_c99a9fb0441d562ea19aad949f3ccb55/rendering/15.obj", "21.6461376953")</f>
        <v>21.6461376953</v>
      </c>
      <c r="S1952" s="108" t="str">
        <f>HYPERLINK(AA2 &amp; "/pencil/sn_c99a9fb0441d562ea19aad949f3ccb55/rendering/16.obj", "9.06312744141")</f>
        <v>9.06312744141</v>
      </c>
      <c r="T1952" s="165" t="str">
        <f>HYPERLINK(AA2 &amp; "/pencil/sn_c99a9fb0441d562ea19aad949f3ccb55/rendering/17.obj", "20.3652246094")</f>
        <v>20.3652246094</v>
      </c>
      <c r="U1952" s="172" t="str">
        <f>HYPERLINK(AA2 &amp; "/pencil/sn_c99a9fb0441d562ea19aad949f3ccb55/rendering/18.obj", "7.42865600586")</f>
        <v>7.42865600586</v>
      </c>
      <c r="V1952" s="107" t="str">
        <f>HYPERLINK(AA2 &amp; "/pencil/sn_c99a9fb0441d562ea19aad949f3ccb55/rendering/19.obj", "13.0673327637")</f>
        <v>13.0673327637</v>
      </c>
      <c r="W1952" s="12" t="s">
        <v>29</v>
      </c>
      <c r="X1952" s="13">
        <v>12.04815061950684</v>
      </c>
      <c r="Y1952" s="13">
        <v>5.5783939945117993</v>
      </c>
      <c r="Z1952" s="131">
        <v>0.46300832141656428</v>
      </c>
    </row>
    <row r="1953" spans="1:26" x14ac:dyDescent="0.2">
      <c r="A1953" s="1">
        <v>1951</v>
      </c>
      <c r="B1953" s="2" t="s">
        <v>423</v>
      </c>
      <c r="C1953" s="211" t="str">
        <f>HYPERLINK(AA2 &amp; "/pencil/sn_c99a9fb0441d562ea19aad949f3ccb55/rendering/00.obj", "71.1473999023")</f>
        <v>71.1473999023</v>
      </c>
      <c r="D1953" s="20" t="str">
        <f>HYPERLINK(AA2 &amp; "/pencil/sn_c99a9fb0441d562ea19aad949f3ccb55/rendering/01.obj", "6.47848081589")</f>
        <v>6.47848081589</v>
      </c>
      <c r="E1953" s="183" t="str">
        <f>HYPERLINK(AA2 &amp; "/pencil/sn_c99a9fb0441d562ea19aad949f3ccb55/rendering/02.obj", "9.97873687744")</f>
        <v>9.97873687744</v>
      </c>
      <c r="F1953" s="20" t="str">
        <f>HYPERLINK(AA2 &amp; "/pencil/sn_c99a9fb0441d562ea19aad949f3ccb55/rendering/03.obj", "5.6038184166")</f>
        <v>5.6038184166</v>
      </c>
      <c r="G1953" s="252" t="str">
        <f>HYPERLINK(AA2 &amp; "/pencil/sn_c99a9fb0441d562ea19aad949f3ccb55/rendering/04.obj", "14.3613729477")</f>
        <v>14.3613729477</v>
      </c>
      <c r="H1953" s="203" t="str">
        <f>HYPERLINK(AA2 &amp; "/pencil/sn_c99a9fb0441d562ea19aad949f3ccb55/rendering/05.obj", "21.5513343811")</f>
        <v>21.5513343811</v>
      </c>
      <c r="I1953" s="143" t="str">
        <f>HYPERLINK(AA2 &amp; "/pencil/sn_c99a9fb0441d562ea19aad949f3ccb55/rendering/06.obj", "21.1976909637")</f>
        <v>21.1976909637</v>
      </c>
      <c r="J1953" s="258" t="str">
        <f>HYPERLINK(AA2 &amp; "/pencil/sn_c99a9fb0441d562ea19aad949f3ccb55/rendering/07.obj", "70.8696670532")</f>
        <v>70.8696670532</v>
      </c>
      <c r="K1953" s="38" t="str">
        <f>HYPERLINK(AA2 &amp; "/pencil/sn_c99a9fb0441d562ea19aad949f3ccb55/rendering/08.obj", "43.8432693481")</f>
        <v>43.8432693481</v>
      </c>
      <c r="L1953" s="20" t="str">
        <f>HYPERLINK(AA2 &amp; "/pencil/sn_c99a9fb0441d562ea19aad949f3ccb55/rendering/09.obj", "76.8573226929")</f>
        <v>76.8573226929</v>
      </c>
      <c r="M1953" s="20" t="str">
        <f>HYPERLINK(AA2 &amp; "/pencil/sn_c99a9fb0441d562ea19aad949f3ccb55/rendering/10.obj", "108.314537048")</f>
        <v>108.314537048</v>
      </c>
      <c r="N1953" s="229" t="str">
        <f>HYPERLINK(AA2 &amp; "/pencil/sn_c99a9fb0441d562ea19aad949f3ccb55/rendering/11.obj", "12.8293952942")</f>
        <v>12.8293952942</v>
      </c>
      <c r="O1953" s="241" t="str">
        <f>HYPERLINK(AA2 &amp; "/pencil/sn_c99a9fb0441d562ea19aad949f3ccb55/rendering/12.obj", "14.3858804703")</f>
        <v>14.3858804703</v>
      </c>
      <c r="P1953" s="242" t="str">
        <f>HYPERLINK(AA2 &amp; "/pencil/sn_c99a9fb0441d562ea19aad949f3ccb55/rendering/13.obj", "10.7869882584")</f>
        <v>10.7869882584</v>
      </c>
      <c r="Q1953" s="177" t="str">
        <f>HYPERLINK(AA2 &amp; "/pencil/sn_c99a9fb0441d562ea19aad949f3ccb55/rendering/14.obj", "18.7239360809")</f>
        <v>18.7239360809</v>
      </c>
      <c r="R1953" s="20" t="str">
        <f>HYPERLINK(AA2 &amp; "/pencil/sn_c99a9fb0441d562ea19aad949f3ccb55/rendering/15.obj", "131.378753662")</f>
        <v>131.378753662</v>
      </c>
      <c r="S1953" s="112" t="str">
        <f>HYPERLINK(AA2 &amp; "/pencil/sn_c99a9fb0441d562ea19aad949f3ccb55/rendering/16.obj", "16.3782138824")</f>
        <v>16.3782138824</v>
      </c>
      <c r="T1953" s="20" t="str">
        <f>HYPERLINK(AA2 &amp; "/pencil/sn_c99a9fb0441d562ea19aad949f3ccb55/rendering/17.obj", "94.3564758301")</f>
        <v>94.3564758301</v>
      </c>
      <c r="U1953" s="258" t="str">
        <f>HYPERLINK(AA2 &amp; "/pencil/sn_c99a9fb0441d562ea19aad949f3ccb55/rendering/18.obj", "9.63435649872")</f>
        <v>9.63435649872</v>
      </c>
      <c r="V1953" s="80" t="str">
        <f>HYPERLINK(AA2 &amp; "/pencil/sn_c99a9fb0441d562ea19aad949f3ccb55/rendering/19.obj", "46.2265396118")</f>
        <v>46.2265396118</v>
      </c>
      <c r="W1953" s="12" t="s">
        <v>30</v>
      </c>
      <c r="X1953" s="13">
        <v>40.245208501815803</v>
      </c>
      <c r="Y1953" s="13">
        <v>37.446774310111891</v>
      </c>
      <c r="Z1953" s="20">
        <v>0.9304654070414955</v>
      </c>
    </row>
    <row r="1954" spans="1:26" x14ac:dyDescent="0.2">
      <c r="A1954" s="1">
        <v>1952</v>
      </c>
      <c r="B1954" s="2" t="s">
        <v>423</v>
      </c>
      <c r="C1954" s="225" t="str">
        <f>HYPERLINK(AB2 &amp; "/pencil/sn_c99a9fb0441d562ea19aad949f3ccb55/rendering/00.obj", "5.9863458252")</f>
        <v>5.9863458252</v>
      </c>
      <c r="D1954" s="50" t="str">
        <f>HYPERLINK(AB2 &amp; "/pencil/sn_c99a9fb0441d562ea19aad949f3ccb55/rendering/01.obj", "11.0961035156")</f>
        <v>11.0961035156</v>
      </c>
      <c r="E1954" s="7" t="str">
        <f>HYPERLINK(AB2 &amp; "/pencil/sn_c99a9fb0441d562ea19aad949f3ccb55/rendering/02.obj", "17.7076489258")</f>
        <v>17.7076489258</v>
      </c>
      <c r="F1954" s="11" t="str">
        <f>HYPERLINK(AB2 &amp; "/pencil/sn_c99a9fb0441d562ea19aad949f3ccb55/rendering/03.obj", "10.732409668")</f>
        <v>10.732409668</v>
      </c>
      <c r="G1954" s="175" t="str">
        <f>HYPERLINK(AB2 &amp; "/pencil/sn_c99a9fb0441d562ea19aad949f3ccb55/rendering/04.obj", "17.0899914551")</f>
        <v>17.0899914551</v>
      </c>
      <c r="H1954" s="155" t="str">
        <f>HYPERLINK(AB2 &amp; "/pencil/sn_c99a9fb0441d562ea19aad949f3ccb55/rendering/05.obj", "4.51090881348")</f>
        <v>4.51090881348</v>
      </c>
      <c r="I1954" s="202" t="str">
        <f>HYPERLINK(AB2 &amp; "/pencil/sn_c99a9fb0441d562ea19aad949f3ccb55/rendering/06.obj", "22.5622021484")</f>
        <v>22.5622021484</v>
      </c>
      <c r="J1954" s="43" t="str">
        <f>HYPERLINK(AB2 &amp; "/pencil/sn_c99a9fb0441d562ea19aad949f3ccb55/rendering/07.obj", "19.0456640625")</f>
        <v>19.0456640625</v>
      </c>
      <c r="K1954" s="20" t="str">
        <f>HYPERLINK(AB2 &amp; "/pencil/sn_c99a9fb0441d562ea19aad949f3ccb55/rendering/08.obj", "27.2197485352")</f>
        <v>27.2197485352</v>
      </c>
      <c r="L1954" s="20" t="str">
        <f>HYPERLINK(AB2 &amp; "/pencil/sn_c99a9fb0441d562ea19aad949f3ccb55/rendering/09.obj", "26.6486816406")</f>
        <v>26.6486816406</v>
      </c>
      <c r="M1954" s="244" t="str">
        <f>HYPERLINK(AB2 &amp; "/pencil/sn_c99a9fb0441d562ea19aad949f3ccb55/rendering/10.obj", "5.34456115723")</f>
        <v>5.34456115723</v>
      </c>
      <c r="N1954" s="22" t="str">
        <f>HYPERLINK(AB2 &amp; "/pencil/sn_c99a9fb0441d562ea19aad949f3ccb55/rendering/11.obj", "6.61263183594")</f>
        <v>6.61263183594</v>
      </c>
      <c r="O1954" s="180" t="str">
        <f>HYPERLINK(AB2 &amp; "/pencil/sn_c99a9fb0441d562ea19aad949f3ccb55/rendering/12.obj", "2.94077758789")</f>
        <v>2.94077758789</v>
      </c>
      <c r="P1954" s="92" t="str">
        <f>HYPERLINK(AB2 &amp; "/pencil/sn_c99a9fb0441d562ea19aad949f3ccb55/rendering/13.obj", "12.1459960938")</f>
        <v>12.1459960938</v>
      </c>
      <c r="Q1954" s="69" t="str">
        <f>HYPERLINK(AB2 &amp; "/pencil/sn_c99a9fb0441d562ea19aad949f3ccb55/rendering/14.obj", "14.2901672363")</f>
        <v>14.2901672363</v>
      </c>
      <c r="R1954" s="78" t="str">
        <f>HYPERLINK(AB2 &amp; "/pencil/sn_c99a9fb0441d562ea19aad949f3ccb55/rendering/15.obj", "13.0239208984")</f>
        <v>13.0239208984</v>
      </c>
      <c r="S1954" s="5" t="str">
        <f>HYPERLINK(AB2 &amp; "/pencil/sn_c99a9fb0441d562ea19aad949f3ccb55/rendering/16.obj", "14.9092285156")</f>
        <v>14.9092285156</v>
      </c>
      <c r="T1954" s="20" t="str">
        <f>HYPERLINK(AB2 &amp; "/pencil/sn_c99a9fb0441d562ea19aad949f3ccb55/rendering/17.obj", "25.0588720703")</f>
        <v>25.0588720703</v>
      </c>
      <c r="U1954" s="6" t="str">
        <f>HYPERLINK(AB2 &amp; "/pencil/sn_c99a9fb0441d562ea19aad949f3ccb55/rendering/18.obj", "13.2165588379")</f>
        <v>13.2165588379</v>
      </c>
      <c r="V1954" s="145" t="str">
        <f>HYPERLINK(AB2 &amp; "/pencil/sn_c99a9fb0441d562ea19aad949f3ccb55/rendering/19.obj", "7.07002380371")</f>
        <v>7.07002380371</v>
      </c>
      <c r="W1954" s="12" t="s">
        <v>31</v>
      </c>
      <c r="X1954" s="13">
        <v>13.86062213134765</v>
      </c>
      <c r="Y1954" s="13">
        <v>7.2726630833070729</v>
      </c>
      <c r="Z1954" s="174">
        <v>0.52469961408579002</v>
      </c>
    </row>
    <row r="1955" spans="1:26" x14ac:dyDescent="0.2">
      <c r="A1955" s="1">
        <v>1953</v>
      </c>
      <c r="B1955" s="2" t="s">
        <v>423</v>
      </c>
      <c r="C1955" s="20" t="str">
        <f>HYPERLINK(AB2 &amp; "/pencil/sn_c99a9fb0441d562ea19aad949f3ccb55/rendering/00.obj", "7.71034383774")</f>
        <v>7.71034383774</v>
      </c>
      <c r="D1955" s="231" t="str">
        <f>HYPERLINK(AB2 &amp; "/pencil/sn_c99a9fb0441d562ea19aad949f3ccb55/rendering/01.obj", "29.3237285614")</f>
        <v>29.3237285614</v>
      </c>
      <c r="E1955" s="132" t="str">
        <f>HYPERLINK(AB2 &amp; "/pencil/sn_c99a9fb0441d562ea19aad949f3ccb55/rendering/02.obj", "98.4367446899")</f>
        <v>98.4367446899</v>
      </c>
      <c r="F1955" s="240" t="str">
        <f>HYPERLINK(AB2 &amp; "/pencil/sn_c99a9fb0441d562ea19aad949f3ccb55/rendering/03.obj", "23.9463367462")</f>
        <v>23.9463367462</v>
      </c>
      <c r="G1955" s="55" t="str">
        <f>HYPERLINK(AB2 &amp; "/pencil/sn_c99a9fb0441d562ea19aad949f3ccb55/rendering/04.obj", "82.6071395874")</f>
        <v>82.6071395874</v>
      </c>
      <c r="H1955" s="20" t="str">
        <f>HYPERLINK(AB2 &amp; "/pencil/sn_c99a9fb0441d562ea19aad949f3ccb55/rendering/05.obj", "5.16902732849")</f>
        <v>5.16902732849</v>
      </c>
      <c r="I1955" s="146" t="str">
        <f>HYPERLINK(AB2 &amp; "/pencil/sn_c99a9fb0441d562ea19aad949f3ccb55/rendering/06.obj", "123.197006226")</f>
        <v>123.197006226</v>
      </c>
      <c r="J1955" s="104" t="str">
        <f>HYPERLINK(AB2 &amp; "/pencil/sn_c99a9fb0441d562ea19aad949f3ccb55/rendering/07.obj", "102.344825745")</f>
        <v>102.344825745</v>
      </c>
      <c r="K1955" s="20" t="str">
        <f>HYPERLINK(AB2 &amp; "/pencil/sn_c99a9fb0441d562ea19aad949f3ccb55/rendering/08.obj", "225.346786499")</f>
        <v>225.346786499</v>
      </c>
      <c r="L1955" s="20" t="str">
        <f>HYPERLINK(AB2 &amp; "/pencil/sn_c99a9fb0441d562ea19aad949f3ccb55/rendering/09.obj", "210.774505615")</f>
        <v>210.774505615</v>
      </c>
      <c r="M1955" s="20" t="str">
        <f>HYPERLINK(AB2 &amp; "/pencil/sn_c99a9fb0441d562ea19aad949f3ccb55/rendering/10.obj", "5.34576892853")</f>
        <v>5.34576892853</v>
      </c>
      <c r="N1955" s="20" t="str">
        <f>HYPERLINK(AB2 &amp; "/pencil/sn_c99a9fb0441d562ea19aad949f3ccb55/rendering/11.obj", "9.63076972961")</f>
        <v>9.63076972961</v>
      </c>
      <c r="O1955" s="20" t="str">
        <f>HYPERLINK(AB2 &amp; "/pencil/sn_c99a9fb0441d562ea19aad949f3ccb55/rendering/12.obj", "3.41294145584")</f>
        <v>3.41294145584</v>
      </c>
      <c r="P1955" s="104" t="str">
        <f>HYPERLINK(AB2 &amp; "/pencil/sn_c99a9fb0441d562ea19aad949f3ccb55/rendering/13.obj", "36.2848129272")</f>
        <v>36.2848129272</v>
      </c>
      <c r="Q1955" s="94" t="str">
        <f>HYPERLINK(AB2 &amp; "/pencil/sn_c99a9fb0441d562ea19aad949f3ccb55/rendering/14.obj", "74.4582519531")</f>
        <v>74.4582519531</v>
      </c>
      <c r="R1955" s="149" t="str">
        <f>HYPERLINK(AB2 &amp; "/pencil/sn_c99a9fb0441d562ea19aad949f3ccb55/rendering/15.obj", "45.5515670776")</f>
        <v>45.5515670776</v>
      </c>
      <c r="S1955" s="92" t="str">
        <f>HYPERLINK(AB2 &amp; "/pencil/sn_c99a9fb0441d562ea19aad949f3ccb55/rendering/16.obj", "60.7238273621")</f>
        <v>60.7238273621</v>
      </c>
      <c r="T1955" s="20" t="str">
        <f>HYPERLINK(AB2 &amp; "/pencil/sn_c99a9fb0441d562ea19aad949f3ccb55/rendering/17.obj", "186.384353638")</f>
        <v>186.384353638</v>
      </c>
      <c r="U1955" s="137" t="str">
        <f>HYPERLINK(AB2 &amp; "/pencil/sn_c99a9fb0441d562ea19aad949f3ccb55/rendering/18.obj", "43.9329147339")</f>
        <v>43.9329147339</v>
      </c>
      <c r="V1955" s="20" t="str">
        <f>HYPERLINK(AB2 &amp; "/pencil/sn_c99a9fb0441d562ea19aad949f3ccb55/rendering/19.obj", "11.5708169937")</f>
        <v>11.5708169937</v>
      </c>
      <c r="W1955" s="12" t="s">
        <v>32</v>
      </c>
      <c r="X1955" s="13">
        <v>69.307623481750483</v>
      </c>
      <c r="Y1955" s="13">
        <v>67.963351830462344</v>
      </c>
      <c r="Z1955" s="20">
        <v>0.98060427433870823</v>
      </c>
    </row>
    <row r="1956" spans="1:26" x14ac:dyDescent="0.2">
      <c r="A1956" s="1">
        <v>1954</v>
      </c>
      <c r="B1956" s="2" t="s">
        <v>423</v>
      </c>
      <c r="C1956" s="13" t="str">
        <f>HYPERLINK(AC2 &amp; "/pencil/sn_c99a9fb0441d562ea19aad949f3ccb55/rendering/00.xyz", "0.0")</f>
        <v>0.0</v>
      </c>
      <c r="D1956" s="13" t="str">
        <f>HYPERLINK(AC2 &amp; "/pencil/sn_c99a9fb0441d562ea19aad949f3ccb55/rendering/01.xyz", "0.0")</f>
        <v>0.0</v>
      </c>
      <c r="E1956" s="13" t="str">
        <f>HYPERLINK(AC2 &amp; "/pencil/sn_c99a9fb0441d562ea19aad949f3ccb55/rendering/02.xyz", "0.0")</f>
        <v>0.0</v>
      </c>
      <c r="F1956" s="13" t="str">
        <f>HYPERLINK(AC2 &amp; "/pencil/sn_c99a9fb0441d562ea19aad949f3ccb55/rendering/03.xyz", "0.0")</f>
        <v>0.0</v>
      </c>
      <c r="G1956" s="13" t="str">
        <f>HYPERLINK(AC2 &amp; "/pencil/sn_c99a9fb0441d562ea19aad949f3ccb55/rendering/04.xyz", "0.0")</f>
        <v>0.0</v>
      </c>
      <c r="H1956" s="13" t="str">
        <f>HYPERLINK(AC2 &amp; "/pencil/sn_c99a9fb0441d562ea19aad949f3ccb55/rendering/05.xyz", "0.0")</f>
        <v>0.0</v>
      </c>
      <c r="I1956" s="13" t="str">
        <f>HYPERLINK(AC2 &amp; "/pencil/sn_c99a9fb0441d562ea19aad949f3ccb55/rendering/06.xyz", "0.0")</f>
        <v>0.0</v>
      </c>
      <c r="J1956" s="13" t="str">
        <f>HYPERLINK(AC2 &amp; "/pencil/sn_c99a9fb0441d562ea19aad949f3ccb55/rendering/07.xyz", "0.0")</f>
        <v>0.0</v>
      </c>
      <c r="K1956" s="13" t="str">
        <f>HYPERLINK(AC2 &amp; "/pencil/sn_c99a9fb0441d562ea19aad949f3ccb55/rendering/08.xyz", "0.0")</f>
        <v>0.0</v>
      </c>
      <c r="L1956" s="13" t="str">
        <f>HYPERLINK(AC2 &amp; "/pencil/sn_c99a9fb0441d562ea19aad949f3ccb55/rendering/09.xyz", "0.0")</f>
        <v>0.0</v>
      </c>
      <c r="M1956" s="13" t="str">
        <f>HYPERLINK(AC2 &amp; "/pencil/sn_c99a9fb0441d562ea19aad949f3ccb55/rendering/10.xyz", "0.0")</f>
        <v>0.0</v>
      </c>
      <c r="N1956" s="13" t="str">
        <f>HYPERLINK(AC2 &amp; "/pencil/sn_c99a9fb0441d562ea19aad949f3ccb55/rendering/11.xyz", "0.0")</f>
        <v>0.0</v>
      </c>
      <c r="O1956" s="13" t="str">
        <f>HYPERLINK(AC2 &amp; "/pencil/sn_c99a9fb0441d562ea19aad949f3ccb55/rendering/12.xyz", "0.0")</f>
        <v>0.0</v>
      </c>
      <c r="P1956" s="13" t="str">
        <f>HYPERLINK(AC2 &amp; "/pencil/sn_c99a9fb0441d562ea19aad949f3ccb55/rendering/13.xyz", "0.0")</f>
        <v>0.0</v>
      </c>
      <c r="Q1956" s="13" t="str">
        <f>HYPERLINK(AC2 &amp; "/pencil/sn_c99a9fb0441d562ea19aad949f3ccb55/rendering/14.xyz", "0.0")</f>
        <v>0.0</v>
      </c>
      <c r="R1956" s="13" t="str">
        <f>HYPERLINK(AC2 &amp; "/pencil/sn_c99a9fb0441d562ea19aad949f3ccb55/rendering/15.xyz", "0.0")</f>
        <v>0.0</v>
      </c>
      <c r="S1956" s="13" t="str">
        <f>HYPERLINK(AC2 &amp; "/pencil/sn_c99a9fb0441d562ea19aad949f3ccb55/rendering/16.xyz", "0.0")</f>
        <v>0.0</v>
      </c>
      <c r="T1956" s="13" t="str">
        <f>HYPERLINK(AC2 &amp; "/pencil/sn_c99a9fb0441d562ea19aad949f3ccb55/rendering/17.xyz", "0.0")</f>
        <v>0.0</v>
      </c>
      <c r="U1956" s="13" t="str">
        <f>HYPERLINK(AC2 &amp; "/pencil/sn_c99a9fb0441d562ea19aad949f3ccb55/rendering/18.xyz", "0.0")</f>
        <v>0.0</v>
      </c>
      <c r="V1956" s="13" t="str">
        <f>HYPERLINK(AC2 &amp; "/pencil/sn_c99a9fb0441d562ea19aad949f3ccb55/rendering/19.xyz", "0.0")</f>
        <v>0.0</v>
      </c>
      <c r="W1956" s="12" t="s">
        <v>33</v>
      </c>
      <c r="X1956" s="13">
        <v>0</v>
      </c>
      <c r="Y1956" s="13">
        <v>0</v>
      </c>
      <c r="Z1956" s="13">
        <v>0</v>
      </c>
    </row>
    <row r="1957" spans="1:26" x14ac:dyDescent="0.2">
      <c r="A1957" s="1">
        <v>1955</v>
      </c>
      <c r="B1957" s="2" t="s">
        <v>424</v>
      </c>
      <c r="C1957" s="150" t="str">
        <f>HYPERLINK(AA2 &amp; "/pencil/sn_ca1d3369cce99790cc49567b27f202c2/rendering/00.obj", "5.91287109375")</f>
        <v>5.91287109375</v>
      </c>
      <c r="D1957" s="61" t="str">
        <f>HYPERLINK(AA2 &amp; "/pencil/sn_ca1d3369cce99790cc49567b27f202c2/rendering/01.obj", "8.94010620117")</f>
        <v>8.94010620117</v>
      </c>
      <c r="E1957" s="151" t="str">
        <f>HYPERLINK(AA2 &amp; "/pencil/sn_ca1d3369cce99790cc49567b27f202c2/rendering/02.obj", "17.4073083496")</f>
        <v>17.4073083496</v>
      </c>
      <c r="F1957" s="212" t="str">
        <f>HYPERLINK(AA2 &amp; "/pencil/sn_ca1d3369cce99790cc49567b27f202c2/rendering/03.obj", "7.28501953125")</f>
        <v>7.28501953125</v>
      </c>
      <c r="G1957" s="189" t="str">
        <f>HYPERLINK(AA2 &amp; "/pencil/sn_ca1d3369cce99790cc49567b27f202c2/rendering/04.obj", "20.8137133789")</f>
        <v>20.8137133789</v>
      </c>
      <c r="H1957" s="37" t="str">
        <f>HYPERLINK(AA2 &amp; "/pencil/sn_ca1d3369cce99790cc49567b27f202c2/rendering/05.obj", "15.0438500977")</f>
        <v>15.0438500977</v>
      </c>
      <c r="I1957" s="130" t="str">
        <f>HYPERLINK(AA2 &amp; "/pencil/sn_ca1d3369cce99790cc49567b27f202c2/rendering/06.obj", "18.5584814453")</f>
        <v>18.5584814453</v>
      </c>
      <c r="J1957" s="64" t="str">
        <f>HYPERLINK(AA2 &amp; "/pencil/sn_ca1d3369cce99790cc49567b27f202c2/rendering/07.obj", "14.9011865234")</f>
        <v>14.9011865234</v>
      </c>
      <c r="K1957" s="5" t="str">
        <f>HYPERLINK(AA2 &amp; "/pencil/sn_ca1d3369cce99790cc49567b27f202c2/rendering/08.obj", "13.7693115234")</f>
        <v>13.7693115234</v>
      </c>
      <c r="L1957" s="245" t="str">
        <f>HYPERLINK(AA2 &amp; "/pencil/sn_ca1d3369cce99790cc49567b27f202c2/rendering/09.obj", "3.56900268555")</f>
        <v>3.56900268555</v>
      </c>
      <c r="M1957" s="94" t="str">
        <f>HYPERLINK(AA2 &amp; "/pencil/sn_ca1d3369cce99790cc49567b27f202c2/rendering/10.obj", "13.7217700195")</f>
        <v>13.7217700195</v>
      </c>
      <c r="N1957" s="181" t="str">
        <f>HYPERLINK(AA2 &amp; "/pencil/sn_ca1d3369cce99790cc49567b27f202c2/rendering/11.obj", "18.4779577637")</f>
        <v>18.4779577637</v>
      </c>
      <c r="O1957" s="40" t="str">
        <f>HYPERLINK(AA2 &amp; "/pencil/sn_ca1d3369cce99790cc49567b27f202c2/rendering/12.obj", "10.5963989258")</f>
        <v>10.5963989258</v>
      </c>
      <c r="P1957" s="93" t="str">
        <f>HYPERLINK(AA2 &amp; "/pencil/sn_ca1d3369cce99790cc49567b27f202c2/rendering/13.obj", "14.5799829102")</f>
        <v>14.5799829102</v>
      </c>
      <c r="Q1957" s="161" t="str">
        <f>HYPERLINK(AA2 &amp; "/pencil/sn_ca1d3369cce99790cc49567b27f202c2/rendering/14.obj", "5.30845336914")</f>
        <v>5.30845336914</v>
      </c>
      <c r="R1957" s="124" t="str">
        <f>HYPERLINK(AA2 &amp; "/pencil/sn_ca1d3369cce99790cc49567b27f202c2/rendering/15.obj", "17.6648852539")</f>
        <v>17.6648852539</v>
      </c>
      <c r="S1957" s="78" t="str">
        <f>HYPERLINK(AA2 &amp; "/pencil/sn_ca1d3369cce99790cc49567b27f202c2/rendering/16.obj", "13.5896887207")</f>
        <v>13.5896887207</v>
      </c>
      <c r="T1957" s="8" t="str">
        <f>HYPERLINK(AA2 &amp; "/pencil/sn_ca1d3369cce99790cc49567b27f202c2/rendering/17.obj", "14.6297851562")</f>
        <v>14.6297851562</v>
      </c>
      <c r="U1957" s="181" t="str">
        <f>HYPERLINK(AA2 &amp; "/pencil/sn_ca1d3369cce99790cc49567b27f202c2/rendering/18.obj", "7.13537597656")</f>
        <v>7.13537597656</v>
      </c>
      <c r="V1957" s="110" t="str">
        <f>HYPERLINK(AA2 &amp; "/pencil/sn_ca1d3369cce99790cc49567b27f202c2/rendering/19.obj", "14.0556567383")</f>
        <v>14.0556567383</v>
      </c>
      <c r="W1957" s="12" t="s">
        <v>29</v>
      </c>
      <c r="X1957" s="13">
        <v>12.798040283203131</v>
      </c>
      <c r="Y1957" s="13">
        <v>4.8243848545729779</v>
      </c>
      <c r="Z1957" s="101">
        <v>0.37696278084893781</v>
      </c>
    </row>
    <row r="1958" spans="1:26" x14ac:dyDescent="0.2">
      <c r="A1958" s="1">
        <v>1956</v>
      </c>
      <c r="B1958" s="2" t="s">
        <v>424</v>
      </c>
      <c r="C1958" s="20" t="str">
        <f>HYPERLINK(AA2 &amp; "/pencil/sn_ca1d3369cce99790cc49567b27f202c2/rendering/00.obj", "2.46932339668")</f>
        <v>2.46932339668</v>
      </c>
      <c r="D1958" s="219" t="str">
        <f>HYPERLINK(AA2 &amp; "/pencil/sn_ca1d3369cce99790cc49567b27f202c2/rendering/01.obj", "14.5451660156")</f>
        <v>14.5451660156</v>
      </c>
      <c r="E1958" s="40" t="str">
        <f>HYPERLINK(AA2 &amp; "/pencil/sn_ca1d3369cce99790cc49567b27f202c2/rendering/02.obj", "56.4938774109")</f>
        <v>56.4938774109</v>
      </c>
      <c r="F1958" s="20" t="str">
        <f>HYPERLINK(AA2 &amp; "/pencil/sn_ca1d3369cce99790cc49567b27f202c2/rendering/03.obj", "6.64646625519")</f>
        <v>6.64646625519</v>
      </c>
      <c r="G1958" s="20" t="str">
        <f>HYPERLINK(AA2 &amp; "/pencil/sn_ca1d3369cce99790cc49567b27f202c2/rendering/04.obj", "158.220169067")</f>
        <v>158.220169067</v>
      </c>
      <c r="H1958" s="140" t="str">
        <f>HYPERLINK(AA2 &amp; "/pencil/sn_ca1d3369cce99790cc49567b27f202c2/rendering/05.obj", "31.5290279388")</f>
        <v>31.5290279388</v>
      </c>
      <c r="I1958" s="98" t="str">
        <f>HYPERLINK(AA2 &amp; "/pencil/sn_ca1d3369cce99790cc49567b27f202c2/rendering/06.obj", "59.2760696411")</f>
        <v>59.2760696411</v>
      </c>
      <c r="J1958" s="143" t="str">
        <f>HYPERLINK(AA2 &amp; "/pencil/sn_ca1d3369cce99790cc49567b27f202c2/rendering/07.obj", "70.9820709229")</f>
        <v>70.9820709229</v>
      </c>
      <c r="K1958" s="139" t="str">
        <f>HYPERLINK(AA2 &amp; "/pencil/sn_ca1d3369cce99790cc49567b27f202c2/rendering/08.obj", "24.9578914642")</f>
        <v>24.9578914642</v>
      </c>
      <c r="L1958" s="20" t="str">
        <f>HYPERLINK(AA2 &amp; "/pencil/sn_ca1d3369cce99790cc49567b27f202c2/rendering/09.obj", "1.23941409588")</f>
        <v>1.23941409588</v>
      </c>
      <c r="M1958" s="120" t="str">
        <f>HYPERLINK(AA2 &amp; "/pencil/sn_ca1d3369cce99790cc49567b27f202c2/rendering/10.obj", "38.0119743347")</f>
        <v>38.0119743347</v>
      </c>
      <c r="N1958" s="20" t="str">
        <f>HYPERLINK(AA2 &amp; "/pencil/sn_ca1d3369cce99790cc49567b27f202c2/rendering/11.obj", "125.260551453")</f>
        <v>125.260551453</v>
      </c>
      <c r="O1958" s="229" t="str">
        <f>HYPERLINK(AA2 &amp; "/pencil/sn_ca1d3369cce99790cc49567b27f202c2/rendering/12.obj", "15.292798996")</f>
        <v>15.292798996</v>
      </c>
      <c r="P1958" s="101" t="str">
        <f>HYPERLINK(AA2 &amp; "/pencil/sn_ca1d3369cce99790cc49567b27f202c2/rendering/13.obj", "66.4713439941")</f>
        <v>66.4713439941</v>
      </c>
      <c r="Q1958" s="20" t="str">
        <f>HYPERLINK(AA2 &amp; "/pencil/sn_ca1d3369cce99790cc49567b27f202c2/rendering/14.obj", "2.1251168251")</f>
        <v>2.1251168251</v>
      </c>
      <c r="R1958" s="20" t="str">
        <f>HYPERLINK(AA2 &amp; "/pencil/sn_ca1d3369cce99790cc49567b27f202c2/rendering/15.obj", "118.110809326")</f>
        <v>118.110809326</v>
      </c>
      <c r="S1958" s="169" t="str">
        <f>HYPERLINK(AA2 &amp; "/pencil/sn_ca1d3369cce99790cc49567b27f202c2/rendering/16.obj", "33.1624603271")</f>
        <v>33.1624603271</v>
      </c>
      <c r="T1958" s="132" t="str">
        <f>HYPERLINK(AA2 &amp; "/pencil/sn_ca1d3369cce99790cc49567b27f202c2/rendering/17.obj", "68.4534683228")</f>
        <v>68.4534683228</v>
      </c>
      <c r="U1958" s="20" t="str">
        <f>HYPERLINK(AA2 &amp; "/pencil/sn_ca1d3369cce99790cc49567b27f202c2/rendering/18.obj", "7.78138780594")</f>
        <v>7.78138780594</v>
      </c>
      <c r="V1958" s="171" t="str">
        <f>HYPERLINK(AA2 &amp; "/pencil/sn_ca1d3369cce99790cc49567b27f202c2/rendering/19.obj", "62.9883422852")</f>
        <v>62.9883422852</v>
      </c>
      <c r="W1958" s="12" t="s">
        <v>30</v>
      </c>
      <c r="X1958" s="13">
        <v>48.200886493921281</v>
      </c>
      <c r="Y1958" s="13">
        <v>43.443605245146287</v>
      </c>
      <c r="Z1958" s="20">
        <v>0.90130303413869894</v>
      </c>
    </row>
    <row r="1959" spans="1:26" x14ac:dyDescent="0.2">
      <c r="A1959" s="1">
        <v>1957</v>
      </c>
      <c r="B1959" s="2" t="s">
        <v>424</v>
      </c>
      <c r="C1959" s="8" t="str">
        <f>HYPERLINK(AB2 &amp; "/pencil/sn_ca1d3369cce99790cc49567b27f202c2/rendering/00.obj", "3.50643554688")</f>
        <v>3.50643554688</v>
      </c>
      <c r="D1959" s="74" t="str">
        <f>HYPERLINK(AB2 &amp; "/pencil/sn_ca1d3369cce99790cc49567b27f202c2/rendering/01.obj", "4.15860931396")</f>
        <v>4.15860931396</v>
      </c>
      <c r="E1959" s="94" t="str">
        <f>HYPERLINK(AB2 &amp; "/pencil/sn_ca1d3369cce99790cc49567b27f202c2/rendering/02.obj", "3.80047973633")</f>
        <v>3.80047973633</v>
      </c>
      <c r="F1959" s="107" t="str">
        <f>HYPERLINK(AB2 &amp; "/pencil/sn_ca1d3369cce99790cc49567b27f202c2/rendering/03.obj", "4.44002868652")</f>
        <v>4.44002868652</v>
      </c>
      <c r="G1959" s="10" t="str">
        <f>HYPERLINK(AB2 &amp; "/pencil/sn_ca1d3369cce99790cc49567b27f202c2/rendering/04.obj", "3.87430297852")</f>
        <v>3.87430297852</v>
      </c>
      <c r="H1959" s="107" t="str">
        <f>HYPERLINK(AB2 &amp; "/pencil/sn_ca1d3369cce99790cc49567b27f202c2/rendering/05.obj", "4.43735137939")</f>
        <v>4.43735137939</v>
      </c>
      <c r="I1959" s="67" t="str">
        <f>HYPERLINK(AB2 &amp; "/pencil/sn_ca1d3369cce99790cc49567b27f202c2/rendering/06.obj", "4.47267974854")</f>
        <v>4.47267974854</v>
      </c>
      <c r="J1959" s="25" t="str">
        <f>HYPERLINK(AB2 &amp; "/pencil/sn_ca1d3369cce99790cc49567b27f202c2/rendering/07.obj", "4.13680908203")</f>
        <v>4.13680908203</v>
      </c>
      <c r="K1959" s="136" t="str">
        <f>HYPERLINK(AB2 &amp; "/pencil/sn_ca1d3369cce99790cc49567b27f202c2/rendering/08.obj", "5.06338745117")</f>
        <v>5.06338745117</v>
      </c>
      <c r="L1959" s="39" t="str">
        <f>HYPERLINK(AB2 &amp; "/pencil/sn_ca1d3369cce99790cc49567b27f202c2/rendering/09.obj", "3.74256134033")</f>
        <v>3.74256134033</v>
      </c>
      <c r="M1959" s="38" t="str">
        <f>HYPERLINK(AB2 &amp; "/pencil/sn_ca1d3369cce99790cc49567b27f202c2/rendering/10.obj", "4.46701934814")</f>
        <v>4.46701934814</v>
      </c>
      <c r="N1959" s="78" t="str">
        <f>HYPERLINK(AB2 &amp; "/pencil/sn_ca1d3369cce99790cc49567b27f202c2/rendering/11.obj", "3.83962432861")</f>
        <v>3.83962432861</v>
      </c>
      <c r="O1959" s="46" t="str">
        <f>HYPERLINK(AB2 &amp; "/pencil/sn_ca1d3369cce99790cc49567b27f202c2/rendering/12.obj", "4.02207641602")</f>
        <v>4.02207641602</v>
      </c>
      <c r="P1959" s="23" t="str">
        <f>HYPERLINK(AB2 &amp; "/pencil/sn_ca1d3369cce99790cc49567b27f202c2/rendering/13.obj", "3.93843566895")</f>
        <v>3.93843566895</v>
      </c>
      <c r="Q1959" s="110" t="str">
        <f>HYPERLINK(AB2 &amp; "/pencil/sn_ca1d3369cce99790cc49567b27f202c2/rendering/14.obj", "4.50741210938")</f>
        <v>4.50741210938</v>
      </c>
      <c r="R1959" s="26" t="str">
        <f>HYPERLINK(AB2 &amp; "/pencil/sn_ca1d3369cce99790cc49567b27f202c2/rendering/15.obj", "4.35447265625")</f>
        <v>4.35447265625</v>
      </c>
      <c r="S1959" s="67" t="str">
        <f>HYPERLINK(AB2 &amp; "/pencil/sn_ca1d3369cce99790cc49567b27f202c2/rendering/16.obj", "3.72057983398")</f>
        <v>3.72057983398</v>
      </c>
      <c r="T1959" s="72" t="str">
        <f>HYPERLINK(AB2 &amp; "/pencil/sn_ca1d3369cce99790cc49567b27f202c2/rendering/17.obj", "3.95620880127")</f>
        <v>3.95620880127</v>
      </c>
      <c r="U1959" s="84" t="str">
        <f>HYPERLINK(AB2 &amp; "/pencil/sn_ca1d3369cce99790cc49567b27f202c2/rendering/18.obj", "3.50486297607")</f>
        <v>3.50486297607</v>
      </c>
      <c r="V1959" s="91" t="str">
        <f>HYPERLINK(AB2 &amp; "/pencil/sn_ca1d3369cce99790cc49567b27f202c2/rendering/19.obj", "3.98248962402")</f>
        <v>3.98248962402</v>
      </c>
      <c r="W1959" s="12" t="s">
        <v>31</v>
      </c>
      <c r="X1959" s="13">
        <v>4.0962913513183592</v>
      </c>
      <c r="Y1959" s="13">
        <v>0.38208151693181069</v>
      </c>
      <c r="Z1959" s="67">
        <v>9.3274985630316748E-2</v>
      </c>
    </row>
    <row r="1960" spans="1:26" x14ac:dyDescent="0.2">
      <c r="A1960" s="1">
        <v>1958</v>
      </c>
      <c r="B1960" s="2" t="s">
        <v>424</v>
      </c>
      <c r="C1960" s="5" t="str">
        <f>HYPERLINK(AB2 &amp; "/pencil/sn_ca1d3369cce99790cc49567b27f202c2/rendering/00.obj", "0.989974558353")</f>
        <v>0.989974558353</v>
      </c>
      <c r="D1960" s="74" t="str">
        <f>HYPERLINK(AB2 &amp; "/pencil/sn_ca1d3369cce99790cc49567b27f202c2/rendering/01.obj", "1.08658003807")</f>
        <v>1.08658003807</v>
      </c>
      <c r="E1960" s="90" t="str">
        <f>HYPERLINK(AB2 &amp; "/pencil/sn_ca1d3369cce99790cc49567b27f202c2/rendering/02.obj", "0.970693290234")</f>
        <v>0.970693290234</v>
      </c>
      <c r="F1960" s="25" t="str">
        <f>HYPERLINK(AB2 &amp; "/pencil/sn_ca1d3369cce99790cc49567b27f202c2/rendering/03.obj", "1.08230829239")</f>
        <v>1.08230829239</v>
      </c>
      <c r="G1960" s="13" t="str">
        <f>HYPERLINK(AB2 &amp; "/pencil/sn_ca1d3369cce99790cc49567b27f202c2/rendering/04.obj", "1.07367658615")</f>
        <v>1.07367658615</v>
      </c>
      <c r="H1960" s="30" t="str">
        <f>HYPERLINK(AB2 &amp; "/pencil/sn_ca1d3369cce99790cc49567b27f202c2/rendering/05.obj", "1.0761244297")</f>
        <v>1.0761244297</v>
      </c>
      <c r="I1960" s="67" t="str">
        <f>HYPERLINK(AB2 &amp; "/pencil/sn_ca1d3369cce99790cc49567b27f202c2/rendering/06.obj", "1.17155885696")</f>
        <v>1.17155885696</v>
      </c>
      <c r="J1960" s="24" t="str">
        <f>HYPERLINK(AB2 &amp; "/pencil/sn_ca1d3369cce99790cc49567b27f202c2/rendering/07.obj", "0.892744660378")</f>
        <v>0.892744660378</v>
      </c>
      <c r="K1960" s="85" t="str">
        <f>HYPERLINK(AB2 &amp; "/pencil/sn_ca1d3369cce99790cc49567b27f202c2/rendering/08.obj", "1.39109706879")</f>
        <v>1.39109706879</v>
      </c>
      <c r="L1960" s="41" t="str">
        <f>HYPERLINK(AB2 &amp; "/pencil/sn_ca1d3369cce99790cc49567b27f202c2/rendering/09.obj", "0.998347818851")</f>
        <v>0.998347818851</v>
      </c>
      <c r="M1960" s="10" t="str">
        <f>HYPERLINK(AB2 &amp; "/pencil/sn_ca1d3369cce99790cc49567b27f202c2/rendering/10.obj", "1.01267898083")</f>
        <v>1.01267898083</v>
      </c>
      <c r="N1960" s="79" t="str">
        <f>HYPERLINK(AB2 &amp; "/pencil/sn_ca1d3369cce99790cc49567b27f202c2/rendering/11.obj", "0.901770114899")</f>
        <v>0.901770114899</v>
      </c>
      <c r="O1960" s="90" t="str">
        <f>HYPERLINK(AB2 &amp; "/pencil/sn_ca1d3369cce99790cc49567b27f202c2/rendering/12.obj", "0.969073116779")</f>
        <v>0.969073116779</v>
      </c>
      <c r="P1960" s="84" t="str">
        <f>HYPERLINK(AB2 &amp; "/pencil/sn_ca1d3369cce99790cc49567b27f202c2/rendering/13.obj", "0.917297184467")</f>
        <v>0.917297184467</v>
      </c>
      <c r="Q1960" s="213" t="str">
        <f>HYPERLINK(AB2 &amp; "/pencil/sn_ca1d3369cce99790cc49567b27f202c2/rendering/14.obj", "1.6022657156")</f>
        <v>1.6022657156</v>
      </c>
      <c r="R1960" s="46" t="str">
        <f>HYPERLINK(AB2 &amp; "/pencil/sn_ca1d3369cce99790cc49567b27f202c2/rendering/15.obj", "1.05277562141")</f>
        <v>1.05277562141</v>
      </c>
      <c r="S1960" s="87" t="str">
        <f>HYPERLINK(AB2 &amp; "/pencil/sn_ca1d3369cce99790cc49567b27f202c2/rendering/16.obj", "1.31440424919")</f>
        <v>1.31440424919</v>
      </c>
      <c r="T1960" s="41" t="str">
        <f>HYPERLINK(AB2 &amp; "/pencil/sn_ca1d3369cce99790cc49567b27f202c2/rendering/17.obj", "1.00080657005")</f>
        <v>1.00080657005</v>
      </c>
      <c r="U1960" s="84" t="str">
        <f>HYPERLINK(AB2 &amp; "/pencil/sn_ca1d3369cce99790cc49567b27f202c2/rendering/18.obj", "0.915230333805")</f>
        <v>0.915230333805</v>
      </c>
      <c r="V1960" s="6" t="str">
        <f>HYPERLINK(AB2 &amp; "/pencil/sn_ca1d3369cce99790cc49567b27f202c2/rendering/19.obj", "1.02167320251")</f>
        <v>1.02167320251</v>
      </c>
      <c r="W1960" s="12" t="s">
        <v>32</v>
      </c>
      <c r="X1960" s="13">
        <v>1.0720540344715119</v>
      </c>
      <c r="Y1960" s="13">
        <v>0.17408835356499339</v>
      </c>
      <c r="Z1960" s="66">
        <v>0.16238766700860691</v>
      </c>
    </row>
    <row r="1961" spans="1:26" x14ac:dyDescent="0.2">
      <c r="A1961" s="1">
        <v>1959</v>
      </c>
      <c r="B1961" s="2" t="s">
        <v>424</v>
      </c>
      <c r="C1961" s="13" t="str">
        <f>HYPERLINK(AC2 &amp; "/pencil/sn_ca1d3369cce99790cc49567b27f202c2/rendering/00.xyz", "0.0")</f>
        <v>0.0</v>
      </c>
      <c r="D1961" s="13" t="str">
        <f>HYPERLINK(AC2 &amp; "/pencil/sn_ca1d3369cce99790cc49567b27f202c2/rendering/01.xyz", "0.0")</f>
        <v>0.0</v>
      </c>
      <c r="E1961" s="13" t="str">
        <f>HYPERLINK(AC2 &amp; "/pencil/sn_ca1d3369cce99790cc49567b27f202c2/rendering/02.xyz", "0.0")</f>
        <v>0.0</v>
      </c>
      <c r="F1961" s="13" t="str">
        <f>HYPERLINK(AC2 &amp; "/pencil/sn_ca1d3369cce99790cc49567b27f202c2/rendering/03.xyz", "0.0")</f>
        <v>0.0</v>
      </c>
      <c r="G1961" s="13" t="str">
        <f>HYPERLINK(AC2 &amp; "/pencil/sn_ca1d3369cce99790cc49567b27f202c2/rendering/04.xyz", "0.0")</f>
        <v>0.0</v>
      </c>
      <c r="H1961" s="13" t="str">
        <f>HYPERLINK(AC2 &amp; "/pencil/sn_ca1d3369cce99790cc49567b27f202c2/rendering/05.xyz", "0.0")</f>
        <v>0.0</v>
      </c>
      <c r="I1961" s="13" t="str">
        <f>HYPERLINK(AC2 &amp; "/pencil/sn_ca1d3369cce99790cc49567b27f202c2/rendering/06.xyz", "0.0")</f>
        <v>0.0</v>
      </c>
      <c r="J1961" s="13" t="str">
        <f>HYPERLINK(AC2 &amp; "/pencil/sn_ca1d3369cce99790cc49567b27f202c2/rendering/07.xyz", "0.0")</f>
        <v>0.0</v>
      </c>
      <c r="K1961" s="13" t="str">
        <f>HYPERLINK(AC2 &amp; "/pencil/sn_ca1d3369cce99790cc49567b27f202c2/rendering/08.xyz", "0.0")</f>
        <v>0.0</v>
      </c>
      <c r="L1961" s="13" t="str">
        <f>HYPERLINK(AC2 &amp; "/pencil/sn_ca1d3369cce99790cc49567b27f202c2/rendering/09.xyz", "0.0")</f>
        <v>0.0</v>
      </c>
      <c r="M1961" s="13" t="str">
        <f>HYPERLINK(AC2 &amp; "/pencil/sn_ca1d3369cce99790cc49567b27f202c2/rendering/10.xyz", "0.0")</f>
        <v>0.0</v>
      </c>
      <c r="N1961" s="13" t="str">
        <f>HYPERLINK(AC2 &amp; "/pencil/sn_ca1d3369cce99790cc49567b27f202c2/rendering/11.xyz", "0.0")</f>
        <v>0.0</v>
      </c>
      <c r="O1961" s="13" t="str">
        <f>HYPERLINK(AC2 &amp; "/pencil/sn_ca1d3369cce99790cc49567b27f202c2/rendering/12.xyz", "0.0")</f>
        <v>0.0</v>
      </c>
      <c r="P1961" s="13" t="str">
        <f>HYPERLINK(AC2 &amp; "/pencil/sn_ca1d3369cce99790cc49567b27f202c2/rendering/13.xyz", "0.0")</f>
        <v>0.0</v>
      </c>
      <c r="Q1961" s="13" t="str">
        <f>HYPERLINK(AC2 &amp; "/pencil/sn_ca1d3369cce99790cc49567b27f202c2/rendering/14.xyz", "0.0")</f>
        <v>0.0</v>
      </c>
      <c r="R1961" s="13" t="str">
        <f>HYPERLINK(AC2 &amp; "/pencil/sn_ca1d3369cce99790cc49567b27f202c2/rendering/15.xyz", "0.0")</f>
        <v>0.0</v>
      </c>
      <c r="S1961" s="13" t="str">
        <f>HYPERLINK(AC2 &amp; "/pencil/sn_ca1d3369cce99790cc49567b27f202c2/rendering/16.xyz", "0.0")</f>
        <v>0.0</v>
      </c>
      <c r="T1961" s="13" t="str">
        <f>HYPERLINK(AC2 &amp; "/pencil/sn_ca1d3369cce99790cc49567b27f202c2/rendering/17.xyz", "0.0")</f>
        <v>0.0</v>
      </c>
      <c r="U1961" s="13" t="str">
        <f>HYPERLINK(AC2 &amp; "/pencil/sn_ca1d3369cce99790cc49567b27f202c2/rendering/18.xyz", "0.0")</f>
        <v>0.0</v>
      </c>
      <c r="V1961" s="13" t="str">
        <f>HYPERLINK(AC2 &amp; "/pencil/sn_ca1d3369cce99790cc49567b27f202c2/rendering/19.xyz", "0.0")</f>
        <v>0.0</v>
      </c>
      <c r="W1961" s="12" t="s">
        <v>33</v>
      </c>
      <c r="X1961" s="13">
        <v>0</v>
      </c>
      <c r="Y1961" s="13">
        <v>0</v>
      </c>
      <c r="Z1961" s="13">
        <v>0</v>
      </c>
    </row>
    <row r="1962" spans="1:26" x14ac:dyDescent="0.2">
      <c r="A1962" s="1">
        <v>1960</v>
      </c>
      <c r="B1962" s="2" t="s">
        <v>425</v>
      </c>
      <c r="C1962" s="210" t="str">
        <f>HYPERLINK(AA2 &amp; "/pencil/sn_cb2d594df1ebe2ae5d3a12414c75804a/rendering/00.obj", "6.63274719238")</f>
        <v>6.63274719238</v>
      </c>
      <c r="D1962" s="42" t="str">
        <f>HYPERLINK(AA2 &amp; "/pencil/sn_cb2d594df1ebe2ae5d3a12414c75804a/rendering/01.obj", "3.23565917969")</f>
        <v>3.23565917969</v>
      </c>
      <c r="E1962" s="49" t="str">
        <f>HYPERLINK(AA2 &amp; "/pencil/sn_cb2d594df1ebe2ae5d3a12414c75804a/rendering/02.obj", "2.96425018311")</f>
        <v>2.96425018311</v>
      </c>
      <c r="F1962" s="20" t="str">
        <f>HYPERLINK(AA2 &amp; "/pencil/sn_cb2d594df1ebe2ae5d3a12414c75804a/rendering/03.obj", "7.16178100586")</f>
        <v>7.16178100586</v>
      </c>
      <c r="G1962" s="44" t="str">
        <f>HYPERLINK(AA2 &amp; "/pencil/sn_cb2d594df1ebe2ae5d3a12414c75804a/rendering/04.obj", "3.0169732666")</f>
        <v>3.0169732666</v>
      </c>
      <c r="H1962" s="133" t="str">
        <f>HYPERLINK(AA2 &amp; "/pencil/sn_cb2d594df1ebe2ae5d3a12414c75804a/rendering/05.obj", "4.13383239746")</f>
        <v>4.13383239746</v>
      </c>
      <c r="I1962" s="129" t="str">
        <f>HYPERLINK(AA2 &amp; "/pencil/sn_cb2d594df1ebe2ae5d3a12414c75804a/rendering/06.obj", "2.81119781494")</f>
        <v>2.81119781494</v>
      </c>
      <c r="J1962" s="55" t="str">
        <f>HYPERLINK(AA2 &amp; "/pencil/sn_cb2d594df1ebe2ae5d3a12414c75804a/rendering/07.obj", "3.02393127441")</f>
        <v>3.02393127441</v>
      </c>
      <c r="K1962" s="63" t="str">
        <f>HYPERLINK(AA2 &amp; "/pencil/sn_cb2d594df1ebe2ae5d3a12414c75804a/rendering/08.obj", "3.29121368408")</f>
        <v>3.29121368408</v>
      </c>
      <c r="L1962" s="10" t="str">
        <f>HYPERLINK(AA2 &amp; "/pencil/sn_cb2d594df1ebe2ae5d3a12414c75804a/rendering/09.obj", "3.54912322998")</f>
        <v>3.54912322998</v>
      </c>
      <c r="M1962" s="32" t="str">
        <f>HYPERLINK(AA2 &amp; "/pencil/sn_cb2d594df1ebe2ae5d3a12414c75804a/rendering/10.obj", "3.35742797852")</f>
        <v>3.35742797852</v>
      </c>
      <c r="N1962" s="10" t="str">
        <f>HYPERLINK(AA2 &amp; "/pencil/sn_cb2d594df1ebe2ae5d3a12414c75804a/rendering/11.obj", "3.95785949707")</f>
        <v>3.95785949707</v>
      </c>
      <c r="O1962" s="90" t="str">
        <f>HYPERLINK(AA2 &amp; "/pencil/sn_cb2d594df1ebe2ae5d3a12414c75804a/rendering/12.obj", "3.38695129395")</f>
        <v>3.38695129395</v>
      </c>
      <c r="P1962" s="107" t="str">
        <f>HYPERLINK(AA2 &amp; "/pencil/sn_cb2d594df1ebe2ae5d3a12414c75804a/rendering/13.obj", "3.43279602051")</f>
        <v>3.43279602051</v>
      </c>
      <c r="Q1962" s="32" t="str">
        <f>HYPERLINK(AA2 &amp; "/pencil/sn_cb2d594df1ebe2ae5d3a12414c75804a/rendering/14.obj", "3.36002197266")</f>
        <v>3.36002197266</v>
      </c>
      <c r="R1962" s="34" t="str">
        <f>HYPERLINK(AA2 &amp; "/pencil/sn_cb2d594df1ebe2ae5d3a12414c75804a/rendering/15.obj", "3.56849060059")</f>
        <v>3.56849060059</v>
      </c>
      <c r="S1962" s="107" t="str">
        <f>HYPERLINK(AA2 &amp; "/pencil/sn_cb2d594df1ebe2ae5d3a12414c75804a/rendering/16.obj", "3.43512451172")</f>
        <v>3.43512451172</v>
      </c>
      <c r="T1962" s="72" t="str">
        <f>HYPERLINK(AA2 &amp; "/pencil/sn_cb2d594df1ebe2ae5d3a12414c75804a/rendering/17.obj", "3.87050506592")</f>
        <v>3.87050506592</v>
      </c>
      <c r="U1962" s="93" t="str">
        <f>HYPERLINK(AA2 &amp; "/pencil/sn_cb2d594df1ebe2ae5d3a12414c75804a/rendering/18.obj", "3.22451385498")</f>
        <v>3.22451385498</v>
      </c>
      <c r="V1962" s="6" t="str">
        <f>HYPERLINK(AA2 &amp; "/pencil/sn_cb2d594df1ebe2ae5d3a12414c75804a/rendering/19.obj", "3.57696624756")</f>
        <v>3.57696624756</v>
      </c>
      <c r="W1962" s="12" t="s">
        <v>29</v>
      </c>
      <c r="X1962" s="13">
        <v>3.749568313598632</v>
      </c>
      <c r="Y1962" s="13">
        <v>1.1002490117920609</v>
      </c>
      <c r="Z1962" s="118">
        <v>0.29343351548010649</v>
      </c>
    </row>
    <row r="1963" spans="1:26" x14ac:dyDescent="0.2">
      <c r="A1963" s="1">
        <v>1961</v>
      </c>
      <c r="B1963" s="2" t="s">
        <v>425</v>
      </c>
      <c r="C1963" s="20" t="str">
        <f>HYPERLINK(AA2 &amp; "/pencil/sn_cb2d594df1ebe2ae5d3a12414c75804a/rendering/00.obj", "5.94741344452")</f>
        <v>5.94741344452</v>
      </c>
      <c r="D1963" s="156" t="str">
        <f>HYPERLINK(AA2 &amp; "/pencil/sn_cb2d594df1ebe2ae5d3a12414c75804a/rendering/01.obj", "0.864588141441")</f>
        <v>0.864588141441</v>
      </c>
      <c r="E1963" s="137" t="str">
        <f>HYPERLINK(AA2 &amp; "/pencil/sn_cb2d594df1ebe2ae5d3a12414c75804a/rendering/02.obj", "0.993002176285")</f>
        <v>0.993002176285</v>
      </c>
      <c r="F1963" s="20" t="str">
        <f>HYPERLINK(AA2 &amp; "/pencil/sn_cb2d594df1ebe2ae5d3a12414c75804a/rendering/03.obj", "5.38739156723")</f>
        <v>5.38739156723</v>
      </c>
      <c r="G1963" s="158" t="str">
        <f>HYPERLINK(AA2 &amp; "/pencil/sn_cb2d594df1ebe2ae5d3a12414c75804a/rendering/04.obj", "0.926364839077")</f>
        <v>0.926364839077</v>
      </c>
      <c r="H1963" s="63" t="str">
        <f>HYPERLINK(AA2 &amp; "/pencil/sn_cb2d594df1ebe2ae5d3a12414c75804a/rendering/05.obj", "1.7579241991")</f>
        <v>1.7579241991</v>
      </c>
      <c r="I1963" s="149" t="str">
        <f>HYPERLINK(AA2 &amp; "/pencil/sn_cb2d594df1ebe2ae5d3a12414c75804a/rendering/06.obj", "1.02699947357")</f>
        <v>1.02699947357</v>
      </c>
      <c r="J1963" s="198" t="str">
        <f>HYPERLINK(AA2 &amp; "/pencil/sn_cb2d594df1ebe2ae5d3a12414c75804a/rendering/07.obj", "0.961826264858")</f>
        <v>0.961826264858</v>
      </c>
      <c r="K1963" s="38" t="str">
        <f>HYPERLINK(AA2 &amp; "/pencil/sn_cb2d594df1ebe2ae5d3a12414c75804a/rendering/08.obj", "1.42897927761")</f>
        <v>1.42897927761</v>
      </c>
      <c r="L1963" s="95" t="str">
        <f>HYPERLINK(AA2 &amp; "/pencil/sn_cb2d594df1ebe2ae5d3a12414c75804a/rendering/09.obj", "1.12457692623")</f>
        <v>1.12457692623</v>
      </c>
      <c r="M1963" s="172" t="str">
        <f>HYPERLINK(AA2 &amp; "/pencil/sn_cb2d594df1ebe2ae5d3a12414c75804a/rendering/10.obj", "0.966134905815")</f>
        <v>0.966134905815</v>
      </c>
      <c r="N1963" s="10" t="str">
        <f>HYPERLINK(AA2 &amp; "/pencil/sn_cb2d594df1ebe2ae5d3a12414c75804a/rendering/11.obj", "1.4790173769")</f>
        <v>1.4790173769</v>
      </c>
      <c r="O1963" s="192" t="str">
        <f>HYPERLINK(AA2 &amp; "/pencil/sn_cb2d594df1ebe2ae5d3a12414c75804a/rendering/12.obj", "0.982457578182")</f>
        <v>0.982457578182</v>
      </c>
      <c r="P1963" s="93" t="str">
        <f>HYPERLINK(AA2 &amp; "/pencil/sn_cb2d594df1ebe2ae5d3a12414c75804a/rendering/13.obj", "1.34897637367")</f>
        <v>1.34897637367</v>
      </c>
      <c r="Q1963" s="157" t="str">
        <f>HYPERLINK(AA2 &amp; "/pencil/sn_cb2d594df1ebe2ae5d3a12414c75804a/rendering/14.obj", "0.913601636887")</f>
        <v>0.913601636887</v>
      </c>
      <c r="R1963" s="193" t="str">
        <f>HYPERLINK(AA2 &amp; "/pencil/sn_cb2d594df1ebe2ae5d3a12414c75804a/rendering/15.obj", "1.04925620556")</f>
        <v>1.04925620556</v>
      </c>
      <c r="S1963" s="142" t="str">
        <f>HYPERLINK(AA2 &amp; "/pencil/sn_cb2d594df1ebe2ae5d3a12414c75804a/rendering/16.obj", "0.948876857758")</f>
        <v>0.948876857758</v>
      </c>
      <c r="T1963" s="137" t="str">
        <f>HYPERLINK(AA2 &amp; "/pencil/sn_cb2d594df1ebe2ae5d3a12414c75804a/rendering/17.obj", "0.992223083973")</f>
        <v>0.992223083973</v>
      </c>
      <c r="U1963" s="158" t="str">
        <f>HYPERLINK(AA2 &amp; "/pencil/sn_cb2d594df1ebe2ae5d3a12414c75804a/rendering/18.obj", "0.924463272095")</f>
        <v>0.924463272095</v>
      </c>
      <c r="V1963" s="64" t="str">
        <f>HYPERLINK(AA2 &amp; "/pencil/sn_cb2d594df1ebe2ae5d3a12414c75804a/rendering/19.obj", "1.31063270569")</f>
        <v>1.31063270569</v>
      </c>
      <c r="W1963" s="12" t="s">
        <v>30</v>
      </c>
      <c r="X1963" s="13">
        <v>1.566735315322876</v>
      </c>
      <c r="Y1963" s="13">
        <v>1.3887003227635031</v>
      </c>
      <c r="Z1963" s="20">
        <v>0.88636562231146032</v>
      </c>
    </row>
    <row r="1964" spans="1:26" x14ac:dyDescent="0.2">
      <c r="A1964" s="1">
        <v>1962</v>
      </c>
      <c r="B1964" s="2" t="s">
        <v>425</v>
      </c>
      <c r="C1964" s="32" t="str">
        <f>HYPERLINK(AB2 &amp; "/pencil/sn_cb2d594df1ebe2ae5d3a12414c75804a/rendering/00.obj", "3.4969140625")</f>
        <v>3.4969140625</v>
      </c>
      <c r="D1964" s="90" t="str">
        <f>HYPERLINK(AB2 &amp; "/pencil/sn_cb2d594df1ebe2ae5d3a12414c75804a/rendering/01.obj", "2.85982299805")</f>
        <v>2.85982299805</v>
      </c>
      <c r="E1964" s="73" t="str">
        <f>HYPERLINK(AB2 &amp; "/pencil/sn_cb2d594df1ebe2ae5d3a12414c75804a/rendering/02.obj", "3.04703613281")</f>
        <v>3.04703613281</v>
      </c>
      <c r="F1964" s="64" t="str">
        <f>HYPERLINK(AB2 &amp; "/pencil/sn_cb2d594df1ebe2ae5d3a12414c75804a/rendering/03.obj", "3.68296905518")</f>
        <v>3.68296905518</v>
      </c>
      <c r="G1964" s="63" t="str">
        <f>HYPERLINK(AB2 &amp; "/pencil/sn_cb2d594df1ebe2ae5d3a12414c75804a/rendering/04.obj", "3.54712280273")</f>
        <v>3.54712280273</v>
      </c>
      <c r="H1964" s="91" t="str">
        <f>HYPERLINK(AB2 &amp; "/pencil/sn_cb2d594df1ebe2ae5d3a12414c75804a/rendering/05.obj", "3.07722717285")</f>
        <v>3.07722717285</v>
      </c>
      <c r="I1964" s="73" t="str">
        <f>HYPERLINK(AB2 &amp; "/pencil/sn_cb2d594df1ebe2ae5d3a12414c75804a/rendering/06.obj", "3.04929321289")</f>
        <v>3.04929321289</v>
      </c>
      <c r="J1964" s="28" t="str">
        <f>HYPERLINK(AB2 &amp; "/pencil/sn_cb2d594df1ebe2ae5d3a12414c75804a/rendering/07.obj", "2.80666290283")</f>
        <v>2.80666290283</v>
      </c>
      <c r="K1964" s="34" t="str">
        <f>HYPERLINK(AB2 &amp; "/pencil/sn_cb2d594df1ebe2ae5d3a12414c75804a/rendering/08.obj", "3.00231994629")</f>
        <v>3.00231994629</v>
      </c>
      <c r="L1964" s="38" t="str">
        <f>HYPERLINK(AB2 &amp; "/pencil/sn_cb2d594df1ebe2ae5d3a12414c75804a/rendering/09.obj", "2.87527770996")</f>
        <v>2.87527770996</v>
      </c>
      <c r="M1964" s="13" t="str">
        <f>HYPERLINK(AB2 &amp; "/pencil/sn_cb2d594df1ebe2ae5d3a12414c75804a/rendering/10.obj", "3.16083007813")</f>
        <v>3.16083007813</v>
      </c>
      <c r="N1964" s="6" t="str">
        <f>HYPERLINK(AB2 &amp; "/pencil/sn_cb2d594df1ebe2ae5d3a12414c75804a/rendering/11.obj", "3.3067578125")</f>
        <v>3.3067578125</v>
      </c>
      <c r="O1964" s="60" t="str">
        <f>HYPERLINK(AB2 &amp; "/pencil/sn_cb2d594df1ebe2ae5d3a12414c75804a/rendering/12.obj", "3.32040313721")</f>
        <v>3.32040313721</v>
      </c>
      <c r="P1964" s="67" t="str">
        <f>HYPERLINK(AB2 &amp; "/pencil/sn_cb2d594df1ebe2ae5d3a12414c75804a/rendering/13.obj", "3.44975708008")</f>
        <v>3.44975708008</v>
      </c>
      <c r="Q1964" s="74" t="str">
        <f>HYPERLINK(AB2 &amp; "/pencil/sn_cb2d594df1ebe2ae5d3a12414c75804a/rendering/14.obj", "3.11316833496")</f>
        <v>3.11316833496</v>
      </c>
      <c r="R1964" s="5" t="str">
        <f>HYPERLINK(AB2 &amp; "/pencil/sn_cb2d594df1ebe2ae5d3a12414c75804a/rendering/15.obj", "3.39970855713")</f>
        <v>3.39970855713</v>
      </c>
      <c r="S1964" s="69" t="str">
        <f>HYPERLINK(AB2 &amp; "/pencil/sn_cb2d594df1ebe2ae5d3a12414c75804a/rendering/16.obj", "3.07013702393")</f>
        <v>3.07013702393</v>
      </c>
      <c r="T1964" s="63" t="str">
        <f>HYPERLINK(AB2 &amp; "/pencil/sn_cb2d594df1ebe2ae5d3a12414c75804a/rendering/17.obj", "2.78152038574")</f>
        <v>2.78152038574</v>
      </c>
      <c r="U1964" s="69" t="str">
        <f>HYPERLINK(AB2 &amp; "/pencil/sn_cb2d594df1ebe2ae5d3a12414c75804a/rendering/18.obj", "3.25568206787")</f>
        <v>3.25568206787</v>
      </c>
      <c r="V1964" s="5" t="str">
        <f>HYPERLINK(AB2 &amp; "/pencil/sn_cb2d594df1ebe2ae5d3a12414c75804a/rendering/19.obj", "2.91307983398")</f>
        <v>2.91307983398</v>
      </c>
      <c r="W1964" s="12" t="s">
        <v>31</v>
      </c>
      <c r="X1964" s="13">
        <v>3.1607845153808598</v>
      </c>
      <c r="Y1964" s="13">
        <v>0.25514092515255088</v>
      </c>
      <c r="Z1964" s="51">
        <v>8.0720759011250587E-2</v>
      </c>
    </row>
    <row r="1965" spans="1:26" x14ac:dyDescent="0.2">
      <c r="A1965" s="1">
        <v>1963</v>
      </c>
      <c r="B1965" s="2" t="s">
        <v>425</v>
      </c>
      <c r="C1965" s="7" t="str">
        <f>HYPERLINK(AB2 &amp; "/pencil/sn_cb2d594df1ebe2ae5d3a12414c75804a/rendering/00.obj", "1.35854744911")</f>
        <v>1.35854744911</v>
      </c>
      <c r="D1965" s="98" t="str">
        <f>HYPERLINK(AB2 &amp; "/pencil/sn_cb2d594df1ebe2ae5d3a12414c75804a/rendering/01.obj", "0.818188309669")</f>
        <v>0.818188309669</v>
      </c>
      <c r="E1965" s="38" t="str">
        <f>HYPERLINK(AB2 &amp; "/pencil/sn_cb2d594df1ebe2ae5d3a12414c75804a/rendering/02.obj", "0.968943595886")</f>
        <v>0.968943595886</v>
      </c>
      <c r="F1965" s="223" t="str">
        <f>HYPERLINK(AB2 &amp; "/pencil/sn_cb2d594df1ebe2ae5d3a12414c75804a/rendering/03.obj", "1.66062307358")</f>
        <v>1.66062307358</v>
      </c>
      <c r="G1965" s="94" t="str">
        <f>HYPERLINK(AB2 &amp; "/pencil/sn_cb2d594df1ebe2ae5d3a12414c75804a/rendering/04.obj", "0.98684990406")</f>
        <v>0.98684990406</v>
      </c>
      <c r="H1965" s="31" t="str">
        <f>HYPERLINK(AB2 &amp; "/pencil/sn_cb2d594df1ebe2ae5d3a12414c75804a/rendering/05.obj", "1.23067736626")</f>
        <v>1.23067736626</v>
      </c>
      <c r="I1965" s="17" t="str">
        <f>HYPERLINK(AB2 &amp; "/pencil/sn_cb2d594df1ebe2ae5d3a12414c75804a/rendering/06.obj", "1.08477640152")</f>
        <v>1.08477640152</v>
      </c>
      <c r="J1965" s="51" t="str">
        <f>HYPERLINK(AB2 &amp; "/pencil/sn_cb2d594df1ebe2ae5d3a12414c75804a/rendering/07.obj", "0.977886736393")</f>
        <v>0.977886736393</v>
      </c>
      <c r="K1965" s="31" t="str">
        <f>HYPERLINK(AB2 &amp; "/pencil/sn_cb2d594df1ebe2ae5d3a12414c75804a/rendering/08.obj", "0.900439798832")</f>
        <v>0.900439798832</v>
      </c>
      <c r="L1965" s="80" t="str">
        <f>HYPERLINK(AB2 &amp; "/pencil/sn_cb2d594df1ebe2ae5d3a12414c75804a/rendering/09.obj", "0.905701637268")</f>
        <v>0.905701637268</v>
      </c>
      <c r="M1965" s="79" t="str">
        <f>HYPERLINK(AB2 &amp; "/pencil/sn_cb2d594df1ebe2ae5d3a12414c75804a/rendering/10.obj", "0.895726919174")</f>
        <v>0.895726919174</v>
      </c>
      <c r="N1965" s="49" t="str">
        <f>HYPERLINK(AB2 &amp; "/pencil/sn_cb2d594df1ebe2ae5d3a12414c75804a/rendering/11.obj", "1.28599452972")</f>
        <v>1.28599452972</v>
      </c>
      <c r="O1965" s="48" t="str">
        <f>HYPERLINK(AB2 &amp; "/pencil/sn_cb2d594df1ebe2ae5d3a12414c75804a/rendering/12.obj", "1.0888299942")</f>
        <v>1.0888299942</v>
      </c>
      <c r="P1965" s="134" t="str">
        <f>HYPERLINK(AB2 &amp; "/pencil/sn_cb2d594df1ebe2ae5d3a12414c75804a/rendering/13.obj", "0.872210383415")</f>
        <v>0.872210383415</v>
      </c>
      <c r="Q1965" s="46" t="str">
        <f>HYPERLINK(AB2 &amp; "/pencil/sn_cb2d594df1ebe2ae5d3a12414c75804a/rendering/14.obj", "1.0467890501")</f>
        <v>1.0467890501</v>
      </c>
      <c r="R1965" s="68" t="str">
        <f>HYPERLINK(AB2 &amp; "/pencil/sn_cb2d594df1ebe2ae5d3a12414c75804a/rendering/15.obj", "1.1085447073")</f>
        <v>1.1085447073</v>
      </c>
      <c r="S1965" s="23" t="str">
        <f>HYPERLINK(AB2 &amp; "/pencil/sn_cb2d594df1ebe2ae5d3a12414c75804a/rendering/16.obj", "1.10551631451")</f>
        <v>1.10551631451</v>
      </c>
      <c r="T1965" s="13" t="str">
        <f>HYPERLINK(AB2 &amp; "/pencil/sn_cb2d594df1ebe2ae5d3a12414c75804a/rendering/17.obj", "1.06467580795")</f>
        <v>1.06467580795</v>
      </c>
      <c r="U1965" s="46" t="str">
        <f>HYPERLINK(AB2 &amp; "/pencil/sn_cb2d594df1ebe2ae5d3a12414c75804a/rendering/18.obj", "1.04656112194")</f>
        <v>1.04656112194</v>
      </c>
      <c r="V1965" s="37" t="str">
        <f>HYPERLINK(AB2 &amp; "/pencil/sn_cb2d594df1ebe2ae5d3a12414c75804a/rendering/19.obj", "0.879853785038")</f>
        <v>0.879853785038</v>
      </c>
      <c r="W1965" s="12" t="s">
        <v>32</v>
      </c>
      <c r="X1965" s="13">
        <v>1.0643668442964549</v>
      </c>
      <c r="Y1965" s="13">
        <v>0.19477939976597561</v>
      </c>
      <c r="Z1965" s="76">
        <v>0.18300025109737841</v>
      </c>
    </row>
    <row r="1966" spans="1:26" x14ac:dyDescent="0.2">
      <c r="A1966" s="1">
        <v>1964</v>
      </c>
      <c r="B1966" s="2" t="s">
        <v>425</v>
      </c>
      <c r="C1966" s="13" t="str">
        <f>HYPERLINK(AC2 &amp; "/pencil/sn_cb2d594df1ebe2ae5d3a12414c75804a/rendering/00.xyz", "0.0")</f>
        <v>0.0</v>
      </c>
      <c r="D1966" s="13" t="str">
        <f>HYPERLINK(AC2 &amp; "/pencil/sn_cb2d594df1ebe2ae5d3a12414c75804a/rendering/01.xyz", "0.0")</f>
        <v>0.0</v>
      </c>
      <c r="E1966" s="13" t="str">
        <f>HYPERLINK(AC2 &amp; "/pencil/sn_cb2d594df1ebe2ae5d3a12414c75804a/rendering/02.xyz", "0.0")</f>
        <v>0.0</v>
      </c>
      <c r="F1966" s="13" t="str">
        <f>HYPERLINK(AC2 &amp; "/pencil/sn_cb2d594df1ebe2ae5d3a12414c75804a/rendering/03.xyz", "0.0")</f>
        <v>0.0</v>
      </c>
      <c r="G1966" s="13" t="str">
        <f>HYPERLINK(AC2 &amp; "/pencil/sn_cb2d594df1ebe2ae5d3a12414c75804a/rendering/04.xyz", "0.0")</f>
        <v>0.0</v>
      </c>
      <c r="H1966" s="13" t="str">
        <f>HYPERLINK(AC2 &amp; "/pencil/sn_cb2d594df1ebe2ae5d3a12414c75804a/rendering/05.xyz", "0.0")</f>
        <v>0.0</v>
      </c>
      <c r="I1966" s="13" t="str">
        <f>HYPERLINK(AC2 &amp; "/pencil/sn_cb2d594df1ebe2ae5d3a12414c75804a/rendering/06.xyz", "0.0")</f>
        <v>0.0</v>
      </c>
      <c r="J1966" s="13" t="str">
        <f>HYPERLINK(AC2 &amp; "/pencil/sn_cb2d594df1ebe2ae5d3a12414c75804a/rendering/07.xyz", "0.0")</f>
        <v>0.0</v>
      </c>
      <c r="K1966" s="13" t="str">
        <f>HYPERLINK(AC2 &amp; "/pencil/sn_cb2d594df1ebe2ae5d3a12414c75804a/rendering/08.xyz", "0.0")</f>
        <v>0.0</v>
      </c>
      <c r="L1966" s="13" t="str">
        <f>HYPERLINK(AC2 &amp; "/pencil/sn_cb2d594df1ebe2ae5d3a12414c75804a/rendering/09.xyz", "0.0")</f>
        <v>0.0</v>
      </c>
      <c r="M1966" s="13" t="str">
        <f>HYPERLINK(AC2 &amp; "/pencil/sn_cb2d594df1ebe2ae5d3a12414c75804a/rendering/10.xyz", "0.0")</f>
        <v>0.0</v>
      </c>
      <c r="N1966" s="13" t="str">
        <f>HYPERLINK(AC2 &amp; "/pencil/sn_cb2d594df1ebe2ae5d3a12414c75804a/rendering/11.xyz", "0.0")</f>
        <v>0.0</v>
      </c>
      <c r="O1966" s="13" t="str">
        <f>HYPERLINK(AC2 &amp; "/pencil/sn_cb2d594df1ebe2ae5d3a12414c75804a/rendering/12.xyz", "0.0")</f>
        <v>0.0</v>
      </c>
      <c r="P1966" s="13" t="str">
        <f>HYPERLINK(AC2 &amp; "/pencil/sn_cb2d594df1ebe2ae5d3a12414c75804a/rendering/13.xyz", "0.0")</f>
        <v>0.0</v>
      </c>
      <c r="Q1966" s="13" t="str">
        <f>HYPERLINK(AC2 &amp; "/pencil/sn_cb2d594df1ebe2ae5d3a12414c75804a/rendering/14.xyz", "0.0")</f>
        <v>0.0</v>
      </c>
      <c r="R1966" s="13" t="str">
        <f>HYPERLINK(AC2 &amp; "/pencil/sn_cb2d594df1ebe2ae5d3a12414c75804a/rendering/15.xyz", "0.0")</f>
        <v>0.0</v>
      </c>
      <c r="S1966" s="13" t="str">
        <f>HYPERLINK(AC2 &amp; "/pencil/sn_cb2d594df1ebe2ae5d3a12414c75804a/rendering/16.xyz", "0.0")</f>
        <v>0.0</v>
      </c>
      <c r="T1966" s="13" t="str">
        <f>HYPERLINK(AC2 &amp; "/pencil/sn_cb2d594df1ebe2ae5d3a12414c75804a/rendering/17.xyz", "0.0")</f>
        <v>0.0</v>
      </c>
      <c r="U1966" s="13" t="str">
        <f>HYPERLINK(AC2 &amp; "/pencil/sn_cb2d594df1ebe2ae5d3a12414c75804a/rendering/18.xyz", "0.0")</f>
        <v>0.0</v>
      </c>
      <c r="V1966" s="13" t="str">
        <f>HYPERLINK(AC2 &amp; "/pencil/sn_cb2d594df1ebe2ae5d3a12414c75804a/rendering/19.xyz", "0.0")</f>
        <v>0.0</v>
      </c>
      <c r="W1966" s="12" t="s">
        <v>33</v>
      </c>
      <c r="X1966" s="13">
        <v>0</v>
      </c>
      <c r="Y1966" s="13">
        <v>0</v>
      </c>
      <c r="Z1966" s="13">
        <v>0</v>
      </c>
    </row>
    <row r="1967" spans="1:26" x14ac:dyDescent="0.2">
      <c r="A1967" s="1">
        <v>1965</v>
      </c>
      <c r="B1967" s="2" t="s">
        <v>426</v>
      </c>
      <c r="C1967" s="120" t="str">
        <f>HYPERLINK(AA2 &amp; "/pencil/sn_cb5511b42c5f7bfc725614cd612f8f38/rendering/00.obj", "5.13728942871")</f>
        <v>5.13728942871</v>
      </c>
      <c r="D1967" s="6" t="str">
        <f>HYPERLINK(AA2 &amp; "/pencil/sn_cb5511b42c5f7bfc725614cd612f8f38/rendering/01.obj", "4.05004119873")</f>
        <v>4.05004119873</v>
      </c>
      <c r="E1967" s="28" t="str">
        <f>HYPERLINK(AA2 &amp; "/pencil/sn_cb5511b42c5f7bfc725614cd612f8f38/rendering/02.obj", "4.71646789551")</f>
        <v>4.71646789551</v>
      </c>
      <c r="F1967" s="10" t="str">
        <f>HYPERLINK(AA2 &amp; "/pencil/sn_cb5511b42c5f7bfc725614cd612f8f38/rendering/03.obj", "4.01363464355")</f>
        <v>4.01363464355</v>
      </c>
      <c r="G1967" s="110" t="str">
        <f>HYPERLINK(AA2 &amp; "/pencil/sn_cb5511b42c5f7bfc725614cd612f8f38/rendering/04.obj", "3.82254669189")</f>
        <v>3.82254669189</v>
      </c>
      <c r="H1967" s="92" t="str">
        <f>HYPERLINK(AA2 &amp; "/pencil/sn_cb5511b42c5f7bfc725614cd612f8f38/rendering/05.obj", "3.71415405273")</f>
        <v>3.71415405273</v>
      </c>
      <c r="I1967" s="28" t="str">
        <f>HYPERLINK(AA2 &amp; "/pencil/sn_cb5511b42c5f7bfc725614cd612f8f38/rendering/06.obj", "3.7705065918")</f>
        <v>3.7705065918</v>
      </c>
      <c r="J1967" s="10" t="str">
        <f>HYPERLINK(AA2 &amp; "/pencil/sn_cb5511b42c5f7bfc725614cd612f8f38/rendering/07.obj", "4.00891021729")</f>
        <v>4.00891021729</v>
      </c>
      <c r="K1967" s="94" t="str">
        <f>HYPERLINK(AA2 &amp; "/pencil/sn_cb5511b42c5f7bfc725614cd612f8f38/rendering/08.obj", "3.93030822754")</f>
        <v>3.93030822754</v>
      </c>
      <c r="L1967" s="69" t="str">
        <f>HYPERLINK(AA2 &amp; "/pencil/sn_cb5511b42c5f7bfc725614cd612f8f38/rendering/09.obj", "4.1202243042")</f>
        <v>4.1202243042</v>
      </c>
      <c r="M1967" s="26" t="str">
        <f>HYPERLINK(AA2 &amp; "/pencil/sn_cb5511b42c5f7bfc725614cd612f8f38/rendering/10.obj", "3.97760101318")</f>
        <v>3.97760101318</v>
      </c>
      <c r="N1967" s="34" t="str">
        <f>HYPERLINK(AA2 &amp; "/pencil/sn_cb5511b42c5f7bfc725614cd612f8f38/rendering/11.obj", "4.45604675293")</f>
        <v>4.45604675293</v>
      </c>
      <c r="O1967" s="69" t="str">
        <f>HYPERLINK(AA2 &amp; "/pencil/sn_cb5511b42c5f7bfc725614cd612f8f38/rendering/12.obj", "4.36845397949")</f>
        <v>4.36845397949</v>
      </c>
      <c r="P1967" s="78" t="str">
        <f>HYPERLINK(AA2 &amp; "/pencil/sn_cb5511b42c5f7bfc725614cd612f8f38/rendering/13.obj", "3.98794921875")</f>
        <v>3.98794921875</v>
      </c>
      <c r="Q1967" s="73" t="str">
        <f>HYPERLINK(AA2 &amp; "/pencil/sn_cb5511b42c5f7bfc725614cd612f8f38/rendering/14.obj", "4.40156982422")</f>
        <v>4.40156982422</v>
      </c>
      <c r="R1967" s="94" t="str">
        <f>HYPERLINK(AA2 &amp; "/pencil/sn_cb5511b42c5f7bfc725614cd612f8f38/rendering/15.obj", "3.92552093506")</f>
        <v>3.92552093506</v>
      </c>
      <c r="S1967" s="83" t="str">
        <f>HYPERLINK(AA2 &amp; "/pencil/sn_cb5511b42c5f7bfc725614cd612f8f38/rendering/16.obj", "4.89087677002")</f>
        <v>4.89087677002</v>
      </c>
      <c r="T1967" s="91" t="str">
        <f>HYPERLINK(AA2 &amp; "/pencil/sn_cb5511b42c5f7bfc725614cd612f8f38/rendering/17.obj", "4.13583740234")</f>
        <v>4.13583740234</v>
      </c>
      <c r="U1967" s="124" t="str">
        <f>HYPERLINK(AA2 &amp; "/pencil/sn_cb5511b42c5f7bfc725614cd612f8f38/rendering/18.obj", "5.86945007324")</f>
        <v>5.86945007324</v>
      </c>
      <c r="V1967" s="83" t="str">
        <f>HYPERLINK(AA2 &amp; "/pencil/sn_cb5511b42c5f7bfc725614cd612f8f38/rendering/19.obj", "3.59889892578")</f>
        <v>3.59889892578</v>
      </c>
      <c r="W1967" s="12" t="s">
        <v>29</v>
      </c>
      <c r="X1967" s="13">
        <v>4.2448144073486329</v>
      </c>
      <c r="Y1967" s="13">
        <v>0.53735672011482172</v>
      </c>
      <c r="Z1967" s="70">
        <v>0.12659133440193479</v>
      </c>
    </row>
    <row r="1968" spans="1:26" x14ac:dyDescent="0.2">
      <c r="A1968" s="1">
        <v>1966</v>
      </c>
      <c r="B1968" s="2" t="s">
        <v>426</v>
      </c>
      <c r="C1968" s="233" t="str">
        <f>HYPERLINK(AA2 &amp; "/pencil/sn_cb5511b42c5f7bfc725614cd612f8f38/rendering/00.obj", "1.89246940613")</f>
        <v>1.89246940613</v>
      </c>
      <c r="D1968" s="13" t="str">
        <f>HYPERLINK(AA2 &amp; "/pencil/sn_cb5511b42c5f7bfc725614cd612f8f38/rendering/01.obj", "1.10990869999")</f>
        <v>1.10990869999</v>
      </c>
      <c r="E1968" s="67" t="str">
        <f>HYPERLINK(AA2 &amp; "/pencil/sn_cb5511b42c5f7bfc725614cd612f8f38/rendering/02.obj", "1.21447229385")</f>
        <v>1.21447229385</v>
      </c>
      <c r="F1968" s="44" t="str">
        <f>HYPERLINK(AA2 &amp; "/pencil/sn_cb5511b42c5f7bfc725614cd612f8f38/rendering/03.obj", "0.893253147602")</f>
        <v>0.893253147602</v>
      </c>
      <c r="G1968" s="35" t="str">
        <f>HYPERLINK(AA2 &amp; "/pencil/sn_cb5511b42c5f7bfc725614cd612f8f38/rendering/04.obj", "1.04878222942")</f>
        <v>1.04878222942</v>
      </c>
      <c r="H1968" s="117" t="str">
        <f>HYPERLINK(AA2 &amp; "/pencil/sn_cb5511b42c5f7bfc725614cd612f8f38/rendering/05.obj", "0.916971504688")</f>
        <v>0.916971504688</v>
      </c>
      <c r="I1968" s="81" t="str">
        <f>HYPERLINK(AA2 &amp; "/pencil/sn_cb5511b42c5f7bfc725614cd612f8f38/rendering/06.obj", "0.86928331852")</f>
        <v>0.86928331852</v>
      </c>
      <c r="J1968" s="28" t="str">
        <f>HYPERLINK(AA2 &amp; "/pencil/sn_cb5511b42c5f7bfc725614cd612f8f38/rendering/07.obj", "0.988480627537")</f>
        <v>0.988480627537</v>
      </c>
      <c r="K1968" s="134" t="str">
        <f>HYPERLINK(AA2 &amp; "/pencil/sn_cb5511b42c5f7bfc725614cd612f8f38/rendering/08.obj", "0.911324501038")</f>
        <v>0.911324501038</v>
      </c>
      <c r="L1968" s="117" t="str">
        <f>HYPERLINK(AA2 &amp; "/pencil/sn_cb5511b42c5f7bfc725614cd612f8f38/rendering/09.obj", "0.915789425373")</f>
        <v>0.915789425373</v>
      </c>
      <c r="M1968" s="136" t="str">
        <f>HYPERLINK(AA2 &amp; "/pencil/sn_cb5511b42c5f7bfc725614cd612f8f38/rendering/10.obj", "0.850610852242")</f>
        <v>0.850610852242</v>
      </c>
      <c r="N1968" s="35" t="str">
        <f>HYPERLINK(AA2 &amp; "/pencil/sn_cb5511b42c5f7bfc725614cd612f8f38/rendering/11.obj", "1.04707288742")</f>
        <v>1.04707288742</v>
      </c>
      <c r="O1968" s="117" t="str">
        <f>HYPERLINK(AA2 &amp; "/pencil/sn_cb5511b42c5f7bfc725614cd612f8f38/rendering/12.obj", "0.914837479591")</f>
        <v>0.914837479591</v>
      </c>
      <c r="P1968" s="27" t="str">
        <f>HYPERLINK(AA2 &amp; "/pencil/sn_cb5511b42c5f7bfc725614cd612f8f38/rendering/13.obj", "1.03334867954")</f>
        <v>1.03334867954</v>
      </c>
      <c r="Q1968" s="84" t="str">
        <f>HYPERLINK(AA2 &amp; "/pencil/sn_cb5511b42c5f7bfc725614cd612f8f38/rendering/14.obj", "0.949764251709")</f>
        <v>0.949764251709</v>
      </c>
      <c r="R1968" s="118" t="str">
        <f>HYPERLINK(AA2 &amp; "/pencil/sn_cb5511b42c5f7bfc725614cd612f8f38/rendering/15.obj", "0.785329580307")</f>
        <v>0.785329580307</v>
      </c>
      <c r="S1968" s="108" t="str">
        <f>HYPERLINK(AA2 &amp; "/pencil/sn_cb5511b42c5f7bfc725614cd612f8f38/rendering/16.obj", "1.38560247421")</f>
        <v>1.38560247421</v>
      </c>
      <c r="T1968" s="46" t="str">
        <f>HYPERLINK(AA2 &amp; "/pencil/sn_cb5511b42c5f7bfc725614cd612f8f38/rendering/17.obj", "1.09290850163")</f>
        <v>1.09290850163</v>
      </c>
      <c r="U1968" s="20" t="str">
        <f>HYPERLINK(AA2 &amp; "/pencil/sn_cb5511b42c5f7bfc725614cd612f8f38/rendering/18.obj", "2.62462234497")</f>
        <v>2.62462234497</v>
      </c>
      <c r="V1968" s="99" t="str">
        <f>HYPERLINK(AA2 &amp; "/pencil/sn_cb5511b42c5f7bfc725614cd612f8f38/rendering/19.obj", "0.810096263885")</f>
        <v>0.810096263885</v>
      </c>
      <c r="W1968" s="12" t="s">
        <v>30</v>
      </c>
      <c r="X1968" s="13">
        <v>1.112746423482895</v>
      </c>
      <c r="Y1968" s="13">
        <v>0.42234314725316358</v>
      </c>
      <c r="Z1968" s="101">
        <v>0.37955021767783359</v>
      </c>
    </row>
    <row r="1969" spans="1:26" x14ac:dyDescent="0.2">
      <c r="A1969" s="1">
        <v>1967</v>
      </c>
      <c r="B1969" s="2" t="s">
        <v>426</v>
      </c>
      <c r="C1969" s="25" t="str">
        <f>HYPERLINK(AB2 &amp; "/pencil/sn_cb5511b42c5f7bfc725614cd612f8f38/rendering/00.obj", "3.53864959717")</f>
        <v>3.53864959717</v>
      </c>
      <c r="D1969" s="84" t="str">
        <f>HYPERLINK(AB2 &amp; "/pencil/sn_cb5511b42c5f7bfc725614cd612f8f38/rendering/01.obj", "3.06488250732")</f>
        <v>3.06488250732</v>
      </c>
      <c r="E1969" s="72" t="str">
        <f>HYPERLINK(AB2 &amp; "/pencil/sn_cb5511b42c5f7bfc725614cd612f8f38/rendering/02.obj", "3.69893035889")</f>
        <v>3.69893035889</v>
      </c>
      <c r="F1969" s="91" t="str">
        <f>HYPERLINK(AB2 &amp; "/pencil/sn_cb5511b42c5f7bfc725614cd612f8f38/rendering/03.obj", "3.67270568848")</f>
        <v>3.67270568848</v>
      </c>
      <c r="G1969" s="91" t="str">
        <f>HYPERLINK(AB2 &amp; "/pencil/sn_cb5511b42c5f7bfc725614cd612f8f38/rendering/04.obj", "3.48803222656")</f>
        <v>3.48803222656</v>
      </c>
      <c r="H1969" s="10" t="str">
        <f>HYPERLINK(AB2 &amp; "/pencil/sn_cb5511b42c5f7bfc725614cd612f8f38/rendering/05.obj", "3.38691711426")</f>
        <v>3.38691711426</v>
      </c>
      <c r="I1969" s="48" t="str">
        <f>HYPERLINK(AB2 &amp; "/pencil/sn_cb5511b42c5f7bfc725614cd612f8f38/rendering/06.obj", "3.49615234375")</f>
        <v>3.49615234375</v>
      </c>
      <c r="J1969" s="78" t="str">
        <f>HYPERLINK(AB2 &amp; "/pencil/sn_cb5511b42c5f7bfc725614cd612f8f38/rendering/07.obj", "3.80337890625")</f>
        <v>3.80337890625</v>
      </c>
      <c r="K1969" s="35" t="str">
        <f>HYPERLINK(AB2 &amp; "/pencil/sn_cb5511b42c5f7bfc725614cd612f8f38/rendering/08.obj", "3.78658477783")</f>
        <v>3.78658477783</v>
      </c>
      <c r="L1969" s="74" t="str">
        <f>HYPERLINK(AB2 &amp; "/pencil/sn_cb5511b42c5f7bfc725614cd612f8f38/rendering/09.obj", "3.53347290039")</f>
        <v>3.53347290039</v>
      </c>
      <c r="M1969" s="27" t="str">
        <f>HYPERLINK(AB2 &amp; "/pencil/sn_cb5511b42c5f7bfc725614cd612f8f38/rendering/10.obj", "3.83921020508")</f>
        <v>3.83921020508</v>
      </c>
      <c r="N1969" s="90" t="str">
        <f>HYPERLINK(AB2 &amp; "/pencil/sn_cb5511b42c5f7bfc725614cd612f8f38/rendering/11.obj", "3.92971130371")</f>
        <v>3.92971130371</v>
      </c>
      <c r="O1969" s="30" t="str">
        <f>HYPERLINK(AB2 &amp; "/pencil/sn_cb5511b42c5f7bfc725614cd612f8f38/rendering/12.obj", "3.59488250732")</f>
        <v>3.59488250732</v>
      </c>
      <c r="P1969" s="41" t="str">
        <f>HYPERLINK(AB2 &amp; "/pencil/sn_cb5511b42c5f7bfc725614cd612f8f38/rendering/13.obj", "3.8187789917")</f>
        <v>3.8187789917</v>
      </c>
      <c r="Q1969" s="73" t="str">
        <f>HYPERLINK(AB2 &amp; "/pencil/sn_cb5511b42c5f7bfc725614cd612f8f38/rendering/14.obj", "3.45358276367")</f>
        <v>3.45358276367</v>
      </c>
      <c r="R1969" s="68" t="str">
        <f>HYPERLINK(AB2 &amp; "/pencil/sn_cb5511b42c5f7bfc725614cd612f8f38/rendering/15.obj", "3.7360055542")</f>
        <v>3.7360055542</v>
      </c>
      <c r="S1969" s="60" t="str">
        <f>HYPERLINK(AB2 &amp; "/pencil/sn_cb5511b42c5f7bfc725614cd612f8f38/rendering/16.obj", "3.4007208252")</f>
        <v>3.4007208252</v>
      </c>
      <c r="T1969" s="78" t="str">
        <f>HYPERLINK(AB2 &amp; "/pencil/sn_cb5511b42c5f7bfc725614cd612f8f38/rendering/17.obj", "3.3608102417")</f>
        <v>3.3608102417</v>
      </c>
      <c r="U1969" s="47" t="str">
        <f>HYPERLINK(AB2 &amp; "/pencil/sn_cb5511b42c5f7bfc725614cd612f8f38/rendering/18.obj", "3.61358398437")</f>
        <v>3.61358398437</v>
      </c>
      <c r="V1969" s="6" t="str">
        <f>HYPERLINK(AB2 &amp; "/pencil/sn_cb5511b42c5f7bfc725614cd612f8f38/rendering/19.obj", "3.42128417969")</f>
        <v>3.42128417969</v>
      </c>
      <c r="W1969" s="12" t="s">
        <v>31</v>
      </c>
      <c r="X1969" s="13">
        <v>3.5819138488769529</v>
      </c>
      <c r="Y1969" s="13">
        <v>0.20381103080529669</v>
      </c>
      <c r="Z1969" s="35">
        <v>5.6900037076323892E-2</v>
      </c>
    </row>
    <row r="1970" spans="1:26" x14ac:dyDescent="0.2">
      <c r="A1970" s="1">
        <v>1968</v>
      </c>
      <c r="B1970" s="2" t="s">
        <v>426</v>
      </c>
      <c r="C1970" s="8" t="str">
        <f>HYPERLINK(AB2 &amp; "/pencil/sn_cb5511b42c5f7bfc725614cd612f8f38/rendering/00.obj", "0.755299627781")</f>
        <v>0.755299627781</v>
      </c>
      <c r="D1970" s="42" t="str">
        <f>HYPERLINK(AB2 &amp; "/pencil/sn_cb5511b42c5f7bfc725614cd612f8f38/rendering/01.obj", "0.762352049351")</f>
        <v>0.762352049351</v>
      </c>
      <c r="E1970" s="66" t="str">
        <f>HYPERLINK(AB2 &amp; "/pencil/sn_cb5511b42c5f7bfc725614cd612f8f38/rendering/02.obj", "1.02446830273")</f>
        <v>1.02446830273</v>
      </c>
      <c r="F1970" s="107" t="str">
        <f>HYPERLINK(AB2 &amp; "/pencil/sn_cb5511b42c5f7bfc725614cd612f8f38/rendering/03.obj", "0.809318959713")</f>
        <v>0.809318959713</v>
      </c>
      <c r="G1970" s="117" t="str">
        <f>HYPERLINK(AB2 &amp; "/pencil/sn_cb5511b42c5f7bfc725614cd612f8f38/rendering/04.obj", "0.726834774017")</f>
        <v>0.726834774017</v>
      </c>
      <c r="H1970" s="7" t="str">
        <f>HYPERLINK(AB2 &amp; "/pencil/sn_cb5511b42c5f7bfc725614cd612f8f38/rendering/05.obj", "1.1279219389")</f>
        <v>1.1279219389</v>
      </c>
      <c r="I1970" s="119" t="str">
        <f>HYPERLINK(AB2 &amp; "/pencil/sn_cb5511b42c5f7bfc725614cd612f8f38/rendering/06.obj", "1.1163932085")</f>
        <v>1.1163932085</v>
      </c>
      <c r="J1970" s="109" t="str">
        <f>HYPERLINK(AB2 &amp; "/pencil/sn_cb5511b42c5f7bfc725614cd612f8f38/rendering/07.obj", "0.714577019215")</f>
        <v>0.714577019215</v>
      </c>
      <c r="K1970" s="136" t="str">
        <f>HYPERLINK(AB2 &amp; "/pencil/sn_cb5511b42c5f7bfc725614cd612f8f38/rendering/08.obj", "1.08977723122")</f>
        <v>1.08977723122</v>
      </c>
      <c r="L1970" s="67" t="str">
        <f>HYPERLINK(AB2 &amp; "/pencil/sn_cb5511b42c5f7bfc725614cd612f8f38/rendering/09.obj", "0.80097925663")</f>
        <v>0.80097925663</v>
      </c>
      <c r="M1970" s="83" t="str">
        <f>HYPERLINK(AB2 &amp; "/pencil/sn_cb5511b42c5f7bfc725614cd612f8f38/rendering/10.obj", "0.747602105141")</f>
        <v>0.747602105141</v>
      </c>
      <c r="N1970" s="60" t="str">
        <f>HYPERLINK(AB2 &amp; "/pencil/sn_cb5511b42c5f7bfc725614cd612f8f38/rendering/11.obj", "0.927993059158")</f>
        <v>0.927993059158</v>
      </c>
      <c r="O1970" s="39" t="str">
        <f>HYPERLINK(AB2 &amp; "/pencil/sn_cb5511b42c5f7bfc725614cd612f8f38/rendering/12.obj", "0.805346488953")</f>
        <v>0.805346488953</v>
      </c>
      <c r="P1970" s="82" t="str">
        <f>HYPERLINK(AB2 &amp; "/pencil/sn_cb5511b42c5f7bfc725614cd612f8f38/rendering/13.obj", "0.700916111469")</f>
        <v>0.700916111469</v>
      </c>
      <c r="Q1970" s="133" t="str">
        <f>HYPERLINK(AB2 &amp; "/pencil/sn_cb5511b42c5f7bfc725614cd612f8f38/rendering/14.obj", "0.972840666771")</f>
        <v>0.972840666771</v>
      </c>
      <c r="R1970" s="134" t="str">
        <f>HYPERLINK(AB2 &amp; "/pencil/sn_cb5511b42c5f7bfc725614cd612f8f38/rendering/15.obj", "1.03999912739")</f>
        <v>1.03999912739</v>
      </c>
      <c r="S1970" s="65" t="str">
        <f>HYPERLINK(AB2 &amp; "/pencil/sn_cb5511b42c5f7bfc725614cd612f8f38/rendering/16.obj", "1.00015640259")</f>
        <v>1.00015640259</v>
      </c>
      <c r="T1970" s="42" t="str">
        <f>HYPERLINK(AB2 &amp; "/pencil/sn_cb5511b42c5f7bfc725614cd612f8f38/rendering/17.obj", "0.76088231802")</f>
        <v>0.76088231802</v>
      </c>
      <c r="U1970" s="109" t="str">
        <f>HYPERLINK(AB2 &amp; "/pencil/sn_cb5511b42c5f7bfc725614cd612f8f38/rendering/18.obj", "1.04944753647")</f>
        <v>1.04944753647</v>
      </c>
      <c r="V1970" s="55" t="str">
        <f>HYPERLINK(AB2 &amp; "/pencil/sn_cb5511b42c5f7bfc725614cd612f8f38/rendering/19.obj", "0.710603177547")</f>
        <v>0.710603177547</v>
      </c>
      <c r="W1970" s="12" t="s">
        <v>32</v>
      </c>
      <c r="X1970" s="13">
        <v>0.88218546807765963</v>
      </c>
      <c r="Y1970" s="13">
        <v>0.15021899259629479</v>
      </c>
      <c r="Z1970" s="40">
        <v>0.1702805113346878</v>
      </c>
    </row>
    <row r="1971" spans="1:26" x14ac:dyDescent="0.2">
      <c r="A1971" s="1">
        <v>1969</v>
      </c>
      <c r="B1971" s="2" t="s">
        <v>426</v>
      </c>
      <c r="C1971" s="13" t="str">
        <f>HYPERLINK(AC2 &amp; "/pencil/sn_cb5511b42c5f7bfc725614cd612f8f38/rendering/00.xyz", "0.0")</f>
        <v>0.0</v>
      </c>
      <c r="D1971" s="13" t="str">
        <f>HYPERLINK(AC2 &amp; "/pencil/sn_cb5511b42c5f7bfc725614cd612f8f38/rendering/01.xyz", "0.0")</f>
        <v>0.0</v>
      </c>
      <c r="E1971" s="13" t="str">
        <f>HYPERLINK(AC2 &amp; "/pencil/sn_cb5511b42c5f7bfc725614cd612f8f38/rendering/02.xyz", "0.0")</f>
        <v>0.0</v>
      </c>
      <c r="F1971" s="13" t="str">
        <f>HYPERLINK(AC2 &amp; "/pencil/sn_cb5511b42c5f7bfc725614cd612f8f38/rendering/03.xyz", "0.0")</f>
        <v>0.0</v>
      </c>
      <c r="G1971" s="13" t="str">
        <f>HYPERLINK(AC2 &amp; "/pencil/sn_cb5511b42c5f7bfc725614cd612f8f38/rendering/04.xyz", "0.0")</f>
        <v>0.0</v>
      </c>
      <c r="H1971" s="13" t="str">
        <f>HYPERLINK(AC2 &amp; "/pencil/sn_cb5511b42c5f7bfc725614cd612f8f38/rendering/05.xyz", "0.0")</f>
        <v>0.0</v>
      </c>
      <c r="I1971" s="13" t="str">
        <f>HYPERLINK(AC2 &amp; "/pencil/sn_cb5511b42c5f7bfc725614cd612f8f38/rendering/06.xyz", "0.0")</f>
        <v>0.0</v>
      </c>
      <c r="J1971" s="13" t="str">
        <f>HYPERLINK(AC2 &amp; "/pencil/sn_cb5511b42c5f7bfc725614cd612f8f38/rendering/07.xyz", "0.0")</f>
        <v>0.0</v>
      </c>
      <c r="K1971" s="13" t="str">
        <f>HYPERLINK(AC2 &amp; "/pencil/sn_cb5511b42c5f7bfc725614cd612f8f38/rendering/08.xyz", "0.0")</f>
        <v>0.0</v>
      </c>
      <c r="L1971" s="13" t="str">
        <f>HYPERLINK(AC2 &amp; "/pencil/sn_cb5511b42c5f7bfc725614cd612f8f38/rendering/09.xyz", "0.0")</f>
        <v>0.0</v>
      </c>
      <c r="M1971" s="13" t="str">
        <f>HYPERLINK(AC2 &amp; "/pencil/sn_cb5511b42c5f7bfc725614cd612f8f38/rendering/10.xyz", "0.0")</f>
        <v>0.0</v>
      </c>
      <c r="N1971" s="13" t="str">
        <f>HYPERLINK(AC2 &amp; "/pencil/sn_cb5511b42c5f7bfc725614cd612f8f38/rendering/11.xyz", "0.0")</f>
        <v>0.0</v>
      </c>
      <c r="O1971" s="13" t="str">
        <f>HYPERLINK(AC2 &amp; "/pencil/sn_cb5511b42c5f7bfc725614cd612f8f38/rendering/12.xyz", "0.0")</f>
        <v>0.0</v>
      </c>
      <c r="P1971" s="13" t="str">
        <f>HYPERLINK(AC2 &amp; "/pencil/sn_cb5511b42c5f7bfc725614cd612f8f38/rendering/13.xyz", "0.0")</f>
        <v>0.0</v>
      </c>
      <c r="Q1971" s="13" t="str">
        <f>HYPERLINK(AC2 &amp; "/pencil/sn_cb5511b42c5f7bfc725614cd612f8f38/rendering/14.xyz", "0.0")</f>
        <v>0.0</v>
      </c>
      <c r="R1971" s="13" t="str">
        <f>HYPERLINK(AC2 &amp; "/pencil/sn_cb5511b42c5f7bfc725614cd612f8f38/rendering/15.xyz", "0.0")</f>
        <v>0.0</v>
      </c>
      <c r="S1971" s="13" t="str">
        <f>HYPERLINK(AC2 &amp; "/pencil/sn_cb5511b42c5f7bfc725614cd612f8f38/rendering/16.xyz", "0.0")</f>
        <v>0.0</v>
      </c>
      <c r="T1971" s="13" t="str">
        <f>HYPERLINK(AC2 &amp; "/pencil/sn_cb5511b42c5f7bfc725614cd612f8f38/rendering/17.xyz", "0.0")</f>
        <v>0.0</v>
      </c>
      <c r="U1971" s="13" t="str">
        <f>HYPERLINK(AC2 &amp; "/pencil/sn_cb5511b42c5f7bfc725614cd612f8f38/rendering/18.xyz", "0.0")</f>
        <v>0.0</v>
      </c>
      <c r="V1971" s="13" t="str">
        <f>HYPERLINK(AC2 &amp; "/pencil/sn_cb5511b42c5f7bfc725614cd612f8f38/rendering/19.xyz", "0.0")</f>
        <v>0.0</v>
      </c>
      <c r="W1971" s="12" t="s">
        <v>33</v>
      </c>
      <c r="X1971" s="13">
        <v>0</v>
      </c>
      <c r="Y1971" s="13">
        <v>0</v>
      </c>
      <c r="Z1971" s="13">
        <v>0</v>
      </c>
    </row>
    <row r="1972" spans="1:26" x14ac:dyDescent="0.2">
      <c r="A1972" s="1">
        <v>1970</v>
      </c>
      <c r="B1972" s="2" t="s">
        <v>427</v>
      </c>
      <c r="C1972" s="13" t="str">
        <f>HYPERLINK(AA2 &amp; "/pencil/sn_cb572561141e0b98128c883ba2a8cf9/rendering/00.obj", "4.13085632324")</f>
        <v>4.13085632324</v>
      </c>
      <c r="D1972" s="60" t="str">
        <f>HYPERLINK(AA2 &amp; "/pencil/sn_cb572561141e0b98128c883ba2a8cf9/rendering/01.obj", "4.33635437012")</f>
        <v>4.33635437012</v>
      </c>
      <c r="E1972" s="17" t="str">
        <f>HYPERLINK(AA2 &amp; "/pencil/sn_cb572561141e0b98128c883ba2a8cf9/rendering/02.obj", "4.04705078125")</f>
        <v>4.04705078125</v>
      </c>
      <c r="F1972" s="74" t="str">
        <f>HYPERLINK(AA2 &amp; "/pencil/sn_cb572561141e0b98128c883ba2a8cf9/rendering/03.obj", "4.07320495605")</f>
        <v>4.07320495605</v>
      </c>
      <c r="G1972" s="46" t="str">
        <f>HYPERLINK(AA2 &amp; "/pencil/sn_cb572561141e0b98128c883ba2a8cf9/rendering/04.obj", "4.20234741211")</f>
        <v>4.20234741211</v>
      </c>
      <c r="H1972" s="51" t="str">
        <f>HYPERLINK(AA2 &amp; "/pencil/sn_cb572561141e0b98128c883ba2a8cf9/rendering/05.obj", "3.79298522949")</f>
        <v>3.79298522949</v>
      </c>
      <c r="I1972" s="51" t="str">
        <f>HYPERLINK(AA2 &amp; "/pencil/sn_cb572561141e0b98128c883ba2a8cf9/rendering/06.obj", "4.45824371338")</f>
        <v>4.45824371338</v>
      </c>
      <c r="J1972" s="41" t="str">
        <f>HYPERLINK(AA2 &amp; "/pencil/sn_cb572561141e0b98128c883ba2a8cf9/rendering/07.obj", "4.40897949219")</f>
        <v>4.40897949219</v>
      </c>
      <c r="K1972" s="47" t="str">
        <f>HYPERLINK(AA2 &amp; "/pencil/sn_cb572561141e0b98128c883ba2a8cf9/rendering/08.obj", "4.09704467773")</f>
        <v>4.09704467773</v>
      </c>
      <c r="L1972" s="13" t="str">
        <f>HYPERLINK(AA2 &amp; "/pencil/sn_cb572561141e0b98128c883ba2a8cf9/rendering/09.obj", "4.12385620117")</f>
        <v>4.12385620117</v>
      </c>
      <c r="M1972" s="10" t="str">
        <f>HYPERLINK(AA2 &amp; "/pencil/sn_cb572561141e0b98128c883ba2a8cf9/rendering/10.obj", "4.34572692871")</f>
        <v>4.34572692871</v>
      </c>
      <c r="N1972" s="13" t="str">
        <f>HYPERLINK(AA2 &amp; "/pencil/sn_cb572561141e0b98128c883ba2a8cf9/rendering/11.obj", "4.1185357666")</f>
        <v>4.1185357666</v>
      </c>
      <c r="O1972" s="30" t="str">
        <f>HYPERLINK(AA2 &amp; "/pencil/sn_cb572561141e0b98128c883ba2a8cf9/rendering/12.obj", "4.10403564453")</f>
        <v>4.10403564453</v>
      </c>
      <c r="P1972" s="73" t="str">
        <f>HYPERLINK(AA2 &amp; "/pencil/sn_cb572561141e0b98128c883ba2a8cf9/rendering/13.obj", "3.97679351807")</f>
        <v>3.97679351807</v>
      </c>
      <c r="Q1972" s="47" t="str">
        <f>HYPERLINK(AA2 &amp; "/pencil/sn_cb572561141e0b98128c883ba2a8cf9/rendering/14.obj", "4.1547052002")</f>
        <v>4.1547052002</v>
      </c>
      <c r="R1972" s="30" t="str">
        <f>HYPERLINK(AA2 &amp; "/pencil/sn_cb572561141e0b98128c883ba2a8cf9/rendering/15.obj", "4.13953765869")</f>
        <v>4.13953765869</v>
      </c>
      <c r="S1972" s="27" t="str">
        <f>HYPERLINK(AA2 &amp; "/pencil/sn_cb572561141e0b98128c883ba2a8cf9/rendering/16.obj", "3.82948425293")</f>
        <v>3.82948425293</v>
      </c>
      <c r="T1972" s="48" t="str">
        <f>HYPERLINK(AA2 &amp; "/pencil/sn_cb572561141e0b98128c883ba2a8cf9/rendering/17.obj", "4.0250012207")</f>
        <v>4.0250012207</v>
      </c>
      <c r="U1972" s="10" t="str">
        <f>HYPERLINK(AA2 &amp; "/pencil/sn_cb572561141e0b98128c883ba2a8cf9/rendering/18.obj", "3.90047271729")</f>
        <v>3.90047271729</v>
      </c>
      <c r="V1972" s="69" t="str">
        <f>HYPERLINK(AA2 &amp; "/pencil/sn_cb572561141e0b98128c883ba2a8cf9/rendering/19.obj", "4.24519683838")</f>
        <v>4.24519683838</v>
      </c>
      <c r="W1972" s="12" t="s">
        <v>29</v>
      </c>
      <c r="X1972" s="13">
        <v>4.1255206451416013</v>
      </c>
      <c r="Y1972" s="13">
        <v>0.1727140671039647</v>
      </c>
      <c r="Z1972" s="68">
        <v>4.1864792824963928E-2</v>
      </c>
    </row>
    <row r="1973" spans="1:26" x14ac:dyDescent="0.2">
      <c r="A1973" s="1">
        <v>1971</v>
      </c>
      <c r="B1973" s="2" t="s">
        <v>427</v>
      </c>
      <c r="C1973" s="47" t="str">
        <f>HYPERLINK(AA2 &amp; "/pencil/sn_cb572561141e0b98128c883ba2a8cf9/rendering/00.obj", "0.769244194031")</f>
        <v>0.769244194031</v>
      </c>
      <c r="D1973" s="80" t="str">
        <f>HYPERLINK(AA2 &amp; "/pencil/sn_cb572561141e0b98128c883ba2a8cf9/rendering/01.obj", "0.891213178635")</f>
        <v>0.891213178635</v>
      </c>
      <c r="E1973" s="8" t="str">
        <f>HYPERLINK(AA2 &amp; "/pencil/sn_cb572561141e0b98128c883ba2a8cf9/rendering/02.obj", "0.665947318077")</f>
        <v>0.665947318077</v>
      </c>
      <c r="F1973" s="28" t="str">
        <f>HYPERLINK(AA2 &amp; "/pencil/sn_cb572561141e0b98128c883ba2a8cf9/rendering/03.obj", "0.690044760704")</f>
        <v>0.690044760704</v>
      </c>
      <c r="G1973" s="42" t="str">
        <f>HYPERLINK(AA2 &amp; "/pencil/sn_cb572561141e0b98128c883ba2a8cf9/rendering/04.obj", "0.670659482479")</f>
        <v>0.670659482479</v>
      </c>
      <c r="H1973" s="73" t="str">
        <f>HYPERLINK(AA2 &amp; "/pencil/sn_cb572561141e0b98128c883ba2a8cf9/rendering/05.obj", "0.748713076115")</f>
        <v>0.748713076115</v>
      </c>
      <c r="I1973" s="200" t="str">
        <f>HYPERLINK(AA2 &amp; "/pencil/sn_cb572561141e0b98128c883ba2a8cf9/rendering/06.obj", "1.14781403542")</f>
        <v>1.14781403542</v>
      </c>
      <c r="J1973" s="7" t="str">
        <f>HYPERLINK(AA2 &amp; "/pencil/sn_cb572561141e0b98128c883ba2a8cf9/rendering/07.obj", "0.993195831776")</f>
        <v>0.993195831776</v>
      </c>
      <c r="K1973" s="48" t="str">
        <f>HYPERLINK(AA2 &amp; "/pencil/sn_cb572561141e0b98128c883ba2a8cf9/rendering/08.obj", "0.795959711075")</f>
        <v>0.795959711075</v>
      </c>
      <c r="L1973" s="35" t="str">
        <f>HYPERLINK(AA2 &amp; "/pencil/sn_cb572561141e0b98128c883ba2a8cf9/rendering/09.obj", "0.730619609356")</f>
        <v>0.730619609356</v>
      </c>
      <c r="M1973" s="97" t="str">
        <f>HYPERLINK(AA2 &amp; "/pencil/sn_cb572561141e0b98128c883ba2a8cf9/rendering/10.obj", "1.11316919327")</f>
        <v>1.11316919327</v>
      </c>
      <c r="N1973" s="68" t="str">
        <f>HYPERLINK(AA2 &amp; "/pencil/sn_cb572561141e0b98128c883ba2a8cf9/rendering/11.obj", "0.744466423988")</f>
        <v>0.744466423988</v>
      </c>
      <c r="O1973" s="64" t="str">
        <f>HYPERLINK(AA2 &amp; "/pencil/sn_cb572561141e0b98128c883ba2a8cf9/rendering/12.obj", "0.64921194315")</f>
        <v>0.64921194315</v>
      </c>
      <c r="P1973" s="79" t="str">
        <f>HYPERLINK(AA2 &amp; "/pencil/sn_cb572561141e0b98128c883ba2a8cf9/rendering/13.obj", "0.653154551983")</f>
        <v>0.653154551983</v>
      </c>
      <c r="Q1973" s="71" t="str">
        <f>HYPERLINK(AA2 &amp; "/pencil/sn_cb572561141e0b98128c883ba2a8cf9/rendering/14.obj", "0.86903578043")</f>
        <v>0.86903578043</v>
      </c>
      <c r="R1973" s="133" t="str">
        <f>HYPERLINK(AA2 &amp; "/pencil/sn_cb572561141e0b98128c883ba2a8cf9/rendering/15.obj", "0.697025954723")</f>
        <v>0.697025954723</v>
      </c>
      <c r="S1973" s="84" t="str">
        <f>HYPERLINK(AA2 &amp; "/pencil/sn_cb572561141e0b98128c883ba2a8cf9/rendering/16.obj", "0.663375377655")</f>
        <v>0.663375377655</v>
      </c>
      <c r="T1973" s="69" t="str">
        <f>HYPERLINK(AA2 &amp; "/pencil/sn_cb572561141e0b98128c883ba2a8cf9/rendering/17.obj", "0.754094421864")</f>
        <v>0.754094421864</v>
      </c>
      <c r="U1973" s="37" t="str">
        <f>HYPERLINK(AA2 &amp; "/pencil/sn_cb572561141e0b98128c883ba2a8cf9/rendering/18.obj", "0.642103433609")</f>
        <v>0.642103433609</v>
      </c>
      <c r="V1973" s="37" t="str">
        <f>HYPERLINK(AA2 &amp; "/pencil/sn_cb572561141e0b98128c883ba2a8cf9/rendering/19.obj", "0.640547215939")</f>
        <v>0.640547215939</v>
      </c>
      <c r="W1973" s="12" t="s">
        <v>30</v>
      </c>
      <c r="X1973" s="13">
        <v>0.77647977471351626</v>
      </c>
      <c r="Y1973" s="13">
        <v>0.14878000485876561</v>
      </c>
      <c r="Z1973" s="55">
        <v>0.1916083453862765</v>
      </c>
    </row>
    <row r="1974" spans="1:26" x14ac:dyDescent="0.2">
      <c r="A1974" s="1">
        <v>1972</v>
      </c>
      <c r="B1974" s="2" t="s">
        <v>427</v>
      </c>
      <c r="C1974" s="35" t="str">
        <f>HYPERLINK(AB2 &amp; "/pencil/sn_cb572561141e0b98128c883ba2a8cf9/rendering/00.obj", "5.58330932617")</f>
        <v>5.58330932617</v>
      </c>
      <c r="D1974" s="91" t="str">
        <f>HYPERLINK(AB2 &amp; "/pencil/sn_cb572561141e0b98128c883ba2a8cf9/rendering/01.obj", "5.76373046875")</f>
        <v>5.76373046875</v>
      </c>
      <c r="E1974" s="30" t="str">
        <f>HYPERLINK(AB2 &amp; "/pencil/sn_cb572561141e0b98128c883ba2a8cf9/rendering/02.obj", "5.95740600586")</f>
        <v>5.95740600586</v>
      </c>
      <c r="F1974" s="68" t="str">
        <f>HYPERLINK(AB2 &amp; "/pencil/sn_cb572561141e0b98128c883ba2a8cf9/rendering/03.obj", "5.67265991211")</f>
        <v>5.67265991211</v>
      </c>
      <c r="G1974" s="13" t="str">
        <f>HYPERLINK(AB2 &amp; "/pencil/sn_cb572561141e0b98128c883ba2a8cf9/rendering/04.obj", "5.91813537598")</f>
        <v>5.91813537598</v>
      </c>
      <c r="H1974" s="33" t="str">
        <f>HYPERLINK(AB2 &amp; "/pencil/sn_cb572561141e0b98128c883ba2a8cf9/rendering/05.obj", "6.57665039062")</f>
        <v>6.57665039062</v>
      </c>
      <c r="I1974" s="47" t="str">
        <f>HYPERLINK(AB2 &amp; "/pencil/sn_cb572561141e0b98128c883ba2a8cf9/rendering/06.obj", "5.88684204102")</f>
        <v>5.88684204102</v>
      </c>
      <c r="J1974" s="34" t="str">
        <f>HYPERLINK(AB2 &amp; "/pencil/sn_cb572561141e0b98128c883ba2a8cf9/rendering/07.obj", "6.20703613281")</f>
        <v>6.20703613281</v>
      </c>
      <c r="K1974" s="46" t="str">
        <f>HYPERLINK(AB2 &amp; "/pencil/sn_cb572561141e0b98128c883ba2a8cf9/rendering/08.obj", "5.81561096191")</f>
        <v>5.81561096191</v>
      </c>
      <c r="L1974" s="17" t="str">
        <f>HYPERLINK(AB2 &amp; "/pencil/sn_cb572561141e0b98128c883ba2a8cf9/rendering/09.obj", "6.05379638672")</f>
        <v>6.05379638672</v>
      </c>
      <c r="M1974" s="47" t="str">
        <f>HYPERLINK(AB2 &amp; "/pencil/sn_cb572561141e0b98128c883ba2a8cf9/rendering/10.obj", "5.96745849609")</f>
        <v>5.96745849609</v>
      </c>
      <c r="N1974" s="34" t="str">
        <f>HYPERLINK(AB2 &amp; "/pencil/sn_cb572561141e0b98128c883ba2a8cf9/rendering/11.obj", "5.64140136719")</f>
        <v>5.64140136719</v>
      </c>
      <c r="O1974" s="13" t="str">
        <f>HYPERLINK(AB2 &amp; "/pencil/sn_cb572561141e0b98128c883ba2a8cf9/rendering/12.obj", "5.90954162598")</f>
        <v>5.90954162598</v>
      </c>
      <c r="P1974" s="25" t="str">
        <f>HYPERLINK(AB2 &amp; "/pencil/sn_cb572561141e0b98128c883ba2a8cf9/rendering/13.obj", "5.85417358398")</f>
        <v>5.85417358398</v>
      </c>
      <c r="Q1974" s="25" t="str">
        <f>HYPERLINK(AB2 &amp; "/pencil/sn_cb572561141e0b98128c883ba2a8cf9/rendering/14.obj", "5.99308349609")</f>
        <v>5.99308349609</v>
      </c>
      <c r="R1974" s="68" t="str">
        <f>HYPERLINK(AB2 &amp; "/pencil/sn_cb572561141e0b98128c883ba2a8cf9/rendering/15.obj", "6.17351318359")</f>
        <v>6.17351318359</v>
      </c>
      <c r="S1974" s="34" t="str">
        <f>HYPERLINK(AB2 &amp; "/pencil/sn_cb572561141e0b98128c883ba2a8cf9/rendering/16.obj", "5.62923828125")</f>
        <v>5.62923828125</v>
      </c>
      <c r="T1974" s="74" t="str">
        <f>HYPERLINK(AB2 &amp; "/pencil/sn_cb572561141e0b98128c883ba2a8cf9/rendering/17.obj", "5.84485229492")</f>
        <v>5.84485229492</v>
      </c>
      <c r="U1974" s="46" t="str">
        <f>HYPERLINK(AB2 &amp; "/pencil/sn_cb572561141e0b98128c883ba2a8cf9/rendering/18.obj", "6.0291192627")</f>
        <v>6.0291192627</v>
      </c>
      <c r="V1974" s="17" t="str">
        <f>HYPERLINK(AB2 &amp; "/pencil/sn_cb572561141e0b98128c883ba2a8cf9/rendering/19.obj", "6.04722290039")</f>
        <v>6.04722290039</v>
      </c>
      <c r="W1974" s="12" t="s">
        <v>31</v>
      </c>
      <c r="X1974" s="13">
        <v>5.9262390747070306</v>
      </c>
      <c r="Y1974" s="13">
        <v>0.2253068906962695</v>
      </c>
      <c r="Z1974" s="23">
        <v>3.8018528759305531E-2</v>
      </c>
    </row>
    <row r="1975" spans="1:26" x14ac:dyDescent="0.2">
      <c r="A1975" s="1">
        <v>1973</v>
      </c>
      <c r="B1975" s="2" t="s">
        <v>427</v>
      </c>
      <c r="C1975" s="113" t="str">
        <f>HYPERLINK(AB2 &amp; "/pencil/sn_cb572561141e0b98128c883ba2a8cf9/rendering/00.obj", "0.825973510742")</f>
        <v>0.825973510742</v>
      </c>
      <c r="D1975" s="38" t="str">
        <f>HYPERLINK(AB2 &amp; "/pencil/sn_cb572561141e0b98128c883ba2a8cf9/rendering/01.obj", "1.03741645813")</f>
        <v>1.03741645813</v>
      </c>
      <c r="E1975" s="32" t="str">
        <f>HYPERLINK(AB2 &amp; "/pencil/sn_cb572561141e0b98128c883ba2a8cf9/rendering/02.obj", "1.01992213726")</f>
        <v>1.01992213726</v>
      </c>
      <c r="F1975" s="39" t="str">
        <f>HYPERLINK(AB2 &amp; "/pencil/sn_cb572561141e0b98128c883ba2a8cf9/rendering/03.obj", "1.04120600224")</f>
        <v>1.04120600224</v>
      </c>
      <c r="G1975" s="93" t="str">
        <f>HYPERLINK(AB2 &amp; "/pencil/sn_cb572561141e0b98128c883ba2a8cf9/rendering/04.obj", "1.30041921139")</f>
        <v>1.30041921139</v>
      </c>
      <c r="H1975" s="221" t="str">
        <f>HYPERLINK(AB2 &amp; "/pencil/sn_cb572561141e0b98128c883ba2a8cf9/rendering/05.obj", "1.77452254295")</f>
        <v>1.77452254295</v>
      </c>
      <c r="I1975" s="17" t="str">
        <f>HYPERLINK(AB2 &amp; "/pencil/sn_cb572561141e0b98128c883ba2a8cf9/rendering/06.obj", "1.16379821301")</f>
        <v>1.16379821301</v>
      </c>
      <c r="J1975" s="175" t="str">
        <f>HYPERLINK(AB2 &amp; "/pencil/sn_cb572561141e0b98128c883ba2a8cf9/rendering/07.obj", "1.4086587429")</f>
        <v>1.4086587429</v>
      </c>
      <c r="K1975" s="100" t="str">
        <f>HYPERLINK(AB2 &amp; "/pencil/sn_cb572561141e0b98128c883ba2a8cf9/rendering/08.obj", "0.799871444702")</f>
        <v>0.799871444702</v>
      </c>
      <c r="L1975" s="110" t="str">
        <f>HYPERLINK(AB2 &amp; "/pencil/sn_cb572561141e0b98128c883ba2a8cf9/rendering/09.obj", "1.25297164917")</f>
        <v>1.25297164917</v>
      </c>
      <c r="M1975" s="100" t="str">
        <f>HYPERLINK(AB2 &amp; "/pencil/sn_cb572561141e0b98128c883ba2a8cf9/rendering/10.obj", "0.79947322607")</f>
        <v>0.79947322607</v>
      </c>
      <c r="N1975" s="59" t="str">
        <f>HYPERLINK(AB2 &amp; "/pencil/sn_cb572561141e0b98128c883ba2a8cf9/rendering/11.obj", "0.866321086884")</f>
        <v>0.866321086884</v>
      </c>
      <c r="O1975" s="78" t="str">
        <f>HYPERLINK(AB2 &amp; "/pencil/sn_cb572561141e0b98128c883ba2a8cf9/rendering/12.obj", "1.21003758907")</f>
        <v>1.21003758907</v>
      </c>
      <c r="P1975" s="39" t="str">
        <f>HYPERLINK(AB2 &amp; "/pencil/sn_cb572561141e0b98128c883ba2a8cf9/rendering/13.obj", "1.04379105568")</f>
        <v>1.04379105568</v>
      </c>
      <c r="Q1975" s="90" t="str">
        <f>HYPERLINK(AB2 &amp; "/pencil/sn_cb572561141e0b98128c883ba2a8cf9/rendering/14.obj", "1.03151750565")</f>
        <v>1.03151750565</v>
      </c>
      <c r="R1975" s="226" t="str">
        <f>HYPERLINK(AB2 &amp; "/pencil/sn_cb572561141e0b98128c883ba2a8cf9/rendering/15.obj", "1.783893466")</f>
        <v>1.783893466</v>
      </c>
      <c r="S1975" s="86" t="str">
        <f>HYPERLINK(AB2 &amp; "/pencil/sn_cb572561141e0b98128c883ba2a8cf9/rendering/16.obj", "0.835424244404")</f>
        <v>0.835424244404</v>
      </c>
      <c r="T1975" s="63" t="str">
        <f>HYPERLINK(AB2 &amp; "/pencil/sn_cb572561141e0b98128c883ba2a8cf9/rendering/17.obj", "1.00440728664")</f>
        <v>1.00440728664</v>
      </c>
      <c r="U1975" s="74" t="str">
        <f>HYPERLINK(AB2 &amp; "/pencil/sn_cb572561141e0b98128c883ba2a8cf9/rendering/18.obj", "1.12385463715")</f>
        <v>1.12385463715</v>
      </c>
      <c r="V1975" s="61" t="str">
        <f>HYPERLINK(AB2 &amp; "/pencil/sn_cb572561141e0b98128c883ba2a8cf9/rendering/19.obj", "1.4869992733")</f>
        <v>1.4869992733</v>
      </c>
      <c r="W1975" s="12" t="s">
        <v>32</v>
      </c>
      <c r="X1975" s="13">
        <v>1.1405239641666409</v>
      </c>
      <c r="Y1975" s="13">
        <v>0.28513723059648888</v>
      </c>
      <c r="Z1975" s="129">
        <v>0.25000547077924229</v>
      </c>
    </row>
    <row r="1976" spans="1:26" x14ac:dyDescent="0.2">
      <c r="A1976" s="1">
        <v>1974</v>
      </c>
      <c r="B1976" s="2" t="s">
        <v>427</v>
      </c>
      <c r="C1976" s="13" t="str">
        <f>HYPERLINK(AC2 &amp; "/pencil/sn_cb572561141e0b98128c883ba2a8cf9/rendering/00.xyz", "0.0")</f>
        <v>0.0</v>
      </c>
      <c r="D1976" s="13" t="str">
        <f>HYPERLINK(AC2 &amp; "/pencil/sn_cb572561141e0b98128c883ba2a8cf9/rendering/01.xyz", "0.0")</f>
        <v>0.0</v>
      </c>
      <c r="E1976" s="13" t="str">
        <f>HYPERLINK(AC2 &amp; "/pencil/sn_cb572561141e0b98128c883ba2a8cf9/rendering/02.xyz", "0.0")</f>
        <v>0.0</v>
      </c>
      <c r="F1976" s="13" t="str">
        <f>HYPERLINK(AC2 &amp; "/pencil/sn_cb572561141e0b98128c883ba2a8cf9/rendering/03.xyz", "0.0")</f>
        <v>0.0</v>
      </c>
      <c r="G1976" s="13" t="str">
        <f>HYPERLINK(AC2 &amp; "/pencil/sn_cb572561141e0b98128c883ba2a8cf9/rendering/04.xyz", "0.0")</f>
        <v>0.0</v>
      </c>
      <c r="H1976" s="13" t="str">
        <f>HYPERLINK(AC2 &amp; "/pencil/sn_cb572561141e0b98128c883ba2a8cf9/rendering/05.xyz", "0.0")</f>
        <v>0.0</v>
      </c>
      <c r="I1976" s="13" t="str">
        <f>HYPERLINK(AC2 &amp; "/pencil/sn_cb572561141e0b98128c883ba2a8cf9/rendering/06.xyz", "0.0")</f>
        <v>0.0</v>
      </c>
      <c r="J1976" s="13" t="str">
        <f>HYPERLINK(AC2 &amp; "/pencil/sn_cb572561141e0b98128c883ba2a8cf9/rendering/07.xyz", "0.0")</f>
        <v>0.0</v>
      </c>
      <c r="K1976" s="13" t="str">
        <f>HYPERLINK(AC2 &amp; "/pencil/sn_cb572561141e0b98128c883ba2a8cf9/rendering/08.xyz", "0.0")</f>
        <v>0.0</v>
      </c>
      <c r="L1976" s="13" t="str">
        <f>HYPERLINK(AC2 &amp; "/pencil/sn_cb572561141e0b98128c883ba2a8cf9/rendering/09.xyz", "0.0")</f>
        <v>0.0</v>
      </c>
      <c r="M1976" s="13" t="str">
        <f>HYPERLINK(AC2 &amp; "/pencil/sn_cb572561141e0b98128c883ba2a8cf9/rendering/10.xyz", "0.0")</f>
        <v>0.0</v>
      </c>
      <c r="N1976" s="13" t="str">
        <f>HYPERLINK(AC2 &amp; "/pencil/sn_cb572561141e0b98128c883ba2a8cf9/rendering/11.xyz", "0.0")</f>
        <v>0.0</v>
      </c>
      <c r="O1976" s="13" t="str">
        <f>HYPERLINK(AC2 &amp; "/pencil/sn_cb572561141e0b98128c883ba2a8cf9/rendering/12.xyz", "0.0")</f>
        <v>0.0</v>
      </c>
      <c r="P1976" s="13" t="str">
        <f>HYPERLINK(AC2 &amp; "/pencil/sn_cb572561141e0b98128c883ba2a8cf9/rendering/13.xyz", "0.0")</f>
        <v>0.0</v>
      </c>
      <c r="Q1976" s="13" t="str">
        <f>HYPERLINK(AC2 &amp; "/pencil/sn_cb572561141e0b98128c883ba2a8cf9/rendering/14.xyz", "0.0")</f>
        <v>0.0</v>
      </c>
      <c r="R1976" s="13" t="str">
        <f>HYPERLINK(AC2 &amp; "/pencil/sn_cb572561141e0b98128c883ba2a8cf9/rendering/15.xyz", "0.0")</f>
        <v>0.0</v>
      </c>
      <c r="S1976" s="13" t="str">
        <f>HYPERLINK(AC2 &amp; "/pencil/sn_cb572561141e0b98128c883ba2a8cf9/rendering/16.xyz", "0.0")</f>
        <v>0.0</v>
      </c>
      <c r="T1976" s="13" t="str">
        <f>HYPERLINK(AC2 &amp; "/pencil/sn_cb572561141e0b98128c883ba2a8cf9/rendering/17.xyz", "0.0")</f>
        <v>0.0</v>
      </c>
      <c r="U1976" s="13" t="str">
        <f>HYPERLINK(AC2 &amp; "/pencil/sn_cb572561141e0b98128c883ba2a8cf9/rendering/18.xyz", "0.0")</f>
        <v>0.0</v>
      </c>
      <c r="V1976" s="13" t="str">
        <f>HYPERLINK(AC2 &amp; "/pencil/sn_cb572561141e0b98128c883ba2a8cf9/rendering/19.xyz", "0.0")</f>
        <v>0.0</v>
      </c>
      <c r="W1976" s="12" t="s">
        <v>33</v>
      </c>
      <c r="X1976" s="13">
        <v>0</v>
      </c>
      <c r="Y1976" s="13">
        <v>0</v>
      </c>
      <c r="Z1976" s="13">
        <v>0</v>
      </c>
    </row>
    <row r="1977" spans="1:26" x14ac:dyDescent="0.2">
      <c r="A1977" s="1">
        <v>1975</v>
      </c>
      <c r="B1977" s="2" t="s">
        <v>428</v>
      </c>
      <c r="C1977" s="98" t="str">
        <f>HYPERLINK(AA2 &amp; "/pencil/sn_cbefc43c808319a213a8b2a24e3fe32c/rendering/00.obj", "4.02523284912")</f>
        <v>4.02523284912</v>
      </c>
      <c r="D1977" s="6" t="str">
        <f>HYPERLINK(AA2 &amp; "/pencil/sn_cbefc43c808319a213a8b2a24e3fe32c/rendering/01.obj", "4.99075531006")</f>
        <v>4.99075531006</v>
      </c>
      <c r="E1977" s="23" t="str">
        <f>HYPERLINK(AA2 &amp; "/pencil/sn_cbefc43c808319a213a8b2a24e3fe32c/rendering/02.obj", "5.02343719482")</f>
        <v>5.02343719482</v>
      </c>
      <c r="F1977" s="120" t="str">
        <f>HYPERLINK(AA2 &amp; "/pencil/sn_cbefc43c808319a213a8b2a24e3fe32c/rendering/03.obj", "4.12051330566")</f>
        <v>4.12051330566</v>
      </c>
      <c r="G1977" s="107" t="str">
        <f>HYPERLINK(AA2 &amp; "/pencil/sn_cbefc43c808319a213a8b2a24e3fe32c/rendering/04.obj", "4.79446777344")</f>
        <v>4.79446777344</v>
      </c>
      <c r="H1977" s="60" t="str">
        <f>HYPERLINK(AA2 &amp; "/pencil/sn_cbefc43c808319a213a8b2a24e3fe32c/rendering/05.obj", "4.95598876953")</f>
        <v>4.95598876953</v>
      </c>
      <c r="I1977" s="117" t="str">
        <f>HYPERLINK(AA2 &amp; "/pencil/sn_cbefc43c808319a213a8b2a24e3fe32c/rendering/06.obj", "4.29849121094")</f>
        <v>4.29849121094</v>
      </c>
      <c r="J1977" s="100" t="str">
        <f>HYPERLINK(AA2 &amp; "/pencil/sn_cbefc43c808319a213a8b2a24e3fe32c/rendering/07.obj", "3.65639404297")</f>
        <v>3.65639404297</v>
      </c>
      <c r="K1977" s="55" t="str">
        <f>HYPERLINK(AA2 &amp; "/pencil/sn_cbefc43c808319a213a8b2a24e3fe32c/rendering/08.obj", "4.21264160156")</f>
        <v>4.21264160156</v>
      </c>
      <c r="L1977" s="93" t="str">
        <f>HYPERLINK(AA2 &amp; "/pencil/sn_cbefc43c808319a213a8b2a24e3fe32c/rendering/09.obj", "4.49109619141")</f>
        <v>4.49109619141</v>
      </c>
      <c r="M1977" s="20" t="str">
        <f>HYPERLINK(AA2 &amp; "/pencil/sn_cbefc43c808319a213a8b2a24e3fe32c/rendering/10.obj", "9.53197998047")</f>
        <v>9.53197998047</v>
      </c>
      <c r="N1977" s="120" t="str">
        <f>HYPERLINK(AA2 &amp; "/pencil/sn_cbefc43c808319a213a8b2a24e3fe32c/rendering/11.obj", "4.12387329102")</f>
        <v>4.12387329102</v>
      </c>
      <c r="O1977" s="134" t="str">
        <f>HYPERLINK(AA2 &amp; "/pencil/sn_cbefc43c808319a213a8b2a24e3fe32c/rendering/12.obj", "4.28542480469")</f>
        <v>4.28542480469</v>
      </c>
      <c r="P1977" s="156" t="str">
        <f>HYPERLINK(AA2 &amp; "/pencil/sn_cbefc43c808319a213a8b2a24e3fe32c/rendering/13.obj", "7.55945800781")</f>
        <v>7.55945800781</v>
      </c>
      <c r="Q1977" s="66" t="str">
        <f>HYPERLINK(AA2 &amp; "/pencil/sn_cbefc43c808319a213a8b2a24e3fe32c/rendering/14.obj", "4.38651977539")</f>
        <v>4.38651977539</v>
      </c>
      <c r="R1977" s="133" t="str">
        <f>HYPERLINK(AA2 &amp; "/pencil/sn_cbefc43c808319a213a8b2a24e3fe32c/rendering/15.obj", "4.69882995605")</f>
        <v>4.69882995605</v>
      </c>
      <c r="S1977" s="110" t="str">
        <f>HYPERLINK(AA2 &amp; "/pencil/sn_cbefc43c808319a213a8b2a24e3fe32c/rendering/16.obj", "4.71023712158")</f>
        <v>4.71023712158</v>
      </c>
      <c r="T1977" s="20" t="str">
        <f>HYPERLINK(AA2 &amp; "/pencil/sn_cbefc43c808319a213a8b2a24e3fe32c/rendering/17.obj", "11.7042419434")</f>
        <v>11.7042419434</v>
      </c>
      <c r="U1977" s="29" t="str">
        <f>HYPERLINK(AA2 &amp; "/pencil/sn_cbefc43c808319a213a8b2a24e3fe32c/rendering/18.obj", "4.54375274658")</f>
        <v>4.54375274658</v>
      </c>
      <c r="V1977" s="79" t="str">
        <f>HYPERLINK(AA2 &amp; "/pencil/sn_cbefc43c808319a213a8b2a24e3fe32c/rendering/19.obj", "4.39688018799")</f>
        <v>4.39688018799</v>
      </c>
      <c r="W1977" s="12" t="s">
        <v>29</v>
      </c>
      <c r="X1977" s="13">
        <v>5.2255108032226563</v>
      </c>
      <c r="Y1977" s="13">
        <v>1.979461683053346</v>
      </c>
      <c r="Z1977" s="101">
        <v>0.37880730852811179</v>
      </c>
    </row>
    <row r="1978" spans="1:26" x14ac:dyDescent="0.2">
      <c r="A1978" s="1">
        <v>1976</v>
      </c>
      <c r="B1978" s="2" t="s">
        <v>428</v>
      </c>
      <c r="C1978" s="246" t="str">
        <f>HYPERLINK(AA2 &amp; "/pencil/sn_cbefc43c808319a213a8b2a24e3fe32c/rendering/00.obj", "0.814179956913")</f>
        <v>0.814179956913</v>
      </c>
      <c r="D1978" s="102" t="str">
        <f>HYPERLINK(AA2 &amp; "/pencil/sn_cbefc43c808319a213a8b2a24e3fe32c/rendering/01.obj", "1.05253899097")</f>
        <v>1.05253899097</v>
      </c>
      <c r="E1978" s="187" t="str">
        <f>HYPERLINK(AA2 &amp; "/pencil/sn_cbefc43c808319a213a8b2a24e3fe32c/rendering/02.obj", "1.35971033573")</f>
        <v>1.35971033573</v>
      </c>
      <c r="F1978" s="214" t="str">
        <f>HYPERLINK(AA2 &amp; "/pencil/sn_cbefc43c808319a213a8b2a24e3fe32c/rendering/03.obj", "0.802362084389")</f>
        <v>0.802362084389</v>
      </c>
      <c r="G1978" s="148" t="str">
        <f>HYPERLINK(AA2 &amp; "/pencil/sn_cbefc43c808319a213a8b2a24e3fe32c/rendering/04.obj", "1.08080983162")</f>
        <v>1.08080983162</v>
      </c>
      <c r="H1978" s="244" t="str">
        <f>HYPERLINK(AA2 &amp; "/pencil/sn_cbefc43c808319a213a8b2a24e3fe32c/rendering/05.obj", "0.811829209328")</f>
        <v>0.811829209328</v>
      </c>
      <c r="I1978" s="195" t="str">
        <f>HYPERLINK(AA2 &amp; "/pencil/sn_cbefc43c808319a213a8b2a24e3fe32c/rendering/06.obj", "0.949090361595")</f>
        <v>0.949090361595</v>
      </c>
      <c r="J1978" s="226" t="str">
        <f>HYPERLINK(AA2 &amp; "/pencil/sn_cbefc43c808319a213a8b2a24e3fe32c/rendering/07.obj", "0.916182994843")</f>
        <v>0.916182994843</v>
      </c>
      <c r="K1978" s="186" t="str">
        <f>HYPERLINK(AA2 &amp; "/pencil/sn_cbefc43c808319a213a8b2a24e3fe32c/rendering/08.obj", "0.8378226161")</f>
        <v>0.8378226161</v>
      </c>
      <c r="L1978" s="256" t="str">
        <f>HYPERLINK(AA2 &amp; "/pencil/sn_cbefc43c808319a213a8b2a24e3fe32c/rendering/09.obj", "0.793588876724")</f>
        <v>0.793588876724</v>
      </c>
      <c r="M1978" s="20" t="str">
        <f>HYPERLINK(AA2 &amp; "/pencil/sn_cbefc43c808319a213a8b2a24e3fe32c/rendering/10.obj", "7.54683828354")</f>
        <v>7.54683828354</v>
      </c>
      <c r="N1978" s="150" t="str">
        <f>HYPERLINK(AA2 &amp; "/pencil/sn_cbefc43c808319a213a8b2a24e3fe32c/rendering/11.obj", "0.966896593571")</f>
        <v>0.966896593571</v>
      </c>
      <c r="O1978" s="9" t="str">
        <f>HYPERLINK(AA2 &amp; "/pencil/sn_cbefc43c808319a213a8b2a24e3fe32c/rendering/12.obj", "0.719465374947")</f>
        <v>0.719465374947</v>
      </c>
      <c r="P1978" s="20" t="str">
        <f>HYPERLINK(AA2 &amp; "/pencil/sn_cbefc43c808319a213a8b2a24e3fe32c/rendering/13.obj", "6.77841615677")</f>
        <v>6.77841615677</v>
      </c>
      <c r="Q1978" s="160" t="str">
        <f>HYPERLINK(AA2 &amp; "/pencil/sn_cbefc43c808319a213a8b2a24e3fe32c/rendering/14.obj", "0.989451289177")</f>
        <v>0.989451289177</v>
      </c>
      <c r="R1978" s="104" t="str">
        <f>HYPERLINK(AA2 &amp; "/pencil/sn_cbefc43c808319a213a8b2a24e3fe32c/rendering/15.obj", "1.09849202633")</f>
        <v>1.09849202633</v>
      </c>
      <c r="S1978" s="123" t="str">
        <f>HYPERLINK(AA2 &amp; "/pencil/sn_cbefc43c808319a213a8b2a24e3fe32c/rendering/16.obj", "1.32369625568")</f>
        <v>1.32369625568</v>
      </c>
      <c r="T1978" s="20" t="str">
        <f>HYPERLINK(AA2 &amp; "/pencil/sn_cbefc43c808319a213a8b2a24e3fe32c/rendering/17.obj", "10.9848394394")</f>
        <v>10.9848394394</v>
      </c>
      <c r="U1978" s="144" t="str">
        <f>HYPERLINK(AA2 &amp; "/pencil/sn_cbefc43c808319a213a8b2a24e3fe32c/rendering/18.obj", "1.0398863554")</f>
        <v>1.0398863554</v>
      </c>
      <c r="V1978" s="127" t="str">
        <f>HYPERLINK(AA2 &amp; "/pencil/sn_cbefc43c808319a213a8b2a24e3fe32c/rendering/19.obj", "1.00813066959")</f>
        <v>1.00813066959</v>
      </c>
      <c r="W1978" s="12" t="s">
        <v>30</v>
      </c>
      <c r="X1978" s="13">
        <v>2.0937113851308822</v>
      </c>
      <c r="Y1978" s="13">
        <v>2.7617599426969388</v>
      </c>
      <c r="Z1978" s="20">
        <v>1.319073852447096</v>
      </c>
    </row>
    <row r="1979" spans="1:26" x14ac:dyDescent="0.2">
      <c r="A1979" s="1">
        <v>1977</v>
      </c>
      <c r="B1979" s="2" t="s">
        <v>428</v>
      </c>
      <c r="C1979" s="34" t="str">
        <f>HYPERLINK(AB2 &amp; "/pencil/sn_cbefc43c808319a213a8b2a24e3fe32c/rendering/00.obj", "3.7381048584")</f>
        <v>3.7381048584</v>
      </c>
      <c r="D1979" s="30" t="str">
        <f>HYPERLINK(AB2 &amp; "/pencil/sn_cbefc43c808319a213a8b2a24e3fe32c/rendering/01.obj", "3.9439654541")</f>
        <v>3.9439654541</v>
      </c>
      <c r="E1979" s="48" t="str">
        <f>HYPERLINK(AB2 &amp; "/pencil/sn_cbefc43c808319a213a8b2a24e3fe32c/rendering/02.obj", "4.02304321289")</f>
        <v>4.02304321289</v>
      </c>
      <c r="F1979" s="27" t="str">
        <f>HYPERLINK(AB2 &amp; "/pencil/sn_cbefc43c808319a213a8b2a24e3fe32c/rendering/03.obj", "4.19961853027")</f>
        <v>4.19961853027</v>
      </c>
      <c r="G1979" s="91" t="str">
        <f>HYPERLINK(AB2 &amp; "/pencil/sn_cbefc43c808319a213a8b2a24e3fe32c/rendering/04.obj", "4.03563140869")</f>
        <v>4.03563140869</v>
      </c>
      <c r="H1979" s="67" t="str">
        <f>HYPERLINK(AB2 &amp; "/pencil/sn_cbefc43c808319a213a8b2a24e3fe32c/rendering/05.obj", "3.56473205566")</f>
        <v>3.56473205566</v>
      </c>
      <c r="I1979" s="13" t="str">
        <f>HYPERLINK(AB2 &amp; "/pencil/sn_cbefc43c808319a213a8b2a24e3fe32c/rendering/06.obj", "3.92935577393")</f>
        <v>3.92935577393</v>
      </c>
      <c r="J1979" s="41" t="str">
        <f>HYPERLINK(AB2 &amp; "/pencil/sn_cbefc43c808319a213a8b2a24e3fe32c/rendering/07.obj", "3.65774658203")</f>
        <v>3.65774658203</v>
      </c>
      <c r="K1979" s="35" t="str">
        <f>HYPERLINK(AB2 &amp; "/pencil/sn_cbefc43c808319a213a8b2a24e3fe32c/rendering/08.obj", "3.69674133301")</f>
        <v>3.69674133301</v>
      </c>
      <c r="L1979" s="34" t="str">
        <f>HYPERLINK(AB2 &amp; "/pencil/sn_cbefc43c808319a213a8b2a24e3fe32c/rendering/09.obj", "3.7387979126")</f>
        <v>3.7387979126</v>
      </c>
      <c r="M1979" s="68" t="str">
        <f>HYPERLINK(AB2 &amp; "/pencil/sn_cbefc43c808319a213a8b2a24e3fe32c/rendering/10.obj", "3.75554321289")</f>
        <v>3.75554321289</v>
      </c>
      <c r="N1979" s="72" t="str">
        <f>HYPERLINK(AB2 &amp; "/pencil/sn_cbefc43c808319a213a8b2a24e3fe32c/rendering/11.obj", "3.79225585937")</f>
        <v>3.79225585937</v>
      </c>
      <c r="O1979" s="48" t="str">
        <f>HYPERLINK(AB2 &amp; "/pencil/sn_cbefc43c808319a213a8b2a24e3fe32c/rendering/12.obj", "4.01547485352")</f>
        <v>4.01547485352</v>
      </c>
      <c r="P1979" s="34" t="str">
        <f>HYPERLINK(AB2 &amp; "/pencil/sn_cbefc43c808319a213a8b2a24e3fe32c/rendering/13.obj", "4.11405090332")</f>
        <v>4.11405090332</v>
      </c>
      <c r="Q1979" s="91" t="str">
        <f>HYPERLINK(AB2 &amp; "/pencil/sn_cbefc43c808319a213a8b2a24e3fe32c/rendering/14.obj", "4.03260925293")</f>
        <v>4.03260925293</v>
      </c>
      <c r="R1979" s="35" t="str">
        <f>HYPERLINK(AB2 &amp; "/pencil/sn_cbefc43c808319a213a8b2a24e3fe32c/rendering/15.obj", "4.15227539063")</f>
        <v>4.15227539063</v>
      </c>
      <c r="S1979" s="47" t="str">
        <f>HYPERLINK(AB2 &amp; "/pencil/sn_cbefc43c808319a213a8b2a24e3fe32c/rendering/16.obj", "3.95388366699")</f>
        <v>3.95388366699</v>
      </c>
      <c r="T1979" s="33" t="str">
        <f>HYPERLINK(AB2 &amp; "/pencil/sn_cbefc43c808319a213a8b2a24e3fe32c/rendering/17.obj", "4.35542541504")</f>
        <v>4.35542541504</v>
      </c>
      <c r="U1979" s="23" t="str">
        <f>HYPERLINK(AB2 &amp; "/pencil/sn_cbefc43c808319a213a8b2a24e3fe32c/rendering/18.obj", "4.08148651123")</f>
        <v>4.08148651123</v>
      </c>
      <c r="V1979" s="6" t="str">
        <f>HYPERLINK(AB2 &amp; "/pencil/sn_cbefc43c808319a213a8b2a24e3fe32c/rendering/19.obj", "3.7461126709")</f>
        <v>3.7461126709</v>
      </c>
      <c r="W1979" s="12" t="s">
        <v>31</v>
      </c>
      <c r="X1979" s="13">
        <v>3.926342742919922</v>
      </c>
      <c r="Y1979" s="13">
        <v>0.20206626969470909</v>
      </c>
      <c r="Z1979" s="60">
        <v>5.1464246227377893E-2</v>
      </c>
    </row>
    <row r="1980" spans="1:26" x14ac:dyDescent="0.2">
      <c r="A1980" s="1">
        <v>1978</v>
      </c>
      <c r="B1980" s="2" t="s">
        <v>428</v>
      </c>
      <c r="C1980" s="134" t="str">
        <f>HYPERLINK(AB2 &amp; "/pencil/sn_cbefc43c808319a213a8b2a24e3fe32c/rendering/00.obj", "0.684670746326")</f>
        <v>0.684670746326</v>
      </c>
      <c r="D1980" s="51" t="str">
        <f>HYPERLINK(AB2 &amp; "/pencil/sn_cbefc43c808319a213a8b2a24e3fe32c/rendering/01.obj", "0.902021825314")</f>
        <v>0.902021825314</v>
      </c>
      <c r="E1980" s="83" t="str">
        <f>HYPERLINK(AB2 &amp; "/pencil/sn_cbefc43c808319a213a8b2a24e3fe32c/rendering/02.obj", "0.707977414131")</f>
        <v>0.707977414131</v>
      </c>
      <c r="F1980" s="66" t="str">
        <f>HYPERLINK(AB2 &amp; "/pencil/sn_cbefc43c808319a213a8b2a24e3fe32c/rendering/03.obj", "0.699917197227")</f>
        <v>0.699917197227</v>
      </c>
      <c r="G1980" s="10" t="str">
        <f>HYPERLINK(AB2 &amp; "/pencil/sn_cbefc43c808319a213a8b2a24e3fe32c/rendering/04.obj", "0.881782889366")</f>
        <v>0.881782889366</v>
      </c>
      <c r="H1980" s="91" t="str">
        <f>HYPERLINK(AB2 &amp; "/pencil/sn_cbefc43c808319a213a8b2a24e3fe32c/rendering/05.obj", "0.858280718327")</f>
        <v>0.858280718327</v>
      </c>
      <c r="I1980" s="109" t="str">
        <f>HYPERLINK(AB2 &amp; "/pencil/sn_cbefc43c808319a213a8b2a24e3fe32c/rendering/06.obj", "0.676718533039")</f>
        <v>0.676718533039</v>
      </c>
      <c r="J1980" s="94" t="str">
        <f>HYPERLINK(AB2 &amp; "/pencil/sn_cbefc43c808319a213a8b2a24e3fe32c/rendering/07.obj", "0.773178517818")</f>
        <v>0.773178517818</v>
      </c>
      <c r="K1980" s="55" t="str">
        <f>HYPERLINK(AB2 &amp; "/pencil/sn_cbefc43c808319a213a8b2a24e3fe32c/rendering/08.obj", "0.674525201321")</f>
        <v>0.674525201321</v>
      </c>
      <c r="L1980" s="17" t="str">
        <f>HYPERLINK(AB2 &amp; "/pencil/sn_cbefc43c808319a213a8b2a24e3fe32c/rendering/09.obj", "0.819086909294")</f>
        <v>0.819086909294</v>
      </c>
      <c r="M1980" s="92" t="str">
        <f>HYPERLINK(AB2 &amp; "/pencil/sn_cbefc43c808319a213a8b2a24e3fe32c/rendering/10.obj", "0.938894450665")</f>
        <v>0.938894450665</v>
      </c>
      <c r="N1980" s="198" t="str">
        <f>HYPERLINK(AB2 &amp; "/pencil/sn_cbefc43c808319a213a8b2a24e3fe32c/rendering/11.obj", "1.15944933891")</f>
        <v>1.15944933891</v>
      </c>
      <c r="O1980" s="51" t="str">
        <f>HYPERLINK(AB2 &amp; "/pencil/sn_cbefc43c808319a213a8b2a24e3fe32c/rendering/12.obj", "0.768873035908")</f>
        <v>0.768873035908</v>
      </c>
      <c r="P1980" s="28" t="str">
        <f>HYPERLINK(AB2 &amp; "/pencil/sn_cbefc43c808319a213a8b2a24e3fe32c/rendering/13.obj", "0.929208934307")</f>
        <v>0.929208934307</v>
      </c>
      <c r="Q1980" s="51" t="str">
        <f>HYPERLINK(AB2 &amp; "/pencil/sn_cbefc43c808319a213a8b2a24e3fe32c/rendering/14.obj", "0.768247127533")</f>
        <v>0.768247127533</v>
      </c>
      <c r="R1980" s="10" t="str">
        <f>HYPERLINK(AB2 &amp; "/pencil/sn_cbefc43c808319a213a8b2a24e3fe32c/rendering/15.obj", "0.788465619087")</f>
        <v>0.788465619087</v>
      </c>
      <c r="S1980" s="87" t="str">
        <f>HYPERLINK(AB2 &amp; "/pencil/sn_cbefc43c808319a213a8b2a24e3fe32c/rendering/16.obj", "1.02557528019")</f>
        <v>1.02557528019</v>
      </c>
      <c r="T1980" s="116" t="str">
        <f>HYPERLINK(AB2 &amp; "/pencil/sn_cbefc43c808319a213a8b2a24e3fe32c/rendering/17.obj", "1.199239254")</f>
        <v>1.199239254</v>
      </c>
      <c r="U1980" s="83" t="str">
        <f>HYPERLINK(AB2 &amp; "/pencil/sn_cbefc43c808319a213a8b2a24e3fe32c/rendering/18.obj", "0.707695603371")</f>
        <v>0.707695603371</v>
      </c>
      <c r="V1980" s="71" t="str">
        <f>HYPERLINK(AB2 &amp; "/pencil/sn_cbefc43c808319a213a8b2a24e3fe32c/rendering/19.obj", "0.73586833477")</f>
        <v>0.73586833477</v>
      </c>
      <c r="W1980" s="12" t="s">
        <v>32</v>
      </c>
      <c r="X1980" s="13">
        <v>0.8349838465452194</v>
      </c>
      <c r="Y1980" s="13">
        <v>0.1500062387828365</v>
      </c>
      <c r="Z1980" s="134">
        <v>0.17965166560226711</v>
      </c>
    </row>
    <row r="1981" spans="1:26" x14ac:dyDescent="0.2">
      <c r="A1981" s="1">
        <v>1979</v>
      </c>
      <c r="B1981" s="2" t="s">
        <v>428</v>
      </c>
      <c r="C1981" s="13" t="str">
        <f>HYPERLINK(AC2 &amp; "/pencil/sn_cbefc43c808319a213a8b2a24e3fe32c/rendering/00.xyz", "0.0")</f>
        <v>0.0</v>
      </c>
      <c r="D1981" s="13" t="str">
        <f>HYPERLINK(AC2 &amp; "/pencil/sn_cbefc43c808319a213a8b2a24e3fe32c/rendering/01.xyz", "0.0")</f>
        <v>0.0</v>
      </c>
      <c r="E1981" s="13" t="str">
        <f>HYPERLINK(AC2 &amp; "/pencil/sn_cbefc43c808319a213a8b2a24e3fe32c/rendering/02.xyz", "0.0")</f>
        <v>0.0</v>
      </c>
      <c r="F1981" s="13" t="str">
        <f>HYPERLINK(AC2 &amp; "/pencil/sn_cbefc43c808319a213a8b2a24e3fe32c/rendering/03.xyz", "0.0")</f>
        <v>0.0</v>
      </c>
      <c r="G1981" s="13" t="str">
        <f>HYPERLINK(AC2 &amp; "/pencil/sn_cbefc43c808319a213a8b2a24e3fe32c/rendering/04.xyz", "0.0")</f>
        <v>0.0</v>
      </c>
      <c r="H1981" s="13" t="str">
        <f>HYPERLINK(AC2 &amp; "/pencil/sn_cbefc43c808319a213a8b2a24e3fe32c/rendering/05.xyz", "0.0")</f>
        <v>0.0</v>
      </c>
      <c r="I1981" s="13" t="str">
        <f>HYPERLINK(AC2 &amp; "/pencil/sn_cbefc43c808319a213a8b2a24e3fe32c/rendering/06.xyz", "0.0")</f>
        <v>0.0</v>
      </c>
      <c r="J1981" s="13" t="str">
        <f>HYPERLINK(AC2 &amp; "/pencil/sn_cbefc43c808319a213a8b2a24e3fe32c/rendering/07.xyz", "0.0")</f>
        <v>0.0</v>
      </c>
      <c r="K1981" s="13" t="str">
        <f>HYPERLINK(AC2 &amp; "/pencil/sn_cbefc43c808319a213a8b2a24e3fe32c/rendering/08.xyz", "0.0")</f>
        <v>0.0</v>
      </c>
      <c r="L1981" s="13" t="str">
        <f>HYPERLINK(AC2 &amp; "/pencil/sn_cbefc43c808319a213a8b2a24e3fe32c/rendering/09.xyz", "0.0")</f>
        <v>0.0</v>
      </c>
      <c r="M1981" s="13" t="str">
        <f>HYPERLINK(AC2 &amp; "/pencil/sn_cbefc43c808319a213a8b2a24e3fe32c/rendering/10.xyz", "0.0")</f>
        <v>0.0</v>
      </c>
      <c r="N1981" s="13" t="str">
        <f>HYPERLINK(AC2 &amp; "/pencil/sn_cbefc43c808319a213a8b2a24e3fe32c/rendering/11.xyz", "0.0")</f>
        <v>0.0</v>
      </c>
      <c r="O1981" s="13" t="str">
        <f>HYPERLINK(AC2 &amp; "/pencil/sn_cbefc43c808319a213a8b2a24e3fe32c/rendering/12.xyz", "0.0")</f>
        <v>0.0</v>
      </c>
      <c r="P1981" s="13" t="str">
        <f>HYPERLINK(AC2 &amp; "/pencil/sn_cbefc43c808319a213a8b2a24e3fe32c/rendering/13.xyz", "0.0")</f>
        <v>0.0</v>
      </c>
      <c r="Q1981" s="13" t="str">
        <f>HYPERLINK(AC2 &amp; "/pencil/sn_cbefc43c808319a213a8b2a24e3fe32c/rendering/14.xyz", "0.0")</f>
        <v>0.0</v>
      </c>
      <c r="R1981" s="13" t="str">
        <f>HYPERLINK(AC2 &amp; "/pencil/sn_cbefc43c808319a213a8b2a24e3fe32c/rendering/15.xyz", "0.0")</f>
        <v>0.0</v>
      </c>
      <c r="S1981" s="13" t="str">
        <f>HYPERLINK(AC2 &amp; "/pencil/sn_cbefc43c808319a213a8b2a24e3fe32c/rendering/16.xyz", "0.0")</f>
        <v>0.0</v>
      </c>
      <c r="T1981" s="13" t="str">
        <f>HYPERLINK(AC2 &amp; "/pencil/sn_cbefc43c808319a213a8b2a24e3fe32c/rendering/17.xyz", "0.0")</f>
        <v>0.0</v>
      </c>
      <c r="U1981" s="13" t="str">
        <f>HYPERLINK(AC2 &amp; "/pencil/sn_cbefc43c808319a213a8b2a24e3fe32c/rendering/18.xyz", "0.0")</f>
        <v>0.0</v>
      </c>
      <c r="V1981" s="13" t="str">
        <f>HYPERLINK(AC2 &amp; "/pencil/sn_cbefc43c808319a213a8b2a24e3fe32c/rendering/19.xyz", "0.0")</f>
        <v>0.0</v>
      </c>
      <c r="W1981" s="12" t="s">
        <v>33</v>
      </c>
      <c r="X1981" s="13">
        <v>0</v>
      </c>
      <c r="Y1981" s="13">
        <v>0</v>
      </c>
      <c r="Z1981" s="13">
        <v>0</v>
      </c>
    </row>
    <row r="1982" spans="1:26" x14ac:dyDescent="0.2">
      <c r="A1982" s="1">
        <v>1980</v>
      </c>
      <c r="B1982" s="2" t="s">
        <v>429</v>
      </c>
      <c r="C1982" s="48" t="str">
        <f>HYPERLINK(AA2 &amp; "/pencil/sn_cc2a0422943c718a35aa93e8e984ad46/rendering/00.obj", "3.96541320801")</f>
        <v>3.96541320801</v>
      </c>
      <c r="D1982" s="27" t="str">
        <f>HYPERLINK(AA2 &amp; "/pencil/sn_cc2a0422943c718a35aa93e8e984ad46/rendering/01.obj", "4.15112609863")</f>
        <v>4.15112609863</v>
      </c>
      <c r="E1982" s="10" t="str">
        <f>HYPERLINK(AA2 &amp; "/pencil/sn_cc2a0422943c718a35aa93e8e984ad46/rendering/02.obj", "3.65558837891")</f>
        <v>3.65558837891</v>
      </c>
      <c r="F1982" s="47" t="str">
        <f>HYPERLINK(AA2 &amp; "/pencil/sn_cc2a0422943c718a35aa93e8e984ad46/rendering/03.obj", "3.89961853027")</f>
        <v>3.89961853027</v>
      </c>
      <c r="G1982" s="74" t="str">
        <f>HYPERLINK(AA2 &amp; "/pencil/sn_cc2a0422943c718a35aa93e8e984ad46/rendering/04.obj", "3.8161529541")</f>
        <v>3.8161529541</v>
      </c>
      <c r="H1982" s="47" t="str">
        <f>HYPERLINK(AA2 &amp; "/pencil/sn_cc2a0422943c718a35aa93e8e984ad46/rendering/05.obj", "3.90733154297")</f>
        <v>3.90733154297</v>
      </c>
      <c r="I1982" s="23" t="str">
        <f>HYPERLINK(AA2 &amp; "/pencil/sn_cc2a0422943c718a35aa93e8e984ad46/rendering/06.obj", "3.72556091309")</f>
        <v>3.72556091309</v>
      </c>
      <c r="J1982" s="25" t="str">
        <f>HYPERLINK(AA2 &amp; "/pencil/sn_cc2a0422943c718a35aa93e8e984ad46/rendering/07.obj", "3.82557373047")</f>
        <v>3.82557373047</v>
      </c>
      <c r="K1982" s="47" t="str">
        <f>HYPERLINK(AA2 &amp; "/pencil/sn_cc2a0422943c718a35aa93e8e984ad46/rendering/08.obj", "3.89951751709")</f>
        <v>3.89951751709</v>
      </c>
      <c r="L1982" s="73" t="str">
        <f>HYPERLINK(AA2 &amp; "/pencil/sn_cc2a0422943c718a35aa93e8e984ad46/rendering/09.obj", "4.01139129639")</f>
        <v>4.01139129639</v>
      </c>
      <c r="M1982" s="41" t="str">
        <f>HYPERLINK(AA2 &amp; "/pencil/sn_cc2a0422943c718a35aa93e8e984ad46/rendering/10.obj", "4.12919372559")</f>
        <v>4.12919372559</v>
      </c>
      <c r="N1982" s="73" t="str">
        <f>HYPERLINK(AA2 &amp; "/pencil/sn_cc2a0422943c718a35aa93e8e984ad46/rendering/11.obj", "4.0105090332")</f>
        <v>4.0105090332</v>
      </c>
      <c r="O1982" s="35" t="str">
        <f>HYPERLINK(AA2 &amp; "/pencil/sn_cc2a0422943c718a35aa93e8e984ad46/rendering/12.obj", "4.09841644287")</f>
        <v>4.09841644287</v>
      </c>
      <c r="P1982" s="13" t="str">
        <f>HYPERLINK(AA2 &amp; "/pencil/sn_cc2a0422943c718a35aa93e8e984ad46/rendering/13.obj", "3.8640423584")</f>
        <v>3.8640423584</v>
      </c>
      <c r="Q1982" s="47" t="str">
        <f>HYPERLINK(AA2 &amp; "/pencil/sn_cc2a0422943c718a35aa93e8e984ad46/rendering/14.obj", "3.83793670654")</f>
        <v>3.83793670654</v>
      </c>
      <c r="R1982" s="30" t="str">
        <f>HYPERLINK(AA2 &amp; "/pencil/sn_cc2a0422943c718a35aa93e8e984ad46/rendering/15.obj", "3.85220397949")</f>
        <v>3.85220397949</v>
      </c>
      <c r="S1982" s="72" t="str">
        <f>HYPERLINK(AA2 &amp; "/pencil/sn_cc2a0422943c718a35aa93e8e984ad46/rendering/16.obj", "3.74925872803")</f>
        <v>3.74925872803</v>
      </c>
      <c r="T1982" s="10" t="str">
        <f>HYPERLINK(AA2 &amp; "/pencil/sn_cc2a0422943c718a35aa93e8e984ad46/rendering/17.obj", "3.65682556152")</f>
        <v>3.65682556152</v>
      </c>
      <c r="U1982" s="35" t="str">
        <f>HYPERLINK(AA2 &amp; "/pencil/sn_cc2a0422943c718a35aa93e8e984ad46/rendering/18.obj", "3.65228027344")</f>
        <v>3.65228027344</v>
      </c>
      <c r="V1982" s="69" t="str">
        <f>HYPERLINK(AA2 &amp; "/pencil/sn_cc2a0422943c718a35aa93e8e984ad46/rendering/19.obj", "3.76172607422")</f>
        <v>3.76172607422</v>
      </c>
      <c r="W1982" s="12" t="s">
        <v>29</v>
      </c>
      <c r="X1982" s="13">
        <v>3.873483352661133</v>
      </c>
      <c r="Y1982" s="13">
        <v>0.14872124522088251</v>
      </c>
      <c r="Z1982" s="23">
        <v>3.8394703598947727E-2</v>
      </c>
    </row>
    <row r="1983" spans="1:26" x14ac:dyDescent="0.2">
      <c r="A1983" s="1">
        <v>1981</v>
      </c>
      <c r="B1983" s="2" t="s">
        <v>429</v>
      </c>
      <c r="C1983" s="73" t="str">
        <f>HYPERLINK(AA2 &amp; "/pencil/sn_cc2a0422943c718a35aa93e8e984ad46/rendering/00.obj", "0.704070329666")</f>
        <v>0.704070329666</v>
      </c>
      <c r="D1983" s="100" t="str">
        <f>HYPERLINK(AA2 &amp; "/pencil/sn_cc2a0422943c718a35aa93e8e984ad46/rendering/01.obj", "0.949986457825")</f>
        <v>0.949986457825</v>
      </c>
      <c r="E1983" s="60" t="str">
        <f>HYPERLINK(AA2 &amp; "/pencil/sn_cc2a0422943c718a35aa93e8e984ad46/rendering/02.obj", "0.694301426411")</f>
        <v>0.694301426411</v>
      </c>
      <c r="F1983" s="135" t="str">
        <f>HYPERLINK(AA2 &amp; "/pencil/sn_cc2a0422943c718a35aa93e8e984ad46/rendering/03.obj", "0.918411791325")</f>
        <v>0.918411791325</v>
      </c>
      <c r="G1983" s="5" t="str">
        <f>HYPERLINK(AA2 &amp; "/pencil/sn_cc2a0422943c718a35aa93e8e984ad46/rendering/04.obj", "0.787665069103")</f>
        <v>0.787665069103</v>
      </c>
      <c r="H1983" s="47" t="str">
        <f>HYPERLINK(AA2 &amp; "/pencil/sn_cc2a0422943c718a35aa93e8e984ad46/rendering/05.obj", "0.72655749321")</f>
        <v>0.72655749321</v>
      </c>
      <c r="I1983" s="33" t="str">
        <f>HYPERLINK(AA2 &amp; "/pencil/sn_cc2a0422943c718a35aa93e8e984ad46/rendering/06.obj", "0.652176558971")</f>
        <v>0.652176558971</v>
      </c>
      <c r="J1983" s="39" t="str">
        <f>HYPERLINK(AA2 &amp; "/pencil/sn_cc2a0422943c718a35aa93e8e984ad46/rendering/07.obj", "0.667887747288")</f>
        <v>0.667887747288</v>
      </c>
      <c r="K1983" s="41" t="str">
        <f>HYPERLINK(AA2 &amp; "/pencil/sn_cc2a0422943c718a35aa93e8e984ad46/rendering/08.obj", "0.6810079813")</f>
        <v>0.6810079813</v>
      </c>
      <c r="L1983" s="107" t="str">
        <f>HYPERLINK(AA2 &amp; "/pencil/sn_cc2a0422943c718a35aa93e8e984ad46/rendering/09.obj", "0.671243071556")</f>
        <v>0.671243071556</v>
      </c>
      <c r="M1983" s="24" t="str">
        <f>HYPERLINK(AA2 &amp; "/pencil/sn_cc2a0422943c718a35aa93e8e984ad46/rendering/10.obj", "0.854097545147")</f>
        <v>0.854097545147</v>
      </c>
      <c r="N1983" s="100" t="str">
        <f>HYPERLINK(AA2 &amp; "/pencil/sn_cc2a0422943c718a35aa93e8e984ad46/rendering/11.obj", "0.950478553772")</f>
        <v>0.950478553772</v>
      </c>
      <c r="O1983" s="23" t="str">
        <f>HYPERLINK(AA2 &amp; "/pencil/sn_cc2a0422943c718a35aa93e8e984ad46/rendering/12.obj", "0.760849058628")</f>
        <v>0.760849058628</v>
      </c>
      <c r="P1983" s="38" t="str">
        <f>HYPERLINK(AA2 &amp; "/pencil/sn_cc2a0422943c718a35aa93e8e984ad46/rendering/13.obj", "0.666181087494")</f>
        <v>0.666181087494</v>
      </c>
      <c r="Q1983" s="42" t="str">
        <f>HYPERLINK(AA2 &amp; "/pencil/sn_cc2a0422943c718a35aa93e8e984ad46/rendering/14.obj", "0.630935966969")</f>
        <v>0.630935966969</v>
      </c>
      <c r="R1983" s="26" t="str">
        <f>HYPERLINK(AA2 &amp; "/pencil/sn_cc2a0422943c718a35aa93e8e984ad46/rendering/15.obj", "0.68431198597")</f>
        <v>0.68431198597</v>
      </c>
      <c r="S1983" s="71" t="str">
        <f>HYPERLINK(AA2 &amp; "/pencil/sn_cc2a0422943c718a35aa93e8e984ad46/rendering/16.obj", "0.644285976887")</f>
        <v>0.644285976887</v>
      </c>
      <c r="T1983" s="63" t="str">
        <f>HYPERLINK(AA2 &amp; "/pencil/sn_cc2a0422943c718a35aa93e8e984ad46/rendering/17.obj", "0.643792033195")</f>
        <v>0.643792033195</v>
      </c>
      <c r="U1983" s="78" t="str">
        <f>HYPERLINK(AA2 &amp; "/pencil/sn_cc2a0422943c718a35aa93e8e984ad46/rendering/18.obj", "0.685734689236")</f>
        <v>0.685734689236</v>
      </c>
      <c r="V1983" s="33" t="str">
        <f>HYPERLINK(AA2 &amp; "/pencil/sn_cc2a0422943c718a35aa93e8e984ad46/rendering/19.obj", "0.651363313198")</f>
        <v>0.651363313198</v>
      </c>
      <c r="W1983" s="12" t="s">
        <v>30</v>
      </c>
      <c r="X1983" s="13">
        <v>0.73126690685749052</v>
      </c>
      <c r="Y1983" s="13">
        <v>0.1021690382017521</v>
      </c>
      <c r="Z1983" s="93">
        <v>0.13971511255829719</v>
      </c>
    </row>
    <row r="1984" spans="1:26" x14ac:dyDescent="0.2">
      <c r="A1984" s="1">
        <v>1982</v>
      </c>
      <c r="B1984" s="2" t="s">
        <v>429</v>
      </c>
      <c r="C1984" s="48" t="str">
        <f>HYPERLINK(AB2 &amp; "/pencil/sn_cc2a0422943c718a35aa93e8e984ad46/rendering/00.obj", "5.79359436035")</f>
        <v>5.79359436035</v>
      </c>
      <c r="D1984" s="48" t="str">
        <f>HYPERLINK(AB2 &amp; "/pencil/sn_cc2a0422943c718a35aa93e8e984ad46/rendering/01.obj", "5.52989196777")</f>
        <v>5.52989196777</v>
      </c>
      <c r="E1984" s="69" t="str">
        <f>HYPERLINK(AB2 &amp; "/pencil/sn_cc2a0422943c718a35aa93e8e984ad46/rendering/02.obj", "5.49271850586")</f>
        <v>5.49271850586</v>
      </c>
      <c r="F1984" s="74" t="str">
        <f>HYPERLINK(AB2 &amp; "/pencil/sn_cc2a0422943c718a35aa93e8e984ad46/rendering/03.obj", "5.74348999023")</f>
        <v>5.74348999023</v>
      </c>
      <c r="G1984" s="13" t="str">
        <f>HYPERLINK(AB2 &amp; "/pencil/sn_cc2a0422943c718a35aa93e8e984ad46/rendering/04.obj", "5.6535168457")</f>
        <v>5.6535168457</v>
      </c>
      <c r="H1984" s="72" t="str">
        <f>HYPERLINK(AB2 &amp; "/pencil/sn_cc2a0422943c718a35aa93e8e984ad46/rendering/05.obj", "5.84370300293")</f>
        <v>5.84370300293</v>
      </c>
      <c r="I1984" s="72" t="str">
        <f>HYPERLINK(AB2 &amp; "/pencil/sn_cc2a0422943c718a35aa93e8e984ad46/rendering/06.obj", "5.47653259277")</f>
        <v>5.47653259277</v>
      </c>
      <c r="J1984" s="91" t="str">
        <f>HYPERLINK(AB2 &amp; "/pencil/sn_cc2a0422943c718a35aa93e8e984ad46/rendering/07.obj", "5.52201416016")</f>
        <v>5.52201416016</v>
      </c>
      <c r="K1984" s="17" t="str">
        <f>HYPERLINK(AB2 &amp; "/pencil/sn_cc2a0422943c718a35aa93e8e984ad46/rendering/08.obj", "5.78832641602")</f>
        <v>5.78832641602</v>
      </c>
      <c r="L1984" s="72" t="str">
        <f>HYPERLINK(AB2 &amp; "/pencil/sn_cc2a0422943c718a35aa93e8e984ad46/rendering/09.obj", "5.85731933594")</f>
        <v>5.85731933594</v>
      </c>
      <c r="M1984" s="46" t="str">
        <f>HYPERLINK(AB2 &amp; "/pencil/sn_cc2a0422943c718a35aa93e8e984ad46/rendering/10.obj", "5.75860473633")</f>
        <v>5.75860473633</v>
      </c>
      <c r="N1984" s="17" t="str">
        <f>HYPERLINK(AB2 &amp; "/pencil/sn_cc2a0422943c718a35aa93e8e984ad46/rendering/11.obj", "5.55499389648")</f>
        <v>5.55499389648</v>
      </c>
      <c r="O1984" s="48" t="str">
        <f>HYPERLINK(AB2 &amp; "/pencil/sn_cc2a0422943c718a35aa93e8e984ad46/rendering/12.obj", "5.7899798584")</f>
        <v>5.7899798584</v>
      </c>
      <c r="P1984" s="69" t="str">
        <f>HYPERLINK(AB2 &amp; "/pencil/sn_cc2a0422943c718a35aa93e8e984ad46/rendering/13.obj", "5.83733154297")</f>
        <v>5.83733154297</v>
      </c>
      <c r="Q1984" s="91" t="str">
        <f>HYPERLINK(AB2 &amp; "/pencil/sn_cc2a0422943c718a35aa93e8e984ad46/rendering/14.obj", "5.51471984863")</f>
        <v>5.51471984863</v>
      </c>
      <c r="R1984" s="5" t="str">
        <f>HYPERLINK(AB2 &amp; "/pencil/sn_cc2a0422943c718a35aa93e8e984ad46/rendering/15.obj", "5.22220336914")</f>
        <v>5.22220336914</v>
      </c>
      <c r="S1984" s="69" t="str">
        <f>HYPERLINK(AB2 &amp; "/pencil/sn_cc2a0422943c718a35aa93e8e984ad46/rendering/16.obj", "5.82689941406")</f>
        <v>5.82689941406</v>
      </c>
      <c r="T1984" s="47" t="str">
        <f>HYPERLINK(AB2 &amp; "/pencil/sn_cc2a0422943c718a35aa93e8e984ad46/rendering/17.obj", "5.71060546875")</f>
        <v>5.71060546875</v>
      </c>
      <c r="U1984" s="25" t="str">
        <f>HYPERLINK(AB2 &amp; "/pencil/sn_cc2a0422943c718a35aa93e8e984ad46/rendering/18.obj", "5.60467041016")</f>
        <v>5.60467041016</v>
      </c>
      <c r="V1984" s="17" t="str">
        <f>HYPERLINK(AB2 &amp; "/pencil/sn_cc2a0422943c718a35aa93e8e984ad46/rendering/19.obj", "5.77700683594")</f>
        <v>5.77700683594</v>
      </c>
      <c r="W1984" s="12" t="s">
        <v>31</v>
      </c>
      <c r="X1984" s="13">
        <v>5.6649061279296884</v>
      </c>
      <c r="Y1984" s="13">
        <v>0.16434271241962789</v>
      </c>
      <c r="Z1984" s="69">
        <v>2.901066826321606E-2</v>
      </c>
    </row>
    <row r="1985" spans="1:26" x14ac:dyDescent="0.2">
      <c r="A1985" s="1">
        <v>1983</v>
      </c>
      <c r="B1985" s="2" t="s">
        <v>429</v>
      </c>
      <c r="C1985" s="109" t="str">
        <f>HYPERLINK(AB2 &amp; "/pencil/sn_cc2a0422943c718a35aa93e8e984ad46/rendering/00.obj", "0.799496412277")</f>
        <v>0.799496412277</v>
      </c>
      <c r="D1985" s="70" t="str">
        <f>HYPERLINK(AB2 &amp; "/pencil/sn_cc2a0422943c718a35aa93e8e984ad46/rendering/01.obj", "1.11136853695")</f>
        <v>1.11136853695</v>
      </c>
      <c r="E1985" s="70" t="str">
        <f>HYPERLINK(AB2 &amp; "/pencil/sn_cc2a0422943c718a35aa93e8e984ad46/rendering/02.obj", "0.860867500305")</f>
        <v>0.860867500305</v>
      </c>
      <c r="F1985" s="38" t="str">
        <f>HYPERLINK(AB2 &amp; "/pencil/sn_cc2a0422943c718a35aa93e8e984ad46/rendering/03.obj", "1.07341480255")</f>
        <v>1.07341480255</v>
      </c>
      <c r="G1985" s="35" t="str">
        <f>HYPERLINK(AB2 &amp; "/pencil/sn_cc2a0422943c718a35aa93e8e984ad46/rendering/04.obj", "1.04273366928")</f>
        <v>1.04273366928</v>
      </c>
      <c r="H1985" s="84" t="str">
        <f>HYPERLINK(AB2 &amp; "/pencil/sn_cc2a0422943c718a35aa93e8e984ad46/rendering/05.obj", "1.12911081314")</f>
        <v>1.12911081314</v>
      </c>
      <c r="I1985" s="77" t="str">
        <f>HYPERLINK(AB2 &amp; "/pencil/sn_cc2a0422943c718a35aa93e8e984ad46/rendering/06.obj", "0.801922380924")</f>
        <v>0.801922380924</v>
      </c>
      <c r="J1985" s="133" t="str">
        <f>HYPERLINK(AB2 &amp; "/pencil/sn_cc2a0422943c718a35aa93e8e984ad46/rendering/07.obj", "0.883225798607")</f>
        <v>0.883225798607</v>
      </c>
      <c r="K1985" s="74" t="str">
        <f>HYPERLINK(AB2 &amp; "/pencil/sn_cc2a0422943c718a35aa93e8e984ad46/rendering/08.obj", "0.998042583466")</f>
        <v>0.998042583466</v>
      </c>
      <c r="L1985" s="27" t="str">
        <f>HYPERLINK(AB2 &amp; "/pencil/sn_cc2a0422943c718a35aa93e8e984ad46/rendering/09.obj", "1.05538809299")</f>
        <v>1.05538809299</v>
      </c>
      <c r="M1985" s="41" t="str">
        <f>HYPERLINK(AB2 &amp; "/pencil/sn_cc2a0422943c718a35aa93e8e984ad46/rendering/10.obj", "1.052495718")</f>
        <v>1.052495718</v>
      </c>
      <c r="N1985" s="34" t="str">
        <f>HYPERLINK(AB2 &amp; "/pencil/sn_cc2a0422943c718a35aa93e8e984ad46/rendering/11.obj", "0.937326669693")</f>
        <v>0.937326669693</v>
      </c>
      <c r="O1985" s="46" t="str">
        <f>HYPERLINK(AB2 &amp; "/pencil/sn_cc2a0422943c718a35aa93e8e984ad46/rendering/12.obj", "0.96828430891")</f>
        <v>0.96828430891</v>
      </c>
      <c r="P1985" s="70" t="str">
        <f>HYPERLINK(AB2 &amp; "/pencil/sn_cc2a0422943c718a35aa93e8e984ad46/rendering/13.obj", "0.85922062397")</f>
        <v>0.85922062397</v>
      </c>
      <c r="Q1985" s="48" t="str">
        <f>HYPERLINK(AB2 &amp; "/pencil/sn_cc2a0422943c718a35aa93e8e984ad46/rendering/14.obj", "1.00961911678")</f>
        <v>1.00961911678</v>
      </c>
      <c r="R1985" s="55" t="str">
        <f>HYPERLINK(AB2 &amp; "/pencil/sn_cc2a0422943c718a35aa93e8e984ad46/rendering/15.obj", "0.794817149639")</f>
        <v>0.794817149639</v>
      </c>
      <c r="S1985" s="90" t="str">
        <f>HYPERLINK(AB2 &amp; "/pencil/sn_cc2a0422943c718a35aa93e8e984ad46/rendering/16.obj", "1.08031964302")</f>
        <v>1.08031964302</v>
      </c>
      <c r="T1985" s="28" t="str">
        <f>HYPERLINK(AB2 &amp; "/pencil/sn_cc2a0422943c718a35aa93e8e984ad46/rendering/17.obj", "1.09606719017")</f>
        <v>1.09606719017</v>
      </c>
      <c r="U1985" s="69" t="str">
        <f>HYPERLINK(AB2 &amp; "/pencil/sn_cc2a0422943c718a35aa93e8e984ad46/rendering/18.obj", "0.956060349941")</f>
        <v>0.956060349941</v>
      </c>
      <c r="V1985" s="82" t="str">
        <f>HYPERLINK(AB2 &amp; "/pencil/sn_cc2a0422943c718a35aa93e8e984ad46/rendering/19.obj", "1.18868303299")</f>
        <v>1.18868303299</v>
      </c>
      <c r="W1985" s="12" t="s">
        <v>32</v>
      </c>
      <c r="X1985" s="13">
        <v>0.98492321968078611</v>
      </c>
      <c r="Y1985" s="13">
        <v>0.1162233972508178</v>
      </c>
      <c r="Z1985" s="71">
        <v>0.11800249494421081</v>
      </c>
    </row>
    <row r="1986" spans="1:26" x14ac:dyDescent="0.2">
      <c r="A1986" s="1">
        <v>1984</v>
      </c>
      <c r="B1986" s="2" t="s">
        <v>429</v>
      </c>
      <c r="C1986" s="13" t="str">
        <f>HYPERLINK(AC2 &amp; "/pencil/sn_cc2a0422943c718a35aa93e8e984ad46/rendering/00.xyz", "0.0")</f>
        <v>0.0</v>
      </c>
      <c r="D1986" s="13" t="str">
        <f>HYPERLINK(AC2 &amp; "/pencil/sn_cc2a0422943c718a35aa93e8e984ad46/rendering/01.xyz", "0.0")</f>
        <v>0.0</v>
      </c>
      <c r="E1986" s="13" t="str">
        <f>HYPERLINK(AC2 &amp; "/pencil/sn_cc2a0422943c718a35aa93e8e984ad46/rendering/02.xyz", "0.0")</f>
        <v>0.0</v>
      </c>
      <c r="F1986" s="13" t="str">
        <f>HYPERLINK(AC2 &amp; "/pencil/sn_cc2a0422943c718a35aa93e8e984ad46/rendering/03.xyz", "0.0")</f>
        <v>0.0</v>
      </c>
      <c r="G1986" s="13" t="str">
        <f>HYPERLINK(AC2 &amp; "/pencil/sn_cc2a0422943c718a35aa93e8e984ad46/rendering/04.xyz", "0.0")</f>
        <v>0.0</v>
      </c>
      <c r="H1986" s="13" t="str">
        <f>HYPERLINK(AC2 &amp; "/pencil/sn_cc2a0422943c718a35aa93e8e984ad46/rendering/05.xyz", "0.0")</f>
        <v>0.0</v>
      </c>
      <c r="I1986" s="13" t="str">
        <f>HYPERLINK(AC2 &amp; "/pencil/sn_cc2a0422943c718a35aa93e8e984ad46/rendering/06.xyz", "0.0")</f>
        <v>0.0</v>
      </c>
      <c r="J1986" s="13" t="str">
        <f>HYPERLINK(AC2 &amp; "/pencil/sn_cc2a0422943c718a35aa93e8e984ad46/rendering/07.xyz", "0.0")</f>
        <v>0.0</v>
      </c>
      <c r="K1986" s="13" t="str">
        <f>HYPERLINK(AC2 &amp; "/pencil/sn_cc2a0422943c718a35aa93e8e984ad46/rendering/08.xyz", "0.0")</f>
        <v>0.0</v>
      </c>
      <c r="L1986" s="13" t="str">
        <f>HYPERLINK(AC2 &amp; "/pencil/sn_cc2a0422943c718a35aa93e8e984ad46/rendering/09.xyz", "0.0")</f>
        <v>0.0</v>
      </c>
      <c r="M1986" s="13" t="str">
        <f>HYPERLINK(AC2 &amp; "/pencil/sn_cc2a0422943c718a35aa93e8e984ad46/rendering/10.xyz", "0.0")</f>
        <v>0.0</v>
      </c>
      <c r="N1986" s="13" t="str">
        <f>HYPERLINK(AC2 &amp; "/pencil/sn_cc2a0422943c718a35aa93e8e984ad46/rendering/11.xyz", "0.0")</f>
        <v>0.0</v>
      </c>
      <c r="O1986" s="13" t="str">
        <f>HYPERLINK(AC2 &amp; "/pencil/sn_cc2a0422943c718a35aa93e8e984ad46/rendering/12.xyz", "0.0")</f>
        <v>0.0</v>
      </c>
      <c r="P1986" s="13" t="str">
        <f>HYPERLINK(AC2 &amp; "/pencil/sn_cc2a0422943c718a35aa93e8e984ad46/rendering/13.xyz", "0.0")</f>
        <v>0.0</v>
      </c>
      <c r="Q1986" s="13" t="str">
        <f>HYPERLINK(AC2 &amp; "/pencil/sn_cc2a0422943c718a35aa93e8e984ad46/rendering/14.xyz", "0.0")</f>
        <v>0.0</v>
      </c>
      <c r="R1986" s="13" t="str">
        <f>HYPERLINK(AC2 &amp; "/pencil/sn_cc2a0422943c718a35aa93e8e984ad46/rendering/15.xyz", "0.0")</f>
        <v>0.0</v>
      </c>
      <c r="S1986" s="13" t="str">
        <f>HYPERLINK(AC2 &amp; "/pencil/sn_cc2a0422943c718a35aa93e8e984ad46/rendering/16.xyz", "0.0")</f>
        <v>0.0</v>
      </c>
      <c r="T1986" s="13" t="str">
        <f>HYPERLINK(AC2 &amp; "/pencil/sn_cc2a0422943c718a35aa93e8e984ad46/rendering/17.xyz", "0.0")</f>
        <v>0.0</v>
      </c>
      <c r="U1986" s="13" t="str">
        <f>HYPERLINK(AC2 &amp; "/pencil/sn_cc2a0422943c718a35aa93e8e984ad46/rendering/18.xyz", "0.0")</f>
        <v>0.0</v>
      </c>
      <c r="V1986" s="13" t="str">
        <f>HYPERLINK(AC2 &amp; "/pencil/sn_cc2a0422943c718a35aa93e8e984ad46/rendering/19.xyz", "0.0")</f>
        <v>0.0</v>
      </c>
      <c r="W1986" s="12" t="s">
        <v>33</v>
      </c>
      <c r="X1986" s="13">
        <v>0</v>
      </c>
      <c r="Y1986" s="13">
        <v>0</v>
      </c>
      <c r="Z1986" s="13">
        <v>0</v>
      </c>
    </row>
    <row r="1987" spans="1:26" x14ac:dyDescent="0.2">
      <c r="A1987" s="1">
        <v>1985</v>
      </c>
      <c r="B1987" s="2" t="s">
        <v>430</v>
      </c>
      <c r="C1987" s="111" t="str">
        <f>HYPERLINK(AA2 &amp; "/pencil/sn_cdb82f4b34804520821a29f3de4d7cce/rendering/00.obj", "21.0706640625")</f>
        <v>21.0706640625</v>
      </c>
      <c r="D1987" s="69" t="str">
        <f>HYPERLINK(AA2 &amp; "/pencil/sn_cdb82f4b34804520821a29f3de4d7cce/rendering/01.obj", "14.3563256836")</f>
        <v>14.3563256836</v>
      </c>
      <c r="E1987" s="47" t="str">
        <f>HYPERLINK(AA2 &amp; "/pencil/sn_cdb82f4b34804520821a29f3de4d7cce/rendering/02.obj", "14.6957775879")</f>
        <v>14.6957775879</v>
      </c>
      <c r="F1987" s="15" t="str">
        <f>HYPERLINK(AA2 &amp; "/pencil/sn_cdb82f4b34804520821a29f3de4d7cce/rendering/03.obj", "22.3163525391")</f>
        <v>22.3163525391</v>
      </c>
      <c r="G1987" s="27" t="str">
        <f>HYPERLINK(AA2 &amp; "/pencil/sn_cdb82f4b34804520821a29f3de4d7cce/rendering/04.obj", "15.8602197266")</f>
        <v>15.8602197266</v>
      </c>
      <c r="H1987" s="24" t="str">
        <f>HYPERLINK(AA2 &amp; "/pencil/sn_cdb82f4b34804520821a29f3de4d7cce/rendering/05.obj", "17.3033496094")</f>
        <v>17.3033496094</v>
      </c>
      <c r="I1987" s="140" t="str">
        <f>HYPERLINK(AA2 &amp; "/pencil/sn_cdb82f4b34804520821a29f3de4d7cce/rendering/06.obj", "19.9366821289")</f>
        <v>19.9366821289</v>
      </c>
      <c r="J1987" s="166" t="str">
        <f>HYPERLINK(AA2 &amp; "/pencil/sn_cdb82f4b34804520821a29f3de4d7cce/rendering/07.obj", "10.5487548828")</f>
        <v>10.5487548828</v>
      </c>
      <c r="K1987" s="156" t="str">
        <f>HYPERLINK(AA2 &amp; "/pencil/sn_cdb82f4b34804520821a29f3de4d7cce/rendering/08.obj", "8.17962280273")</f>
        <v>8.17962280273</v>
      </c>
      <c r="L1987" s="51" t="str">
        <f>HYPERLINK(AA2 &amp; "/pencil/sn_cdb82f4b34804520821a29f3de4d7cce/rendering/09.obj", "13.6505297852")</f>
        <v>13.6505297852</v>
      </c>
      <c r="M1987" s="68" t="str">
        <f>HYPERLINK(AA2 &amp; "/pencil/sn_cdb82f4b34804520821a29f3de4d7cce/rendering/10.obj", "14.1783178711")</f>
        <v>14.1783178711</v>
      </c>
      <c r="N1987" s="149" t="str">
        <f>HYPERLINK(AA2 &amp; "/pencil/sn_cdb82f4b34804520821a29f3de4d7cce/rendering/11.obj", "19.9307312012")</f>
        <v>19.9307312012</v>
      </c>
      <c r="O1987" s="86" t="str">
        <f>HYPERLINK(AA2 &amp; "/pencil/sn_cdb82f4b34804520821a29f3de4d7cce/rendering/12.obj", "10.8648986816")</f>
        <v>10.8648986816</v>
      </c>
      <c r="P1987" s="42" t="str">
        <f>HYPERLINK(AA2 &amp; "/pencil/sn_cdb82f4b34804520821a29f3de4d7cce/rendering/13.obj", "12.7971569824")</f>
        <v>12.7971569824</v>
      </c>
      <c r="Q1987" s="109" t="str">
        <f>HYPERLINK(AA2 &amp; "/pencil/sn_cdb82f4b34804520821a29f3de4d7cce/rendering/14.obj", "12.019017334")</f>
        <v>12.019017334</v>
      </c>
      <c r="R1987" s="59" t="str">
        <f>HYPERLINK(AA2 &amp; "/pencil/sn_cdb82f4b34804520821a29f3de4d7cce/rendering/15.obj", "11.2678979492")</f>
        <v>11.2678979492</v>
      </c>
      <c r="S1987" s="84" t="str">
        <f>HYPERLINK(AA2 &amp; "/pencil/sn_cdb82f4b34804520821a29f3de4d7cce/rendering/16.obj", "16.9937548828")</f>
        <v>16.9937548828</v>
      </c>
      <c r="T1987" s="91" t="str">
        <f>HYPERLINK(AA2 &amp; "/pencil/sn_cdb82f4b34804520821a29f3de4d7cce/rendering/17.obj", "14.4147387695")</f>
        <v>14.4147387695</v>
      </c>
      <c r="U1987" s="49" t="str">
        <f>HYPERLINK(AA2 &amp; "/pencil/sn_cdb82f4b34804520821a29f3de4d7cce/rendering/18.obj", "17.9293701172")</f>
        <v>17.9293701172</v>
      </c>
      <c r="V1987" s="230" t="str">
        <f>HYPERLINK(AA2 &amp; "/pencil/sn_cdb82f4b34804520821a29f3de4d7cce/rendering/19.obj", "8.05212036133")</f>
        <v>8.05212036133</v>
      </c>
      <c r="W1987" s="12" t="s">
        <v>29</v>
      </c>
      <c r="X1987" s="13">
        <v>14.81831414794922</v>
      </c>
      <c r="Y1987" s="13">
        <v>3.9982658791832368</v>
      </c>
      <c r="Z1987" s="99">
        <v>0.26981921420100119</v>
      </c>
    </row>
    <row r="1988" spans="1:26" x14ac:dyDescent="0.2">
      <c r="A1988" s="1">
        <v>1986</v>
      </c>
      <c r="B1988" s="2" t="s">
        <v>430</v>
      </c>
      <c r="C1988" s="20" t="str">
        <f>HYPERLINK(AA2 &amp; "/pencil/sn_cdb82f4b34804520821a29f3de4d7cce/rendering/00.obj", "143.90826416")</f>
        <v>143.90826416</v>
      </c>
      <c r="D1988" s="153" t="str">
        <f>HYPERLINK(AA2 &amp; "/pencil/sn_cdb82f4b34804520821a29f3de4d7cce/rendering/01.obj", "39.2791290283")</f>
        <v>39.2791290283</v>
      </c>
      <c r="E1988" s="10" t="str">
        <f>HYPERLINK(AA2 &amp; "/pencil/sn_cdb82f4b34804520821a29f3de4d7cce/rendering/02.obj", "64.4378509521")</f>
        <v>64.4378509521</v>
      </c>
      <c r="F1988" s="20" t="str">
        <f>HYPERLINK(AA2 &amp; "/pencil/sn_cdb82f4b34804520821a29f3de4d7cce/rendering/03.obj", "117.740310669")</f>
        <v>117.740310669</v>
      </c>
      <c r="G1988" s="25" t="str">
        <f>HYPERLINK(AA2 &amp; "/pencil/sn_cdb82f4b34804520821a29f3de4d7cce/rendering/04.obj", "61.7361106873")</f>
        <v>61.7361106873</v>
      </c>
      <c r="H1988" s="123" t="str">
        <f>HYPERLINK(AA2 &amp; "/pencil/sn_cdb82f4b34804520821a29f3de4d7cce/rendering/05.obj", "83.4505004883")</f>
        <v>83.4505004883</v>
      </c>
      <c r="I1988" s="20" t="str">
        <f>HYPERLINK(AA2 &amp; "/pencil/sn_cdb82f4b34804520821a29f3de4d7cce/rendering/06.obj", "136.397064209")</f>
        <v>136.397064209</v>
      </c>
      <c r="J1988" s="240" t="str">
        <f>HYPERLINK(AA2 &amp; "/pencil/sn_cdb82f4b34804520821a29f3de4d7cce/rendering/07.obj", "21.1792945862")</f>
        <v>21.1792945862</v>
      </c>
      <c r="K1988" s="20" t="str">
        <f>HYPERLINK(AA2 &amp; "/pencil/sn_cdb82f4b34804520821a29f3de4d7cce/rendering/08.obj", "7.74143075943")</f>
        <v>7.74143075943</v>
      </c>
      <c r="L1988" s="162" t="str">
        <f>HYPERLINK(AA2 &amp; "/pencil/sn_cdb82f4b34804520821a29f3de4d7cce/rendering/09.obj", "35.1323776245")</f>
        <v>35.1323776245</v>
      </c>
      <c r="M1988" s="11" t="str">
        <f>HYPERLINK(AA2 &amp; "/pencil/sn_cdb82f4b34804520821a29f3de4d7cce/rendering/10.obj", "47.2474250793")</f>
        <v>47.2474250793</v>
      </c>
      <c r="N1988" s="97" t="str">
        <f>HYPERLINK(AA2 &amp; "/pencil/sn_cdb82f4b34804520821a29f3de4d7cce/rendering/11.obj", "87.4478530884")</f>
        <v>87.4478530884</v>
      </c>
      <c r="O1988" s="218" t="str">
        <f>HYPERLINK(AA2 &amp; "/pencil/sn_cdb82f4b34804520821a29f3de4d7cce/rendering/12.obj", "29.5382385254")</f>
        <v>29.5382385254</v>
      </c>
      <c r="P1988" s="170" t="str">
        <f>HYPERLINK(AA2 &amp; "/pencil/sn_cdb82f4b34804520821a29f3de4d7cce/rendering/13.obj", "45.6594047546")</f>
        <v>45.6594047546</v>
      </c>
      <c r="Q1988" s="179" t="str">
        <f>HYPERLINK(AA2 &amp; "/pencil/sn_cdb82f4b34804520821a29f3de4d7cce/rendering/14.obj", "34.8033790588")</f>
        <v>34.8033790588</v>
      </c>
      <c r="R1988" s="114" t="str">
        <f>HYPERLINK(AA2 &amp; "/pencil/sn_cdb82f4b34804520821a29f3de4d7cce/rendering/15.obj", "33.043964386")</f>
        <v>33.043964386</v>
      </c>
      <c r="S1988" s="149" t="str">
        <f>HYPERLINK(AA2 &amp; "/pencil/sn_cdb82f4b34804520821a29f3de4d7cce/rendering/16.obj", "39.9711532593")</f>
        <v>39.9711532593</v>
      </c>
      <c r="T1988" s="74" t="str">
        <f>HYPERLINK(AA2 &amp; "/pencil/sn_cdb82f4b34804520821a29f3de4d7cce/rendering/17.obj", "60.0878181458")</f>
        <v>60.0878181458</v>
      </c>
      <c r="U1988" s="20" t="str">
        <f>HYPERLINK(AA2 &amp; "/pencil/sn_cdb82f4b34804520821a29f3de4d7cce/rendering/18.obj", "122.17993927")</f>
        <v>122.17993927</v>
      </c>
      <c r="V1988" s="20" t="str">
        <f>HYPERLINK(AA2 &amp; "/pencil/sn_cdb82f4b34804520821a29f3de4d7cce/rendering/19.obj", "9.06760597229")</f>
        <v>9.06760597229</v>
      </c>
      <c r="W1988" s="12" t="s">
        <v>30</v>
      </c>
      <c r="X1988" s="13">
        <v>61.002455735206603</v>
      </c>
      <c r="Y1988" s="13">
        <v>40.200773783101774</v>
      </c>
      <c r="Z1988" s="248">
        <v>0.65900254831709226</v>
      </c>
    </row>
    <row r="1989" spans="1:26" x14ac:dyDescent="0.2">
      <c r="A1989" s="1">
        <v>1987</v>
      </c>
      <c r="B1989" s="2" t="s">
        <v>430</v>
      </c>
      <c r="C1989" s="110" t="str">
        <f>HYPERLINK(AB2 &amp; "/pencil/sn_cdb82f4b34804520821a29f3de4d7cce/rendering/00.obj", "4.38413543701")</f>
        <v>4.38413543701</v>
      </c>
      <c r="D1989" s="133" t="str">
        <f>HYPERLINK(AB2 &amp; "/pencil/sn_cdb82f4b34804520821a29f3de4d7cce/rendering/01.obj", "4.37039978027")</f>
        <v>4.37039978027</v>
      </c>
      <c r="E1989" s="91" t="str">
        <f>HYPERLINK(AB2 &amp; "/pencil/sn_cdb82f4b34804520821a29f3de4d7cce/rendering/02.obj", "4.99398803711")</f>
        <v>4.99398803711</v>
      </c>
      <c r="F1989" s="60" t="str">
        <f>HYPERLINK(AB2 &amp; "/pencil/sn_cdb82f4b34804520821a29f3de4d7cce/rendering/03.obj", "5.11498413086")</f>
        <v>5.11498413086</v>
      </c>
      <c r="G1989" s="73" t="str">
        <f>HYPERLINK(AB2 &amp; "/pencil/sn_cdb82f4b34804520821a29f3de4d7cce/rendering/04.obj", "4.67684936523")</f>
        <v>4.67684936523</v>
      </c>
      <c r="H1989" s="133" t="str">
        <f>HYPERLINK(AB2 &amp; "/pencil/sn_cdb82f4b34804520821a29f3de4d7cce/rendering/05.obj", "4.36400024414")</f>
        <v>4.36400024414</v>
      </c>
      <c r="I1989" s="6" t="str">
        <f>HYPERLINK(AB2 &amp; "/pencil/sn_cdb82f4b34804520821a29f3de4d7cce/rendering/06.obj", "4.63826721191")</f>
        <v>4.63826721191</v>
      </c>
      <c r="J1989" s="60" t="str">
        <f>HYPERLINK(AB2 &amp; "/pencil/sn_cdb82f4b34804520821a29f3de4d7cce/rendering/07.obj", "4.60042419434")</f>
        <v>4.60042419434</v>
      </c>
      <c r="K1989" s="41" t="str">
        <f>HYPERLINK(AB2 &amp; "/pencil/sn_cdb82f4b34804520821a29f3de4d7cce/rendering/08.obj", "4.52926757813")</f>
        <v>4.52926757813</v>
      </c>
      <c r="L1989" s="13" t="str">
        <f>HYPERLINK(AB2 &amp; "/pencil/sn_cdb82f4b34804520821a29f3de4d7cce/rendering/09.obj", "4.85456115723")</f>
        <v>4.85456115723</v>
      </c>
      <c r="M1989" s="46" t="str">
        <f>HYPERLINK(AB2 &amp; "/pencil/sn_cdb82f4b34804520821a29f3de4d7cce/rendering/10.obj", "4.94861816406")</f>
        <v>4.94861816406</v>
      </c>
      <c r="N1989" s="129" t="str">
        <f>HYPERLINK(AB2 &amp; "/pencil/sn_cdb82f4b34804520821a29f3de4d7cce/rendering/11.obj", "6.07414794922")</f>
        <v>6.07414794922</v>
      </c>
      <c r="O1989" s="33" t="str">
        <f>HYPERLINK(AB2 &amp; "/pencil/sn_cdb82f4b34804520821a29f3de4d7cce/rendering/12.obj", "5.38608459473")</f>
        <v>5.38608459473</v>
      </c>
      <c r="P1989" s="10" t="str">
        <f>HYPERLINK(AB2 &amp; "/pencil/sn_cdb82f4b34804520821a29f3de4d7cce/rendering/13.obj", "5.12477661133")</f>
        <v>5.12477661133</v>
      </c>
      <c r="Q1989" s="91" t="str">
        <f>HYPERLINK(AB2 &amp; "/pencil/sn_cdb82f4b34804520821a29f3de4d7cce/rendering/14.obj", "4.99556945801")</f>
        <v>4.99556945801</v>
      </c>
      <c r="R1989" s="41" t="str">
        <f>HYPERLINK(AB2 &amp; "/pencil/sn_cdb82f4b34804520821a29f3de4d7cce/rendering/15.obj", "4.53331207275")</f>
        <v>4.53331207275</v>
      </c>
      <c r="S1989" s="23" t="str">
        <f>HYPERLINK(AB2 &amp; "/pencil/sn_cdb82f4b34804520821a29f3de4d7cce/rendering/16.obj", "5.05339660645")</f>
        <v>5.05339660645</v>
      </c>
      <c r="T1989" s="6" t="str">
        <f>HYPERLINK(AB2 &amp; "/pencil/sn_cdb82f4b34804520821a29f3de4d7cce/rendering/17.obj", "4.63818939209")</f>
        <v>4.63818939209</v>
      </c>
      <c r="U1989" s="23" t="str">
        <f>HYPERLINK(AB2 &amp; "/pencil/sn_cdb82f4b34804520821a29f3de4d7cce/rendering/18.obj", "4.6760345459")</f>
        <v>4.6760345459</v>
      </c>
      <c r="V1989" s="94" t="str">
        <f>HYPERLINK(AB2 &amp; "/pencil/sn_cdb82f4b34804520821a29f3de4d7cce/rendering/19.obj", "5.22397705078")</f>
        <v>5.22397705078</v>
      </c>
      <c r="W1989" s="12" t="s">
        <v>31</v>
      </c>
      <c r="X1989" s="13">
        <v>4.8590491790771484</v>
      </c>
      <c r="Y1989" s="13">
        <v>0.4038275910135723</v>
      </c>
      <c r="Z1989" s="107">
        <v>8.3108356415167825E-2</v>
      </c>
    </row>
    <row r="1990" spans="1:26" x14ac:dyDescent="0.2">
      <c r="A1990" s="1">
        <v>1988</v>
      </c>
      <c r="B1990" s="2" t="s">
        <v>430</v>
      </c>
      <c r="C1990" s="29" t="str">
        <f>HYPERLINK(AB2 &amp; "/pencil/sn_cdb82f4b34804520821a29f3de4d7cce/rendering/00.obj", "0.824412167072")</f>
        <v>0.824412167072</v>
      </c>
      <c r="D1990" s="78" t="str">
        <f>HYPERLINK(AB2 &amp; "/pencil/sn_cdb82f4b34804520821a29f3de4d7cce/rendering/01.obj", "0.887995898724")</f>
        <v>0.887995898724</v>
      </c>
      <c r="E1990" s="51" t="str">
        <f>HYPERLINK(AB2 &amp; "/pencil/sn_cdb82f4b34804520821a29f3de4d7cce/rendering/02.obj", "0.869377493858")</f>
        <v>0.869377493858</v>
      </c>
      <c r="F1990" s="106" t="str">
        <f>HYPERLINK(AB2 &amp; "/pencil/sn_cdb82f4b34804520821a29f3de4d7cce/rendering/03.obj", "0.83710026741")</f>
        <v>0.83710026741</v>
      </c>
      <c r="G1990" s="106" t="str">
        <f>HYPERLINK(AB2 &amp; "/pencil/sn_cdb82f4b34804520821a29f3de4d7cce/rendering/04.obj", "0.838214576244")</f>
        <v>0.838214576244</v>
      </c>
      <c r="H1990" s="60" t="str">
        <f>HYPERLINK(AB2 &amp; "/pencil/sn_cdb82f4b34804520821a29f3de4d7cce/rendering/05.obj", "0.898839712143")</f>
        <v>0.898839712143</v>
      </c>
      <c r="I1990" s="92" t="str">
        <f>HYPERLINK(AB2 &amp; "/pencil/sn_cdb82f4b34804520821a29f3de4d7cce/rendering/06.obj", "0.82946908474")</f>
        <v>0.82946908474</v>
      </c>
      <c r="J1990" s="90" t="str">
        <f>HYPERLINK(AB2 &amp; "/pencil/sn_cdb82f4b34804520821a29f3de4d7cce/rendering/07.obj", "0.85608792305")</f>
        <v>0.85608792305</v>
      </c>
      <c r="K1990" s="83" t="str">
        <f>HYPERLINK(AB2 &amp; "/pencil/sn_cdb82f4b34804520821a29f3de4d7cce/rendering/08.obj", "1.09188961983")</f>
        <v>1.09188961983</v>
      </c>
      <c r="L1990" s="107" t="str">
        <f>HYPERLINK(AB2 &amp; "/pencil/sn_cdb82f4b34804520821a29f3de4d7cce/rendering/09.obj", "0.868510127068")</f>
        <v>0.868510127068</v>
      </c>
      <c r="M1990" s="117" t="str">
        <f>HYPERLINK(AB2 &amp; "/pencil/sn_cdb82f4b34804520821a29f3de4d7cce/rendering/10.obj", "1.11389636993")</f>
        <v>1.11389636993</v>
      </c>
      <c r="N1990" s="92" t="str">
        <f>HYPERLINK(AB2 &amp; "/pencil/sn_cdb82f4b34804520821a29f3de4d7cce/rendering/11.obj", "1.06430578232")</f>
        <v>1.06430578232</v>
      </c>
      <c r="O1990" s="40" t="str">
        <f>HYPERLINK(AB2 &amp; "/pencil/sn_cdb82f4b34804520821a29f3de4d7cce/rendering/12.obj", "1.10794425011")</f>
        <v>1.10794425011</v>
      </c>
      <c r="P1990" s="84" t="str">
        <f>HYPERLINK(AB2 &amp; "/pencil/sn_cdb82f4b34804520821a29f3de4d7cce/rendering/13.obj", "1.08570575714")</f>
        <v>1.08570575714</v>
      </c>
      <c r="Q1990" s="41" t="str">
        <f>HYPERLINK(AB2 &amp; "/pencil/sn_cdb82f4b34804520821a29f3de4d7cce/rendering/14.obj", "1.00920033455")</f>
        <v>1.00920033455</v>
      </c>
      <c r="R1990" s="46" t="str">
        <f>HYPERLINK(AB2 &amp; "/pencil/sn_cdb82f4b34804520821a29f3de4d7cce/rendering/15.obj", "0.93103069067")</f>
        <v>0.93103069067</v>
      </c>
      <c r="S1990" s="71" t="str">
        <f>HYPERLINK(AB2 &amp; "/pencil/sn_cdb82f4b34804520821a29f3de4d7cce/rendering/16.obj", "1.05744826794")</f>
        <v>1.05744826794</v>
      </c>
      <c r="T1990" s="27" t="str">
        <f>HYPERLINK(AB2 &amp; "/pencil/sn_cdb82f4b34804520821a29f3de4d7cce/rendering/17.obj", "0.88006913662")</f>
        <v>0.88006913662</v>
      </c>
      <c r="U1990" s="32" t="str">
        <f>HYPERLINK(AB2 &amp; "/pencil/sn_cdb82f4b34804520821a29f3de4d7cce/rendering/18.obj", "0.847195625305")</f>
        <v>0.847195625305</v>
      </c>
      <c r="V1990" s="38" t="str">
        <f>HYPERLINK(AB2 &amp; "/pencil/sn_cdb82f4b34804520821a29f3de4d7cce/rendering/19.obj", "1.02995848656")</f>
        <v>1.02995848656</v>
      </c>
      <c r="W1990" s="12" t="s">
        <v>32</v>
      </c>
      <c r="X1990" s="13">
        <v>0.94643257856369023</v>
      </c>
      <c r="Y1990" s="13">
        <v>0.1059232646290016</v>
      </c>
      <c r="Z1990" s="28">
        <v>0.11191844725986839</v>
      </c>
    </row>
    <row r="1991" spans="1:26" x14ac:dyDescent="0.2">
      <c r="A1991" s="1">
        <v>1989</v>
      </c>
      <c r="B1991" s="2" t="s">
        <v>430</v>
      </c>
      <c r="C1991" s="13" t="str">
        <f>HYPERLINK(AC2 &amp; "/pencil/sn_cdb82f4b34804520821a29f3de4d7cce/rendering/00.xyz", "0.0")</f>
        <v>0.0</v>
      </c>
      <c r="D1991" s="13" t="str">
        <f>HYPERLINK(AC2 &amp; "/pencil/sn_cdb82f4b34804520821a29f3de4d7cce/rendering/01.xyz", "0.0")</f>
        <v>0.0</v>
      </c>
      <c r="E1991" s="13" t="str">
        <f>HYPERLINK(AC2 &amp; "/pencil/sn_cdb82f4b34804520821a29f3de4d7cce/rendering/02.xyz", "0.0")</f>
        <v>0.0</v>
      </c>
      <c r="F1991" s="13" t="str">
        <f>HYPERLINK(AC2 &amp; "/pencil/sn_cdb82f4b34804520821a29f3de4d7cce/rendering/03.xyz", "0.0")</f>
        <v>0.0</v>
      </c>
      <c r="G1991" s="13" t="str">
        <f>HYPERLINK(AC2 &amp; "/pencil/sn_cdb82f4b34804520821a29f3de4d7cce/rendering/04.xyz", "0.0")</f>
        <v>0.0</v>
      </c>
      <c r="H1991" s="13" t="str">
        <f>HYPERLINK(AC2 &amp; "/pencil/sn_cdb82f4b34804520821a29f3de4d7cce/rendering/05.xyz", "0.0")</f>
        <v>0.0</v>
      </c>
      <c r="I1991" s="13" t="str">
        <f>HYPERLINK(AC2 &amp; "/pencil/sn_cdb82f4b34804520821a29f3de4d7cce/rendering/06.xyz", "0.0")</f>
        <v>0.0</v>
      </c>
      <c r="J1991" s="13" t="str">
        <f>HYPERLINK(AC2 &amp; "/pencil/sn_cdb82f4b34804520821a29f3de4d7cce/rendering/07.xyz", "0.0")</f>
        <v>0.0</v>
      </c>
      <c r="K1991" s="13" t="str">
        <f>HYPERLINK(AC2 &amp; "/pencil/sn_cdb82f4b34804520821a29f3de4d7cce/rendering/08.xyz", "0.0")</f>
        <v>0.0</v>
      </c>
      <c r="L1991" s="13" t="str">
        <f>HYPERLINK(AC2 &amp; "/pencil/sn_cdb82f4b34804520821a29f3de4d7cce/rendering/09.xyz", "0.0")</f>
        <v>0.0</v>
      </c>
      <c r="M1991" s="13" t="str">
        <f>HYPERLINK(AC2 &amp; "/pencil/sn_cdb82f4b34804520821a29f3de4d7cce/rendering/10.xyz", "0.0")</f>
        <v>0.0</v>
      </c>
      <c r="N1991" s="13" t="str">
        <f>HYPERLINK(AC2 &amp; "/pencil/sn_cdb82f4b34804520821a29f3de4d7cce/rendering/11.xyz", "0.0")</f>
        <v>0.0</v>
      </c>
      <c r="O1991" s="13" t="str">
        <f>HYPERLINK(AC2 &amp; "/pencil/sn_cdb82f4b34804520821a29f3de4d7cce/rendering/12.xyz", "0.0")</f>
        <v>0.0</v>
      </c>
      <c r="P1991" s="13" t="str">
        <f>HYPERLINK(AC2 &amp; "/pencil/sn_cdb82f4b34804520821a29f3de4d7cce/rendering/13.xyz", "0.0")</f>
        <v>0.0</v>
      </c>
      <c r="Q1991" s="13" t="str">
        <f>HYPERLINK(AC2 &amp; "/pencil/sn_cdb82f4b34804520821a29f3de4d7cce/rendering/14.xyz", "0.0")</f>
        <v>0.0</v>
      </c>
      <c r="R1991" s="13" t="str">
        <f>HYPERLINK(AC2 &amp; "/pencil/sn_cdb82f4b34804520821a29f3de4d7cce/rendering/15.xyz", "0.0")</f>
        <v>0.0</v>
      </c>
      <c r="S1991" s="13" t="str">
        <f>HYPERLINK(AC2 &amp; "/pencil/sn_cdb82f4b34804520821a29f3de4d7cce/rendering/16.xyz", "0.0")</f>
        <v>0.0</v>
      </c>
      <c r="T1991" s="13" t="str">
        <f>HYPERLINK(AC2 &amp; "/pencil/sn_cdb82f4b34804520821a29f3de4d7cce/rendering/17.xyz", "0.0")</f>
        <v>0.0</v>
      </c>
      <c r="U1991" s="13" t="str">
        <f>HYPERLINK(AC2 &amp; "/pencil/sn_cdb82f4b34804520821a29f3de4d7cce/rendering/18.xyz", "0.0")</f>
        <v>0.0</v>
      </c>
      <c r="V1991" s="13" t="str">
        <f>HYPERLINK(AC2 &amp; "/pencil/sn_cdb82f4b34804520821a29f3de4d7cce/rendering/19.xyz", "0.0")</f>
        <v>0.0</v>
      </c>
      <c r="W1991" s="12" t="s">
        <v>33</v>
      </c>
      <c r="X1991" s="13">
        <v>0</v>
      </c>
      <c r="Y1991" s="13">
        <v>0</v>
      </c>
      <c r="Z1991" s="13">
        <v>0</v>
      </c>
    </row>
    <row r="1992" spans="1:26" x14ac:dyDescent="0.2">
      <c r="A1992" s="1">
        <v>1990</v>
      </c>
      <c r="B1992" s="2" t="s">
        <v>431</v>
      </c>
      <c r="C1992" s="74" t="str">
        <f>HYPERLINK(AA2 &amp; "/pencil/sn_ce40aed68a22dfa52baa6b8aa1acece9/rendering/00.obj", "3.98789031982")</f>
        <v>3.98789031982</v>
      </c>
      <c r="D1992" s="46" t="str">
        <f>HYPERLINK(AA2 &amp; "/pencil/sn_ce40aed68a22dfa52baa6b8aa1acece9/rendering/01.obj", "3.85911254883")</f>
        <v>3.85911254883</v>
      </c>
      <c r="E1992" s="82" t="str">
        <f>HYPERLINK(AA2 &amp; "/pencil/sn_ce40aed68a22dfa52baa6b8aa1acece9/rendering/02.obj", "4.73496582031")</f>
        <v>4.73496582031</v>
      </c>
      <c r="F1992" s="25" t="str">
        <f>HYPERLINK(AA2 &amp; "/pencil/sn_ce40aed68a22dfa52baa6b8aa1acece9/rendering/03.obj", "3.97537963867")</f>
        <v>3.97537963867</v>
      </c>
      <c r="G1992" s="30" t="str">
        <f>HYPERLINK(AA2 &amp; "/pencil/sn_ce40aed68a22dfa52baa6b8aa1acece9/rendering/04.obj", "3.95274597168")</f>
        <v>3.95274597168</v>
      </c>
      <c r="H1992" s="74" t="str">
        <f>HYPERLINK(AA2 &amp; "/pencil/sn_ce40aed68a22dfa52baa6b8aa1acece9/rendering/05.obj", "3.98929534912")</f>
        <v>3.98929534912</v>
      </c>
      <c r="I1992" s="23" t="str">
        <f>HYPERLINK(AA2 &amp; "/pencil/sn_ce40aed68a22dfa52baa6b8aa1acece9/rendering/06.obj", "3.78142822266")</f>
        <v>3.78142822266</v>
      </c>
      <c r="J1992" s="91" t="str">
        <f>HYPERLINK(AA2 &amp; "/pencil/sn_ce40aed68a22dfa52baa6b8aa1acece9/rendering/07.obj", "3.82460571289")</f>
        <v>3.82460571289</v>
      </c>
      <c r="K1992" s="73" t="str">
        <f>HYPERLINK(AA2 &amp; "/pencil/sn_ce40aed68a22dfa52baa6b8aa1acece9/rendering/08.obj", "3.78812438965")</f>
        <v>3.78812438965</v>
      </c>
      <c r="L1992" s="28" t="str">
        <f>HYPERLINK(AA2 &amp; "/pencil/sn_ce40aed68a22dfa52baa6b8aa1acece9/rendering/09.obj", "4.36733306885")</f>
        <v>4.36733306885</v>
      </c>
      <c r="M1992" s="10" t="str">
        <f>HYPERLINK(AA2 &amp; "/pencil/sn_ce40aed68a22dfa52baa6b8aa1acece9/rendering/10.obj", "3.71645141602")</f>
        <v>3.71645141602</v>
      </c>
      <c r="N1992" s="91" t="str">
        <f>HYPERLINK(AA2 &amp; "/pencil/sn_ce40aed68a22dfa52baa6b8aa1acece9/rendering/11.obj", "3.83167480469")</f>
        <v>3.83167480469</v>
      </c>
      <c r="O1992" s="25" t="str">
        <f>HYPERLINK(AA2 &amp; "/pencil/sn_ce40aed68a22dfa52baa6b8aa1acece9/rendering/12.obj", "3.97489501953")</f>
        <v>3.97489501953</v>
      </c>
      <c r="P1992" s="10" t="str">
        <f>HYPERLINK(AA2 &amp; "/pencil/sn_ce40aed68a22dfa52baa6b8aa1acece9/rendering/13.obj", "3.7149621582")</f>
        <v>3.7149621582</v>
      </c>
      <c r="Q1992" s="46" t="str">
        <f>HYPERLINK(AA2 &amp; "/pencil/sn_ce40aed68a22dfa52baa6b8aa1acece9/rendering/14.obj", "3.85987457275")</f>
        <v>3.85987457275</v>
      </c>
      <c r="R1992" s="72" t="str">
        <f>HYPERLINK(AA2 &amp; "/pencil/sn_ce40aed68a22dfa52baa6b8aa1acece9/rendering/15.obj", "3.80192749023")</f>
        <v>3.80192749023</v>
      </c>
      <c r="S1992" s="10" t="str">
        <f>HYPERLINK(AA2 &amp; "/pencil/sn_ce40aed68a22dfa52baa6b8aa1acece9/rendering/16.obj", "3.71848327637")</f>
        <v>3.71848327637</v>
      </c>
      <c r="T1992" s="46" t="str">
        <f>HYPERLINK(AA2 &amp; "/pencil/sn_ce40aed68a22dfa52baa6b8aa1acece9/rendering/17.obj", "4.00267028809")</f>
        <v>4.00267028809</v>
      </c>
      <c r="U1992" s="74" t="str">
        <f>HYPERLINK(AA2 &amp; "/pencil/sn_ce40aed68a22dfa52baa6b8aa1acece9/rendering/18.obj", "3.99394958496")</f>
        <v>3.99394958496</v>
      </c>
      <c r="V1992" s="23" t="str">
        <f>HYPERLINK(AA2 &amp; "/pencil/sn_ce40aed68a22dfa52baa6b8aa1acece9/rendering/19.obj", "3.77558105469")</f>
        <v>3.77558105469</v>
      </c>
      <c r="W1992" s="12" t="s">
        <v>29</v>
      </c>
      <c r="X1992" s="13">
        <v>3.9325675354003922</v>
      </c>
      <c r="Y1992" s="13">
        <v>0.235550459924289</v>
      </c>
      <c r="Z1992" s="78">
        <v>5.9897371832498381E-2</v>
      </c>
    </row>
    <row r="1993" spans="1:26" x14ac:dyDescent="0.2">
      <c r="A1993" s="1">
        <v>1991</v>
      </c>
      <c r="B1993" s="2" t="s">
        <v>431</v>
      </c>
      <c r="C1993" s="66" t="str">
        <f>HYPERLINK(AA2 &amp; "/pencil/sn_ce40aed68a22dfa52baa6b8aa1acece9/rendering/00.obj", "0.653302788734")</f>
        <v>0.653302788734</v>
      </c>
      <c r="D1993" s="92" t="str">
        <f>HYPERLINK(AA2 &amp; "/pencil/sn_ce40aed68a22dfa52baa6b8aa1acece9/rendering/01.obj", "0.684545755386")</f>
        <v>0.684545755386</v>
      </c>
      <c r="E1993" s="20" t="str">
        <f>HYPERLINK(AA2 &amp; "/pencil/sn_ce40aed68a22dfa52baa6b8aa1acece9/rendering/02.obj", "1.76725292206")</f>
        <v>1.76725292206</v>
      </c>
      <c r="F1993" s="79" t="str">
        <f>HYPERLINK(AA2 &amp; "/pencil/sn_ce40aed68a22dfa52baa6b8aa1acece9/rendering/03.obj", "0.655561923981")</f>
        <v>0.655561923981</v>
      </c>
      <c r="G1993" s="31" t="str">
        <f>HYPERLINK(AA2 &amp; "/pencil/sn_ce40aed68a22dfa52baa6b8aa1acece9/rendering/04.obj", "0.658747553825")</f>
        <v>0.658747553825</v>
      </c>
      <c r="H1993" s="72" t="str">
        <f>HYPERLINK(AA2 &amp; "/pencil/sn_ce40aed68a22dfa52baa6b8aa1acece9/rendering/05.obj", "0.805408596992")</f>
        <v>0.805408596992</v>
      </c>
      <c r="I1993" s="28" t="str">
        <f>HYPERLINK(AA2 &amp; "/pencil/sn_ce40aed68a22dfa52baa6b8aa1acece9/rendering/06.obj", "0.692214012146")</f>
        <v>0.692214012146</v>
      </c>
      <c r="J1993" s="80" t="str">
        <f>HYPERLINK(AA2 &amp; "/pencil/sn_ce40aed68a22dfa52baa6b8aa1acece9/rendering/07.obj", "0.664883553982")</f>
        <v>0.664883553982</v>
      </c>
      <c r="K1993" s="65" t="str">
        <f>HYPERLINK(AA2 &amp; "/pencil/sn_ce40aed68a22dfa52baa6b8aa1acece9/rendering/08.obj", "0.675459861755")</f>
        <v>0.675459861755</v>
      </c>
      <c r="L1993" s="181" t="str">
        <f>HYPERLINK(AA2 &amp; "/pencil/sn_ce40aed68a22dfa52baa6b8aa1acece9/rendering/09.obj", "1.125243783")</f>
        <v>1.125243783</v>
      </c>
      <c r="M1993" s="83" t="str">
        <f>HYPERLINK(AA2 &amp; "/pencil/sn_ce40aed68a22dfa52baa6b8aa1acece9/rendering/10.obj", "0.662322998047")</f>
        <v>0.662322998047</v>
      </c>
      <c r="N1993" s="24" t="str">
        <f>HYPERLINK(AA2 &amp; "/pencil/sn_ce40aed68a22dfa52baa6b8aa1acece9/rendering/11.obj", "0.64826375246")</f>
        <v>0.64826375246</v>
      </c>
      <c r="O1993" s="38" t="str">
        <f>HYPERLINK(AA2 &amp; "/pencil/sn_ce40aed68a22dfa52baa6b8aa1acece9/rendering/12.obj", "0.850730895996")</f>
        <v>0.850730895996</v>
      </c>
      <c r="P1993" s="93" t="str">
        <f>HYPERLINK(AA2 &amp; "/pencil/sn_ce40aed68a22dfa52baa6b8aa1acece9/rendering/13.obj", "0.671292185783")</f>
        <v>0.671292185783</v>
      </c>
      <c r="Q1993" s="42" t="str">
        <f>HYPERLINK(AA2 &amp; "/pencil/sn_ce40aed68a22dfa52baa6b8aa1acece9/rendering/14.obj", "0.673305869102")</f>
        <v>0.673305869102</v>
      </c>
      <c r="R1993" s="64" t="str">
        <f>HYPERLINK(AA2 &amp; "/pencil/sn_ce40aed68a22dfa52baa6b8aa1acece9/rendering/15.obj", "0.650929272175")</f>
        <v>0.650929272175</v>
      </c>
      <c r="S1993" s="66" t="str">
        <f>HYPERLINK(AA2 &amp; "/pencil/sn_ce40aed68a22dfa52baa6b8aa1acece9/rendering/16.obj", "0.654000580311")</f>
        <v>0.654000580311</v>
      </c>
      <c r="T1993" s="28" t="str">
        <f>HYPERLINK(AA2 &amp; "/pencil/sn_ce40aed68a22dfa52baa6b8aa1acece9/rendering/17.obj", "0.866966187954")</f>
        <v>0.866966187954</v>
      </c>
      <c r="U1993" s="51" t="str">
        <f>HYPERLINK(AA2 &amp; "/pencil/sn_ce40aed68a22dfa52baa6b8aa1acece9/rendering/18.obj", "0.841178536415")</f>
        <v>0.841178536415</v>
      </c>
      <c r="V1993" s="32" t="str">
        <f>HYPERLINK(AA2 &amp; "/pencil/sn_ce40aed68a22dfa52baa6b8aa1acece9/rendering/19.obj", "0.698054075241")</f>
        <v>0.698054075241</v>
      </c>
      <c r="W1993" s="12" t="s">
        <v>30</v>
      </c>
      <c r="X1993" s="13">
        <v>0.77998325526714329</v>
      </c>
      <c r="Y1993" s="13">
        <v>0.25413648597014071</v>
      </c>
      <c r="Z1993" s="103">
        <v>0.32582300229393929</v>
      </c>
    </row>
    <row r="1994" spans="1:26" x14ac:dyDescent="0.2">
      <c r="A1994" s="1">
        <v>1992</v>
      </c>
      <c r="B1994" s="2" t="s">
        <v>431</v>
      </c>
      <c r="C1994" s="17" t="str">
        <f>HYPERLINK(AB2 &amp; "/pencil/sn_ce40aed68a22dfa52baa6b8aa1acece9/rendering/00.obj", "5.95553466797")</f>
        <v>5.95553466797</v>
      </c>
      <c r="D1994" s="13" t="str">
        <f>HYPERLINK(AB2 &amp; "/pencil/sn_ce40aed68a22dfa52baa6b8aa1acece9/rendering/01.obj", "5.82932128906")</f>
        <v>5.82932128906</v>
      </c>
      <c r="E1994" s="17" t="str">
        <f>HYPERLINK(AB2 &amp; "/pencil/sn_ce40aed68a22dfa52baa6b8aa1acece9/rendering/02.obj", "5.95595336914")</f>
        <v>5.95595336914</v>
      </c>
      <c r="F1994" s="46" t="str">
        <f>HYPERLINK(AB2 &amp; "/pencil/sn_ce40aed68a22dfa52baa6b8aa1acece9/rendering/03.obj", "5.72321594238")</f>
        <v>5.72321594238</v>
      </c>
      <c r="G1994" s="17" t="str">
        <f>HYPERLINK(AB2 &amp; "/pencil/sn_ce40aed68a22dfa52baa6b8aa1acece9/rendering/04.obj", "5.71806518555")</f>
        <v>5.71806518555</v>
      </c>
      <c r="H1994" s="74" t="str">
        <f>HYPERLINK(AB2 &amp; "/pencil/sn_ce40aed68a22dfa52baa6b8aa1acece9/rendering/05.obj", "5.91390319824")</f>
        <v>5.91390319824</v>
      </c>
      <c r="I1994" s="72" t="str">
        <f>HYPERLINK(AB2 &amp; "/pencil/sn_ce40aed68a22dfa52baa6b8aa1acece9/rendering/06.obj", "6.01501831055")</f>
        <v>6.01501831055</v>
      </c>
      <c r="J1994" s="73" t="str">
        <f>HYPERLINK(AB2 &amp; "/pencil/sn_ce40aed68a22dfa52baa6b8aa1acece9/rendering/07.obj", "6.03637207031")</f>
        <v>6.03637207031</v>
      </c>
      <c r="K1994" s="13" t="str">
        <f>HYPERLINK(AB2 &amp; "/pencil/sn_ce40aed68a22dfa52baa6b8aa1acece9/rendering/08.obj", "5.84504699707")</f>
        <v>5.84504699707</v>
      </c>
      <c r="L1994" s="30" t="str">
        <f>HYPERLINK(AB2 &amp; "/pencil/sn_ce40aed68a22dfa52baa6b8aa1acece9/rendering/09.obj", "5.85437194824")</f>
        <v>5.85437194824</v>
      </c>
      <c r="M1994" s="41" t="str">
        <f>HYPERLINK(AB2 &amp; "/pencil/sn_ce40aed68a22dfa52baa6b8aa1acece9/rendering/10.obj", "5.43846557617")</f>
        <v>5.43846557617</v>
      </c>
      <c r="N1994" s="25" t="str">
        <f>HYPERLINK(AB2 &amp; "/pencil/sn_ce40aed68a22dfa52baa6b8aa1acece9/rendering/11.obj", "5.8958984375")</f>
        <v>5.8958984375</v>
      </c>
      <c r="O1994" s="23" t="str">
        <f>HYPERLINK(AB2 &amp; "/pencil/sn_ce40aed68a22dfa52baa6b8aa1acece9/rendering/12.obj", "6.06496582031")</f>
        <v>6.06496582031</v>
      </c>
      <c r="P1994" s="48" t="str">
        <f>HYPERLINK(AB2 &amp; "/pencil/sn_ce40aed68a22dfa52baa6b8aa1acece9/rendering/13.obj", "5.95867614746")</f>
        <v>5.95867614746</v>
      </c>
      <c r="Q1994" s="39" t="str">
        <f>HYPERLINK(AB2 &amp; "/pencil/sn_ce40aed68a22dfa52baa6b8aa1acece9/rendering/14.obj", "5.33255004883")</f>
        <v>5.33255004883</v>
      </c>
      <c r="R1994" s="73" t="str">
        <f>HYPERLINK(AB2 &amp; "/pencil/sn_ce40aed68a22dfa52baa6b8aa1acece9/rendering/15.obj", "6.04415527344")</f>
        <v>6.04415527344</v>
      </c>
      <c r="S1994" s="13" t="str">
        <f>HYPERLINK(AB2 &amp; "/pencil/sn_ce40aed68a22dfa52baa6b8aa1acece9/rendering/16.obj", "5.84754394531")</f>
        <v>5.84754394531</v>
      </c>
      <c r="T1994" s="47" t="str">
        <f>HYPERLINK(AB2 &amp; "/pencil/sn_ce40aed68a22dfa52baa6b8aa1acece9/rendering/17.obj", "5.79202026367")</f>
        <v>5.79202026367</v>
      </c>
      <c r="U1994" s="23" t="str">
        <f>HYPERLINK(AB2 &amp; "/pencil/sn_ce40aed68a22dfa52baa6b8aa1acece9/rendering/18.obj", "6.05694946289")</f>
        <v>6.05694946289</v>
      </c>
      <c r="V1994" s="39" t="str">
        <f>HYPERLINK(AB2 &amp; "/pencil/sn_ce40aed68a22dfa52baa6b8aa1acece9/rendering/19.obj", "5.32614013672")</f>
        <v>5.32614013672</v>
      </c>
      <c r="W1994" s="12" t="s">
        <v>31</v>
      </c>
      <c r="X1994" s="13">
        <v>5.8302084045410147</v>
      </c>
      <c r="Y1994" s="13">
        <v>0.2202379047459623</v>
      </c>
      <c r="Z1994" s="23">
        <v>3.7775305694805708E-2</v>
      </c>
    </row>
    <row r="1995" spans="1:26" x14ac:dyDescent="0.2">
      <c r="A1995" s="1">
        <v>1993</v>
      </c>
      <c r="B1995" s="2" t="s">
        <v>431</v>
      </c>
      <c r="C1995" s="10" t="str">
        <f>HYPERLINK(AB2 &amp; "/pencil/sn_ce40aed68a22dfa52baa6b8aa1acece9/rendering/00.obj", "0.997615337372")</f>
        <v>0.997615337372</v>
      </c>
      <c r="D1995" s="71" t="str">
        <f>HYPERLINK(AB2 &amp; "/pencil/sn_ce40aed68a22dfa52baa6b8aa1acece9/rendering/01.obj", "0.930024862289")</f>
        <v>0.930024862289</v>
      </c>
      <c r="E1995" s="13" t="str">
        <f>HYPERLINK(AB2 &amp; "/pencil/sn_ce40aed68a22dfa52baa6b8aa1acece9/rendering/02.obj", "1.05396318436")</f>
        <v>1.05396318436</v>
      </c>
      <c r="F1995" s="30" t="str">
        <f>HYPERLINK(AB2 &amp; "/pencil/sn_ce40aed68a22dfa52baa6b8aa1acece9/rendering/03.obj", "1.04985833168")</f>
        <v>1.04985833168</v>
      </c>
      <c r="G1995" s="80" t="str">
        <f>HYPERLINK(AB2 &amp; "/pencil/sn_ce40aed68a22dfa52baa6b8aa1acece9/rendering/04.obj", "0.896395683289")</f>
        <v>0.896395683289</v>
      </c>
      <c r="H1995" s="94" t="str">
        <f>HYPERLINK(AB2 &amp; "/pencil/sn_ce40aed68a22dfa52baa6b8aa1acece9/rendering/05.obj", "0.976904332638")</f>
        <v>0.976904332638</v>
      </c>
      <c r="I1995" s="129" t="str">
        <f>HYPERLINK(AB2 &amp; "/pencil/sn_ce40aed68a22dfa52baa6b8aa1acece9/rendering/06.obj", "1.31679546833")</f>
        <v>1.31679546833</v>
      </c>
      <c r="J1995" s="71" t="str">
        <f>HYPERLINK(AB2 &amp; "/pencil/sn_ce40aed68a22dfa52baa6b8aa1acece9/rendering/07.obj", "1.17917144299")</f>
        <v>1.17917144299</v>
      </c>
      <c r="K1995" s="78" t="str">
        <f>HYPERLINK(AB2 &amp; "/pencil/sn_ce40aed68a22dfa52baa6b8aa1acece9/rendering/08.obj", "0.989773750305")</f>
        <v>0.989773750305</v>
      </c>
      <c r="L1995" s="72" t="str">
        <f>HYPERLINK(AB2 &amp; "/pencil/sn_ce40aed68a22dfa52baa6b8aa1acece9/rendering/09.obj", "1.01915872097")</f>
        <v>1.01915872097</v>
      </c>
      <c r="M1995" s="119" t="str">
        <f>HYPERLINK(AB2 &amp; "/pencil/sn_ce40aed68a22dfa52baa6b8aa1acece9/rendering/10.obj", "0.774298191071")</f>
        <v>0.774298191071</v>
      </c>
      <c r="N1995" s="71" t="str">
        <f>HYPERLINK(AB2 &amp; "/pencil/sn_ce40aed68a22dfa52baa6b8aa1acece9/rendering/11.obj", "0.931544542313")</f>
        <v>0.931544542313</v>
      </c>
      <c r="O1995" s="55" t="str">
        <f>HYPERLINK(AB2 &amp; "/pencil/sn_ce40aed68a22dfa52baa6b8aa1acece9/rendering/12.obj", "1.256904006")</f>
        <v>1.256904006</v>
      </c>
      <c r="P1995" s="11" t="str">
        <f>HYPERLINK(AB2 &amp; "/pencil/sn_ce40aed68a22dfa52baa6b8aa1acece9/rendering/13.obj", "1.29112744331")</f>
        <v>1.29112744331</v>
      </c>
      <c r="Q1995" s="42" t="str">
        <f>HYPERLINK(AB2 &amp; "/pencil/sn_ce40aed68a22dfa52baa6b8aa1acece9/rendering/14.obj", "0.911553442478")</f>
        <v>0.911553442478</v>
      </c>
      <c r="R1995" s="93" t="str">
        <f>HYPERLINK(AB2 &amp; "/pencil/sn_ce40aed68a22dfa52baa6b8aa1acece9/rendering/15.obj", "1.19963991642")</f>
        <v>1.19963991642</v>
      </c>
      <c r="S1995" s="33" t="str">
        <f>HYPERLINK(AB2 &amp; "/pencil/sn_ce40aed68a22dfa52baa6b8aa1acece9/rendering/16.obj", "1.16861712933")</f>
        <v>1.16861712933</v>
      </c>
      <c r="T1995" s="28" t="str">
        <f>HYPERLINK(AB2 &amp; "/pencil/sn_ce40aed68a22dfa52baa6b8aa1acece9/rendering/17.obj", "1.17018735409")</f>
        <v>1.17018735409</v>
      </c>
      <c r="U1995" s="71" t="str">
        <f>HYPERLINK(AB2 &amp; "/pencil/sn_ce40aed68a22dfa52baa6b8aa1acece9/rendering/18.obj", "1.17957901955")</f>
        <v>1.17957901955</v>
      </c>
      <c r="V1995" s="170" t="str">
        <f>HYPERLINK(AB2 &amp; "/pencil/sn_ce40aed68a22dfa52baa6b8aa1acece9/rendering/19.obj", "0.787495732307")</f>
        <v>0.787495732307</v>
      </c>
      <c r="W1995" s="12" t="s">
        <v>32</v>
      </c>
      <c r="X1995" s="13">
        <v>1.0540303945541381</v>
      </c>
      <c r="Y1995" s="13">
        <v>0.15572065510149219</v>
      </c>
      <c r="Z1995" s="80">
        <v>0.1477382966431087</v>
      </c>
    </row>
    <row r="1996" spans="1:26" x14ac:dyDescent="0.2">
      <c r="A1996" s="1">
        <v>1994</v>
      </c>
      <c r="B1996" s="2" t="s">
        <v>431</v>
      </c>
      <c r="C1996" s="13" t="str">
        <f>HYPERLINK(AC2 &amp; "/pencil/sn_ce40aed68a22dfa52baa6b8aa1acece9/rendering/00.xyz", "0.0")</f>
        <v>0.0</v>
      </c>
      <c r="D1996" s="13" t="str">
        <f>HYPERLINK(AC2 &amp; "/pencil/sn_ce40aed68a22dfa52baa6b8aa1acece9/rendering/01.xyz", "0.0")</f>
        <v>0.0</v>
      </c>
      <c r="E1996" s="13" t="str">
        <f>HYPERLINK(AC2 &amp; "/pencil/sn_ce40aed68a22dfa52baa6b8aa1acece9/rendering/02.xyz", "0.0")</f>
        <v>0.0</v>
      </c>
      <c r="F1996" s="13" t="str">
        <f>HYPERLINK(AC2 &amp; "/pencil/sn_ce40aed68a22dfa52baa6b8aa1acece9/rendering/03.xyz", "0.0")</f>
        <v>0.0</v>
      </c>
      <c r="G1996" s="13" t="str">
        <f>HYPERLINK(AC2 &amp; "/pencil/sn_ce40aed68a22dfa52baa6b8aa1acece9/rendering/04.xyz", "0.0")</f>
        <v>0.0</v>
      </c>
      <c r="H1996" s="13" t="str">
        <f>HYPERLINK(AC2 &amp; "/pencil/sn_ce40aed68a22dfa52baa6b8aa1acece9/rendering/05.xyz", "0.0")</f>
        <v>0.0</v>
      </c>
      <c r="I1996" s="13" t="str">
        <f>HYPERLINK(AC2 &amp; "/pencil/sn_ce40aed68a22dfa52baa6b8aa1acece9/rendering/06.xyz", "0.0")</f>
        <v>0.0</v>
      </c>
      <c r="J1996" s="13" t="str">
        <f>HYPERLINK(AC2 &amp; "/pencil/sn_ce40aed68a22dfa52baa6b8aa1acece9/rendering/07.xyz", "0.0")</f>
        <v>0.0</v>
      </c>
      <c r="K1996" s="13" t="str">
        <f>HYPERLINK(AC2 &amp; "/pencil/sn_ce40aed68a22dfa52baa6b8aa1acece9/rendering/08.xyz", "0.0")</f>
        <v>0.0</v>
      </c>
      <c r="L1996" s="13" t="str">
        <f>HYPERLINK(AC2 &amp; "/pencil/sn_ce40aed68a22dfa52baa6b8aa1acece9/rendering/09.xyz", "0.0")</f>
        <v>0.0</v>
      </c>
      <c r="M1996" s="13" t="str">
        <f>HYPERLINK(AC2 &amp; "/pencil/sn_ce40aed68a22dfa52baa6b8aa1acece9/rendering/10.xyz", "0.0")</f>
        <v>0.0</v>
      </c>
      <c r="N1996" s="13" t="str">
        <f>HYPERLINK(AC2 &amp; "/pencil/sn_ce40aed68a22dfa52baa6b8aa1acece9/rendering/11.xyz", "0.0")</f>
        <v>0.0</v>
      </c>
      <c r="O1996" s="13" t="str">
        <f>HYPERLINK(AC2 &amp; "/pencil/sn_ce40aed68a22dfa52baa6b8aa1acece9/rendering/12.xyz", "0.0")</f>
        <v>0.0</v>
      </c>
      <c r="P1996" s="13" t="str">
        <f>HYPERLINK(AC2 &amp; "/pencil/sn_ce40aed68a22dfa52baa6b8aa1acece9/rendering/13.xyz", "0.0")</f>
        <v>0.0</v>
      </c>
      <c r="Q1996" s="13" t="str">
        <f>HYPERLINK(AC2 &amp; "/pencil/sn_ce40aed68a22dfa52baa6b8aa1acece9/rendering/14.xyz", "0.0")</f>
        <v>0.0</v>
      </c>
      <c r="R1996" s="13" t="str">
        <f>HYPERLINK(AC2 &amp; "/pencil/sn_ce40aed68a22dfa52baa6b8aa1acece9/rendering/15.xyz", "0.0")</f>
        <v>0.0</v>
      </c>
      <c r="S1996" s="13" t="str">
        <f>HYPERLINK(AC2 &amp; "/pencil/sn_ce40aed68a22dfa52baa6b8aa1acece9/rendering/16.xyz", "0.0")</f>
        <v>0.0</v>
      </c>
      <c r="T1996" s="13" t="str">
        <f>HYPERLINK(AC2 &amp; "/pencil/sn_ce40aed68a22dfa52baa6b8aa1acece9/rendering/17.xyz", "0.0")</f>
        <v>0.0</v>
      </c>
      <c r="U1996" s="13" t="str">
        <f>HYPERLINK(AC2 &amp; "/pencil/sn_ce40aed68a22dfa52baa6b8aa1acece9/rendering/18.xyz", "0.0")</f>
        <v>0.0</v>
      </c>
      <c r="V1996" s="13" t="str">
        <f>HYPERLINK(AC2 &amp; "/pencil/sn_ce40aed68a22dfa52baa6b8aa1acece9/rendering/19.xyz", "0.0")</f>
        <v>0.0</v>
      </c>
      <c r="W1996" s="12" t="s">
        <v>33</v>
      </c>
      <c r="X1996" s="13">
        <v>0</v>
      </c>
      <c r="Y1996" s="13">
        <v>0</v>
      </c>
      <c r="Z1996" s="13">
        <v>0</v>
      </c>
    </row>
    <row r="1997" spans="1:26" x14ac:dyDescent="0.2">
      <c r="A1997" s="1">
        <v>1995</v>
      </c>
      <c r="B1997" s="2" t="s">
        <v>432</v>
      </c>
      <c r="C1997" s="47" t="str">
        <f>HYPERLINK(AA2 &amp; "/pencil/sn_cee9857960c23c2e52ff829bff6c71d4/rendering/00.obj", "3.93720397949")</f>
        <v>3.93720397949</v>
      </c>
      <c r="D1997" s="6" t="str">
        <f>HYPERLINK(AA2 &amp; "/pencil/sn_cee9857960c23c2e52ff829bff6c71d4/rendering/01.obj", "3.77985778809")</f>
        <v>3.77985778809</v>
      </c>
      <c r="E1997" s="13" t="str">
        <f>HYPERLINK(AA2 &amp; "/pencil/sn_cee9857960c23c2e52ff829bff6c71d4/rendering/02.obj", "3.96815246582")</f>
        <v>3.96815246582</v>
      </c>
      <c r="F1997" s="91" t="str">
        <f>HYPERLINK(AA2 &amp; "/pencil/sn_cee9857960c23c2e52ff829bff6c71d4/rendering/03.obj", "4.07630737305")</f>
        <v>4.07630737305</v>
      </c>
      <c r="G1997" s="48" t="str">
        <f>HYPERLINK(AA2 &amp; "/pencil/sn_cee9857960c23c2e52ff829bff6c71d4/rendering/04.obj", "3.86871917725")</f>
        <v>3.86871917725</v>
      </c>
      <c r="H1997" s="68" t="str">
        <f>HYPERLINK(AA2 &amp; "/pencil/sn_cee9857960c23c2e52ff829bff6c71d4/rendering/05.obj", "3.79292572021")</f>
        <v>3.79292572021</v>
      </c>
      <c r="I1997" s="35" t="str">
        <f>HYPERLINK(AA2 &amp; "/pencil/sn_cee9857960c23c2e52ff829bff6c71d4/rendering/06.obj", "3.7401776123")</f>
        <v>3.7401776123</v>
      </c>
      <c r="J1997" s="81" t="str">
        <f>HYPERLINK(AA2 &amp; "/pencil/sn_cee9857960c23c2e52ff829bff6c71d4/rendering/07.obj", "4.82501281738")</f>
        <v>4.82501281738</v>
      </c>
      <c r="K1997" s="6" t="str">
        <f>HYPERLINK(AA2 &amp; "/pencil/sn_cee9857960c23c2e52ff829bff6c71d4/rendering/08.obj", "3.78531036377")</f>
        <v>3.78531036377</v>
      </c>
      <c r="L1997" s="46" t="str">
        <f>HYPERLINK(AA2 &amp; "/pencil/sn_cee9857960c23c2e52ff829bff6c71d4/rendering/09.obj", "3.89510314941")</f>
        <v>3.89510314941</v>
      </c>
      <c r="M1997" s="6" t="str">
        <f>HYPERLINK(AA2 &amp; "/pencil/sn_cee9857960c23c2e52ff829bff6c71d4/rendering/10.obj", "3.77954711914")</f>
        <v>3.77954711914</v>
      </c>
      <c r="N1997" s="30" t="str">
        <f>HYPERLINK(AA2 &amp; "/pencil/sn_cee9857960c23c2e52ff829bff6c71d4/rendering/11.obj", "3.97832092285")</f>
        <v>3.97832092285</v>
      </c>
      <c r="O1997" s="17" t="str">
        <f>HYPERLINK(AA2 &amp; "/pencil/sn_cee9857960c23c2e52ff829bff6c71d4/rendering/12.obj", "3.88985687256")</f>
        <v>3.88985687256</v>
      </c>
      <c r="P1997" s="5" t="str">
        <f>HYPERLINK(AA2 &amp; "/pencil/sn_cee9857960c23c2e52ff829bff6c71d4/rendering/13.obj", "4.26505523682")</f>
        <v>4.26505523682</v>
      </c>
      <c r="Q1997" s="13" t="str">
        <f>HYPERLINK(AA2 &amp; "/pencil/sn_cee9857960c23c2e52ff829bff6c71d4/rendering/14.obj", "3.9533416748")</f>
        <v>3.9533416748</v>
      </c>
      <c r="R1997" s="69" t="str">
        <f>HYPERLINK(AA2 &amp; "/pencil/sn_cee9857960c23c2e52ff829bff6c71d4/rendering/15.obj", "3.84604309082")</f>
        <v>3.84604309082</v>
      </c>
      <c r="S1997" s="72" t="str">
        <f>HYPERLINK(AA2 &amp; "/pencil/sn_cee9857960c23c2e52ff829bff6c71d4/rendering/16.obj", "3.83180175781")</f>
        <v>3.83180175781</v>
      </c>
      <c r="T1997" s="27" t="str">
        <f>HYPERLINK(AA2 &amp; "/pencil/sn_cee9857960c23c2e52ff829bff6c71d4/rendering/17.obj", "4.24552856445")</f>
        <v>4.24552856445</v>
      </c>
      <c r="U1997" s="30" t="str">
        <f>HYPERLINK(AA2 &amp; "/pencil/sn_cee9857960c23c2e52ff829bff6c71d4/rendering/18.obj", "3.94360168457")</f>
        <v>3.94360168457</v>
      </c>
      <c r="V1997" s="46" t="str">
        <f>HYPERLINK(AA2 &amp; "/pencil/sn_cee9857960c23c2e52ff829bff6c71d4/rendering/19.obj", "3.89137573242")</f>
        <v>3.89137573242</v>
      </c>
      <c r="W1997" s="12" t="s">
        <v>29</v>
      </c>
      <c r="X1997" s="13">
        <v>3.964662155151367</v>
      </c>
      <c r="Y1997" s="13">
        <v>0.2408859552887859</v>
      </c>
      <c r="Z1997" s="78">
        <v>6.075825527171283E-2</v>
      </c>
    </row>
    <row r="1998" spans="1:26" x14ac:dyDescent="0.2">
      <c r="A1998" s="1">
        <v>1996</v>
      </c>
      <c r="B1998" s="2" t="s">
        <v>432</v>
      </c>
      <c r="C1998" s="34" t="str">
        <f>HYPERLINK(AA2 &amp; "/pencil/sn_cee9857960c23c2e52ff829bff6c71d4/rendering/00.obj", "0.841057658195")</f>
        <v>0.841057658195</v>
      </c>
      <c r="D1998" s="24" t="str">
        <f>HYPERLINK(AA2 &amp; "/pencil/sn_cee9857960c23c2e52ff829bff6c71d4/rendering/01.obj", "0.666949927807")</f>
        <v>0.666949927807</v>
      </c>
      <c r="E1998" s="23" t="str">
        <f>HYPERLINK(AA2 &amp; "/pencil/sn_cee9857960c23c2e52ff829bff6c71d4/rendering/02.obj", "0.834849715233")</f>
        <v>0.834849715233</v>
      </c>
      <c r="F1998" s="79" t="str">
        <f>HYPERLINK(AA2 &amp; "/pencil/sn_cee9857960c23c2e52ff829bff6c71d4/rendering/03.obj", "0.676024973392")</f>
        <v>0.676024973392</v>
      </c>
      <c r="G1998" s="88" t="str">
        <f>HYPERLINK(AA2 &amp; "/pencil/sn_cee9857960c23c2e52ff829bff6c71d4/rendering/04.obj", "0.640367090702")</f>
        <v>0.640367090702</v>
      </c>
      <c r="H1998" s="110" t="str">
        <f>HYPERLINK(AA2 &amp; "/pencil/sn_cee9857960c23c2e52ff829bff6c71d4/rendering/05.obj", "0.882121324539")</f>
        <v>0.882121324539</v>
      </c>
      <c r="I1998" s="8" t="str">
        <f>HYPERLINK(AA2 &amp; "/pencil/sn_cee9857960c23c2e52ff829bff6c71d4/rendering/06.obj", "0.688697040081")</f>
        <v>0.688697040081</v>
      </c>
      <c r="J1998" s="20" t="str">
        <f>HYPERLINK(AA2 &amp; "/pencil/sn_cee9857960c23c2e52ff829bff6c71d4/rendering/07.obj", "1.78685903549")</f>
        <v>1.78685903549</v>
      </c>
      <c r="K1998" s="5" t="str">
        <f>HYPERLINK(AA2 &amp; "/pencil/sn_cee9857960c23c2e52ff829bff6c71d4/rendering/08.obj", "0.7414483428")</f>
        <v>0.7414483428</v>
      </c>
      <c r="L1998" s="5" t="str">
        <f>HYPERLINK(AA2 &amp; "/pencil/sn_cee9857960c23c2e52ff829bff6c71d4/rendering/09.obj", "0.739804506302")</f>
        <v>0.739804506302</v>
      </c>
      <c r="M1998" s="82" t="str">
        <f>HYPERLINK(AA2 &amp; "/pencil/sn_cee9857960c23c2e52ff829bff6c71d4/rendering/10.obj", "0.637689173222")</f>
        <v>0.637689173222</v>
      </c>
      <c r="N1998" s="68" t="str">
        <f>HYPERLINK(AA2 &amp; "/pencil/sn_cee9857960c23c2e52ff829bff6c71d4/rendering/11.obj", "0.836964309216")</f>
        <v>0.836964309216</v>
      </c>
      <c r="O1998" s="109" t="str">
        <f>HYPERLINK(AA2 &amp; "/pencil/sn_cee9857960c23c2e52ff829bff6c71d4/rendering/12.obj", "0.649880290031")</f>
        <v>0.649880290031</v>
      </c>
      <c r="P1998" s="175" t="str">
        <f>HYPERLINK(AA2 &amp; "/pencil/sn_cee9857960c23c2e52ff829bff6c71d4/rendering/13.obj", "0.990759313107")</f>
        <v>0.990759313107</v>
      </c>
      <c r="Q1998" s="90" t="str">
        <f>HYPERLINK(AA2 &amp; "/pencil/sn_cee9857960c23c2e52ff829bff6c71d4/rendering/14.obj", "0.726716220379")</f>
        <v>0.726716220379</v>
      </c>
      <c r="R1998" s="92" t="str">
        <f>HYPERLINK(AA2 &amp; "/pencil/sn_cee9857960c23c2e52ff829bff6c71d4/rendering/15.obj", "0.70322561264")</f>
        <v>0.70322561264</v>
      </c>
      <c r="S1998" s="109" t="str">
        <f>HYPERLINK(AA2 &amp; "/pencil/sn_cee9857960c23c2e52ff829bff6c71d4/rendering/16.obj", "0.650914728642")</f>
        <v>0.650914728642</v>
      </c>
      <c r="T1998" s="31" t="str">
        <f>HYPERLINK(AA2 &amp; "/pencil/sn_cee9857960c23c2e52ff829bff6c71d4/rendering/17.obj", "0.928118467331")</f>
        <v>0.928118467331</v>
      </c>
      <c r="U1998" s="68" t="str">
        <f>HYPERLINK(AA2 &amp; "/pencil/sn_cee9857960c23c2e52ff829bff6c71d4/rendering/18.obj", "0.769682705402")</f>
        <v>0.769682705402</v>
      </c>
      <c r="V1998" s="134" t="str">
        <f>HYPERLINK(AA2 &amp; "/pencil/sn_cee9857960c23c2e52ff829bff6c71d4/rendering/19.obj", "0.658270418644")</f>
        <v>0.658270418644</v>
      </c>
      <c r="W1998" s="12" t="s">
        <v>30</v>
      </c>
      <c r="X1998" s="13">
        <v>0.80252004265785215</v>
      </c>
      <c r="Y1998" s="13">
        <v>0.24722681907465491</v>
      </c>
      <c r="Z1998" s="56">
        <v>0.30806310862451319</v>
      </c>
    </row>
    <row r="1999" spans="1:26" x14ac:dyDescent="0.2">
      <c r="A1999" s="1">
        <v>1997</v>
      </c>
      <c r="B1999" s="2" t="s">
        <v>432</v>
      </c>
      <c r="C1999" s="51" t="str">
        <f>HYPERLINK(AB2 &amp; "/pencil/sn_cee9857960c23c2e52ff829bff6c71d4/rendering/00.obj", "5.34519775391")</f>
        <v>5.34519775391</v>
      </c>
      <c r="D1999" s="13" t="str">
        <f>HYPERLINK(AB2 &amp; "/pencil/sn_cee9857960c23c2e52ff829bff6c71d4/rendering/01.obj", "5.80215942383")</f>
        <v>5.80215942383</v>
      </c>
      <c r="E1999" s="30" t="str">
        <f>HYPERLINK(AB2 &amp; "/pencil/sn_cee9857960c23c2e52ff829bff6c71d4/rendering/02.obj", "5.76461486816")</f>
        <v>5.76461486816</v>
      </c>
      <c r="F1999" s="17" t="str">
        <f>HYPERLINK(AB2 &amp; "/pencil/sn_cee9857960c23c2e52ff829bff6c71d4/rendering/03.obj", "5.67312072754")</f>
        <v>5.67312072754</v>
      </c>
      <c r="G1999" s="69" t="str">
        <f>HYPERLINK(AB2 &amp; "/pencil/sn_cee9857960c23c2e52ff829bff6c71d4/rendering/04.obj", "5.9818951416")</f>
        <v>5.9818951416</v>
      </c>
      <c r="H1999" s="74" t="str">
        <f>HYPERLINK(AB2 &amp; "/pencil/sn_cee9857960c23c2e52ff829bff6c71d4/rendering/05.obj", "5.87678222656")</f>
        <v>5.87678222656</v>
      </c>
      <c r="I1999" s="69" t="str">
        <f>HYPERLINK(AB2 &amp; "/pencil/sn_cee9857960c23c2e52ff829bff6c71d4/rendering/06.obj", "5.61872680664")</f>
        <v>5.61872680664</v>
      </c>
      <c r="J1999" s="6" t="str">
        <f>HYPERLINK(AB2 &amp; "/pencil/sn_cee9857960c23c2e52ff829bff6c71d4/rendering/07.obj", "6.07007263184")</f>
        <v>6.07007263184</v>
      </c>
      <c r="K1999" s="47" t="str">
        <f>HYPERLINK(AB2 &amp; "/pencil/sn_cee9857960c23c2e52ff829bff6c71d4/rendering/08.obj", "5.75549316406")</f>
        <v>5.75549316406</v>
      </c>
      <c r="L1999" s="69" t="str">
        <f>HYPERLINK(AB2 &amp; "/pencil/sn_cee9857960c23c2e52ff829bff6c71d4/rendering/09.obj", "5.96431213379")</f>
        <v>5.96431213379</v>
      </c>
      <c r="M1999" s="74" t="str">
        <f>HYPERLINK(AB2 &amp; "/pencil/sn_cee9857960c23c2e52ff829bff6c71d4/rendering/10.obj", "5.71033081055")</f>
        <v>5.71033081055</v>
      </c>
      <c r="N1999" s="13" t="str">
        <f>HYPERLINK(AB2 &amp; "/pencil/sn_cee9857960c23c2e52ff829bff6c71d4/rendering/11.obj", "5.80032714844")</f>
        <v>5.80032714844</v>
      </c>
      <c r="O1999" s="69" t="str">
        <f>HYPERLINK(AB2 &amp; "/pencil/sn_cee9857960c23c2e52ff829bff6c71d4/rendering/12.obj", "5.97632324219")</f>
        <v>5.97632324219</v>
      </c>
      <c r="P1999" s="6" t="str">
        <f>HYPERLINK(AB2 &amp; "/pencil/sn_cee9857960c23c2e52ff829bff6c71d4/rendering/13.obj", "6.06179321289")</f>
        <v>6.06179321289</v>
      </c>
      <c r="Q1999" s="73" t="str">
        <f>HYPERLINK(AB2 &amp; "/pencil/sn_cee9857960c23c2e52ff829bff6c71d4/rendering/14.obj", "6.00945922852")</f>
        <v>6.00945922852</v>
      </c>
      <c r="R1999" s="72" t="str">
        <f>HYPERLINK(AB2 &amp; "/pencil/sn_cee9857960c23c2e52ff829bff6c71d4/rendering/15.obj", "5.60047180176")</f>
        <v>5.60047180176</v>
      </c>
      <c r="S1999" s="73" t="str">
        <f>HYPERLINK(AB2 &amp; "/pencil/sn_cee9857960c23c2e52ff829bff6c71d4/rendering/16.obj", "5.59129211426")</f>
        <v>5.59129211426</v>
      </c>
      <c r="T1999" s="72" t="str">
        <f>HYPERLINK(AB2 &amp; "/pencil/sn_cee9857960c23c2e52ff829bff6c71d4/rendering/17.obj", "5.98488769531")</f>
        <v>5.98488769531</v>
      </c>
      <c r="U1999" s="17" t="str">
        <f>HYPERLINK(AB2 &amp; "/pencil/sn_cee9857960c23c2e52ff829bff6c71d4/rendering/18.obj", "5.91573913574")</f>
        <v>5.91573913574</v>
      </c>
      <c r="V1999" s="60" t="str">
        <f>HYPERLINK(AB2 &amp; "/pencil/sn_cee9857960c23c2e52ff829bff6c71d4/rendering/19.obj", "5.50035339355")</f>
        <v>5.50035339355</v>
      </c>
      <c r="W1999" s="12" t="s">
        <v>31</v>
      </c>
      <c r="X1999" s="13">
        <v>5.8001676330566401</v>
      </c>
      <c r="Y1999" s="13">
        <v>0.19624430155456099</v>
      </c>
      <c r="Z1999" s="72">
        <v>3.3834246520068577E-2</v>
      </c>
    </row>
    <row r="2000" spans="1:26" x14ac:dyDescent="0.2">
      <c r="A2000" s="1">
        <v>1998</v>
      </c>
      <c r="B2000" s="2" t="s">
        <v>432</v>
      </c>
      <c r="C2000" s="39" t="str">
        <f>HYPERLINK(AB2 &amp; "/pencil/sn_cee9857960c23c2e52ff829bff6c71d4/rendering/00.obj", "0.953542709351")</f>
        <v>0.953542709351</v>
      </c>
      <c r="D2000" s="10" t="str">
        <f>HYPERLINK(AB2 &amp; "/pencil/sn_cee9857960c23c2e52ff829bff6c71d4/rendering/01.obj", "0.984983086586")</f>
        <v>0.984983086586</v>
      </c>
      <c r="E2000" s="65" t="str">
        <f>HYPERLINK(AB2 &amp; "/pencil/sn_cee9857960c23c2e52ff829bff6c71d4/rendering/02.obj", "0.903481245041")</f>
        <v>0.903481245041</v>
      </c>
      <c r="F2000" s="39" t="str">
        <f>HYPERLINK(AB2 &amp; "/pencil/sn_cee9857960c23c2e52ff829bff6c71d4/rendering/03.obj", "0.953328967094")</f>
        <v>0.953328967094</v>
      </c>
      <c r="G2000" s="6" t="str">
        <f>HYPERLINK(AB2 &amp; "/pencil/sn_cee9857960c23c2e52ff829bff6c71d4/rendering/04.obj", "1.09111464024")</f>
        <v>1.09111464024</v>
      </c>
      <c r="H2000" s="68" t="str">
        <f>HYPERLINK(AB2 &amp; "/pencil/sn_cee9857960c23c2e52ff829bff6c71d4/rendering/05.obj", "1.08837020397")</f>
        <v>1.08837020397</v>
      </c>
      <c r="I2000" s="109" t="str">
        <f>HYPERLINK(AB2 &amp; "/pencil/sn_cee9857960c23c2e52ff829bff6c71d4/rendering/06.obj", "0.844844818115")</f>
        <v>0.844844818115</v>
      </c>
      <c r="J2000" s="83" t="str">
        <f>HYPERLINK(AB2 &amp; "/pencil/sn_cee9857960c23c2e52ff829bff6c71d4/rendering/07.obj", "1.20039582253")</f>
        <v>1.20039582253</v>
      </c>
      <c r="K2000" s="69" t="str">
        <f>HYPERLINK(AB2 &amp; "/pencil/sn_cee9857960c23c2e52ff829bff6c71d4/rendering/08.obj", "1.01323962212")</f>
        <v>1.01323962212</v>
      </c>
      <c r="L2000" s="69" t="str">
        <f>HYPERLINK(AB2 &amp; "/pencil/sn_cee9857960c23c2e52ff829bff6c71d4/rendering/09.obj", "1.07507276535")</f>
        <v>1.07507276535</v>
      </c>
      <c r="M2000" s="67" t="str">
        <f>HYPERLINK(AB2 &amp; "/pencil/sn_cee9857960c23c2e52ff829bff6c71d4/rendering/10.obj", "0.946319758892")</f>
        <v>0.946319758892</v>
      </c>
      <c r="N2000" s="30" t="str">
        <f>HYPERLINK(AB2 &amp; "/pencil/sn_cee9857960c23c2e52ff829bff6c71d4/rendering/11.obj", "1.03764414787")</f>
        <v>1.03764414787</v>
      </c>
      <c r="O2000" s="106" t="str">
        <f>HYPERLINK(AB2 &amp; "/pencil/sn_cee9857960c23c2e52ff829bff6c71d4/rendering/12.obj", "1.16225588322")</f>
        <v>1.16225588322</v>
      </c>
      <c r="P2000" s="100" t="str">
        <f>HYPERLINK(AB2 &amp; "/pencil/sn_cee9857960c23c2e52ff829bff6c71d4/rendering/13.obj", "1.35539901257")</f>
        <v>1.35539901257</v>
      </c>
      <c r="Q2000" s="108" t="str">
        <f>HYPERLINK(AB2 &amp; "/pencil/sn_cee9857960c23c2e52ff829bff6c71d4/rendering/14.obj", "1.2988499403")</f>
        <v>1.2988499403</v>
      </c>
      <c r="R2000" s="35" t="str">
        <f>HYPERLINK(AB2 &amp; "/pencil/sn_cee9857960c23c2e52ff829bff6c71d4/rendering/15.obj", "0.981900155544")</f>
        <v>0.981900155544</v>
      </c>
      <c r="S2000" s="67" t="str">
        <f>HYPERLINK(AB2 &amp; "/pencil/sn_cee9857960c23c2e52ff829bff6c71d4/rendering/16.obj", "0.945502340794")</f>
        <v>0.945502340794</v>
      </c>
      <c r="T2000" s="35" t="str">
        <f>HYPERLINK(AB2 &amp; "/pencil/sn_cee9857960c23c2e52ff829bff6c71d4/rendering/17.obj", "1.10257947445")</f>
        <v>1.10257947445</v>
      </c>
      <c r="U2000" s="60" t="str">
        <f>HYPERLINK(AB2 &amp; "/pencil/sn_cee9857960c23c2e52ff829bff6c71d4/rendering/18.obj", "1.09577214718")</f>
        <v>1.09577214718</v>
      </c>
      <c r="V2000" s="120" t="str">
        <f>HYPERLINK(AB2 &amp; "/pencil/sn_cee9857960c23c2e52ff829bff6c71d4/rendering/19.obj", "0.820509254932")</f>
        <v>0.820509254932</v>
      </c>
      <c r="W2000" s="12" t="s">
        <v>32</v>
      </c>
      <c r="X2000" s="13">
        <v>1.042755299806595</v>
      </c>
      <c r="Y2000" s="13">
        <v>0.13507891590297999</v>
      </c>
      <c r="Z2000" s="29">
        <v>0.12954037819614411</v>
      </c>
    </row>
    <row r="2001" spans="1:26" x14ac:dyDescent="0.2">
      <c r="A2001" s="1">
        <v>1999</v>
      </c>
      <c r="B2001" s="2" t="s">
        <v>432</v>
      </c>
      <c r="C2001" s="13" t="str">
        <f>HYPERLINK(AC2 &amp; "/pencil/sn_cee9857960c23c2e52ff829bff6c71d4/rendering/00.xyz", "0.0")</f>
        <v>0.0</v>
      </c>
      <c r="D2001" s="13" t="str">
        <f>HYPERLINK(AC2 &amp; "/pencil/sn_cee9857960c23c2e52ff829bff6c71d4/rendering/01.xyz", "0.0")</f>
        <v>0.0</v>
      </c>
      <c r="E2001" s="13" t="str">
        <f>HYPERLINK(AC2 &amp; "/pencil/sn_cee9857960c23c2e52ff829bff6c71d4/rendering/02.xyz", "0.0")</f>
        <v>0.0</v>
      </c>
      <c r="F2001" s="13" t="str">
        <f>HYPERLINK(AC2 &amp; "/pencil/sn_cee9857960c23c2e52ff829bff6c71d4/rendering/03.xyz", "0.0")</f>
        <v>0.0</v>
      </c>
      <c r="G2001" s="13" t="str">
        <f>HYPERLINK(AC2 &amp; "/pencil/sn_cee9857960c23c2e52ff829bff6c71d4/rendering/04.xyz", "0.0")</f>
        <v>0.0</v>
      </c>
      <c r="H2001" s="13" t="str">
        <f>HYPERLINK(AC2 &amp; "/pencil/sn_cee9857960c23c2e52ff829bff6c71d4/rendering/05.xyz", "0.0")</f>
        <v>0.0</v>
      </c>
      <c r="I2001" s="13" t="str">
        <f>HYPERLINK(AC2 &amp; "/pencil/sn_cee9857960c23c2e52ff829bff6c71d4/rendering/06.xyz", "0.0")</f>
        <v>0.0</v>
      </c>
      <c r="J2001" s="13" t="str">
        <f>HYPERLINK(AC2 &amp; "/pencil/sn_cee9857960c23c2e52ff829bff6c71d4/rendering/07.xyz", "0.0")</f>
        <v>0.0</v>
      </c>
      <c r="K2001" s="13" t="str">
        <f>HYPERLINK(AC2 &amp; "/pencil/sn_cee9857960c23c2e52ff829bff6c71d4/rendering/08.xyz", "0.0")</f>
        <v>0.0</v>
      </c>
      <c r="L2001" s="13" t="str">
        <f>HYPERLINK(AC2 &amp; "/pencil/sn_cee9857960c23c2e52ff829bff6c71d4/rendering/09.xyz", "0.0")</f>
        <v>0.0</v>
      </c>
      <c r="M2001" s="13" t="str">
        <f>HYPERLINK(AC2 &amp; "/pencil/sn_cee9857960c23c2e52ff829bff6c71d4/rendering/10.xyz", "0.0")</f>
        <v>0.0</v>
      </c>
      <c r="N2001" s="13" t="str">
        <f>HYPERLINK(AC2 &amp; "/pencil/sn_cee9857960c23c2e52ff829bff6c71d4/rendering/11.xyz", "0.0")</f>
        <v>0.0</v>
      </c>
      <c r="O2001" s="13" t="str">
        <f>HYPERLINK(AC2 &amp; "/pencil/sn_cee9857960c23c2e52ff829bff6c71d4/rendering/12.xyz", "0.0")</f>
        <v>0.0</v>
      </c>
      <c r="P2001" s="13" t="str">
        <f>HYPERLINK(AC2 &amp; "/pencil/sn_cee9857960c23c2e52ff829bff6c71d4/rendering/13.xyz", "0.0")</f>
        <v>0.0</v>
      </c>
      <c r="Q2001" s="13" t="str">
        <f>HYPERLINK(AC2 &amp; "/pencil/sn_cee9857960c23c2e52ff829bff6c71d4/rendering/14.xyz", "0.0")</f>
        <v>0.0</v>
      </c>
      <c r="R2001" s="13" t="str">
        <f>HYPERLINK(AC2 &amp; "/pencil/sn_cee9857960c23c2e52ff829bff6c71d4/rendering/15.xyz", "0.0")</f>
        <v>0.0</v>
      </c>
      <c r="S2001" s="13" t="str">
        <f>HYPERLINK(AC2 &amp; "/pencil/sn_cee9857960c23c2e52ff829bff6c71d4/rendering/16.xyz", "0.0")</f>
        <v>0.0</v>
      </c>
      <c r="T2001" s="13" t="str">
        <f>HYPERLINK(AC2 &amp; "/pencil/sn_cee9857960c23c2e52ff829bff6c71d4/rendering/17.xyz", "0.0")</f>
        <v>0.0</v>
      </c>
      <c r="U2001" s="13" t="str">
        <f>HYPERLINK(AC2 &amp; "/pencil/sn_cee9857960c23c2e52ff829bff6c71d4/rendering/18.xyz", "0.0")</f>
        <v>0.0</v>
      </c>
      <c r="V2001" s="13" t="str">
        <f>HYPERLINK(AC2 &amp; "/pencil/sn_cee9857960c23c2e52ff829bff6c71d4/rendering/19.xyz", "0.0")</f>
        <v>0.0</v>
      </c>
      <c r="W2001" s="12" t="s">
        <v>33</v>
      </c>
      <c r="X2001" s="13">
        <v>0</v>
      </c>
      <c r="Y2001" s="13">
        <v>0</v>
      </c>
      <c r="Z2001" s="13">
        <v>0</v>
      </c>
    </row>
    <row r="2002" spans="1:26" x14ac:dyDescent="0.2">
      <c r="A2002" s="1">
        <v>2000</v>
      </c>
      <c r="B2002" s="2" t="s">
        <v>433</v>
      </c>
      <c r="C2002" s="23" t="str">
        <f>HYPERLINK(AA2 &amp; "/pencil/sn_cf447364cc7c41416746b9c4928c85ce/rendering/00.obj", "3.20557525635")</f>
        <v>3.20557525635</v>
      </c>
      <c r="D2002" s="46" t="str">
        <f>HYPERLINK(AA2 &amp; "/pencil/sn_cf447364cc7c41416746b9c4928c85ce/rendering/01.obj", "3.27405029297")</f>
        <v>3.27405029297</v>
      </c>
      <c r="E2002" s="41" t="str">
        <f>HYPERLINK(AA2 &amp; "/pencil/sn_cf447364cc7c41416746b9c4928c85ce/rendering/02.obj", "3.11305999756")</f>
        <v>3.11305999756</v>
      </c>
      <c r="F2002" s="30" t="str">
        <f>HYPERLINK(AA2 &amp; "/pencil/sn_cf447364cc7c41416746b9c4928c85ce/rendering/03.obj", "3.34961242676")</f>
        <v>3.34961242676</v>
      </c>
      <c r="G2002" s="41" t="str">
        <f>HYPERLINK(AA2 &amp; "/pencil/sn_cf447364cc7c41416746b9c4928c85ce/rendering/04.obj", "3.11599822998")</f>
        <v>3.11599822998</v>
      </c>
      <c r="H2002" s="73" t="str">
        <f>HYPERLINK(AA2 &amp; "/pencil/sn_cf447364cc7c41416746b9c4928c85ce/rendering/05.obj", "3.21709259033")</f>
        <v>3.21709259033</v>
      </c>
      <c r="I2002" s="60" t="str">
        <f>HYPERLINK(AA2 &amp; "/pencil/sn_cf447364cc7c41416746b9c4928c85ce/rendering/06.obj", "3.16444274902")</f>
        <v>3.16444274902</v>
      </c>
      <c r="J2002" s="94" t="str">
        <f>HYPERLINK(AA2 &amp; "/pencil/sn_cf447364cc7c41416746b9c4928c85ce/rendering/07.obj", "3.08996551514")</f>
        <v>3.08996551514</v>
      </c>
      <c r="K2002" s="17" t="str">
        <f>HYPERLINK(AA2 &amp; "/pencil/sn_cf447364cc7c41416746b9c4928c85ce/rendering/08.obj", "3.26568908691")</f>
        <v>3.26568908691</v>
      </c>
      <c r="L2002" s="51" t="str">
        <f>HYPERLINK(AA2 &amp; "/pencil/sn_cf447364cc7c41416746b9c4928c85ce/rendering/09.obj", "3.0648248291")</f>
        <v>3.0648248291</v>
      </c>
      <c r="M2002" s="73" t="str">
        <f>HYPERLINK(AA2 &amp; "/pencil/sn_cf447364cc7c41416746b9c4928c85ce/rendering/10.obj", "3.45254974365")</f>
        <v>3.45254974365</v>
      </c>
      <c r="N2002" s="109" t="str">
        <f>HYPERLINK(AA2 &amp; "/pencil/sn_cf447364cc7c41416746b9c4928c85ce/rendering/11.obj", "3.9730657959")</f>
        <v>3.9730657959</v>
      </c>
      <c r="O2002" s="41" t="str">
        <f>HYPERLINK(AA2 &amp; "/pencil/sn_cf447364cc7c41416746b9c4928c85ce/rendering/12.obj", "3.1083605957")</f>
        <v>3.1083605957</v>
      </c>
      <c r="P2002" s="25" t="str">
        <f>HYPERLINK(AA2 &amp; "/pencil/sn_cf447364cc7c41416746b9c4928c85ce/rendering/13.obj", "3.37026977539")</f>
        <v>3.37026977539</v>
      </c>
      <c r="Q2002" s="175" t="str">
        <f>HYPERLINK(AA2 &amp; "/pencil/sn_cf447364cc7c41416746b9c4928c85ce/rendering/14.obj", "4.11171020508")</f>
        <v>4.11171020508</v>
      </c>
      <c r="R2002" s="60" t="str">
        <f>HYPERLINK(AA2 &amp; "/pencil/sn_cf447364cc7c41416746b9c4928c85ce/rendering/15.obj", "3.16597991943")</f>
        <v>3.16597991943</v>
      </c>
      <c r="S2002" s="94" t="str">
        <f>HYPERLINK(AA2 &amp; "/pencil/sn_cf447364cc7c41416746b9c4928c85ce/rendering/16.obj", "3.09214904785")</f>
        <v>3.09214904785</v>
      </c>
      <c r="T2002" s="120" t="str">
        <f>HYPERLINK(AA2 &amp; "/pencil/sn_cf447364cc7c41416746b9c4928c85ce/rendering/17.obj", "4.04729400635")</f>
        <v>4.04729400635</v>
      </c>
      <c r="U2002" s="47" t="str">
        <f>HYPERLINK(AA2 &amp; "/pencil/sn_cf447364cc7c41416746b9c4928c85ce/rendering/18.obj", "3.31255859375")</f>
        <v>3.31255859375</v>
      </c>
      <c r="V2002" s="72" t="str">
        <f>HYPERLINK(AA2 &amp; "/pencil/sn_cf447364cc7c41416746b9c4928c85ce/rendering/19.obj", "3.22466644287")</f>
        <v>3.22466644287</v>
      </c>
      <c r="W2002" s="12" t="s">
        <v>29</v>
      </c>
      <c r="X2002" s="13">
        <v>3.3359457550048832</v>
      </c>
      <c r="Y2002" s="13">
        <v>0.31489133987460532</v>
      </c>
      <c r="Z2002" s="90">
        <v>9.4393423334950002E-2</v>
      </c>
    </row>
    <row r="2003" spans="1:26" x14ac:dyDescent="0.2">
      <c r="A2003" s="1">
        <v>2001</v>
      </c>
      <c r="B2003" s="2" t="s">
        <v>433</v>
      </c>
      <c r="C2003" s="29" t="str">
        <f>HYPERLINK(AA2 &amp; "/pencil/sn_cf447364cc7c41416746b9c4928c85ce/rendering/00.obj", "0.824813723564")</f>
        <v>0.824813723564</v>
      </c>
      <c r="D2003" s="33" t="str">
        <f>HYPERLINK(AA2 &amp; "/pencil/sn_cf447364cc7c41416746b9c4928c85ce/rendering/01.obj", "0.844461619854")</f>
        <v>0.844461619854</v>
      </c>
      <c r="E2003" s="106" t="str">
        <f>HYPERLINK(AA2 &amp; "/pencil/sn_cf447364cc7c41416746b9c4928c85ce/rendering/02.obj", "0.837565302849")</f>
        <v>0.837565302849</v>
      </c>
      <c r="F2003" s="91" t="str">
        <f>HYPERLINK(AA2 &amp; "/pencil/sn_cf447364cc7c41416746b9c4928c85ce/rendering/03.obj", "0.922737300396")</f>
        <v>0.922737300396</v>
      </c>
      <c r="G2003" s="70" t="str">
        <f>HYPERLINK(AA2 &amp; "/pencil/sn_cf447364cc7c41416746b9c4928c85ce/rendering/04.obj", "0.82704359293")</f>
        <v>0.82704359293</v>
      </c>
      <c r="H2003" s="28" t="str">
        <f>HYPERLINK(AA2 &amp; "/pencil/sn_cf447364cc7c41416746b9c4928c85ce/rendering/05.obj", "0.840678811073")</f>
        <v>0.840678811073</v>
      </c>
      <c r="I2003" s="10" t="str">
        <f>HYPERLINK(AA2 &amp; "/pencil/sn_cf447364cc7c41416746b9c4928c85ce/rendering/06.obj", "0.8954231143")</f>
        <v>0.8954231143</v>
      </c>
      <c r="J2003" s="83" t="str">
        <f>HYPERLINK(AA2 &amp; "/pencil/sn_cf447364cc7c41416746b9c4928c85ce/rendering/07.obj", "0.803587436676")</f>
        <v>0.803587436676</v>
      </c>
      <c r="K2003" s="24" t="str">
        <f>HYPERLINK(AA2 &amp; "/pencil/sn_cf447364cc7c41416746b9c4928c85ce/rendering/08.obj", "0.788591861725")</f>
        <v>0.788591861725</v>
      </c>
      <c r="L2003" s="29" t="str">
        <f>HYPERLINK(AA2 &amp; "/pencil/sn_cf447364cc7c41416746b9c4928c85ce/rendering/09.obj", "0.822984814644")</f>
        <v>0.822984814644</v>
      </c>
      <c r="M2003" s="67" t="str">
        <f>HYPERLINK(AA2 &amp; "/pencil/sn_cf447364cc7c41416746b9c4928c85ce/rendering/10.obj", "1.03391742706")</f>
        <v>1.03391742706</v>
      </c>
      <c r="N2003" s="212" t="str">
        <f>HYPERLINK(AA2 &amp; "/pencil/sn_cf447364cc7c41416746b9c4928c85ce/rendering/11.obj", "1.35704171658")</f>
        <v>1.35704171658</v>
      </c>
      <c r="O2003" s="64" t="str">
        <f>HYPERLINK(AA2 &amp; "/pencil/sn_cf447364cc7c41416746b9c4928c85ce/rendering/12.obj", "0.791533827782")</f>
        <v>0.791533827782</v>
      </c>
      <c r="P2003" s="73" t="str">
        <f>HYPERLINK(AA2 &amp; "/pencil/sn_cf447364cc7c41416746b9c4928c85ce/rendering/13.obj", "0.980659067631")</f>
        <v>0.980659067631</v>
      </c>
      <c r="Q2003" s="214" t="str">
        <f>HYPERLINK(AA2 &amp; "/pencil/sn_cf447364cc7c41416746b9c4928c85ce/rendering/14.obj", "1.53253889084")</f>
        <v>1.53253889084</v>
      </c>
      <c r="R2003" s="76" t="str">
        <f>HYPERLINK(AA2 &amp; "/pencil/sn_cf447364cc7c41416746b9c4928c85ce/rendering/15.obj", "0.773997545242")</f>
        <v>0.773997545242</v>
      </c>
      <c r="S2003" s="77" t="str">
        <f>HYPERLINK(AA2 &amp; "/pencil/sn_cf447364cc7c41416746b9c4928c85ce/rendering/16.obj", "0.770180046558")</f>
        <v>0.770180046558</v>
      </c>
      <c r="T2003" s="246" t="str">
        <f>HYPERLINK(AA2 &amp; "/pencil/sn_cf447364cc7c41416746b9c4928c85ce/rendering/17.obj", "1.52516293526")</f>
        <v>1.52516293526</v>
      </c>
      <c r="U2003" s="73" t="str">
        <f>HYPERLINK(AA2 &amp; "/pencil/sn_cf447364cc7c41416746b9c4928c85ce/rendering/18.obj", "0.912234663963")</f>
        <v>0.912234663963</v>
      </c>
      <c r="V2003" s="67" t="str">
        <f>HYPERLINK(AA2 &amp; "/pencil/sn_cf447364cc7c41416746b9c4928c85ce/rendering/19.obj", "0.860192716122")</f>
        <v>0.860192716122</v>
      </c>
      <c r="W2003" s="12" t="s">
        <v>30</v>
      </c>
      <c r="X2003" s="13">
        <v>0.94726732075214382</v>
      </c>
      <c r="Y2003" s="13">
        <v>0.23189003303461589</v>
      </c>
      <c r="Z2003" s="108">
        <v>0.2447989368518402</v>
      </c>
    </row>
    <row r="2004" spans="1:26" x14ac:dyDescent="0.2">
      <c r="A2004" s="1">
        <v>2002</v>
      </c>
      <c r="B2004" s="2" t="s">
        <v>433</v>
      </c>
      <c r="C2004" s="13" t="str">
        <f>HYPERLINK(AB2 &amp; "/pencil/sn_cf447364cc7c41416746b9c4928c85ce/rendering/00.obj", "4.85509033203")</f>
        <v>4.85509033203</v>
      </c>
      <c r="D2004" s="13" t="str">
        <f>HYPERLINK(AB2 &amp; "/pencil/sn_cf447364cc7c41416746b9c4928c85ce/rendering/01.obj", "4.85523132324")</f>
        <v>4.85523132324</v>
      </c>
      <c r="E2004" s="13" t="str">
        <f>HYPERLINK(AB2 &amp; "/pencil/sn_cf447364cc7c41416746b9c4928c85ce/rendering/02.obj", "4.84102722168")</f>
        <v>4.84102722168</v>
      </c>
      <c r="F2004" s="10" t="str">
        <f>HYPERLINK(AB2 &amp; "/pencil/sn_cf447364cc7c41416746b9c4928c85ce/rendering/03.obj", "4.58457061768")</f>
        <v>4.58457061768</v>
      </c>
      <c r="G2004" s="72" t="str">
        <f>HYPERLINK(AB2 &amp; "/pencil/sn_cf447364cc7c41416746b9c4928c85ce/rendering/04.obj", "5.00179931641")</f>
        <v>5.00179931641</v>
      </c>
      <c r="H2004" s="46" t="str">
        <f>HYPERLINK(AB2 &amp; "/pencil/sn_cf447364cc7c41416746b9c4928c85ce/rendering/05.obj", "4.92690124512")</f>
        <v>4.92690124512</v>
      </c>
      <c r="I2004" s="6" t="str">
        <f>HYPERLINK(AB2 &amp; "/pencil/sn_cf447364cc7c41416746b9c4928c85ce/rendering/06.obj", "4.62150482178")</f>
        <v>4.62150482178</v>
      </c>
      <c r="J2004" s="30" t="str">
        <f>HYPERLINK(AB2 &amp; "/pencil/sn_cf447364cc7c41416746b9c4928c85ce/rendering/07.obj", "4.81588134766")</f>
        <v>4.81588134766</v>
      </c>
      <c r="K2004" s="13" t="str">
        <f>HYPERLINK(AB2 &amp; "/pencil/sn_cf447364cc7c41416746b9c4928c85ce/rendering/08.obj", "4.83796936035")</f>
        <v>4.83796936035</v>
      </c>
      <c r="L2004" s="91" t="str">
        <f>HYPERLINK(AB2 &amp; "/pencil/sn_cf447364cc7c41416746b9c4928c85ce/rendering/09.obj", "4.71544342041")</f>
        <v>4.71544342041</v>
      </c>
      <c r="M2004" s="17" t="str">
        <f>HYPERLINK(AB2 &amp; "/pencil/sn_cf447364cc7c41416746b9c4928c85ce/rendering/10.obj", "4.94437316895")</f>
        <v>4.94437316895</v>
      </c>
      <c r="N2004" s="72" t="str">
        <f>HYPERLINK(AB2 &amp; "/pencil/sn_cf447364cc7c41416746b9c4928c85ce/rendering/11.obj", "4.99724945068")</f>
        <v>4.99724945068</v>
      </c>
      <c r="O2004" s="91" t="str">
        <f>HYPERLINK(AB2 &amp; "/pencil/sn_cf447364cc7c41416746b9c4928c85ce/rendering/12.obj", "4.97063751221")</f>
        <v>4.97063751221</v>
      </c>
      <c r="P2004" s="25" t="str">
        <f>HYPERLINK(AB2 &amp; "/pencil/sn_cf447364cc7c41416746b9c4928c85ce/rendering/13.obj", "4.79725463867")</f>
        <v>4.79725463867</v>
      </c>
      <c r="Q2004" s="6" t="str">
        <f>HYPERLINK(AB2 &amp; "/pencil/sn_cf447364cc7c41416746b9c4928c85ce/rendering/14.obj", "5.05956359863")</f>
        <v>5.05956359863</v>
      </c>
      <c r="R2004" s="47" t="str">
        <f>HYPERLINK(AB2 &amp; "/pencil/sn_cf447364cc7c41416746b9c4928c85ce/rendering/15.obj", "4.88301208496")</f>
        <v>4.88301208496</v>
      </c>
      <c r="S2004" s="46" t="str">
        <f>HYPERLINK(AB2 &amp; "/pencil/sn_cf447364cc7c41416746b9c4928c85ce/rendering/16.obj", "4.93532104492")</f>
        <v>4.93532104492</v>
      </c>
      <c r="T2004" s="91" t="str">
        <f>HYPERLINK(AB2 &amp; "/pencil/sn_cf447364cc7c41416746b9c4928c85ce/rendering/17.obj", "4.97063293457")</f>
        <v>4.97063293457</v>
      </c>
      <c r="U2004" s="69" t="str">
        <f>HYPERLINK(AB2 &amp; "/pencil/sn_cf447364cc7c41416746b9c4928c85ce/rendering/18.obj", "4.70666442871")</f>
        <v>4.70666442871</v>
      </c>
      <c r="V2004" s="10" t="str">
        <f>HYPERLINK(AB2 &amp; "/pencil/sn_cf447364cc7c41416746b9c4928c85ce/rendering/19.obj", "4.58177978516")</f>
        <v>4.58177978516</v>
      </c>
      <c r="W2004" s="12" t="s">
        <v>31</v>
      </c>
      <c r="X2004" s="13">
        <v>4.8450953826904293</v>
      </c>
      <c r="Y2004" s="13">
        <v>0.13746574954273641</v>
      </c>
      <c r="Z2004" s="69">
        <v>2.8372145166397762E-2</v>
      </c>
    </row>
    <row r="2005" spans="1:26" x14ac:dyDescent="0.2">
      <c r="A2005" s="1">
        <v>2003</v>
      </c>
      <c r="B2005" s="2" t="s">
        <v>433</v>
      </c>
      <c r="C2005" s="25" t="str">
        <f>HYPERLINK(AB2 &amp; "/pencil/sn_cf447364cc7c41416746b9c4928c85ce/rendering/00.obj", "1.05806434155")</f>
        <v>1.05806434155</v>
      </c>
      <c r="D2005" s="74" t="str">
        <f>HYPERLINK(AB2 &amp; "/pencil/sn_cf447364cc7c41416746b9c4928c85ce/rendering/01.obj", "1.08610129356")</f>
        <v>1.08610129356</v>
      </c>
      <c r="E2005" s="30" t="str">
        <f>HYPERLINK(AB2 &amp; "/pencil/sn_cf447364cc7c41416746b9c4928c85ce/rendering/02.obj", "1.07524478436")</f>
        <v>1.07524478436</v>
      </c>
      <c r="F2005" s="117" t="str">
        <f>HYPERLINK(AB2 &amp; "/pencil/sn_cf447364cc7c41416746b9c4928c85ce/rendering/03.obj", "0.880711495876")</f>
        <v>0.880711495876</v>
      </c>
      <c r="G2005" s="76" t="str">
        <f>HYPERLINK(AB2 &amp; "/pencil/sn_cf447364cc7c41416746b9c4928c85ce/rendering/04.obj", "1.26722109318")</f>
        <v>1.26722109318</v>
      </c>
      <c r="H2005" s="72" t="str">
        <f>HYPERLINK(AB2 &amp; "/pencil/sn_cf447364cc7c41416746b9c4928c85ce/rendering/05.obj", "1.1057715416")</f>
        <v>1.1057715416</v>
      </c>
      <c r="I2005" s="66" t="str">
        <f>HYPERLINK(AB2 &amp; "/pencil/sn_cf447364cc7c41416746b9c4928c85ce/rendering/06.obj", "0.899419188499")</f>
        <v>0.899419188499</v>
      </c>
      <c r="J2005" s="133" t="str">
        <f>HYPERLINK(AB2 &amp; "/pencil/sn_cf447364cc7c41416746b9c4928c85ce/rendering/07.obj", "0.962567329407")</f>
        <v>0.962567329407</v>
      </c>
      <c r="K2005" s="48" t="str">
        <f>HYPERLINK(AB2 &amp; "/pencil/sn_cf447364cc7c41416746b9c4928c85ce/rendering/08.obj", "1.09545791149")</f>
        <v>1.09545791149</v>
      </c>
      <c r="L2005" s="27" t="str">
        <f>HYPERLINK(AB2 &amp; "/pencil/sn_cf447364cc7c41416746b9c4928c85ce/rendering/09.obj", "0.993886172771")</f>
        <v>0.993886172771</v>
      </c>
      <c r="M2005" s="107" t="str">
        <f>HYPERLINK(AB2 &amp; "/pencil/sn_cf447364cc7c41416746b9c4928c85ce/rendering/10.obj", "1.15847659111")</f>
        <v>1.15847659111</v>
      </c>
      <c r="N2005" s="40" t="str">
        <f>HYPERLINK(AB2 &amp; "/pencil/sn_cf447364cc7c41416746b9c4928c85ce/rendering/11.obj", "1.25530481339")</f>
        <v>1.25530481339</v>
      </c>
      <c r="O2005" s="69" t="str">
        <f>HYPERLINK(AB2 &amp; "/pencil/sn_cf447364cc7c41416746b9c4928c85ce/rendering/12.obj", "1.10318660736")</f>
        <v>1.10318660736</v>
      </c>
      <c r="P2005" s="32" t="str">
        <f>HYPERLINK(AB2 &amp; "/pencil/sn_cf447364cc7c41416746b9c4928c85ce/rendering/13.obj", "0.956757187843")</f>
        <v>0.956757187843</v>
      </c>
      <c r="Q2005" s="36" t="str">
        <f>HYPERLINK(AB2 &amp; "/pencil/sn_cf447364cc7c41416746b9c4928c85ce/rendering/14.obj", "1.29999697208")</f>
        <v>1.29999697208</v>
      </c>
      <c r="R2005" s="74" t="str">
        <f>HYPERLINK(AB2 &amp; "/pencil/sn_cf447364cc7c41416746b9c4928c85ce/rendering/15.obj", "1.05743634701")</f>
        <v>1.05743634701</v>
      </c>
      <c r="S2005" s="74" t="str">
        <f>HYPERLINK(AB2 &amp; "/pencil/sn_cf447364cc7c41416746b9c4928c85ce/rendering/16.obj", "1.05664122105")</f>
        <v>1.05664122105</v>
      </c>
      <c r="T2005" s="134" t="str">
        <f>HYPERLINK(AB2 &amp; "/pencil/sn_cf447364cc7c41416746b9c4928c85ce/rendering/17.obj", "1.26369309425")</f>
        <v>1.26369309425</v>
      </c>
      <c r="U2005" s="67" t="str">
        <f>HYPERLINK(AB2 &amp; "/pencil/sn_cf447364cc7c41416746b9c4928c85ce/rendering/18.obj", "0.972010672092")</f>
        <v>0.972010672092</v>
      </c>
      <c r="V2005" s="77" t="str">
        <f>HYPERLINK(AB2 &amp; "/pencil/sn_cf447364cc7c41416746b9c4928c85ce/rendering/19.obj", "0.869881749153")</f>
        <v>0.869881749153</v>
      </c>
      <c r="W2005" s="12" t="s">
        <v>32</v>
      </c>
      <c r="X2005" s="13">
        <v>1.0708915203809739</v>
      </c>
      <c r="Y2005" s="13">
        <v>0.12648965355279221</v>
      </c>
      <c r="Z2005" s="71">
        <v>0.1181162154573724</v>
      </c>
    </row>
    <row r="2006" spans="1:26" x14ac:dyDescent="0.2">
      <c r="A2006" s="1">
        <v>2004</v>
      </c>
      <c r="B2006" s="2" t="s">
        <v>433</v>
      </c>
      <c r="C2006" s="13" t="str">
        <f>HYPERLINK(AC2 &amp; "/pencil/sn_cf447364cc7c41416746b9c4928c85ce/rendering/00.xyz", "0.0")</f>
        <v>0.0</v>
      </c>
      <c r="D2006" s="13" t="str">
        <f>HYPERLINK(AC2 &amp; "/pencil/sn_cf447364cc7c41416746b9c4928c85ce/rendering/01.xyz", "0.0")</f>
        <v>0.0</v>
      </c>
      <c r="E2006" s="13" t="str">
        <f>HYPERLINK(AC2 &amp; "/pencil/sn_cf447364cc7c41416746b9c4928c85ce/rendering/02.xyz", "0.0")</f>
        <v>0.0</v>
      </c>
      <c r="F2006" s="13" t="str">
        <f>HYPERLINK(AC2 &amp; "/pencil/sn_cf447364cc7c41416746b9c4928c85ce/rendering/03.xyz", "0.0")</f>
        <v>0.0</v>
      </c>
      <c r="G2006" s="13" t="str">
        <f>HYPERLINK(AC2 &amp; "/pencil/sn_cf447364cc7c41416746b9c4928c85ce/rendering/04.xyz", "0.0")</f>
        <v>0.0</v>
      </c>
      <c r="H2006" s="13" t="str">
        <f>HYPERLINK(AC2 &amp; "/pencil/sn_cf447364cc7c41416746b9c4928c85ce/rendering/05.xyz", "0.0")</f>
        <v>0.0</v>
      </c>
      <c r="I2006" s="13" t="str">
        <f>HYPERLINK(AC2 &amp; "/pencil/sn_cf447364cc7c41416746b9c4928c85ce/rendering/06.xyz", "0.0")</f>
        <v>0.0</v>
      </c>
      <c r="J2006" s="13" t="str">
        <f>HYPERLINK(AC2 &amp; "/pencil/sn_cf447364cc7c41416746b9c4928c85ce/rendering/07.xyz", "0.0")</f>
        <v>0.0</v>
      </c>
      <c r="K2006" s="13" t="str">
        <f>HYPERLINK(AC2 &amp; "/pencil/sn_cf447364cc7c41416746b9c4928c85ce/rendering/08.xyz", "0.0")</f>
        <v>0.0</v>
      </c>
      <c r="L2006" s="13" t="str">
        <f>HYPERLINK(AC2 &amp; "/pencil/sn_cf447364cc7c41416746b9c4928c85ce/rendering/09.xyz", "0.0")</f>
        <v>0.0</v>
      </c>
      <c r="M2006" s="13" t="str">
        <f>HYPERLINK(AC2 &amp; "/pencil/sn_cf447364cc7c41416746b9c4928c85ce/rendering/10.xyz", "0.0")</f>
        <v>0.0</v>
      </c>
      <c r="N2006" s="13" t="str">
        <f>HYPERLINK(AC2 &amp; "/pencil/sn_cf447364cc7c41416746b9c4928c85ce/rendering/11.xyz", "0.0")</f>
        <v>0.0</v>
      </c>
      <c r="O2006" s="13" t="str">
        <f>HYPERLINK(AC2 &amp; "/pencil/sn_cf447364cc7c41416746b9c4928c85ce/rendering/12.xyz", "0.0")</f>
        <v>0.0</v>
      </c>
      <c r="P2006" s="13" t="str">
        <f>HYPERLINK(AC2 &amp; "/pencil/sn_cf447364cc7c41416746b9c4928c85ce/rendering/13.xyz", "0.0")</f>
        <v>0.0</v>
      </c>
      <c r="Q2006" s="13" t="str">
        <f>HYPERLINK(AC2 &amp; "/pencil/sn_cf447364cc7c41416746b9c4928c85ce/rendering/14.xyz", "0.0")</f>
        <v>0.0</v>
      </c>
      <c r="R2006" s="13" t="str">
        <f>HYPERLINK(AC2 &amp; "/pencil/sn_cf447364cc7c41416746b9c4928c85ce/rendering/15.xyz", "0.0")</f>
        <v>0.0</v>
      </c>
      <c r="S2006" s="13" t="str">
        <f>HYPERLINK(AC2 &amp; "/pencil/sn_cf447364cc7c41416746b9c4928c85ce/rendering/16.xyz", "0.0")</f>
        <v>0.0</v>
      </c>
      <c r="T2006" s="13" t="str">
        <f>HYPERLINK(AC2 &amp; "/pencil/sn_cf447364cc7c41416746b9c4928c85ce/rendering/17.xyz", "0.0")</f>
        <v>0.0</v>
      </c>
      <c r="U2006" s="13" t="str">
        <f>HYPERLINK(AC2 &amp; "/pencil/sn_cf447364cc7c41416746b9c4928c85ce/rendering/18.xyz", "0.0")</f>
        <v>0.0</v>
      </c>
      <c r="V2006" s="13" t="str">
        <f>HYPERLINK(AC2 &amp; "/pencil/sn_cf447364cc7c41416746b9c4928c85ce/rendering/19.xyz", "0.0")</f>
        <v>0.0</v>
      </c>
      <c r="W2006" s="12" t="s">
        <v>33</v>
      </c>
      <c r="X2006" s="13">
        <v>0</v>
      </c>
      <c r="Y2006" s="13">
        <v>0</v>
      </c>
      <c r="Z2006" s="13">
        <v>0</v>
      </c>
    </row>
    <row r="2007" spans="1:26" x14ac:dyDescent="0.2">
      <c r="A2007" s="1">
        <v>2005</v>
      </c>
      <c r="B2007" s="2" t="s">
        <v>434</v>
      </c>
      <c r="C2007" s="20" t="str">
        <f>HYPERLINK(AA2 &amp; "/pencil/sn_d058aaf8dce9b1b4a7750b1c1c7105a4/rendering/00.obj", "11.5062695313")</f>
        <v>11.5062695313</v>
      </c>
      <c r="D2007" s="192" t="str">
        <f>HYPERLINK(AA2 &amp; "/pencil/sn_d058aaf8dce9b1b4a7750b1c1c7105a4/rendering/01.obj", "3.92915863037")</f>
        <v>3.92915863037</v>
      </c>
      <c r="E2007" s="128" t="str">
        <f>HYPERLINK(AA2 &amp; "/pencil/sn_d058aaf8dce9b1b4a7750b1c1c7105a4/rendering/02.obj", "3.81451324463")</f>
        <v>3.81451324463</v>
      </c>
      <c r="F2007" s="58" t="str">
        <f>HYPERLINK(AA2 &amp; "/pencil/sn_d058aaf8dce9b1b4a7750b1c1c7105a4/rendering/03.obj", "7.79324951172")</f>
        <v>7.79324951172</v>
      </c>
      <c r="G2007" s="158" t="str">
        <f>HYPERLINK(AA2 &amp; "/pencil/sn_d058aaf8dce9b1b4a7750b1c1c7105a4/rendering/04.obj", "3.69480102539")</f>
        <v>3.69480102539</v>
      </c>
      <c r="H2007" s="26" t="str">
        <f>HYPERLINK(AA2 &amp; "/pencil/sn_d058aaf8dce9b1b4a7750b1c1c7105a4/rendering/05.obj", "5.86658203125")</f>
        <v>5.86658203125</v>
      </c>
      <c r="I2007" s="185" t="str">
        <f>HYPERLINK(AA2 &amp; "/pencil/sn_d058aaf8dce9b1b4a7750b1c1c7105a4/rendering/06.obj", "4.13235229492")</f>
        <v>4.13235229492</v>
      </c>
      <c r="J2007" s="193" t="str">
        <f>HYPERLINK(AA2 &amp; "/pencil/sn_d058aaf8dce9b1b4a7750b1c1c7105a4/rendering/07.obj", "4.19695861816")</f>
        <v>4.19695861816</v>
      </c>
      <c r="K2007" s="29" t="str">
        <f>HYPERLINK(AA2 &amp; "/pencil/sn_d058aaf8dce9b1b4a7750b1c1c7105a4/rendering/08.obj", "5.45823669434")</f>
        <v>5.45823669434</v>
      </c>
      <c r="L2007" s="140" t="str">
        <f>HYPERLINK(AA2 &amp; "/pencil/sn_d058aaf8dce9b1b4a7750b1c1c7105a4/rendering/09.obj", "4.10126342773")</f>
        <v>4.10126342773</v>
      </c>
      <c r="M2007" s="93" t="str">
        <f>HYPERLINK(AA2 &amp; "/pencil/sn_d058aaf8dce9b1b4a7750b1c1c7105a4/rendering/10.obj", "5.40014160156")</f>
        <v>5.40014160156</v>
      </c>
      <c r="N2007" s="106" t="str">
        <f>HYPERLINK(AA2 &amp; "/pencil/sn_d058aaf8dce9b1b4a7750b1c1c7105a4/rendering/11.obj", "5.55183532715")</f>
        <v>5.55183532715</v>
      </c>
      <c r="O2007" s="4" t="str">
        <f>HYPERLINK(AA2 &amp; "/pencil/sn_d058aaf8dce9b1b4a7750b1c1c7105a4/rendering/12.obj", "4.48306274414")</f>
        <v>4.48306274414</v>
      </c>
      <c r="P2007" s="20" t="str">
        <f>HYPERLINK(AA2 &amp; "/pencil/sn_d058aaf8dce9b1b4a7750b1c1c7105a4/rendering/13.obj", "15.5310693359")</f>
        <v>15.5310693359</v>
      </c>
      <c r="Q2007" s="20" t="str">
        <f>HYPERLINK(AA2 &amp; "/pencil/sn_d058aaf8dce9b1b4a7750b1c1c7105a4/rendering/14.obj", "12.0149853516")</f>
        <v>12.0149853516</v>
      </c>
      <c r="R2007" s="128" t="str">
        <f>HYPERLINK(AA2 &amp; "/pencil/sn_d058aaf8dce9b1b4a7750b1c1c7105a4/rendering/15.obj", "3.81231384277")</f>
        <v>3.81231384277</v>
      </c>
      <c r="S2007" s="117" t="str">
        <f>HYPERLINK(AA2 &amp; "/pencil/sn_d058aaf8dce9b1b4a7750b1c1c7105a4/rendering/16.obj", "5.15715393066")</f>
        <v>5.15715393066</v>
      </c>
      <c r="T2007" s="254" t="str">
        <f>HYPERLINK(AA2 &amp; "/pencil/sn_d058aaf8dce9b1b4a7750b1c1c7105a4/rendering/17.obj", "11.1184899902")</f>
        <v>11.1184899902</v>
      </c>
      <c r="U2007" s="124" t="str">
        <f>HYPERLINK(AA2 &amp; "/pencil/sn_d058aaf8dce9b1b4a7750b1c1c7105a4/rendering/18.obj", "3.87812469482")</f>
        <v>3.87812469482</v>
      </c>
      <c r="V2007" s="124" t="str">
        <f>HYPERLINK(AA2 &amp; "/pencil/sn_d058aaf8dce9b1b4a7750b1c1c7105a4/rendering/19.obj", "3.87951538086")</f>
        <v>3.87951538086</v>
      </c>
      <c r="W2007" s="12" t="s">
        <v>29</v>
      </c>
      <c r="X2007" s="13">
        <v>6.2660038604736332</v>
      </c>
      <c r="Y2007" s="13">
        <v>3.374396699565287</v>
      </c>
      <c r="Z2007" s="150">
        <v>0.5385245165345659</v>
      </c>
    </row>
    <row r="2008" spans="1:26" x14ac:dyDescent="0.2">
      <c r="A2008" s="1">
        <v>2006</v>
      </c>
      <c r="B2008" s="2" t="s">
        <v>434</v>
      </c>
      <c r="C2008" s="20" t="str">
        <f>HYPERLINK(AA2 &amp; "/pencil/sn_d058aaf8dce9b1b4a7750b1c1c7105a4/rendering/00.obj", "13.054397583")</f>
        <v>13.054397583</v>
      </c>
      <c r="D2008" s="222" t="str">
        <f>HYPERLINK(AA2 &amp; "/pencil/sn_d058aaf8dce9b1b4a7750b1c1c7105a4/rendering/01.obj", "1.32940733433")</f>
        <v>1.32940733433</v>
      </c>
      <c r="E2008" s="20" t="str">
        <f>HYPERLINK(AA2 &amp; "/pencil/sn_d058aaf8dce9b1b4a7750b1c1c7105a4/rendering/02.obj", "1.05501842499")</f>
        <v>1.05501842499</v>
      </c>
      <c r="F2008" s="27" t="str">
        <f>HYPERLINK(AA2 &amp; "/pencil/sn_d058aaf8dce9b1b4a7750b1c1c7105a4/rendering/03.obj", "4.90187358856")</f>
        <v>4.90187358856</v>
      </c>
      <c r="G2008" s="146" t="str">
        <f>HYPERLINK(AA2 &amp; "/pencil/sn_d058aaf8dce9b1b4a7750b1c1c7105a4/rendering/04.obj", "1.18468821049")</f>
        <v>1.18468821049</v>
      </c>
      <c r="H2008" s="175" t="str">
        <f>HYPERLINK(AA2 &amp; "/pencil/sn_d058aaf8dce9b1b4a7750b1c1c7105a4/rendering/05.obj", "4.0400261879")</f>
        <v>4.0400261879</v>
      </c>
      <c r="I2008" s="248" t="str">
        <f>HYPERLINK(AA2 &amp; "/pencil/sn_d058aaf8dce9b1b4a7750b1c1c7105a4/rendering/06.obj", "1.7980850935")</f>
        <v>1.7980850935</v>
      </c>
      <c r="J2008" s="165" t="str">
        <f>HYPERLINK(AA2 &amp; "/pencil/sn_d058aaf8dce9b1b4a7750b1c1c7105a4/rendering/07.obj", "1.62017810345")</f>
        <v>1.62017810345</v>
      </c>
      <c r="K2008" s="153" t="str">
        <f>HYPERLINK(AA2 &amp; "/pencil/sn_d058aaf8dce9b1b4a7750b1c1c7105a4/rendering/08.obj", "3.38885259628")</f>
        <v>3.38885259628</v>
      </c>
      <c r="L2008" s="155" t="str">
        <f>HYPERLINK(AA2 &amp; "/pencil/sn_d058aaf8dce9b1b4a7750b1c1c7105a4/rendering/09.obj", "1.71235716343")</f>
        <v>1.71235716343</v>
      </c>
      <c r="M2008" s="140" t="str">
        <f>HYPERLINK(AA2 &amp; "/pencil/sn_d058aaf8dce9b1b4a7750b1c1c7105a4/rendering/10.obj", "3.45383238792")</f>
        <v>3.45383238792</v>
      </c>
      <c r="N2008" s="191" t="str">
        <f>HYPERLINK(AA2 &amp; "/pencil/sn_d058aaf8dce9b1b4a7750b1c1c7105a4/rendering/11.obj", "2.87630057335")</f>
        <v>2.87630057335</v>
      </c>
      <c r="O2008" s="216" t="str">
        <f>HYPERLINK(AA2 &amp; "/pencil/sn_d058aaf8dce9b1b4a7750b1c1c7105a4/rendering/12.obj", "1.84398508072")</f>
        <v>1.84398508072</v>
      </c>
      <c r="P2008" s="20" t="str">
        <f>HYPERLINK(AA2 &amp; "/pencil/sn_d058aaf8dce9b1b4a7750b1c1c7105a4/rendering/13.obj", "28.3276100159")</f>
        <v>28.3276100159</v>
      </c>
      <c r="Q2008" s="20" t="str">
        <f>HYPERLINK(AA2 &amp; "/pencil/sn_d058aaf8dce9b1b4a7750b1c1c7105a4/rendering/14.obj", "15.3181438446")</f>
        <v>15.3181438446</v>
      </c>
      <c r="R2008" s="232" t="str">
        <f>HYPERLINK(AA2 &amp; "/pencil/sn_d058aaf8dce9b1b4a7750b1c1c7105a4/rendering/15.obj", "1.14725196362")</f>
        <v>1.14725196362</v>
      </c>
      <c r="S2008" s="181" t="str">
        <f>HYPERLINK(AA2 &amp; "/pencil/sn_d058aaf8dce9b1b4a7750b1c1c7105a4/rendering/16.obj", "2.92476630211")</f>
        <v>2.92476630211</v>
      </c>
      <c r="T2008" s="20" t="str">
        <f>HYPERLINK(AA2 &amp; "/pencil/sn_d058aaf8dce9b1b4a7750b1c1c7105a4/rendering/17.obj", "12.8104095459")</f>
        <v>12.8104095459</v>
      </c>
      <c r="U2008" s="154" t="str">
        <f>HYPERLINK(AA2 &amp; "/pencil/sn_d058aaf8dce9b1b4a7750b1c1c7105a4/rendering/18.obj", "1.34239256382")</f>
        <v>1.34239256382</v>
      </c>
      <c r="V2008" s="234" t="str">
        <f>HYPERLINK(AA2 &amp; "/pencil/sn_d058aaf8dce9b1b4a7750b1c1c7105a4/rendering/19.obj", "1.35827875137")</f>
        <v>1.35827875137</v>
      </c>
      <c r="W2008" s="12" t="s">
        <v>30</v>
      </c>
      <c r="X2008" s="13">
        <v>5.2743927657604219</v>
      </c>
      <c r="Y2008" s="13">
        <v>6.7722480846888287</v>
      </c>
      <c r="Z2008" s="20">
        <v>1.2839863061871271</v>
      </c>
    </row>
    <row r="2009" spans="1:26" x14ac:dyDescent="0.2">
      <c r="A2009" s="1">
        <v>2007</v>
      </c>
      <c r="B2009" s="2" t="s">
        <v>434</v>
      </c>
      <c r="C2009" s="72" t="str">
        <f>HYPERLINK(AB2 &amp; "/pencil/sn_d058aaf8dce9b1b4a7750b1c1c7105a4/rendering/00.obj", "3.65640319824")</f>
        <v>3.65640319824</v>
      </c>
      <c r="D2009" s="68" t="str">
        <f>HYPERLINK(AB2 &amp; "/pencil/sn_d058aaf8dce9b1b4a7750b1c1c7105a4/rendering/01.obj", "3.3957421875")</f>
        <v>3.3957421875</v>
      </c>
      <c r="E2009" s="69" t="str">
        <f>HYPERLINK(AB2 &amp; "/pencil/sn_d058aaf8dce9b1b4a7750b1c1c7105a4/rendering/02.obj", "3.44245605469")</f>
        <v>3.44245605469</v>
      </c>
      <c r="F2009" s="17" t="str">
        <f>HYPERLINK(AB2 &amp; "/pencil/sn_d058aaf8dce9b1b4a7750b1c1c7105a4/rendering/03.obj", "3.61047119141")</f>
        <v>3.61047119141</v>
      </c>
      <c r="G2009" s="42" t="str">
        <f>HYPERLINK(AB2 &amp; "/pencil/sn_d058aaf8dce9b1b4a7750b1c1c7105a4/rendering/04.obj", "3.0620916748")</f>
        <v>3.0620916748</v>
      </c>
      <c r="H2009" s="91" t="str">
        <f>HYPERLINK(AB2 &amp; "/pencil/sn_d058aaf8dce9b1b4a7750b1c1c7105a4/rendering/05.obj", "3.63192932129")</f>
        <v>3.63192932129</v>
      </c>
      <c r="I2009" s="39" t="str">
        <f>HYPERLINK(AB2 &amp; "/pencil/sn_d058aaf8dce9b1b4a7750b1c1c7105a4/rendering/06.obj", "3.24089385986")</f>
        <v>3.24089385986</v>
      </c>
      <c r="J2009" s="72" t="str">
        <f>HYPERLINK(AB2 &amp; "/pencil/sn_d058aaf8dce9b1b4a7750b1c1c7105a4/rendering/07.obj", "3.66368164063")</f>
        <v>3.66368164063</v>
      </c>
      <c r="K2009" s="69" t="str">
        <f>HYPERLINK(AB2 &amp; "/pencil/sn_d058aaf8dce9b1b4a7750b1c1c7105a4/rendering/08.obj", "3.64918273926")</f>
        <v>3.64918273926</v>
      </c>
      <c r="L2009" s="28" t="str">
        <f>HYPERLINK(AB2 &amp; "/pencil/sn_d058aaf8dce9b1b4a7750b1c1c7105a4/rendering/09.obj", "3.9317779541")</f>
        <v>3.9317779541</v>
      </c>
      <c r="M2009" s="30" t="str">
        <f>HYPERLINK(AB2 &amp; "/pencil/sn_d058aaf8dce9b1b4a7750b1c1c7105a4/rendering/10.obj", "3.5258380127")</f>
        <v>3.5258380127</v>
      </c>
      <c r="N2009" s="72" t="str">
        <f>HYPERLINK(AB2 &amp; "/pencil/sn_d058aaf8dce9b1b4a7750b1c1c7105a4/rendering/11.obj", "3.66034973145")</f>
        <v>3.66034973145</v>
      </c>
      <c r="O2009" s="106" t="str">
        <f>HYPERLINK(AB2 &amp; "/pencil/sn_d058aaf8dce9b1b4a7750b1c1c7105a4/rendering/12.obj", "3.94779296875")</f>
        <v>3.94779296875</v>
      </c>
      <c r="P2009" s="35" t="str">
        <f>HYPERLINK(AB2 &amp; "/pencil/sn_d058aaf8dce9b1b4a7750b1c1c7105a4/rendering/13.obj", "3.33870117187")</f>
        <v>3.33870117187</v>
      </c>
      <c r="Q2009" s="69" t="str">
        <f>HYPERLINK(AB2 &amp; "/pencil/sn_d058aaf8dce9b1b4a7750b1c1c7105a4/rendering/14.obj", "3.4373651123")</f>
        <v>3.4373651123</v>
      </c>
      <c r="R2009" s="69" t="str">
        <f>HYPERLINK(AB2 &amp; "/pencil/sn_d058aaf8dce9b1b4a7750b1c1c7105a4/rendering/15.obj", "3.44029174805")</f>
        <v>3.44029174805</v>
      </c>
      <c r="S2009" s="30" t="str">
        <f>HYPERLINK(AB2 &amp; "/pencil/sn_d058aaf8dce9b1b4a7750b1c1c7105a4/rendering/16.obj", "3.55529571533")</f>
        <v>3.55529571533</v>
      </c>
      <c r="T2009" s="74" t="str">
        <f>HYPERLINK(AB2 &amp; "/pencil/sn_d058aaf8dce9b1b4a7750b1c1c7105a4/rendering/17.obj", "3.58948059082")</f>
        <v>3.58948059082</v>
      </c>
      <c r="U2009" s="27" t="str">
        <f>HYPERLINK(AB2 &amp; "/pencil/sn_d058aaf8dce9b1b4a7750b1c1c7105a4/rendering/18.obj", "3.28756561279")</f>
        <v>3.28756561279</v>
      </c>
      <c r="V2009" s="41" t="str">
        <f>HYPERLINK(AB2 &amp; "/pencil/sn_d058aaf8dce9b1b4a7750b1c1c7105a4/rendering/19.obj", "3.78688110352")</f>
        <v>3.78688110352</v>
      </c>
      <c r="W2009" s="12" t="s">
        <v>31</v>
      </c>
      <c r="X2009" s="13">
        <v>3.5427095794677732</v>
      </c>
      <c r="Y2009" s="13">
        <v>0.21506351563540421</v>
      </c>
      <c r="Z2009" s="78">
        <v>6.070594013176589E-2</v>
      </c>
    </row>
    <row r="2010" spans="1:26" x14ac:dyDescent="0.2">
      <c r="A2010" s="1">
        <v>2008</v>
      </c>
      <c r="B2010" s="2" t="s">
        <v>434</v>
      </c>
      <c r="C2010" s="217" t="str">
        <f>HYPERLINK(AB2 &amp; "/pencil/sn_d058aaf8dce9b1b4a7750b1c1c7105a4/rendering/00.obj", "2.00192546844")</f>
        <v>2.00192546844</v>
      </c>
      <c r="D2010" s="92" t="str">
        <f>HYPERLINK(AB2 &amp; "/pencil/sn_d058aaf8dce9b1b4a7750b1c1c7105a4/rendering/01.obj", "1.07481217384")</f>
        <v>1.07481217384</v>
      </c>
      <c r="E2010" s="11" t="str">
        <f>HYPERLINK(AB2 &amp; "/pencil/sn_d058aaf8dce9b1b4a7750b1c1c7105a4/rendering/02.obj", "0.94962310791")</f>
        <v>0.94962310791</v>
      </c>
      <c r="F2010" s="48" t="str">
        <f>HYPERLINK(AB2 &amp; "/pencil/sn_d058aaf8dce9b1b4a7750b1c1c7105a4/rendering/03.obj", "1.25438797474")</f>
        <v>1.25438797474</v>
      </c>
      <c r="G2010" s="17" t="str">
        <f>HYPERLINK(AB2 &amp; "/pencil/sn_d058aaf8dce9b1b4a7750b1c1c7105a4/rendering/04.obj", "1.19994497299")</f>
        <v>1.19994497299</v>
      </c>
      <c r="H2010" s="25" t="str">
        <f>HYPERLINK(AB2 &amp; "/pencil/sn_d058aaf8dce9b1b4a7750b1c1c7105a4/rendering/05.obj", "1.21456062794")</f>
        <v>1.21456062794</v>
      </c>
      <c r="I2010" s="80" t="str">
        <f>HYPERLINK(AB2 &amp; "/pencil/sn_d058aaf8dce9b1b4a7750b1c1c7105a4/rendering/06.obj", "1.04494762421")</f>
        <v>1.04494762421</v>
      </c>
      <c r="J2010" s="81" t="str">
        <f>HYPERLINK(AB2 &amp; "/pencil/sn_d058aaf8dce9b1b4a7750b1c1c7105a4/rendering/07.obj", "0.959218800068")</f>
        <v>0.959218800068</v>
      </c>
      <c r="K2010" s="31" t="str">
        <f>HYPERLINK(AB2 &amp; "/pencil/sn_d058aaf8dce9b1b4a7750b1c1c7105a4/rendering/08.obj", "1.03583025932")</f>
        <v>1.03583025932</v>
      </c>
      <c r="L2010" s="92" t="str">
        <f>HYPERLINK(AB2 &amp; "/pencil/sn_d058aaf8dce9b1b4a7750b1c1c7105a4/rendering/09.obj", "1.07260978222")</f>
        <v>1.07260978222</v>
      </c>
      <c r="M2010" s="50" t="str">
        <f>HYPERLINK(AB2 &amp; "/pencil/sn_d058aaf8dce9b1b4a7750b1c1c7105a4/rendering/10.obj", "1.47003555298")</f>
        <v>1.47003555298</v>
      </c>
      <c r="N2010" s="41" t="str">
        <f>HYPERLINK(AB2 &amp; "/pencil/sn_d058aaf8dce9b1b4a7750b1c1c7105a4/rendering/11.obj", "1.30994737148")</f>
        <v>1.30994737148</v>
      </c>
      <c r="O2010" s="70" t="str">
        <f>HYPERLINK(AB2 &amp; "/pencil/sn_d058aaf8dce9b1b4a7750b1c1c7105a4/rendering/12.obj", "1.38420939445")</f>
        <v>1.38420939445</v>
      </c>
      <c r="P2010" s="6" t="str">
        <f>HYPERLINK(AB2 &amp; "/pencil/sn_d058aaf8dce9b1b4a7750b1c1c7105a4/rendering/13.obj", "1.17056941986")</f>
        <v>1.17056941986</v>
      </c>
      <c r="Q2010" s="64" t="str">
        <f>HYPERLINK(AB2 &amp; "/pencil/sn_d058aaf8dce9b1b4a7750b1c1c7105a4/rendering/14.obj", "1.42797780037")</f>
        <v>1.42797780037</v>
      </c>
      <c r="R2010" s="75" t="str">
        <f>HYPERLINK(AB2 &amp; "/pencil/sn_d058aaf8dce9b1b4a7750b1c1c7105a4/rendering/15.obj", "0.955835223198")</f>
        <v>0.955835223198</v>
      </c>
      <c r="S2010" s="88" t="str">
        <f>HYPERLINK(AB2 &amp; "/pencil/sn_d058aaf8dce9b1b4a7750b1c1c7105a4/rendering/16.obj", "0.976721823215")</f>
        <v>0.976721823215</v>
      </c>
      <c r="T2010" s="70" t="str">
        <f>HYPERLINK(AB2 &amp; "/pencil/sn_d058aaf8dce9b1b4a7750b1c1c7105a4/rendering/17.obj", "1.38220703602")</f>
        <v>1.38220703602</v>
      </c>
      <c r="U2010" s="28" t="str">
        <f>HYPERLINK(AB2 &amp; "/pencil/sn_d058aaf8dce9b1b4a7750b1c1c7105a4/rendering/18.obj", "1.08857727051")</f>
        <v>1.08857727051</v>
      </c>
      <c r="V2010" s="86" t="str">
        <f>HYPERLINK(AB2 &amp; "/pencil/sn_d058aaf8dce9b1b4a7750b1c1c7105a4/rendering/19.obj", "1.55598425865")</f>
        <v>1.55598425865</v>
      </c>
      <c r="W2010" s="12" t="s">
        <v>32</v>
      </c>
      <c r="X2010" s="13">
        <v>1.226496297121048</v>
      </c>
      <c r="Y2010" s="13">
        <v>0.25390553268193161</v>
      </c>
      <c r="Z2010" s="82">
        <v>0.20701695820682331</v>
      </c>
    </row>
    <row r="2011" spans="1:26" x14ac:dyDescent="0.2">
      <c r="A2011" s="1">
        <v>2009</v>
      </c>
      <c r="B2011" s="2" t="s">
        <v>434</v>
      </c>
      <c r="C2011" s="13" t="str">
        <f>HYPERLINK(AC2 &amp; "/pencil/sn_d058aaf8dce9b1b4a7750b1c1c7105a4/rendering/00.xyz", "0.0")</f>
        <v>0.0</v>
      </c>
      <c r="D2011" s="13" t="str">
        <f>HYPERLINK(AC2 &amp; "/pencil/sn_d058aaf8dce9b1b4a7750b1c1c7105a4/rendering/01.xyz", "0.0")</f>
        <v>0.0</v>
      </c>
      <c r="E2011" s="13" t="str">
        <f>HYPERLINK(AC2 &amp; "/pencil/sn_d058aaf8dce9b1b4a7750b1c1c7105a4/rendering/02.xyz", "0.0")</f>
        <v>0.0</v>
      </c>
      <c r="F2011" s="13" t="str">
        <f>HYPERLINK(AC2 &amp; "/pencil/sn_d058aaf8dce9b1b4a7750b1c1c7105a4/rendering/03.xyz", "0.0")</f>
        <v>0.0</v>
      </c>
      <c r="G2011" s="13" t="str">
        <f>HYPERLINK(AC2 &amp; "/pencil/sn_d058aaf8dce9b1b4a7750b1c1c7105a4/rendering/04.xyz", "0.0")</f>
        <v>0.0</v>
      </c>
      <c r="H2011" s="13" t="str">
        <f>HYPERLINK(AC2 &amp; "/pencil/sn_d058aaf8dce9b1b4a7750b1c1c7105a4/rendering/05.xyz", "0.0")</f>
        <v>0.0</v>
      </c>
      <c r="I2011" s="13" t="str">
        <f>HYPERLINK(AC2 &amp; "/pencil/sn_d058aaf8dce9b1b4a7750b1c1c7105a4/rendering/06.xyz", "0.0")</f>
        <v>0.0</v>
      </c>
      <c r="J2011" s="13" t="str">
        <f>HYPERLINK(AC2 &amp; "/pencil/sn_d058aaf8dce9b1b4a7750b1c1c7105a4/rendering/07.xyz", "0.0")</f>
        <v>0.0</v>
      </c>
      <c r="K2011" s="13" t="str">
        <f>HYPERLINK(AC2 &amp; "/pencil/sn_d058aaf8dce9b1b4a7750b1c1c7105a4/rendering/08.xyz", "0.0")</f>
        <v>0.0</v>
      </c>
      <c r="L2011" s="13" t="str">
        <f>HYPERLINK(AC2 &amp; "/pencil/sn_d058aaf8dce9b1b4a7750b1c1c7105a4/rendering/09.xyz", "0.0")</f>
        <v>0.0</v>
      </c>
      <c r="M2011" s="13" t="str">
        <f>HYPERLINK(AC2 &amp; "/pencil/sn_d058aaf8dce9b1b4a7750b1c1c7105a4/rendering/10.xyz", "0.0")</f>
        <v>0.0</v>
      </c>
      <c r="N2011" s="13" t="str">
        <f>HYPERLINK(AC2 &amp; "/pencil/sn_d058aaf8dce9b1b4a7750b1c1c7105a4/rendering/11.xyz", "0.0")</f>
        <v>0.0</v>
      </c>
      <c r="O2011" s="13" t="str">
        <f>HYPERLINK(AC2 &amp; "/pencil/sn_d058aaf8dce9b1b4a7750b1c1c7105a4/rendering/12.xyz", "0.0")</f>
        <v>0.0</v>
      </c>
      <c r="P2011" s="13" t="str">
        <f>HYPERLINK(AC2 &amp; "/pencil/sn_d058aaf8dce9b1b4a7750b1c1c7105a4/rendering/13.xyz", "0.0")</f>
        <v>0.0</v>
      </c>
      <c r="Q2011" s="13" t="str">
        <f>HYPERLINK(AC2 &amp; "/pencil/sn_d058aaf8dce9b1b4a7750b1c1c7105a4/rendering/14.xyz", "0.0")</f>
        <v>0.0</v>
      </c>
      <c r="R2011" s="13" t="str">
        <f>HYPERLINK(AC2 &amp; "/pencil/sn_d058aaf8dce9b1b4a7750b1c1c7105a4/rendering/15.xyz", "0.0")</f>
        <v>0.0</v>
      </c>
      <c r="S2011" s="13" t="str">
        <f>HYPERLINK(AC2 &amp; "/pencil/sn_d058aaf8dce9b1b4a7750b1c1c7105a4/rendering/16.xyz", "0.0")</f>
        <v>0.0</v>
      </c>
      <c r="T2011" s="13" t="str">
        <f>HYPERLINK(AC2 &amp; "/pencil/sn_d058aaf8dce9b1b4a7750b1c1c7105a4/rendering/17.xyz", "0.0")</f>
        <v>0.0</v>
      </c>
      <c r="U2011" s="13" t="str">
        <f>HYPERLINK(AC2 &amp; "/pencil/sn_d058aaf8dce9b1b4a7750b1c1c7105a4/rendering/18.xyz", "0.0")</f>
        <v>0.0</v>
      </c>
      <c r="V2011" s="13" t="str">
        <f>HYPERLINK(AC2 &amp; "/pencil/sn_d058aaf8dce9b1b4a7750b1c1c7105a4/rendering/19.xyz", "0.0")</f>
        <v>0.0</v>
      </c>
      <c r="W2011" s="12" t="s">
        <v>33</v>
      </c>
      <c r="X2011" s="13">
        <v>0</v>
      </c>
      <c r="Y2011" s="13">
        <v>0</v>
      </c>
      <c r="Z2011" s="13">
        <v>0</v>
      </c>
    </row>
    <row r="2012" spans="1:26" x14ac:dyDescent="0.2">
      <c r="A2012" s="1">
        <v>2010</v>
      </c>
      <c r="B2012" s="2" t="s">
        <v>435</v>
      </c>
      <c r="C2012" s="87" t="str">
        <f>HYPERLINK(AA2 &amp; "/pencil/sn_d0ce65bd6a1d403815a69a2b87020ac/rendering/00.obj", "5.57246887207")</f>
        <v>5.57246887207</v>
      </c>
      <c r="D2012" s="51" t="str">
        <f>HYPERLINK(AA2 &amp; "/pencil/sn_d0ce65bd6a1d403815a69a2b87020ac/rendering/01.obj", "4.17233947754")</f>
        <v>4.17233947754</v>
      </c>
      <c r="E2012" s="35" t="str">
        <f>HYPERLINK(AA2 &amp; "/pencil/sn_d0ce65bd6a1d403815a69a2b87020ac/rendering/02.obj", "4.27666625977")</f>
        <v>4.27666625977</v>
      </c>
      <c r="F2012" s="33" t="str">
        <f>HYPERLINK(AA2 &amp; "/pencil/sn_d0ce65bd6a1d403815a69a2b87020ac/rendering/03.obj", "4.05599609375")</f>
        <v>4.05599609375</v>
      </c>
      <c r="G2012" s="106" t="str">
        <f>HYPERLINK(AA2 &amp; "/pencil/sn_d0ce65bd6a1d403815a69a2b87020ac/rendering/04.obj", "5.05524230957")</f>
        <v>5.05524230957</v>
      </c>
      <c r="H2012" s="11" t="str">
        <f>HYPERLINK(AA2 &amp; "/pencil/sn_d0ce65bd6a1d403815a69a2b87020ac/rendering/05.obj", "5.56495300293")</f>
        <v>5.56495300293</v>
      </c>
      <c r="I2012" s="80" t="str">
        <f>HYPERLINK(AA2 &amp; "/pencil/sn_d0ce65bd6a1d403815a69a2b87020ac/rendering/06.obj", "5.21554321289")</f>
        <v>5.21554321289</v>
      </c>
      <c r="J2012" s="31" t="str">
        <f>HYPERLINK(AA2 &amp; "/pencil/sn_d0ce65bd6a1d403815a69a2b87020ac/rendering/07.obj", "5.25356689453")</f>
        <v>5.25356689453</v>
      </c>
      <c r="K2012" s="65" t="str">
        <f>HYPERLINK(AA2 &amp; "/pencil/sn_d0ce65bd6a1d403815a69a2b87020ac/rendering/08.obj", "3.92940368652")</f>
        <v>3.92940368652</v>
      </c>
      <c r="L2012" s="71" t="str">
        <f>HYPERLINK(AA2 &amp; "/pencil/sn_d0ce65bd6a1d403815a69a2b87020ac/rendering/09.obj", "4.00865112305")</f>
        <v>4.00865112305</v>
      </c>
      <c r="M2012" s="6" t="str">
        <f>HYPERLINK(AA2 &amp; "/pencil/sn_d0ce65bd6a1d403815a69a2b87020ac/rendering/10.obj", "4.33024383545")</f>
        <v>4.33024383545</v>
      </c>
      <c r="N2012" s="84" t="str">
        <f>HYPERLINK(AA2 &amp; "/pencil/sn_d0ce65bd6a1d403815a69a2b87020ac/rendering/11.obj", "3.87894073486")</f>
        <v>3.87894073486</v>
      </c>
      <c r="O2012" s="69" t="str">
        <f>HYPERLINK(AA2 &amp; "/pencil/sn_d0ce65bd6a1d403815a69a2b87020ac/rendering/12.obj", "4.40877624512")</f>
        <v>4.40877624512</v>
      </c>
      <c r="P2012" s="149" t="str">
        <f>HYPERLINK(AA2 &amp; "/pencil/sn_d0ce65bd6a1d403815a69a2b87020ac/rendering/13.obj", "6.10631958008")</f>
        <v>6.10631958008</v>
      </c>
      <c r="Q2012" s="60" t="str">
        <f>HYPERLINK(AA2 &amp; "/pencil/sn_d0ce65bd6a1d403815a69a2b87020ac/rendering/14.obj", "4.30554901123")</f>
        <v>4.30554901123</v>
      </c>
      <c r="R2012" s="46" t="str">
        <f>HYPERLINK(AA2 &amp; "/pencil/sn_d0ce65bd6a1d403815a69a2b87020ac/rendering/15.obj", "4.46623413086")</f>
        <v>4.46623413086</v>
      </c>
      <c r="S2012" s="106" t="str">
        <f>HYPERLINK(AA2 &amp; "/pencil/sn_d0ce65bd6a1d403815a69a2b87020ac/rendering/16.obj", "4.01937713623")</f>
        <v>4.01937713623</v>
      </c>
      <c r="T2012" s="68" t="str">
        <f>HYPERLINK(AA2 &amp; "/pencil/sn_d0ce65bd6a1d403815a69a2b87020ac/rendering/17.obj", "4.35566864014")</f>
        <v>4.35566864014</v>
      </c>
      <c r="U2012" s="82" t="str">
        <f>HYPERLINK(AA2 &amp; "/pencil/sn_d0ce65bd6a1d403815a69a2b87020ac/rendering/18.obj", "3.60168457031")</f>
        <v>3.60168457031</v>
      </c>
      <c r="V2012" s="26" t="str">
        <f>HYPERLINK(AA2 &amp; "/pencil/sn_d0ce65bd6a1d403815a69a2b87020ac/rendering/19.obj", "4.25164611816")</f>
        <v>4.25164611816</v>
      </c>
      <c r="W2012" s="12" t="s">
        <v>29</v>
      </c>
      <c r="X2012" s="13">
        <v>4.5414635467529303</v>
      </c>
      <c r="Y2012" s="13">
        <v>0.66037941195704097</v>
      </c>
      <c r="Z2012" s="84">
        <v>0.1454111444820913</v>
      </c>
    </row>
    <row r="2013" spans="1:26" x14ac:dyDescent="0.2">
      <c r="A2013" s="1">
        <v>2011</v>
      </c>
      <c r="B2013" s="2" t="s">
        <v>435</v>
      </c>
      <c r="C2013" s="180" t="str">
        <f>HYPERLINK(AA2 &amp; "/pencil/sn_d0ce65bd6a1d403815a69a2b87020ac/rendering/00.obj", "2.94750905037")</f>
        <v>2.94750905037</v>
      </c>
      <c r="D2013" s="131" t="str">
        <f>HYPERLINK(AA2 &amp; "/pencil/sn_d0ce65bd6a1d403815a69a2b87020ac/rendering/01.obj", "0.882800519466")</f>
        <v>0.882800519466</v>
      </c>
      <c r="E2013" s="162" t="str">
        <f>HYPERLINK(AA2 &amp; "/pencil/sn_d0ce65bd6a1d403815a69a2b87020ac/rendering/02.obj", "0.946799576283")</f>
        <v>0.946799576283</v>
      </c>
      <c r="F2013" s="116" t="str">
        <f>HYPERLINK(AA2 &amp; "/pencil/sn_d0ce65bd6a1d403815a69a2b87020ac/rendering/03.obj", "0.924878656864")</f>
        <v>0.924878656864</v>
      </c>
      <c r="G2013" s="50" t="str">
        <f>HYPERLINK(AA2 &amp; "/pencil/sn_d0ce65bd6a1d403815a69a2b87020ac/rendering/04.obj", "1.97718346119")</f>
        <v>1.97718346119</v>
      </c>
      <c r="H2013" s="20" t="str">
        <f>HYPERLINK(AA2 &amp; "/pencil/sn_d0ce65bd6a1d403815a69a2b87020ac/rendering/05.obj", "3.5738670826")</f>
        <v>3.5738670826</v>
      </c>
      <c r="I2013" s="161" t="str">
        <f>HYPERLINK(AA2 &amp; "/pencil/sn_d0ce65bd6a1d403815a69a2b87020ac/rendering/06.obj", "2.61100912094")</f>
        <v>2.61100912094</v>
      </c>
      <c r="J2013" s="144" t="str">
        <f>HYPERLINK(AA2 &amp; "/pencil/sn_d0ce65bd6a1d403815a69a2b87020ac/rendering/07.obj", "2.47655200958")</f>
        <v>2.47655200958</v>
      </c>
      <c r="K2013" s="130" t="str">
        <f>HYPERLINK(AA2 &amp; "/pencil/sn_d0ce65bd6a1d403815a69a2b87020ac/rendering/08.obj", "0.905510365963")</f>
        <v>0.905510365963</v>
      </c>
      <c r="L2013" s="181" t="str">
        <f>HYPERLINK(AA2 &amp; "/pencil/sn_d0ce65bd6a1d403815a69a2b87020ac/rendering/09.obj", "0.915177166462")</f>
        <v>0.915177166462</v>
      </c>
      <c r="M2013" s="158" t="str">
        <f>HYPERLINK(AA2 &amp; "/pencil/sn_d0ce65bd6a1d403815a69a2b87020ac/rendering/10.obj", "0.970679581165")</f>
        <v>0.970679581165</v>
      </c>
      <c r="N2013" s="11" t="str">
        <f>HYPERLINK(AA2 &amp; "/pencil/sn_d0ce65bd6a1d403815a69a2b87020ac/rendering/11.obj", "1.27858531475")</f>
        <v>1.27858531475</v>
      </c>
      <c r="O2013" s="23" t="str">
        <f>HYPERLINK(AA2 &amp; "/pencil/sn_d0ce65bd6a1d403815a69a2b87020ac/rendering/12.obj", "1.58262372017")</f>
        <v>1.58262372017</v>
      </c>
      <c r="P2013" s="20" t="str">
        <f>HYPERLINK(AA2 &amp; "/pencil/sn_d0ce65bd6a1d403815a69a2b87020ac/rendering/13.obj", "3.84672141075")</f>
        <v>3.84672141075</v>
      </c>
      <c r="Q2013" s="140" t="str">
        <f>HYPERLINK(AA2 &amp; "/pencil/sn_d0ce65bd6a1d403815a69a2b87020ac/rendering/14.obj", "1.07737421989")</f>
        <v>1.07737421989</v>
      </c>
      <c r="R2013" s="69" t="str">
        <f>HYPERLINK(AA2 &amp; "/pencil/sn_d0ce65bd6a1d403815a69a2b87020ac/rendering/15.obj", "1.69552385807")</f>
        <v>1.69552385807</v>
      </c>
      <c r="S2013" s="101" t="str">
        <f>HYPERLINK(AA2 &amp; "/pencil/sn_d0ce65bd6a1d403815a69a2b87020ac/rendering/16.obj", "1.02637982368")</f>
        <v>1.02637982368</v>
      </c>
      <c r="T2013" s="56" t="str">
        <f>HYPERLINK(AA2 &amp; "/pencil/sn_d0ce65bd6a1d403815a69a2b87020ac/rendering/17.obj", "1.13801693916")</f>
        <v>1.13801693916</v>
      </c>
      <c r="U2013" s="192" t="str">
        <f>HYPERLINK(AA2 &amp; "/pencil/sn_d0ce65bd6a1d403815a69a2b87020ac/rendering/18.obj", "1.03623974323")</f>
        <v>1.03623974323</v>
      </c>
      <c r="V2013" s="169" t="str">
        <f>HYPERLINK(AA2 &amp; "/pencil/sn_d0ce65bd6a1d403815a69a2b87020ac/rendering/19.obj", "1.13545846939")</f>
        <v>1.13545846939</v>
      </c>
      <c r="W2013" s="12" t="s">
        <v>30</v>
      </c>
      <c r="X2013" s="13">
        <v>1.647444504499435</v>
      </c>
      <c r="Y2013" s="13">
        <v>0.9179749845444225</v>
      </c>
      <c r="Z2013" s="221">
        <v>0.55721147634247192</v>
      </c>
    </row>
    <row r="2014" spans="1:26" x14ac:dyDescent="0.2">
      <c r="A2014" s="1">
        <v>2012</v>
      </c>
      <c r="B2014" s="2" t="s">
        <v>435</v>
      </c>
      <c r="C2014" s="68" t="str">
        <f>HYPERLINK(AB2 &amp; "/pencil/sn_d0ce65bd6a1d403815a69a2b87020ac/rendering/00.obj", "3.59344726563")</f>
        <v>3.59344726563</v>
      </c>
      <c r="D2014" s="60" t="str">
        <f>HYPERLINK(AB2 &amp; "/pencil/sn_d0ce65bd6a1d403815a69a2b87020ac/rendering/01.obj", "3.55568054199")</f>
        <v>3.55568054199</v>
      </c>
      <c r="E2014" s="34" t="str">
        <f>HYPERLINK(AB2 &amp; "/pencil/sn_d0ce65bd6a1d403815a69a2b87020ac/rendering/02.obj", "3.56831939697")</f>
        <v>3.56831939697</v>
      </c>
      <c r="F2014" s="72" t="str">
        <f>HYPERLINK(AB2 &amp; "/pencil/sn_d0ce65bd6a1d403815a69a2b87020ac/rendering/03.obj", "3.87419067383")</f>
        <v>3.87419067383</v>
      </c>
      <c r="G2014" s="47" t="str">
        <f>HYPERLINK(AB2 &amp; "/pencil/sn_d0ce65bd6a1d403815a69a2b87020ac/rendering/04.obj", "3.78462219238")</f>
        <v>3.78462219238</v>
      </c>
      <c r="H2014" s="84" t="str">
        <f>HYPERLINK(AB2 &amp; "/pencil/sn_d0ce65bd6a1d403815a69a2b87020ac/rendering/05.obj", "4.30110321045")</f>
        <v>4.30110321045</v>
      </c>
      <c r="I2014" s="13" t="str">
        <f>HYPERLINK(AB2 &amp; "/pencil/sn_d0ce65bd6a1d403815a69a2b87020ac/rendering/06.obj", "3.75509399414")</f>
        <v>3.75509399414</v>
      </c>
      <c r="J2014" s="91" t="str">
        <f>HYPERLINK(AB2 &amp; "/pencil/sn_d0ce65bd6a1d403815a69a2b87020ac/rendering/07.obj", "3.84594543457")</f>
        <v>3.84594543457</v>
      </c>
      <c r="K2014" s="35" t="str">
        <f>HYPERLINK(AB2 &amp; "/pencil/sn_d0ce65bd6a1d403815a69a2b87020ac/rendering/08.obj", "3.53525268555")</f>
        <v>3.53525268555</v>
      </c>
      <c r="L2014" s="34" t="str">
        <f>HYPERLINK(AB2 &amp; "/pencil/sn_d0ce65bd6a1d403815a69a2b87020ac/rendering/09.obj", "3.92878479004")</f>
        <v>3.92878479004</v>
      </c>
      <c r="M2014" s="48" t="str">
        <f>HYPERLINK(AB2 &amp; "/pencil/sn_d0ce65bd6a1d403815a69a2b87020ac/rendering/10.obj", "3.83959289551")</f>
        <v>3.83959289551</v>
      </c>
      <c r="N2014" s="74" t="str">
        <f>HYPERLINK(AB2 &amp; "/pencil/sn_d0ce65bd6a1d403815a69a2b87020ac/rendering/11.obj", "3.80618560791")</f>
        <v>3.80618560791</v>
      </c>
      <c r="O2014" s="74" t="str">
        <f>HYPERLINK(AB2 &amp; "/pencil/sn_d0ce65bd6a1d403815a69a2b87020ac/rendering/12.obj", "3.69166137695")</f>
        <v>3.69166137695</v>
      </c>
      <c r="P2014" s="38" t="str">
        <f>HYPERLINK(AB2 &amp; "/pencil/sn_d0ce65bd6a1d403815a69a2b87020ac/rendering/13.obj", "4.08697967529")</f>
        <v>4.08697967529</v>
      </c>
      <c r="Q2014" s="25" t="str">
        <f>HYPERLINK(AB2 &amp; "/pencil/sn_d0ce65bd6a1d403815a69a2b87020ac/rendering/14.obj", "3.79617523193")</f>
        <v>3.79617523193</v>
      </c>
      <c r="R2014" s="25" t="str">
        <f>HYPERLINK(AB2 &amp; "/pencil/sn_d0ce65bd6a1d403815a69a2b87020ac/rendering/15.obj", "3.71021179199")</f>
        <v>3.71021179199</v>
      </c>
      <c r="S2014" s="67" t="str">
        <f>HYPERLINK(AB2 &amp; "/pencil/sn_d0ce65bd6a1d403815a69a2b87020ac/rendering/16.obj", "3.40238525391")</f>
        <v>3.40238525391</v>
      </c>
      <c r="T2014" s="69" t="str">
        <f>HYPERLINK(AB2 &amp; "/pencil/sn_d0ce65bd6a1d403815a69a2b87020ac/rendering/17.obj", "3.64078216553")</f>
        <v>3.64078216553</v>
      </c>
      <c r="U2014" s="74" t="str">
        <f>HYPERLINK(AB2 &amp; "/pencil/sn_d0ce65bd6a1d403815a69a2b87020ac/rendering/18.obj", "3.69243530273")</f>
        <v>3.69243530273</v>
      </c>
      <c r="V2014" s="6" t="str">
        <f>HYPERLINK(AB2 &amp; "/pencil/sn_d0ce65bd6a1d403815a69a2b87020ac/rendering/19.obj", "3.58320129395")</f>
        <v>3.58320129395</v>
      </c>
      <c r="W2014" s="12" t="s">
        <v>31</v>
      </c>
      <c r="X2014" s="13">
        <v>3.7496025390624999</v>
      </c>
      <c r="Y2014" s="13">
        <v>0.19983491378392909</v>
      </c>
      <c r="Z2014" s="60">
        <v>5.3294959052884873E-2</v>
      </c>
    </row>
    <row r="2015" spans="1:26" x14ac:dyDescent="0.2">
      <c r="A2015" s="1">
        <v>2013</v>
      </c>
      <c r="B2015" s="2" t="s">
        <v>435</v>
      </c>
      <c r="C2015" s="90" t="str">
        <f>HYPERLINK(AB2 &amp; "/pencil/sn_d0ce65bd6a1d403815a69a2b87020ac/rendering/00.obj", "0.870443284512")</f>
        <v>0.870443284512</v>
      </c>
      <c r="D2015" s="133" t="str">
        <f>HYPERLINK(AB2 &amp; "/pencil/sn_d0ce65bd6a1d403815a69a2b87020ac/rendering/01.obj", "0.864756405354")</f>
        <v>0.864756405354</v>
      </c>
      <c r="E2015" s="107" t="str">
        <f>HYPERLINK(AB2 &amp; "/pencil/sn_d0ce65bd6a1d403815a69a2b87020ac/rendering/02.obj", "0.883557319641")</f>
        <v>0.883557319641</v>
      </c>
      <c r="F2015" s="27" t="str">
        <f>HYPERLINK(AB2 &amp; "/pencil/sn_d0ce65bd6a1d403815a69a2b87020ac/rendering/03.obj", "0.894572615623")</f>
        <v>0.894572615623</v>
      </c>
      <c r="G2015" s="192" t="str">
        <f>HYPERLINK(AB2 &amp; "/pencil/sn_d0ce65bd6a1d403815a69a2b87020ac/rendering/04.obj", "1.31921672821")</f>
        <v>1.31921672821</v>
      </c>
      <c r="H2015" s="101" t="str">
        <f>HYPERLINK(AB2 &amp; "/pencil/sn_d0ce65bd6a1d403815a69a2b87020ac/rendering/05.obj", "1.32752788067")</f>
        <v>1.32752788067</v>
      </c>
      <c r="I2015" s="71" t="str">
        <f>HYPERLINK(AB2 &amp; "/pencil/sn_d0ce65bd6a1d403815a69a2b87020ac/rendering/06.obj", "0.849991321564")</f>
        <v>0.849991321564</v>
      </c>
      <c r="J2015" s="26" t="str">
        <f>HYPERLINK(AB2 &amp; "/pencil/sn_d0ce65bd6a1d403815a69a2b87020ac/rendering/07.obj", "1.0228754282")</f>
        <v>1.0228754282</v>
      </c>
      <c r="K2015" s="32" t="str">
        <f>HYPERLINK(AB2 &amp; "/pencil/sn_d0ce65bd6a1d403815a69a2b87020ac/rendering/08.obj", "0.86057060957")</f>
        <v>0.86057060957</v>
      </c>
      <c r="L2015" s="133" t="str">
        <f>HYPERLINK(AB2 &amp; "/pencil/sn_d0ce65bd6a1d403815a69a2b87020ac/rendering/09.obj", "0.865745663643")</f>
        <v>0.865745663643</v>
      </c>
      <c r="M2015" s="47" t="str">
        <f>HYPERLINK(AB2 &amp; "/pencil/sn_d0ce65bd6a1d403815a69a2b87020ac/rendering/10.obj", "0.956379532814")</f>
        <v>0.956379532814</v>
      </c>
      <c r="N2015" s="6" t="str">
        <f>HYPERLINK(AB2 &amp; "/pencil/sn_d0ce65bd6a1d403815a69a2b87020ac/rendering/11.obj", "0.918335556984")</f>
        <v>0.918335556984</v>
      </c>
      <c r="O2015" s="24" t="str">
        <f>HYPERLINK(AB2 &amp; "/pencil/sn_d0ce65bd6a1d403815a69a2b87020ac/rendering/12.obj", "1.12448656559")</f>
        <v>1.12448656559</v>
      </c>
      <c r="P2015" s="13" t="str">
        <f>HYPERLINK(AB2 &amp; "/pencil/sn_d0ce65bd6a1d403815a69a2b87020ac/rendering/13.obj", "0.962828874588")</f>
        <v>0.962828874588</v>
      </c>
      <c r="Q2015" s="84" t="str">
        <f>HYPERLINK(AB2 &amp; "/pencil/sn_d0ce65bd6a1d403815a69a2b87020ac/rendering/14.obj", "0.82189142704")</f>
        <v>0.82189142704</v>
      </c>
      <c r="R2015" s="34" t="str">
        <f>HYPERLINK(AB2 &amp; "/pencil/sn_d0ce65bd6a1d403815a69a2b87020ac/rendering/15.obj", "0.917168259621")</f>
        <v>0.917168259621</v>
      </c>
      <c r="S2015" s="17" t="str">
        <f>HYPERLINK(AB2 &amp; "/pencil/sn_d0ce65bd6a1d403815a69a2b87020ac/rendering/16.obj", "0.980922400951")</f>
        <v>0.980922400951</v>
      </c>
      <c r="T2015" s="42" t="str">
        <f>HYPERLINK(AB2 &amp; "/pencil/sn_d0ce65bd6a1d403815a69a2b87020ac/rendering/17.obj", "0.830973625183")</f>
        <v>0.830973625183</v>
      </c>
      <c r="U2015" s="42" t="str">
        <f>HYPERLINK(AB2 &amp; "/pencil/sn_d0ce65bd6a1d403815a69a2b87020ac/rendering/18.obj", "1.09345662594")</f>
        <v>1.09345662594</v>
      </c>
      <c r="V2015" s="107" t="str">
        <f>HYPERLINK(AB2 &amp; "/pencil/sn_d0ce65bd6a1d403815a69a2b87020ac/rendering/19.obj", "0.883800506592")</f>
        <v>0.883800506592</v>
      </c>
      <c r="W2015" s="12" t="s">
        <v>32</v>
      </c>
      <c r="X2015" s="13">
        <v>0.96247503161430359</v>
      </c>
      <c r="Y2015" s="13">
        <v>0.1443011018054319</v>
      </c>
      <c r="Z2015" s="80">
        <v>0.14992711194118349</v>
      </c>
    </row>
    <row r="2016" spans="1:26" x14ac:dyDescent="0.2">
      <c r="A2016" s="1">
        <v>2014</v>
      </c>
      <c r="B2016" s="2" t="s">
        <v>435</v>
      </c>
      <c r="C2016" s="13" t="str">
        <f>HYPERLINK(AC2 &amp; "/pencil/sn_d0ce65bd6a1d403815a69a2b87020ac/rendering/00.xyz", "0.0")</f>
        <v>0.0</v>
      </c>
      <c r="D2016" s="13" t="str">
        <f>HYPERLINK(AC2 &amp; "/pencil/sn_d0ce65bd6a1d403815a69a2b87020ac/rendering/01.xyz", "0.0")</f>
        <v>0.0</v>
      </c>
      <c r="E2016" s="13" t="str">
        <f>HYPERLINK(AC2 &amp; "/pencil/sn_d0ce65bd6a1d403815a69a2b87020ac/rendering/02.xyz", "0.0")</f>
        <v>0.0</v>
      </c>
      <c r="F2016" s="13" t="str">
        <f>HYPERLINK(AC2 &amp; "/pencil/sn_d0ce65bd6a1d403815a69a2b87020ac/rendering/03.xyz", "0.0")</f>
        <v>0.0</v>
      </c>
      <c r="G2016" s="13" t="str">
        <f>HYPERLINK(AC2 &amp; "/pencil/sn_d0ce65bd6a1d403815a69a2b87020ac/rendering/04.xyz", "0.0")</f>
        <v>0.0</v>
      </c>
      <c r="H2016" s="13" t="str">
        <f>HYPERLINK(AC2 &amp; "/pencil/sn_d0ce65bd6a1d403815a69a2b87020ac/rendering/05.xyz", "0.0")</f>
        <v>0.0</v>
      </c>
      <c r="I2016" s="13" t="str">
        <f>HYPERLINK(AC2 &amp; "/pencil/sn_d0ce65bd6a1d403815a69a2b87020ac/rendering/06.xyz", "0.0")</f>
        <v>0.0</v>
      </c>
      <c r="J2016" s="13" t="str">
        <f>HYPERLINK(AC2 &amp; "/pencil/sn_d0ce65bd6a1d403815a69a2b87020ac/rendering/07.xyz", "0.0")</f>
        <v>0.0</v>
      </c>
      <c r="K2016" s="13" t="str">
        <f>HYPERLINK(AC2 &amp; "/pencil/sn_d0ce65bd6a1d403815a69a2b87020ac/rendering/08.xyz", "0.0")</f>
        <v>0.0</v>
      </c>
      <c r="L2016" s="13" t="str">
        <f>HYPERLINK(AC2 &amp; "/pencil/sn_d0ce65bd6a1d403815a69a2b87020ac/rendering/09.xyz", "0.0")</f>
        <v>0.0</v>
      </c>
      <c r="M2016" s="13" t="str">
        <f>HYPERLINK(AC2 &amp; "/pencil/sn_d0ce65bd6a1d403815a69a2b87020ac/rendering/10.xyz", "0.0")</f>
        <v>0.0</v>
      </c>
      <c r="N2016" s="13" t="str">
        <f>HYPERLINK(AC2 &amp; "/pencil/sn_d0ce65bd6a1d403815a69a2b87020ac/rendering/11.xyz", "0.0")</f>
        <v>0.0</v>
      </c>
      <c r="O2016" s="13" t="str">
        <f>HYPERLINK(AC2 &amp; "/pencil/sn_d0ce65bd6a1d403815a69a2b87020ac/rendering/12.xyz", "0.0")</f>
        <v>0.0</v>
      </c>
      <c r="P2016" s="13" t="str">
        <f>HYPERLINK(AC2 &amp; "/pencil/sn_d0ce65bd6a1d403815a69a2b87020ac/rendering/13.xyz", "0.0")</f>
        <v>0.0</v>
      </c>
      <c r="Q2016" s="13" t="str">
        <f>HYPERLINK(AC2 &amp; "/pencil/sn_d0ce65bd6a1d403815a69a2b87020ac/rendering/14.xyz", "0.0")</f>
        <v>0.0</v>
      </c>
      <c r="R2016" s="13" t="str">
        <f>HYPERLINK(AC2 &amp; "/pencil/sn_d0ce65bd6a1d403815a69a2b87020ac/rendering/15.xyz", "0.0")</f>
        <v>0.0</v>
      </c>
      <c r="S2016" s="13" t="str">
        <f>HYPERLINK(AC2 &amp; "/pencil/sn_d0ce65bd6a1d403815a69a2b87020ac/rendering/16.xyz", "0.0")</f>
        <v>0.0</v>
      </c>
      <c r="T2016" s="13" t="str">
        <f>HYPERLINK(AC2 &amp; "/pencil/sn_d0ce65bd6a1d403815a69a2b87020ac/rendering/17.xyz", "0.0")</f>
        <v>0.0</v>
      </c>
      <c r="U2016" s="13" t="str">
        <f>HYPERLINK(AC2 &amp; "/pencil/sn_d0ce65bd6a1d403815a69a2b87020ac/rendering/18.xyz", "0.0")</f>
        <v>0.0</v>
      </c>
      <c r="V2016" s="13" t="str">
        <f>HYPERLINK(AC2 &amp; "/pencil/sn_d0ce65bd6a1d403815a69a2b87020ac/rendering/19.xyz", "0.0")</f>
        <v>0.0</v>
      </c>
      <c r="W2016" s="12" t="s">
        <v>33</v>
      </c>
      <c r="X2016" s="13">
        <v>0</v>
      </c>
      <c r="Y2016" s="13">
        <v>0</v>
      </c>
      <c r="Z2016" s="13">
        <v>0</v>
      </c>
    </row>
    <row r="2017" spans="1:26" x14ac:dyDescent="0.2">
      <c r="A2017" s="1">
        <v>2015</v>
      </c>
      <c r="B2017" s="2" t="s">
        <v>436</v>
      </c>
      <c r="C2017" s="40" t="str">
        <f>HYPERLINK(AA2 &amp; "/pencil/sn_d1e4af76761bc99196f9ae6927d24261/rendering/00.obj", "12.3801574707")</f>
        <v>12.3801574707</v>
      </c>
      <c r="D2017" s="92" t="str">
        <f>HYPERLINK(AA2 &amp; "/pencil/sn_d1e4af76761bc99196f9ae6927d24261/rendering/01.obj", "16.7846484375")</f>
        <v>16.7846484375</v>
      </c>
      <c r="E2017" s="6" t="str">
        <f>HYPERLINK(AA2 &amp; "/pencil/sn_d1e4af76761bc99196f9ae6927d24261/rendering/02.obj", "15.6097509766")</f>
        <v>15.6097509766</v>
      </c>
      <c r="F2017" s="80" t="str">
        <f>HYPERLINK(AA2 &amp; "/pencil/sn_d1e4af76761bc99196f9ae6927d24261/rendering/03.obj", "17.1798535156")</f>
        <v>17.1798535156</v>
      </c>
      <c r="G2017" s="191" t="str">
        <f>HYPERLINK(AA2 &amp; "/pencil/sn_d1e4af76761bc99196f9ae6927d24261/rendering/04.obj", "8.16464355469")</f>
        <v>8.16464355469</v>
      </c>
      <c r="H2017" s="6" t="str">
        <f>HYPERLINK(AA2 &amp; "/pencil/sn_d1e4af76761bc99196f9ae6927d24261/rendering/05.obj", "15.6364941406")</f>
        <v>15.6364941406</v>
      </c>
      <c r="I2017" s="118" t="str">
        <f>HYPERLINK(AA2 &amp; "/pencil/sn_d1e4af76761bc99196f9ae6927d24261/rendering/06.obj", "19.3261096191")</f>
        <v>19.3261096191</v>
      </c>
      <c r="J2017" s="83" t="str">
        <f>HYPERLINK(AA2 &amp; "/pencil/sn_d1e4af76761bc99196f9ae6927d24261/rendering/07.obj", "12.6485986328")</f>
        <v>12.6485986328</v>
      </c>
      <c r="K2017" s="61" t="str">
        <f>HYPERLINK(AA2 &amp; "/pencil/sn_d1e4af76761bc99196f9ae6927d24261/rendering/08.obj", "19.4753894043")</f>
        <v>19.4753894043</v>
      </c>
      <c r="L2017" s="39" t="str">
        <f>HYPERLINK(AA2 &amp; "/pencil/sn_d1e4af76761bc99196f9ae6927d24261/rendering/09.obj", "16.2347827148")</f>
        <v>16.2347827148</v>
      </c>
      <c r="M2017" s="13" t="str">
        <f>HYPERLINK(AA2 &amp; "/pencil/sn_d1e4af76761bc99196f9ae6927d24261/rendering/10.obj", "14.8959545898")</f>
        <v>14.8959545898</v>
      </c>
      <c r="N2017" s="17" t="str">
        <f>HYPERLINK(AA2 &amp; "/pencil/sn_d1e4af76761bc99196f9ae6927d24261/rendering/11.obj", "14.6202526855")</f>
        <v>14.6202526855</v>
      </c>
      <c r="O2017" s="40" t="str">
        <f>HYPERLINK(AA2 &amp; "/pencil/sn_d1e4af76761bc99196f9ae6927d24261/rendering/12.obj", "17.479934082")</f>
        <v>17.479934082</v>
      </c>
      <c r="P2017" s="19" t="str">
        <f>HYPERLINK(AA2 &amp; "/pencil/sn_d1e4af76761bc99196f9ae6927d24261/rendering/13.obj", "18.8311962891")</f>
        <v>18.8311962891</v>
      </c>
      <c r="Q2017" s="79" t="str">
        <f>HYPERLINK(AA2 &amp; "/pencil/sn_d1e4af76761bc99196f9ae6927d24261/rendering/14.obj", "17.2796044922")</f>
        <v>17.2796044922</v>
      </c>
      <c r="R2017" s="75" t="str">
        <f>HYPERLINK(AA2 &amp; "/pencil/sn_d1e4af76761bc99196f9ae6927d24261/rendering/15.obj", "11.6330895996")</f>
        <v>11.6330895996</v>
      </c>
      <c r="S2017" s="10" t="str">
        <f>HYPERLINK(AA2 &amp; "/pencil/sn_d1e4af76761bc99196f9ae6927d24261/rendering/16.obj", "14.1259118652")</f>
        <v>14.1259118652</v>
      </c>
      <c r="T2017" s="147" t="str">
        <f>HYPERLINK(AA2 &amp; "/pencil/sn_d1e4af76761bc99196f9ae6927d24261/rendering/17.obj", "22.2054980469")</f>
        <v>22.2054980469</v>
      </c>
      <c r="U2017" s="221" t="str">
        <f>HYPERLINK(AA2 &amp; "/pencil/sn_d1e4af76761bc99196f9ae6927d24261/rendering/18.obj", "6.62878662109")</f>
        <v>6.62878662109</v>
      </c>
      <c r="V2017" s="145" t="str">
        <f>HYPERLINK(AA2 &amp; "/pencil/sn_d1e4af76761bc99196f9ae6927d24261/rendering/19.obj", "7.58848144531")</f>
        <v>7.58848144531</v>
      </c>
      <c r="W2017" s="12" t="s">
        <v>29</v>
      </c>
      <c r="X2017" s="13">
        <v>14.936456909179689</v>
      </c>
      <c r="Y2017" s="13">
        <v>4.0200969439070837</v>
      </c>
      <c r="Z2017" s="86">
        <v>0.26914662348313689</v>
      </c>
    </row>
    <row r="2018" spans="1:26" x14ac:dyDescent="0.2">
      <c r="A2018" s="1">
        <v>2016</v>
      </c>
      <c r="B2018" s="2" t="s">
        <v>436</v>
      </c>
      <c r="C2018" s="148" t="str">
        <f>HYPERLINK(AA2 &amp; "/pencil/sn_d1e4af76761bc99196f9ae6927d24261/rendering/00.obj", "35.0285491943")</f>
        <v>35.0285491943</v>
      </c>
      <c r="D2018" s="170" t="str">
        <f>HYPERLINK(AA2 &amp; "/pencil/sn_d1e4af76761bc99196f9ae6927d24261/rendering/01.obj", "85.2341308594")</f>
        <v>85.2341308594</v>
      </c>
      <c r="E2018" s="182" t="str">
        <f>HYPERLINK(AA2 &amp; "/pencil/sn_d1e4af76761bc99196f9ae6927d24261/rendering/02.obj", "90.7268295288")</f>
        <v>90.7268295288</v>
      </c>
      <c r="F2018" s="140" t="str">
        <f>HYPERLINK(AA2 &amp; "/pencil/sn_d1e4af76761bc99196f9ae6927d24261/rendering/03.obj", "44.3611335754")</f>
        <v>44.3611335754</v>
      </c>
      <c r="G2018" s="20" t="str">
        <f>HYPERLINK(AA2 &amp; "/pencil/sn_d1e4af76761bc99196f9ae6927d24261/rendering/04.obj", "5.62541484833")</f>
        <v>5.62541484833</v>
      </c>
      <c r="H2018" s="94" t="str">
        <f>HYPERLINK(AA2 &amp; "/pencil/sn_d1e4af76761bc99196f9ae6927d24261/rendering/05.obj", "63.0686264038")</f>
        <v>63.0686264038</v>
      </c>
      <c r="I2018" s="20" t="str">
        <f>HYPERLINK(AA2 &amp; "/pencil/sn_d1e4af76761bc99196f9ae6927d24261/rendering/06.obj", "126.820907593")</f>
        <v>126.820907593</v>
      </c>
      <c r="J2018" s="178" t="str">
        <f>HYPERLINK(AA2 &amp; "/pencil/sn_d1e4af76761bc99196f9ae6927d24261/rendering/07.obj", "23.9340248108")</f>
        <v>23.9340248108</v>
      </c>
      <c r="K2018" s="20" t="str">
        <f>HYPERLINK(AA2 &amp; "/pencil/sn_d1e4af76761bc99196f9ae6927d24261/rendering/08.obj", "142.061355591")</f>
        <v>142.061355591</v>
      </c>
      <c r="L2018" s="72" t="str">
        <f>HYPERLINK(AA2 &amp; "/pencil/sn_d1e4af76761bc99196f9ae6927d24261/rendering/09.obj", "65.763343811")</f>
        <v>65.763343811</v>
      </c>
      <c r="M2018" s="17" t="str">
        <f>HYPERLINK(AA2 &amp; "/pencil/sn_d1e4af76761bc99196f9ae6927d24261/rendering/10.obj", "69.5085983276")</f>
        <v>69.5085983276</v>
      </c>
      <c r="N2018" s="5" t="str">
        <f>HYPERLINK(AA2 &amp; "/pencil/sn_d1e4af76761bc99196f9ae6927d24261/rendering/11.obj", "62.8264083862")</f>
        <v>62.8264083862</v>
      </c>
      <c r="O2018" s="231" t="str">
        <f>HYPERLINK(AA2 &amp; "/pencil/sn_d1e4af76761bc99196f9ae6927d24261/rendering/12.obj", "107.225891113")</f>
        <v>107.225891113</v>
      </c>
      <c r="P2018" s="20" t="str">
        <f>HYPERLINK(AA2 &amp; "/pencil/sn_d1e4af76761bc99196f9ae6927d24261/rendering/13.obj", "149.9871521")</f>
        <v>149.9871521</v>
      </c>
      <c r="Q2018" s="229" t="str">
        <f>HYPERLINK(AA2 &amp; "/pencil/sn_d1e4af76761bc99196f9ae6927d24261/rendering/14.obj", "114.495872498")</f>
        <v>114.495872498</v>
      </c>
      <c r="R2018" s="255" t="str">
        <f>HYPERLINK(AA2 &amp; "/pencil/sn_d1e4af76761bc99196f9ae6927d24261/rendering/15.obj", "18.7364654541")</f>
        <v>18.7364654541</v>
      </c>
      <c r="S2018" s="17" t="str">
        <f>HYPERLINK(AA2 &amp; "/pencil/sn_d1e4af76761bc99196f9ae6927d24261/rendering/16.obj", "66.6806106567")</f>
        <v>66.6806106567</v>
      </c>
      <c r="T2018" s="134" t="str">
        <f>HYPERLINK(AA2 &amp; "/pencil/sn_d1e4af76761bc99196f9ae6927d24261/rendering/17.obj", "80.3339996338")</f>
        <v>80.3339996338</v>
      </c>
      <c r="U2018" s="20" t="str">
        <f>HYPERLINK(AA2 &amp; "/pencil/sn_d1e4af76761bc99196f9ae6927d24261/rendering/18.obj", "1.63955712318")</f>
        <v>1.63955712318</v>
      </c>
      <c r="V2018" s="20" t="str">
        <f>HYPERLINK(AA2 &amp; "/pencil/sn_d1e4af76761bc99196f9ae6927d24261/rendering/19.obj", "7.07089853287")</f>
        <v>7.07089853287</v>
      </c>
      <c r="W2018" s="12" t="s">
        <v>30</v>
      </c>
      <c r="X2018" s="13">
        <v>68.056488502025601</v>
      </c>
      <c r="Y2018" s="13">
        <v>43.826006069242162</v>
      </c>
      <c r="Z2018" s="252">
        <v>0.64396513887045093</v>
      </c>
    </row>
    <row r="2019" spans="1:26" x14ac:dyDescent="0.2">
      <c r="A2019" s="1">
        <v>2017</v>
      </c>
      <c r="B2019" s="2" t="s">
        <v>436</v>
      </c>
      <c r="C2019" s="73" t="str">
        <f>HYPERLINK(AB2 &amp; "/pencil/sn_d1e4af76761bc99196f9ae6927d24261/rendering/00.obj", "4.22710693359")</f>
        <v>4.22710693359</v>
      </c>
      <c r="D2019" s="26" t="str">
        <f>HYPERLINK(AB2 &amp; "/pencil/sn_d1e4af76761bc99196f9ae6927d24261/rendering/01.obj", "4.66579437256")</f>
        <v>4.66579437256</v>
      </c>
      <c r="E2019" s="110" t="str">
        <f>HYPERLINK(AB2 &amp; "/pencil/sn_d1e4af76761bc99196f9ae6927d24261/rendering/02.obj", "4.81504669189")</f>
        <v>4.81504669189</v>
      </c>
      <c r="F2019" s="94" t="str">
        <f>HYPERLINK(AB2 &amp; "/pencil/sn_d1e4af76761bc99196f9ae6927d24261/rendering/03.obj", "4.71250793457")</f>
        <v>4.71250793457</v>
      </c>
      <c r="G2019" s="34" t="str">
        <f>HYPERLINK(AB2 &amp; "/pencil/sn_d1e4af76761bc99196f9ae6927d24261/rendering/04.obj", "4.16649353027")</f>
        <v>4.16649353027</v>
      </c>
      <c r="H2019" s="40" t="str">
        <f>HYPERLINK(AB2 &amp; "/pencil/sn_d1e4af76761bc99196f9ae6927d24261/rendering/05.obj", "3.63903198242")</f>
        <v>3.63903198242</v>
      </c>
      <c r="I2019" s="133" t="str">
        <f>HYPERLINK(AB2 &amp; "/pencil/sn_d1e4af76761bc99196f9ae6927d24261/rendering/06.obj", "3.93482055664")</f>
        <v>3.93482055664</v>
      </c>
      <c r="J2019" s="34" t="str">
        <f>HYPERLINK(AB2 &amp; "/pencil/sn_d1e4af76761bc99196f9ae6927d24261/rendering/07.obj", "4.16814605713")</f>
        <v>4.16814605713</v>
      </c>
      <c r="K2019" s="6" t="str">
        <f>HYPERLINK(AB2 &amp; "/pencil/sn_d1e4af76761bc99196f9ae6927d24261/rendering/08.obj", "4.58652893066")</f>
        <v>4.58652893066</v>
      </c>
      <c r="L2019" s="60" t="str">
        <f>HYPERLINK(AB2 &amp; "/pencil/sn_d1e4af76761bc99196f9ae6927d24261/rendering/09.obj", "4.61209594727")</f>
        <v>4.61209594727</v>
      </c>
      <c r="M2019" s="133" t="str">
        <f>HYPERLINK(AB2 &amp; "/pencil/sn_d1e4af76761bc99196f9ae6927d24261/rendering/10.obj", "3.93133056641")</f>
        <v>3.93133056641</v>
      </c>
      <c r="N2019" s="23" t="str">
        <f>HYPERLINK(AB2 &amp; "/pencil/sn_d1e4af76761bc99196f9ae6927d24261/rendering/11.obj", "4.55499145508")</f>
        <v>4.55499145508</v>
      </c>
      <c r="O2019" s="63" t="str">
        <f>HYPERLINK(AB2 &amp; "/pencil/sn_d1e4af76761bc99196f9ae6927d24261/rendering/12.obj", "3.8596685791")</f>
        <v>3.8596685791</v>
      </c>
      <c r="P2019" s="10" t="str">
        <f>HYPERLINK(AB2 &amp; "/pencil/sn_d1e4af76761bc99196f9ae6927d24261/rendering/13.obj", "4.14383300781")</f>
        <v>4.14383300781</v>
      </c>
      <c r="Q2019" s="133" t="str">
        <f>HYPERLINK(AB2 &amp; "/pencil/sn_d1e4af76761bc99196f9ae6927d24261/rendering/14.obj", "3.93368591309")</f>
        <v>3.93368591309</v>
      </c>
      <c r="R2019" s="38" t="str">
        <f>HYPERLINK(AB2 &amp; "/pencil/sn_d1e4af76761bc99196f9ae6927d24261/rendering/15.obj", "4.77426849365")</f>
        <v>4.77426849365</v>
      </c>
      <c r="S2019" s="106" t="str">
        <f>HYPERLINK(AB2 &amp; "/pencil/sn_d1e4af76761bc99196f9ae6927d24261/rendering/16.obj", "4.8916027832")</f>
        <v>4.8916027832</v>
      </c>
      <c r="T2019" s="63" t="str">
        <f>HYPERLINK(AB2 &amp; "/pencil/sn_d1e4af76761bc99196f9ae6927d24261/rendering/17.obj", "4.90887756348")</f>
        <v>4.90887756348</v>
      </c>
      <c r="U2019" s="38" t="str">
        <f>HYPERLINK(AB2 &amp; "/pencil/sn_d1e4af76761bc99196f9ae6927d24261/rendering/18.obj", "4.78349853516")</f>
        <v>4.78349853516</v>
      </c>
      <c r="V2019" s="13" t="str">
        <f>HYPERLINK(AB2 &amp; "/pencil/sn_d1e4af76761bc99196f9ae6927d24261/rendering/19.obj", "4.3936151123")</f>
        <v>4.3936151123</v>
      </c>
      <c r="W2019" s="12" t="s">
        <v>31</v>
      </c>
      <c r="X2019" s="13">
        <v>4.3851472473144533</v>
      </c>
      <c r="Y2019" s="13">
        <v>0.38445385245608121</v>
      </c>
      <c r="Z2019" s="39">
        <v>8.7671822808579103E-2</v>
      </c>
    </row>
    <row r="2020" spans="1:26" x14ac:dyDescent="0.2">
      <c r="A2020" s="1">
        <v>2018</v>
      </c>
      <c r="B2020" s="2" t="s">
        <v>436</v>
      </c>
      <c r="C2020" s="70" t="str">
        <f>HYPERLINK(AB2 &amp; "/pencil/sn_d1e4af76761bc99196f9ae6927d24261/rendering/00.obj", "0.838943719864")</f>
        <v>0.838943719864</v>
      </c>
      <c r="D2020" s="39" t="str">
        <f>HYPERLINK(AB2 &amp; "/pencil/sn_d1e4af76761bc99196f9ae6927d24261/rendering/01.obj", "0.877789378166")</f>
        <v>0.877789378166</v>
      </c>
      <c r="E2020" s="110" t="str">
        <f>HYPERLINK(AB2 &amp; "/pencil/sn_d1e4af76761bc99196f9ae6927d24261/rendering/02.obj", "1.05651688576")</f>
        <v>1.05651688576</v>
      </c>
      <c r="F2020" s="74" t="str">
        <f>HYPERLINK(AB2 &amp; "/pencil/sn_d1e4af76761bc99196f9ae6927d24261/rendering/03.obj", "0.974575817585")</f>
        <v>0.974575817585</v>
      </c>
      <c r="G2020" s="92" t="str">
        <f>HYPERLINK(AB2 &amp; "/pencil/sn_d1e4af76761bc99196f9ae6927d24261/rendering/04.obj", "0.840353012085")</f>
        <v>0.840353012085</v>
      </c>
      <c r="H2020" s="27" t="str">
        <f>HYPERLINK(AB2 &amp; "/pencil/sn_d1e4af76761bc99196f9ae6927d24261/rendering/05.obj", "0.892318248749")</f>
        <v>0.892318248749</v>
      </c>
      <c r="I2020" s="34" t="str">
        <f>HYPERLINK(AB2 &amp; "/pencil/sn_d1e4af76761bc99196f9ae6927d24261/rendering/06.obj", "0.913549602032")</f>
        <v>0.913549602032</v>
      </c>
      <c r="J2020" s="13" t="str">
        <f>HYPERLINK(AB2 &amp; "/pencil/sn_d1e4af76761bc99196f9ae6927d24261/rendering/07.obj", "0.959781110287")</f>
        <v>0.959781110287</v>
      </c>
      <c r="K2020" s="10" t="str">
        <f>HYPERLINK(AB2 &amp; "/pencil/sn_d1e4af76761bc99196f9ae6927d24261/rendering/08.obj", "0.907694995403")</f>
        <v>0.907694995403</v>
      </c>
      <c r="L2020" s="5" t="str">
        <f>HYPERLINK(AB2 &amp; "/pencil/sn_d1e4af76761bc99196f9ae6927d24261/rendering/09.obj", "1.03517520428")</f>
        <v>1.03517520428</v>
      </c>
      <c r="M2020" s="30" t="str">
        <f>HYPERLINK(AB2 &amp; "/pencil/sn_d1e4af76761bc99196f9ae6927d24261/rendering/10.obj", "0.955390691757")</f>
        <v>0.955390691757</v>
      </c>
      <c r="N2020" s="94" t="str">
        <f>HYPERLINK(AB2 &amp; "/pencil/sn_d1e4af76761bc99196f9ae6927d24261/rendering/11.obj", "1.0313038826")</f>
        <v>1.0313038826</v>
      </c>
      <c r="O2020" s="30" t="str">
        <f>HYPERLINK(AB2 &amp; "/pencil/sn_d1e4af76761bc99196f9ae6927d24261/rendering/12.obj", "0.966534495354")</f>
        <v>0.966534495354</v>
      </c>
      <c r="P2020" s="117" t="str">
        <f>HYPERLINK(AB2 &amp; "/pencil/sn_d1e4af76761bc99196f9ae6927d24261/rendering/13.obj", "0.790387094021")</f>
        <v>0.790387094021</v>
      </c>
      <c r="Q2020" s="70" t="str">
        <f>HYPERLINK(AB2 &amp; "/pencil/sn_d1e4af76761bc99196f9ae6927d24261/rendering/14.obj", "0.83875977993")</f>
        <v>0.83875977993</v>
      </c>
      <c r="R2020" s="73" t="str">
        <f>HYPERLINK(AB2 &amp; "/pencil/sn_d1e4af76761bc99196f9ae6927d24261/rendering/15.obj", "0.995275557041")</f>
        <v>0.995275557041</v>
      </c>
      <c r="S2020" s="91" t="str">
        <f>HYPERLINK(AB2 &amp; "/pencil/sn_d1e4af76761bc99196f9ae6927d24261/rendering/16.obj", "0.98780977726")</f>
        <v>0.98780977726</v>
      </c>
      <c r="T2020" s="71" t="str">
        <f>HYPERLINK(AB2 &amp; "/pencil/sn_d1e4af76761bc99196f9ae6927d24261/rendering/17.obj", "1.07424223423")</f>
        <v>1.07424223423</v>
      </c>
      <c r="U2020" s="195" t="str">
        <f>HYPERLINK(AB2 &amp; "/pencil/sn_d1e4af76761bc99196f9ae6927d24261/rendering/18.obj", "1.48765540123")</f>
        <v>1.48765540123</v>
      </c>
      <c r="V2020" s="117" t="str">
        <f>HYPERLINK(AB2 &amp; "/pencil/sn_d1e4af76761bc99196f9ae6927d24261/rendering/19.obj", "0.791121482849")</f>
        <v>0.791121482849</v>
      </c>
      <c r="W2020" s="12" t="s">
        <v>32</v>
      </c>
      <c r="X2020" s="13">
        <v>0.96075891852378847</v>
      </c>
      <c r="Y2020" s="13">
        <v>0.14679847033112789</v>
      </c>
      <c r="Z2020" s="83">
        <v>0.15279428324920949</v>
      </c>
    </row>
    <row r="2021" spans="1:26" x14ac:dyDescent="0.2">
      <c r="A2021" s="1">
        <v>2019</v>
      </c>
      <c r="B2021" s="2" t="s">
        <v>436</v>
      </c>
      <c r="C2021" s="13" t="str">
        <f>HYPERLINK(AC2 &amp; "/pencil/sn_d1e4af76761bc99196f9ae6927d24261/rendering/00.xyz", "0.0")</f>
        <v>0.0</v>
      </c>
      <c r="D2021" s="13" t="str">
        <f>HYPERLINK(AC2 &amp; "/pencil/sn_d1e4af76761bc99196f9ae6927d24261/rendering/01.xyz", "0.0")</f>
        <v>0.0</v>
      </c>
      <c r="E2021" s="13" t="str">
        <f>HYPERLINK(AC2 &amp; "/pencil/sn_d1e4af76761bc99196f9ae6927d24261/rendering/02.xyz", "0.0")</f>
        <v>0.0</v>
      </c>
      <c r="F2021" s="13" t="str">
        <f>HYPERLINK(AC2 &amp; "/pencil/sn_d1e4af76761bc99196f9ae6927d24261/rendering/03.xyz", "0.0")</f>
        <v>0.0</v>
      </c>
      <c r="G2021" s="13" t="str">
        <f>HYPERLINK(AC2 &amp; "/pencil/sn_d1e4af76761bc99196f9ae6927d24261/rendering/04.xyz", "0.0")</f>
        <v>0.0</v>
      </c>
      <c r="H2021" s="13" t="str">
        <f>HYPERLINK(AC2 &amp; "/pencil/sn_d1e4af76761bc99196f9ae6927d24261/rendering/05.xyz", "0.0")</f>
        <v>0.0</v>
      </c>
      <c r="I2021" s="13" t="str">
        <f>HYPERLINK(AC2 &amp; "/pencil/sn_d1e4af76761bc99196f9ae6927d24261/rendering/06.xyz", "0.0")</f>
        <v>0.0</v>
      </c>
      <c r="J2021" s="13" t="str">
        <f>HYPERLINK(AC2 &amp; "/pencil/sn_d1e4af76761bc99196f9ae6927d24261/rendering/07.xyz", "0.0")</f>
        <v>0.0</v>
      </c>
      <c r="K2021" s="13" t="str">
        <f>HYPERLINK(AC2 &amp; "/pencil/sn_d1e4af76761bc99196f9ae6927d24261/rendering/08.xyz", "0.0")</f>
        <v>0.0</v>
      </c>
      <c r="L2021" s="13" t="str">
        <f>HYPERLINK(AC2 &amp; "/pencil/sn_d1e4af76761bc99196f9ae6927d24261/rendering/09.xyz", "0.0")</f>
        <v>0.0</v>
      </c>
      <c r="M2021" s="13" t="str">
        <f>HYPERLINK(AC2 &amp; "/pencil/sn_d1e4af76761bc99196f9ae6927d24261/rendering/10.xyz", "0.0")</f>
        <v>0.0</v>
      </c>
      <c r="N2021" s="13" t="str">
        <f>HYPERLINK(AC2 &amp; "/pencil/sn_d1e4af76761bc99196f9ae6927d24261/rendering/11.xyz", "0.0")</f>
        <v>0.0</v>
      </c>
      <c r="O2021" s="13" t="str">
        <f>HYPERLINK(AC2 &amp; "/pencil/sn_d1e4af76761bc99196f9ae6927d24261/rendering/12.xyz", "0.0")</f>
        <v>0.0</v>
      </c>
      <c r="P2021" s="13" t="str">
        <f>HYPERLINK(AC2 &amp; "/pencil/sn_d1e4af76761bc99196f9ae6927d24261/rendering/13.xyz", "0.0")</f>
        <v>0.0</v>
      </c>
      <c r="Q2021" s="13" t="str">
        <f>HYPERLINK(AC2 &amp; "/pencil/sn_d1e4af76761bc99196f9ae6927d24261/rendering/14.xyz", "0.0")</f>
        <v>0.0</v>
      </c>
      <c r="R2021" s="13" t="str">
        <f>HYPERLINK(AC2 &amp; "/pencil/sn_d1e4af76761bc99196f9ae6927d24261/rendering/15.xyz", "0.0")</f>
        <v>0.0</v>
      </c>
      <c r="S2021" s="13" t="str">
        <f>HYPERLINK(AC2 &amp; "/pencil/sn_d1e4af76761bc99196f9ae6927d24261/rendering/16.xyz", "0.0")</f>
        <v>0.0</v>
      </c>
      <c r="T2021" s="13" t="str">
        <f>HYPERLINK(AC2 &amp; "/pencil/sn_d1e4af76761bc99196f9ae6927d24261/rendering/17.xyz", "0.0")</f>
        <v>0.0</v>
      </c>
      <c r="U2021" s="13" t="str">
        <f>HYPERLINK(AC2 &amp; "/pencil/sn_d1e4af76761bc99196f9ae6927d24261/rendering/18.xyz", "0.0")</f>
        <v>0.0</v>
      </c>
      <c r="V2021" s="13" t="str">
        <f>HYPERLINK(AC2 &amp; "/pencil/sn_d1e4af76761bc99196f9ae6927d24261/rendering/19.xyz", "0.0")</f>
        <v>0.0</v>
      </c>
      <c r="W2021" s="12" t="s">
        <v>33</v>
      </c>
      <c r="X2021" s="13">
        <v>0</v>
      </c>
      <c r="Y2021" s="13">
        <v>0</v>
      </c>
      <c r="Z2021" s="13">
        <v>0</v>
      </c>
    </row>
    <row r="2022" spans="1:26" x14ac:dyDescent="0.2">
      <c r="A2022" s="1">
        <v>2020</v>
      </c>
      <c r="B2022" s="2" t="s">
        <v>437</v>
      </c>
      <c r="C2022" s="72" t="str">
        <f>HYPERLINK(AA2 &amp; "/pencil/sn_d22cfab6479b8ec2741e88434245c899/rendering/00.obj", "3.70266357422")</f>
        <v>3.70266357422</v>
      </c>
      <c r="D2022" s="60" t="str">
        <f>HYPERLINK(AA2 &amp; "/pencil/sn_d22cfab6479b8ec2741e88434245c899/rendering/01.obj", "4.03683685303")</f>
        <v>4.03683685303</v>
      </c>
      <c r="E2022" s="46" t="str">
        <f>HYPERLINK(AA2 &amp; "/pencil/sn_d22cfab6479b8ec2741e88434245c899/rendering/02.obj", "3.77278381348")</f>
        <v>3.77278381348</v>
      </c>
      <c r="F2022" s="48" t="str">
        <f>HYPERLINK(AA2 &amp; "/pencil/sn_d22cfab6479b8ec2741e88434245c899/rendering/03.obj", "3.74882873535")</f>
        <v>3.74882873535</v>
      </c>
      <c r="G2022" s="17" t="str">
        <f>HYPERLINK(AA2 &amp; "/pencil/sn_d22cfab6479b8ec2741e88434245c899/rendering/04.obj", "3.76070922852")</f>
        <v>3.76070922852</v>
      </c>
      <c r="H2022" s="73" t="str">
        <f>HYPERLINK(AA2 &amp; "/pencil/sn_d22cfab6479b8ec2741e88434245c899/rendering/05.obj", "3.7009588623")</f>
        <v>3.7009588623</v>
      </c>
      <c r="I2022" s="72" t="str">
        <f>HYPERLINK(AA2 &amp; "/pencil/sn_d22cfab6479b8ec2741e88434245c899/rendering/06.obj", "3.9581817627")</f>
        <v>3.9581817627</v>
      </c>
      <c r="J2022" s="72" t="str">
        <f>HYPERLINK(AA2 &amp; "/pencil/sn_d22cfab6479b8ec2741e88434245c899/rendering/07.obj", "3.70717224121")</f>
        <v>3.70717224121</v>
      </c>
      <c r="K2022" s="34" t="str">
        <f>HYPERLINK(AA2 &amp; "/pencil/sn_d22cfab6479b8ec2741e88434245c899/rendering/08.obj", "4.01724945068")</f>
        <v>4.01724945068</v>
      </c>
      <c r="L2022" s="48" t="str">
        <f>HYPERLINK(AA2 &amp; "/pencil/sn_d22cfab6479b8ec2741e88434245c899/rendering/09.obj", "3.92831695557")</f>
        <v>3.92831695557</v>
      </c>
      <c r="M2022" s="34" t="str">
        <f>HYPERLINK(AA2 &amp; "/pencil/sn_d22cfab6479b8ec2741e88434245c899/rendering/10.obj", "4.02156005859")</f>
        <v>4.02156005859</v>
      </c>
      <c r="N2022" s="13" t="str">
        <f>HYPERLINK(AA2 &amp; "/pencil/sn_d22cfab6479b8ec2741e88434245c899/rendering/11.obj", "3.83050415039")</f>
        <v>3.83050415039</v>
      </c>
      <c r="O2022" s="72" t="str">
        <f>HYPERLINK(AA2 &amp; "/pencil/sn_d22cfab6479b8ec2741e88434245c899/rendering/12.obj", "3.70342041016")</f>
        <v>3.70342041016</v>
      </c>
      <c r="P2022" s="30" t="str">
        <f>HYPERLINK(AA2 &amp; "/pencil/sn_d22cfab6479b8ec2741e88434245c899/rendering/13.obj", "3.81248382568")</f>
        <v>3.81248382568</v>
      </c>
      <c r="Q2022" s="35" t="str">
        <f>HYPERLINK(AA2 &amp; "/pencil/sn_d22cfab6479b8ec2741e88434245c899/rendering/14.obj", "4.05838287354")</f>
        <v>4.05838287354</v>
      </c>
      <c r="R2022" s="69" t="str">
        <f>HYPERLINK(AA2 &amp; "/pencil/sn_d22cfab6479b8ec2741e88434245c899/rendering/15.obj", "3.95266906738")</f>
        <v>3.95266906738</v>
      </c>
      <c r="S2022" s="17" t="str">
        <f>HYPERLINK(AA2 &amp; "/pencil/sn_d22cfab6479b8ec2741e88434245c899/rendering/16.obj", "3.90576721191")</f>
        <v>3.90576721191</v>
      </c>
      <c r="T2022" s="60" t="str">
        <f>HYPERLINK(AA2 &amp; "/pencil/sn_d22cfab6479b8ec2741e88434245c899/rendering/17.obj", "3.63083007813")</f>
        <v>3.63083007813</v>
      </c>
      <c r="U2022" s="74" t="str">
        <f>HYPERLINK(AA2 &amp; "/pencil/sn_d22cfab6479b8ec2741e88434245c899/rendering/18.obj", "3.77564208984")</f>
        <v>3.77564208984</v>
      </c>
      <c r="V2022" s="34" t="str">
        <f>HYPERLINK(AA2 &amp; "/pencil/sn_d22cfab6479b8ec2741e88434245c899/rendering/19.obj", "3.64099609375")</f>
        <v>3.64099609375</v>
      </c>
      <c r="W2022" s="12" t="s">
        <v>29</v>
      </c>
      <c r="X2022" s="13">
        <v>3.8332978668212889</v>
      </c>
      <c r="Y2022" s="13">
        <v>0.1361354783828965</v>
      </c>
      <c r="Z2022" s="73">
        <v>3.5513931636047102E-2</v>
      </c>
    </row>
    <row r="2023" spans="1:26" x14ac:dyDescent="0.2">
      <c r="A2023" s="1">
        <v>2021</v>
      </c>
      <c r="B2023" s="2" t="s">
        <v>437</v>
      </c>
      <c r="C2023" s="60" t="str">
        <f>HYPERLINK(AA2 &amp; "/pencil/sn_d22cfab6479b8ec2741e88434245c899/rendering/00.obj", "0.765470743179")</f>
        <v>0.765470743179</v>
      </c>
      <c r="D2023" s="93" t="str">
        <f>HYPERLINK(AA2 &amp; "/pencil/sn_d22cfab6479b8ec2741e88434245c899/rendering/01.obj", "0.921275377274")</f>
        <v>0.921275377274</v>
      </c>
      <c r="E2023" s="90" t="str">
        <f>HYPERLINK(AA2 &amp; "/pencil/sn_d22cfab6479b8ec2741e88434245c899/rendering/02.obj", "0.730107247829")</f>
        <v>0.730107247829</v>
      </c>
      <c r="F2023" s="73" t="str">
        <f>HYPERLINK(AA2 &amp; "/pencil/sn_d22cfab6479b8ec2741e88434245c899/rendering/03.obj", "0.779286026955")</f>
        <v>0.779286026955</v>
      </c>
      <c r="G2023" s="41" t="str">
        <f>HYPERLINK(AA2 &amp; "/pencil/sn_d22cfab6479b8ec2741e88434245c899/rendering/04.obj", "0.861352026463")</f>
        <v>0.861352026463</v>
      </c>
      <c r="H2023" s="33" t="str">
        <f>HYPERLINK(AA2 &amp; "/pencil/sn_d22cfab6479b8ec2741e88434245c899/rendering/05.obj", "0.719901263714")</f>
        <v>0.719901263714</v>
      </c>
      <c r="I2023" s="10" t="str">
        <f>HYPERLINK(AA2 &amp; "/pencil/sn_d22cfab6479b8ec2741e88434245c899/rendering/06.obj", "0.762876689434")</f>
        <v>0.762876689434</v>
      </c>
      <c r="J2023" s="71" t="str">
        <f>HYPERLINK(AA2 &amp; "/pencil/sn_d22cfab6479b8ec2741e88434245c899/rendering/07.obj", "0.711688637733")</f>
        <v>0.711688637733</v>
      </c>
      <c r="K2023" s="24" t="str">
        <f>HYPERLINK(AA2 &amp; "/pencil/sn_d22cfab6479b8ec2741e88434245c899/rendering/08.obj", "0.9427780509")</f>
        <v>0.9427780509</v>
      </c>
      <c r="L2023" s="90" t="str">
        <f>HYPERLINK(AA2 &amp; "/pencil/sn_d22cfab6479b8ec2741e88434245c899/rendering/09.obj", "0.886179685593")</f>
        <v>0.886179685593</v>
      </c>
      <c r="M2023" s="46" t="str">
        <f>HYPERLINK(AA2 &amp; "/pencil/sn_d22cfab6479b8ec2741e88434245c899/rendering/10.obj", "0.794193208218")</f>
        <v>0.794193208218</v>
      </c>
      <c r="N2023" s="41" t="str">
        <f>HYPERLINK(AA2 &amp; "/pencil/sn_d22cfab6479b8ec2741e88434245c899/rendering/11.obj", "0.752775847912")</f>
        <v>0.752775847912</v>
      </c>
      <c r="O2023" s="34" t="str">
        <f>HYPERLINK(AA2 &amp; "/pencil/sn_d22cfab6479b8ec2741e88434245c899/rendering/12.obj", "0.768201470375")</f>
        <v>0.768201470375</v>
      </c>
      <c r="P2023" s="25" t="str">
        <f>HYPERLINK(AA2 &amp; "/pencil/sn_d22cfab6479b8ec2741e88434245c899/rendering/13.obj", "0.81697678566")</f>
        <v>0.81697678566</v>
      </c>
      <c r="Q2023" s="54" t="str">
        <f>HYPERLINK(AA2 &amp; "/pencil/sn_d22cfab6479b8ec2741e88434245c899/rendering/14.obj", "1.07249212265")</f>
        <v>1.07249212265</v>
      </c>
      <c r="R2023" s="30" t="str">
        <f>HYPERLINK(AA2 &amp; "/pencil/sn_d22cfab6479b8ec2741e88434245c899/rendering/15.obj", "0.811356067657")</f>
        <v>0.811356067657</v>
      </c>
      <c r="S2023" s="13" t="str">
        <f>HYPERLINK(AA2 &amp; "/pencil/sn_d22cfab6479b8ec2741e88434245c899/rendering/16.obj", "0.80942350626")</f>
        <v>0.80942350626</v>
      </c>
      <c r="T2023" s="27" t="str">
        <f>HYPERLINK(AA2 &amp; "/pencil/sn_d22cfab6479b8ec2741e88434245c899/rendering/17.obj", "0.750565052032")</f>
        <v>0.750565052032</v>
      </c>
      <c r="U2023" s="51" t="str">
        <f>HYPERLINK(AA2 &amp; "/pencil/sn_d22cfab6479b8ec2741e88434245c899/rendering/18.obj", "0.74272274971")</f>
        <v>0.74272274971</v>
      </c>
      <c r="V2023" s="26" t="str">
        <f>HYPERLINK(AA2 &amp; "/pencil/sn_d22cfab6479b8ec2741e88434245c899/rendering/19.obj", "0.756503045559")</f>
        <v>0.756503045559</v>
      </c>
      <c r="W2023" s="12" t="s">
        <v>30</v>
      </c>
      <c r="X2023" s="13">
        <v>0.80780628025531764</v>
      </c>
      <c r="Y2023" s="13">
        <v>8.7411131121078206E-2</v>
      </c>
      <c r="Z2023" s="33">
        <v>0.1082080360819314</v>
      </c>
    </row>
    <row r="2024" spans="1:26" x14ac:dyDescent="0.2">
      <c r="A2024" s="1">
        <v>2022</v>
      </c>
      <c r="B2024" s="2" t="s">
        <v>437</v>
      </c>
      <c r="C2024" s="41" t="str">
        <f>HYPERLINK(AB2 &amp; "/pencil/sn_d22cfab6479b8ec2741e88434245c899/rendering/00.obj", "5.35739501953")</f>
        <v>5.35739501953</v>
      </c>
      <c r="D2024" s="17" t="str">
        <f>HYPERLINK(AB2 &amp; "/pencil/sn_d22cfab6479b8ec2741e88434245c899/rendering/01.obj", "5.8596484375")</f>
        <v>5.8596484375</v>
      </c>
      <c r="E2024" s="25" t="str">
        <f>HYPERLINK(AB2 &amp; "/pencil/sn_d22cfab6479b8ec2741e88434245c899/rendering/02.obj", "5.79931945801")</f>
        <v>5.79931945801</v>
      </c>
      <c r="F2024" s="25" t="str">
        <f>HYPERLINK(AB2 &amp; "/pencil/sn_d22cfab6479b8ec2741e88434245c899/rendering/03.obj", "5.79653198242")</f>
        <v>5.79653198242</v>
      </c>
      <c r="G2024" s="46" t="str">
        <f>HYPERLINK(AB2 &amp; "/pencil/sn_d22cfab6479b8ec2741e88434245c899/rendering/04.obj", "5.83234741211")</f>
        <v>5.83234741211</v>
      </c>
      <c r="H2024" s="13" t="str">
        <f>HYPERLINK(AB2 &amp; "/pencil/sn_d22cfab6479b8ec2741e88434245c899/rendering/05.obj", "5.74488952637")</f>
        <v>5.74488952637</v>
      </c>
      <c r="I2024" s="6" t="str">
        <f>HYPERLINK(AB2 &amp; "/pencil/sn_d22cfab6479b8ec2741e88434245c899/rendering/06.obj", "5.47833435059")</f>
        <v>5.47833435059</v>
      </c>
      <c r="J2024" s="72" t="str">
        <f>HYPERLINK(AB2 &amp; "/pencil/sn_d22cfab6479b8ec2741e88434245c899/rendering/07.obj", "5.9293371582")</f>
        <v>5.9293371582</v>
      </c>
      <c r="K2024" s="47" t="str">
        <f>HYPERLINK(AB2 &amp; "/pencil/sn_d22cfab6479b8ec2741e88434245c899/rendering/08.obj", "5.7937512207")</f>
        <v>5.7937512207</v>
      </c>
      <c r="L2024" s="47" t="str">
        <f>HYPERLINK(AB2 &amp; "/pencil/sn_d22cfab6479b8ec2741e88434245c899/rendering/09.obj", "5.69226013184")</f>
        <v>5.69226013184</v>
      </c>
      <c r="M2024" s="46" t="str">
        <f>HYPERLINK(AB2 &amp; "/pencil/sn_d22cfab6479b8ec2741e88434245c899/rendering/10.obj", "5.64926818848")</f>
        <v>5.64926818848</v>
      </c>
      <c r="N2024" s="25" t="str">
        <f>HYPERLINK(AB2 &amp; "/pencil/sn_d22cfab6479b8ec2741e88434245c899/rendering/11.obj", "5.79668457031")</f>
        <v>5.79668457031</v>
      </c>
      <c r="O2024" s="46" t="str">
        <f>HYPERLINK(AB2 &amp; "/pencil/sn_d22cfab6479b8ec2741e88434245c899/rendering/12.obj", "5.63273376465")</f>
        <v>5.63273376465</v>
      </c>
      <c r="P2024" s="30" t="str">
        <f>HYPERLINK(AB2 &amp; "/pencil/sn_d22cfab6479b8ec2741e88434245c899/rendering/13.obj", "5.76071777344")</f>
        <v>5.76071777344</v>
      </c>
      <c r="Q2024" s="72" t="str">
        <f>HYPERLINK(AB2 &amp; "/pencil/sn_d22cfab6479b8ec2741e88434245c899/rendering/14.obj", "5.55849609375")</f>
        <v>5.55849609375</v>
      </c>
      <c r="R2024" s="17" t="str">
        <f>HYPERLINK(AB2 &amp; "/pencil/sn_d22cfab6479b8ec2741e88434245c899/rendering/15.obj", "5.85895019531")</f>
        <v>5.85895019531</v>
      </c>
      <c r="S2024" s="6" t="str">
        <f>HYPERLINK(AB2 &amp; "/pencil/sn_d22cfab6479b8ec2741e88434245c899/rendering/16.obj", "6.00670410156")</f>
        <v>6.00670410156</v>
      </c>
      <c r="T2024" s="13" t="str">
        <f>HYPERLINK(AB2 &amp; "/pencil/sn_d22cfab6479b8ec2741e88434245c899/rendering/17.obj", "5.73902954102")</f>
        <v>5.73902954102</v>
      </c>
      <c r="U2024" s="30" t="str">
        <f>HYPERLINK(AB2 &amp; "/pencil/sn_d22cfab6479b8ec2741e88434245c899/rendering/18.obj", "5.76806945801")</f>
        <v>5.76806945801</v>
      </c>
      <c r="V2024" s="30" t="str">
        <f>HYPERLINK(AB2 &amp; "/pencil/sn_d22cfab6479b8ec2741e88434245c899/rendering/19.obj", "5.76142211914")</f>
        <v>5.76142211914</v>
      </c>
      <c r="W2024" s="12" t="s">
        <v>31</v>
      </c>
      <c r="X2024" s="13">
        <v>5.7407945251464847</v>
      </c>
      <c r="Y2024" s="13">
        <v>0.1463376884819107</v>
      </c>
      <c r="Z2024" s="91">
        <v>2.5490842398365882E-2</v>
      </c>
    </row>
    <row r="2025" spans="1:26" x14ac:dyDescent="0.2">
      <c r="A2025" s="1">
        <v>2023</v>
      </c>
      <c r="B2025" s="2" t="s">
        <v>437</v>
      </c>
      <c r="C2025" s="129" t="str">
        <f>HYPERLINK(AB2 &amp; "/pencil/sn_d22cfab6479b8ec2741e88434245c899/rendering/00.obj", "0.756462335587")</f>
        <v>0.756462335587</v>
      </c>
      <c r="D2025" s="39" t="str">
        <f>HYPERLINK(AB2 &amp; "/pencil/sn_d22cfab6479b8ec2741e88434245c899/rendering/01.obj", "1.0943441391")</f>
        <v>1.0943441391</v>
      </c>
      <c r="E2025" s="133" t="str">
        <f>HYPERLINK(AB2 &amp; "/pencil/sn_d22cfab6479b8ec2741e88434245c899/rendering/02.obj", "0.903501093388")</f>
        <v>0.903501093388</v>
      </c>
      <c r="F2025" s="10" t="str">
        <f>HYPERLINK(AB2 &amp; "/pencil/sn_d22cfab6479b8ec2741e88434245c899/rendering/03.obj", "1.06214153767")</f>
        <v>1.06214153767</v>
      </c>
      <c r="G2025" s="68" t="str">
        <f>HYPERLINK(AB2 &amp; "/pencil/sn_d22cfab6479b8ec2741e88434245c899/rendering/04.obj", "1.04944396019")</f>
        <v>1.04944396019</v>
      </c>
      <c r="H2025" s="30" t="str">
        <f>HYPERLINK(AB2 &amp; "/pencil/sn_d22cfab6479b8ec2741e88434245c899/rendering/05.obj", "1.00988698006")</f>
        <v>1.00988698006</v>
      </c>
      <c r="I2025" s="68" t="str">
        <f>HYPERLINK(AB2 &amp; "/pencil/sn_d22cfab6479b8ec2741e88434245c899/rendering/06.obj", "0.962383449078")</f>
        <v>0.962383449078</v>
      </c>
      <c r="J2025" s="67" t="str">
        <f>HYPERLINK(AB2 &amp; "/pencil/sn_d22cfab6479b8ec2741e88434245c899/rendering/07.obj", "1.09937429428")</f>
        <v>1.09937429428</v>
      </c>
      <c r="K2025" s="46" t="str">
        <f>HYPERLINK(AB2 &amp; "/pencil/sn_d22cfab6479b8ec2741e88434245c899/rendering/08.obj", "1.02406561375")</f>
        <v>1.02406561375</v>
      </c>
      <c r="L2025" s="34" t="str">
        <f>HYPERLINK(AB2 &amp; "/pencil/sn_d22cfab6479b8ec2741e88434245c899/rendering/09.obj", "1.05498528481")</f>
        <v>1.05498528481</v>
      </c>
      <c r="M2025" s="42" t="str">
        <f>HYPERLINK(AB2 &amp; "/pencil/sn_d22cfab6479b8ec2741e88434245c899/rendering/10.obj", "1.14302277565")</f>
        <v>1.14302277565</v>
      </c>
      <c r="N2025" s="67" t="str">
        <f>HYPERLINK(AB2 &amp; "/pencil/sn_d22cfab6479b8ec2741e88434245c899/rendering/11.obj", "0.912200152874")</f>
        <v>0.912200152874</v>
      </c>
      <c r="O2025" s="5" t="str">
        <f>HYPERLINK(AB2 &amp; "/pencil/sn_d22cfab6479b8ec2741e88434245c899/rendering/12.obj", "0.928324818611")</f>
        <v>0.928324818611</v>
      </c>
      <c r="P2025" s="13" t="str">
        <f>HYPERLINK(AB2 &amp; "/pencil/sn_d22cfab6479b8ec2741e88434245c899/rendering/13.obj", "1.00472581387")</f>
        <v>1.00472581387</v>
      </c>
      <c r="Q2025" s="65" t="str">
        <f>HYPERLINK(AB2 &amp; "/pencil/sn_d22cfab6479b8ec2741e88434245c899/rendering/14.obj", "0.872128605843")</f>
        <v>0.872128605843</v>
      </c>
      <c r="R2025" s="47" t="str">
        <f>HYPERLINK(AB2 &amp; "/pencil/sn_d22cfab6479b8ec2741e88434245c899/rendering/15.obj", "0.99711060524")</f>
        <v>0.99711060524</v>
      </c>
      <c r="S2025" s="54" t="str">
        <f>HYPERLINK(AB2 &amp; "/pencil/sn_d22cfab6479b8ec2741e88434245c899/rendering/16.obj", "1.33668398857")</f>
        <v>1.33668398857</v>
      </c>
      <c r="T2025" s="72" t="str">
        <f>HYPERLINK(AB2 &amp; "/pencil/sn_d22cfab6479b8ec2741e88434245c899/rendering/17.obj", "1.0389251709")</f>
        <v>1.0389251709</v>
      </c>
      <c r="U2025" s="13" t="str">
        <f>HYPERLINK(AB2 &amp; "/pencil/sn_d22cfab6479b8ec2741e88434245c899/rendering/18.obj", "1.00900876522")</f>
        <v>1.00900876522</v>
      </c>
      <c r="V2025" s="42" t="str">
        <f>HYPERLINK(AB2 &amp; "/pencil/sn_d22cfab6479b8ec2741e88434245c899/rendering/19.obj", "0.869043469429")</f>
        <v>0.869043469429</v>
      </c>
      <c r="W2025" s="12" t="s">
        <v>32</v>
      </c>
      <c r="X2025" s="13">
        <v>1.0063881427049639</v>
      </c>
      <c r="Y2025" s="13">
        <v>0.1182771286845678</v>
      </c>
      <c r="Z2025" s="71">
        <v>0.1175263535663917</v>
      </c>
    </row>
    <row r="2026" spans="1:26" x14ac:dyDescent="0.2">
      <c r="A2026" s="1">
        <v>2024</v>
      </c>
      <c r="B2026" s="2" t="s">
        <v>437</v>
      </c>
      <c r="C2026" s="13" t="str">
        <f>HYPERLINK(AC2 &amp; "/pencil/sn_d22cfab6479b8ec2741e88434245c899/rendering/00.xyz", "0.0")</f>
        <v>0.0</v>
      </c>
      <c r="D2026" s="13" t="str">
        <f>HYPERLINK(AC2 &amp; "/pencil/sn_d22cfab6479b8ec2741e88434245c899/rendering/01.xyz", "0.0")</f>
        <v>0.0</v>
      </c>
      <c r="E2026" s="13" t="str">
        <f>HYPERLINK(AC2 &amp; "/pencil/sn_d22cfab6479b8ec2741e88434245c899/rendering/02.xyz", "0.0")</f>
        <v>0.0</v>
      </c>
      <c r="F2026" s="13" t="str">
        <f>HYPERLINK(AC2 &amp; "/pencil/sn_d22cfab6479b8ec2741e88434245c899/rendering/03.xyz", "0.0")</f>
        <v>0.0</v>
      </c>
      <c r="G2026" s="13" t="str">
        <f>HYPERLINK(AC2 &amp; "/pencil/sn_d22cfab6479b8ec2741e88434245c899/rendering/04.xyz", "0.0")</f>
        <v>0.0</v>
      </c>
      <c r="H2026" s="13" t="str">
        <f>HYPERLINK(AC2 &amp; "/pencil/sn_d22cfab6479b8ec2741e88434245c899/rendering/05.xyz", "0.0")</f>
        <v>0.0</v>
      </c>
      <c r="I2026" s="13" t="str">
        <f>HYPERLINK(AC2 &amp; "/pencil/sn_d22cfab6479b8ec2741e88434245c899/rendering/06.xyz", "0.0")</f>
        <v>0.0</v>
      </c>
      <c r="J2026" s="13" t="str">
        <f>HYPERLINK(AC2 &amp; "/pencil/sn_d22cfab6479b8ec2741e88434245c899/rendering/07.xyz", "0.0")</f>
        <v>0.0</v>
      </c>
      <c r="K2026" s="13" t="str">
        <f>HYPERLINK(AC2 &amp; "/pencil/sn_d22cfab6479b8ec2741e88434245c899/rendering/08.xyz", "0.0")</f>
        <v>0.0</v>
      </c>
      <c r="L2026" s="13" t="str">
        <f>HYPERLINK(AC2 &amp; "/pencil/sn_d22cfab6479b8ec2741e88434245c899/rendering/09.xyz", "0.0")</f>
        <v>0.0</v>
      </c>
      <c r="M2026" s="13" t="str">
        <f>HYPERLINK(AC2 &amp; "/pencil/sn_d22cfab6479b8ec2741e88434245c899/rendering/10.xyz", "0.0")</f>
        <v>0.0</v>
      </c>
      <c r="N2026" s="13" t="str">
        <f>HYPERLINK(AC2 &amp; "/pencil/sn_d22cfab6479b8ec2741e88434245c899/rendering/11.xyz", "0.0")</f>
        <v>0.0</v>
      </c>
      <c r="O2026" s="13" t="str">
        <f>HYPERLINK(AC2 &amp; "/pencil/sn_d22cfab6479b8ec2741e88434245c899/rendering/12.xyz", "0.0")</f>
        <v>0.0</v>
      </c>
      <c r="P2026" s="13" t="str">
        <f>HYPERLINK(AC2 &amp; "/pencil/sn_d22cfab6479b8ec2741e88434245c899/rendering/13.xyz", "0.0")</f>
        <v>0.0</v>
      </c>
      <c r="Q2026" s="13" t="str">
        <f>HYPERLINK(AC2 &amp; "/pencil/sn_d22cfab6479b8ec2741e88434245c899/rendering/14.xyz", "0.0")</f>
        <v>0.0</v>
      </c>
      <c r="R2026" s="13" t="str">
        <f>HYPERLINK(AC2 &amp; "/pencil/sn_d22cfab6479b8ec2741e88434245c899/rendering/15.xyz", "0.0")</f>
        <v>0.0</v>
      </c>
      <c r="S2026" s="13" t="str">
        <f>HYPERLINK(AC2 &amp; "/pencil/sn_d22cfab6479b8ec2741e88434245c899/rendering/16.xyz", "0.0")</f>
        <v>0.0</v>
      </c>
      <c r="T2026" s="13" t="str">
        <f>HYPERLINK(AC2 &amp; "/pencil/sn_d22cfab6479b8ec2741e88434245c899/rendering/17.xyz", "0.0")</f>
        <v>0.0</v>
      </c>
      <c r="U2026" s="13" t="str">
        <f>HYPERLINK(AC2 &amp; "/pencil/sn_d22cfab6479b8ec2741e88434245c899/rendering/18.xyz", "0.0")</f>
        <v>0.0</v>
      </c>
      <c r="V2026" s="13" t="str">
        <f>HYPERLINK(AC2 &amp; "/pencil/sn_d22cfab6479b8ec2741e88434245c899/rendering/19.xyz", "0.0")</f>
        <v>0.0</v>
      </c>
      <c r="W2026" s="12" t="s">
        <v>33</v>
      </c>
      <c r="X2026" s="13">
        <v>0</v>
      </c>
      <c r="Y2026" s="13">
        <v>0</v>
      </c>
      <c r="Z2026" s="13">
        <v>0</v>
      </c>
    </row>
    <row r="2027" spans="1:26" x14ac:dyDescent="0.2">
      <c r="A2027" s="1">
        <v>2025</v>
      </c>
      <c r="B2027" s="2" t="s">
        <v>438</v>
      </c>
      <c r="C2027" s="79" t="str">
        <f>HYPERLINK(AA2 &amp; "/pencil/sn_d28bc7b3d5c978fe54665a4e9c906cd4/rendering/00.obj", "3.15347351074")</f>
        <v>3.15347351074</v>
      </c>
      <c r="D2027" s="20" t="str">
        <f>HYPERLINK(AA2 &amp; "/pencil/sn_d28bc7b3d5c978fe54665a4e9c906cd4/rendering/01.obj", "10.0600787354")</f>
        <v>10.0600787354</v>
      </c>
      <c r="E2027" s="60" t="str">
        <f>HYPERLINK(AA2 &amp; "/pencil/sn_d28bc7b3d5c978fe54665a4e9c906cd4/rendering/02.obj", "3.93707305908")</f>
        <v>3.93707305908</v>
      </c>
      <c r="F2027" s="59" t="str">
        <f>HYPERLINK(AA2 &amp; "/pencil/sn_d28bc7b3d5c978fe54665a4e9c906cd4/rendering/03.obj", "2.84790039062")</f>
        <v>2.84790039062</v>
      </c>
      <c r="G2027" s="193" t="str">
        <f>HYPERLINK(AA2 &amp; "/pencil/sn_d28bc7b3d5c978fe54665a4e9c906cd4/rendering/04.obj", "2.50304779053")</f>
        <v>2.50304779053</v>
      </c>
      <c r="H2027" s="100" t="str">
        <f>HYPERLINK(AA2 &amp; "/pencil/sn_d28bc7b3d5c978fe54665a4e9c906cd4/rendering/05.obj", "2.6247467041")</f>
        <v>2.6247467041</v>
      </c>
      <c r="I2027" s="31" t="str">
        <f>HYPERLINK(AA2 &amp; "/pencil/sn_d28bc7b3d5c978fe54665a4e9c906cd4/rendering/06.obj", "3.16022369385")</f>
        <v>3.16022369385</v>
      </c>
      <c r="J2027" s="187" t="str">
        <f>HYPERLINK(AA2 &amp; "/pencil/sn_d28bc7b3d5c978fe54665a4e9c906cd4/rendering/07.obj", "2.44069656372")</f>
        <v>2.44069656372</v>
      </c>
      <c r="K2027" s="74" t="str">
        <f>HYPERLINK(AA2 &amp; "/pencil/sn_d28bc7b3d5c978fe54665a4e9c906cd4/rendering/08.obj", "3.69457702637")</f>
        <v>3.69457702637</v>
      </c>
      <c r="L2027" s="40" t="str">
        <f>HYPERLINK(AA2 &amp; "/pencil/sn_d28bc7b3d5c978fe54665a4e9c906cd4/rendering/09.obj", "3.1122253418")</f>
        <v>3.1122253418</v>
      </c>
      <c r="M2027" s="99" t="str">
        <f>HYPERLINK(AA2 &amp; "/pencil/sn_d28bc7b3d5c978fe54665a4e9c906cd4/rendering/10.obj", "2.73484283447")</f>
        <v>2.73484283447</v>
      </c>
      <c r="N2027" s="57" t="str">
        <f>HYPERLINK(AA2 &amp; "/pencil/sn_d28bc7b3d5c978fe54665a4e9c906cd4/rendering/11.obj", "2.57047515869")</f>
        <v>2.57047515869</v>
      </c>
      <c r="O2027" s="29" t="str">
        <f>HYPERLINK(AA2 &amp; "/pencil/sn_d28bc7b3d5c978fe54665a4e9c906cd4/rendering/12.obj", "4.23324829102")</f>
        <v>4.23324829102</v>
      </c>
      <c r="P2027" s="50" t="str">
        <f>HYPERLINK(AA2 &amp; "/pencil/sn_d28bc7b3d5c978fe54665a4e9c906cd4/rendering/13.obj", "2.9972479248")</f>
        <v>2.9972479248</v>
      </c>
      <c r="Q2027" s="81" t="str">
        <f>HYPERLINK(AA2 &amp; "/pencil/sn_d28bc7b3d5c978fe54665a4e9c906cd4/rendering/14.obj", "2.9360559082")</f>
        <v>2.9360559082</v>
      </c>
      <c r="R2027" s="175" t="str">
        <f>HYPERLINK(AA2 &amp; "/pencil/sn_d28bc7b3d5c978fe54665a4e9c906cd4/rendering/15.obj", "2.87078643799")</f>
        <v>2.87078643799</v>
      </c>
      <c r="S2027" s="17" t="str">
        <f>HYPERLINK(AA2 &amp; "/pencil/sn_d28bc7b3d5c978fe54665a4e9c906cd4/rendering/16.obj", "3.67586791992")</f>
        <v>3.67586791992</v>
      </c>
      <c r="T2027" s="20" t="str">
        <f>HYPERLINK(AA2 &amp; "/pencil/sn_d28bc7b3d5c978fe54665a4e9c906cd4/rendering/17.obj", "10.4605786133")</f>
        <v>10.4605786133</v>
      </c>
      <c r="U2027" s="179" t="str">
        <f>HYPERLINK(AA2 &amp; "/pencil/sn_d28bc7b3d5c978fe54665a4e9c906cd4/rendering/18.obj", "2.14722076416")</f>
        <v>2.14722076416</v>
      </c>
      <c r="V2027" s="170" t="str">
        <f>HYPERLINK(AA2 &amp; "/pencil/sn_d28bc7b3d5c978fe54665a4e9c906cd4/rendering/19.obj", "2.79626800537")</f>
        <v>2.79626800537</v>
      </c>
      <c r="W2027" s="12" t="s">
        <v>29</v>
      </c>
      <c r="X2027" s="13">
        <v>3.7478317337036131</v>
      </c>
      <c r="Y2027" s="13">
        <v>2.2303365662727259</v>
      </c>
      <c r="Z2027" s="112">
        <v>0.59510050737221964</v>
      </c>
    </row>
    <row r="2028" spans="1:26" x14ac:dyDescent="0.2">
      <c r="A2028" s="1">
        <v>2026</v>
      </c>
      <c r="B2028" s="2" t="s">
        <v>438</v>
      </c>
      <c r="C2028" s="124" t="str">
        <f>HYPERLINK(AA2 &amp; "/pencil/sn_d28bc7b3d5c978fe54665a4e9c906cd4/rendering/00.obj", "1.96455168724")</f>
        <v>1.96455168724</v>
      </c>
      <c r="D2028" s="20" t="str">
        <f>HYPERLINK(AA2 &amp; "/pencil/sn_d28bc7b3d5c978fe54665a4e9c906cd4/rendering/01.obj", "13.2173080444")</f>
        <v>13.2173080444</v>
      </c>
      <c r="E2028" s="73" t="str">
        <f>HYPERLINK(AA2 &amp; "/pencil/sn_d28bc7b3d5c978fe54665a4e9c906cd4/rendering/02.obj", "3.28686714172")</f>
        <v>3.28686714172</v>
      </c>
      <c r="F2028" s="144" t="str">
        <f>HYPERLINK(AA2 &amp; "/pencil/sn_d28bc7b3d5c978fe54665a4e9c906cd4/rendering/03.obj", "1.57145702839")</f>
        <v>1.57145702839</v>
      </c>
      <c r="G2028" s="203" t="str">
        <f>HYPERLINK(AA2 &amp; "/pencil/sn_d28bc7b3d5c978fe54665a4e9c906cd4/rendering/04.obj", "1.69649839401")</f>
        <v>1.69649839401</v>
      </c>
      <c r="H2028" s="102" t="str">
        <f>HYPERLINK(AA2 &amp; "/pencil/sn_d28bc7b3d5c978fe54665a4e9c906cd4/rendering/05.obj", "1.58921039104")</f>
        <v>1.58921039104</v>
      </c>
      <c r="I2028" s="7" t="str">
        <f>HYPERLINK(AA2 &amp; "/pencil/sn_d28bc7b3d5c978fe54665a4e9c906cd4/rendering/06.obj", "2.2862226963")</f>
        <v>2.2862226963</v>
      </c>
      <c r="J2028" s="177" t="str">
        <f>HYPERLINK(AA2 &amp; "/pencil/sn_d28bc7b3d5c978fe54665a4e9c906cd4/rendering/07.obj", "1.46960413456")</f>
        <v>1.46960413456</v>
      </c>
      <c r="K2028" s="42" t="str">
        <f>HYPERLINK(AA2 &amp; "/pencil/sn_d28bc7b3d5c978fe54665a4e9c906cd4/rendering/08.obj", "2.74198126793")</f>
        <v>2.74198126793</v>
      </c>
      <c r="L2028" s="116" t="str">
        <f>HYPERLINK(AA2 &amp; "/pencil/sn_d28bc7b3d5c978fe54665a4e9c906cd4/rendering/09.obj", "1.7856926918")</f>
        <v>1.7856926918</v>
      </c>
      <c r="M2028" s="193" t="str">
        <f>HYPERLINK(AA2 &amp; "/pencil/sn_d28bc7b3d5c978fe54665a4e9c906cd4/rendering/10.obj", "2.12359499931")</f>
        <v>2.12359499931</v>
      </c>
      <c r="N2028" s="139" t="str">
        <f>HYPERLINK(AA2 &amp; "/pencil/sn_d28bc7b3d5c978fe54665a4e9c906cd4/rendering/11.obj", "1.64678692818")</f>
        <v>1.64678692818</v>
      </c>
      <c r="O2028" s="117" t="str">
        <f>HYPERLINK(AA2 &amp; "/pencil/sn_d28bc7b3d5c978fe54665a4e9c906cd4/rendering/12.obj", "3.73652076721")</f>
        <v>3.73652076721</v>
      </c>
      <c r="P2028" s="191" t="str">
        <f>HYPERLINK(AA2 &amp; "/pencil/sn_d28bc7b3d5c978fe54665a4e9c906cd4/rendering/13.obj", "1.73085427284")</f>
        <v>1.73085427284</v>
      </c>
      <c r="Q2028" s="151" t="str">
        <f>HYPERLINK(AA2 &amp; "/pencil/sn_d28bc7b3d5c978fe54665a4e9c906cd4/rendering/14.obj", "2.03359532356")</f>
        <v>2.03359532356</v>
      </c>
      <c r="R2028" s="126" t="str">
        <f>HYPERLINK(AA2 &amp; "/pencil/sn_d28bc7b3d5c978fe54665a4e9c906cd4/rendering/15.obj", "1.58659267426")</f>
        <v>1.58659267426</v>
      </c>
      <c r="S2028" s="116" t="str">
        <f>HYPERLINK(AA2 &amp; "/pencil/sn_d28bc7b3d5c978fe54665a4e9c906cd4/rendering/16.obj", "1.78367972374")</f>
        <v>1.78367972374</v>
      </c>
      <c r="T2028" s="20" t="str">
        <f>HYPERLINK(AA2 &amp; "/pencil/sn_d28bc7b3d5c978fe54665a4e9c906cd4/rendering/17.obj", "13.6879644394")</f>
        <v>13.6879644394</v>
      </c>
      <c r="U2028" s="143" t="str">
        <f>HYPERLINK(AA2 &amp; "/pencil/sn_d28bc7b3d5c978fe54665a4e9c906cd4/rendering/18.obj", "1.6740231514")</f>
        <v>1.6740231514</v>
      </c>
      <c r="V2028" s="116" t="str">
        <f>HYPERLINK(AA2 &amp; "/pencil/sn_d28bc7b3d5c978fe54665a4e9c906cd4/rendering/19.obj", "1.78471946716")</f>
        <v>1.78471946716</v>
      </c>
      <c r="W2028" s="12" t="s">
        <v>30</v>
      </c>
      <c r="X2028" s="13">
        <v>3.1698862612247471</v>
      </c>
      <c r="Y2028" s="13">
        <v>3.4765266474572192</v>
      </c>
      <c r="Z2028" s="20">
        <v>1.0967354538815519</v>
      </c>
    </row>
    <row r="2029" spans="1:26" x14ac:dyDescent="0.2">
      <c r="A2029" s="1">
        <v>2027</v>
      </c>
      <c r="B2029" s="2" t="s">
        <v>438</v>
      </c>
      <c r="C2029" s="92" t="str">
        <f>HYPERLINK(AB2 &amp; "/pencil/sn_d28bc7b3d5c978fe54665a4e9c906cd4/rendering/00.obj", "2.26973358154")</f>
        <v>2.26973358154</v>
      </c>
      <c r="D2029" s="70" t="str">
        <f>HYPERLINK(AB2 &amp; "/pencil/sn_d28bc7b3d5c978fe54665a4e9c906cd4/rendering/01.obj", "2.92393890381")</f>
        <v>2.92393890381</v>
      </c>
      <c r="E2029" s="91" t="str">
        <f>HYPERLINK(AB2 &amp; "/pencil/sn_d28bc7b3d5c978fe54665a4e9c906cd4/rendering/02.obj", "2.52698699951")</f>
        <v>2.52698699951</v>
      </c>
      <c r="F2029" s="41" t="str">
        <f>HYPERLINK(AB2 &amp; "/pencil/sn_d28bc7b3d5c978fe54665a4e9c906cd4/rendering/03.obj", "2.76753540039")</f>
        <v>2.76753540039</v>
      </c>
      <c r="G2029" s="23" t="str">
        <f>HYPERLINK(AB2 &amp; "/pencil/sn_d28bc7b3d5c978fe54665a4e9c906cd4/rendering/04.obj", "2.69238952637")</f>
        <v>2.69238952637</v>
      </c>
      <c r="H2029" s="39" t="str">
        <f>HYPERLINK(AB2 &amp; "/pencil/sn_d28bc7b3d5c978fe54665a4e9c906cd4/rendering/05.obj", "2.37359863281")</f>
        <v>2.37359863281</v>
      </c>
      <c r="I2029" s="74" t="str">
        <f>HYPERLINK(AB2 &amp; "/pencil/sn_d28bc7b3d5c978fe54665a4e9c906cd4/rendering/06.obj", "2.6281729126")</f>
        <v>2.6281729126</v>
      </c>
      <c r="J2029" s="91" t="str">
        <f>HYPERLINK(AB2 &amp; "/pencil/sn_d28bc7b3d5c978fe54665a4e9c906cd4/rendering/07.obj", "2.52490905762")</f>
        <v>2.52490905762</v>
      </c>
      <c r="K2029" s="51" t="str">
        <f>HYPERLINK(AB2 &amp; "/pencil/sn_d28bc7b3d5c978fe54665a4e9c906cd4/rendering/08.obj", "2.38846557617")</f>
        <v>2.38846557617</v>
      </c>
      <c r="L2029" s="41" t="str">
        <f>HYPERLINK(AB2 &amp; "/pencil/sn_d28bc7b3d5c978fe54665a4e9c906cd4/rendering/09.obj", "2.41682281494")</f>
        <v>2.41682281494</v>
      </c>
      <c r="M2029" s="60" t="str">
        <f>HYPERLINK(AB2 &amp; "/pencil/sn_d28bc7b3d5c978fe54665a4e9c906cd4/rendering/10.obj", "2.72667297363")</f>
        <v>2.72667297363</v>
      </c>
      <c r="N2029" s="98" t="str">
        <f>HYPERLINK(AB2 &amp; "/pencil/sn_d28bc7b3d5c978fe54665a4e9c906cd4/rendering/11.obj", "3.1943157959")</f>
        <v>3.1943157959</v>
      </c>
      <c r="O2029" s="46" t="str">
        <f>HYPERLINK(AB2 &amp; "/pencil/sn_d28bc7b3d5c978fe54665a4e9c906cd4/rendering/12.obj", "2.55290283203")</f>
        <v>2.55290283203</v>
      </c>
      <c r="P2029" s="13" t="str">
        <f>HYPERLINK(AB2 &amp; "/pencil/sn_d28bc7b3d5c978fe54665a4e9c906cd4/rendering/13.obj", "2.59238739014")</f>
        <v>2.59238739014</v>
      </c>
      <c r="Q2029" s="27" t="str">
        <f>HYPERLINK(AB2 &amp; "/pencil/sn_d28bc7b3d5c978fe54665a4e9c906cd4/rendering/14.obj", "2.41207611084")</f>
        <v>2.41207611084</v>
      </c>
      <c r="R2029" s="48" t="str">
        <f>HYPERLINK(AB2 &amp; "/pencil/sn_d28bc7b3d5c978fe54665a4e9c906cd4/rendering/15.obj", "2.65157226563")</f>
        <v>2.65157226563</v>
      </c>
      <c r="S2029" s="94" t="str">
        <f>HYPERLINK(AB2 &amp; "/pencil/sn_d28bc7b3d5c978fe54665a4e9c906cd4/rendering/16.obj", "2.40696228027")</f>
        <v>2.40696228027</v>
      </c>
      <c r="T2029" s="17" t="str">
        <f>HYPERLINK(AB2 &amp; "/pencil/sn_d28bc7b3d5c978fe54665a4e9c906cd4/rendering/17.obj", "2.5398815918")</f>
        <v>2.5398815918</v>
      </c>
      <c r="U2029" s="73" t="str">
        <f>HYPERLINK(AB2 &amp; "/pencil/sn_d28bc7b3d5c978fe54665a4e9c906cd4/rendering/18.obj", "2.68848358154")</f>
        <v>2.68848358154</v>
      </c>
      <c r="V2029" s="47" t="str">
        <f>HYPERLINK(AB2 &amp; "/pencil/sn_d28bc7b3d5c978fe54665a4e9c906cd4/rendering/19.obj", "2.6129083252")</f>
        <v>2.6129083252</v>
      </c>
      <c r="W2029" s="12" t="s">
        <v>31</v>
      </c>
      <c r="X2029" s="13">
        <v>2.5945358276367192</v>
      </c>
      <c r="Y2029" s="13">
        <v>0.20612167377889309</v>
      </c>
      <c r="Z2029" s="51">
        <v>7.9444527835502224E-2</v>
      </c>
    </row>
    <row r="2030" spans="1:26" x14ac:dyDescent="0.2">
      <c r="A2030" s="1">
        <v>2028</v>
      </c>
      <c r="B2030" s="2" t="s">
        <v>438</v>
      </c>
      <c r="C2030" s="17" t="str">
        <f>HYPERLINK(AB2 &amp; "/pencil/sn_d28bc7b3d5c978fe54665a4e9c906cd4/rendering/00.obj", "1.531042099")</f>
        <v>1.531042099</v>
      </c>
      <c r="D2030" s="40" t="str">
        <f>HYPERLINK(AB2 &amp; "/pencil/sn_d28bc7b3d5c978fe54665a4e9c906cd4/rendering/01.obj", "1.82912778854")</f>
        <v>1.82912778854</v>
      </c>
      <c r="E2030" s="29" t="str">
        <f>HYPERLINK(AB2 &amp; "/pencil/sn_d28bc7b3d5c978fe54665a4e9c906cd4/rendering/02.obj", "1.35793220997")</f>
        <v>1.35793220997</v>
      </c>
      <c r="F2030" s="5" t="str">
        <f>HYPERLINK(AB2 &amp; "/pencil/sn_d28bc7b3d5c978fe54665a4e9c906cd4/rendering/03.obj", "1.68474030495")</f>
        <v>1.68474030495</v>
      </c>
      <c r="G2030" s="63" t="str">
        <f>HYPERLINK(AB2 &amp; "/pencil/sn_d28bc7b3d5c978fe54665a4e9c906cd4/rendering/04.obj", "1.74900722504")</f>
        <v>1.74900722504</v>
      </c>
      <c r="H2030" s="90" t="str">
        <f>HYPERLINK(AB2 &amp; "/pencil/sn_d28bc7b3d5c978fe54665a4e9c906cd4/rendering/05.obj", "1.41288805008")</f>
        <v>1.41288805008</v>
      </c>
      <c r="I2030" s="60" t="str">
        <f>HYPERLINK(AB2 &amp; "/pencil/sn_d28bc7b3d5c978fe54665a4e9c906cd4/rendering/06.obj", "1.64534711838")</f>
        <v>1.64534711838</v>
      </c>
      <c r="J2030" s="106" t="str">
        <f>HYPERLINK(AB2 &amp; "/pencil/sn_d28bc7b3d5c978fe54665a4e9c906cd4/rendering/07.obj", "1.38138318062")</f>
        <v>1.38138318062</v>
      </c>
      <c r="K2030" s="80" t="str">
        <f>HYPERLINK(AB2 &amp; "/pencil/sn_d28bc7b3d5c978fe54665a4e9c906cd4/rendering/08.obj", "1.32735347748")</f>
        <v>1.32735347748</v>
      </c>
      <c r="L2030" s="32" t="str">
        <f>HYPERLINK(AB2 &amp; "/pencil/sn_d28bc7b3d5c978fe54665a4e9c906cd4/rendering/09.obj", "1.39991855621")</f>
        <v>1.39991855621</v>
      </c>
      <c r="M2030" s="27" t="str">
        <f>HYPERLINK(AB2 &amp; "/pencil/sn_d28bc7b3d5c978fe54665a4e9c906cd4/rendering/10.obj", "1.67357099056")</f>
        <v>1.67357099056</v>
      </c>
      <c r="N2030" s="175" t="str">
        <f>HYPERLINK(AB2 &amp; "/pencil/sn_d28bc7b3d5c978fe54665a4e9c906cd4/rendering/11.obj", "1.9252641201")</f>
        <v>1.9252641201</v>
      </c>
      <c r="O2030" s="95" t="str">
        <f>HYPERLINK(AB2 &amp; "/pencil/sn_d28bc7b3d5c978fe54665a4e9c906cd4/rendering/12.obj", "1.99852705002")</f>
        <v>1.99852705002</v>
      </c>
      <c r="P2030" s="17" t="str">
        <f>HYPERLINK(AB2 &amp; "/pencil/sn_d28bc7b3d5c978fe54665a4e9c906cd4/rendering/13.obj", "1.59483408928")</f>
        <v>1.59483408928</v>
      </c>
      <c r="Q2030" s="64" t="str">
        <f>HYPERLINK(AB2 &amp; "/pencil/sn_d28bc7b3d5c978fe54665a4e9c906cd4/rendering/14.obj", "1.30499505997")</f>
        <v>1.30499505997</v>
      </c>
      <c r="R2030" s="46" t="str">
        <f>HYPERLINK(AB2 &amp; "/pencil/sn_d28bc7b3d5c978fe54665a4e9c906cd4/rendering/15.obj", "1.5886554718")</f>
        <v>1.5886554718</v>
      </c>
      <c r="S2030" s="78" t="str">
        <f>HYPERLINK(AB2 &amp; "/pencil/sn_d28bc7b3d5c978fe54665a4e9c906cd4/rendering/16.obj", "1.46510124207")</f>
        <v>1.46510124207</v>
      </c>
      <c r="T2030" s="107" t="str">
        <f>HYPERLINK(AB2 &amp; "/pencil/sn_d28bc7b3d5c978fe54665a4e9c906cd4/rendering/17.obj", "1.43068051338")</f>
        <v>1.43068051338</v>
      </c>
      <c r="U2030" s="64" t="str">
        <f>HYPERLINK(AB2 &amp; "/pencil/sn_d28bc7b3d5c978fe54665a4e9c906cd4/rendering/18.obj", "1.30565357208")</f>
        <v>1.30565357208</v>
      </c>
      <c r="V2030" s="34" t="str">
        <f>HYPERLINK(AB2 &amp; "/pencil/sn_d28bc7b3d5c978fe54665a4e9c906cd4/rendering/19.obj", "1.63858389854")</f>
        <v>1.63858389854</v>
      </c>
      <c r="W2030" s="12" t="s">
        <v>32</v>
      </c>
      <c r="X2030" s="13">
        <v>1.56223030090332</v>
      </c>
      <c r="Y2030" s="13">
        <v>0.20101563802175459</v>
      </c>
      <c r="Z2030" s="29">
        <v>0.12867221811375851</v>
      </c>
    </row>
    <row r="2031" spans="1:26" x14ac:dyDescent="0.2">
      <c r="A2031" s="1">
        <v>2029</v>
      </c>
      <c r="B2031" s="2" t="s">
        <v>438</v>
      </c>
      <c r="C2031" s="13" t="str">
        <f>HYPERLINK(AC2 &amp; "/pencil/sn_d28bc7b3d5c978fe54665a4e9c906cd4/rendering/00.xyz", "0.0")</f>
        <v>0.0</v>
      </c>
      <c r="D2031" s="13" t="str">
        <f>HYPERLINK(AC2 &amp; "/pencil/sn_d28bc7b3d5c978fe54665a4e9c906cd4/rendering/01.xyz", "0.0")</f>
        <v>0.0</v>
      </c>
      <c r="E2031" s="13" t="str">
        <f>HYPERLINK(AC2 &amp; "/pencil/sn_d28bc7b3d5c978fe54665a4e9c906cd4/rendering/02.xyz", "0.0")</f>
        <v>0.0</v>
      </c>
      <c r="F2031" s="13" t="str">
        <f>HYPERLINK(AC2 &amp; "/pencil/sn_d28bc7b3d5c978fe54665a4e9c906cd4/rendering/03.xyz", "0.0")</f>
        <v>0.0</v>
      </c>
      <c r="G2031" s="13" t="str">
        <f>HYPERLINK(AC2 &amp; "/pencil/sn_d28bc7b3d5c978fe54665a4e9c906cd4/rendering/04.xyz", "0.0")</f>
        <v>0.0</v>
      </c>
      <c r="H2031" s="13" t="str">
        <f>HYPERLINK(AC2 &amp; "/pencil/sn_d28bc7b3d5c978fe54665a4e9c906cd4/rendering/05.xyz", "0.0")</f>
        <v>0.0</v>
      </c>
      <c r="I2031" s="13" t="str">
        <f>HYPERLINK(AC2 &amp; "/pencil/sn_d28bc7b3d5c978fe54665a4e9c906cd4/rendering/06.xyz", "0.0")</f>
        <v>0.0</v>
      </c>
      <c r="J2031" s="13" t="str">
        <f>HYPERLINK(AC2 &amp; "/pencil/sn_d28bc7b3d5c978fe54665a4e9c906cd4/rendering/07.xyz", "0.0")</f>
        <v>0.0</v>
      </c>
      <c r="K2031" s="13" t="str">
        <f>HYPERLINK(AC2 &amp; "/pencil/sn_d28bc7b3d5c978fe54665a4e9c906cd4/rendering/08.xyz", "0.0")</f>
        <v>0.0</v>
      </c>
      <c r="L2031" s="13" t="str">
        <f>HYPERLINK(AC2 &amp; "/pencil/sn_d28bc7b3d5c978fe54665a4e9c906cd4/rendering/09.xyz", "0.0")</f>
        <v>0.0</v>
      </c>
      <c r="M2031" s="13" t="str">
        <f>HYPERLINK(AC2 &amp; "/pencil/sn_d28bc7b3d5c978fe54665a4e9c906cd4/rendering/10.xyz", "0.0")</f>
        <v>0.0</v>
      </c>
      <c r="N2031" s="13" t="str">
        <f>HYPERLINK(AC2 &amp; "/pencil/sn_d28bc7b3d5c978fe54665a4e9c906cd4/rendering/11.xyz", "0.0")</f>
        <v>0.0</v>
      </c>
      <c r="O2031" s="13" t="str">
        <f>HYPERLINK(AC2 &amp; "/pencil/sn_d28bc7b3d5c978fe54665a4e9c906cd4/rendering/12.xyz", "0.0")</f>
        <v>0.0</v>
      </c>
      <c r="P2031" s="13" t="str">
        <f>HYPERLINK(AC2 &amp; "/pencil/sn_d28bc7b3d5c978fe54665a4e9c906cd4/rendering/13.xyz", "0.0")</f>
        <v>0.0</v>
      </c>
      <c r="Q2031" s="13" t="str">
        <f>HYPERLINK(AC2 &amp; "/pencil/sn_d28bc7b3d5c978fe54665a4e9c906cd4/rendering/14.xyz", "0.0")</f>
        <v>0.0</v>
      </c>
      <c r="R2031" s="13" t="str">
        <f>HYPERLINK(AC2 &amp; "/pencil/sn_d28bc7b3d5c978fe54665a4e9c906cd4/rendering/15.xyz", "0.0")</f>
        <v>0.0</v>
      </c>
      <c r="S2031" s="13" t="str">
        <f>HYPERLINK(AC2 &amp; "/pencil/sn_d28bc7b3d5c978fe54665a4e9c906cd4/rendering/16.xyz", "0.0")</f>
        <v>0.0</v>
      </c>
      <c r="T2031" s="13" t="str">
        <f>HYPERLINK(AC2 &amp; "/pencil/sn_d28bc7b3d5c978fe54665a4e9c906cd4/rendering/17.xyz", "0.0")</f>
        <v>0.0</v>
      </c>
      <c r="U2031" s="13" t="str">
        <f>HYPERLINK(AC2 &amp; "/pencil/sn_d28bc7b3d5c978fe54665a4e9c906cd4/rendering/18.xyz", "0.0")</f>
        <v>0.0</v>
      </c>
      <c r="V2031" s="13" t="str">
        <f>HYPERLINK(AC2 &amp; "/pencil/sn_d28bc7b3d5c978fe54665a4e9c906cd4/rendering/19.xyz", "0.0")</f>
        <v>0.0</v>
      </c>
      <c r="W2031" s="12" t="s">
        <v>33</v>
      </c>
      <c r="X2031" s="13">
        <v>0</v>
      </c>
      <c r="Y2031" s="13">
        <v>0</v>
      </c>
      <c r="Z2031" s="13">
        <v>0</v>
      </c>
    </row>
    <row r="2032" spans="1:26" x14ac:dyDescent="0.2">
      <c r="A2032" s="1">
        <v>2030</v>
      </c>
      <c r="B2032" s="2" t="s">
        <v>439</v>
      </c>
      <c r="C2032" s="126" t="str">
        <f>HYPERLINK(AA2 &amp; "/pencil/sn_d294fd4bca461b1d1f03fbe6090ffd40/rendering/00.obj", "8.3131060791")</f>
        <v>8.3131060791</v>
      </c>
      <c r="D2032" s="95" t="str">
        <f>HYPERLINK(AA2 &amp; "/pencil/sn_d294fd4bca461b1d1f03fbe6090ffd40/rendering/01.obj", "3.97815643311")</f>
        <v>3.97815643311</v>
      </c>
      <c r="E2032" s="118" t="str">
        <f>HYPERLINK(AA2 &amp; "/pencil/sn_d294fd4bca461b1d1f03fbe6090ffd40/rendering/02.obj", "3.91519744873")</f>
        <v>3.91519744873</v>
      </c>
      <c r="F2032" s="129" t="str">
        <f>HYPERLINK(AA2 &amp; "/pencil/sn_d294fd4bca461b1d1f03fbe6090ffd40/rendering/03.obj", "4.15176147461")</f>
        <v>4.15176147461</v>
      </c>
      <c r="G2032" s="95" t="str">
        <f>HYPERLINK(AA2 &amp; "/pencil/sn_d294fd4bca461b1d1f03fbe6090ffd40/rendering/04.obj", "3.98939361572")</f>
        <v>3.98939361572</v>
      </c>
      <c r="H2032" s="8" t="str">
        <f>HYPERLINK(AA2 &amp; "/pencil/sn_d294fd4bca461b1d1f03fbe6090ffd40/rendering/05.obj", "4.74382080078")</f>
        <v>4.74382080078</v>
      </c>
      <c r="I2032" s="50" t="str">
        <f>HYPERLINK(AA2 &amp; "/pencil/sn_d294fd4bca461b1d1f03fbe6090ffd40/rendering/06.obj", "4.43801879883")</f>
        <v>4.43801879883</v>
      </c>
      <c r="J2032" s="99" t="str">
        <f>HYPERLINK(AA2 &amp; "/pencil/sn_d294fd4bca461b1d1f03fbe6090ffd40/rendering/07.obj", "4.04342071533")</f>
        <v>4.04342071533</v>
      </c>
      <c r="K2032" s="80" t="str">
        <f>HYPERLINK(AA2 &amp; "/pencil/sn_d294fd4bca461b1d1f03fbe6090ffd40/rendering/08.obj", "4.72007293701")</f>
        <v>4.72007293701</v>
      </c>
      <c r="L2032" s="171" t="str">
        <f>HYPERLINK(AA2 &amp; "/pencil/sn_d294fd4bca461b1d1f03fbe6090ffd40/rendering/09.obj", "3.83566986084")</f>
        <v>3.83566986084</v>
      </c>
      <c r="M2032" s="113" t="str">
        <f>HYPERLINK(AA2 &amp; "/pencil/sn_d294fd4bca461b1d1f03fbe6090ffd40/rendering/10.obj", "4.01358947754")</f>
        <v>4.01358947754</v>
      </c>
      <c r="N2032" s="20" t="str">
        <f>HYPERLINK(AA2 &amp; "/pencil/sn_d294fd4bca461b1d1f03fbe6090ffd40/rendering/11.obj", "14.2857543945")</f>
        <v>14.2857543945</v>
      </c>
      <c r="O2032" s="119" t="str">
        <f>HYPERLINK(AA2 &amp; "/pencil/sn_d294fd4bca461b1d1f03fbe6090ffd40/rendering/12.obj", "4.06840515137")</f>
        <v>4.06840515137</v>
      </c>
      <c r="P2032" s="140" t="str">
        <f>HYPERLINK(AA2 &amp; "/pencil/sn_d294fd4bca461b1d1f03fbe6090ffd40/rendering/13.obj", "7.45051757812")</f>
        <v>7.45051757812</v>
      </c>
      <c r="Q2032" s="106" t="str">
        <f>HYPERLINK(AA2 &amp; "/pencil/sn_d294fd4bca461b1d1f03fbe6090ffd40/rendering/14.obj", "4.904815979")</f>
        <v>4.904815979</v>
      </c>
      <c r="R2032" s="61" t="str">
        <f>HYPERLINK(AA2 &amp; "/pencil/sn_d294fd4bca461b1d1f03fbe6090ffd40/rendering/15.obj", "3.86489562988")</f>
        <v>3.86489562988</v>
      </c>
      <c r="S2032" s="129" t="str">
        <f>HYPERLINK(AA2 &amp; "/pencil/sn_d294fd4bca461b1d1f03fbe6090ffd40/rendering/16.obj", "4.16467224121")</f>
        <v>4.16467224121</v>
      </c>
      <c r="T2032" s="92" t="str">
        <f>HYPERLINK(AA2 &amp; "/pencil/sn_d294fd4bca461b1d1f03fbe6090ffd40/rendering/17.obj", "4.84804382324")</f>
        <v>4.84804382324</v>
      </c>
      <c r="U2032" s="134" t="str">
        <f>HYPERLINK(AA2 &amp; "/pencil/sn_d294fd4bca461b1d1f03fbe6090ffd40/rendering/18.obj", "4.53015380859")</f>
        <v>4.53015380859</v>
      </c>
      <c r="V2032" s="20" t="str">
        <f>HYPERLINK(AA2 &amp; "/pencil/sn_d294fd4bca461b1d1f03fbe6090ffd40/rendering/19.obj", "12.489543457")</f>
        <v>12.489543457</v>
      </c>
      <c r="W2032" s="12" t="s">
        <v>29</v>
      </c>
      <c r="X2032" s="13">
        <v>5.5374504852294919</v>
      </c>
      <c r="Y2032" s="13">
        <v>2.866142634298142</v>
      </c>
      <c r="Z2032" s="218">
        <v>0.51759246280273663</v>
      </c>
    </row>
    <row r="2033" spans="1:26" x14ac:dyDescent="0.2">
      <c r="A2033" s="1">
        <v>2031</v>
      </c>
      <c r="B2033" s="2" t="s">
        <v>439</v>
      </c>
      <c r="C2033" s="20" t="str">
        <f>HYPERLINK(AA2 &amp; "/pencil/sn_d294fd4bca461b1d1f03fbe6090ffd40/rendering/00.obj", "6.4795255661")</f>
        <v>6.4795255661</v>
      </c>
      <c r="D2033" s="236" t="str">
        <f>HYPERLINK(AA2 &amp; "/pencil/sn_d294fd4bca461b1d1f03fbe6090ffd40/rendering/01.obj", "0.843325912952")</f>
        <v>0.843325912952</v>
      </c>
      <c r="E2033" s="255" t="str">
        <f>HYPERLINK(AA2 &amp; "/pencil/sn_d294fd4bca461b1d1f03fbe6090ffd40/rendering/02.obj", "0.89728307724")</f>
        <v>0.89728307724</v>
      </c>
      <c r="F2033" s="245" t="str">
        <f>HYPERLINK(AA2 &amp; "/pencil/sn_d294fd4bca461b1d1f03fbe6090ffd40/rendering/03.obj", "0.901899278164")</f>
        <v>0.901899278164</v>
      </c>
      <c r="G2033" s="208" t="str">
        <f>HYPERLINK(AA2 &amp; "/pencil/sn_d294fd4bca461b1d1f03fbe6090ffd40/rendering/04.obj", "0.763846635818")</f>
        <v>0.763846635818</v>
      </c>
      <c r="H2033" s="244" t="str">
        <f>HYPERLINK(AA2 &amp; "/pencil/sn_d294fd4bca461b1d1f03fbe6090ffd40/rendering/05.obj", "1.24862861633")</f>
        <v>1.24862861633</v>
      </c>
      <c r="I2033" s="160" t="str">
        <f>HYPERLINK(AA2 &amp; "/pencil/sn_d294fd4bca461b1d1f03fbe6090ffd40/rendering/06.obj", "1.52052509785")</f>
        <v>1.52052509785</v>
      </c>
      <c r="J2033" s="242" t="str">
        <f>HYPERLINK(AA2 &amp; "/pencil/sn_d294fd4bca461b1d1f03fbe6090ffd40/rendering/07.obj", "0.865850448608")</f>
        <v>0.865850448608</v>
      </c>
      <c r="K2033" s="162" t="str">
        <f>HYPERLINK(AA2 &amp; "/pencil/sn_d294fd4bca461b1d1f03fbe6090ffd40/rendering/08.obj", "1.86281037331")</f>
        <v>1.86281037331</v>
      </c>
      <c r="L2033" s="224" t="str">
        <f>HYPERLINK(AA2 &amp; "/pencil/sn_d294fd4bca461b1d1f03fbe6090ffd40/rendering/09.obj", "0.948421657085")</f>
        <v>0.948421657085</v>
      </c>
      <c r="M2033" s="205" t="str">
        <f>HYPERLINK(AA2 &amp; "/pencil/sn_d294fd4bca461b1d1f03fbe6090ffd40/rendering/10.obj", "1.08059418201")</f>
        <v>1.08059418201</v>
      </c>
      <c r="N2033" s="20" t="str">
        <f>HYPERLINK(AA2 &amp; "/pencil/sn_d294fd4bca461b1d1f03fbe6090ffd40/rendering/11.obj", "19.4276351929")</f>
        <v>19.4276351929</v>
      </c>
      <c r="O2033" s="154" t="str">
        <f>HYPERLINK(AA2 &amp; "/pencil/sn_d294fd4bca461b1d1f03fbe6090ffd40/rendering/12.obj", "0.827867746353")</f>
        <v>0.827867746353</v>
      </c>
      <c r="P2033" s="142" t="str">
        <f>HYPERLINK(AA2 &amp; "/pencil/sn_d294fd4bca461b1d1f03fbe6090ffd40/rendering/13.obj", "4.50913095474")</f>
        <v>4.50913095474</v>
      </c>
      <c r="Q2033" s="207" t="str">
        <f>HYPERLINK(AA2 &amp; "/pencil/sn_d294fd4bca461b1d1f03fbe6090ffd40/rendering/14.obj", "0.87324655056")</f>
        <v>0.87324655056</v>
      </c>
      <c r="R2033" s="255" t="str">
        <f>HYPERLINK(AA2 &amp; "/pencil/sn_d294fd4bca461b1d1f03fbe6090ffd40/rendering/15.obj", "0.891234517097")</f>
        <v>0.891234517097</v>
      </c>
      <c r="S2033" s="184" t="str">
        <f>HYPERLINK(AA2 &amp; "/pencil/sn_d294fd4bca461b1d1f03fbe6090ffd40/rendering/16.obj", "0.859015285969")</f>
        <v>0.859015285969</v>
      </c>
      <c r="T2033" s="150" t="str">
        <f>HYPERLINK(AA2 &amp; "/pencil/sn_d294fd4bca461b1d1f03fbe6090ffd40/rendering/17.obj", "1.49377822876")</f>
        <v>1.49377822876</v>
      </c>
      <c r="U2033" s="245" t="str">
        <f>HYPERLINK(AA2 &amp; "/pencil/sn_d294fd4bca461b1d1f03fbe6090ffd40/rendering/18.obj", "0.907282054424")</f>
        <v>0.907282054424</v>
      </c>
      <c r="V2033" s="20" t="str">
        <f>HYPERLINK(AA2 &amp; "/pencil/sn_d294fd4bca461b1d1f03fbe6090ffd40/rendering/19.obj", "17.500213623")</f>
        <v>17.500213623</v>
      </c>
      <c r="W2033" s="12" t="s">
        <v>30</v>
      </c>
      <c r="X2033" s="13">
        <v>3.2351057499647138</v>
      </c>
      <c r="Y2033" s="13">
        <v>5.2715969905034514</v>
      </c>
      <c r="Z2033" s="20">
        <v>1.6294975799665741</v>
      </c>
    </row>
    <row r="2034" spans="1:26" x14ac:dyDescent="0.2">
      <c r="A2034" s="1">
        <v>2032</v>
      </c>
      <c r="B2034" s="2" t="s">
        <v>439</v>
      </c>
      <c r="C2034" s="47" t="str">
        <f>HYPERLINK(AB2 &amp; "/pencil/sn_d294fd4bca461b1d1f03fbe6090ffd40/rendering/00.obj", "3.70327362061")</f>
        <v>3.70327362061</v>
      </c>
      <c r="D2034" s="17" t="str">
        <f>HYPERLINK(AB2 &amp; "/pencil/sn_d294fd4bca461b1d1f03fbe6090ffd40/rendering/01.obj", "3.65486938477")</f>
        <v>3.65486938477</v>
      </c>
      <c r="E2034" s="5" t="str">
        <f>HYPERLINK(AB2 &amp; "/pencil/sn_d294fd4bca461b1d1f03fbe6090ffd40/rendering/02.obj", "3.44633239746")</f>
        <v>3.44633239746</v>
      </c>
      <c r="F2034" s="68" t="str">
        <f>HYPERLINK(AB2 &amp; "/pencil/sn_d294fd4bca461b1d1f03fbe6090ffd40/rendering/03.obj", "3.58120788574")</f>
        <v>3.58120788574</v>
      </c>
      <c r="G2034" s="71" t="str">
        <f>HYPERLINK(AB2 &amp; "/pencil/sn_d294fd4bca461b1d1f03fbe6090ffd40/rendering/04.obj", "4.17646240234")</f>
        <v>4.17646240234</v>
      </c>
      <c r="H2034" s="28" t="str">
        <f>HYPERLINK(AB2 &amp; "/pencil/sn_d294fd4bca461b1d1f03fbe6090ffd40/rendering/05.obj", "3.32104858398")</f>
        <v>3.32104858398</v>
      </c>
      <c r="I2034" s="69" t="str">
        <f>HYPERLINK(AB2 &amp; "/pencil/sn_d294fd4bca461b1d1f03fbe6090ffd40/rendering/06.obj", "3.84639709473")</f>
        <v>3.84639709473</v>
      </c>
      <c r="J2034" s="41" t="str">
        <f>HYPERLINK(AB2 &amp; "/pencil/sn_d294fd4bca461b1d1f03fbe6090ffd40/rendering/07.obj", "3.48567626953")</f>
        <v>3.48567626953</v>
      </c>
      <c r="K2034" s="6" t="str">
        <f>HYPERLINK(AB2 &amp; "/pencil/sn_d294fd4bca461b1d1f03fbe6090ffd40/rendering/08.obj", "3.56357940674")</f>
        <v>3.56357940674</v>
      </c>
      <c r="L2034" s="78" t="str">
        <f>HYPERLINK(AB2 &amp; "/pencil/sn_d294fd4bca461b1d1f03fbe6090ffd40/rendering/09.obj", "3.50444976807")</f>
        <v>3.50444976807</v>
      </c>
      <c r="M2034" s="47" t="str">
        <f>HYPERLINK(AB2 &amp; "/pencil/sn_d294fd4bca461b1d1f03fbe6090ffd40/rendering/10.obj", "3.76051635742")</f>
        <v>3.76051635742</v>
      </c>
      <c r="N2034" s="68" t="str">
        <f>HYPERLINK(AB2 &amp; "/pencil/sn_d294fd4bca461b1d1f03fbe6090ffd40/rendering/11.obj", "3.57491638184")</f>
        <v>3.57491638184</v>
      </c>
      <c r="O2034" s="23" t="str">
        <f>HYPERLINK(AB2 &amp; "/pencil/sn_d294fd4bca461b1d1f03fbe6090ffd40/rendering/12.obj", "3.8849911499")</f>
        <v>3.8849911499</v>
      </c>
      <c r="P2034" s="71" t="str">
        <f>HYPERLINK(AB2 &amp; "/pencil/sn_d294fd4bca461b1d1f03fbe6090ffd40/rendering/13.obj", "4.17795471191")</f>
        <v>4.17795471191</v>
      </c>
      <c r="Q2034" s="74" t="str">
        <f>HYPERLINK(AB2 &amp; "/pencil/sn_d294fd4bca461b1d1f03fbe6090ffd40/rendering/14.obj", "3.78450927734")</f>
        <v>3.78450927734</v>
      </c>
      <c r="R2034" s="30" t="str">
        <f>HYPERLINK(AB2 &amp; "/pencil/sn_d294fd4bca461b1d1f03fbe6090ffd40/rendering/15.obj", "3.71341094971")</f>
        <v>3.71341094971</v>
      </c>
      <c r="S2034" s="94" t="str">
        <f>HYPERLINK(AB2 &amp; "/pencil/sn_d294fd4bca461b1d1f03fbe6090ffd40/rendering/16.obj", "3.45918273926")</f>
        <v>3.45918273926</v>
      </c>
      <c r="T2034" s="26" t="str">
        <f>HYPERLINK(AB2 &amp; "/pencil/sn_d294fd4bca461b1d1f03fbe6090ffd40/rendering/17.obj", "3.97381286621")</f>
        <v>3.97381286621</v>
      </c>
      <c r="U2034" s="41" t="str">
        <f>HYPERLINK(AB2 &amp; "/pencil/sn_d294fd4bca461b1d1f03fbe6090ffd40/rendering/18.obj", "3.98295227051")</f>
        <v>3.98295227051</v>
      </c>
      <c r="V2034" s="32" t="str">
        <f>HYPERLINK(AB2 &amp; "/pencil/sn_d294fd4bca461b1d1f03fbe6090ffd40/rendering/19.obj", "4.13341186523")</f>
        <v>4.13341186523</v>
      </c>
      <c r="W2034" s="12" t="s">
        <v>31</v>
      </c>
      <c r="X2034" s="13">
        <v>3.7364477691650388</v>
      </c>
      <c r="Y2034" s="13">
        <v>0.24889172998758621</v>
      </c>
      <c r="Z2034" s="41">
        <v>6.6611858471985141E-2</v>
      </c>
    </row>
    <row r="2035" spans="1:26" x14ac:dyDescent="0.2">
      <c r="A2035" s="1">
        <v>2033</v>
      </c>
      <c r="B2035" s="2" t="s">
        <v>439</v>
      </c>
      <c r="C2035" s="29" t="str">
        <f>HYPERLINK(AB2 &amp; "/pencil/sn_d294fd4bca461b1d1f03fbe6090ffd40/rendering/00.obj", "1.04208517075")</f>
        <v>1.04208517075</v>
      </c>
      <c r="D2035" s="81" t="str">
        <f>HYPERLINK(AB2 &amp; "/pencil/sn_d294fd4bca461b1d1f03fbe6090ffd40/rendering/01.obj", "0.72088766098")</f>
        <v>0.72088766098</v>
      </c>
      <c r="E2035" s="65" t="str">
        <f>HYPERLINK(AB2 &amp; "/pencil/sn_d294fd4bca461b1d1f03fbe6090ffd40/rendering/02.obj", "0.798777461052")</f>
        <v>0.798777461052</v>
      </c>
      <c r="F2035" s="67" t="str">
        <f>HYPERLINK(AB2 &amp; "/pencil/sn_d294fd4bca461b1d1f03fbe6090ffd40/rendering/03.obj", "1.00854706764")</f>
        <v>1.00854706764</v>
      </c>
      <c r="G2035" s="4" t="str">
        <f>HYPERLINK(AB2 &amp; "/pencil/sn_d294fd4bca461b1d1f03fbe6090ffd40/rendering/04.obj", "1.1854711771")</f>
        <v>1.1854711771</v>
      </c>
      <c r="H2035" s="41" t="str">
        <f>HYPERLINK(AB2 &amp; "/pencil/sn_d294fd4bca461b1d1f03fbe6090ffd40/rendering/05.obj", "0.860025107861")</f>
        <v>0.860025107861</v>
      </c>
      <c r="I2035" s="120" t="str">
        <f>HYPERLINK(AB2 &amp; "/pencil/sn_d294fd4bca461b1d1f03fbe6090ffd40/rendering/06.obj", "0.727295160294")</f>
        <v>0.727295160294</v>
      </c>
      <c r="J2035" s="59" t="str">
        <f>HYPERLINK(AB2 &amp; "/pencil/sn_d294fd4bca461b1d1f03fbe6090ffd40/rendering/07.obj", "0.702361941338")</f>
        <v>0.702361941338</v>
      </c>
      <c r="K2035" s="134" t="str">
        <f>HYPERLINK(AB2 &amp; "/pencil/sn_d294fd4bca461b1d1f03fbe6090ffd40/rendering/08.obj", "0.757226109505")</f>
        <v>0.757226109505</v>
      </c>
      <c r="L2035" s="94" t="str">
        <f>HYPERLINK(AB2 &amp; "/pencil/sn_d294fd4bca461b1d1f03fbe6090ffd40/rendering/09.obj", "0.854083001614")</f>
        <v>0.854083001614</v>
      </c>
      <c r="M2035" s="40" t="str">
        <f>HYPERLINK(AB2 &amp; "/pencil/sn_d294fd4bca461b1d1f03fbe6090ffd40/rendering/10.obj", "1.07957291603")</f>
        <v>1.07957291603</v>
      </c>
      <c r="N2035" s="6" t="str">
        <f>HYPERLINK(AB2 &amp; "/pencil/sn_d294fd4bca461b1d1f03fbe6090ffd40/rendering/11.obj", "0.879593253136")</f>
        <v>0.879593253136</v>
      </c>
      <c r="O2035" s="41" t="str">
        <f>HYPERLINK(AB2 &amp; "/pencil/sn_d294fd4bca461b1d1f03fbe6090ffd40/rendering/12.obj", "0.861467540264")</f>
        <v>0.861467540264</v>
      </c>
      <c r="P2035" s="46" t="str">
        <f>HYPERLINK(AB2 &amp; "/pencil/sn_d294fd4bca461b1d1f03fbe6090ffd40/rendering/13.obj", "0.907734036446")</f>
        <v>0.907734036446</v>
      </c>
      <c r="Q2035" s="68" t="str">
        <f>HYPERLINK(AB2 &amp; "/pencil/sn_d294fd4bca461b1d1f03fbe6090ffd40/rendering/14.obj", "0.88375544548")</f>
        <v>0.88375544548</v>
      </c>
      <c r="R2035" s="44" t="str">
        <f>HYPERLINK(AB2 &amp; "/pencil/sn_d294fd4bca461b1d1f03fbe6090ffd40/rendering/15.obj", "1.10188162327")</f>
        <v>1.10188162327</v>
      </c>
      <c r="S2035" s="27" t="str">
        <f>HYPERLINK(AB2 &amp; "/pencil/sn_d294fd4bca461b1d1f03fbe6090ffd40/rendering/16.obj", "0.987237095833")</f>
        <v>0.987237095833</v>
      </c>
      <c r="T2035" s="27" t="str">
        <f>HYPERLINK(AB2 &amp; "/pencil/sn_d294fd4bca461b1d1f03fbe6090ffd40/rendering/17.obj", "0.855901360512")</f>
        <v>0.855901360512</v>
      </c>
      <c r="U2035" s="94" t="str">
        <f>HYPERLINK(AB2 &amp; "/pencil/sn_d294fd4bca461b1d1f03fbe6090ffd40/rendering/18.obj", "0.988999009132")</f>
        <v>0.988999009132</v>
      </c>
      <c r="V2035" s="140" t="str">
        <f>HYPERLINK(AB2 &amp; "/pencil/sn_d294fd4bca461b1d1f03fbe6090ffd40/rendering/19.obj", "1.2426828146")</f>
        <v>1.2426828146</v>
      </c>
      <c r="W2035" s="12" t="s">
        <v>32</v>
      </c>
      <c r="X2035" s="13">
        <v>0.92227924764156344</v>
      </c>
      <c r="Y2035" s="13">
        <v>0.1498295272091088</v>
      </c>
      <c r="Z2035" s="66">
        <v>0.16245570698055961</v>
      </c>
    </row>
    <row r="2036" spans="1:26" x14ac:dyDescent="0.2">
      <c r="A2036" s="1">
        <v>2034</v>
      </c>
      <c r="B2036" s="2" t="s">
        <v>439</v>
      </c>
      <c r="C2036" s="13" t="str">
        <f>HYPERLINK(AC2 &amp; "/pencil/sn_d294fd4bca461b1d1f03fbe6090ffd40/rendering/00.xyz", "0.0")</f>
        <v>0.0</v>
      </c>
      <c r="D2036" s="13" t="str">
        <f>HYPERLINK(AC2 &amp; "/pencil/sn_d294fd4bca461b1d1f03fbe6090ffd40/rendering/01.xyz", "0.0")</f>
        <v>0.0</v>
      </c>
      <c r="E2036" s="13" t="str">
        <f>HYPERLINK(AC2 &amp; "/pencil/sn_d294fd4bca461b1d1f03fbe6090ffd40/rendering/02.xyz", "0.0")</f>
        <v>0.0</v>
      </c>
      <c r="F2036" s="13" t="str">
        <f>HYPERLINK(AC2 &amp; "/pencil/sn_d294fd4bca461b1d1f03fbe6090ffd40/rendering/03.xyz", "0.0")</f>
        <v>0.0</v>
      </c>
      <c r="G2036" s="13" t="str">
        <f>HYPERLINK(AC2 &amp; "/pencil/sn_d294fd4bca461b1d1f03fbe6090ffd40/rendering/04.xyz", "0.0")</f>
        <v>0.0</v>
      </c>
      <c r="H2036" s="13" t="str">
        <f>HYPERLINK(AC2 &amp; "/pencil/sn_d294fd4bca461b1d1f03fbe6090ffd40/rendering/05.xyz", "0.0")</f>
        <v>0.0</v>
      </c>
      <c r="I2036" s="13" t="str">
        <f>HYPERLINK(AC2 &amp; "/pencil/sn_d294fd4bca461b1d1f03fbe6090ffd40/rendering/06.xyz", "0.0")</f>
        <v>0.0</v>
      </c>
      <c r="J2036" s="13" t="str">
        <f>HYPERLINK(AC2 &amp; "/pencil/sn_d294fd4bca461b1d1f03fbe6090ffd40/rendering/07.xyz", "0.0")</f>
        <v>0.0</v>
      </c>
      <c r="K2036" s="13" t="str">
        <f>HYPERLINK(AC2 &amp; "/pencil/sn_d294fd4bca461b1d1f03fbe6090ffd40/rendering/08.xyz", "0.0")</f>
        <v>0.0</v>
      </c>
      <c r="L2036" s="13" t="str">
        <f>HYPERLINK(AC2 &amp; "/pencil/sn_d294fd4bca461b1d1f03fbe6090ffd40/rendering/09.xyz", "0.0")</f>
        <v>0.0</v>
      </c>
      <c r="M2036" s="13" t="str">
        <f>HYPERLINK(AC2 &amp; "/pencil/sn_d294fd4bca461b1d1f03fbe6090ffd40/rendering/10.xyz", "0.0")</f>
        <v>0.0</v>
      </c>
      <c r="N2036" s="13" t="str">
        <f>HYPERLINK(AC2 &amp; "/pencil/sn_d294fd4bca461b1d1f03fbe6090ffd40/rendering/11.xyz", "0.0")</f>
        <v>0.0</v>
      </c>
      <c r="O2036" s="13" t="str">
        <f>HYPERLINK(AC2 &amp; "/pencil/sn_d294fd4bca461b1d1f03fbe6090ffd40/rendering/12.xyz", "0.0")</f>
        <v>0.0</v>
      </c>
      <c r="P2036" s="13" t="str">
        <f>HYPERLINK(AC2 &amp; "/pencil/sn_d294fd4bca461b1d1f03fbe6090ffd40/rendering/13.xyz", "0.0")</f>
        <v>0.0</v>
      </c>
      <c r="Q2036" s="13" t="str">
        <f>HYPERLINK(AC2 &amp; "/pencil/sn_d294fd4bca461b1d1f03fbe6090ffd40/rendering/14.xyz", "0.0")</f>
        <v>0.0</v>
      </c>
      <c r="R2036" s="13" t="str">
        <f>HYPERLINK(AC2 &amp; "/pencil/sn_d294fd4bca461b1d1f03fbe6090ffd40/rendering/15.xyz", "0.0")</f>
        <v>0.0</v>
      </c>
      <c r="S2036" s="13" t="str">
        <f>HYPERLINK(AC2 &amp; "/pencil/sn_d294fd4bca461b1d1f03fbe6090ffd40/rendering/16.xyz", "0.0")</f>
        <v>0.0</v>
      </c>
      <c r="T2036" s="13" t="str">
        <f>HYPERLINK(AC2 &amp; "/pencil/sn_d294fd4bca461b1d1f03fbe6090ffd40/rendering/17.xyz", "0.0")</f>
        <v>0.0</v>
      </c>
      <c r="U2036" s="13" t="str">
        <f>HYPERLINK(AC2 &amp; "/pencil/sn_d294fd4bca461b1d1f03fbe6090ffd40/rendering/18.xyz", "0.0")</f>
        <v>0.0</v>
      </c>
      <c r="V2036" s="13" t="str">
        <f>HYPERLINK(AC2 &amp; "/pencil/sn_d294fd4bca461b1d1f03fbe6090ffd40/rendering/19.xyz", "0.0")</f>
        <v>0.0</v>
      </c>
      <c r="W2036" s="12" t="s">
        <v>33</v>
      </c>
      <c r="X2036" s="13">
        <v>0</v>
      </c>
      <c r="Y2036" s="13">
        <v>0</v>
      </c>
      <c r="Z2036" s="13">
        <v>0</v>
      </c>
    </row>
    <row r="2037" spans="1:26" x14ac:dyDescent="0.2">
      <c r="A2037" s="1">
        <v>2035</v>
      </c>
      <c r="B2037" s="2" t="s">
        <v>440</v>
      </c>
      <c r="C2037" s="30" t="str">
        <f>HYPERLINK(AA2 &amp; "/pencil/sn_d3f25189929da049cfdbef4cd511f6b/rendering/00.obj", "4.36696472168")</f>
        <v>4.36696472168</v>
      </c>
      <c r="D2037" s="26" t="str">
        <f>HYPERLINK(AA2 &amp; "/pencil/sn_d3f25189929da049cfdbef4cd511f6b/rendering/01.obj", "4.09876098633")</f>
        <v>4.09876098633</v>
      </c>
      <c r="E2037" s="27" t="str">
        <f>HYPERLINK(AA2 &amp; "/pencil/sn_d3f25189929da049cfdbef4cd511f6b/rendering/02.obj", "4.06892883301")</f>
        <v>4.06892883301</v>
      </c>
      <c r="F2037" s="67" t="str">
        <f>HYPERLINK(AA2 &amp; "/pencil/sn_d3f25189929da049cfdbef4cd511f6b/rendering/03.obj", "3.98137023926")</f>
        <v>3.98137023926</v>
      </c>
      <c r="G2037" s="26" t="str">
        <f>HYPERLINK(AA2 &amp; "/pencil/sn_d3f25189929da049cfdbef4cd511f6b/rendering/04.obj", "4.10450927734")</f>
        <v>4.10450927734</v>
      </c>
      <c r="H2037" s="27" t="str">
        <f>HYPERLINK(AA2 &amp; "/pencil/sn_d3f25189929da049cfdbef4cd511f6b/rendering/05.obj", "4.69920471191")</f>
        <v>4.69920471191</v>
      </c>
      <c r="I2037" s="92" t="str">
        <f>HYPERLINK(AA2 &amp; "/pencil/sn_d3f25189929da049cfdbef4cd511f6b/rendering/06.obj", "4.92273681641")</f>
        <v>4.92273681641</v>
      </c>
      <c r="J2037" s="5" t="str">
        <f>HYPERLINK(AA2 &amp; "/pencil/sn_d3f25189929da049cfdbef4cd511f6b/rendering/07.obj", "4.71763000488")</f>
        <v>4.71763000488</v>
      </c>
      <c r="K2037" s="91" t="str">
        <f>HYPERLINK(AA2 &amp; "/pencil/sn_d3f25189929da049cfdbef4cd511f6b/rendering/08.obj", "4.50356262207")</f>
        <v>4.50356262207</v>
      </c>
      <c r="L2037" s="106" t="str">
        <f>HYPERLINK(AA2 &amp; "/pencil/sn_d3f25189929da049cfdbef4cd511f6b/rendering/09.obj", "3.87777709961")</f>
        <v>3.87777709961</v>
      </c>
      <c r="M2037" s="51" t="str">
        <f>HYPERLINK(AA2 &amp; "/pencil/sn_d3f25189929da049cfdbef4cd511f6b/rendering/10.obj", "4.03866577148")</f>
        <v>4.03866577148</v>
      </c>
      <c r="N2037" s="106" t="str">
        <f>HYPERLINK(AA2 &amp; "/pencil/sn_d3f25189929da049cfdbef4cd511f6b/rendering/11.obj", "3.88155029297")</f>
        <v>3.88155029297</v>
      </c>
      <c r="O2037" s="33" t="str">
        <f>HYPERLINK(AA2 &amp; "/pencil/sn_d3f25189929da049cfdbef4cd511f6b/rendering/12.obj", "3.90951049805")</f>
        <v>3.90951049805</v>
      </c>
      <c r="P2037" s="94" t="str">
        <f>HYPERLINK(AA2 &amp; "/pencil/sn_d3f25189929da049cfdbef4cd511f6b/rendering/13.obj", "4.7041809082")</f>
        <v>4.7041809082</v>
      </c>
      <c r="Q2037" s="73" t="str">
        <f>HYPERLINK(AA2 &amp; "/pencil/sn_d3f25189929da049cfdbef4cd511f6b/rendering/14.obj", "4.53612304687")</f>
        <v>4.53612304687</v>
      </c>
      <c r="R2037" s="38" t="str">
        <f>HYPERLINK(AA2 &amp; "/pencil/sn_d3f25189929da049cfdbef4cd511f6b/rendering/15.obj", "3.99676086426")</f>
        <v>3.99676086426</v>
      </c>
      <c r="S2037" s="156" t="str">
        <f>HYPERLINK(AA2 &amp; "/pencil/sn_d3f25189929da049cfdbef4cd511f6b/rendering/16.obj", "6.33996948242")</f>
        <v>6.33996948242</v>
      </c>
      <c r="T2037" s="46" t="str">
        <f>HYPERLINK(AA2 &amp; "/pencil/sn_d3f25189929da049cfdbef4cd511f6b/rendering/17.obj", "4.46545898438")</f>
        <v>4.46545898438</v>
      </c>
      <c r="U2037" s="13" t="str">
        <f>HYPERLINK(AA2 &amp; "/pencil/sn_d3f25189929da049cfdbef4cd511f6b/rendering/18.obj", "4.38346679688")</f>
        <v>4.38346679688</v>
      </c>
      <c r="V2037" s="41" t="str">
        <f>HYPERLINK(AA2 &amp; "/pencil/sn_d3f25189929da049cfdbef4cd511f6b/rendering/19.obj", "4.09492706299")</f>
        <v>4.09492706299</v>
      </c>
      <c r="W2037" s="12" t="s">
        <v>29</v>
      </c>
      <c r="X2037" s="13">
        <v>4.3846029510498052</v>
      </c>
      <c r="Y2037" s="13">
        <v>0.54685810703807114</v>
      </c>
      <c r="Z2037" s="92">
        <v>0.12472237809061749</v>
      </c>
    </row>
    <row r="2038" spans="1:26" x14ac:dyDescent="0.2">
      <c r="A2038" s="1">
        <v>2036</v>
      </c>
      <c r="B2038" s="2" t="s">
        <v>440</v>
      </c>
      <c r="C2038" s="32" t="str">
        <f>HYPERLINK(AA2 &amp; "/pencil/sn_d3f25189929da049cfdbef4cd511f6b/rendering/00.obj", "1.34250307083")</f>
        <v>1.34250307083</v>
      </c>
      <c r="D2038" s="152" t="str">
        <f>HYPERLINK(AA2 &amp; "/pencil/sn_d3f25189929da049cfdbef4cd511f6b/rendering/01.obj", "0.890008449554")</f>
        <v>0.890008449554</v>
      </c>
      <c r="E2038" s="149" t="str">
        <f>HYPERLINK(AA2 &amp; "/pencil/sn_d3f25189929da049cfdbef4cd511f6b/rendering/02.obj", "0.983057141304")</f>
        <v>0.983057141304</v>
      </c>
      <c r="F2038" s="97" t="str">
        <f>HYPERLINK(AA2 &amp; "/pencil/sn_d3f25189929da049cfdbef4cd511f6b/rendering/03.obj", "0.848150551319")</f>
        <v>0.848150551319</v>
      </c>
      <c r="G2038" s="97" t="str">
        <f>HYPERLINK(AA2 &amp; "/pencil/sn_d3f25189929da049cfdbef4cd511f6b/rendering/04.obj", "0.84949529171")</f>
        <v>0.84949529171</v>
      </c>
      <c r="H2038" s="27" t="str">
        <f>HYPERLINK(AA2 &amp; "/pencil/sn_d3f25189929da049cfdbef4cd511f6b/rendering/05.obj", "1.60348498821")</f>
        <v>1.60348498821</v>
      </c>
      <c r="I2038" s="149" t="str">
        <f>HYPERLINK(AA2 &amp; "/pencil/sn_d3f25189929da049cfdbef4cd511f6b/rendering/06.obj", "2.0141851902")</f>
        <v>2.0141851902</v>
      </c>
      <c r="J2038" s="10" t="str">
        <f>HYPERLINK(AA2 &amp; "/pencil/sn_d3f25189929da049cfdbef4cd511f6b/rendering/07.obj", "1.57981300354")</f>
        <v>1.57981300354</v>
      </c>
      <c r="K2038" s="158" t="str">
        <f>HYPERLINK(AA2 &amp; "/pencil/sn_d3f25189929da049cfdbef4cd511f6b/rendering/08.obj", "2.11462378502")</f>
        <v>2.11462378502</v>
      </c>
      <c r="L2038" s="123" t="str">
        <f>HYPERLINK(AA2 &amp; "/pencil/sn_d3f25189929da049cfdbef4cd511f6b/rendering/09.obj", "0.94684201479")</f>
        <v>0.94684201479</v>
      </c>
      <c r="M2038" s="119" t="str">
        <f>HYPERLINK(AA2 &amp; "/pencil/sn_d3f25189929da049cfdbef4cd511f6b/rendering/10.obj", "1.10404956341")</f>
        <v>1.10404956341</v>
      </c>
      <c r="N2038" s="19" t="str">
        <f>HYPERLINK(AA2 &amp; "/pencil/sn_d3f25189929da049cfdbef4cd511f6b/rendering/11.obj", "1.10474872589")</f>
        <v>1.10474872589</v>
      </c>
      <c r="O2038" s="182" t="str">
        <f>HYPERLINK(AA2 &amp; "/pencil/sn_d3f25189929da049cfdbef4cd511f6b/rendering/12.obj", "0.996352910995")</f>
        <v>0.996352910995</v>
      </c>
      <c r="P2038" s="74" t="str">
        <f>HYPERLINK(AA2 &amp; "/pencil/sn_d3f25189929da049cfdbef4cd511f6b/rendering/13.obj", "1.51854157448")</f>
        <v>1.51854157448</v>
      </c>
      <c r="Q2038" s="74" t="str">
        <f>HYPERLINK(AA2 &amp; "/pencil/sn_d3f25189929da049cfdbef4cd511f6b/rendering/14.obj", "1.47897219658")</f>
        <v>1.47897219658</v>
      </c>
      <c r="R2038" s="212" t="str">
        <f>HYPERLINK(AA2 &amp; "/pencil/sn_d3f25189929da049cfdbef4cd511f6b/rendering/15.obj", "0.851760804653")</f>
        <v>0.851760804653</v>
      </c>
      <c r="S2038" s="20" t="str">
        <f>HYPERLINK(AA2 &amp; "/pencil/sn_d3f25189929da049cfdbef4cd511f6b/rendering/16.obj", "5.44273710251")</f>
        <v>5.44273710251</v>
      </c>
      <c r="T2038" s="66" t="str">
        <f>HYPERLINK(AA2 &amp; "/pencil/sn_d3f25189929da049cfdbef4cd511f6b/rendering/17.obj", "1.73944938183")</f>
        <v>1.73944938183</v>
      </c>
      <c r="U2038" s="60" t="str">
        <f>HYPERLINK(AA2 &amp; "/pencil/sn_d3f25189929da049cfdbef4cd511f6b/rendering/18.obj", "1.57584166527")</f>
        <v>1.57584166527</v>
      </c>
      <c r="V2038" s="182" t="str">
        <f>HYPERLINK(AA2 &amp; "/pencil/sn_d3f25189929da049cfdbef4cd511f6b/rendering/19.obj", "0.9997138381")</f>
        <v>0.9997138381</v>
      </c>
      <c r="W2038" s="12" t="s">
        <v>30</v>
      </c>
      <c r="X2038" s="13">
        <v>1.4992165625095371</v>
      </c>
      <c r="Y2038" s="13">
        <v>0.98294453831573458</v>
      </c>
      <c r="Z2038" s="240">
        <v>0.65563879355120314</v>
      </c>
    </row>
    <row r="2039" spans="1:26" x14ac:dyDescent="0.2">
      <c r="A2039" s="1">
        <v>2037</v>
      </c>
      <c r="B2039" s="2" t="s">
        <v>440</v>
      </c>
      <c r="C2039" s="68" t="str">
        <f>HYPERLINK(AB2 &amp; "/pencil/sn_d3f25189929da049cfdbef4cd511f6b/rendering/00.obj", "3.79713134766")</f>
        <v>3.79713134766</v>
      </c>
      <c r="D2039" s="73" t="str">
        <f>HYPERLINK(AB2 &amp; "/pencil/sn_d3f25189929da049cfdbef4cd511f6b/rendering/01.obj", "3.77665344238")</f>
        <v>3.77665344238</v>
      </c>
      <c r="E2039" s="30" t="str">
        <f>HYPERLINK(AB2 &amp; "/pencil/sn_d3f25189929da049cfdbef4cd511f6b/rendering/02.obj", "3.62565582275")</f>
        <v>3.62565582275</v>
      </c>
      <c r="F2039" s="6" t="str">
        <f>HYPERLINK(AB2 &amp; "/pencil/sn_d3f25189929da049cfdbef4cd511f6b/rendering/03.obj", "3.80789916992")</f>
        <v>3.80789916992</v>
      </c>
      <c r="G2039" s="10" t="str">
        <f>HYPERLINK(AB2 &amp; "/pencil/sn_d3f25189929da049cfdbef4cd511f6b/rendering/04.obj", "3.84767822266")</f>
        <v>3.84767822266</v>
      </c>
      <c r="H2039" s="91" t="str">
        <f>HYPERLINK(AB2 &amp; "/pencil/sn_d3f25189929da049cfdbef4cd511f6b/rendering/05.obj", "3.55020477295")</f>
        <v>3.55020477295</v>
      </c>
      <c r="I2039" s="25" t="str">
        <f>HYPERLINK(AB2 &amp; "/pencil/sn_d3f25189929da049cfdbef4cd511f6b/rendering/06.obj", "3.68932556152")</f>
        <v>3.68932556152</v>
      </c>
      <c r="J2039" s="6" t="str">
        <f>HYPERLINK(AB2 &amp; "/pencil/sn_d3f25189929da049cfdbef4cd511f6b/rendering/07.obj", "3.47659179688")</f>
        <v>3.47659179688</v>
      </c>
      <c r="K2039" s="70" t="str">
        <f>HYPERLINK(AB2 &amp; "/pencil/sn_d3f25189929da049cfdbef4cd511f6b/rendering/08.obj", "3.18416320801")</f>
        <v>3.18416320801</v>
      </c>
      <c r="L2039" s="5" t="str">
        <f>HYPERLINK(AB2 &amp; "/pencil/sn_d3f25189929da049cfdbef4cd511f6b/rendering/09.obj", "3.92686859131")</f>
        <v>3.92686859131</v>
      </c>
      <c r="M2039" s="13" t="str">
        <f>HYPERLINK(AB2 &amp; "/pencil/sn_d3f25189929da049cfdbef4cd511f6b/rendering/10.obj", "3.65741271973")</f>
        <v>3.65741271973</v>
      </c>
      <c r="N2039" s="23" t="str">
        <f>HYPERLINK(AB2 &amp; "/pencil/sn_d3f25189929da049cfdbef4cd511f6b/rendering/11.obj", "3.5014654541")</f>
        <v>3.5014654541</v>
      </c>
      <c r="O2039" s="35" t="str">
        <f>HYPERLINK(AB2 &amp; "/pencil/sn_d3f25189929da049cfdbef4cd511f6b/rendering/12.obj", "3.85701538086")</f>
        <v>3.85701538086</v>
      </c>
      <c r="P2039" s="74" t="str">
        <f>HYPERLINK(AB2 &amp; "/pencil/sn_d3f25189929da049cfdbef4cd511f6b/rendering/13.obj", "3.69258728027")</f>
        <v>3.69258728027</v>
      </c>
      <c r="Q2039" s="17" t="str">
        <f>HYPERLINK(AB2 &amp; "/pencil/sn_d3f25189929da049cfdbef4cd511f6b/rendering/14.obj", "3.71903991699")</f>
        <v>3.71903991699</v>
      </c>
      <c r="R2039" s="73" t="str">
        <f>HYPERLINK(AB2 &amp; "/pencil/sn_d3f25189929da049cfdbef4cd511f6b/rendering/15.obj", "3.51917144775")</f>
        <v>3.51917144775</v>
      </c>
      <c r="S2039" s="60" t="str">
        <f>HYPERLINK(AB2 &amp; "/pencil/sn_d3f25189929da049cfdbef4cd511f6b/rendering/16.obj", "3.4519317627")</f>
        <v>3.4519317627</v>
      </c>
      <c r="T2039" s="13" t="str">
        <f>HYPERLINK(AB2 &amp; "/pencil/sn_d3f25189929da049cfdbef4cd511f6b/rendering/17.obj", "3.64715270996")</f>
        <v>3.64715270996</v>
      </c>
      <c r="U2039" s="5" t="str">
        <f>HYPERLINK(AB2 &amp; "/pencil/sn_d3f25189929da049cfdbef4cd511f6b/rendering/18.obj", "3.36113586426")</f>
        <v>3.36113586426</v>
      </c>
      <c r="V2039" s="60" t="str">
        <f>HYPERLINK(AB2 &amp; "/pencil/sn_d3f25189929da049cfdbef4cd511f6b/rendering/19.obj", "3.83875366211")</f>
        <v>3.83875366211</v>
      </c>
      <c r="W2039" s="12" t="s">
        <v>31</v>
      </c>
      <c r="X2039" s="13">
        <v>3.6463919067382808</v>
      </c>
      <c r="Y2039" s="13">
        <v>0.1849654893866875</v>
      </c>
      <c r="Z2039" s="60">
        <v>5.0725619768101173E-2</v>
      </c>
    </row>
    <row r="2040" spans="1:26" x14ac:dyDescent="0.2">
      <c r="A2040" s="1">
        <v>2038</v>
      </c>
      <c r="B2040" s="2" t="s">
        <v>440</v>
      </c>
      <c r="C2040" s="38" t="str">
        <f>HYPERLINK(AB2 &amp; "/pencil/sn_d3f25189929da049cfdbef4cd511f6b/rendering/00.obj", "0.987991690636")</f>
        <v>0.987991690636</v>
      </c>
      <c r="D2040" s="72" t="str">
        <f>HYPERLINK(AB2 &amp; "/pencil/sn_d3f25189929da049cfdbef4cd511f6b/rendering/01.obj", "0.934162557125")</f>
        <v>0.934162557125</v>
      </c>
      <c r="E2040" s="8" t="str">
        <f>HYPERLINK(AB2 &amp; "/pencil/sn_d3f25189929da049cfdbef4cd511f6b/rendering/02.obj", "0.775635480881")</f>
        <v>0.775635480881</v>
      </c>
      <c r="F2040" s="26" t="str">
        <f>HYPERLINK(AB2 &amp; "/pencil/sn_d3f25189929da049cfdbef4cd511f6b/rendering/03.obj", "0.846827983856")</f>
        <v>0.846827983856</v>
      </c>
      <c r="G2040" s="67" t="str">
        <f>HYPERLINK(AB2 &amp; "/pencil/sn_d3f25189929da049cfdbef4cd511f6b/rendering/04.obj", "0.990243077278")</f>
        <v>0.990243077278</v>
      </c>
      <c r="H2040" s="90" t="str">
        <f>HYPERLINK(AB2 &amp; "/pencil/sn_d3f25189929da049cfdbef4cd511f6b/rendering/05.obj", "0.992283165455")</f>
        <v>0.992283165455</v>
      </c>
      <c r="I2040" s="83" t="str">
        <f>HYPERLINK(AB2 &amp; "/pencil/sn_d3f25189929da049cfdbef4cd511f6b/rendering/06.obj", "1.04400515556")</f>
        <v>1.04400515556</v>
      </c>
      <c r="J2040" s="78" t="str">
        <f>HYPERLINK(AB2 &amp; "/pencil/sn_d3f25189929da049cfdbef4cd511f6b/rendering/07.obj", "0.848950386047")</f>
        <v>0.848950386047</v>
      </c>
      <c r="K2040" s="17" t="str">
        <f>HYPERLINK(AB2 &amp; "/pencil/sn_d3f25189929da049cfdbef4cd511f6b/rendering/08.obj", "0.925001323223")</f>
        <v>0.925001323223</v>
      </c>
      <c r="L2040" s="23" t="str">
        <f>HYPERLINK(AB2 &amp; "/pencil/sn_d3f25189929da049cfdbef4cd511f6b/rendering/09.obj", "0.871379494667")</f>
        <v>0.871379494667</v>
      </c>
      <c r="M2040" s="27" t="str">
        <f>HYPERLINK(AB2 &amp; "/pencil/sn_d3f25189929da049cfdbef4cd511f6b/rendering/10.obj", "0.840447187424")</f>
        <v>0.840447187424</v>
      </c>
      <c r="N2040" s="169" t="str">
        <f>HYPERLINK(AB2 &amp; "/pencil/sn_d3f25189929da049cfdbef4cd511f6b/rendering/11.obj", "1.18720030785")</f>
        <v>1.18720030785</v>
      </c>
      <c r="O2040" s="13" t="str">
        <f>HYPERLINK(AB2 &amp; "/pencil/sn_d3f25189929da049cfdbef4cd511f6b/rendering/12.obj", "0.904417037964")</f>
        <v>0.904417037964</v>
      </c>
      <c r="P2040" s="32" t="str">
        <f>HYPERLINK(AB2 &amp; "/pencil/sn_d3f25189929da049cfdbef4cd511f6b/rendering/13.obj", "1.00079393387")</f>
        <v>1.00079393387</v>
      </c>
      <c r="Q2040" s="90" t="str">
        <f>HYPERLINK(AB2 &amp; "/pencil/sn_d3f25189929da049cfdbef4cd511f6b/rendering/14.obj", "0.817582130432")</f>
        <v>0.817582130432</v>
      </c>
      <c r="R2040" s="32" t="str">
        <f>HYPERLINK(AB2 &amp; "/pencil/sn_d3f25189929da049cfdbef4cd511f6b/rendering/15.obj", "0.810649454594")</f>
        <v>0.810649454594</v>
      </c>
      <c r="S2040" s="32" t="str">
        <f>HYPERLINK(AB2 &amp; "/pencil/sn_d3f25189929da049cfdbef4cd511f6b/rendering/16.obj", "0.810391962528")</f>
        <v>0.810391962528</v>
      </c>
      <c r="T2040" s="28" t="str">
        <f>HYPERLINK(AB2 &amp; "/pencil/sn_d3f25189929da049cfdbef4cd511f6b/rendering/17.obj", "0.804696142673")</f>
        <v>0.804696142673</v>
      </c>
      <c r="U2040" s="91" t="str">
        <f>HYPERLINK(AB2 &amp; "/pencil/sn_d3f25189929da049cfdbef4cd511f6b/rendering/18.obj", "0.882007956505")</f>
        <v>0.882007956505</v>
      </c>
      <c r="V2040" s="94" t="str">
        <f>HYPERLINK(AB2 &amp; "/pencil/sn_d3f25189929da049cfdbef4cd511f6b/rendering/19.obj", "0.838198661804")</f>
        <v>0.838198661804</v>
      </c>
      <c r="W2040" s="12" t="s">
        <v>32</v>
      </c>
      <c r="X2040" s="13">
        <v>0.90564325451850891</v>
      </c>
      <c r="Y2040" s="13">
        <v>0.10006385034154899</v>
      </c>
      <c r="Z2040" s="28">
        <v>0.1104892570471897</v>
      </c>
    </row>
    <row r="2041" spans="1:26" x14ac:dyDescent="0.2">
      <c r="A2041" s="1">
        <v>2039</v>
      </c>
      <c r="B2041" s="2" t="s">
        <v>440</v>
      </c>
      <c r="C2041" s="13" t="str">
        <f>HYPERLINK(AC2 &amp; "/pencil/sn_d3f25189929da049cfdbef4cd511f6b/rendering/00.xyz", "0.0")</f>
        <v>0.0</v>
      </c>
      <c r="D2041" s="13" t="str">
        <f>HYPERLINK(AC2 &amp; "/pencil/sn_d3f25189929da049cfdbef4cd511f6b/rendering/01.xyz", "0.0")</f>
        <v>0.0</v>
      </c>
      <c r="E2041" s="13" t="str">
        <f>HYPERLINK(AC2 &amp; "/pencil/sn_d3f25189929da049cfdbef4cd511f6b/rendering/02.xyz", "0.0")</f>
        <v>0.0</v>
      </c>
      <c r="F2041" s="13" t="str">
        <f>HYPERLINK(AC2 &amp; "/pencil/sn_d3f25189929da049cfdbef4cd511f6b/rendering/03.xyz", "0.0")</f>
        <v>0.0</v>
      </c>
      <c r="G2041" s="13" t="str">
        <f>HYPERLINK(AC2 &amp; "/pencil/sn_d3f25189929da049cfdbef4cd511f6b/rendering/04.xyz", "0.0")</f>
        <v>0.0</v>
      </c>
      <c r="H2041" s="13" t="str">
        <f>HYPERLINK(AC2 &amp; "/pencil/sn_d3f25189929da049cfdbef4cd511f6b/rendering/05.xyz", "0.0")</f>
        <v>0.0</v>
      </c>
      <c r="I2041" s="13" t="str">
        <f>HYPERLINK(AC2 &amp; "/pencil/sn_d3f25189929da049cfdbef4cd511f6b/rendering/06.xyz", "0.0")</f>
        <v>0.0</v>
      </c>
      <c r="J2041" s="13" t="str">
        <f>HYPERLINK(AC2 &amp; "/pencil/sn_d3f25189929da049cfdbef4cd511f6b/rendering/07.xyz", "0.0")</f>
        <v>0.0</v>
      </c>
      <c r="K2041" s="13" t="str">
        <f>HYPERLINK(AC2 &amp; "/pencil/sn_d3f25189929da049cfdbef4cd511f6b/rendering/08.xyz", "0.0")</f>
        <v>0.0</v>
      </c>
      <c r="L2041" s="13" t="str">
        <f>HYPERLINK(AC2 &amp; "/pencil/sn_d3f25189929da049cfdbef4cd511f6b/rendering/09.xyz", "0.0")</f>
        <v>0.0</v>
      </c>
      <c r="M2041" s="13" t="str">
        <f>HYPERLINK(AC2 &amp; "/pencil/sn_d3f25189929da049cfdbef4cd511f6b/rendering/10.xyz", "0.0")</f>
        <v>0.0</v>
      </c>
      <c r="N2041" s="13" t="str">
        <f>HYPERLINK(AC2 &amp; "/pencil/sn_d3f25189929da049cfdbef4cd511f6b/rendering/11.xyz", "0.0")</f>
        <v>0.0</v>
      </c>
      <c r="O2041" s="13" t="str">
        <f>HYPERLINK(AC2 &amp; "/pencil/sn_d3f25189929da049cfdbef4cd511f6b/rendering/12.xyz", "0.0")</f>
        <v>0.0</v>
      </c>
      <c r="P2041" s="13" t="str">
        <f>HYPERLINK(AC2 &amp; "/pencil/sn_d3f25189929da049cfdbef4cd511f6b/rendering/13.xyz", "0.0")</f>
        <v>0.0</v>
      </c>
      <c r="Q2041" s="13" t="str">
        <f>HYPERLINK(AC2 &amp; "/pencil/sn_d3f25189929da049cfdbef4cd511f6b/rendering/14.xyz", "0.0")</f>
        <v>0.0</v>
      </c>
      <c r="R2041" s="13" t="str">
        <f>HYPERLINK(AC2 &amp; "/pencil/sn_d3f25189929da049cfdbef4cd511f6b/rendering/15.xyz", "0.0")</f>
        <v>0.0</v>
      </c>
      <c r="S2041" s="13" t="str">
        <f>HYPERLINK(AC2 &amp; "/pencil/sn_d3f25189929da049cfdbef4cd511f6b/rendering/16.xyz", "0.0")</f>
        <v>0.0</v>
      </c>
      <c r="T2041" s="13" t="str">
        <f>HYPERLINK(AC2 &amp; "/pencil/sn_d3f25189929da049cfdbef4cd511f6b/rendering/17.xyz", "0.0")</f>
        <v>0.0</v>
      </c>
      <c r="U2041" s="13" t="str">
        <f>HYPERLINK(AC2 &amp; "/pencil/sn_d3f25189929da049cfdbef4cd511f6b/rendering/18.xyz", "0.0")</f>
        <v>0.0</v>
      </c>
      <c r="V2041" s="13" t="str">
        <f>HYPERLINK(AC2 &amp; "/pencil/sn_d3f25189929da049cfdbef4cd511f6b/rendering/19.xyz", "0.0")</f>
        <v>0.0</v>
      </c>
      <c r="W2041" s="12" t="s">
        <v>33</v>
      </c>
      <c r="X2041" s="13">
        <v>0</v>
      </c>
      <c r="Y2041" s="13">
        <v>0</v>
      </c>
      <c r="Z2041" s="13">
        <v>0</v>
      </c>
    </row>
    <row r="2042" spans="1:26" x14ac:dyDescent="0.2">
      <c r="A2042" s="1">
        <v>2040</v>
      </c>
      <c r="B2042" s="2" t="s">
        <v>441</v>
      </c>
      <c r="C2042" s="93" t="str">
        <f>HYPERLINK(AA2 &amp; "/pencil/sn_d4bf229a94bf05dd2e6aa749ba743c21/rendering/00.obj", "3.61390472412")</f>
        <v>3.61390472412</v>
      </c>
      <c r="D2042" s="37" t="str">
        <f>HYPERLINK(AA2 &amp; "/pencil/sn_d4bf229a94bf05dd2e6aa749ba743c21/rendering/01.obj", "3.47059204102")</f>
        <v>3.47059204102</v>
      </c>
      <c r="E2042" s="28" t="str">
        <f>HYPERLINK(AA2 &amp; "/pencil/sn_d4bf229a94bf05dd2e6aa749ba743c21/rendering/02.obj", "3.73132080078")</f>
        <v>3.73132080078</v>
      </c>
      <c r="F2042" s="134" t="str">
        <f>HYPERLINK(AA2 &amp; "/pencil/sn_d4bf229a94bf05dd2e6aa749ba743c21/rendering/03.obj", "3.44150482178")</f>
        <v>3.44150482178</v>
      </c>
      <c r="G2042" s="79" t="str">
        <f>HYPERLINK(AA2 &amp; "/pencil/sn_d4bf229a94bf05dd2e6aa749ba743c21/rendering/04.obj", "3.52570709229")</f>
        <v>3.52570709229</v>
      </c>
      <c r="H2042" s="81" t="str">
        <f>HYPERLINK(AA2 &amp; "/pencil/sn_d4bf229a94bf05dd2e6aa749ba743c21/rendering/05.obj", "5.10541046143")</f>
        <v>5.10541046143</v>
      </c>
      <c r="I2042" s="67" t="str">
        <f>HYPERLINK(AA2 &amp; "/pencil/sn_d4bf229a94bf05dd2e6aa749ba743c21/rendering/06.obj", "4.58322021484")</f>
        <v>4.58322021484</v>
      </c>
      <c r="J2042" s="134" t="str">
        <f>HYPERLINK(AA2 &amp; "/pencil/sn_d4bf229a94bf05dd2e6aa749ba743c21/rendering/07.obj", "3.44534515381")</f>
        <v>3.44534515381</v>
      </c>
      <c r="K2042" s="90" t="str">
        <f>HYPERLINK(AA2 &amp; "/pencil/sn_d4bf229a94bf05dd2e6aa749ba743c21/rendering/08.obj", "3.79796325684")</f>
        <v>3.79796325684</v>
      </c>
      <c r="L2042" s="82" t="str">
        <f>HYPERLINK(AA2 &amp; "/pencil/sn_d4bf229a94bf05dd2e6aa749ba743c21/rendering/09.obj", "3.3311541748")</f>
        <v>3.3311541748</v>
      </c>
      <c r="M2042" s="30" t="str">
        <f>HYPERLINK(AA2 &amp; "/pencil/sn_d4bf229a94bf05dd2e6aa749ba743c21/rendering/10.obj", "4.21373748779")</f>
        <v>4.21373748779</v>
      </c>
      <c r="N2042" s="64" t="str">
        <f>HYPERLINK(AA2 &amp; "/pencil/sn_d4bf229a94bf05dd2e6aa749ba743c21/rendering/11.obj", "4.89071289063")</f>
        <v>4.89071289063</v>
      </c>
      <c r="O2042" s="158" t="str">
        <f>HYPERLINK(AA2 &amp; "/pencil/sn_d4bf229a94bf05dd2e6aa749ba743c21/rendering/12.obj", "5.91350036621")</f>
        <v>5.91350036621</v>
      </c>
      <c r="P2042" s="29" t="str">
        <f>HYPERLINK(AA2 &amp; "/pencil/sn_d4bf229a94bf05dd2e6aa749ba743c21/rendering/13.obj", "3.65553710937")</f>
        <v>3.65553710937</v>
      </c>
      <c r="Q2042" s="136" t="str">
        <f>HYPERLINK(AA2 &amp; "/pencil/sn_d4bf229a94bf05dd2e6aa749ba743c21/rendering/14.obj", "5.19270874023")</f>
        <v>5.19270874023</v>
      </c>
      <c r="R2042" s="110" t="str">
        <f>HYPERLINK(AA2 &amp; "/pencil/sn_d4bf229a94bf05dd2e6aa749ba743c21/rendering/15.obj", "3.78667480469")</f>
        <v>3.78667480469</v>
      </c>
      <c r="S2042" s="77" t="str">
        <f>HYPERLINK(AA2 &amp; "/pencil/sn_d4bf229a94bf05dd2e6aa749ba743c21/rendering/16.obj", "3.41354187012")</f>
        <v>3.41354187012</v>
      </c>
      <c r="T2042" s="209" t="str">
        <f>HYPERLINK(AA2 &amp; "/pencil/sn_d4bf229a94bf05dd2e6aa749ba743c21/rendering/17.obj", "7.37721557617")</f>
        <v>7.37721557617</v>
      </c>
      <c r="U2042" s="92" t="str">
        <f>HYPERLINK(AA2 &amp; "/pencil/sn_d4bf229a94bf05dd2e6aa749ba743c21/rendering/18.obj", "3.67137420654")</f>
        <v>3.67137420654</v>
      </c>
      <c r="V2042" s="32" t="str">
        <f>HYPERLINK(AA2 &amp; "/pencil/sn_d4bf229a94bf05dd2e6aa749ba743c21/rendering/19.obj", "3.76120910645")</f>
        <v>3.76120910645</v>
      </c>
      <c r="W2042" s="12" t="s">
        <v>29</v>
      </c>
      <c r="X2042" s="13">
        <v>4.1961167449951162</v>
      </c>
      <c r="Y2042" s="13">
        <v>1.0155995050232081</v>
      </c>
      <c r="Z2042" s="58">
        <v>0.24203318609630101</v>
      </c>
    </row>
    <row r="2043" spans="1:26" x14ac:dyDescent="0.2">
      <c r="A2043" s="1">
        <v>2041</v>
      </c>
      <c r="B2043" s="2" t="s">
        <v>441</v>
      </c>
      <c r="C2043" s="103" t="str">
        <f>HYPERLINK(AA2 &amp; "/pencil/sn_d4bf229a94bf05dd2e6aa749ba743c21/rendering/00.obj", "1.07597446442")</f>
        <v>1.07597446442</v>
      </c>
      <c r="D2043" s="142" t="str">
        <f>HYPERLINK(AA2 &amp; "/pencil/sn_d4bf229a94bf05dd2e6aa749ba743c21/rendering/01.obj", "0.9682315588")</f>
        <v>0.9682315588</v>
      </c>
      <c r="E2043" s="149" t="str">
        <f>HYPERLINK(AA2 &amp; "/pencil/sn_d4bf229a94bf05dd2e6aa749ba743c21/rendering/02.obj", "1.04464054108")</f>
        <v>1.04464054108</v>
      </c>
      <c r="F2043" s="101" t="str">
        <f>HYPERLINK(AA2 &amp; "/pencil/sn_d4bf229a94bf05dd2e6aa749ba743c21/rendering/03.obj", "0.990379989147")</f>
        <v>0.990379989147</v>
      </c>
      <c r="G2043" s="116" t="str">
        <f>HYPERLINK(AA2 &amp; "/pencil/sn_d4bf229a94bf05dd2e6aa749ba743c21/rendering/04.obj", "0.898257613182")</f>
        <v>0.898257613182</v>
      </c>
      <c r="H2043" s="185" t="str">
        <f>HYPERLINK(AA2 &amp; "/pencil/sn_d4bf229a94bf05dd2e6aa749ba743c21/rendering/05.obj", "2.13636016846")</f>
        <v>2.13636016846</v>
      </c>
      <c r="I2043" s="74" t="str">
        <f>HYPERLINK(AA2 &amp; "/pencil/sn_d4bf229a94bf05dd2e6aa749ba743c21/rendering/06.obj", "1.56920874119")</f>
        <v>1.56920874119</v>
      </c>
      <c r="J2043" s="157" t="str">
        <f>HYPERLINK(AA2 &amp; "/pencil/sn_d4bf229a94bf05dd2e6aa749ba743c21/rendering/07.obj", "0.933375954628")</f>
        <v>0.933375954628</v>
      </c>
      <c r="K2043" s="140" t="str">
        <f>HYPERLINK(AA2 &amp; "/pencil/sn_d4bf229a94bf05dd2e6aa749ba743c21/rendering/08.obj", "1.04044699669")</f>
        <v>1.04044699669</v>
      </c>
      <c r="L2043" s="162" t="str">
        <f>HYPERLINK(AA2 &amp; "/pencil/sn_d4bf229a94bf05dd2e6aa749ba743c21/rendering/09.obj", "0.914924621582")</f>
        <v>0.914924621582</v>
      </c>
      <c r="M2043" s="36" t="str">
        <f>HYPERLINK(AA2 &amp; "/pencil/sn_d4bf229a94bf05dd2e6aa749ba743c21/rendering/10.obj", "1.24956154823")</f>
        <v>1.24956154823</v>
      </c>
      <c r="N2043" s="82" t="str">
        <f>HYPERLINK(AA2 &amp; "/pencil/sn_d4bf229a94bf05dd2e6aa749ba743c21/rendering/11.obj", "1.92259669304")</f>
        <v>1.92259669304</v>
      </c>
      <c r="O2043" s="20" t="str">
        <f>HYPERLINK(AA2 &amp; "/pencil/sn_d4bf229a94bf05dd2e6aa749ba743c21/rendering/12.obj", "3.28907132149")</f>
        <v>3.28907132149</v>
      </c>
      <c r="P2043" s="86" t="str">
        <f>HYPERLINK(AA2 &amp; "/pencil/sn_d4bf229a94bf05dd2e6aa749ba743c21/rendering/13.obj", "1.16374087334")</f>
        <v>1.16374087334</v>
      </c>
      <c r="Q2043" s="20" t="str">
        <f>HYPERLINK(AA2 &amp; "/pencil/sn_d4bf229a94bf05dd2e6aa749ba743c21/rendering/14.obj", "3.84887814522")</f>
        <v>3.84887814522</v>
      </c>
      <c r="R2043" s="137" t="str">
        <f>HYPERLINK(AA2 &amp; "/pencil/sn_d4bf229a94bf05dd2e6aa749ba743c21/rendering/15.obj", "1.01158475876")</f>
        <v>1.01158475876</v>
      </c>
      <c r="S2043" s="158" t="str">
        <f>HYPERLINK(AA2 &amp; "/pencil/sn_d4bf229a94bf05dd2e6aa749ba743c21/rendering/16.obj", "0.942973792553")</f>
        <v>0.942973792553</v>
      </c>
      <c r="T2043" s="20" t="str">
        <f>HYPERLINK(AA2 &amp; "/pencil/sn_d4bf229a94bf05dd2e6aa749ba743c21/rendering/17.obj", "4.84868574142")</f>
        <v>4.84868574142</v>
      </c>
      <c r="U2043" s="196" t="str">
        <f>HYPERLINK(AA2 &amp; "/pencil/sn_d4bf229a94bf05dd2e6aa749ba743c21/rendering/18.obj", "0.960015535355")</f>
        <v>0.960015535355</v>
      </c>
      <c r="V2043" s="182" t="str">
        <f>HYPERLINK(AA2 &amp; "/pencil/sn_d4bf229a94bf05dd2e6aa749ba743c21/rendering/19.obj", "1.06285583973")</f>
        <v>1.06285583973</v>
      </c>
      <c r="W2043" s="12" t="s">
        <v>30</v>
      </c>
      <c r="X2043" s="13">
        <v>1.5935882449150089</v>
      </c>
      <c r="Y2043" s="13">
        <v>1.089000741727931</v>
      </c>
      <c r="Z2043" s="229">
        <v>0.68336393996556566</v>
      </c>
    </row>
    <row r="2044" spans="1:26" x14ac:dyDescent="0.2">
      <c r="A2044" s="1">
        <v>2042</v>
      </c>
      <c r="B2044" s="2" t="s">
        <v>441</v>
      </c>
      <c r="C2044" s="10" t="str">
        <f>HYPERLINK(AB2 &amp; "/pencil/sn_d4bf229a94bf05dd2e6aa749ba743c21/rendering/00.obj", "3.16501800537")</f>
        <v>3.16501800537</v>
      </c>
      <c r="D2044" s="46" t="str">
        <f>HYPERLINK(AB2 &amp; "/pencil/sn_d4bf229a94bf05dd2e6aa749ba743c21/rendering/01.obj", "3.40024780273")</f>
        <v>3.40024780273</v>
      </c>
      <c r="E2044" s="25" t="str">
        <f>HYPERLINK(AB2 &amp; "/pencil/sn_d4bf229a94bf05dd2e6aa749ba743c21/rendering/02.obj", "3.38164245605")</f>
        <v>3.38164245605</v>
      </c>
      <c r="F2044" s="41" t="str">
        <f>HYPERLINK(AB2 &amp; "/pencil/sn_d4bf229a94bf05dd2e6aa749ba743c21/rendering/03.obj", "3.57212005615")</f>
        <v>3.57212005615</v>
      </c>
      <c r="G2044" s="35" t="str">
        <f>HYPERLINK(AB2 &amp; "/pencil/sn_d4bf229a94bf05dd2e6aa749ba743c21/rendering/04.obj", "3.15295379639")</f>
        <v>3.15295379639</v>
      </c>
      <c r="H2044" s="60" t="str">
        <f>HYPERLINK(AB2 &amp; "/pencil/sn_d4bf229a94bf05dd2e6aa749ba743c21/rendering/05.obj", "3.51296264648")</f>
        <v>3.51296264648</v>
      </c>
      <c r="I2044" s="69" t="str">
        <f>HYPERLINK(AB2 &amp; "/pencil/sn_d4bf229a94bf05dd2e6aa749ba743c21/rendering/06.obj", "3.24905181885")</f>
        <v>3.24905181885</v>
      </c>
      <c r="J2044" s="26" t="str">
        <f>HYPERLINK(AB2 &amp; "/pencil/sn_d4bf229a94bf05dd2e6aa749ba743c21/rendering/07.obj", "3.12688476563")</f>
        <v>3.12688476563</v>
      </c>
      <c r="K2044" s="5" t="str">
        <f>HYPERLINK(AB2 &amp; "/pencil/sn_d4bf229a94bf05dd2e6aa749ba743c21/rendering/08.obj", "3.08640350342")</f>
        <v>3.08640350342</v>
      </c>
      <c r="L2044" s="23" t="str">
        <f>HYPERLINK(AB2 &amp; "/pencil/sn_d4bf229a94bf05dd2e6aa749ba743c21/rendering/09.obj", "3.21674743652")</f>
        <v>3.21674743652</v>
      </c>
      <c r="M2044" s="90" t="str">
        <f>HYPERLINK(AB2 &amp; "/pencil/sn_d4bf229a94bf05dd2e6aa749ba743c21/rendering/10.obj", "3.02609008789")</f>
        <v>3.02609008789</v>
      </c>
      <c r="N2044" s="83" t="str">
        <f>HYPERLINK(AB2 &amp; "/pencil/sn_d4bf229a94bf05dd2e6aa749ba743c21/rendering/11.obj", "3.85261230469")</f>
        <v>3.85261230469</v>
      </c>
      <c r="O2044" s="46" t="str">
        <f>HYPERLINK(AB2 &amp; "/pencil/sn_d4bf229a94bf05dd2e6aa749ba743c21/rendering/12.obj", "3.40385437012")</f>
        <v>3.40385437012</v>
      </c>
      <c r="P2044" s="48" t="str">
        <f>HYPERLINK(AB2 &amp; "/pencil/sn_d4bf229a94bf05dd2e6aa749ba743c21/rendering/13.obj", "3.26991241455")</f>
        <v>3.26991241455</v>
      </c>
      <c r="Q2044" s="47" t="str">
        <f>HYPERLINK(AB2 &amp; "/pencil/sn_d4bf229a94bf05dd2e6aa749ba743c21/rendering/14.obj", "3.37264160156")</f>
        <v>3.37264160156</v>
      </c>
      <c r="R2044" s="13" t="str">
        <f>HYPERLINK(AB2 &amp; "/pencil/sn_d4bf229a94bf05dd2e6aa749ba743c21/rendering/15.obj", "3.34043945313")</f>
        <v>3.34043945313</v>
      </c>
      <c r="S2044" s="72" t="str">
        <f>HYPERLINK(AB2 &amp; "/pencil/sn_d4bf229a94bf05dd2e6aa749ba743c21/rendering/16.obj", "3.23353668213")</f>
        <v>3.23353668213</v>
      </c>
      <c r="T2044" s="83" t="str">
        <f>HYPERLINK(AB2 &amp; "/pencil/sn_d4bf229a94bf05dd2e6aa749ba743c21/rendering/17.obj", "3.85599029541")</f>
        <v>3.85599029541</v>
      </c>
      <c r="U2044" s="13" t="str">
        <f>HYPERLINK(AB2 &amp; "/pencil/sn_d4bf229a94bf05dd2e6aa749ba743c21/rendering/18.obj", "3.34590301514")</f>
        <v>3.34590301514</v>
      </c>
      <c r="V2044" s="13" t="str">
        <f>HYPERLINK(AB2 &amp; "/pencil/sn_d4bf229a94bf05dd2e6aa749ba743c21/rendering/19.obj", "3.33470306396")</f>
        <v>3.33470306396</v>
      </c>
      <c r="W2044" s="12" t="s">
        <v>31</v>
      </c>
      <c r="X2044" s="13">
        <v>3.3449857788085939</v>
      </c>
      <c r="Y2044" s="13">
        <v>0.21638727019701809</v>
      </c>
      <c r="Z2044" s="26">
        <v>6.4690041903284312E-2</v>
      </c>
    </row>
    <row r="2045" spans="1:26" x14ac:dyDescent="0.2">
      <c r="A2045" s="1">
        <v>2043</v>
      </c>
      <c r="B2045" s="2" t="s">
        <v>441</v>
      </c>
      <c r="C2045" s="107" t="str">
        <f>HYPERLINK(AB2 &amp; "/pencil/sn_d4bf229a94bf05dd2e6aa749ba743c21/rendering/00.obj", "0.937695801258")</f>
        <v>0.937695801258</v>
      </c>
      <c r="D2045" s="6" t="str">
        <f>HYPERLINK(AB2 &amp; "/pencil/sn_d4bf229a94bf05dd2e6aa749ba743c21/rendering/01.obj", "0.976030886173")</f>
        <v>0.976030886173</v>
      </c>
      <c r="E2045" s="44" t="str">
        <f>HYPERLINK(AB2 &amp; "/pencil/sn_d4bf229a94bf05dd2e6aa749ba743c21/rendering/02.obj", "0.821543455124")</f>
        <v>0.821543455124</v>
      </c>
      <c r="F2045" s="46" t="str">
        <f>HYPERLINK(AB2 &amp; "/pencil/sn_d4bf229a94bf05dd2e6aa749ba743c21/rendering/03.obj", "1.04173278809")</f>
        <v>1.04173278809</v>
      </c>
      <c r="G2045" s="10" t="str">
        <f>HYPERLINK(AB2 &amp; "/pencil/sn_d4bf229a94bf05dd2e6aa749ba743c21/rendering/04.obj", "0.968635499477")</f>
        <v>0.968635499477</v>
      </c>
      <c r="H2045" s="34" t="str">
        <f>HYPERLINK(AB2 &amp; "/pencil/sn_d4bf229a94bf05dd2e6aa749ba743c21/rendering/05.obj", "1.07456612587")</f>
        <v>1.07456612587</v>
      </c>
      <c r="I2045" s="83" t="str">
        <f>HYPERLINK(AB2 &amp; "/pencil/sn_d4bf229a94bf05dd2e6aa749ba743c21/rendering/06.obj", "1.18015646935")</f>
        <v>1.18015646935</v>
      </c>
      <c r="J2045" s="65" t="str">
        <f>HYPERLINK(AB2 &amp; "/pencil/sn_d4bf229a94bf05dd2e6aa749ba743c21/rendering/07.obj", "0.887143492699")</f>
        <v>0.887143492699</v>
      </c>
      <c r="K2045" s="80" t="str">
        <f>HYPERLINK(AB2 &amp; "/pencil/sn_d4bf229a94bf05dd2e6aa749ba743c21/rendering/08.obj", "0.869710743427")</f>
        <v>0.869710743427</v>
      </c>
      <c r="L2045" s="63" t="str">
        <f>HYPERLINK(AB2 &amp; "/pencil/sn_d4bf229a94bf05dd2e6aa749ba743c21/rendering/09.obj", "0.898821294308")</f>
        <v>0.898821294308</v>
      </c>
      <c r="M2045" s="17" t="str">
        <f>HYPERLINK(AB2 &amp; "/pencil/sn_d4bf229a94bf05dd2e6aa749ba743c21/rendering/10.obj", "1.04482722282")</f>
        <v>1.04482722282</v>
      </c>
      <c r="N2045" s="4" t="str">
        <f>HYPERLINK(AB2 &amp; "/pencil/sn_d4bf229a94bf05dd2e6aa749ba743c21/rendering/11.obj", "1.31431877613")</f>
        <v>1.31431877613</v>
      </c>
      <c r="O2045" s="40" t="str">
        <f>HYPERLINK(AB2 &amp; "/pencil/sn_d4bf229a94bf05dd2e6aa749ba743c21/rendering/12.obj", "1.19784474373")</f>
        <v>1.19784474373</v>
      </c>
      <c r="P2045" s="38" t="str">
        <f>HYPERLINK(AB2 &amp; "/pencil/sn_d4bf229a94bf05dd2e6aa749ba743c21/rendering/13.obj", "1.11445713043")</f>
        <v>1.11445713043</v>
      </c>
      <c r="Q2045" s="134" t="str">
        <f>HYPERLINK(AB2 &amp; "/pencil/sn_d4bf229a94bf05dd2e6aa749ba743c21/rendering/14.obj", "0.8391700387")</f>
        <v>0.8391700387</v>
      </c>
      <c r="R2045" s="35" t="str">
        <f>HYPERLINK(AB2 &amp; "/pencil/sn_d4bf229a94bf05dd2e6aa749ba743c21/rendering/15.obj", "0.963814437389")</f>
        <v>0.963814437389</v>
      </c>
      <c r="S2045" s="133" t="str">
        <f>HYPERLINK(AB2 &amp; "/pencil/sn_d4bf229a94bf05dd2e6aa749ba743c21/rendering/16.obj", "0.919713079929")</f>
        <v>0.919713079929</v>
      </c>
      <c r="T2045" s="138" t="str">
        <f>HYPERLINK(AB2 &amp; "/pencil/sn_d4bf229a94bf05dd2e6aa749ba743c21/rendering/17.obj", "1.36834955215")</f>
        <v>1.36834955215</v>
      </c>
      <c r="U2045" s="13" t="str">
        <f>HYPERLINK(AB2 &amp; "/pencil/sn_d4bf229a94bf05dd2e6aa749ba743c21/rendering/18.obj", "1.02394378185")</f>
        <v>1.02394378185</v>
      </c>
      <c r="V2045" s="25" t="str">
        <f>HYPERLINK(AB2 &amp; "/pencil/sn_d4bf229a94bf05dd2e6aa749ba743c21/rendering/19.obj", "1.03500068188")</f>
        <v>1.03500068188</v>
      </c>
      <c r="W2045" s="12" t="s">
        <v>32</v>
      </c>
      <c r="X2045" s="13">
        <v>1.0238738000392911</v>
      </c>
      <c r="Y2045" s="13">
        <v>0.14658528060441781</v>
      </c>
      <c r="Z2045" s="8">
        <v>0.1431673323399745</v>
      </c>
    </row>
    <row r="2046" spans="1:26" x14ac:dyDescent="0.2">
      <c r="A2046" s="1">
        <v>2044</v>
      </c>
      <c r="B2046" s="2" t="s">
        <v>441</v>
      </c>
      <c r="C2046" s="13" t="str">
        <f>HYPERLINK(AC2 &amp; "/pencil/sn_d4bf229a94bf05dd2e6aa749ba743c21/rendering/00.xyz", "0.0")</f>
        <v>0.0</v>
      </c>
      <c r="D2046" s="13" t="str">
        <f>HYPERLINK(AC2 &amp; "/pencil/sn_d4bf229a94bf05dd2e6aa749ba743c21/rendering/01.xyz", "0.0")</f>
        <v>0.0</v>
      </c>
      <c r="E2046" s="13" t="str">
        <f>HYPERLINK(AC2 &amp; "/pencil/sn_d4bf229a94bf05dd2e6aa749ba743c21/rendering/02.xyz", "0.0")</f>
        <v>0.0</v>
      </c>
      <c r="F2046" s="13" t="str">
        <f>HYPERLINK(AC2 &amp; "/pencil/sn_d4bf229a94bf05dd2e6aa749ba743c21/rendering/03.xyz", "0.0")</f>
        <v>0.0</v>
      </c>
      <c r="G2046" s="13" t="str">
        <f>HYPERLINK(AC2 &amp; "/pencil/sn_d4bf229a94bf05dd2e6aa749ba743c21/rendering/04.xyz", "0.0")</f>
        <v>0.0</v>
      </c>
      <c r="H2046" s="13" t="str">
        <f>HYPERLINK(AC2 &amp; "/pencil/sn_d4bf229a94bf05dd2e6aa749ba743c21/rendering/05.xyz", "0.0")</f>
        <v>0.0</v>
      </c>
      <c r="I2046" s="13" t="str">
        <f>HYPERLINK(AC2 &amp; "/pencil/sn_d4bf229a94bf05dd2e6aa749ba743c21/rendering/06.xyz", "0.0")</f>
        <v>0.0</v>
      </c>
      <c r="J2046" s="13" t="str">
        <f>HYPERLINK(AC2 &amp; "/pencil/sn_d4bf229a94bf05dd2e6aa749ba743c21/rendering/07.xyz", "0.0")</f>
        <v>0.0</v>
      </c>
      <c r="K2046" s="13" t="str">
        <f>HYPERLINK(AC2 &amp; "/pencil/sn_d4bf229a94bf05dd2e6aa749ba743c21/rendering/08.xyz", "0.0")</f>
        <v>0.0</v>
      </c>
      <c r="L2046" s="13" t="str">
        <f>HYPERLINK(AC2 &amp; "/pencil/sn_d4bf229a94bf05dd2e6aa749ba743c21/rendering/09.xyz", "0.0")</f>
        <v>0.0</v>
      </c>
      <c r="M2046" s="13" t="str">
        <f>HYPERLINK(AC2 &amp; "/pencil/sn_d4bf229a94bf05dd2e6aa749ba743c21/rendering/10.xyz", "0.0")</f>
        <v>0.0</v>
      </c>
      <c r="N2046" s="13" t="str">
        <f>HYPERLINK(AC2 &amp; "/pencil/sn_d4bf229a94bf05dd2e6aa749ba743c21/rendering/11.xyz", "0.0")</f>
        <v>0.0</v>
      </c>
      <c r="O2046" s="13" t="str">
        <f>HYPERLINK(AC2 &amp; "/pencil/sn_d4bf229a94bf05dd2e6aa749ba743c21/rendering/12.xyz", "0.0")</f>
        <v>0.0</v>
      </c>
      <c r="P2046" s="13" t="str">
        <f>HYPERLINK(AC2 &amp; "/pencil/sn_d4bf229a94bf05dd2e6aa749ba743c21/rendering/13.xyz", "0.0")</f>
        <v>0.0</v>
      </c>
      <c r="Q2046" s="13" t="str">
        <f>HYPERLINK(AC2 &amp; "/pencil/sn_d4bf229a94bf05dd2e6aa749ba743c21/rendering/14.xyz", "0.0")</f>
        <v>0.0</v>
      </c>
      <c r="R2046" s="13" t="str">
        <f>HYPERLINK(AC2 &amp; "/pencil/sn_d4bf229a94bf05dd2e6aa749ba743c21/rendering/15.xyz", "0.0")</f>
        <v>0.0</v>
      </c>
      <c r="S2046" s="13" t="str">
        <f>HYPERLINK(AC2 &amp; "/pencil/sn_d4bf229a94bf05dd2e6aa749ba743c21/rendering/16.xyz", "0.0")</f>
        <v>0.0</v>
      </c>
      <c r="T2046" s="13" t="str">
        <f>HYPERLINK(AC2 &amp; "/pencil/sn_d4bf229a94bf05dd2e6aa749ba743c21/rendering/17.xyz", "0.0")</f>
        <v>0.0</v>
      </c>
      <c r="U2046" s="13" t="str">
        <f>HYPERLINK(AC2 &amp; "/pencil/sn_d4bf229a94bf05dd2e6aa749ba743c21/rendering/18.xyz", "0.0")</f>
        <v>0.0</v>
      </c>
      <c r="V2046" s="13" t="str">
        <f>HYPERLINK(AC2 &amp; "/pencil/sn_d4bf229a94bf05dd2e6aa749ba743c21/rendering/19.xyz", "0.0")</f>
        <v>0.0</v>
      </c>
      <c r="W2046" s="12" t="s">
        <v>33</v>
      </c>
      <c r="X2046" s="13">
        <v>0</v>
      </c>
      <c r="Y2046" s="13">
        <v>0</v>
      </c>
      <c r="Z2046" s="13">
        <v>0</v>
      </c>
    </row>
    <row r="2047" spans="1:26" x14ac:dyDescent="0.2">
      <c r="A2047" s="1">
        <v>2045</v>
      </c>
      <c r="B2047" s="2" t="s">
        <v>442</v>
      </c>
      <c r="C2047" s="6" t="str">
        <f>HYPERLINK(AA2 &amp; "/pencil/sn_d53903b1400f24fd38c99e31cd0b0da7/rendering/00.obj", "3.48217193604")</f>
        <v>3.48217193604</v>
      </c>
      <c r="D2047" s="13" t="str">
        <f>HYPERLINK(AA2 &amp; "/pencil/sn_d53903b1400f24fd38c99e31cd0b0da7/rendering/01.obj", "3.64667022705")</f>
        <v>3.64667022705</v>
      </c>
      <c r="E2047" s="48" t="str">
        <f>HYPERLINK(AA2 &amp; "/pencil/sn_d53903b1400f24fd38c99e31cd0b0da7/rendering/02.obj", "3.7447567749")</f>
        <v>3.7447567749</v>
      </c>
      <c r="F2047" s="32" t="str">
        <f>HYPERLINK(AA2 &amp; "/pencil/sn_d53903b1400f24fd38c99e31cd0b0da7/rendering/03.obj", "3.27000915527")</f>
        <v>3.27000915527</v>
      </c>
      <c r="G2047" s="32" t="str">
        <f>HYPERLINK(AA2 &amp; "/pencil/sn_d53903b1400f24fd38c99e31cd0b0da7/rendering/04.obj", "4.03944946289")</f>
        <v>4.03944946289</v>
      </c>
      <c r="H2047" s="47" t="str">
        <f>HYPERLINK(AA2 &amp; "/pencil/sn_d53903b1400f24fd38c99e31cd0b0da7/rendering/05.obj", "3.68035552979")</f>
        <v>3.68035552979</v>
      </c>
      <c r="I2047" s="175" t="str">
        <f>HYPERLINK(AA2 &amp; "/pencil/sn_d53903b1400f24fd38c99e31cd0b0da7/rendering/06.obj", "4.5040536499")</f>
        <v>4.5040536499</v>
      </c>
      <c r="J2047" s="79" t="str">
        <f>HYPERLINK(AA2 &amp; "/pencil/sn_d53903b1400f24fd38c99e31cd0b0da7/rendering/07.obj", "4.22715759277")</f>
        <v>4.22715759277</v>
      </c>
      <c r="K2047" s="32" t="str">
        <f>HYPERLINK(AA2 &amp; "/pencil/sn_d53903b1400f24fd38c99e31cd0b0da7/rendering/08.obj", "4.0413369751")</f>
        <v>4.0413369751</v>
      </c>
      <c r="L2047" s="110" t="str">
        <f>HYPERLINK(AA2 &amp; "/pencil/sn_d53903b1400f24fd38c99e31cd0b0da7/rendering/09.obj", "3.28705322266")</f>
        <v>3.28705322266</v>
      </c>
      <c r="M2047" s="33" t="str">
        <f>HYPERLINK(AA2 &amp; "/pencil/sn_d53903b1400f24fd38c99e31cd0b0da7/rendering/10.obj", "3.2531137085")</f>
        <v>3.2531137085</v>
      </c>
      <c r="N2047" s="69" t="str">
        <f>HYPERLINK(AA2 &amp; "/pencil/sn_d53903b1400f24fd38c99e31cd0b0da7/rendering/11.obj", "3.54477081299")</f>
        <v>3.54477081299</v>
      </c>
      <c r="O2047" s="110" t="str">
        <f>HYPERLINK(AA2 &amp; "/pencil/sn_d53903b1400f24fd38c99e31cd0b0da7/rendering/12.obj", "4.00999084473")</f>
        <v>4.00999084473</v>
      </c>
      <c r="P2047" s="25" t="str">
        <f>HYPERLINK(AA2 &amp; "/pencil/sn_d53903b1400f24fd38c99e31cd0b0da7/rendering/13.obj", "3.61643676758")</f>
        <v>3.61643676758</v>
      </c>
      <c r="Q2047" s="38" t="str">
        <f>HYPERLINK(AA2 &amp; "/pencil/sn_d53903b1400f24fd38c99e31cd0b0da7/rendering/14.obj", "3.33042602539")</f>
        <v>3.33042602539</v>
      </c>
      <c r="R2047" s="94" t="str">
        <f>HYPERLINK(AA2 &amp; "/pencil/sn_d53903b1400f24fd38c99e31cd0b0da7/rendering/15.obj", "3.37873779297")</f>
        <v>3.37873779297</v>
      </c>
      <c r="S2047" s="32" t="str">
        <f>HYPERLINK(AA2 &amp; "/pencil/sn_d53903b1400f24fd38c99e31cd0b0da7/rendering/16.obj", "3.27154785156")</f>
        <v>3.27154785156</v>
      </c>
      <c r="T2047" s="60" t="str">
        <f>HYPERLINK(AA2 &amp; "/pencil/sn_d53903b1400f24fd38c99e31cd0b0da7/rendering/17.obj", "3.45876678467")</f>
        <v>3.45876678467</v>
      </c>
      <c r="U2047" s="39" t="str">
        <f>HYPERLINK(AA2 &amp; "/pencil/sn_d53903b1400f24fd38c99e31cd0b0da7/rendering/18.obj", "3.96653015137")</f>
        <v>3.96653015137</v>
      </c>
      <c r="V2047" s="67" t="str">
        <f>HYPERLINK(AA2 &amp; "/pencil/sn_d53903b1400f24fd38c99e31cd0b0da7/rendering/19.obj", "3.31582458496")</f>
        <v>3.31582458496</v>
      </c>
      <c r="W2047" s="12" t="s">
        <v>29</v>
      </c>
      <c r="X2047" s="13">
        <v>3.6534579925537112</v>
      </c>
      <c r="Y2047" s="13">
        <v>0.35692990721977857</v>
      </c>
      <c r="Z2047" s="110">
        <v>9.7696458518820986E-2</v>
      </c>
    </row>
    <row r="2048" spans="1:26" x14ac:dyDescent="0.2">
      <c r="A2048" s="1">
        <v>2046</v>
      </c>
      <c r="B2048" s="2" t="s">
        <v>442</v>
      </c>
      <c r="C2048" s="80" t="str">
        <f>HYPERLINK(AA2 &amp; "/pencil/sn_d53903b1400f24fd38c99e31cd0b0da7/rendering/00.obj", "1.02595543861")</f>
        <v>1.02595543861</v>
      </c>
      <c r="D2048" s="32" t="str">
        <f>HYPERLINK(AA2 &amp; "/pencil/sn_d53903b1400f24fd38c99e31cd0b0da7/rendering/01.obj", "1.0801692009")</f>
        <v>1.0801692009</v>
      </c>
      <c r="E2048" s="46" t="str">
        <f>HYPERLINK(AA2 &amp; "/pencil/sn_d53903b1400f24fd38c99e31cd0b0da7/rendering/02.obj", "1.22671020031")</f>
        <v>1.22671020031</v>
      </c>
      <c r="F2048" s="59" t="str">
        <f>HYPERLINK(AA2 &amp; "/pencil/sn_d53903b1400f24fd38c99e31cd0b0da7/rendering/03.obj", "0.916963815689")</f>
        <v>0.916963815689</v>
      </c>
      <c r="G2048" s="230" t="str">
        <f>HYPERLINK(AA2 &amp; "/pencil/sn_d53903b1400f24fd38c99e31cd0b0da7/rendering/04.obj", "1.75870525837")</f>
        <v>1.75870525837</v>
      </c>
      <c r="H2048" s="136" t="str">
        <f>HYPERLINK(AA2 &amp; "/pencil/sn_d53903b1400f24fd38c99e31cd0b0da7/rendering/05.obj", "1.49208545685")</f>
        <v>1.49208545685</v>
      </c>
      <c r="I2048" s="8" t="str">
        <f>HYPERLINK(AA2 &amp; "/pencil/sn_d53903b1400f24fd38c99e31cd0b0da7/rendering/06.obj", "1.37774550915")</f>
        <v>1.37774550915</v>
      </c>
      <c r="J2048" s="84" t="str">
        <f>HYPERLINK(AA2 &amp; "/pencil/sn_d53903b1400f24fd38c99e31cd0b0da7/rendering/07.obj", "1.38239824772")</f>
        <v>1.38239824772</v>
      </c>
      <c r="K2048" s="31" t="str">
        <f>HYPERLINK(AA2 &amp; "/pencil/sn_d53903b1400f24fd38c99e31cd0b0da7/rendering/08.obj", "1.39279770851")</f>
        <v>1.39279770851</v>
      </c>
      <c r="L2048" s="82" t="str">
        <f>HYPERLINK(AA2 &amp; "/pencil/sn_d53903b1400f24fd38c99e31cd0b0da7/rendering/09.obj", "0.958354115486")</f>
        <v>0.958354115486</v>
      </c>
      <c r="M2048" s="81" t="str">
        <f>HYPERLINK(AA2 &amp; "/pencil/sn_d53903b1400f24fd38c99e31cd0b0da7/rendering/10.obj", "0.943731367588")</f>
        <v>0.943731367588</v>
      </c>
      <c r="N2048" s="67" t="str">
        <f>HYPERLINK(AA2 &amp; "/pencil/sn_d53903b1400f24fd38c99e31cd0b0da7/rendering/11.obj", "1.09484374523")</f>
        <v>1.09484374523</v>
      </c>
      <c r="O2048" s="22" t="str">
        <f>HYPERLINK(AA2 &amp; "/pencil/sn_d53903b1400f24fd38c99e31cd0b0da7/rendering/12.obj", "1.83827877045")</f>
        <v>1.83827877045</v>
      </c>
      <c r="P2048" s="47" t="str">
        <f>HYPERLINK(AA2 &amp; "/pencil/sn_d53903b1400f24fd38c99e31cd0b0da7/rendering/13.obj", "1.19772994518")</f>
        <v>1.19772994518</v>
      </c>
      <c r="Q2048" s="10" t="str">
        <f>HYPERLINK(AA2 &amp; "/pencil/sn_d53903b1400f24fd38c99e31cd0b0da7/rendering/14.obj", "1.13973510265")</f>
        <v>1.13973510265</v>
      </c>
      <c r="R2048" s="110" t="str">
        <f>HYPERLINK(AA2 &amp; "/pencil/sn_d53903b1400f24fd38c99e31cd0b0da7/rendering/15.obj", "1.08924543858")</f>
        <v>1.08924543858</v>
      </c>
      <c r="S2048" s="135" t="str">
        <f>HYPERLINK(AA2 &amp; "/pencil/sn_d53903b1400f24fd38c99e31cd0b0da7/rendering/16.obj", "0.898770451546")</f>
        <v>0.898770451546</v>
      </c>
      <c r="T2048" s="118" t="str">
        <f>HYPERLINK(AA2 &amp; "/pencil/sn_d53903b1400f24fd38c99e31cd0b0da7/rendering/17.obj", "0.853127241135")</f>
        <v>0.853127241135</v>
      </c>
      <c r="U2048" s="86" t="str">
        <f>HYPERLINK(AA2 &amp; "/pencil/sn_d53903b1400f24fd38c99e31cd0b0da7/rendering/18.obj", "1.52910172939")</f>
        <v>1.52910172939</v>
      </c>
      <c r="V2048" s="11" t="str">
        <f>HYPERLINK(AA2 &amp; "/pencil/sn_d53903b1400f24fd38c99e31cd0b0da7/rendering/19.obj", "0.936613798141")</f>
        <v>0.936613798141</v>
      </c>
      <c r="W2048" s="12" t="s">
        <v>30</v>
      </c>
      <c r="X2048" s="13">
        <v>1.206653127074242</v>
      </c>
      <c r="Y2048" s="13">
        <v>0.28029050417452711</v>
      </c>
      <c r="Z2048" s="175">
        <v>0.2322875546298416</v>
      </c>
    </row>
    <row r="2049" spans="1:26" x14ac:dyDescent="0.2">
      <c r="A2049" s="1">
        <v>2047</v>
      </c>
      <c r="B2049" s="2" t="s">
        <v>442</v>
      </c>
      <c r="C2049" s="133" t="str">
        <f>HYPERLINK(AB2 &amp; "/pencil/sn_d53903b1400f24fd38c99e31cd0b0da7/rendering/00.obj", "2.92289611816")</f>
        <v>2.92289611816</v>
      </c>
      <c r="D2049" s="38" t="str">
        <f>HYPERLINK(AB2 &amp; "/pencil/sn_d53903b1400f24fd38c99e31cd0b0da7/rendering/01.obj", "2.96399597168")</f>
        <v>2.96399597168</v>
      </c>
      <c r="E2049" s="34" t="str">
        <f>HYPERLINK(AB2 &amp; "/pencil/sn_d53903b1400f24fd38c99e31cd0b0da7/rendering/02.obj", "3.09204040527")</f>
        <v>3.09204040527</v>
      </c>
      <c r="F2049" s="10" t="str">
        <f>HYPERLINK(AB2 &amp; "/pencil/sn_d53903b1400f24fd38c99e31cd0b0da7/rendering/03.obj", "3.42601379395")</f>
        <v>3.42601379395</v>
      </c>
      <c r="G2049" s="73" t="str">
        <f>HYPERLINK(AB2 &amp; "/pencil/sn_d53903b1400f24fd38c99e31cd0b0da7/rendering/04.obj", "3.13031738281")</f>
        <v>3.13031738281</v>
      </c>
      <c r="H2049" s="92" t="str">
        <f>HYPERLINK(AB2 &amp; "/pencil/sn_d53903b1400f24fd38c99e31cd0b0da7/rendering/05.obj", "2.85058532715")</f>
        <v>2.85058532715</v>
      </c>
      <c r="I2049" s="6" t="str">
        <f>HYPERLINK(AB2 &amp; "/pencil/sn_d53903b1400f24fd38c99e31cd0b0da7/rendering/06.obj", "3.10547607422")</f>
        <v>3.10547607422</v>
      </c>
      <c r="J2049" s="94" t="str">
        <f>HYPERLINK(AB2 &amp; "/pencil/sn_d53903b1400f24fd38c99e31cd0b0da7/rendering/07.obj", "3.01182952881")</f>
        <v>3.01182952881</v>
      </c>
      <c r="K2049" s="76" t="str">
        <f>HYPERLINK(AB2 &amp; "/pencil/sn_d53903b1400f24fd38c99e31cd0b0da7/rendering/08.obj", "3.84614746094")</f>
        <v>3.84614746094</v>
      </c>
      <c r="L2049" s="75" t="str">
        <f>HYPERLINK(AB2 &amp; "/pencil/sn_d53903b1400f24fd38c99e31cd0b0da7/rendering/09.obj", "3.97070556641")</f>
        <v>3.97070556641</v>
      </c>
      <c r="M2049" s="94" t="str">
        <f>HYPERLINK(AB2 &amp; "/pencil/sn_d53903b1400f24fd38c99e31cd0b0da7/rendering/10.obj", "3.49214477539")</f>
        <v>3.49214477539</v>
      </c>
      <c r="N2049" s="27" t="str">
        <f>HYPERLINK(AB2 &amp; "/pencil/sn_d53903b1400f24fd38c99e31cd0b0da7/rendering/11.obj", "3.02247283936")</f>
        <v>3.02247283936</v>
      </c>
      <c r="O2049" s="55" t="str">
        <f>HYPERLINK(AB2 &amp; "/pencil/sn_d53903b1400f24fd38c99e31cd0b0da7/rendering/12.obj", "3.87637512207")</f>
        <v>3.87637512207</v>
      </c>
      <c r="P2049" s="26" t="str">
        <f>HYPERLINK(AB2 &amp; "/pencil/sn_d53903b1400f24fd38c99e31cd0b0da7/rendering/13.obj", "3.45891082764")</f>
        <v>3.45891082764</v>
      </c>
      <c r="Q2049" s="5" t="str">
        <f>HYPERLINK(AB2 &amp; "/pencil/sn_d53903b1400f24fd38c99e31cd0b0da7/rendering/14.obj", "3.50119445801")</f>
        <v>3.50119445801</v>
      </c>
      <c r="R2049" s="73" t="str">
        <f>HYPERLINK(AB2 &amp; "/pencil/sn_d53903b1400f24fd38c99e31cd0b0da7/rendering/15.obj", "3.13404541016")</f>
        <v>3.13404541016</v>
      </c>
      <c r="S2049" s="66" t="str">
        <f>HYPERLINK(AB2 &amp; "/pencil/sn_d53903b1400f24fd38c99e31cd0b0da7/rendering/16.obj", "2.72842407227")</f>
        <v>2.72842407227</v>
      </c>
      <c r="T2049" s="133" t="str">
        <f>HYPERLINK(AB2 &amp; "/pencil/sn_d53903b1400f24fd38c99e31cd0b0da7/rendering/17.obj", "2.91664611816")</f>
        <v>2.91664611816</v>
      </c>
      <c r="U2049" s="71" t="str">
        <f>HYPERLINK(AB2 &amp; "/pencil/sn_d53903b1400f24fd38c99e31cd0b0da7/rendering/18.obj", "2.8708795166")</f>
        <v>2.8708795166</v>
      </c>
      <c r="V2049" s="29" t="str">
        <f>HYPERLINK(AB2 &amp; "/pencil/sn_d53903b1400f24fd38c99e31cd0b0da7/rendering/19.obj", "3.67817321777")</f>
        <v>3.67817321777</v>
      </c>
      <c r="W2049" s="12" t="s">
        <v>31</v>
      </c>
      <c r="X2049" s="13">
        <v>3.2499636993408201</v>
      </c>
      <c r="Y2049" s="13">
        <v>0.36770716806283488</v>
      </c>
      <c r="Z2049" s="106">
        <v>0.1131419308275399</v>
      </c>
    </row>
    <row r="2050" spans="1:26" x14ac:dyDescent="0.2">
      <c r="A2050" s="1">
        <v>2048</v>
      </c>
      <c r="B2050" s="2" t="s">
        <v>442</v>
      </c>
      <c r="C2050" s="6" t="str">
        <f>HYPERLINK(AB2 &amp; "/pencil/sn_d53903b1400f24fd38c99e31cd0b0da7/rendering/00.obj", "0.874118626118")</f>
        <v>0.874118626118</v>
      </c>
      <c r="D2050" s="5" t="str">
        <f>HYPERLINK(AB2 &amp; "/pencil/sn_d53903b1400f24fd38c99e31cd0b0da7/rendering/01.obj", "0.846871733665")</f>
        <v>0.846871733665</v>
      </c>
      <c r="E2050" s="80" t="str">
        <f>HYPERLINK(AB2 &amp; "/pencil/sn_d53903b1400f24fd38c99e31cd0b0da7/rendering/02.obj", "1.05173325539")</f>
        <v>1.05173325539</v>
      </c>
      <c r="F2050" s="10" t="str">
        <f>HYPERLINK(AB2 &amp; "/pencil/sn_d53903b1400f24fd38c99e31cd0b0da7/rendering/03.obj", "0.865317821503")</f>
        <v>0.865317821503</v>
      </c>
      <c r="G2050" s="67" t="str">
        <f>HYPERLINK(AB2 &amp; "/pencil/sn_d53903b1400f24fd38c99e31cd0b0da7/rendering/04.obj", "1.00031125546")</f>
        <v>1.00031125546</v>
      </c>
      <c r="H2050" s="110" t="str">
        <f>HYPERLINK(AB2 &amp; "/pencil/sn_d53903b1400f24fd38c99e31cd0b0da7/rendering/05.obj", "0.826013684273")</f>
        <v>0.826013684273</v>
      </c>
      <c r="I2050" s="59" t="str">
        <f>HYPERLINK(AB2 &amp; "/pencil/sn_d53903b1400f24fd38c99e31cd0b0da7/rendering/06.obj", "1.13431715965")</f>
        <v>1.13431715965</v>
      </c>
      <c r="J2050" s="133" t="str">
        <f>HYPERLINK(AB2 &amp; "/pencil/sn_d53903b1400f24fd38c99e31cd0b0da7/rendering/07.obj", "1.01029980183")</f>
        <v>1.01029980183</v>
      </c>
      <c r="K2050" s="91" t="str">
        <f>HYPERLINK(AB2 &amp; "/pencil/sn_d53903b1400f24fd38c99e31cd0b0da7/rendering/08.obj", "0.891267120838")</f>
        <v>0.891267120838</v>
      </c>
      <c r="L2050" s="94" t="str">
        <f>HYPERLINK(AB2 &amp; "/pencil/sn_d53903b1400f24fd38c99e31cd0b0da7/rendering/09.obj", "0.982398211956")</f>
        <v>0.982398211956</v>
      </c>
      <c r="M2050" s="67" t="str">
        <f>HYPERLINK(AB2 &amp; "/pencil/sn_d53903b1400f24fd38c99e31cd0b0da7/rendering/10.obj", "0.831419527531")</f>
        <v>0.831419527531</v>
      </c>
      <c r="N2050" s="77" t="str">
        <f>HYPERLINK(AB2 &amp; "/pencil/sn_d53903b1400f24fd38c99e31cd0b0da7/rendering/11.obj", "1.08569395542")</f>
        <v>1.08569395542</v>
      </c>
      <c r="O2050" s="63" t="str">
        <f>HYPERLINK(AB2 &amp; "/pencil/sn_d53903b1400f24fd38c99e31cd0b0da7/rendering/12.obj", "0.805654406548")</f>
        <v>0.805654406548</v>
      </c>
      <c r="P2050" s="30" t="str">
        <f>HYPERLINK(AB2 &amp; "/pencil/sn_d53903b1400f24fd38c99e31cd0b0da7/rendering/13.obj", "0.911239981651")</f>
        <v>0.911239981651</v>
      </c>
      <c r="Q2050" s="90" t="str">
        <f>HYPERLINK(AB2 &amp; "/pencil/sn_d53903b1400f24fd38c99e31cd0b0da7/rendering/14.obj", "0.82696211338")</f>
        <v>0.82696211338</v>
      </c>
      <c r="R2050" s="69" t="str">
        <f>HYPERLINK(AB2 &amp; "/pencil/sn_d53903b1400f24fd38c99e31cd0b0da7/rendering/15.obj", "0.88756030798")</f>
        <v>0.88756030798</v>
      </c>
      <c r="S2050" s="41" t="str">
        <f>HYPERLINK(AB2 &amp; "/pencil/sn_d53903b1400f24fd38c99e31cd0b0da7/rendering/16.obj", "0.853567540646")</f>
        <v>0.853567540646</v>
      </c>
      <c r="T2050" s="51" t="str">
        <f>HYPERLINK(AB2 &amp; "/pencil/sn_d53903b1400f24fd38c99e31cd0b0da7/rendering/17.obj", "0.842775523663")</f>
        <v>0.842775523663</v>
      </c>
      <c r="U2050" s="5" t="str">
        <f>HYPERLINK(AB2 &amp; "/pencil/sn_d53903b1400f24fd38c99e31cd0b0da7/rendering/18.obj", "0.987435638905")</f>
        <v>0.987435638905</v>
      </c>
      <c r="V2050" s="92" t="str">
        <f>HYPERLINK(AB2 &amp; "/pencil/sn_d53903b1400f24fd38c99e31cd0b0da7/rendering/19.obj", "0.80335444212")</f>
        <v>0.80335444212</v>
      </c>
      <c r="W2050" s="12" t="s">
        <v>32</v>
      </c>
      <c r="X2050" s="13">
        <v>0.91591560542583461</v>
      </c>
      <c r="Y2050" s="13">
        <v>9.7016234115169991E-2</v>
      </c>
      <c r="Z2050" s="32">
        <v>0.1059226784001179</v>
      </c>
    </row>
    <row r="2051" spans="1:26" x14ac:dyDescent="0.2">
      <c r="A2051" s="1">
        <v>2049</v>
      </c>
      <c r="B2051" s="2" t="s">
        <v>442</v>
      </c>
      <c r="C2051" s="13" t="str">
        <f>HYPERLINK(AC2 &amp; "/pencil/sn_d53903b1400f24fd38c99e31cd0b0da7/rendering/00.xyz", "0.0")</f>
        <v>0.0</v>
      </c>
      <c r="D2051" s="13" t="str">
        <f>HYPERLINK(AC2 &amp; "/pencil/sn_d53903b1400f24fd38c99e31cd0b0da7/rendering/01.xyz", "0.0")</f>
        <v>0.0</v>
      </c>
      <c r="E2051" s="13" t="str">
        <f>HYPERLINK(AC2 &amp; "/pencil/sn_d53903b1400f24fd38c99e31cd0b0da7/rendering/02.xyz", "0.0")</f>
        <v>0.0</v>
      </c>
      <c r="F2051" s="13" t="str">
        <f>HYPERLINK(AC2 &amp; "/pencil/sn_d53903b1400f24fd38c99e31cd0b0da7/rendering/03.xyz", "0.0")</f>
        <v>0.0</v>
      </c>
      <c r="G2051" s="13" t="str">
        <f>HYPERLINK(AC2 &amp; "/pencil/sn_d53903b1400f24fd38c99e31cd0b0da7/rendering/04.xyz", "0.0")</f>
        <v>0.0</v>
      </c>
      <c r="H2051" s="13" t="str">
        <f>HYPERLINK(AC2 &amp; "/pencil/sn_d53903b1400f24fd38c99e31cd0b0da7/rendering/05.xyz", "0.0")</f>
        <v>0.0</v>
      </c>
      <c r="I2051" s="13" t="str">
        <f>HYPERLINK(AC2 &amp; "/pencil/sn_d53903b1400f24fd38c99e31cd0b0da7/rendering/06.xyz", "0.0")</f>
        <v>0.0</v>
      </c>
      <c r="J2051" s="13" t="str">
        <f>HYPERLINK(AC2 &amp; "/pencil/sn_d53903b1400f24fd38c99e31cd0b0da7/rendering/07.xyz", "0.0")</f>
        <v>0.0</v>
      </c>
      <c r="K2051" s="13" t="str">
        <f>HYPERLINK(AC2 &amp; "/pencil/sn_d53903b1400f24fd38c99e31cd0b0da7/rendering/08.xyz", "0.0")</f>
        <v>0.0</v>
      </c>
      <c r="L2051" s="13" t="str">
        <f>HYPERLINK(AC2 &amp; "/pencil/sn_d53903b1400f24fd38c99e31cd0b0da7/rendering/09.xyz", "0.0")</f>
        <v>0.0</v>
      </c>
      <c r="M2051" s="13" t="str">
        <f>HYPERLINK(AC2 &amp; "/pencil/sn_d53903b1400f24fd38c99e31cd0b0da7/rendering/10.xyz", "0.0")</f>
        <v>0.0</v>
      </c>
      <c r="N2051" s="13" t="str">
        <f>HYPERLINK(AC2 &amp; "/pencil/sn_d53903b1400f24fd38c99e31cd0b0da7/rendering/11.xyz", "0.0")</f>
        <v>0.0</v>
      </c>
      <c r="O2051" s="13" t="str">
        <f>HYPERLINK(AC2 &amp; "/pencil/sn_d53903b1400f24fd38c99e31cd0b0da7/rendering/12.xyz", "0.0")</f>
        <v>0.0</v>
      </c>
      <c r="P2051" s="13" t="str">
        <f>HYPERLINK(AC2 &amp; "/pencil/sn_d53903b1400f24fd38c99e31cd0b0da7/rendering/13.xyz", "0.0")</f>
        <v>0.0</v>
      </c>
      <c r="Q2051" s="13" t="str">
        <f>HYPERLINK(AC2 &amp; "/pencil/sn_d53903b1400f24fd38c99e31cd0b0da7/rendering/14.xyz", "0.0")</f>
        <v>0.0</v>
      </c>
      <c r="R2051" s="13" t="str">
        <f>HYPERLINK(AC2 &amp; "/pencil/sn_d53903b1400f24fd38c99e31cd0b0da7/rendering/15.xyz", "0.0")</f>
        <v>0.0</v>
      </c>
      <c r="S2051" s="13" t="str">
        <f>HYPERLINK(AC2 &amp; "/pencil/sn_d53903b1400f24fd38c99e31cd0b0da7/rendering/16.xyz", "0.0")</f>
        <v>0.0</v>
      </c>
      <c r="T2051" s="13" t="str">
        <f>HYPERLINK(AC2 &amp; "/pencil/sn_d53903b1400f24fd38c99e31cd0b0da7/rendering/17.xyz", "0.0")</f>
        <v>0.0</v>
      </c>
      <c r="U2051" s="13" t="str">
        <f>HYPERLINK(AC2 &amp; "/pencil/sn_d53903b1400f24fd38c99e31cd0b0da7/rendering/18.xyz", "0.0")</f>
        <v>0.0</v>
      </c>
      <c r="V2051" s="13" t="str">
        <f>HYPERLINK(AC2 &amp; "/pencil/sn_d53903b1400f24fd38c99e31cd0b0da7/rendering/19.xyz", "0.0")</f>
        <v>0.0</v>
      </c>
      <c r="W2051" s="12" t="s">
        <v>33</v>
      </c>
      <c r="X2051" s="13">
        <v>0</v>
      </c>
      <c r="Y2051" s="13">
        <v>0</v>
      </c>
      <c r="Z2051" s="13">
        <v>0</v>
      </c>
    </row>
    <row r="2052" spans="1:26" x14ac:dyDescent="0.2">
      <c r="A2052" s="1">
        <v>2050</v>
      </c>
      <c r="B2052" s="2" t="s">
        <v>443</v>
      </c>
      <c r="C2052" s="175" t="str">
        <f>HYPERLINK(AA2 &amp; "/pencil/sn_d601a8cf9922742c94fa0147cd777a8d/rendering/00.obj", "3.19185028076")</f>
        <v>3.19185028076</v>
      </c>
      <c r="D2052" s="60" t="str">
        <f>HYPERLINK(AA2 &amp; "/pencil/sn_d601a8cf9922742c94fa0147cd777a8d/rendering/01.obj", "3.93804901123")</f>
        <v>3.93804901123</v>
      </c>
      <c r="E2052" s="91" t="str">
        <f>HYPERLINK(AA2 &amp; "/pencil/sn_d601a8cf9922742c94fa0147cd777a8d/rendering/02.obj", "4.05282897949")</f>
        <v>4.05282897949</v>
      </c>
      <c r="F2052" s="40" t="str">
        <f>HYPERLINK(AA2 &amp; "/pencil/sn_d601a8cf9922742c94fa0147cd777a8d/rendering/03.obj", "3.44842651367")</f>
        <v>3.44842651367</v>
      </c>
      <c r="G2052" s="5" t="str">
        <f>HYPERLINK(AA2 &amp; "/pencil/sn_d601a8cf9922742c94fa0147cd777a8d/rendering/04.obj", "3.83282012939")</f>
        <v>3.83282012939</v>
      </c>
      <c r="H2052" s="81" t="str">
        <f>HYPERLINK(AA2 &amp; "/pencil/sn_d601a8cf9922742c94fa0147cd777a8d/rendering/05.obj", "3.24966766357")</f>
        <v>3.24966766357</v>
      </c>
      <c r="I2052" s="5" t="str">
        <f>HYPERLINK(AA2 &amp; "/pencil/sn_d601a8cf9922742c94fa0147cd777a8d/rendering/06.obj", "3.8348739624")</f>
        <v>3.8348739624</v>
      </c>
      <c r="J2052" s="25" t="str">
        <f>HYPERLINK(AA2 &amp; "/pencil/sn_d601a8cf9922742c94fa0147cd777a8d/rendering/07.obj", "4.20691101074")</f>
        <v>4.20691101074</v>
      </c>
      <c r="K2052" s="81" t="str">
        <f>HYPERLINK(AA2 &amp; "/pencil/sn_d601a8cf9922742c94fa0147cd777a8d/rendering/08.obj", "5.06133270264")</f>
        <v>5.06133270264</v>
      </c>
      <c r="L2052" s="93" t="str">
        <f>HYPERLINK(AA2 &amp; "/pencil/sn_d601a8cf9922742c94fa0147cd777a8d/rendering/09.obj", "3.58271850586")</f>
        <v>3.58271850586</v>
      </c>
      <c r="M2052" s="24" t="str">
        <f>HYPERLINK(AA2 &amp; "/pencil/sn_d601a8cf9922742c94fa0147cd777a8d/rendering/10.obj", "3.45976806641")</f>
        <v>3.45976806641</v>
      </c>
      <c r="N2052" s="40" t="str">
        <f>HYPERLINK(AA2 &amp; "/pencil/sn_d601a8cf9922742c94fa0147cd777a8d/rendering/11.obj", "3.45143005371")</f>
        <v>3.45143005371</v>
      </c>
      <c r="O2052" s="31" t="str">
        <f>HYPERLINK(AA2 &amp; "/pencil/sn_d601a8cf9922742c94fa0147cd777a8d/rendering/12.obj", "3.51108459473")</f>
        <v>3.51108459473</v>
      </c>
      <c r="P2052" s="32" t="str">
        <f>HYPERLINK(AA2 &amp; "/pencil/sn_d601a8cf9922742c94fa0147cd777a8d/rendering/13.obj", "3.72076263428")</f>
        <v>3.72076263428</v>
      </c>
      <c r="Q2052" s="20" t="str">
        <f>HYPERLINK(AA2 &amp; "/pencil/sn_d601a8cf9922742c94fa0147cd777a8d/rendering/14.obj", "13.1127648926")</f>
        <v>13.1127648926</v>
      </c>
      <c r="R2052" s="76" t="str">
        <f>HYPERLINK(AA2 &amp; "/pencil/sn_d601a8cf9922742c94fa0147cd777a8d/rendering/15.obj", "3.39592346191")</f>
        <v>3.39592346191</v>
      </c>
      <c r="S2052" s="51" t="str">
        <f>HYPERLINK(AA2 &amp; "/pencil/sn_d601a8cf9922742c94fa0147cd777a8d/rendering/16.obj", "3.82972106934")</f>
        <v>3.82972106934</v>
      </c>
      <c r="T2052" s="93" t="str">
        <f>HYPERLINK(AA2 &amp; "/pencil/sn_d601a8cf9922742c94fa0147cd777a8d/rendering/17.obj", "3.58193481445")</f>
        <v>3.58193481445</v>
      </c>
      <c r="U2052" s="59" t="str">
        <f>HYPERLINK(AA2 &amp; "/pencil/sn_d601a8cf9922742c94fa0147cd777a8d/rendering/18.obj", "3.16204284668")</f>
        <v>3.16204284668</v>
      </c>
      <c r="V2052" s="80" t="str">
        <f>HYPERLINK(AA2 &amp; "/pencil/sn_d601a8cf9922742c94fa0147cd777a8d/rendering/19.obj", "3.54362243652")</f>
        <v>3.54362243652</v>
      </c>
      <c r="W2052" s="12" t="s">
        <v>29</v>
      </c>
      <c r="X2052" s="13">
        <v>4.158426681518554</v>
      </c>
      <c r="Y2052" s="13">
        <v>2.095888536292831</v>
      </c>
      <c r="Z2052" s="144">
        <v>0.50400997704436257</v>
      </c>
    </row>
    <row r="2053" spans="1:26" x14ac:dyDescent="0.2">
      <c r="A2053" s="1">
        <v>2051</v>
      </c>
      <c r="B2053" s="2" t="s">
        <v>443</v>
      </c>
      <c r="C2053" s="253" t="str">
        <f>HYPERLINK(AA2 &amp; "/pencil/sn_d601a8cf9922742c94fa0147cd777a8d/rendering/00.obj", "0.799733996391")</f>
        <v>0.799733996391</v>
      </c>
      <c r="D2053" s="147" t="str">
        <f>HYPERLINK(AA2 &amp; "/pencil/sn_d601a8cf9922742c94fa0147cd777a8d/rendering/01.obj", "1.49633014202")</f>
        <v>1.49633014202</v>
      </c>
      <c r="E2053" s="21" t="str">
        <f>HYPERLINK(AA2 &amp; "/pencil/sn_d601a8cf9922742c94fa0147cd777a8d/rendering/02.obj", "1.30124175549")</f>
        <v>1.30124175549</v>
      </c>
      <c r="F2053" s="184" t="str">
        <f>HYPERLINK(AA2 &amp; "/pencil/sn_d601a8cf9922742c94fa0147cd777a8d/rendering/03.obj", "0.769036889076")</f>
        <v>0.769036889076</v>
      </c>
      <c r="G2053" s="237" t="str">
        <f>HYPERLINK(AA2 &amp; "/pencil/sn_d601a8cf9922742c94fa0147cd777a8d/rendering/04.obj", "0.954441905022")</f>
        <v>0.954441905022</v>
      </c>
      <c r="H2053" s="125" t="str">
        <f>HYPERLINK(AA2 &amp; "/pencil/sn_d601a8cf9922742c94fa0147cd777a8d/rendering/05.obj", "0.843951404095")</f>
        <v>0.843951404095</v>
      </c>
      <c r="I2053" s="241" t="str">
        <f>HYPERLINK(AA2 &amp; "/pencil/sn_d601a8cf9922742c94fa0147cd777a8d/rendering/06.obj", "1.04176104069")</f>
        <v>1.04176104069</v>
      </c>
      <c r="J2053" s="10" t="str">
        <f>HYPERLINK(AA2 &amp; "/pencil/sn_d601a8cf9922742c94fa0147cd777a8d/rendering/07.obj", "2.75136899948")</f>
        <v>2.75136899948</v>
      </c>
      <c r="K2053" s="212" t="str">
        <f>HYPERLINK(AA2 &amp; "/pencil/sn_d601a8cf9922742c94fa0147cd777a8d/rendering/08.obj", "4.17008209229")</f>
        <v>4.17008209229</v>
      </c>
      <c r="L2053" s="125" t="str">
        <f>HYPERLINK(AA2 &amp; "/pencil/sn_d601a8cf9922742c94fa0147cd777a8d/rendering/09.obj", "0.847632825375")</f>
        <v>0.847632825375</v>
      </c>
      <c r="M2053" s="125" t="str">
        <f>HYPERLINK(AA2 &amp; "/pencil/sn_d601a8cf9922742c94fa0147cd777a8d/rendering/10.obj", "0.846386194229")</f>
        <v>0.846386194229</v>
      </c>
      <c r="N2053" s="242" t="str">
        <f>HYPERLINK(AA2 &amp; "/pencil/sn_d601a8cf9922742c94fa0147cd777a8d/rendering/11.obj", "0.783380329609")</f>
        <v>0.783380329609</v>
      </c>
      <c r="O2053" s="236" t="str">
        <f>HYPERLINK(AA2 &amp; "/pencil/sn_d601a8cf9922742c94fa0147cd777a8d/rendering/12.obj", "0.763087630272")</f>
        <v>0.763087630272</v>
      </c>
      <c r="P2053" s="226" t="str">
        <f>HYPERLINK(AA2 &amp; "/pencil/sn_d601a8cf9922742c94fa0147cd777a8d/rendering/13.obj", "1.27219820023")</f>
        <v>1.27219820023</v>
      </c>
      <c r="Q2053" s="20" t="str">
        <f>HYPERLINK(AA2 &amp; "/pencil/sn_d601a8cf9922742c94fa0147cd777a8d/rendering/14.obj", "35.3214912415")</f>
        <v>35.3214912415</v>
      </c>
      <c r="R2053" s="253" t="str">
        <f>HYPERLINK(AA2 &amp; "/pencil/sn_d601a8cf9922742c94fa0147cd777a8d/rendering/15.obj", "0.798683345318")</f>
        <v>0.798683345318</v>
      </c>
      <c r="S2053" s="229" t="str">
        <f>HYPERLINK(AA2 &amp; "/pencil/sn_d601a8cf9922742c94fa0147cd777a8d/rendering/16.obj", "0.926032721996")</f>
        <v>0.926032721996</v>
      </c>
      <c r="T2053" s="238" t="str">
        <f>HYPERLINK(AA2 &amp; "/pencil/sn_d601a8cf9922742c94fa0147cd777a8d/rendering/17.obj", "0.86074501276")</f>
        <v>0.86074501276</v>
      </c>
      <c r="U2053" s="250" t="str">
        <f>HYPERLINK(AA2 &amp; "/pencil/sn_d601a8cf9922742c94fa0147cd777a8d/rendering/18.obj", "0.912951052189")</f>
        <v>0.912951052189</v>
      </c>
      <c r="V2053" s="125" t="str">
        <f>HYPERLINK(AA2 &amp; "/pencil/sn_d601a8cf9922742c94fa0147cd777a8d/rendering/19.obj", "0.840084314346")</f>
        <v>0.840084314346</v>
      </c>
      <c r="W2053" s="12" t="s">
        <v>30</v>
      </c>
      <c r="X2053" s="13">
        <v>2.9150310546159739</v>
      </c>
      <c r="Y2053" s="13">
        <v>7.4783547850589072</v>
      </c>
      <c r="Z2053" s="20">
        <v>2.565446008959964</v>
      </c>
    </row>
    <row r="2054" spans="1:26" x14ac:dyDescent="0.2">
      <c r="A2054" s="1">
        <v>2052</v>
      </c>
      <c r="B2054" s="2" t="s">
        <v>443</v>
      </c>
      <c r="C2054" s="35" t="str">
        <f>HYPERLINK(AB2 &amp; "/pencil/sn_d601a8cf9922742c94fa0147cd777a8d/rendering/00.obj", "3.29071136475")</f>
        <v>3.29071136475</v>
      </c>
      <c r="D2054" s="25" t="str">
        <f>HYPERLINK(AB2 &amp; "/pencil/sn_d601a8cf9922742c94fa0147cd777a8d/rendering/01.obj", "3.07795532227")</f>
        <v>3.07795532227</v>
      </c>
      <c r="E2054" s="47" t="str">
        <f>HYPERLINK(AB2 &amp; "/pencil/sn_d601a8cf9922742c94fa0147cd777a8d/rendering/02.obj", "3.1340838623")</f>
        <v>3.1340838623</v>
      </c>
      <c r="F2054" s="38" t="str">
        <f>HYPERLINK(AB2 &amp; "/pencil/sn_d601a8cf9922742c94fa0147cd777a8d/rendering/03.obj", "2.83527679443")</f>
        <v>2.83527679443</v>
      </c>
      <c r="G2054" s="13" t="str">
        <f>HYPERLINK(AB2 &amp; "/pencil/sn_d601a8cf9922742c94fa0147cd777a8d/rendering/04.obj", "3.10754058838")</f>
        <v>3.10754058838</v>
      </c>
      <c r="H2054" s="35" t="str">
        <f>HYPERLINK(AB2 &amp; "/pencil/sn_d601a8cf9922742c94fa0147cd777a8d/rendering/05.obj", "3.29643249512")</f>
        <v>3.29643249512</v>
      </c>
      <c r="I2054" s="47" t="str">
        <f>HYPERLINK(AB2 &amp; "/pencil/sn_d601a8cf9922742c94fa0147cd777a8d/rendering/06.obj", "3.14205535889")</f>
        <v>3.14205535889</v>
      </c>
      <c r="J2054" s="69" t="str">
        <f>HYPERLINK(AB2 &amp; "/pencil/sn_d601a8cf9922742c94fa0147cd777a8d/rendering/07.obj", "3.20340576172")</f>
        <v>3.20340576172</v>
      </c>
      <c r="K2054" s="32" t="str">
        <f>HYPERLINK(AB2 &amp; "/pencil/sn_d601a8cf9922742c94fa0147cd777a8d/rendering/08.obj", "3.43847229004")</f>
        <v>3.43847229004</v>
      </c>
      <c r="L2054" s="73" t="str">
        <f>HYPERLINK(AB2 &amp; "/pencil/sn_d601a8cf9922742c94fa0147cd777a8d/rendering/09.obj", "3.23055786133")</f>
        <v>3.23055786133</v>
      </c>
      <c r="M2054" s="23" t="str">
        <f>HYPERLINK(AB2 &amp; "/pencil/sn_d601a8cf9922742c94fa0147cd777a8d/rendering/10.obj", "3.23803894043")</f>
        <v>3.23803894043</v>
      </c>
      <c r="N2054" s="10" t="str">
        <f>HYPERLINK(AB2 &amp; "/pencil/sn_d601a8cf9922742c94fa0147cd777a8d/rendering/11.obj", "3.28432067871")</f>
        <v>3.28432067871</v>
      </c>
      <c r="O2054" s="72" t="str">
        <f>HYPERLINK(AB2 &amp; "/pencil/sn_d601a8cf9922742c94fa0147cd777a8d/rendering/12.obj", "3.00957214355")</f>
        <v>3.00957214355</v>
      </c>
      <c r="P2054" s="34" t="str">
        <f>HYPERLINK(AB2 &amp; "/pencil/sn_d601a8cf9922742c94fa0147cd777a8d/rendering/13.obj", "2.96526367187")</f>
        <v>2.96526367187</v>
      </c>
      <c r="Q2054" s="48" t="str">
        <f>HYPERLINK(AB2 &amp; "/pencil/sn_d601a8cf9922742c94fa0147cd777a8d/rendering/14.obj", "3.03685058594")</f>
        <v>3.03685058594</v>
      </c>
      <c r="R2054" s="41" t="str">
        <f>HYPERLINK(AB2 &amp; "/pencil/sn_d601a8cf9922742c94fa0147cd777a8d/rendering/15.obj", "2.90402587891")</f>
        <v>2.90402587891</v>
      </c>
      <c r="S2054" s="28" t="str">
        <f>HYPERLINK(AB2 &amp; "/pencil/sn_d601a8cf9922742c94fa0147cd777a8d/rendering/16.obj", "2.76309539795")</f>
        <v>2.76309539795</v>
      </c>
      <c r="T2054" s="133" t="str">
        <f>HYPERLINK(AB2 &amp; "/pencil/sn_d601a8cf9922742c94fa0147cd777a8d/rendering/17.obj", "3.42819763184")</f>
        <v>3.42819763184</v>
      </c>
      <c r="U2054" s="5" t="str">
        <f>HYPERLINK(AB2 &amp; "/pencil/sn_d601a8cf9922742c94fa0147cd777a8d/rendering/18.obj", "2.87580627441")</f>
        <v>2.87580627441</v>
      </c>
      <c r="V2054" s="72" t="str">
        <f>HYPERLINK(AB2 &amp; "/pencil/sn_d601a8cf9922742c94fa0147cd777a8d/rendering/19.obj", "3.01404724121")</f>
        <v>3.01404724121</v>
      </c>
      <c r="W2054" s="12" t="s">
        <v>31</v>
      </c>
      <c r="X2054" s="13">
        <v>3.1137855072021479</v>
      </c>
      <c r="Y2054" s="13">
        <v>0.18542271322378689</v>
      </c>
      <c r="Z2054" s="35">
        <v>5.9548967902543833E-2</v>
      </c>
    </row>
    <row r="2055" spans="1:26" x14ac:dyDescent="0.2">
      <c r="A2055" s="1">
        <v>2053</v>
      </c>
      <c r="B2055" s="2" t="s">
        <v>443</v>
      </c>
      <c r="C2055" s="50" t="str">
        <f>HYPERLINK(AB2 &amp; "/pencil/sn_d601a8cf9922742c94fa0147cd777a8d/rendering/00.obj", "1.01824760437")</f>
        <v>1.01824760437</v>
      </c>
      <c r="D2055" s="76" t="str">
        <f>HYPERLINK(AB2 &amp; "/pencil/sn_d601a8cf9922742c94fa0147cd777a8d/rendering/01.obj", "1.00567746162")</f>
        <v>1.00567746162</v>
      </c>
      <c r="E2055" s="34" t="str">
        <f>HYPERLINK(AB2 &amp; "/pencil/sn_d601a8cf9922742c94fa0147cd777a8d/rendering/02.obj", "0.808692395687")</f>
        <v>0.808692395687</v>
      </c>
      <c r="F2055" s="31" t="str">
        <f>HYPERLINK(AB2 &amp; "/pencil/sn_d601a8cf9922742c94fa0147cd777a8d/rendering/03.obj", "0.717429935932")</f>
        <v>0.717429935932</v>
      </c>
      <c r="G2055" s="10" t="str">
        <f>HYPERLINK(AB2 &amp; "/pencil/sn_d601a8cf9922742c94fa0147cd777a8d/rendering/04.obj", "0.802001476288")</f>
        <v>0.802001476288</v>
      </c>
      <c r="H2055" s="86" t="str">
        <f>HYPERLINK(AB2 &amp; "/pencil/sn_d601a8cf9922742c94fa0147cd777a8d/rendering/05.obj", "1.07602024078")</f>
        <v>1.07602024078</v>
      </c>
      <c r="I2055" s="72" t="str">
        <f>HYPERLINK(AB2 &amp; "/pencil/sn_d601a8cf9922742c94fa0147cd777a8d/rendering/06.obj", "0.877344548702")</f>
        <v>0.877344548702</v>
      </c>
      <c r="J2055" s="29" t="str">
        <f>HYPERLINK(AB2 &amp; "/pencil/sn_d601a8cf9922742c94fa0147cd777a8d/rendering/07.obj", "0.958515286446")</f>
        <v>0.958515286446</v>
      </c>
      <c r="K2055" s="91" t="str">
        <f>HYPERLINK(AB2 &amp; "/pencil/sn_d601a8cf9922742c94fa0147cd777a8d/rendering/08.obj", "0.871763408184")</f>
        <v>0.871763408184</v>
      </c>
      <c r="L2055" s="51" t="str">
        <f>HYPERLINK(AB2 &amp; "/pencil/sn_d601a8cf9922742c94fa0147cd777a8d/rendering/09.obj", "0.7811601758")</f>
        <v>0.7811601758</v>
      </c>
      <c r="M2055" s="84" t="str">
        <f>HYPERLINK(AB2 &amp; "/pencil/sn_d601a8cf9922742c94fa0147cd777a8d/rendering/10.obj", "0.725102066994")</f>
        <v>0.725102066994</v>
      </c>
      <c r="N2055" s="8" t="str">
        <f>HYPERLINK(AB2 &amp; "/pencil/sn_d601a8cf9922742c94fa0147cd777a8d/rendering/11.obj", "0.729049146175")</f>
        <v>0.729049146175</v>
      </c>
      <c r="O2055" s="32" t="str">
        <f>HYPERLINK(AB2 &amp; "/pencil/sn_d601a8cf9922742c94fa0147cd777a8d/rendering/12.obj", "0.760337173939")</f>
        <v>0.760337173939</v>
      </c>
      <c r="P2055" s="29" t="str">
        <f>HYPERLINK(AB2 &amp; "/pencil/sn_d601a8cf9922742c94fa0147cd777a8d/rendering/13.obj", "0.738617479801")</f>
        <v>0.738617479801</v>
      </c>
      <c r="Q2055" s="34" t="str">
        <f>HYPERLINK(AB2 &amp; "/pencil/sn_d601a8cf9922742c94fa0147cd777a8d/rendering/14.obj", "0.807861804962")</f>
        <v>0.807861804962</v>
      </c>
      <c r="R2055" s="39" t="str">
        <f>HYPERLINK(AB2 &amp; "/pencil/sn_d601a8cf9922742c94fa0147cd777a8d/rendering/15.obj", "0.775879323483")</f>
        <v>0.775879323483</v>
      </c>
      <c r="S2055" s="25" t="str">
        <f>HYPERLINK(AB2 &amp; "/pencil/sn_d601a8cf9922742c94fa0147cd777a8d/rendering/16.obj", "0.839982569218")</f>
        <v>0.839982569218</v>
      </c>
      <c r="T2055" s="14" t="str">
        <f>HYPERLINK(AB2 &amp; "/pencil/sn_d601a8cf9922742c94fa0147cd777a8d/rendering/17.obj", "1.09528326988")</f>
        <v>1.09528326988</v>
      </c>
      <c r="U2055" s="94" t="str">
        <f>HYPERLINK(AB2 &amp; "/pencil/sn_d601a8cf9922742c94fa0147cd777a8d/rendering/18.obj", "0.787526071072")</f>
        <v>0.787526071072</v>
      </c>
      <c r="V2055" s="10" t="str">
        <f>HYPERLINK(AB2 &amp; "/pencil/sn_d601a8cf9922742c94fa0147cd777a8d/rendering/19.obj", "0.801394343376")</f>
        <v>0.801394343376</v>
      </c>
      <c r="W2055" s="12" t="s">
        <v>32</v>
      </c>
      <c r="X2055" s="13">
        <v>0.8488942891359329</v>
      </c>
      <c r="Y2055" s="13">
        <v>0.11562819925775911</v>
      </c>
      <c r="Z2055" s="42">
        <v>0.13621036298342171</v>
      </c>
    </row>
    <row r="2056" spans="1:26" x14ac:dyDescent="0.2">
      <c r="A2056" s="1">
        <v>2054</v>
      </c>
      <c r="B2056" s="2" t="s">
        <v>443</v>
      </c>
      <c r="C2056" s="13" t="str">
        <f>HYPERLINK(AC2 &amp; "/pencil/sn_d601a8cf9922742c94fa0147cd777a8d/rendering/00.xyz", "0.0")</f>
        <v>0.0</v>
      </c>
      <c r="D2056" s="13" t="str">
        <f>HYPERLINK(AC2 &amp; "/pencil/sn_d601a8cf9922742c94fa0147cd777a8d/rendering/01.xyz", "0.0")</f>
        <v>0.0</v>
      </c>
      <c r="E2056" s="13" t="str">
        <f>HYPERLINK(AC2 &amp; "/pencil/sn_d601a8cf9922742c94fa0147cd777a8d/rendering/02.xyz", "0.0")</f>
        <v>0.0</v>
      </c>
      <c r="F2056" s="13" t="str">
        <f>HYPERLINK(AC2 &amp; "/pencil/sn_d601a8cf9922742c94fa0147cd777a8d/rendering/03.xyz", "0.0")</f>
        <v>0.0</v>
      </c>
      <c r="G2056" s="13" t="str">
        <f>HYPERLINK(AC2 &amp; "/pencil/sn_d601a8cf9922742c94fa0147cd777a8d/rendering/04.xyz", "0.0")</f>
        <v>0.0</v>
      </c>
      <c r="H2056" s="13" t="str">
        <f>HYPERLINK(AC2 &amp; "/pencil/sn_d601a8cf9922742c94fa0147cd777a8d/rendering/05.xyz", "0.0")</f>
        <v>0.0</v>
      </c>
      <c r="I2056" s="13" t="str">
        <f>HYPERLINK(AC2 &amp; "/pencil/sn_d601a8cf9922742c94fa0147cd777a8d/rendering/06.xyz", "0.0")</f>
        <v>0.0</v>
      </c>
      <c r="J2056" s="13" t="str">
        <f>HYPERLINK(AC2 &amp; "/pencil/sn_d601a8cf9922742c94fa0147cd777a8d/rendering/07.xyz", "0.0")</f>
        <v>0.0</v>
      </c>
      <c r="K2056" s="13" t="str">
        <f>HYPERLINK(AC2 &amp; "/pencil/sn_d601a8cf9922742c94fa0147cd777a8d/rendering/08.xyz", "0.0")</f>
        <v>0.0</v>
      </c>
      <c r="L2056" s="13" t="str">
        <f>HYPERLINK(AC2 &amp; "/pencil/sn_d601a8cf9922742c94fa0147cd777a8d/rendering/09.xyz", "0.0")</f>
        <v>0.0</v>
      </c>
      <c r="M2056" s="13" t="str">
        <f>HYPERLINK(AC2 &amp; "/pencil/sn_d601a8cf9922742c94fa0147cd777a8d/rendering/10.xyz", "0.0")</f>
        <v>0.0</v>
      </c>
      <c r="N2056" s="13" t="str">
        <f>HYPERLINK(AC2 &amp; "/pencil/sn_d601a8cf9922742c94fa0147cd777a8d/rendering/11.xyz", "0.0")</f>
        <v>0.0</v>
      </c>
      <c r="O2056" s="13" t="str">
        <f>HYPERLINK(AC2 &amp; "/pencil/sn_d601a8cf9922742c94fa0147cd777a8d/rendering/12.xyz", "0.0")</f>
        <v>0.0</v>
      </c>
      <c r="P2056" s="13" t="str">
        <f>HYPERLINK(AC2 &amp; "/pencil/sn_d601a8cf9922742c94fa0147cd777a8d/rendering/13.xyz", "0.0")</f>
        <v>0.0</v>
      </c>
      <c r="Q2056" s="13" t="str">
        <f>HYPERLINK(AC2 &amp; "/pencil/sn_d601a8cf9922742c94fa0147cd777a8d/rendering/14.xyz", "0.0")</f>
        <v>0.0</v>
      </c>
      <c r="R2056" s="13" t="str">
        <f>HYPERLINK(AC2 &amp; "/pencil/sn_d601a8cf9922742c94fa0147cd777a8d/rendering/15.xyz", "0.0")</f>
        <v>0.0</v>
      </c>
      <c r="S2056" s="13" t="str">
        <f>HYPERLINK(AC2 &amp; "/pencil/sn_d601a8cf9922742c94fa0147cd777a8d/rendering/16.xyz", "0.0")</f>
        <v>0.0</v>
      </c>
      <c r="T2056" s="13" t="str">
        <f>HYPERLINK(AC2 &amp; "/pencil/sn_d601a8cf9922742c94fa0147cd777a8d/rendering/17.xyz", "0.0")</f>
        <v>0.0</v>
      </c>
      <c r="U2056" s="13" t="str">
        <f>HYPERLINK(AC2 &amp; "/pencil/sn_d601a8cf9922742c94fa0147cd777a8d/rendering/18.xyz", "0.0")</f>
        <v>0.0</v>
      </c>
      <c r="V2056" s="13" t="str">
        <f>HYPERLINK(AC2 &amp; "/pencil/sn_d601a8cf9922742c94fa0147cd777a8d/rendering/19.xyz", "0.0")</f>
        <v>0.0</v>
      </c>
      <c r="W2056" s="12" t="s">
        <v>33</v>
      </c>
      <c r="X2056" s="13">
        <v>0</v>
      </c>
      <c r="Y2056" s="13">
        <v>0</v>
      </c>
      <c r="Z2056" s="13">
        <v>0</v>
      </c>
    </row>
    <row r="2057" spans="1:26" x14ac:dyDescent="0.2">
      <c r="A2057" s="1">
        <v>2055</v>
      </c>
      <c r="B2057" s="2" t="s">
        <v>444</v>
      </c>
      <c r="C2057" s="67" t="str">
        <f>HYPERLINK(AA2 &amp; "/pencil/sn_d63577a934d735342f326690bb37e976/rendering/00.obj", "5.24671447754")</f>
        <v>5.24671447754</v>
      </c>
      <c r="D2057" s="34" t="str">
        <f>HYPERLINK(AA2 &amp; "/pencil/sn_d63577a934d735342f326690bb37e976/rendering/01.obj", "4.56756469727")</f>
        <v>4.56756469727</v>
      </c>
      <c r="E2057" s="90" t="str">
        <f>HYPERLINK(AA2 &amp; "/pencil/sn_d63577a934d735342f326690bb37e976/rendering/02.obj", "5.27098510742")</f>
        <v>5.27098510742</v>
      </c>
      <c r="F2057" s="27" t="str">
        <f>HYPERLINK(AA2 &amp; "/pencil/sn_d63577a934d735342f326690bb37e976/rendering/03.obj", "5.14275878906")</f>
        <v>5.14275878906</v>
      </c>
      <c r="G2057" s="10" t="str">
        <f>HYPERLINK(AA2 &amp; "/pencil/sn_d63577a934d735342f326690bb37e976/rendering/04.obj", "4.5380255127")</f>
        <v>4.5380255127</v>
      </c>
      <c r="H2057" s="67" t="str">
        <f>HYPERLINK(AA2 &amp; "/pencil/sn_d63577a934d735342f326690bb37e976/rendering/05.obj", "4.35991271973")</f>
        <v>4.35991271973</v>
      </c>
      <c r="I2057" s="73" t="str">
        <f>HYPERLINK(AA2 &amp; "/pencil/sn_d63577a934d735342f326690bb37e976/rendering/06.obj", "4.63816497803")</f>
        <v>4.63816497803</v>
      </c>
      <c r="J2057" s="51" t="str">
        <f>HYPERLINK(AA2 &amp; "/pencil/sn_d63577a934d735342f326690bb37e976/rendering/07.obj", "4.42692565918")</f>
        <v>4.42692565918</v>
      </c>
      <c r="K2057" s="49" t="str">
        <f>HYPERLINK(AA2 &amp; "/pencil/sn_d63577a934d735342f326690bb37e976/rendering/08.obj", "5.81527587891")</f>
        <v>5.81527587891</v>
      </c>
      <c r="L2057" s="109" t="str">
        <f>HYPERLINK(AA2 &amp; "/pencil/sn_d63577a934d735342f326690bb37e976/rendering/09.obj", "5.71924682617")</f>
        <v>5.71924682617</v>
      </c>
      <c r="M2057" s="17" t="str">
        <f>HYPERLINK(AA2 &amp; "/pencil/sn_d63577a934d735342f326690bb37e976/rendering/10.obj", "4.90902130127")</f>
        <v>4.90902130127</v>
      </c>
      <c r="N2057" s="32" t="str">
        <f>HYPERLINK(AA2 &amp; "/pencil/sn_d63577a934d735342f326690bb37e976/rendering/11.obj", "4.30467987061")</f>
        <v>4.30467987061</v>
      </c>
      <c r="O2057" s="107" t="str">
        <f>HYPERLINK(AA2 &amp; "/pencil/sn_d63577a934d735342f326690bb37e976/rendering/12.obj", "4.40754486084")</f>
        <v>4.40754486084</v>
      </c>
      <c r="P2057" s="30" t="str">
        <f>HYPERLINK(AA2 &amp; "/pencil/sn_d63577a934d735342f326690bb37e976/rendering/13.obj", "4.83405761719")</f>
        <v>4.83405761719</v>
      </c>
      <c r="Q2057" s="78" t="str">
        <f>HYPERLINK(AA2 &amp; "/pencil/sn_d63577a934d735342f326690bb37e976/rendering/14.obj", "4.51238006592")</f>
        <v>4.51238006592</v>
      </c>
      <c r="R2057" s="6" t="str">
        <f>HYPERLINK(AA2 &amp; "/pencil/sn_d63577a934d735342f326690bb37e976/rendering/15.obj", "4.5933984375")</f>
        <v>4.5933984375</v>
      </c>
      <c r="S2057" s="47" t="str">
        <f>HYPERLINK(AA2 &amp; "/pencil/sn_d63577a934d735342f326690bb37e976/rendering/16.obj", "4.76834960937")</f>
        <v>4.76834960937</v>
      </c>
      <c r="T2057" s="48" t="str">
        <f>HYPERLINK(AA2 &amp; "/pencil/sn_d63577a934d735342f326690bb37e976/rendering/17.obj", "4.7006036377")</f>
        <v>4.7006036377</v>
      </c>
      <c r="U2057" s="17" t="str">
        <f>HYPERLINK(AA2 &amp; "/pencil/sn_d63577a934d735342f326690bb37e976/rendering/18.obj", "4.91258605957")</f>
        <v>4.91258605957</v>
      </c>
      <c r="V2057" s="41" t="str">
        <f>HYPERLINK(AA2 &amp; "/pencil/sn_d63577a934d735342f326690bb37e976/rendering/19.obj", "4.47965026855")</f>
        <v>4.47965026855</v>
      </c>
      <c r="W2057" s="12" t="s">
        <v>29</v>
      </c>
      <c r="X2057" s="13">
        <v>4.8073923187255856</v>
      </c>
      <c r="Y2057" s="13">
        <v>0.4218577347599386</v>
      </c>
      <c r="Z2057" s="39">
        <v>8.7751884346266726E-2</v>
      </c>
    </row>
    <row r="2058" spans="1:26" x14ac:dyDescent="0.2">
      <c r="A2058" s="1">
        <v>2056</v>
      </c>
      <c r="B2058" s="2" t="s">
        <v>444</v>
      </c>
      <c r="C2058" s="17" t="str">
        <f>HYPERLINK(AA2 &amp; "/pencil/sn_d63577a934d735342f326690bb37e976/rendering/00.obj", "1.70578765869")</f>
        <v>1.70578765869</v>
      </c>
      <c r="D2058" s="61" t="str">
        <f>HYPERLINK(AA2 &amp; "/pencil/sn_d63577a934d735342f326690bb37e976/rendering/01.obj", "1.21617496014")</f>
        <v>1.21617496014</v>
      </c>
      <c r="E2058" s="149" t="str">
        <f>HYPERLINK(AA2 &amp; "/pencil/sn_d63577a934d735342f326690bb37e976/rendering/02.obj", "2.343095541")</f>
        <v>2.343095541</v>
      </c>
      <c r="F2058" s="109" t="str">
        <f>HYPERLINK(AA2 &amp; "/pencil/sn_d63577a934d735342f326690bb37e976/rendering/03.obj", "2.07546567917")</f>
        <v>2.07546567917</v>
      </c>
      <c r="G2058" s="4" t="str">
        <f>HYPERLINK(AA2 &amp; "/pencil/sn_d63577a934d735342f326690bb37e976/rendering/04.obj", "1.24691772461")</f>
        <v>1.24691772461</v>
      </c>
      <c r="H2058" s="175" t="str">
        <f>HYPERLINK(AA2 &amp; "/pencil/sn_d63577a934d735342f326690bb37e976/rendering/05.obj", "1.33668279648")</f>
        <v>1.33668279648</v>
      </c>
      <c r="I2058" s="54" t="str">
        <f>HYPERLINK(AA2 &amp; "/pencil/sn_d63577a934d735342f326690bb37e976/rendering/06.obj", "1.17040205002")</f>
        <v>1.17040205002</v>
      </c>
      <c r="J2058" s="119" t="str">
        <f>HYPERLINK(AA2 &amp; "/pencil/sn_d63577a934d735342f326690bb37e976/rendering/07.obj", "1.28274810314")</f>
        <v>1.28274810314</v>
      </c>
      <c r="K2058" s="61" t="str">
        <f>HYPERLINK(AA2 &amp; "/pencil/sn_d63577a934d735342f326690bb37e976/rendering/08.obj", "2.2708272934")</f>
        <v>2.2708272934</v>
      </c>
      <c r="L2058" s="20" t="str">
        <f>HYPERLINK(AA2 &amp; "/pencil/sn_d63577a934d735342f326690bb37e976/rendering/09.obj", "4.15365695953")</f>
        <v>4.15365695953</v>
      </c>
      <c r="M2058" s="71" t="str">
        <f>HYPERLINK(AA2 &amp; "/pencil/sn_d63577a934d735342f326690bb37e976/rendering/10.obj", "1.94940328598")</f>
        <v>1.94940328598</v>
      </c>
      <c r="N2058" s="59" t="str">
        <f>HYPERLINK(AA2 &amp; "/pencil/sn_d63577a934d735342f326690bb37e976/rendering/11.obj", "1.32613062859")</f>
        <v>1.32613062859</v>
      </c>
      <c r="O2058" s="36" t="str">
        <f>HYPERLINK(AA2 &amp; "/pencil/sn_d63577a934d735342f326690bb37e976/rendering/12.obj", "1.36693561077")</f>
        <v>1.36693561077</v>
      </c>
      <c r="P2058" s="10" t="str">
        <f>HYPERLINK(AA2 &amp; "/pencil/sn_d63577a934d735342f326690bb37e976/rendering/13.obj", "1.8421356678")</f>
        <v>1.8421356678</v>
      </c>
      <c r="Q2058" s="4" t="str">
        <f>HYPERLINK(AA2 &amp; "/pencil/sn_d63577a934d735342f326690bb37e976/rendering/14.obj", "1.24627280235")</f>
        <v>1.24627280235</v>
      </c>
      <c r="R2058" s="29" t="str">
        <f>HYPERLINK(AA2 &amp; "/pencil/sn_d63577a934d735342f326690bb37e976/rendering/15.obj", "1.97183251381")</f>
        <v>1.97183251381</v>
      </c>
      <c r="S2058" s="93" t="str">
        <f>HYPERLINK(AA2 &amp; "/pencil/sn_d63577a934d735342f326690bb37e976/rendering/16.obj", "1.49900686741")</f>
        <v>1.49900686741</v>
      </c>
      <c r="T2058" s="81" t="str">
        <f>HYPERLINK(AA2 &amp; "/pencil/sn_d63577a934d735342f326690bb37e976/rendering/17.obj", "2.12284612656")</f>
        <v>2.12284612656</v>
      </c>
      <c r="U2058" s="80" t="str">
        <f>HYPERLINK(AA2 &amp; "/pencil/sn_d63577a934d735342f326690bb37e976/rendering/18.obj", "1.48154699802")</f>
        <v>1.48154699802</v>
      </c>
      <c r="V2058" s="99" t="str">
        <f>HYPERLINK(AA2 &amp; "/pencil/sn_d63577a934d735342f326690bb37e976/rendering/19.obj", "1.2702703476")</f>
        <v>1.2702703476</v>
      </c>
      <c r="W2058" s="12" t="s">
        <v>30</v>
      </c>
      <c r="X2058" s="13">
        <v>1.743906980752945</v>
      </c>
      <c r="Y2058" s="13">
        <v>0.66905548371956158</v>
      </c>
      <c r="Z2058" s="172">
        <v>0.3836531942951979</v>
      </c>
    </row>
    <row r="2059" spans="1:26" x14ac:dyDescent="0.2">
      <c r="A2059" s="1">
        <v>2057</v>
      </c>
      <c r="B2059" s="2" t="s">
        <v>444</v>
      </c>
      <c r="C2059" s="69" t="str">
        <f>HYPERLINK(AB2 &amp; "/pencil/sn_d63577a934d735342f326690bb37e976/rendering/00.obj", "4.48779174805")</f>
        <v>4.48779174805</v>
      </c>
      <c r="D2059" s="30" t="str">
        <f>HYPERLINK(AB2 &amp; "/pencil/sn_d63577a934d735342f326690bb37e976/rendering/01.obj", "4.3826159668")</f>
        <v>4.3826159668</v>
      </c>
      <c r="E2059" s="94" t="str">
        <f>HYPERLINK(AB2 &amp; "/pencil/sn_d63577a934d735342f326690bb37e976/rendering/02.obj", "4.68043426514")</f>
        <v>4.68043426514</v>
      </c>
      <c r="F2059" s="69" t="str">
        <f>HYPERLINK(AB2 &amp; "/pencil/sn_d63577a934d735342f326690bb37e976/rendering/03.obj", "4.49151763916")</f>
        <v>4.49151763916</v>
      </c>
      <c r="G2059" s="26" t="str">
        <f>HYPERLINK(AB2 &amp; "/pencil/sn_d63577a934d735342f326690bb37e976/rendering/04.obj", "4.6420135498")</f>
        <v>4.6420135498</v>
      </c>
      <c r="H2059" s="91" t="str">
        <f>HYPERLINK(AB2 &amp; "/pencil/sn_d63577a934d735342f326690bb37e976/rendering/05.obj", "4.47856445313")</f>
        <v>4.47856445313</v>
      </c>
      <c r="I2059" s="91" t="str">
        <f>HYPERLINK(AB2 &amp; "/pencil/sn_d63577a934d735342f326690bb37e976/rendering/06.obj", "4.24434112549")</f>
        <v>4.24434112549</v>
      </c>
      <c r="J2059" s="60" t="str">
        <f>HYPERLINK(AB2 &amp; "/pencil/sn_d63577a934d735342f326690bb37e976/rendering/07.obj", "4.12823638916")</f>
        <v>4.12823638916</v>
      </c>
      <c r="K2059" s="5" t="str">
        <f>HYPERLINK(AB2 &amp; "/pencil/sn_d63577a934d735342f326690bb37e976/rendering/08.obj", "4.01698394775")</f>
        <v>4.01698394775</v>
      </c>
      <c r="L2059" s="91" t="str">
        <f>HYPERLINK(AB2 &amp; "/pencil/sn_d63577a934d735342f326690bb37e976/rendering/09.obj", "4.24454071045")</f>
        <v>4.24454071045</v>
      </c>
      <c r="M2059" s="78" t="str">
        <f>HYPERLINK(AB2 &amp; "/pencil/sn_d63577a934d735342f326690bb37e976/rendering/10.obj", "4.62713928223")</f>
        <v>4.62713928223</v>
      </c>
      <c r="N2059" s="107" t="str">
        <f>HYPERLINK(AB2 &amp; "/pencil/sn_d63577a934d735342f326690bb37e976/rendering/11.obj", "4.7161920166")</f>
        <v>4.7161920166</v>
      </c>
      <c r="O2059" s="47" t="str">
        <f>HYPERLINK(AB2 &amp; "/pencil/sn_d63577a934d735342f326690bb37e976/rendering/12.obj", "4.3286730957")</f>
        <v>4.3286730957</v>
      </c>
      <c r="P2059" s="74" t="str">
        <f>HYPERLINK(AB2 &amp; "/pencil/sn_d63577a934d735342f326690bb37e976/rendering/13.obj", "4.29662506104")</f>
        <v>4.29662506104</v>
      </c>
      <c r="Q2059" s="69" t="str">
        <f>HYPERLINK(AB2 &amp; "/pencil/sn_d63577a934d735342f326690bb37e976/rendering/14.obj", "4.22986633301")</f>
        <v>4.22986633301</v>
      </c>
      <c r="R2059" s="30" t="str">
        <f>HYPERLINK(AB2 &amp; "/pencil/sn_d63577a934d735342f326690bb37e976/rendering/15.obj", "4.33781768799")</f>
        <v>4.33781768799</v>
      </c>
      <c r="S2059" s="69" t="str">
        <f>HYPERLINK(AB2 &amp; "/pencil/sn_d63577a934d735342f326690bb37e976/rendering/16.obj", "4.2308505249")</f>
        <v>4.2308505249</v>
      </c>
      <c r="T2059" s="46" t="str">
        <f>HYPERLINK(AB2 &amp; "/pencil/sn_d63577a934d735342f326690bb37e976/rendering/17.obj", "4.2869934082")</f>
        <v>4.2869934082</v>
      </c>
      <c r="U2059" s="5" t="str">
        <f>HYPERLINK(AB2 &amp; "/pencil/sn_d63577a934d735342f326690bb37e976/rendering/18.obj", "4.01857116699")</f>
        <v>4.01857116699</v>
      </c>
      <c r="V2059" s="48" t="str">
        <f>HYPERLINK(AB2 &amp; "/pencil/sn_d63577a934d735342f326690bb37e976/rendering/19.obj", "4.25734771729")</f>
        <v>4.25734771729</v>
      </c>
      <c r="W2059" s="12" t="s">
        <v>31</v>
      </c>
      <c r="X2059" s="13">
        <v>4.3563558044433597</v>
      </c>
      <c r="Y2059" s="13">
        <v>0.19975039633206901</v>
      </c>
      <c r="Z2059" s="6">
        <v>4.5852635849516543E-2</v>
      </c>
    </row>
    <row r="2060" spans="1:26" x14ac:dyDescent="0.2">
      <c r="A2060" s="1">
        <v>2058</v>
      </c>
      <c r="B2060" s="2" t="s">
        <v>444</v>
      </c>
      <c r="C2060" s="149" t="str">
        <f>HYPERLINK(AB2 &amp; "/pencil/sn_d63577a934d735342f326690bb37e976/rendering/00.obj", "1.69890189171")</f>
        <v>1.69890189171</v>
      </c>
      <c r="D2060" s="26" t="str">
        <f>HYPERLINK(AB2 &amp; "/pencil/sn_d63577a934d735342f326690bb37e976/rendering/01.obj", "1.18364620209")</f>
        <v>1.18364620209</v>
      </c>
      <c r="E2060" s="74" t="str">
        <f>HYPERLINK(AB2 &amp; "/pencil/sn_d63577a934d735342f326690bb37e976/rendering/02.obj", "1.24648463726")</f>
        <v>1.24648463726</v>
      </c>
      <c r="F2060" s="10" t="str">
        <f>HYPERLINK(AB2 &amp; "/pencil/sn_d63577a934d735342f326690bb37e976/rendering/03.obj", "1.33492767811")</f>
        <v>1.33492767811</v>
      </c>
      <c r="G2060" s="84" t="str">
        <f>HYPERLINK(AB2 &amp; "/pencil/sn_d63577a934d735342f326690bb37e976/rendering/04.obj", "1.08081519604")</f>
        <v>1.08081519604</v>
      </c>
      <c r="H2060" s="28" t="str">
        <f>HYPERLINK(AB2 &amp; "/pencil/sn_d63577a934d735342f326690bb37e976/rendering/05.obj", "1.12343788147")</f>
        <v>1.12343788147</v>
      </c>
      <c r="I2060" s="17" t="str">
        <f>HYPERLINK(AB2 &amp; "/pencil/sn_d63577a934d735342f326690bb37e976/rendering/06.obj", "1.29237365723")</f>
        <v>1.29237365723</v>
      </c>
      <c r="J2060" s="79" t="str">
        <f>HYPERLINK(AB2 &amp; "/pencil/sn_d63577a934d735342f326690bb37e976/rendering/07.obj", "1.46717834473")</f>
        <v>1.46717834473</v>
      </c>
      <c r="K2060" s="27" t="str">
        <f>HYPERLINK(AB2 &amp; "/pencil/sn_d63577a934d735342f326690bb37e976/rendering/08.obj", "1.35493218899")</f>
        <v>1.35493218899</v>
      </c>
      <c r="L2060" s="6" t="str">
        <f>HYPERLINK(AB2 &amp; "/pencil/sn_d63577a934d735342f326690bb37e976/rendering/09.obj", "1.32482886314")</f>
        <v>1.32482886314</v>
      </c>
      <c r="M2060" s="58" t="str">
        <f>HYPERLINK(AB2 &amp; "/pencil/sn_d63577a934d735342f326690bb37e976/rendering/10.obj", "1.57315683365")</f>
        <v>1.57315683365</v>
      </c>
      <c r="N2060" s="38" t="str">
        <f>HYPERLINK(AB2 &amp; "/pencil/sn_d63577a934d735342f326690bb37e976/rendering/11.obj", "1.15122270584")</f>
        <v>1.15122270584</v>
      </c>
      <c r="O2060" s="79" t="str">
        <f>HYPERLINK(AB2 &amp; "/pencil/sn_d63577a934d735342f326690bb37e976/rendering/12.obj", "1.06524050236")</f>
        <v>1.06524050236</v>
      </c>
      <c r="P2060" s="13" t="str">
        <f>HYPERLINK(AB2 &amp; "/pencil/sn_d63577a934d735342f326690bb37e976/rendering/13.obj", "1.26546573639")</f>
        <v>1.26546573639</v>
      </c>
      <c r="Q2060" s="73" t="str">
        <f>HYPERLINK(AB2 &amp; "/pencil/sn_d63577a934d735342f326690bb37e976/rendering/14.obj", "1.2178196907")</f>
        <v>1.2178196907</v>
      </c>
      <c r="R2060" s="39" t="str">
        <f>HYPERLINK(AB2 &amp; "/pencil/sn_d63577a934d735342f326690bb37e976/rendering/15.obj", "1.15636825562")</f>
        <v>1.15636825562</v>
      </c>
      <c r="S2060" s="5" t="str">
        <f>HYPERLINK(AB2 &amp; "/pencil/sn_d63577a934d735342f326690bb37e976/rendering/16.obj", "1.16916358471")</f>
        <v>1.16916358471</v>
      </c>
      <c r="T2060" s="23" t="str">
        <f>HYPERLINK(AB2 &amp; "/pencil/sn_d63577a934d735342f326690bb37e976/rendering/17.obj", "1.21734976768")</f>
        <v>1.21734976768</v>
      </c>
      <c r="U2060" s="6" t="str">
        <f>HYPERLINK(AB2 &amp; "/pencil/sn_d63577a934d735342f326690bb37e976/rendering/18.obj", "1.20853567123")</f>
        <v>1.20853567123</v>
      </c>
      <c r="V2060" s="27" t="str">
        <f>HYPERLINK(AB2 &amp; "/pencil/sn_d63577a934d735342f326690bb37e976/rendering/19.obj", "1.17717885971")</f>
        <v>1.17717885971</v>
      </c>
      <c r="W2060" s="12" t="s">
        <v>32</v>
      </c>
      <c r="X2060" s="13">
        <v>1.265451407432556</v>
      </c>
      <c r="Y2060" s="13">
        <v>0.15677487632053261</v>
      </c>
      <c r="Z2060" s="92">
        <v>0.1238884997082656</v>
      </c>
    </row>
    <row r="2061" spans="1:26" x14ac:dyDescent="0.2">
      <c r="A2061" s="1">
        <v>2059</v>
      </c>
      <c r="B2061" s="2" t="s">
        <v>444</v>
      </c>
      <c r="C2061" s="13" t="str">
        <f>HYPERLINK(AC2 &amp; "/pencil/sn_d63577a934d735342f326690bb37e976/rendering/00.xyz", "0.0")</f>
        <v>0.0</v>
      </c>
      <c r="D2061" s="13" t="str">
        <f>HYPERLINK(AC2 &amp; "/pencil/sn_d63577a934d735342f326690bb37e976/rendering/01.xyz", "0.0")</f>
        <v>0.0</v>
      </c>
      <c r="E2061" s="13" t="str">
        <f>HYPERLINK(AC2 &amp; "/pencil/sn_d63577a934d735342f326690bb37e976/rendering/02.xyz", "0.0")</f>
        <v>0.0</v>
      </c>
      <c r="F2061" s="13" t="str">
        <f>HYPERLINK(AC2 &amp; "/pencil/sn_d63577a934d735342f326690bb37e976/rendering/03.xyz", "0.0")</f>
        <v>0.0</v>
      </c>
      <c r="G2061" s="13" t="str">
        <f>HYPERLINK(AC2 &amp; "/pencil/sn_d63577a934d735342f326690bb37e976/rendering/04.xyz", "0.0")</f>
        <v>0.0</v>
      </c>
      <c r="H2061" s="13" t="str">
        <f>HYPERLINK(AC2 &amp; "/pencil/sn_d63577a934d735342f326690bb37e976/rendering/05.xyz", "0.0")</f>
        <v>0.0</v>
      </c>
      <c r="I2061" s="13" t="str">
        <f>HYPERLINK(AC2 &amp; "/pencil/sn_d63577a934d735342f326690bb37e976/rendering/06.xyz", "0.0")</f>
        <v>0.0</v>
      </c>
      <c r="J2061" s="13" t="str">
        <f>HYPERLINK(AC2 &amp; "/pencil/sn_d63577a934d735342f326690bb37e976/rendering/07.xyz", "0.0")</f>
        <v>0.0</v>
      </c>
      <c r="K2061" s="13" t="str">
        <f>HYPERLINK(AC2 &amp; "/pencil/sn_d63577a934d735342f326690bb37e976/rendering/08.xyz", "0.0")</f>
        <v>0.0</v>
      </c>
      <c r="L2061" s="13" t="str">
        <f>HYPERLINK(AC2 &amp; "/pencil/sn_d63577a934d735342f326690bb37e976/rendering/09.xyz", "0.0")</f>
        <v>0.0</v>
      </c>
      <c r="M2061" s="13" t="str">
        <f>HYPERLINK(AC2 &amp; "/pencil/sn_d63577a934d735342f326690bb37e976/rendering/10.xyz", "0.0")</f>
        <v>0.0</v>
      </c>
      <c r="N2061" s="13" t="str">
        <f>HYPERLINK(AC2 &amp; "/pencil/sn_d63577a934d735342f326690bb37e976/rendering/11.xyz", "0.0")</f>
        <v>0.0</v>
      </c>
      <c r="O2061" s="13" t="str">
        <f>HYPERLINK(AC2 &amp; "/pencil/sn_d63577a934d735342f326690bb37e976/rendering/12.xyz", "0.0")</f>
        <v>0.0</v>
      </c>
      <c r="P2061" s="13" t="str">
        <f>HYPERLINK(AC2 &amp; "/pencil/sn_d63577a934d735342f326690bb37e976/rendering/13.xyz", "0.0")</f>
        <v>0.0</v>
      </c>
      <c r="Q2061" s="13" t="str">
        <f>HYPERLINK(AC2 &amp; "/pencil/sn_d63577a934d735342f326690bb37e976/rendering/14.xyz", "0.0")</f>
        <v>0.0</v>
      </c>
      <c r="R2061" s="13" t="str">
        <f>HYPERLINK(AC2 &amp; "/pencil/sn_d63577a934d735342f326690bb37e976/rendering/15.xyz", "0.0")</f>
        <v>0.0</v>
      </c>
      <c r="S2061" s="13" t="str">
        <f>HYPERLINK(AC2 &amp; "/pencil/sn_d63577a934d735342f326690bb37e976/rendering/16.xyz", "0.0")</f>
        <v>0.0</v>
      </c>
      <c r="T2061" s="13" t="str">
        <f>HYPERLINK(AC2 &amp; "/pencil/sn_d63577a934d735342f326690bb37e976/rendering/17.xyz", "0.0")</f>
        <v>0.0</v>
      </c>
      <c r="U2061" s="13" t="str">
        <f>HYPERLINK(AC2 &amp; "/pencil/sn_d63577a934d735342f326690bb37e976/rendering/18.xyz", "0.0")</f>
        <v>0.0</v>
      </c>
      <c r="V2061" s="13" t="str">
        <f>HYPERLINK(AC2 &amp; "/pencil/sn_d63577a934d735342f326690bb37e976/rendering/19.xyz", "0.0")</f>
        <v>0.0</v>
      </c>
      <c r="W2061" s="12" t="s">
        <v>33</v>
      </c>
      <c r="X2061" s="13">
        <v>0</v>
      </c>
      <c r="Y2061" s="13">
        <v>0</v>
      </c>
      <c r="Z2061" s="13">
        <v>0</v>
      </c>
    </row>
    <row r="2062" spans="1:26" x14ac:dyDescent="0.2">
      <c r="A2062" s="1">
        <v>2060</v>
      </c>
      <c r="B2062" s="2" t="s">
        <v>445</v>
      </c>
      <c r="C2062" s="76" t="str">
        <f>HYPERLINK(AA2 &amp; "/pencil/sn_d7c7c62a7ab759f01ca45e6b47877f54/rendering/00.obj", "4.66045135498")</f>
        <v>4.66045135498</v>
      </c>
      <c r="D2062" s="35" t="str">
        <f>HYPERLINK(AA2 &amp; "/pencil/sn_d7c7c62a7ab759f01ca45e6b47877f54/rendering/01.obj", "3.71046478271")</f>
        <v>3.71046478271</v>
      </c>
      <c r="E2062" s="20" t="str">
        <f>HYPERLINK(AA2 &amp; "/pencil/sn_d7c7c62a7ab759f01ca45e6b47877f54/rendering/02.obj", "9.24905883789")</f>
        <v>9.24905883789</v>
      </c>
      <c r="F2062" s="63" t="str">
        <f>HYPERLINK(AA2 &amp; "/pencil/sn_d7c7c62a7ab759f01ca45e6b47877f54/rendering/03.obj", "3.46146911621")</f>
        <v>3.46146911621</v>
      </c>
      <c r="G2062" s="32" t="str">
        <f>HYPERLINK(AA2 &amp; "/pencil/sn_d7c7c62a7ab759f01ca45e6b47877f54/rendering/04.obj", "3.51987731934")</f>
        <v>3.51987731934</v>
      </c>
      <c r="H2062" s="29" t="str">
        <f>HYPERLINK(AA2 &amp; "/pencil/sn_d7c7c62a7ab759f01ca45e6b47877f54/rendering/05.obj", "3.42851013184")</f>
        <v>3.42851013184</v>
      </c>
      <c r="I2062" s="78" t="str">
        <f>HYPERLINK(AA2 &amp; "/pencil/sn_d7c7c62a7ab759f01ca45e6b47877f54/rendering/06.obj", "3.69000396729")</f>
        <v>3.69000396729</v>
      </c>
      <c r="J2062" s="69" t="str">
        <f>HYPERLINK(AA2 &amp; "/pencil/sn_d7c7c62a7ab759f01ca45e6b47877f54/rendering/07.obj", "4.05443450928")</f>
        <v>4.05443450928</v>
      </c>
      <c r="K2062" s="137" t="str">
        <f>HYPERLINK(AA2 &amp; "/pencil/sn_d7c7c62a7ab759f01ca45e6b47877f54/rendering/08.obj", "5.36974731445")</f>
        <v>5.36974731445</v>
      </c>
      <c r="L2062" s="6" t="str">
        <f>HYPERLINK(AA2 &amp; "/pencil/sn_d7c7c62a7ab759f01ca45e6b47877f54/rendering/09.obj", "3.75776855469")</f>
        <v>3.75776855469</v>
      </c>
      <c r="M2062" s="49" t="str">
        <f>HYPERLINK(AA2 &amp; "/pencil/sn_d7c7c62a7ab759f01ca45e6b47877f54/rendering/10.obj", "3.11034790039")</f>
        <v>3.11034790039</v>
      </c>
      <c r="N2062" s="75" t="str">
        <f>HYPERLINK(AA2 &amp; "/pencil/sn_d7c7c62a7ab759f01ca45e6b47877f54/rendering/11.obj", "3.06799377441")</f>
        <v>3.06799377441</v>
      </c>
      <c r="O2062" s="32" t="str">
        <f>HYPERLINK(AA2 &amp; "/pencil/sn_d7c7c62a7ab759f01ca45e6b47877f54/rendering/12.obj", "3.52096588135")</f>
        <v>3.52096588135</v>
      </c>
      <c r="P2062" s="80" t="str">
        <f>HYPERLINK(AA2 &amp; "/pencil/sn_d7c7c62a7ab759f01ca45e6b47877f54/rendering/13.obj", "3.3491418457")</f>
        <v>3.3491418457</v>
      </c>
      <c r="Q2062" s="110" t="str">
        <f>HYPERLINK(AA2 &amp; "/pencil/sn_d7c7c62a7ab759f01ca45e6b47877f54/rendering/14.obj", "4.32438323975")</f>
        <v>4.32438323975</v>
      </c>
      <c r="R2062" s="7" t="str">
        <f>HYPERLINK(AA2 &amp; "/pencil/sn_d7c7c62a7ab759f01ca45e6b47877f54/rendering/15.obj", "2.83716217041")</f>
        <v>2.83716217041</v>
      </c>
      <c r="S2062" s="110" t="str">
        <f>HYPERLINK(AA2 &amp; "/pencil/sn_d7c7c62a7ab759f01ca45e6b47877f54/rendering/16.obj", "3.54311004639")</f>
        <v>3.54311004639</v>
      </c>
      <c r="T2062" s="87" t="str">
        <f>HYPERLINK(AA2 &amp; "/pencil/sn_d7c7c62a7ab759f01ca45e6b47877f54/rendering/17.obj", "3.03762512207")</f>
        <v>3.03762512207</v>
      </c>
      <c r="U2062" s="109" t="str">
        <f>HYPERLINK(AA2 &amp; "/pencil/sn_d7c7c62a7ab759f01ca45e6b47877f54/rendering/18.obj", "3.19375457764")</f>
        <v>3.19375457764</v>
      </c>
      <c r="V2062" s="69" t="str">
        <f>HYPERLINK(AA2 &amp; "/pencil/sn_d7c7c62a7ab759f01ca45e6b47877f54/rendering/19.obj", "3.81155914307")</f>
        <v>3.81155914307</v>
      </c>
      <c r="W2062" s="12" t="s">
        <v>29</v>
      </c>
      <c r="X2062" s="13">
        <v>3.9348914794921881</v>
      </c>
      <c r="Y2062" s="13">
        <v>1.350185535368585</v>
      </c>
      <c r="Z2062" s="149">
        <v>0.34313158124066778</v>
      </c>
    </row>
    <row r="2063" spans="1:26" x14ac:dyDescent="0.2">
      <c r="A2063" s="1">
        <v>2061</v>
      </c>
      <c r="B2063" s="2" t="s">
        <v>445</v>
      </c>
      <c r="C2063" s="176" t="str">
        <f>HYPERLINK(AA2 &amp; "/pencil/sn_d7c7c62a7ab759f01ca45e6b47877f54/rendering/00.obj", "3.09850096703")</f>
        <v>3.09850096703</v>
      </c>
      <c r="D2063" s="140" t="str">
        <f>HYPERLINK(AA2 &amp; "/pencil/sn_d7c7c62a7ab759f01ca45e6b47877f54/rendering/01.obj", "1.53795158863")</f>
        <v>1.53795158863</v>
      </c>
      <c r="E2063" s="20" t="str">
        <f>HYPERLINK(AA2 &amp; "/pencil/sn_d7c7c62a7ab759f01ca45e6b47877f54/rendering/02.obj", "9.0714597702")</f>
        <v>9.0714597702</v>
      </c>
      <c r="F2063" s="32" t="str">
        <f>HYPERLINK(AA2 &amp; "/pencil/sn_d7c7c62a7ab759f01ca45e6b47877f54/rendering/03.obj", "2.10198187828")</f>
        <v>2.10198187828</v>
      </c>
      <c r="G2063" s="111" t="str">
        <f>HYPERLINK(AA2 &amp; "/pencil/sn_d7c7c62a7ab759f01ca45e6b47877f54/rendering/04.obj", "1.35536420345")</f>
        <v>1.35536420345</v>
      </c>
      <c r="H2063" s="32" t="str">
        <f>HYPERLINK(AA2 &amp; "/pencil/sn_d7c7c62a7ab759f01ca45e6b47877f54/rendering/05.obj", "2.1035182476")</f>
        <v>2.1035182476</v>
      </c>
      <c r="I2063" s="95" t="str">
        <f>HYPERLINK(AA2 &amp; "/pencil/sn_d7c7c62a7ab759f01ca45e6b47877f54/rendering/06.obj", "1.69014036655")</f>
        <v>1.69014036655</v>
      </c>
      <c r="J2063" s="13" t="str">
        <f>HYPERLINK(AA2 &amp; "/pencil/sn_d7c7c62a7ab759f01ca45e6b47877f54/rendering/07.obj", "2.34792232513")</f>
        <v>2.34792232513</v>
      </c>
      <c r="K2063" s="20" t="str">
        <f>HYPERLINK(AA2 &amp; "/pencil/sn_d7c7c62a7ab759f01ca45e6b47877f54/rendering/08.obj", "4.27762651443")</f>
        <v>4.27762651443</v>
      </c>
      <c r="L2063" s="39" t="str">
        <f>HYPERLINK(AA2 &amp; "/pencil/sn_d7c7c62a7ab759f01ca45e6b47877f54/rendering/09.obj", "2.14316749573")</f>
        <v>2.14316749573</v>
      </c>
      <c r="M2063" s="57" t="str">
        <f>HYPERLINK(AA2 &amp; "/pencil/sn_d7c7c62a7ab759f01ca45e6b47877f54/rendering/10.obj", "1.60459196568")</f>
        <v>1.60459196568</v>
      </c>
      <c r="N2063" s="212" t="str">
        <f>HYPERLINK(AA2 &amp; "/pencil/sn_d7c7c62a7ab759f01ca45e6b47877f54/rendering/11.obj", "1.33767855167")</f>
        <v>1.33767855167</v>
      </c>
      <c r="O2063" s="29" t="str">
        <f>HYPERLINK(AA2 &amp; "/pencil/sn_d7c7c62a7ab759f01ca45e6b47877f54/rendering/12.obj", "2.04412651062")</f>
        <v>2.04412651062</v>
      </c>
      <c r="P2063" s="140" t="str">
        <f>HYPERLINK(AA2 &amp; "/pencil/sn_d7c7c62a7ab759f01ca45e6b47877f54/rendering/13.obj", "1.53097105026")</f>
        <v>1.53097105026</v>
      </c>
      <c r="Q2063" s="169" t="str">
        <f>HYPERLINK(AA2 &amp; "/pencil/sn_d7c7c62a7ab759f01ca45e6b47877f54/rendering/14.obj", "3.08486747742")</f>
        <v>3.08486747742</v>
      </c>
      <c r="R2063" s="122" t="str">
        <f>HYPERLINK(AA2 &amp; "/pencil/sn_d7c7c62a7ab759f01ca45e6b47877f54/rendering/15.obj", "1.40373241901")</f>
        <v>1.40373241901</v>
      </c>
      <c r="S2063" s="97" t="str">
        <f>HYPERLINK(AA2 &amp; "/pencil/sn_d7c7c62a7ab759f01ca45e6b47877f54/rendering/16.obj", "1.32768702507")</f>
        <v>1.32768702507</v>
      </c>
      <c r="T2063" s="57" t="str">
        <f>HYPERLINK(AA2 &amp; "/pencil/sn_d7c7c62a7ab759f01ca45e6b47877f54/rendering/17.obj", "1.6064081192")</f>
        <v>1.6064081192</v>
      </c>
      <c r="U2063" s="151" t="str">
        <f>HYPERLINK(AA2 &amp; "/pencil/sn_d7c7c62a7ab759f01ca45e6b47877f54/rendering/18.obj", "1.50342643261")</f>
        <v>1.50342643261</v>
      </c>
      <c r="V2063" s="175" t="str">
        <f>HYPERLINK(AA2 &amp; "/pencil/sn_d7c7c62a7ab759f01ca45e6b47877f54/rendering/19.obj", "1.79751431942")</f>
        <v>1.79751431942</v>
      </c>
      <c r="W2063" s="12" t="s">
        <v>30</v>
      </c>
      <c r="X2063" s="13">
        <v>2.3484318614006039</v>
      </c>
      <c r="Y2063" s="13">
        <v>1.7044557086259631</v>
      </c>
      <c r="Z2063" s="253">
        <v>0.72578461254968074</v>
      </c>
    </row>
    <row r="2064" spans="1:26" x14ac:dyDescent="0.2">
      <c r="A2064" s="1">
        <v>2062</v>
      </c>
      <c r="B2064" s="2" t="s">
        <v>445</v>
      </c>
      <c r="C2064" s="91" t="str">
        <f>HYPERLINK(AB2 &amp; "/pencil/sn_d7c7c62a7ab759f01ca45e6b47877f54/rendering/00.obj", "3.01514007568")</f>
        <v>3.01514007568</v>
      </c>
      <c r="D2064" s="47" t="str">
        <f>HYPERLINK(AB2 &amp; "/pencil/sn_d7c7c62a7ab759f01ca45e6b47877f54/rendering/01.obj", "3.12471221924")</f>
        <v>3.12471221924</v>
      </c>
      <c r="E2064" s="42" t="str">
        <f>HYPERLINK(AB2 &amp; "/pencil/sn_d7c7c62a7ab759f01ca45e6b47877f54/rendering/02.obj", "3.51925476074")</f>
        <v>3.51925476074</v>
      </c>
      <c r="F2064" s="91" t="str">
        <f>HYPERLINK(AB2 &amp; "/pencil/sn_d7c7c62a7ab759f01ca45e6b47877f54/rendering/03.obj", "3.01205841064")</f>
        <v>3.01205841064</v>
      </c>
      <c r="G2064" s="25" t="str">
        <f>HYPERLINK(AB2 &amp; "/pencil/sn_d7c7c62a7ab759f01ca45e6b47877f54/rendering/04.obj", "3.06825073242")</f>
        <v>3.06825073242</v>
      </c>
      <c r="H2064" s="23" t="str">
        <f>HYPERLINK(AB2 &amp; "/pencil/sn_d7c7c62a7ab759f01ca45e6b47877f54/rendering/05.obj", "2.9770135498")</f>
        <v>2.9770135498</v>
      </c>
      <c r="I2064" s="13" t="str">
        <f>HYPERLINK(AB2 &amp; "/pencil/sn_d7c7c62a7ab759f01ca45e6b47877f54/rendering/06.obj", "3.08999603271")</f>
        <v>3.08999603271</v>
      </c>
      <c r="J2064" s="48" t="str">
        <f>HYPERLINK(AB2 &amp; "/pencil/sn_d7c7c62a7ab759f01ca45e6b47877f54/rendering/07.obj", "3.17414672852")</f>
        <v>3.17414672852</v>
      </c>
      <c r="K2064" s="72" t="str">
        <f>HYPERLINK(AB2 &amp; "/pencil/sn_d7c7c62a7ab759f01ca45e6b47877f54/rendering/08.obj", "2.99340698242")</f>
        <v>2.99340698242</v>
      </c>
      <c r="L2064" s="34" t="str">
        <f>HYPERLINK(AB2 &amp; "/pencil/sn_d7c7c62a7ab759f01ca45e6b47877f54/rendering/09.obj", "2.94919921875")</f>
        <v>2.94919921875</v>
      </c>
      <c r="M2064" s="72" t="str">
        <f>HYPERLINK(AB2 &amp; "/pencil/sn_d7c7c62a7ab759f01ca45e6b47877f54/rendering/10.obj", "3.20211303711")</f>
        <v>3.20211303711</v>
      </c>
      <c r="N2064" s="48" t="str">
        <f>HYPERLINK(AB2 &amp; "/pencil/sn_d7c7c62a7ab759f01ca45e6b47877f54/rendering/11.obj", "3.02348907471")</f>
        <v>3.02348907471</v>
      </c>
      <c r="O2064" s="60" t="str">
        <f>HYPERLINK(AB2 &amp; "/pencil/sn_d7c7c62a7ab759f01ca45e6b47877f54/rendering/12.obj", "2.9325958252")</f>
        <v>2.9325958252</v>
      </c>
      <c r="P2064" s="106" t="str">
        <f>HYPERLINK(AB2 &amp; "/pencil/sn_d7c7c62a7ab759f01ca45e6b47877f54/rendering/13.obj", "3.45573791504")</f>
        <v>3.45573791504</v>
      </c>
      <c r="Q2064" s="46" t="str">
        <f>HYPERLINK(AB2 &amp; "/pencil/sn_d7c7c62a7ab759f01ca45e6b47877f54/rendering/14.obj", "3.04685913086")</f>
        <v>3.04685913086</v>
      </c>
      <c r="R2064" s="28" t="str">
        <f>HYPERLINK(AB2 &amp; "/pencil/sn_d7c7c62a7ab759f01ca45e6b47877f54/rendering/15.obj", "3.4415737915")</f>
        <v>3.4415737915</v>
      </c>
      <c r="S2064" s="42" t="str">
        <f>HYPERLINK(AB2 &amp; "/pencil/sn_d7c7c62a7ab759f01ca45e6b47877f54/rendering/16.obj", "2.67922851563")</f>
        <v>2.67922851563</v>
      </c>
      <c r="T2064" s="72" t="str">
        <f>HYPERLINK(AB2 &amp; "/pencil/sn_d7c7c62a7ab759f01ca45e6b47877f54/rendering/17.obj", "3.00009216309")</f>
        <v>3.00009216309</v>
      </c>
      <c r="U2064" s="47" t="str">
        <f>HYPERLINK(AB2 &amp; "/pencil/sn_d7c7c62a7ab759f01ca45e6b47877f54/rendering/18.obj", "3.07668334961")</f>
        <v>3.07668334961</v>
      </c>
      <c r="V2064" s="48" t="str">
        <f>HYPERLINK(AB2 &amp; "/pencil/sn_d7c7c62a7ab759f01ca45e6b47877f54/rendering/19.obj", "3.16958068848")</f>
        <v>3.16958068848</v>
      </c>
      <c r="W2064" s="12" t="s">
        <v>31</v>
      </c>
      <c r="X2064" s="13">
        <v>3.0975566101074219</v>
      </c>
      <c r="Y2064" s="13">
        <v>0.1910237944571358</v>
      </c>
      <c r="Z2064" s="78">
        <v>6.1669185910539721E-2</v>
      </c>
    </row>
    <row r="2065" spans="1:26" x14ac:dyDescent="0.2">
      <c r="A2065" s="1">
        <v>2063</v>
      </c>
      <c r="B2065" s="2" t="s">
        <v>445</v>
      </c>
      <c r="C2065" s="69" t="str">
        <f>HYPERLINK(AB2 &amp; "/pencil/sn_d7c7c62a7ab759f01ca45e6b47877f54/rendering/00.obj", "1.40458643436")</f>
        <v>1.40458643436</v>
      </c>
      <c r="D2065" s="69" t="str">
        <f>HYPERLINK(AB2 &amp; "/pencil/sn_d7c7c62a7ab759f01ca45e6b47877f54/rendering/01.obj", "1.48958754539")</f>
        <v>1.48958754539</v>
      </c>
      <c r="E2065" s="113" t="str">
        <f>HYPERLINK(AB2 &amp; "/pencil/sn_d7c7c62a7ab759f01ca45e6b47877f54/rendering/02.obj", "1.84302830696")</f>
        <v>1.84302830696</v>
      </c>
      <c r="F2065" s="6" t="str">
        <f>HYPERLINK(AB2 &amp; "/pencil/sn_d7c7c62a7ab759f01ca45e6b47877f54/rendering/03.obj", "1.38235771656")</f>
        <v>1.38235771656</v>
      </c>
      <c r="G2065" s="110" t="str">
        <f>HYPERLINK(AB2 &amp; "/pencil/sn_d7c7c62a7ab759f01ca45e6b47877f54/rendering/04.obj", "1.30476379395")</f>
        <v>1.30476379395</v>
      </c>
      <c r="H2065" s="74" t="str">
        <f>HYPERLINK(AB2 &amp; "/pencil/sn_d7c7c62a7ab759f01ca45e6b47877f54/rendering/05.obj", "1.42481589317")</f>
        <v>1.42481589317</v>
      </c>
      <c r="I2065" s="64" t="str">
        <f>HYPERLINK(AB2 &amp; "/pencil/sn_d7c7c62a7ab759f01ca45e6b47877f54/rendering/06.obj", "1.68751740456")</f>
        <v>1.68751740456</v>
      </c>
      <c r="J2065" s="13" t="str">
        <f>HYPERLINK(AB2 &amp; "/pencil/sn_d7c7c62a7ab759f01ca45e6b47877f54/rendering/07.obj", "1.4511538744")</f>
        <v>1.4511538744</v>
      </c>
      <c r="K2065" s="34" t="str">
        <f>HYPERLINK(AB2 &amp; "/pencil/sn_d7c7c62a7ab759f01ca45e6b47877f54/rendering/08.obj", "1.51924884319")</f>
        <v>1.51924884319</v>
      </c>
      <c r="L2065" s="10" t="str">
        <f>HYPERLINK(AB2 &amp; "/pencil/sn_d7c7c62a7ab759f01ca45e6b47877f54/rendering/09.obj", "1.36726438999")</f>
        <v>1.36726438999</v>
      </c>
      <c r="M2065" s="89" t="str">
        <f>HYPERLINK(AB2 &amp; "/pencil/sn_d7c7c62a7ab759f01ca45e6b47877f54/rendering/10.obj", "1.82378637791")</f>
        <v>1.82378637791</v>
      </c>
      <c r="N2065" s="8" t="str">
        <f>HYPERLINK(AB2 &amp; "/pencil/sn_d7c7c62a7ab759f01ca45e6b47877f54/rendering/11.obj", "1.24027967453")</f>
        <v>1.24027967453</v>
      </c>
      <c r="O2065" s="8" t="str">
        <f>HYPERLINK(AB2 &amp; "/pencil/sn_d7c7c62a7ab759f01ca45e6b47877f54/rendering/12.obj", "1.23962903023")</f>
        <v>1.23962903023</v>
      </c>
      <c r="P2065" s="27" t="str">
        <f>HYPERLINK(AB2 &amp; "/pencil/sn_d7c7c62a7ab759f01ca45e6b47877f54/rendering/13.obj", "1.3456196785")</f>
        <v>1.3456196785</v>
      </c>
      <c r="Q2065" s="38" t="str">
        <f>HYPERLINK(AB2 &amp; "/pencil/sn_d7c7c62a7ab759f01ca45e6b47877f54/rendering/14.obj", "1.57673048973")</f>
        <v>1.57673048973</v>
      </c>
      <c r="R2065" s="68" t="str">
        <f>HYPERLINK(AB2 &amp; "/pencil/sn_d7c7c62a7ab759f01ca45e6b47877f54/rendering/15.obj", "1.38665783405")</f>
        <v>1.38665783405</v>
      </c>
      <c r="S2065" s="39" t="str">
        <f>HYPERLINK(AB2 &amp; "/pencil/sn_d7c7c62a7ab759f01ca45e6b47877f54/rendering/16.obj", "1.57354950905")</f>
        <v>1.57354950905</v>
      </c>
      <c r="T2065" s="29" t="str">
        <f>HYPERLINK(AB2 &amp; "/pencil/sn_d7c7c62a7ab759f01ca45e6b47877f54/rendering/17.obj", "1.26055920124")</f>
        <v>1.26055920124</v>
      </c>
      <c r="U2065" s="5" t="str">
        <f>HYPERLINK(AB2 &amp; "/pencil/sn_d7c7c62a7ab759f01ca45e6b47877f54/rendering/18.obj", "1.33512020111")</f>
        <v>1.33512020111</v>
      </c>
      <c r="V2065" s="28" t="str">
        <f>HYPERLINK(AB2 &amp; "/pencil/sn_d7c7c62a7ab759f01ca45e6b47877f54/rendering/19.obj", "1.28490173817")</f>
        <v>1.28490173817</v>
      </c>
      <c r="W2065" s="12" t="s">
        <v>32</v>
      </c>
      <c r="X2065" s="13">
        <v>1.447057896852493</v>
      </c>
      <c r="Y2065" s="13">
        <v>0.17361126379576819</v>
      </c>
      <c r="Z2065" s="63">
        <v>0.1199753404292886</v>
      </c>
    </row>
    <row r="2066" spans="1:26" x14ac:dyDescent="0.2">
      <c r="A2066" s="1">
        <v>2064</v>
      </c>
      <c r="B2066" s="2" t="s">
        <v>445</v>
      </c>
      <c r="C2066" s="13" t="str">
        <f>HYPERLINK(AC2 &amp; "/pencil/sn_d7c7c62a7ab759f01ca45e6b47877f54/rendering/00.xyz", "0.0")</f>
        <v>0.0</v>
      </c>
      <c r="D2066" s="13" t="str">
        <f>HYPERLINK(AC2 &amp; "/pencil/sn_d7c7c62a7ab759f01ca45e6b47877f54/rendering/01.xyz", "0.0")</f>
        <v>0.0</v>
      </c>
      <c r="E2066" s="13" t="str">
        <f>HYPERLINK(AC2 &amp; "/pencil/sn_d7c7c62a7ab759f01ca45e6b47877f54/rendering/02.xyz", "0.0")</f>
        <v>0.0</v>
      </c>
      <c r="F2066" s="13" t="str">
        <f>HYPERLINK(AC2 &amp; "/pencil/sn_d7c7c62a7ab759f01ca45e6b47877f54/rendering/03.xyz", "0.0")</f>
        <v>0.0</v>
      </c>
      <c r="G2066" s="13" t="str">
        <f>HYPERLINK(AC2 &amp; "/pencil/sn_d7c7c62a7ab759f01ca45e6b47877f54/rendering/04.xyz", "0.0")</f>
        <v>0.0</v>
      </c>
      <c r="H2066" s="13" t="str">
        <f>HYPERLINK(AC2 &amp; "/pencil/sn_d7c7c62a7ab759f01ca45e6b47877f54/rendering/05.xyz", "0.0")</f>
        <v>0.0</v>
      </c>
      <c r="I2066" s="13" t="str">
        <f>HYPERLINK(AC2 &amp; "/pencil/sn_d7c7c62a7ab759f01ca45e6b47877f54/rendering/06.xyz", "0.0")</f>
        <v>0.0</v>
      </c>
      <c r="J2066" s="13" t="str">
        <f>HYPERLINK(AC2 &amp; "/pencil/sn_d7c7c62a7ab759f01ca45e6b47877f54/rendering/07.xyz", "0.0")</f>
        <v>0.0</v>
      </c>
      <c r="K2066" s="13" t="str">
        <f>HYPERLINK(AC2 &amp; "/pencil/sn_d7c7c62a7ab759f01ca45e6b47877f54/rendering/08.xyz", "0.0")</f>
        <v>0.0</v>
      </c>
      <c r="L2066" s="13" t="str">
        <f>HYPERLINK(AC2 &amp; "/pencil/sn_d7c7c62a7ab759f01ca45e6b47877f54/rendering/09.xyz", "0.0")</f>
        <v>0.0</v>
      </c>
      <c r="M2066" s="13" t="str">
        <f>HYPERLINK(AC2 &amp; "/pencil/sn_d7c7c62a7ab759f01ca45e6b47877f54/rendering/10.xyz", "0.0")</f>
        <v>0.0</v>
      </c>
      <c r="N2066" s="13" t="str">
        <f>HYPERLINK(AC2 &amp; "/pencil/sn_d7c7c62a7ab759f01ca45e6b47877f54/rendering/11.xyz", "0.0")</f>
        <v>0.0</v>
      </c>
      <c r="O2066" s="13" t="str">
        <f>HYPERLINK(AC2 &amp; "/pencil/sn_d7c7c62a7ab759f01ca45e6b47877f54/rendering/12.xyz", "0.0")</f>
        <v>0.0</v>
      </c>
      <c r="P2066" s="13" t="str">
        <f>HYPERLINK(AC2 &amp; "/pencil/sn_d7c7c62a7ab759f01ca45e6b47877f54/rendering/13.xyz", "0.0")</f>
        <v>0.0</v>
      </c>
      <c r="Q2066" s="13" t="str">
        <f>HYPERLINK(AC2 &amp; "/pencil/sn_d7c7c62a7ab759f01ca45e6b47877f54/rendering/14.xyz", "0.0")</f>
        <v>0.0</v>
      </c>
      <c r="R2066" s="13" t="str">
        <f>HYPERLINK(AC2 &amp; "/pencil/sn_d7c7c62a7ab759f01ca45e6b47877f54/rendering/15.xyz", "0.0")</f>
        <v>0.0</v>
      </c>
      <c r="S2066" s="13" t="str">
        <f>HYPERLINK(AC2 &amp; "/pencil/sn_d7c7c62a7ab759f01ca45e6b47877f54/rendering/16.xyz", "0.0")</f>
        <v>0.0</v>
      </c>
      <c r="T2066" s="13" t="str">
        <f>HYPERLINK(AC2 &amp; "/pencil/sn_d7c7c62a7ab759f01ca45e6b47877f54/rendering/17.xyz", "0.0")</f>
        <v>0.0</v>
      </c>
      <c r="U2066" s="13" t="str">
        <f>HYPERLINK(AC2 &amp; "/pencil/sn_d7c7c62a7ab759f01ca45e6b47877f54/rendering/18.xyz", "0.0")</f>
        <v>0.0</v>
      </c>
      <c r="V2066" s="13" t="str">
        <f>HYPERLINK(AC2 &amp; "/pencil/sn_d7c7c62a7ab759f01ca45e6b47877f54/rendering/19.xyz", "0.0")</f>
        <v>0.0</v>
      </c>
      <c r="W2066" s="12" t="s">
        <v>33</v>
      </c>
      <c r="X2066" s="13">
        <v>0</v>
      </c>
      <c r="Y2066" s="13">
        <v>0</v>
      </c>
      <c r="Z2066" s="13">
        <v>0</v>
      </c>
    </row>
    <row r="2067" spans="1:26" x14ac:dyDescent="0.2">
      <c r="A2067" s="1">
        <v>2065</v>
      </c>
      <c r="B2067" s="2" t="s">
        <v>446</v>
      </c>
      <c r="C2067" s="47" t="str">
        <f>HYPERLINK(AA2 &amp; "/pencil/sn_d7d1863fcab63cddc7c51d4ea74651a7/rendering/00.obj", "4.82049682617")</f>
        <v>4.82049682617</v>
      </c>
      <c r="D2067" s="46" t="str">
        <f>HYPERLINK(AA2 &amp; "/pencil/sn_d7d1863fcab63cddc7c51d4ea74651a7/rendering/01.obj", "4.69967651367")</f>
        <v>4.69967651367</v>
      </c>
      <c r="E2067" s="6" t="str">
        <f>HYPERLINK(AA2 &amp; "/pencil/sn_d7d1863fcab63cddc7c51d4ea74651a7/rendering/02.obj", "4.56965240479")</f>
        <v>4.56965240479</v>
      </c>
      <c r="F2067" s="23" t="str">
        <f>HYPERLINK(AA2 &amp; "/pencil/sn_d7d1863fcab63cddc7c51d4ea74651a7/rendering/03.obj", "4.97130310059")</f>
        <v>4.97130310059</v>
      </c>
      <c r="G2067" s="48" t="str">
        <f>HYPERLINK(AA2 &amp; "/pencil/sn_d7d1863fcab63cddc7c51d4ea74651a7/rendering/04.obj", "4.67014465332")</f>
        <v>4.67014465332</v>
      </c>
      <c r="H2067" s="140" t="str">
        <f>HYPERLINK(AA2 &amp; "/pencil/sn_d7d1863fcab63cddc7c51d4ea74651a7/rendering/05.obj", "6.44726928711")</f>
        <v>6.44726928711</v>
      </c>
      <c r="I2067" s="83" t="str">
        <f>HYPERLINK(AA2 &amp; "/pencil/sn_d7d1863fcab63cddc7c51d4ea74651a7/rendering/06.obj", "4.05419158936")</f>
        <v>4.05419158936</v>
      </c>
      <c r="J2067" s="117" t="str">
        <f>HYPERLINK(AA2 &amp; "/pencil/sn_d7d1863fcab63cddc7c51d4ea74651a7/rendering/07.obj", "3.94242858887")</f>
        <v>3.94242858887</v>
      </c>
      <c r="K2067" s="28" t="str">
        <f>HYPERLINK(AA2 &amp; "/pencil/sn_d7d1863fcab63cddc7c51d4ea74651a7/rendering/08.obj", "5.32080932617")</f>
        <v>5.32080932617</v>
      </c>
      <c r="L2067" s="60" t="str">
        <f>HYPERLINK(AA2 &amp; "/pencil/sn_d7d1863fcab63cddc7c51d4ea74651a7/rendering/09.obj", "4.53970947266")</f>
        <v>4.53970947266</v>
      </c>
      <c r="M2067" s="48" t="str">
        <f>HYPERLINK(AA2 &amp; "/pencil/sn_d7d1863fcab63cddc7c51d4ea74651a7/rendering/10.obj", "4.89653167725")</f>
        <v>4.89653167725</v>
      </c>
      <c r="N2067" s="39" t="str">
        <f>HYPERLINK(AA2 &amp; "/pencil/sn_d7d1863fcab63cddc7c51d4ea74651a7/rendering/11.obj", "4.37138183594")</f>
        <v>4.37138183594</v>
      </c>
      <c r="O2067" s="5" t="str">
        <f>HYPERLINK(AA2 &amp; "/pencil/sn_d7d1863fcab63cddc7c51d4ea74651a7/rendering/12.obj", "4.4246295166")</f>
        <v>4.4246295166</v>
      </c>
      <c r="P2067" s="117" t="str">
        <f>HYPERLINK(AA2 &amp; "/pencil/sn_d7d1863fcab63cddc7c51d4ea74651a7/rendering/13.obj", "5.62842529297")</f>
        <v>5.62842529297</v>
      </c>
      <c r="Q2067" s="71" t="str">
        <f>HYPERLINK(AA2 &amp; "/pencil/sn_d7d1863fcab63cddc7c51d4ea74651a7/rendering/14.obj", "4.22449035645")</f>
        <v>4.22449035645</v>
      </c>
      <c r="R2067" s="48" t="str">
        <f>HYPERLINK(AA2 &amp; "/pencil/sn_d7d1863fcab63cddc7c51d4ea74651a7/rendering/15.obj", "4.895703125")</f>
        <v>4.895703125</v>
      </c>
      <c r="S2067" s="78" t="str">
        <f>HYPERLINK(AA2 &amp; "/pencil/sn_d7d1863fcab63cddc7c51d4ea74651a7/rendering/16.obj", "4.48637023926")</f>
        <v>4.48637023926</v>
      </c>
      <c r="T2067" s="68" t="str">
        <f>HYPERLINK(AA2 &amp; "/pencil/sn_d7d1863fcab63cddc7c51d4ea74651a7/rendering/17.obj", "4.58820770264")</f>
        <v>4.58820770264</v>
      </c>
      <c r="U2067" s="30" t="str">
        <f>HYPERLINK(AA2 &amp; "/pencil/sn_d7d1863fcab63cddc7c51d4ea74651a7/rendering/18.obj", "4.81434814453")</f>
        <v>4.81434814453</v>
      </c>
      <c r="V2067" s="106" t="str">
        <f>HYPERLINK(AA2 &amp; "/pencil/sn_d7d1863fcab63cddc7c51d4ea74651a7/rendering/19.obj", "5.33671325684")</f>
        <v>5.33671325684</v>
      </c>
      <c r="W2067" s="12" t="s">
        <v>29</v>
      </c>
      <c r="X2067" s="13">
        <v>4.7851241455078126</v>
      </c>
      <c r="Y2067" s="13">
        <v>0.55863920373204745</v>
      </c>
      <c r="Z2067" s="71">
        <v>0.116744976043409</v>
      </c>
    </row>
    <row r="2068" spans="1:26" x14ac:dyDescent="0.2">
      <c r="A2068" s="1">
        <v>2066</v>
      </c>
      <c r="B2068" s="2" t="s">
        <v>446</v>
      </c>
      <c r="C2068" s="196" t="str">
        <f>HYPERLINK(AA2 &amp; "/pencil/sn_d7d1863fcab63cddc7c51d4ea74651a7/rendering/00.obj", "0.790742635727")</f>
        <v>0.790742635727</v>
      </c>
      <c r="D2068" s="109" t="str">
        <f>HYPERLINK(AA2 &amp; "/pencil/sn_d7d1863fcab63cddc7c51d4ea74651a7/rendering/01.obj", "1.06419241428")</f>
        <v>1.06419241428</v>
      </c>
      <c r="E2068" s="58" t="str">
        <f>HYPERLINK(AA2 &amp; "/pencil/sn_d7d1863fcab63cddc7c51d4ea74651a7/rendering/02.obj", "0.99402397871")</f>
        <v>0.99402397871</v>
      </c>
      <c r="F2068" s="134" t="str">
        <f>HYPERLINK(AA2 &amp; "/pencil/sn_d7d1863fcab63cddc7c51d4ea74651a7/rendering/03.obj", "1.54982662201")</f>
        <v>1.54982662201</v>
      </c>
      <c r="G2068" s="78" t="str">
        <f>HYPERLINK(AA2 &amp; "/pencil/sn_d7d1863fcab63cddc7c51d4ea74651a7/rendering/04.obj", "1.23135745525")</f>
        <v>1.23135745525</v>
      </c>
      <c r="H2068" s="20" t="str">
        <f>HYPERLINK(AA2 &amp; "/pencil/sn_d7d1863fcab63cddc7c51d4ea74651a7/rendering/05.obj", "4.20496273041")</f>
        <v>4.20496273041</v>
      </c>
      <c r="I2068" s="43" t="str">
        <f>HYPERLINK(AA2 &amp; "/pencil/sn_d7d1863fcab63cddc7c51d4ea74651a7/rendering/06.obj", "0.822799921036")</f>
        <v>0.822799921036</v>
      </c>
      <c r="J2068" s="139" t="str">
        <f>HYPERLINK(AA2 &amp; "/pencil/sn_d7d1863fcab63cddc7c51d4ea74651a7/rendering/07.obj", "0.682133257389")</f>
        <v>0.682133257389</v>
      </c>
      <c r="K2068" s="166" t="str">
        <f>HYPERLINK(AA2 &amp; "/pencil/sn_d7d1863fcab63cddc7c51d4ea74651a7/rendering/08.obj", "1.6905837059")</f>
        <v>1.6905837059</v>
      </c>
      <c r="L2068" s="171" t="str">
        <f>HYPERLINK(AA2 &amp; "/pencil/sn_d7d1863fcab63cddc7c51d4ea74651a7/rendering/09.obj", "0.911212921143")</f>
        <v>0.911212921143</v>
      </c>
      <c r="M2068" s="119" t="str">
        <f>HYPERLINK(AA2 &amp; "/pencil/sn_d7d1863fcab63cddc7c51d4ea74651a7/rendering/10.obj", "0.96583622694")</f>
        <v>0.96583622694</v>
      </c>
      <c r="N2068" s="147" t="str">
        <f>HYPERLINK(AA2 &amp; "/pencil/sn_d7d1863fcab63cddc7c51d4ea74651a7/rendering/11.obj", "0.673028826714")</f>
        <v>0.673028826714</v>
      </c>
      <c r="O2068" s="137" t="str">
        <f>HYPERLINK(AA2 &amp; "/pencil/sn_d7d1863fcab63cddc7c51d4ea74651a7/rendering/12.obj", "0.834024012089")</f>
        <v>0.834024012089</v>
      </c>
      <c r="P2068" s="20" t="str">
        <f>HYPERLINK(AA2 &amp; "/pencil/sn_d7d1863fcab63cddc7c51d4ea74651a7/rendering/13.obj", "3.78215432167")</f>
        <v>3.78215432167</v>
      </c>
      <c r="Q2068" s="170" t="str">
        <f>HYPERLINK(AA2 &amp; "/pencil/sn_d7d1863fcab63cddc7c51d4ea74651a7/rendering/14.obj", "0.979701817036")</f>
        <v>0.979701817036</v>
      </c>
      <c r="R2068" s="198" t="str">
        <f>HYPERLINK(AA2 &amp; "/pencil/sn_d7d1863fcab63cddc7c51d4ea74651a7/rendering/15.obj", "0.804832875729")</f>
        <v>0.804832875729</v>
      </c>
      <c r="S2068" s="191" t="str">
        <f>HYPERLINK(AA2 &amp; "/pencil/sn_d7d1863fcab63cddc7c51d4ea74651a7/rendering/16.obj", "0.718454778194")</f>
        <v>0.718454778194</v>
      </c>
      <c r="T2068" s="75" t="str">
        <f>HYPERLINK(AA2 &amp; "/pencil/sn_d7d1863fcab63cddc7c51d4ea74651a7/rendering/17.obj", "1.02253055573")</f>
        <v>1.02253055573</v>
      </c>
      <c r="U2068" s="84" t="str">
        <f>HYPERLINK(AA2 &amp; "/pencil/sn_d7d1863fcab63cddc7c51d4ea74651a7/rendering/18.obj", "1.12236166")</f>
        <v>1.12236166</v>
      </c>
      <c r="V2068" s="107" t="str">
        <f>HYPERLINK(AA2 &amp; "/pencil/sn_d7d1863fcab63cddc7c51d4ea74651a7/rendering/19.obj", "1.42154014111")</f>
        <v>1.42154014111</v>
      </c>
      <c r="W2068" s="12" t="s">
        <v>30</v>
      </c>
      <c r="X2068" s="13">
        <v>1.3133150428533551</v>
      </c>
      <c r="Y2068" s="13">
        <v>0.93585315521088286</v>
      </c>
      <c r="Z2068" s="257">
        <v>0.71258846862639658</v>
      </c>
    </row>
    <row r="2069" spans="1:26" x14ac:dyDescent="0.2">
      <c r="A2069" s="1">
        <v>2067</v>
      </c>
      <c r="B2069" s="2" t="s">
        <v>446</v>
      </c>
      <c r="C2069" s="38" t="str">
        <f>HYPERLINK(AB2 &amp; "/pencil/sn_d7d1863fcab63cddc7c51d4ea74651a7/rendering/00.obj", "4.35221313477")</f>
        <v>4.35221313477</v>
      </c>
      <c r="D2069" s="106" t="str">
        <f>HYPERLINK(AB2 &amp; "/pencil/sn_d7d1863fcab63cddc7c51d4ea74651a7/rendering/01.obj", "4.45138305664")</f>
        <v>4.45138305664</v>
      </c>
      <c r="E2069" s="30" t="str">
        <f>HYPERLINK(AB2 &amp; "/pencil/sn_d7d1863fcab63cddc7c51d4ea74651a7/rendering/02.obj", "3.96800842285")</f>
        <v>3.96800842285</v>
      </c>
      <c r="F2069" s="26" t="str">
        <f>HYPERLINK(AB2 &amp; "/pencil/sn_d7d1863fcab63cddc7c51d4ea74651a7/rendering/03.obj", "3.74090332031")</f>
        <v>3.74090332031</v>
      </c>
      <c r="G2069" s="26" t="str">
        <f>HYPERLINK(AB2 &amp; "/pencil/sn_d7d1863fcab63cddc7c51d4ea74651a7/rendering/04.obj", "4.24821044922")</f>
        <v>4.24821044922</v>
      </c>
      <c r="H2069" s="74" t="str">
        <f>HYPERLINK(AB2 &amp; "/pencil/sn_d7d1863fcab63cddc7c51d4ea74651a7/rendering/05.obj", "3.93088867188")</f>
        <v>3.93088867188</v>
      </c>
      <c r="I2069" s="42" t="str">
        <f>HYPERLINK(AB2 &amp; "/pencil/sn_d7d1863fcab63cddc7c51d4ea74651a7/rendering/06.obj", "4.53630187988")</f>
        <v>4.53630187988</v>
      </c>
      <c r="J2069" s="68" t="str">
        <f>HYPERLINK(AB2 &amp; "/pencil/sn_d7d1863fcab63cddc7c51d4ea74651a7/rendering/07.obj", "3.8247958374")</f>
        <v>3.8247958374</v>
      </c>
      <c r="K2069" s="41" t="str">
        <f>HYPERLINK(AB2 &amp; "/pencil/sn_d7d1863fcab63cddc7c51d4ea74651a7/rendering/08.obj", "3.72744354248")</f>
        <v>3.72744354248</v>
      </c>
      <c r="L2069" s="91" t="str">
        <f>HYPERLINK(AB2 &amp; "/pencil/sn_d7d1863fcab63cddc7c51d4ea74651a7/rendering/09.obj", "4.10031402588")</f>
        <v>4.10031402588</v>
      </c>
      <c r="M2069" s="73" t="str">
        <f>HYPERLINK(AB2 &amp; "/pencil/sn_d7d1863fcab63cddc7c51d4ea74651a7/rendering/10.obj", "4.13276031494")</f>
        <v>4.13276031494</v>
      </c>
      <c r="N2069" s="51" t="str">
        <f>HYPERLINK(AB2 &amp; "/pencil/sn_d7d1863fcab63cddc7c51d4ea74651a7/rendering/11.obj", "3.67820129395")</f>
        <v>3.67820129395</v>
      </c>
      <c r="O2069" s="29" t="str">
        <f>HYPERLINK(AB2 &amp; "/pencil/sn_d7d1863fcab63cddc7c51d4ea74651a7/rendering/12.obj", "3.4696697998")</f>
        <v>3.4696697998</v>
      </c>
      <c r="P2069" s="27" t="str">
        <f>HYPERLINK(AB2 &amp; "/pencil/sn_d7d1863fcab63cddc7c51d4ea74651a7/rendering/13.obj", "4.27904418945")</f>
        <v>4.27904418945</v>
      </c>
      <c r="Q2069" s="47" t="str">
        <f>HYPERLINK(AB2 &amp; "/pencil/sn_d7d1863fcab63cddc7c51d4ea74651a7/rendering/14.obj", "3.9561138916")</f>
        <v>3.9561138916</v>
      </c>
      <c r="R2069" s="46" t="str">
        <f>HYPERLINK(AB2 &amp; "/pencil/sn_d7d1863fcab63cddc7c51d4ea74651a7/rendering/15.obj", "4.06416931152")</f>
        <v>4.06416931152</v>
      </c>
      <c r="S2069" s="17" t="str">
        <f>HYPERLINK(AB2 &amp; "/pencil/sn_d7d1863fcab63cddc7c51d4ea74651a7/rendering/16.obj", "4.07005523682")</f>
        <v>4.07005523682</v>
      </c>
      <c r="T2069" s="91" t="str">
        <f>HYPERLINK(AB2 &amp; "/pencil/sn_d7d1863fcab63cddc7c51d4ea74651a7/rendering/17.obj", "4.09617736816")</f>
        <v>4.09617736816</v>
      </c>
      <c r="U2069" s="71" t="str">
        <f>HYPERLINK(AB2 &amp; "/pencil/sn_d7d1863fcab63cddc7c51d4ea74651a7/rendering/18.obj", "3.52712799072")</f>
        <v>3.52712799072</v>
      </c>
      <c r="V2069" s="94" t="str">
        <f>HYPERLINK(AB2 &amp; "/pencil/sn_d7d1863fcab63cddc7c51d4ea74651a7/rendering/19.obj", "3.69724761963")</f>
        <v>3.69724761963</v>
      </c>
      <c r="W2069" s="12" t="s">
        <v>31</v>
      </c>
      <c r="X2069" s="13">
        <v>3.9925514678955079</v>
      </c>
      <c r="Y2069" s="13">
        <v>0.28979825497538719</v>
      </c>
      <c r="Z2069" s="94">
        <v>7.2584726159620722E-2</v>
      </c>
    </row>
    <row r="2070" spans="1:26" x14ac:dyDescent="0.2">
      <c r="A2070" s="1">
        <v>2068</v>
      </c>
      <c r="B2070" s="2" t="s">
        <v>446</v>
      </c>
      <c r="C2070" s="66" t="str">
        <f>HYPERLINK(AB2 &amp; "/pencil/sn_d7d1863fcab63cddc7c51d4ea74651a7/rendering/00.obj", "0.976187586784")</f>
        <v>0.976187586784</v>
      </c>
      <c r="D2070" s="116" t="str">
        <f>HYPERLINK(AB2 &amp; "/pencil/sn_d7d1863fcab63cddc7c51d4ea74651a7/rendering/01.obj", "1.20796012878")</f>
        <v>1.20796012878</v>
      </c>
      <c r="E2070" s="30" t="str">
        <f>HYPERLINK(AB2 &amp; "/pencil/sn_d7d1863fcab63cddc7c51d4ea74651a7/rendering/02.obj", "0.837877750397")</f>
        <v>0.837877750397</v>
      </c>
      <c r="F2070" s="76" t="str">
        <f>HYPERLINK(AB2 &amp; "/pencil/sn_d7d1863fcab63cddc7c51d4ea74651a7/rendering/03.obj", "0.994311571121")</f>
        <v>0.994311571121</v>
      </c>
      <c r="G2070" s="175" t="str">
        <f>HYPERLINK(AB2 &amp; "/pencil/sn_d7d1863fcab63cddc7c51d4ea74651a7/rendering/04.obj", "0.645204007626")</f>
        <v>0.645204007626</v>
      </c>
      <c r="H2070" s="39" t="str">
        <f>HYPERLINK(AB2 &amp; "/pencil/sn_d7d1863fcab63cddc7c51d4ea74651a7/rendering/05.obj", "0.767813205719")</f>
        <v>0.767813205719</v>
      </c>
      <c r="I2070" s="148" t="str">
        <f>HYPERLINK(AB2 &amp; "/pencil/sn_d7d1863fcab63cddc7c51d4ea74651a7/rendering/06.obj", "1.24819612503")</f>
        <v>1.24819612503</v>
      </c>
      <c r="J2070" s="36" t="str">
        <f>HYPERLINK(AB2 &amp; "/pencil/sn_d7d1863fcab63cddc7c51d4ea74651a7/rendering/07.obj", "0.658843398094")</f>
        <v>0.658843398094</v>
      </c>
      <c r="K2070" s="34" t="str">
        <f>HYPERLINK(AB2 &amp; "/pencil/sn_d7d1863fcab63cddc7c51d4ea74651a7/rendering/08.obj", "0.882469654083")</f>
        <v>0.882469654083</v>
      </c>
      <c r="L2070" s="55" t="str">
        <f>HYPERLINK(AB2 &amp; "/pencil/sn_d7d1863fcab63cddc7c51d4ea74651a7/rendering/09.obj", "0.677288770676")</f>
        <v>0.677288770676</v>
      </c>
      <c r="M2070" s="79" t="str">
        <f>HYPERLINK(AB2 &amp; "/pencil/sn_d7d1863fcab63cddc7c51d4ea74651a7/rendering/10.obj", "0.973435103893")</f>
        <v>0.973435103893</v>
      </c>
      <c r="N2070" s="175" t="str">
        <f>HYPERLINK(AB2 &amp; "/pencil/sn_d7d1863fcab63cddc7c51d4ea74651a7/rendering/11.obj", "0.643051862717")</f>
        <v>0.643051862717</v>
      </c>
      <c r="O2070" s="73" t="str">
        <f>HYPERLINK(AB2 &amp; "/pencil/sn_d7d1863fcab63cddc7c51d4ea74651a7/rendering/12.obj", "0.870109260082")</f>
        <v>0.870109260082</v>
      </c>
      <c r="P2070" s="87" t="str">
        <f>HYPERLINK(AB2 &amp; "/pencil/sn_d7d1863fcab63cddc7c51d4ea74651a7/rendering/13.obj", "0.650715947151")</f>
        <v>0.650715947151</v>
      </c>
      <c r="Q2070" s="68" t="str">
        <f>HYPERLINK(AB2 &amp; "/pencil/sn_d7d1863fcab63cddc7c51d4ea74651a7/rendering/14.obj", "0.877201378345")</f>
        <v>0.877201378345</v>
      </c>
      <c r="R2070" s="66" t="str">
        <f>HYPERLINK(AB2 &amp; "/pencil/sn_d7d1863fcab63cddc7c51d4ea74651a7/rendering/15.obj", "0.703791975975")</f>
        <v>0.703791975975</v>
      </c>
      <c r="S2070" s="120" t="str">
        <f>HYPERLINK(AB2 &amp; "/pencil/sn_d7d1863fcab63cddc7c51d4ea74651a7/rendering/16.obj", "0.663496315479")</f>
        <v>0.663496315479</v>
      </c>
      <c r="T2070" s="94" t="str">
        <f>HYPERLINK(AB2 &amp; "/pencil/sn_d7d1863fcab63cddc7c51d4ea74651a7/rendering/17.obj", "0.779355883598")</f>
        <v>0.779355883598</v>
      </c>
      <c r="U2070" s="47" t="str">
        <f>HYPERLINK(AB2 &amp; "/pencil/sn_d7d1863fcab63cddc7c51d4ea74651a7/rendering/18.obj", "0.833470106125")</f>
        <v>0.833470106125</v>
      </c>
      <c r="V2070" s="90" t="str">
        <f>HYPERLINK(AB2 &amp; "/pencil/sn_d7d1863fcab63cddc7c51d4ea74651a7/rendering/19.obj", "0.921075165272")</f>
        <v>0.921075165272</v>
      </c>
      <c r="W2070" s="12" t="s">
        <v>32</v>
      </c>
      <c r="X2070" s="13">
        <v>0.84059275984764104</v>
      </c>
      <c r="Y2070" s="13">
        <v>0.17368653330502931</v>
      </c>
      <c r="Z2070" s="82">
        <v>0.2066238749623662</v>
      </c>
    </row>
    <row r="2071" spans="1:26" x14ac:dyDescent="0.2">
      <c r="A2071" s="1">
        <v>2069</v>
      </c>
      <c r="B2071" s="2" t="s">
        <v>446</v>
      </c>
      <c r="C2071" s="13" t="str">
        <f>HYPERLINK(AC2 &amp; "/pencil/sn_d7d1863fcab63cddc7c51d4ea74651a7/rendering/00.xyz", "0.0")</f>
        <v>0.0</v>
      </c>
      <c r="D2071" s="13" t="str">
        <f>HYPERLINK(AC2 &amp; "/pencil/sn_d7d1863fcab63cddc7c51d4ea74651a7/rendering/01.xyz", "0.0")</f>
        <v>0.0</v>
      </c>
      <c r="E2071" s="13" t="str">
        <f>HYPERLINK(AC2 &amp; "/pencil/sn_d7d1863fcab63cddc7c51d4ea74651a7/rendering/02.xyz", "0.0")</f>
        <v>0.0</v>
      </c>
      <c r="F2071" s="13" t="str">
        <f>HYPERLINK(AC2 &amp; "/pencil/sn_d7d1863fcab63cddc7c51d4ea74651a7/rendering/03.xyz", "0.0")</f>
        <v>0.0</v>
      </c>
      <c r="G2071" s="13" t="str">
        <f>HYPERLINK(AC2 &amp; "/pencil/sn_d7d1863fcab63cddc7c51d4ea74651a7/rendering/04.xyz", "0.0")</f>
        <v>0.0</v>
      </c>
      <c r="H2071" s="13" t="str">
        <f>HYPERLINK(AC2 &amp; "/pencil/sn_d7d1863fcab63cddc7c51d4ea74651a7/rendering/05.xyz", "0.0")</f>
        <v>0.0</v>
      </c>
      <c r="I2071" s="13" t="str">
        <f>HYPERLINK(AC2 &amp; "/pencil/sn_d7d1863fcab63cddc7c51d4ea74651a7/rendering/06.xyz", "0.0")</f>
        <v>0.0</v>
      </c>
      <c r="J2071" s="13" t="str">
        <f>HYPERLINK(AC2 &amp; "/pencil/sn_d7d1863fcab63cddc7c51d4ea74651a7/rendering/07.xyz", "0.0")</f>
        <v>0.0</v>
      </c>
      <c r="K2071" s="13" t="str">
        <f>HYPERLINK(AC2 &amp; "/pencil/sn_d7d1863fcab63cddc7c51d4ea74651a7/rendering/08.xyz", "0.0")</f>
        <v>0.0</v>
      </c>
      <c r="L2071" s="13" t="str">
        <f>HYPERLINK(AC2 &amp; "/pencil/sn_d7d1863fcab63cddc7c51d4ea74651a7/rendering/09.xyz", "0.0")</f>
        <v>0.0</v>
      </c>
      <c r="M2071" s="13" t="str">
        <f>HYPERLINK(AC2 &amp; "/pencil/sn_d7d1863fcab63cddc7c51d4ea74651a7/rendering/10.xyz", "0.0")</f>
        <v>0.0</v>
      </c>
      <c r="N2071" s="13" t="str">
        <f>HYPERLINK(AC2 &amp; "/pencil/sn_d7d1863fcab63cddc7c51d4ea74651a7/rendering/11.xyz", "0.0")</f>
        <v>0.0</v>
      </c>
      <c r="O2071" s="13" t="str">
        <f>HYPERLINK(AC2 &amp; "/pencil/sn_d7d1863fcab63cddc7c51d4ea74651a7/rendering/12.xyz", "0.0")</f>
        <v>0.0</v>
      </c>
      <c r="P2071" s="13" t="str">
        <f>HYPERLINK(AC2 &amp; "/pencil/sn_d7d1863fcab63cddc7c51d4ea74651a7/rendering/13.xyz", "0.0")</f>
        <v>0.0</v>
      </c>
      <c r="Q2071" s="13" t="str">
        <f>HYPERLINK(AC2 &amp; "/pencil/sn_d7d1863fcab63cddc7c51d4ea74651a7/rendering/14.xyz", "0.0")</f>
        <v>0.0</v>
      </c>
      <c r="R2071" s="13" t="str">
        <f>HYPERLINK(AC2 &amp; "/pencil/sn_d7d1863fcab63cddc7c51d4ea74651a7/rendering/15.xyz", "0.0")</f>
        <v>0.0</v>
      </c>
      <c r="S2071" s="13" t="str">
        <f>HYPERLINK(AC2 &amp; "/pencil/sn_d7d1863fcab63cddc7c51d4ea74651a7/rendering/16.xyz", "0.0")</f>
        <v>0.0</v>
      </c>
      <c r="T2071" s="13" t="str">
        <f>HYPERLINK(AC2 &amp; "/pencil/sn_d7d1863fcab63cddc7c51d4ea74651a7/rendering/17.xyz", "0.0")</f>
        <v>0.0</v>
      </c>
      <c r="U2071" s="13" t="str">
        <f>HYPERLINK(AC2 &amp; "/pencil/sn_d7d1863fcab63cddc7c51d4ea74651a7/rendering/18.xyz", "0.0")</f>
        <v>0.0</v>
      </c>
      <c r="V2071" s="13" t="str">
        <f>HYPERLINK(AC2 &amp; "/pencil/sn_d7d1863fcab63cddc7c51d4ea74651a7/rendering/19.xyz", "0.0")</f>
        <v>0.0</v>
      </c>
      <c r="W2071" s="12" t="s">
        <v>33</v>
      </c>
      <c r="X2071" s="13">
        <v>0</v>
      </c>
      <c r="Y2071" s="13">
        <v>0</v>
      </c>
      <c r="Z2071" s="13">
        <v>0</v>
      </c>
    </row>
    <row r="2072" spans="1:26" x14ac:dyDescent="0.2">
      <c r="A2072" s="1">
        <v>2070</v>
      </c>
      <c r="B2072" s="2" t="s">
        <v>447</v>
      </c>
      <c r="C2072" s="80" t="str">
        <f>HYPERLINK(AA2 &amp; "/pencil/sn_d7d810eec60b107740dcd50b8cfbe557/rendering/00.obj", "4.48862487793")</f>
        <v>4.48862487793</v>
      </c>
      <c r="D2072" s="38" t="str">
        <f>HYPERLINK(AA2 &amp; "/pencil/sn_d7d810eec60b107740dcd50b8cfbe557/rendering/01.obj", "4.79844238281")</f>
        <v>4.79844238281</v>
      </c>
      <c r="E2072" s="92" t="str">
        <f>HYPERLINK(AA2 &amp; "/pencil/sn_d7d810eec60b107740dcd50b8cfbe557/rendering/02.obj", "4.63019287109")</f>
        <v>4.63019287109</v>
      </c>
      <c r="F2072" s="133" t="str">
        <f>HYPERLINK(AA2 &amp; "/pencil/sn_d7d810eec60b107740dcd50b8cfbe557/rendering/03.obj", "4.73681640625")</f>
        <v>4.73681640625</v>
      </c>
      <c r="G2072" s="24" t="str">
        <f>HYPERLINK(AA2 &amp; "/pencil/sn_d7d810eec60b107740dcd50b8cfbe557/rendering/04.obj", "4.39359313965")</f>
        <v>4.39359313965</v>
      </c>
      <c r="H2072" s="47" t="str">
        <f>HYPERLINK(AA2 &amp; "/pencil/sn_d7d810eec60b107740dcd50b8cfbe557/rendering/05.obj", "5.32256225586")</f>
        <v>5.32256225586</v>
      </c>
      <c r="I2072" s="64" t="str">
        <f>HYPERLINK(AA2 &amp; "/pencil/sn_d7d810eec60b107740dcd50b8cfbe557/rendering/06.obj", "4.41291046143")</f>
        <v>4.41291046143</v>
      </c>
      <c r="J2072" s="63" t="str">
        <f>HYPERLINK(AA2 &amp; "/pencil/sn_d7d810eec60b107740dcd50b8cfbe557/rendering/07.obj", "5.91822021484")</f>
        <v>5.91822021484</v>
      </c>
      <c r="K2072" s="67" t="str">
        <f>HYPERLINK(AA2 &amp; "/pencil/sn_d7d810eec60b107740dcd50b8cfbe557/rendering/08.obj", "5.75830505371")</f>
        <v>5.75830505371</v>
      </c>
      <c r="L2072" s="32" t="str">
        <f>HYPERLINK(AA2 &amp; "/pencil/sn_d7d810eec60b107740dcd50b8cfbe557/rendering/09.obj", "5.82654541016")</f>
        <v>5.82654541016</v>
      </c>
      <c r="M2072" s="93" t="str">
        <f>HYPERLINK(AA2 &amp; "/pencil/sn_d7d810eec60b107740dcd50b8cfbe557/rendering/10.obj", "4.53655303955")</f>
        <v>4.53655303955</v>
      </c>
      <c r="N2072" s="77" t="str">
        <f>HYPERLINK(AA2 &amp; "/pencil/sn_d7d810eec60b107740dcd50b8cfbe557/rendering/11.obj", "4.29670227051")</f>
        <v>4.29670227051</v>
      </c>
      <c r="O2072" s="31" t="str">
        <f>HYPERLINK(AA2 &amp; "/pencil/sn_d7d810eec60b107740dcd50b8cfbe557/rendering/12.obj", "4.45726226807")</f>
        <v>4.45726226807</v>
      </c>
      <c r="P2072" s="32" t="str">
        <f>HYPERLINK(AA2 &amp; "/pencil/sn_d7d810eec60b107740dcd50b8cfbe557/rendering/13.obj", "4.71352600098")</f>
        <v>4.71352600098</v>
      </c>
      <c r="Q2072" s="87" t="str">
        <f>HYPERLINK(AA2 &amp; "/pencil/sn_d7d810eec60b107740dcd50b8cfbe557/rendering/14.obj", "4.07952331543")</f>
        <v>4.07952331543</v>
      </c>
      <c r="R2072" s="65" t="str">
        <f>HYPERLINK(AA2 &amp; "/pencil/sn_d7d810eec60b107740dcd50b8cfbe557/rendering/15.obj", "4.57236022949")</f>
        <v>4.57236022949</v>
      </c>
      <c r="S2072" s="94" t="str">
        <f>HYPERLINK(AA2 &amp; "/pencil/sn_d7d810eec60b107740dcd50b8cfbe557/rendering/16.obj", "4.88238433838")</f>
        <v>4.88238433838</v>
      </c>
      <c r="T2072" s="94" t="str">
        <f>HYPERLINK(AA2 &amp; "/pencil/sn_d7d810eec60b107740dcd50b8cfbe557/rendering/17.obj", "4.89023376465")</f>
        <v>4.89023376465</v>
      </c>
      <c r="U2072" s="20" t="str">
        <f>HYPERLINK(AA2 &amp; "/pencil/sn_d7d810eec60b107740dcd50b8cfbe557/rendering/18.obj", "14.395267334")</f>
        <v>14.395267334</v>
      </c>
      <c r="V2072" s="66" t="str">
        <f>HYPERLINK(AA2 &amp; "/pencil/sn_d7d810eec60b107740dcd50b8cfbe557/rendering/19.obj", "4.41557861328")</f>
        <v>4.41557861328</v>
      </c>
      <c r="W2072" s="12" t="s">
        <v>29</v>
      </c>
      <c r="X2072" s="13">
        <v>5.2762802124023436</v>
      </c>
      <c r="Y2072" s="13">
        <v>2.1523707164631789</v>
      </c>
      <c r="Z2072" s="158">
        <v>0.40793336021158422</v>
      </c>
    </row>
    <row r="2073" spans="1:26" x14ac:dyDescent="0.2">
      <c r="A2073" s="1">
        <v>2071</v>
      </c>
      <c r="B2073" s="2" t="s">
        <v>447</v>
      </c>
      <c r="C2073" s="160" t="str">
        <f>HYPERLINK(AA2 &amp; "/pencil/sn_d7d810eec60b107740dcd50b8cfbe557/rendering/00.obj", "1.05903863907")</f>
        <v>1.05903863907</v>
      </c>
      <c r="D2073" s="179" t="str">
        <f>HYPERLINK(AA2 &amp; "/pencil/sn_d7d810eec60b107740dcd50b8cfbe557/rendering/01.obj", "1.28766191006")</f>
        <v>1.28766191006</v>
      </c>
      <c r="E2073" s="197" t="str">
        <f>HYPERLINK(AA2 &amp; "/pencil/sn_d7d810eec60b107740dcd50b8cfbe557/rendering/02.obj", "0.974289476871")</f>
        <v>0.974289476871</v>
      </c>
      <c r="F2073" s="62" t="str">
        <f>HYPERLINK(AA2 &amp; "/pencil/sn_d7d810eec60b107740dcd50b8cfbe557/rendering/03.obj", "0.90695297718")</f>
        <v>0.90695297718</v>
      </c>
      <c r="G2073" s="167" t="str">
        <f>HYPERLINK(AA2 &amp; "/pencil/sn_d7d810eec60b107740dcd50b8cfbe557/rendering/04.obj", "0.888661444187")</f>
        <v>0.888661444187</v>
      </c>
      <c r="H2073" s="109" t="str">
        <f>HYPERLINK(AA2 &amp; "/pencil/sn_d7d810eec60b107740dcd50b8cfbe557/rendering/05.obj", "1.81920981407")</f>
        <v>1.81920981407</v>
      </c>
      <c r="I2073" s="16" t="str">
        <f>HYPERLINK(AA2 &amp; "/pencil/sn_d7d810eec60b107740dcd50b8cfbe557/rendering/06.obj", "1.02743053436")</f>
        <v>1.02743053436</v>
      </c>
      <c r="J2073" s="158" t="str">
        <f>HYPERLINK(AA2 &amp; "/pencil/sn_d7d810eec60b107740dcd50b8cfbe557/rendering/07.obj", "3.17073869705")</f>
        <v>3.17073869705</v>
      </c>
      <c r="K2073" s="65" t="str">
        <f>HYPERLINK(AA2 &amp; "/pencil/sn_d7d810eec60b107740dcd50b8cfbe557/rendering/08.obj", "2.54886698723")</f>
        <v>2.54886698723</v>
      </c>
      <c r="L2073" s="48" t="str">
        <f>HYPERLINK(AA2 &amp; "/pencil/sn_d7d810eec60b107740dcd50b8cfbe557/rendering/09.obj", "2.19291043282")</f>
        <v>2.19291043282</v>
      </c>
      <c r="M2073" s="141" t="str">
        <f>HYPERLINK(AA2 &amp; "/pencil/sn_d7d810eec60b107740dcd50b8cfbe557/rendering/10.obj", "1.01057815552")</f>
        <v>1.01057815552</v>
      </c>
      <c r="N2073" s="235" t="str">
        <f>HYPERLINK(AA2 &amp; "/pencil/sn_d7d810eec60b107740dcd50b8cfbe557/rendering/11.obj", "1.03022766113")</f>
        <v>1.03022766113</v>
      </c>
      <c r="O2073" s="112" t="str">
        <f>HYPERLINK(AA2 &amp; "/pencil/sn_d7d810eec60b107740dcd50b8cfbe557/rendering/12.obj", "0.91070920229")</f>
        <v>0.91070920229</v>
      </c>
      <c r="P2073" s="126" t="str">
        <f>HYPERLINK(AA2 &amp; "/pencil/sn_d7d810eec60b107740dcd50b8cfbe557/rendering/13.obj", "1.1220792532")</f>
        <v>1.1220792532</v>
      </c>
      <c r="Q2073" s="206" t="str">
        <f>HYPERLINK(AA2 &amp; "/pencil/sn_d7d810eec60b107740dcd50b8cfbe557/rendering/14.obj", "0.91975569725")</f>
        <v>0.91975569725</v>
      </c>
      <c r="R2073" s="249" t="str">
        <f>HYPERLINK(AA2 &amp; "/pencil/sn_d7d810eec60b107740dcd50b8cfbe557/rendering/15.obj", "0.961924314499")</f>
        <v>0.961924314499</v>
      </c>
      <c r="S2073" s="21" t="str">
        <f>HYPERLINK(AA2 &amp; "/pencil/sn_d7d810eec60b107740dcd50b8cfbe557/rendering/16.obj", "1.00514507294")</f>
        <v>1.00514507294</v>
      </c>
      <c r="T2073" s="106" t="str">
        <f>HYPERLINK(AA2 &amp; "/pencil/sn_d7d810eec60b107740dcd50b8cfbe557/rendering/17.obj", "1.98870837688")</f>
        <v>1.98870837688</v>
      </c>
      <c r="U2073" s="20" t="str">
        <f>HYPERLINK(AA2 &amp; "/pencil/sn_d7d810eec60b107740dcd50b8cfbe557/rendering/18.obj", "19.148273468")</f>
        <v>19.148273468</v>
      </c>
      <c r="V2073" s="226" t="str">
        <f>HYPERLINK(AA2 &amp; "/pencil/sn_d7d810eec60b107740dcd50b8cfbe557/rendering/19.obj", "0.979948997498")</f>
        <v>0.979948997498</v>
      </c>
      <c r="W2073" s="12" t="s">
        <v>30</v>
      </c>
      <c r="X2073" s="13">
        <v>2.2476555556058879</v>
      </c>
      <c r="Y2073" s="13">
        <v>3.9277897316046682</v>
      </c>
      <c r="Z2073" s="20">
        <v>1.7475051823702921</v>
      </c>
    </row>
    <row r="2074" spans="1:26" x14ac:dyDescent="0.2">
      <c r="A2074" s="1">
        <v>2072</v>
      </c>
      <c r="B2074" s="2" t="s">
        <v>447</v>
      </c>
      <c r="C2074" s="30" t="str">
        <f>HYPERLINK(AB2 &amp; "/pencil/sn_d7d810eec60b107740dcd50b8cfbe557/rendering/00.obj", "4.0140838623")</f>
        <v>4.0140838623</v>
      </c>
      <c r="D2074" s="92" t="str">
        <f>HYPERLINK(AB2 &amp; "/pencil/sn_d7d810eec60b107740dcd50b8cfbe557/rendering/01.obj", "3.53407440186")</f>
        <v>3.53407440186</v>
      </c>
      <c r="E2074" s="78" t="str">
        <f>HYPERLINK(AB2 &amp; "/pencil/sn_d7d810eec60b107740dcd50b8cfbe557/rendering/02.obj", "3.78004089355")</f>
        <v>3.78004089355</v>
      </c>
      <c r="F2074" s="46" t="str">
        <f>HYPERLINK(AB2 &amp; "/pencil/sn_d7d810eec60b107740dcd50b8cfbe557/rendering/03.obj", "3.96010009766")</f>
        <v>3.96010009766</v>
      </c>
      <c r="G2074" s="72" t="str">
        <f>HYPERLINK(AB2 &amp; "/pencil/sn_d7d810eec60b107740dcd50b8cfbe557/rendering/04.obj", "4.16684204102")</f>
        <v>4.16684204102</v>
      </c>
      <c r="H2074" s="60" t="str">
        <f>HYPERLINK(AB2 &amp; "/pencil/sn_d7d810eec60b107740dcd50b8cfbe557/rendering/05.obj", "4.24040985107")</f>
        <v>4.24040985107</v>
      </c>
      <c r="I2074" s="91" t="str">
        <f>HYPERLINK(AB2 &amp; "/pencil/sn_d7d810eec60b107740dcd50b8cfbe557/rendering/06.obj", "4.13552429199")</f>
        <v>4.13552429199</v>
      </c>
      <c r="J2074" s="34" t="str">
        <f>HYPERLINK(AB2 &amp; "/pencil/sn_d7d810eec60b107740dcd50b8cfbe557/rendering/07.obj", "4.22156860352")</f>
        <v>4.22156860352</v>
      </c>
      <c r="K2074" s="48" t="str">
        <f>HYPERLINK(AB2 &amp; "/pencil/sn_d7d810eec60b107740dcd50b8cfbe557/rendering/08.obj", "3.93938018799")</f>
        <v>3.93938018799</v>
      </c>
      <c r="L2074" s="74" t="str">
        <f>HYPERLINK(AB2 &amp; "/pencil/sn_d7d810eec60b107740dcd50b8cfbe557/rendering/09.obj", "3.97577026367")</f>
        <v>3.97577026367</v>
      </c>
      <c r="M2074" s="34" t="str">
        <f>HYPERLINK(AB2 &amp; "/pencil/sn_d7d810eec60b107740dcd50b8cfbe557/rendering/10.obj", "3.83777282715")</f>
        <v>3.83777282715</v>
      </c>
      <c r="N2074" s="46" t="str">
        <f>HYPERLINK(AB2 &amp; "/pencil/sn_d7d810eec60b107740dcd50b8cfbe557/rendering/11.obj", "3.96167419434")</f>
        <v>3.96167419434</v>
      </c>
      <c r="O2074" s="23" t="str">
        <f>HYPERLINK(AB2 &amp; "/pencil/sn_d7d810eec60b107740dcd50b8cfbe557/rendering/12.obj", "4.18656646729")</f>
        <v>4.18656646729</v>
      </c>
      <c r="P2074" s="73" t="str">
        <f>HYPERLINK(AB2 &amp; "/pencil/sn_d7d810eec60b107740dcd50b8cfbe557/rendering/13.obj", "4.17302490234")</f>
        <v>4.17302490234</v>
      </c>
      <c r="Q2074" s="17" t="str">
        <f>HYPERLINK(AB2 &amp; "/pencil/sn_d7d810eec60b107740dcd50b8cfbe557/rendering/14.obj", "4.1048425293")</f>
        <v>4.1048425293</v>
      </c>
      <c r="R2074" s="17" t="str">
        <f>HYPERLINK(AB2 &amp; "/pencil/sn_d7d810eec60b107740dcd50b8cfbe557/rendering/15.obj", "4.11671234131")</f>
        <v>4.11671234131</v>
      </c>
      <c r="S2074" s="25" t="str">
        <f>HYPERLINK(AB2 &amp; "/pencil/sn_d7d810eec60b107740dcd50b8cfbe557/rendering/16.obj", "3.98431213379")</f>
        <v>3.98431213379</v>
      </c>
      <c r="T2074" s="72" t="str">
        <f>HYPERLINK(AB2 &amp; "/pencil/sn_d7d810eec60b107740dcd50b8cfbe557/rendering/17.obj", "4.15966247559")</f>
        <v>4.15966247559</v>
      </c>
      <c r="U2074" s="65" t="str">
        <f>HYPERLINK(AB2 &amp; "/pencil/sn_d7d810eec60b107740dcd50b8cfbe557/rendering/18.obj", "4.56622131348")</f>
        <v>4.56622131348</v>
      </c>
      <c r="V2074" s="70" t="str">
        <f>HYPERLINK(AB2 &amp; "/pencil/sn_d7d810eec60b107740dcd50b8cfbe557/rendering/19.obj", "3.51092712402")</f>
        <v>3.51092712402</v>
      </c>
      <c r="W2074" s="12" t="s">
        <v>31</v>
      </c>
      <c r="X2074" s="13">
        <v>4.028475540161133</v>
      </c>
      <c r="Y2074" s="13">
        <v>0.23569878744028189</v>
      </c>
      <c r="Z2074" s="35">
        <v>5.8508183825500992E-2</v>
      </c>
    </row>
    <row r="2075" spans="1:26" x14ac:dyDescent="0.2">
      <c r="A2075" s="1">
        <v>2073</v>
      </c>
      <c r="B2075" s="2" t="s">
        <v>447</v>
      </c>
      <c r="C2075" s="94" t="str">
        <f>HYPERLINK(AB2 &amp; "/pencil/sn_d7d810eec60b107740dcd50b8cfbe557/rendering/00.obj", "0.861595034599")</f>
        <v>0.861595034599</v>
      </c>
      <c r="D2075" s="47" t="str">
        <f>HYPERLINK(AB2 &amp; "/pencil/sn_d7d810eec60b107740dcd50b8cfbe557/rendering/01.obj", "0.923470556736")</f>
        <v>0.923470556736</v>
      </c>
      <c r="E2075" s="73" t="str">
        <f>HYPERLINK(AB2 &amp; "/pencil/sn_d7d810eec60b107740dcd50b8cfbe557/rendering/02.obj", "0.963891267776")</f>
        <v>0.963891267776</v>
      </c>
      <c r="F2075" s="87" t="str">
        <f>HYPERLINK(AB2 &amp; "/pencil/sn_d7d810eec60b107740dcd50b8cfbe557/rendering/03.obj", "1.14087665081")</f>
        <v>1.14087665081</v>
      </c>
      <c r="G2075" s="17" t="str">
        <f>HYPERLINK(AB2 &amp; "/pencil/sn_d7d810eec60b107740dcd50b8cfbe557/rendering/04.obj", "0.949903905392")</f>
        <v>0.949903905392</v>
      </c>
      <c r="H2075" s="88" t="str">
        <f>HYPERLINK(AB2 &amp; "/pencil/sn_d7d810eec60b107740dcd50b8cfbe557/rendering/05.obj", "1.11817336082")</f>
        <v>1.11817336082</v>
      </c>
      <c r="I2075" s="70" t="str">
        <f>HYPERLINK(AB2 &amp; "/pencil/sn_d7d810eec60b107740dcd50b8cfbe557/rendering/06.obj", "0.81246972084")</f>
        <v>0.81246972084</v>
      </c>
      <c r="J2075" s="90" t="str">
        <f>HYPERLINK(AB2 &amp; "/pencil/sn_d7d810eec60b107740dcd50b8cfbe557/rendering/07.obj", "0.84111982584")</f>
        <v>0.84111982584</v>
      </c>
      <c r="K2075" s="133" t="str">
        <f>HYPERLINK(AB2 &amp; "/pencil/sn_d7d810eec60b107740dcd50b8cfbe557/rendering/08.obj", "0.83490717411")</f>
        <v>0.83490717411</v>
      </c>
      <c r="L2075" s="107" t="str">
        <f>HYPERLINK(AB2 &amp; "/pencil/sn_d7d810eec60b107740dcd50b8cfbe557/rendering/09.obj", "0.851909101009")</f>
        <v>0.851909101009</v>
      </c>
      <c r="M2075" s="48" t="str">
        <f>HYPERLINK(AB2 &amp; "/pencil/sn_d7d810eec60b107740dcd50b8cfbe557/rendering/10.obj", "0.907291352749")</f>
        <v>0.907291352749</v>
      </c>
      <c r="N2075" s="10" t="str">
        <f>HYPERLINK(AB2 &amp; "/pencil/sn_d7d810eec60b107740dcd50b8cfbe557/rendering/11.obj", "0.87792724371")</f>
        <v>0.87792724371</v>
      </c>
      <c r="O2075" s="39" t="str">
        <f>HYPERLINK(AB2 &amp; "/pencil/sn_d7d810eec60b107740dcd50b8cfbe557/rendering/12.obj", "0.849651157856")</f>
        <v>0.849651157856</v>
      </c>
      <c r="P2075" s="78" t="str">
        <f>HYPERLINK(AB2 &amp; "/pencil/sn_d7d810eec60b107740dcd50b8cfbe557/rendering/13.obj", "0.986434459686")</f>
        <v>0.986434459686</v>
      </c>
      <c r="Q2075" s="13" t="str">
        <f>HYPERLINK(AB2 &amp; "/pencil/sn_d7d810eec60b107740dcd50b8cfbe557/rendering/14.obj", "0.932044446468")</f>
        <v>0.932044446468</v>
      </c>
      <c r="R2075" s="5" t="str">
        <f>HYPERLINK(AB2 &amp; "/pencil/sn_d7d810eec60b107740dcd50b8cfbe557/rendering/15.obj", "0.858995974064")</f>
        <v>0.858995974064</v>
      </c>
      <c r="S2075" s="47" t="str">
        <f>HYPERLINK(AB2 &amp; "/pencil/sn_d7d810eec60b107740dcd50b8cfbe557/rendering/16.obj", "0.921379745007")</f>
        <v>0.921379745007</v>
      </c>
      <c r="T2075" s="70" t="str">
        <f>HYPERLINK(AB2 &amp; "/pencil/sn_d7d810eec60b107740dcd50b8cfbe557/rendering/17.obj", "0.811780035496")</f>
        <v>0.811780035496</v>
      </c>
      <c r="U2075" s="176" t="str">
        <f>HYPERLINK(AB2 &amp; "/pencil/sn_d7d810eec60b107740dcd50b8cfbe557/rendering/18.obj", "1.22717797756")</f>
        <v>1.22717797756</v>
      </c>
      <c r="V2075" s="13" t="str">
        <f>HYPERLINK(AB2 &amp; "/pencil/sn_d7d810eec60b107740dcd50b8cfbe557/rendering/19.obj", "0.930987000465")</f>
        <v>0.930987000465</v>
      </c>
      <c r="W2075" s="12" t="s">
        <v>32</v>
      </c>
      <c r="X2075" s="13">
        <v>0.93009929955005644</v>
      </c>
      <c r="Y2075" s="13">
        <v>0.1102901411635137</v>
      </c>
      <c r="Z2075" s="71">
        <v>0.1185788885303618</v>
      </c>
    </row>
    <row r="2076" spans="1:26" x14ac:dyDescent="0.2">
      <c r="A2076" s="1">
        <v>2074</v>
      </c>
      <c r="B2076" s="2" t="s">
        <v>447</v>
      </c>
      <c r="C2076" s="13" t="str">
        <f>HYPERLINK(AC2 &amp; "/pencil/sn_d7d810eec60b107740dcd50b8cfbe557/rendering/00.xyz", "0.0")</f>
        <v>0.0</v>
      </c>
      <c r="D2076" s="13" t="str">
        <f>HYPERLINK(AC2 &amp; "/pencil/sn_d7d810eec60b107740dcd50b8cfbe557/rendering/01.xyz", "0.0")</f>
        <v>0.0</v>
      </c>
      <c r="E2076" s="13" t="str">
        <f>HYPERLINK(AC2 &amp; "/pencil/sn_d7d810eec60b107740dcd50b8cfbe557/rendering/02.xyz", "0.0")</f>
        <v>0.0</v>
      </c>
      <c r="F2076" s="13" t="str">
        <f>HYPERLINK(AC2 &amp; "/pencil/sn_d7d810eec60b107740dcd50b8cfbe557/rendering/03.xyz", "0.0")</f>
        <v>0.0</v>
      </c>
      <c r="G2076" s="13" t="str">
        <f>HYPERLINK(AC2 &amp; "/pencil/sn_d7d810eec60b107740dcd50b8cfbe557/rendering/04.xyz", "0.0")</f>
        <v>0.0</v>
      </c>
      <c r="H2076" s="13" t="str">
        <f>HYPERLINK(AC2 &amp; "/pencil/sn_d7d810eec60b107740dcd50b8cfbe557/rendering/05.xyz", "0.0")</f>
        <v>0.0</v>
      </c>
      <c r="I2076" s="13" t="str">
        <f>HYPERLINK(AC2 &amp; "/pencil/sn_d7d810eec60b107740dcd50b8cfbe557/rendering/06.xyz", "0.0")</f>
        <v>0.0</v>
      </c>
      <c r="J2076" s="13" t="str">
        <f>HYPERLINK(AC2 &amp; "/pencil/sn_d7d810eec60b107740dcd50b8cfbe557/rendering/07.xyz", "0.0")</f>
        <v>0.0</v>
      </c>
      <c r="K2076" s="13" t="str">
        <f>HYPERLINK(AC2 &amp; "/pencil/sn_d7d810eec60b107740dcd50b8cfbe557/rendering/08.xyz", "0.0")</f>
        <v>0.0</v>
      </c>
      <c r="L2076" s="13" t="str">
        <f>HYPERLINK(AC2 &amp; "/pencil/sn_d7d810eec60b107740dcd50b8cfbe557/rendering/09.xyz", "0.0")</f>
        <v>0.0</v>
      </c>
      <c r="M2076" s="13" t="str">
        <f>HYPERLINK(AC2 &amp; "/pencil/sn_d7d810eec60b107740dcd50b8cfbe557/rendering/10.xyz", "0.0")</f>
        <v>0.0</v>
      </c>
      <c r="N2076" s="13" t="str">
        <f>HYPERLINK(AC2 &amp; "/pencil/sn_d7d810eec60b107740dcd50b8cfbe557/rendering/11.xyz", "0.0")</f>
        <v>0.0</v>
      </c>
      <c r="O2076" s="13" t="str">
        <f>HYPERLINK(AC2 &amp; "/pencil/sn_d7d810eec60b107740dcd50b8cfbe557/rendering/12.xyz", "0.0")</f>
        <v>0.0</v>
      </c>
      <c r="P2076" s="13" t="str">
        <f>HYPERLINK(AC2 &amp; "/pencil/sn_d7d810eec60b107740dcd50b8cfbe557/rendering/13.xyz", "0.0")</f>
        <v>0.0</v>
      </c>
      <c r="Q2076" s="13" t="str">
        <f>HYPERLINK(AC2 &amp; "/pencil/sn_d7d810eec60b107740dcd50b8cfbe557/rendering/14.xyz", "0.0")</f>
        <v>0.0</v>
      </c>
      <c r="R2076" s="13" t="str">
        <f>HYPERLINK(AC2 &amp; "/pencil/sn_d7d810eec60b107740dcd50b8cfbe557/rendering/15.xyz", "0.0")</f>
        <v>0.0</v>
      </c>
      <c r="S2076" s="13" t="str">
        <f>HYPERLINK(AC2 &amp; "/pencil/sn_d7d810eec60b107740dcd50b8cfbe557/rendering/16.xyz", "0.0")</f>
        <v>0.0</v>
      </c>
      <c r="T2076" s="13" t="str">
        <f>HYPERLINK(AC2 &amp; "/pencil/sn_d7d810eec60b107740dcd50b8cfbe557/rendering/17.xyz", "0.0")</f>
        <v>0.0</v>
      </c>
      <c r="U2076" s="13" t="str">
        <f>HYPERLINK(AC2 &amp; "/pencil/sn_d7d810eec60b107740dcd50b8cfbe557/rendering/18.xyz", "0.0")</f>
        <v>0.0</v>
      </c>
      <c r="V2076" s="13" t="str">
        <f>HYPERLINK(AC2 &amp; "/pencil/sn_d7d810eec60b107740dcd50b8cfbe557/rendering/19.xyz", "0.0")</f>
        <v>0.0</v>
      </c>
      <c r="W2076" s="12" t="s">
        <v>33</v>
      </c>
      <c r="X2076" s="13">
        <v>0</v>
      </c>
      <c r="Y2076" s="13">
        <v>0</v>
      </c>
      <c r="Z2076" s="13">
        <v>0</v>
      </c>
    </row>
    <row r="2077" spans="1:26" x14ac:dyDescent="0.2">
      <c r="A2077" s="1">
        <v>2075</v>
      </c>
      <c r="B2077" s="2" t="s">
        <v>448</v>
      </c>
      <c r="C2077" s="30" t="str">
        <f>HYPERLINK(AA2 &amp; "/pencil/sn_d7e57368ef8f2c34e63cdd8c980b2e49/rendering/00.obj", "3.41169464111")</f>
        <v>3.41169464111</v>
      </c>
      <c r="D2077" s="68" t="str">
        <f>HYPERLINK(AA2 &amp; "/pencil/sn_d7e57368ef8f2c34e63cdd8c980b2e49/rendering/01.obj", "3.56975891113")</f>
        <v>3.56975891113</v>
      </c>
      <c r="E2077" s="17" t="str">
        <f>HYPERLINK(AA2 &amp; "/pencil/sn_d7e57368ef8f2c34e63cdd8c980b2e49/rendering/02.obj", "3.36054382324")</f>
        <v>3.36054382324</v>
      </c>
      <c r="F2077" s="7" t="str">
        <f>HYPERLINK(AA2 &amp; "/pencil/sn_d7e57368ef8f2c34e63cdd8c980b2e49/rendering/03.obj", "4.37550720215")</f>
        <v>4.37550720215</v>
      </c>
      <c r="G2077" s="25" t="str">
        <f>HYPERLINK(AA2 &amp; "/pencil/sn_d7e57368ef8f2c34e63cdd8c980b2e49/rendering/04.obj", "3.39344360352")</f>
        <v>3.39344360352</v>
      </c>
      <c r="H2077" s="90" t="str">
        <f>HYPERLINK(AA2 &amp; "/pencil/sn_d7e57368ef8f2c34e63cdd8c980b2e49/rendering/05.obj", "3.10046508789")</f>
        <v>3.10046508789</v>
      </c>
      <c r="I2077" s="74" t="str">
        <f>HYPERLINK(AA2 &amp; "/pencil/sn_d7e57368ef8f2c34e63cdd8c980b2e49/rendering/06.obj", "3.37534545898")</f>
        <v>3.37534545898</v>
      </c>
      <c r="J2077" s="74" t="str">
        <f>HYPERLINK(AA2 &amp; "/pencil/sn_d7e57368ef8f2c34e63cdd8c980b2e49/rendering/07.obj", "3.38290435791")</f>
        <v>3.38290435791</v>
      </c>
      <c r="K2077" s="110" t="str">
        <f>HYPERLINK(AA2 &amp; "/pencil/sn_d7e57368ef8f2c34e63cdd8c980b2e49/rendering/08.obj", "3.08853759766")</f>
        <v>3.08853759766</v>
      </c>
      <c r="L2077" s="34" t="str">
        <f>HYPERLINK(AA2 &amp; "/pencil/sn_d7e57368ef8f2c34e63cdd8c980b2e49/rendering/09.obj", "3.2556463623")</f>
        <v>3.2556463623</v>
      </c>
      <c r="M2077" s="74" t="str">
        <f>HYPERLINK(AA2 &amp; "/pencil/sn_d7e57368ef8f2c34e63cdd8c980b2e49/rendering/10.obj", "3.38322570801")</f>
        <v>3.38322570801</v>
      </c>
      <c r="N2077" s="30" t="str">
        <f>HYPERLINK(AA2 &amp; "/pencil/sn_d7e57368ef8f2c34e63cdd8c980b2e49/rendering/11.obj", "3.40723480225")</f>
        <v>3.40723480225</v>
      </c>
      <c r="O2077" s="48" t="str">
        <f>HYPERLINK(AA2 &amp; "/pencil/sn_d7e57368ef8f2c34e63cdd8c980b2e49/rendering/12.obj", "3.51147216797")</f>
        <v>3.51147216797</v>
      </c>
      <c r="P2077" s="133" t="str">
        <f>HYPERLINK(AA2 &amp; "/pencil/sn_d7e57368ef8f2c34e63cdd8c980b2e49/rendering/13.obj", "3.07466705322")</f>
        <v>3.07466705322</v>
      </c>
      <c r="Q2077" s="107" t="str">
        <f>HYPERLINK(AA2 &amp; "/pencil/sn_d7e57368ef8f2c34e63cdd8c980b2e49/rendering/14.obj", "3.13914611816")</f>
        <v>3.13914611816</v>
      </c>
      <c r="R2077" s="41" t="str">
        <f>HYPERLINK(AA2 &amp; "/pencil/sn_d7e57368ef8f2c34e63cdd8c980b2e49/rendering/15.obj", "3.19276489258")</f>
        <v>3.19276489258</v>
      </c>
      <c r="S2077" s="113" t="str">
        <f>HYPERLINK(AA2 &amp; "/pencil/sn_d7e57368ef8f2c34e63cdd8c980b2e49/rendering/16.obj", "4.36354736328")</f>
        <v>4.36354736328</v>
      </c>
      <c r="T2077" s="47" t="str">
        <f>HYPERLINK(AA2 &amp; "/pencil/sn_d7e57368ef8f2c34e63cdd8c980b2e49/rendering/17.obj", "3.44982971191")</f>
        <v>3.44982971191</v>
      </c>
      <c r="U2077" s="28" t="str">
        <f>HYPERLINK(AA2 &amp; "/pencil/sn_d7e57368ef8f2c34e63cdd8c980b2e49/rendering/18.obj", "3.04471588135")</f>
        <v>3.04471588135</v>
      </c>
      <c r="V2077" s="26" t="str">
        <f>HYPERLINK(AA2 &amp; "/pencil/sn_d7e57368ef8f2c34e63cdd8c980b2e49/rendering/19.obj", "3.65029052734")</f>
        <v>3.65029052734</v>
      </c>
      <c r="W2077" s="12" t="s">
        <v>29</v>
      </c>
      <c r="X2077" s="13">
        <v>3.4265370635986341</v>
      </c>
      <c r="Y2077" s="13">
        <v>0.3553817516917539</v>
      </c>
      <c r="Z2077" s="32">
        <v>0.1037145506076981</v>
      </c>
    </row>
    <row r="2078" spans="1:26" x14ac:dyDescent="0.2">
      <c r="A2078" s="1">
        <v>2076</v>
      </c>
      <c r="B2078" s="2" t="s">
        <v>448</v>
      </c>
      <c r="C2078" s="110" t="str">
        <f>HYPERLINK(AA2 &amp; "/pencil/sn_d7e57368ef8f2c34e63cdd8c980b2e49/rendering/00.obj", "1.09704458714")</f>
        <v>1.09704458714</v>
      </c>
      <c r="D2078" s="73" t="str">
        <f>HYPERLINK(AA2 &amp; "/pencil/sn_d7e57368ef8f2c34e63cdd8c980b2e49/rendering/01.obj", "1.17369675636")</f>
        <v>1.17369675636</v>
      </c>
      <c r="E2078" s="107" t="str">
        <f>HYPERLINK(AA2 &amp; "/pencil/sn_d7e57368ef8f2c34e63cdd8c980b2e49/rendering/02.obj", "1.11684823036")</f>
        <v>1.11684823036</v>
      </c>
      <c r="F2078" s="115" t="str">
        <f>HYPERLINK(AA2 &amp; "/pencil/sn_d7e57368ef8f2c34e63cdd8c980b2e49/rendering/03.obj", "1.99339199066")</f>
        <v>1.99339199066</v>
      </c>
      <c r="G2078" s="79" t="str">
        <f>HYPERLINK(AA2 &amp; "/pencil/sn_d7e57368ef8f2c34e63cdd8c980b2e49/rendering/04.obj", "1.02366375923")</f>
        <v>1.02366375923</v>
      </c>
      <c r="H2078" s="99" t="str">
        <f>HYPERLINK(AA2 &amp; "/pencil/sn_d7e57368ef8f2c34e63cdd8c980b2e49/rendering/05.obj", "0.888154685497")</f>
        <v>0.888154685497</v>
      </c>
      <c r="I2078" s="37" t="str">
        <f>HYPERLINK(AA2 &amp; "/pencil/sn_d7e57368ef8f2c34e63cdd8c980b2e49/rendering/06.obj", "1.0055410862")</f>
        <v>1.0055410862</v>
      </c>
      <c r="J2078" s="24" t="str">
        <f>HYPERLINK(AA2 &amp; "/pencil/sn_d7e57368ef8f2c34e63cdd8c980b2e49/rendering/07.obj", "1.01292109489")</f>
        <v>1.01292109489</v>
      </c>
      <c r="K2078" s="82" t="str">
        <f>HYPERLINK(AA2 &amp; "/pencil/sn_d7e57368ef8f2c34e63cdd8c980b2e49/rendering/08.obj", "0.966883718967")</f>
        <v>0.966883718967</v>
      </c>
      <c r="L2078" s="78" t="str">
        <f>HYPERLINK(AA2 &amp; "/pencil/sn_d7e57368ef8f2c34e63cdd8c980b2e49/rendering/09.obj", "1.29260981083")</f>
        <v>1.29260981083</v>
      </c>
      <c r="M2078" s="66" t="str">
        <f>HYPERLINK(AA2 &amp; "/pencil/sn_d7e57368ef8f2c34e63cdd8c980b2e49/rendering/10.obj", "1.4147541523")</f>
        <v>1.4147541523</v>
      </c>
      <c r="N2078" s="71" t="str">
        <f>HYPERLINK(AA2 &amp; "/pencil/sn_d7e57368ef8f2c34e63cdd8c980b2e49/rendering/11.obj", "1.36194503307")</f>
        <v>1.36194503307</v>
      </c>
      <c r="O2078" s="34" t="str">
        <f>HYPERLINK(AA2 &amp; "/pencil/sn_d7e57368ef8f2c34e63cdd8c980b2e49/rendering/12.obj", "1.1575460434")</f>
        <v>1.1575460434</v>
      </c>
      <c r="P2078" s="63" t="str">
        <f>HYPERLINK(AA2 &amp; "/pencil/sn_d7e57368ef8f2c34e63cdd8c980b2e49/rendering/13.obj", "1.07194292545")</f>
        <v>1.07194292545</v>
      </c>
      <c r="Q2078" s="58" t="str">
        <f>HYPERLINK(AA2 &amp; "/pencil/sn_d7e57368ef8f2c34e63cdd8c980b2e49/rendering/14.obj", "0.922981262207")</f>
        <v>0.922981262207</v>
      </c>
      <c r="R2078" s="17" t="str">
        <f>HYPERLINK(AA2 &amp; "/pencil/sn_d7e57368ef8f2c34e63cdd8c980b2e49/rendering/15.obj", "1.19439649582")</f>
        <v>1.19439649582</v>
      </c>
      <c r="S2078" s="20" t="str">
        <f>HYPERLINK(AA2 &amp; "/pencil/sn_d7e57368ef8f2c34e63cdd8c980b2e49/rendering/16.obj", "2.37033081055")</f>
        <v>2.37033081055</v>
      </c>
      <c r="T2078" s="108" t="str">
        <f>HYPERLINK(AA2 &amp; "/pencil/sn_d7e57368ef8f2c34e63cdd8c980b2e49/rendering/17.obj", "0.918933331966")</f>
        <v>0.918933331966</v>
      </c>
      <c r="U2078" s="75" t="str">
        <f>HYPERLINK(AA2 &amp; "/pencil/sn_d7e57368ef8f2c34e63cdd8c980b2e49/rendering/18.obj", "0.948440849781")</f>
        <v>0.948440849781</v>
      </c>
      <c r="V2078" s="66" t="str">
        <f>HYPERLINK(AA2 &amp; "/pencil/sn_d7e57368ef8f2c34e63cdd8c980b2e49/rendering/19.obj", "1.41595840454")</f>
        <v>1.41595840454</v>
      </c>
      <c r="W2078" s="12" t="s">
        <v>30</v>
      </c>
      <c r="X2078" s="13">
        <v>1.217399251461029</v>
      </c>
      <c r="Y2078" s="13">
        <v>0.36274003012012951</v>
      </c>
      <c r="Z2078" s="85">
        <v>0.29796307964276858</v>
      </c>
    </row>
    <row r="2079" spans="1:26" x14ac:dyDescent="0.2">
      <c r="A2079" s="1">
        <v>2077</v>
      </c>
      <c r="B2079" s="2" t="s">
        <v>448</v>
      </c>
      <c r="C2079" s="74" t="str">
        <f>HYPERLINK(AB2 &amp; "/pencil/sn_d7e57368ef8f2c34e63cdd8c980b2e49/rendering/00.obj", "5.0410345459")</f>
        <v>5.0410345459</v>
      </c>
      <c r="D2079" s="46" t="str">
        <f>HYPERLINK(AB2 &amp; "/pencil/sn_d7e57368ef8f2c34e63cdd8c980b2e49/rendering/01.obj", "4.89351898193")</f>
        <v>4.89351898193</v>
      </c>
      <c r="E2079" s="17" t="str">
        <f>HYPERLINK(AB2 &amp; "/pencil/sn_d7e57368ef8f2c34e63cdd8c980b2e49/rendering/02.obj", "4.87016387939")</f>
        <v>4.87016387939</v>
      </c>
      <c r="F2079" s="30" t="str">
        <f>HYPERLINK(AB2 &amp; "/pencil/sn_d7e57368ef8f2c34e63cdd8c980b2e49/rendering/03.obj", "4.94848419189")</f>
        <v>4.94848419189</v>
      </c>
      <c r="G2079" s="17" t="str">
        <f>HYPERLINK(AB2 &amp; "/pencil/sn_d7e57368ef8f2c34e63cdd8c980b2e49/rendering/04.obj", "4.8682232666")</f>
        <v>4.8682232666</v>
      </c>
      <c r="H2079" s="6" t="str">
        <f>HYPERLINK(AB2 &amp; "/pencil/sn_d7e57368ef8f2c34e63cdd8c980b2e49/rendering/05.obj", "4.74224060059")</f>
        <v>4.74224060059</v>
      </c>
      <c r="I2079" s="72" t="str">
        <f>HYPERLINK(AB2 &amp; "/pencil/sn_d7e57368ef8f2c34e63cdd8c980b2e49/rendering/06.obj", "5.1439239502")</f>
        <v>5.1439239502</v>
      </c>
      <c r="J2079" s="17" t="str">
        <f>HYPERLINK(AB2 &amp; "/pencil/sn_d7e57368ef8f2c34e63cdd8c980b2e49/rendering/07.obj", "5.08000274658")</f>
        <v>5.08000274658</v>
      </c>
      <c r="K2079" s="30" t="str">
        <f>HYPERLINK(AB2 &amp; "/pencil/sn_d7e57368ef8f2c34e63cdd8c980b2e49/rendering/08.obj", "5.0002331543")</f>
        <v>5.0002331543</v>
      </c>
      <c r="L2079" s="48" t="str">
        <f>HYPERLINK(AB2 &amp; "/pencil/sn_d7e57368ef8f2c34e63cdd8c980b2e49/rendering/09.obj", "4.85123046875")</f>
        <v>4.85123046875</v>
      </c>
      <c r="M2079" s="30" t="str">
        <f>HYPERLINK(AB2 &amp; "/pencil/sn_d7e57368ef8f2c34e63cdd8c980b2e49/rendering/10.obj", "4.94911224365")</f>
        <v>4.94911224365</v>
      </c>
      <c r="N2079" s="73" t="str">
        <f>HYPERLINK(AB2 &amp; "/pencil/sn_d7e57368ef8f2c34e63cdd8c980b2e49/rendering/11.obj", "4.79718170166")</f>
        <v>4.79718170166</v>
      </c>
      <c r="O2079" s="73" t="str">
        <f>HYPERLINK(AB2 &amp; "/pencil/sn_d7e57368ef8f2c34e63cdd8c980b2e49/rendering/12.obj", "5.15917724609")</f>
        <v>5.15917724609</v>
      </c>
      <c r="P2079" s="30" t="str">
        <f>HYPERLINK(AB2 &amp; "/pencil/sn_d7e57368ef8f2c34e63cdd8c980b2e49/rendering/13.obj", "5.00017883301")</f>
        <v>5.00017883301</v>
      </c>
      <c r="Q2079" s="46" t="str">
        <f>HYPERLINK(AB2 &amp; "/pencil/sn_d7e57368ef8f2c34e63cdd8c980b2e49/rendering/14.obj", "4.89033752441")</f>
        <v>4.89033752441</v>
      </c>
      <c r="R2079" s="69" t="str">
        <f>HYPERLINK(AB2 &amp; "/pencil/sn_d7e57368ef8f2c34e63cdd8c980b2e49/rendering/15.obj", "5.1189276123")</f>
        <v>5.1189276123</v>
      </c>
      <c r="S2079" s="48" t="str">
        <f>HYPERLINK(AB2 &amp; "/pencil/sn_d7e57368ef8f2c34e63cdd8c980b2e49/rendering/16.obj", "5.09193145752")</f>
        <v>5.09193145752</v>
      </c>
      <c r="T2079" s="48" t="str">
        <f>HYPERLINK(AB2 &amp; "/pencil/sn_d7e57368ef8f2c34e63cdd8c980b2e49/rendering/17.obj", "4.86106689453")</f>
        <v>4.86106689453</v>
      </c>
      <c r="U2079" s="74" t="str">
        <f>HYPERLINK(AB2 &amp; "/pencil/sn_d7e57368ef8f2c34e63cdd8c980b2e49/rendering/18.obj", "4.90940673828")</f>
        <v>4.90940673828</v>
      </c>
      <c r="V2079" s="10" t="str">
        <f>HYPERLINK(AB2 &amp; "/pencil/sn_d7e57368ef8f2c34e63cdd8c980b2e49/rendering/19.obj", "5.2395300293")</f>
        <v>5.2395300293</v>
      </c>
      <c r="W2079" s="12" t="s">
        <v>31</v>
      </c>
      <c r="X2079" s="13">
        <v>4.9727953033447267</v>
      </c>
      <c r="Y2079" s="13">
        <v>0.13025952505419611</v>
      </c>
      <c r="Z2079" s="91">
        <v>2.619442730059347E-2</v>
      </c>
    </row>
    <row r="2080" spans="1:26" x14ac:dyDescent="0.2">
      <c r="A2080" s="1">
        <v>2078</v>
      </c>
      <c r="B2080" s="2" t="s">
        <v>448</v>
      </c>
      <c r="C2080" s="60" t="str">
        <f>HYPERLINK(AB2 &amp; "/pencil/sn_d7e57368ef8f2c34e63cdd8c980b2e49/rendering/00.obj", "1.15739607811")</f>
        <v>1.15739607811</v>
      </c>
      <c r="D2080" s="67" t="str">
        <f>HYPERLINK(AB2 &amp; "/pencil/sn_d7e57368ef8f2c34e63cdd8c980b2e49/rendering/01.obj", "1.20308065414")</f>
        <v>1.20308065414</v>
      </c>
      <c r="E2080" s="48" t="str">
        <f>HYPERLINK(AB2 &amp; "/pencil/sn_d7e57368ef8f2c34e63cdd8c980b2e49/rendering/02.obj", "1.07635223866")</f>
        <v>1.07635223866</v>
      </c>
      <c r="F2080" s="42" t="str">
        <f>HYPERLINK(AB2 &amp; "/pencil/sn_d7e57368ef8f2c34e63cdd8c980b2e49/rendering/03.obj", "0.951646208763")</f>
        <v>0.951646208763</v>
      </c>
      <c r="G2080" s="48" t="str">
        <f>HYPERLINK(AB2 &amp; "/pencil/sn_d7e57368ef8f2c34e63cdd8c980b2e49/rendering/04.obj", "1.12785792351")</f>
        <v>1.12785792351</v>
      </c>
      <c r="H2080" s="28" t="str">
        <f>HYPERLINK(AB2 &amp; "/pencil/sn_d7e57368ef8f2c34e63cdd8c980b2e49/rendering/05.obj", "0.979690253735")</f>
        <v>0.979690253735</v>
      </c>
      <c r="I2080" s="63" t="str">
        <f>HYPERLINK(AB2 &amp; "/pencil/sn_d7e57368ef8f2c34e63cdd8c980b2e49/rendering/06.obj", "1.23624682426")</f>
        <v>1.23624682426</v>
      </c>
      <c r="J2080" s="71" t="str">
        <f>HYPERLINK(AB2 &amp; "/pencil/sn_d7e57368ef8f2c34e63cdd8c980b2e49/rendering/07.obj", "1.23128712177")</f>
        <v>1.23128712177</v>
      </c>
      <c r="K2080" s="25" t="str">
        <f>HYPERLINK(AB2 &amp; "/pencil/sn_d7e57368ef8f2c34e63cdd8c980b2e49/rendering/08.obj", "1.088083148")</f>
        <v>1.088083148</v>
      </c>
      <c r="L2080" s="34" t="str">
        <f>HYPERLINK(AB2 &amp; "/pencil/sn_d7e57368ef8f2c34e63cdd8c980b2e49/rendering/09.obj", "1.04684352875")</f>
        <v>1.04684352875</v>
      </c>
      <c r="M2080" s="46" t="str">
        <f>HYPERLINK(AB2 &amp; "/pencil/sn_d7e57368ef8f2c34e63cdd8c980b2e49/rendering/10.obj", "1.08113884926")</f>
        <v>1.08113884926</v>
      </c>
      <c r="N2080" s="107" t="str">
        <f>HYPERLINK(AB2 &amp; "/pencil/sn_d7e57368ef8f2c34e63cdd8c980b2e49/rendering/11.obj", "1.01062548161")</f>
        <v>1.01062548161</v>
      </c>
      <c r="O2080" s="94" t="str">
        <f>HYPERLINK(AB2 &amp; "/pencil/sn_d7e57368ef8f2c34e63cdd8c980b2e49/rendering/12.obj", "1.02122664452")</f>
        <v>1.02122664452</v>
      </c>
      <c r="P2080" s="60" t="str">
        <f>HYPERLINK(AB2 &amp; "/pencil/sn_d7e57368ef8f2c34e63cdd8c980b2e49/rendering/13.obj", "1.04373025894")</f>
        <v>1.04373025894</v>
      </c>
      <c r="Q2080" s="47" t="str">
        <f>HYPERLINK(AB2 &amp; "/pencil/sn_d7e57368ef8f2c34e63cdd8c980b2e49/rendering/14.obj", "1.11122739315")</f>
        <v>1.11122739315</v>
      </c>
      <c r="R2080" s="64" t="str">
        <f>HYPERLINK(AB2 &amp; "/pencil/sn_d7e57368ef8f2c34e63cdd8c980b2e49/rendering/15.obj", "1.28276526928")</f>
        <v>1.28276526928</v>
      </c>
      <c r="S2080" s="8" t="str">
        <f>HYPERLINK(AB2 &amp; "/pencil/sn_d7e57368ef8f2c34e63cdd8c980b2e49/rendering/16.obj", "0.943637430668")</f>
        <v>0.943637430668</v>
      </c>
      <c r="T2080" s="91" t="str">
        <f>HYPERLINK(AB2 &amp; "/pencil/sn_d7e57368ef8f2c34e63cdd8c980b2e49/rendering/17.obj", "1.07278084755")</f>
        <v>1.07278084755</v>
      </c>
      <c r="U2080" s="26" t="str">
        <f>HYPERLINK(AB2 &amp; "/pencil/sn_d7e57368ef8f2c34e63cdd8c980b2e49/rendering/18.obj", "1.03212857246")</f>
        <v>1.03212857246</v>
      </c>
      <c r="V2080" s="49" t="str">
        <f>HYPERLINK(AB2 &amp; "/pencil/sn_d7e57368ef8f2c34e63cdd8c980b2e49/rendering/19.obj", "1.3328127861")</f>
        <v>1.3328127861</v>
      </c>
      <c r="W2080" s="12" t="s">
        <v>32</v>
      </c>
      <c r="X2080" s="13">
        <v>1.1015278756618501</v>
      </c>
      <c r="Y2080" s="13">
        <v>0.10623127209304729</v>
      </c>
      <c r="Z2080" s="90">
        <v>9.6439930790874054E-2</v>
      </c>
    </row>
    <row r="2081" spans="1:26" x14ac:dyDescent="0.2">
      <c r="A2081" s="1">
        <v>2079</v>
      </c>
      <c r="B2081" s="2" t="s">
        <v>448</v>
      </c>
      <c r="C2081" s="13" t="str">
        <f>HYPERLINK(AC2 &amp; "/pencil/sn_d7e57368ef8f2c34e63cdd8c980b2e49/rendering/00.xyz", "0.0")</f>
        <v>0.0</v>
      </c>
      <c r="D2081" s="13" t="str">
        <f>HYPERLINK(AC2 &amp; "/pencil/sn_d7e57368ef8f2c34e63cdd8c980b2e49/rendering/01.xyz", "0.0")</f>
        <v>0.0</v>
      </c>
      <c r="E2081" s="13" t="str">
        <f>HYPERLINK(AC2 &amp; "/pencil/sn_d7e57368ef8f2c34e63cdd8c980b2e49/rendering/02.xyz", "0.0")</f>
        <v>0.0</v>
      </c>
      <c r="F2081" s="13" t="str">
        <f>HYPERLINK(AC2 &amp; "/pencil/sn_d7e57368ef8f2c34e63cdd8c980b2e49/rendering/03.xyz", "0.0")</f>
        <v>0.0</v>
      </c>
      <c r="G2081" s="13" t="str">
        <f>HYPERLINK(AC2 &amp; "/pencil/sn_d7e57368ef8f2c34e63cdd8c980b2e49/rendering/04.xyz", "0.0")</f>
        <v>0.0</v>
      </c>
      <c r="H2081" s="13" t="str">
        <f>HYPERLINK(AC2 &amp; "/pencil/sn_d7e57368ef8f2c34e63cdd8c980b2e49/rendering/05.xyz", "0.0")</f>
        <v>0.0</v>
      </c>
      <c r="I2081" s="13" t="str">
        <f>HYPERLINK(AC2 &amp; "/pencil/sn_d7e57368ef8f2c34e63cdd8c980b2e49/rendering/06.xyz", "0.0")</f>
        <v>0.0</v>
      </c>
      <c r="J2081" s="13" t="str">
        <f>HYPERLINK(AC2 &amp; "/pencil/sn_d7e57368ef8f2c34e63cdd8c980b2e49/rendering/07.xyz", "0.0")</f>
        <v>0.0</v>
      </c>
      <c r="K2081" s="13" t="str">
        <f>HYPERLINK(AC2 &amp; "/pencil/sn_d7e57368ef8f2c34e63cdd8c980b2e49/rendering/08.xyz", "0.0")</f>
        <v>0.0</v>
      </c>
      <c r="L2081" s="13" t="str">
        <f>HYPERLINK(AC2 &amp; "/pencil/sn_d7e57368ef8f2c34e63cdd8c980b2e49/rendering/09.xyz", "0.0")</f>
        <v>0.0</v>
      </c>
      <c r="M2081" s="13" t="str">
        <f>HYPERLINK(AC2 &amp; "/pencil/sn_d7e57368ef8f2c34e63cdd8c980b2e49/rendering/10.xyz", "0.0")</f>
        <v>0.0</v>
      </c>
      <c r="N2081" s="13" t="str">
        <f>HYPERLINK(AC2 &amp; "/pencil/sn_d7e57368ef8f2c34e63cdd8c980b2e49/rendering/11.xyz", "0.0")</f>
        <v>0.0</v>
      </c>
      <c r="O2081" s="13" t="str">
        <f>HYPERLINK(AC2 &amp; "/pencil/sn_d7e57368ef8f2c34e63cdd8c980b2e49/rendering/12.xyz", "0.0")</f>
        <v>0.0</v>
      </c>
      <c r="P2081" s="13" t="str">
        <f>HYPERLINK(AC2 &amp; "/pencil/sn_d7e57368ef8f2c34e63cdd8c980b2e49/rendering/13.xyz", "0.0")</f>
        <v>0.0</v>
      </c>
      <c r="Q2081" s="13" t="str">
        <f>HYPERLINK(AC2 &amp; "/pencil/sn_d7e57368ef8f2c34e63cdd8c980b2e49/rendering/14.xyz", "0.0")</f>
        <v>0.0</v>
      </c>
      <c r="R2081" s="13" t="str">
        <f>HYPERLINK(AC2 &amp; "/pencil/sn_d7e57368ef8f2c34e63cdd8c980b2e49/rendering/15.xyz", "0.0")</f>
        <v>0.0</v>
      </c>
      <c r="S2081" s="13" t="str">
        <f>HYPERLINK(AC2 &amp; "/pencil/sn_d7e57368ef8f2c34e63cdd8c980b2e49/rendering/16.xyz", "0.0")</f>
        <v>0.0</v>
      </c>
      <c r="T2081" s="13" t="str">
        <f>HYPERLINK(AC2 &amp; "/pencil/sn_d7e57368ef8f2c34e63cdd8c980b2e49/rendering/17.xyz", "0.0")</f>
        <v>0.0</v>
      </c>
      <c r="U2081" s="13" t="str">
        <f>HYPERLINK(AC2 &amp; "/pencil/sn_d7e57368ef8f2c34e63cdd8c980b2e49/rendering/18.xyz", "0.0")</f>
        <v>0.0</v>
      </c>
      <c r="V2081" s="13" t="str">
        <f>HYPERLINK(AC2 &amp; "/pencil/sn_d7e57368ef8f2c34e63cdd8c980b2e49/rendering/19.xyz", "0.0")</f>
        <v>0.0</v>
      </c>
      <c r="W2081" s="12" t="s">
        <v>33</v>
      </c>
      <c r="X2081" s="13">
        <v>0</v>
      </c>
      <c r="Y2081" s="13">
        <v>0</v>
      </c>
      <c r="Z2081" s="13">
        <v>0</v>
      </c>
    </row>
    <row r="2082" spans="1:26" x14ac:dyDescent="0.2">
      <c r="A2082" s="1">
        <v>2080</v>
      </c>
      <c r="B2082" s="2" t="s">
        <v>449</v>
      </c>
      <c r="C2082" s="23" t="str">
        <f>HYPERLINK(AA2 &amp; "/pencil/sn_d839dabf17d48bebf9141b0ebfe81fea/rendering/00.obj", "4.50585021973")</f>
        <v>4.50585021973</v>
      </c>
      <c r="D2082" s="10" t="str">
        <f>HYPERLINK(AA2 &amp; "/pencil/sn_d839dabf17d48bebf9141b0ebfe81fea/rendering/01.obj", "4.95160217285")</f>
        <v>4.95160217285</v>
      </c>
      <c r="E2082" s="6" t="str">
        <f>HYPERLINK(AA2 &amp; "/pencil/sn_d839dabf17d48bebf9141b0ebfe81fea/rendering/02.obj", "4.47033813477")</f>
        <v>4.47033813477</v>
      </c>
      <c r="F2082" s="28" t="str">
        <f>HYPERLINK(AA2 &amp; "/pencil/sn_d839dabf17d48bebf9141b0ebfe81fea/rendering/03.obj", "4.16062835693")</f>
        <v>4.16062835693</v>
      </c>
      <c r="G2082" s="94" t="str">
        <f>HYPERLINK(AA2 &amp; "/pencil/sn_d839dabf17d48bebf9141b0ebfe81fea/rendering/04.obj", "4.34015319824")</f>
        <v>4.34015319824</v>
      </c>
      <c r="H2082" s="48" t="str">
        <f>HYPERLINK(AA2 &amp; "/pencil/sn_d839dabf17d48bebf9141b0ebfe81fea/rendering/05.obj", "4.80359954834")</f>
        <v>4.80359954834</v>
      </c>
      <c r="I2082" s="68" t="str">
        <f>HYPERLINK(AA2 &amp; "/pencil/sn_d839dabf17d48bebf9141b0ebfe81fea/rendering/06.obj", "4.49370697021")</f>
        <v>4.49370697021</v>
      </c>
      <c r="J2082" s="33" t="str">
        <f>HYPERLINK(AA2 &amp; "/pencil/sn_d839dabf17d48bebf9141b0ebfe81fea/rendering/07.obj", "4.18789550781")</f>
        <v>4.18789550781</v>
      </c>
      <c r="K2082" s="28" t="str">
        <f>HYPERLINK(AA2 &amp; "/pencil/sn_d839dabf17d48bebf9141b0ebfe81fea/rendering/08.obj", "5.20735107422")</f>
        <v>5.20735107422</v>
      </c>
      <c r="L2082" s="46" t="str">
        <f>HYPERLINK(AA2 &amp; "/pencil/sn_d839dabf17d48bebf9141b0ebfe81fea/rendering/09.obj", "4.61480255127")</f>
        <v>4.61480255127</v>
      </c>
      <c r="M2082" s="94" t="str">
        <f>HYPERLINK(AA2 &amp; "/pencil/sn_d839dabf17d48bebf9141b0ebfe81fea/rendering/10.obj", "5.03044311523")</f>
        <v>5.03044311523</v>
      </c>
      <c r="N2082" s="71" t="str">
        <f>HYPERLINK(AA2 &amp; "/pencil/sn_d839dabf17d48bebf9141b0ebfe81fea/rendering/11.obj", "5.23502197266")</f>
        <v>5.23502197266</v>
      </c>
      <c r="O2082" s="60" t="str">
        <f>HYPERLINK(AA2 &amp; "/pencil/sn_d839dabf17d48bebf9141b0ebfe81fea/rendering/12.obj", "4.45305999756")</f>
        <v>4.45305999756</v>
      </c>
      <c r="P2082" s="23" t="str">
        <f>HYPERLINK(AA2 &amp; "/pencil/sn_d839dabf17d48bebf9141b0ebfe81fea/rendering/13.obj", "4.88072814941")</f>
        <v>4.88072814941</v>
      </c>
      <c r="Q2082" s="10" t="str">
        <f>HYPERLINK(AA2 &amp; "/pencil/sn_d839dabf17d48bebf9141b0ebfe81fea/rendering/14.obj", "4.42944702148")</f>
        <v>4.42944702148</v>
      </c>
      <c r="R2082" s="30" t="str">
        <f>HYPERLINK(AA2 &amp; "/pencil/sn_d839dabf17d48bebf9141b0ebfe81fea/rendering/15.obj", "4.70987762451")</f>
        <v>4.70987762451</v>
      </c>
      <c r="S2082" s="78" t="str">
        <f>HYPERLINK(AA2 &amp; "/pencil/sn_d839dabf17d48bebf9141b0ebfe81fea/rendering/16.obj", "4.39954528809")</f>
        <v>4.39954528809</v>
      </c>
      <c r="T2082" s="106" t="str">
        <f>HYPERLINK(AA2 &amp; "/pencil/sn_d839dabf17d48bebf9141b0ebfe81fea/rendering/17.obj", "5.22636962891")</f>
        <v>5.22636962891</v>
      </c>
      <c r="U2082" s="35" t="str">
        <f>HYPERLINK(AA2 &amp; "/pencil/sn_d839dabf17d48bebf9141b0ebfe81fea/rendering/18.obj", "4.96347229004")</f>
        <v>4.96347229004</v>
      </c>
      <c r="V2082" s="47" t="str">
        <f>HYPERLINK(AA2 &amp; "/pencil/sn_d839dabf17d48bebf9141b0ebfe81fea/rendering/19.obj", "4.72806427002")</f>
        <v>4.72806427002</v>
      </c>
      <c r="W2082" s="12" t="s">
        <v>29</v>
      </c>
      <c r="X2082" s="13">
        <v>4.6895978546142576</v>
      </c>
      <c r="Y2082" s="13">
        <v>0.32803331498194588</v>
      </c>
      <c r="Z2082" s="27">
        <v>6.99491353313339E-2</v>
      </c>
    </row>
    <row r="2083" spans="1:26" x14ac:dyDescent="0.2">
      <c r="A2083" s="1">
        <v>2081</v>
      </c>
      <c r="B2083" s="2" t="s">
        <v>449</v>
      </c>
      <c r="C2083" s="24" t="str">
        <f>HYPERLINK(AA2 &amp; "/pencil/sn_d839dabf17d48bebf9141b0ebfe81fea/rendering/00.obj", "1.19224369526")</f>
        <v>1.19224369526</v>
      </c>
      <c r="D2083" s="176" t="str">
        <f>HYPERLINK(AA2 &amp; "/pencil/sn_d839dabf17d48bebf9141b0ebfe81fea/rendering/01.obj", "1.89005458355")</f>
        <v>1.89005458355</v>
      </c>
      <c r="E2083" s="66" t="str">
        <f>HYPERLINK(AA2 &amp; "/pencil/sn_d839dabf17d48bebf9141b0ebfe81fea/rendering/02.obj", "1.20371448994")</f>
        <v>1.20371448994</v>
      </c>
      <c r="F2083" s="71" t="str">
        <f>HYPERLINK(AA2 &amp; "/pencil/sn_d839dabf17d48bebf9141b0ebfe81fea/rendering/03.obj", "1.26784241199")</f>
        <v>1.26784241199</v>
      </c>
      <c r="G2083" s="31" t="str">
        <f>HYPERLINK(AA2 &amp; "/pencil/sn_d839dabf17d48bebf9141b0ebfe81fea/rendering/04.obj", "1.21012282372")</f>
        <v>1.21012282372</v>
      </c>
      <c r="H2083" s="44" t="str">
        <f>HYPERLINK(AA2 &amp; "/pencil/sn_d839dabf17d48bebf9141b0ebfe81fea/rendering/05.obj", "1.15259361267")</f>
        <v>1.15259361267</v>
      </c>
      <c r="I2083" s="133" t="str">
        <f>HYPERLINK(AA2 &amp; "/pencil/sn_d839dabf17d48bebf9141b0ebfe81fea/rendering/06.obj", "1.28940069675")</f>
        <v>1.28940069675</v>
      </c>
      <c r="J2083" s="87" t="str">
        <f>HYPERLINK(AA2 &amp; "/pencil/sn_d839dabf17d48bebf9141b0ebfe81fea/rendering/07.obj", "1.1087937355")</f>
        <v>1.1087937355</v>
      </c>
      <c r="K2083" s="118" t="str">
        <f>HYPERLINK(AA2 &amp; "/pencil/sn_d839dabf17d48bebf9141b0ebfe81fea/rendering/08.obj", "1.85489666462")</f>
        <v>1.85489666462</v>
      </c>
      <c r="L2083" s="32" t="str">
        <f>HYPERLINK(AA2 &amp; "/pencil/sn_d839dabf17d48bebf9141b0ebfe81fea/rendering/09.obj", "1.28451955318")</f>
        <v>1.28451955318</v>
      </c>
      <c r="M2083" s="92" t="str">
        <f>HYPERLINK(AA2 &amp; "/pencil/sn_d839dabf17d48bebf9141b0ebfe81fea/rendering/10.obj", "1.61368870735")</f>
        <v>1.61368870735</v>
      </c>
      <c r="N2083" s="245" t="str">
        <f>HYPERLINK(AA2 &amp; "/pencil/sn_d839dabf17d48bebf9141b0ebfe81fea/rendering/11.obj", "2.4664068222")</f>
        <v>2.4664068222</v>
      </c>
      <c r="O2083" s="98" t="str">
        <f>HYPERLINK(AA2 &amp; "/pencil/sn_d839dabf17d48bebf9141b0ebfe81fea/rendering/12.obj", "1.10169327259")</f>
        <v>1.10169327259</v>
      </c>
      <c r="P2083" s="84" t="str">
        <f>HYPERLINK(AA2 &amp; "/pencil/sn_d839dabf17d48bebf9141b0ebfe81fea/rendering/13.obj", "1.64188706875")</f>
        <v>1.64188706875</v>
      </c>
      <c r="Q2083" s="59" t="str">
        <f>HYPERLINK(AA2 &amp; "/pencil/sn_d839dabf17d48bebf9141b0ebfe81fea/rendering/14.obj", "1.08881962299")</f>
        <v>1.08881962299</v>
      </c>
      <c r="R2083" s="69" t="str">
        <f>HYPERLINK(AA2 &amp; "/pencil/sn_d839dabf17d48bebf9141b0ebfe81fea/rendering/15.obj", "1.4786195755")</f>
        <v>1.4786195755</v>
      </c>
      <c r="S2083" s="14" t="str">
        <f>HYPERLINK(AA2 &amp; "/pencil/sn_d839dabf17d48bebf9141b0ebfe81fea/rendering/16.obj", "1.0173137188")</f>
        <v>1.0173137188</v>
      </c>
      <c r="T2083" s="156" t="str">
        <f>HYPERLINK(AA2 &amp; "/pencil/sn_d839dabf17d48bebf9141b0ebfe81fea/rendering/17.obj", "2.07565236092")</f>
        <v>2.07565236092</v>
      </c>
      <c r="U2083" s="50" t="str">
        <f>HYPERLINK(AA2 &amp; "/pencil/sn_d839dabf17d48bebf9141b0ebfe81fea/rendering/18.obj", "1.71895456314")</f>
        <v>1.71895456314</v>
      </c>
      <c r="V2083" s="95" t="str">
        <f>HYPERLINK(AA2 &amp; "/pencil/sn_d839dabf17d48bebf9141b0ebfe81fea/rendering/19.obj", "1.03016936779")</f>
        <v>1.03016936779</v>
      </c>
      <c r="W2083" s="12" t="s">
        <v>30</v>
      </c>
      <c r="X2083" s="13">
        <v>1.4343693673610689</v>
      </c>
      <c r="Y2083" s="13">
        <v>0.38762781848192812</v>
      </c>
      <c r="Z2083" s="99">
        <v>0.27024267758525822</v>
      </c>
    </row>
    <row r="2084" spans="1:26" x14ac:dyDescent="0.2">
      <c r="A2084" s="1">
        <v>2082</v>
      </c>
      <c r="B2084" s="2" t="s">
        <v>449</v>
      </c>
      <c r="C2084" s="74" t="str">
        <f>HYPERLINK(AB2 &amp; "/pencil/sn_d839dabf17d48bebf9141b0ebfe81fea/rendering/00.obj", "5.90688964844")</f>
        <v>5.90688964844</v>
      </c>
      <c r="D2084" s="48" t="str">
        <f>HYPERLINK(AB2 &amp; "/pencil/sn_d839dabf17d48bebf9141b0ebfe81fea/rendering/01.obj", "5.85072814941")</f>
        <v>5.85072814941</v>
      </c>
      <c r="E2084" s="74" t="str">
        <f>HYPERLINK(AB2 &amp; "/pencil/sn_d839dabf17d48bebf9141b0ebfe81fea/rendering/02.obj", "6.06143615723")</f>
        <v>6.06143615723</v>
      </c>
      <c r="F2084" s="46" t="str">
        <f>HYPERLINK(AB2 &amp; "/pencil/sn_d839dabf17d48bebf9141b0ebfe81fea/rendering/03.obj", "5.87902832031")</f>
        <v>5.87902832031</v>
      </c>
      <c r="G2084" s="17" t="str">
        <f>HYPERLINK(AB2 &amp; "/pencil/sn_d839dabf17d48bebf9141b0ebfe81fea/rendering/04.obj", "6.10692443848")</f>
        <v>6.10692443848</v>
      </c>
      <c r="H2084" s="46" t="str">
        <f>HYPERLINK(AB2 &amp; "/pencil/sn_d839dabf17d48bebf9141b0ebfe81fea/rendering/05.obj", "5.88901977539")</f>
        <v>5.88901977539</v>
      </c>
      <c r="I2084" s="69" t="str">
        <f>HYPERLINK(AB2 &amp; "/pencil/sn_d839dabf17d48bebf9141b0ebfe81fea/rendering/06.obj", "6.15560058594")</f>
        <v>6.15560058594</v>
      </c>
      <c r="J2084" s="72" t="str">
        <f>HYPERLINK(AB2 &amp; "/pencil/sn_d839dabf17d48bebf9141b0ebfe81fea/rendering/07.obj", "5.78232177734")</f>
        <v>5.78232177734</v>
      </c>
      <c r="K2084" s="13" t="str">
        <f>HYPERLINK(AB2 &amp; "/pencil/sn_d839dabf17d48bebf9141b0ebfe81fea/rendering/08.obj", "5.97768920898")</f>
        <v>5.97768920898</v>
      </c>
      <c r="L2084" s="25" t="str">
        <f>HYPERLINK(AB2 &amp; "/pencil/sn_d839dabf17d48bebf9141b0ebfe81fea/rendering/09.obj", "6.05626647949")</f>
        <v>6.05626647949</v>
      </c>
      <c r="M2084" s="74" t="str">
        <f>HYPERLINK(AB2 &amp; "/pencil/sn_d839dabf17d48bebf9141b0ebfe81fea/rendering/10.obj", "6.06819519043")</f>
        <v>6.06819519043</v>
      </c>
      <c r="N2084" s="30" t="str">
        <f>HYPERLINK(AB2 &amp; "/pencil/sn_d839dabf17d48bebf9141b0ebfe81fea/rendering/11.obj", "5.95072937012")</f>
        <v>5.95072937012</v>
      </c>
      <c r="O2084" s="74" t="str">
        <f>HYPERLINK(AB2 &amp; "/pencil/sn_d839dabf17d48bebf9141b0ebfe81fea/rendering/12.obj", "6.07102844238")</f>
        <v>6.07102844238</v>
      </c>
      <c r="P2084" s="72" t="str">
        <f>HYPERLINK(AB2 &amp; "/pencil/sn_d839dabf17d48bebf9141b0ebfe81fea/rendering/13.obj", "6.18134887695")</f>
        <v>6.18134887695</v>
      </c>
      <c r="Q2084" s="46" t="str">
        <f>HYPERLINK(AB2 &amp; "/pencil/sn_d839dabf17d48bebf9141b0ebfe81fea/rendering/14.obj", "5.87062072754")</f>
        <v>5.87062072754</v>
      </c>
      <c r="R2084" s="74" t="str">
        <f>HYPERLINK(AB2 &amp; "/pencil/sn_d839dabf17d48bebf9141b0ebfe81fea/rendering/15.obj", "5.8919329834")</f>
        <v>5.8919329834</v>
      </c>
      <c r="S2084" s="17" t="str">
        <f>HYPERLINK(AB2 &amp; "/pencil/sn_d839dabf17d48bebf9141b0ebfe81fea/rendering/16.obj", "5.8644140625")</f>
        <v>5.8644140625</v>
      </c>
      <c r="T2084" s="23" t="str">
        <f>HYPERLINK(AB2 &amp; "/pencil/sn_d839dabf17d48bebf9141b0ebfe81fea/rendering/17.obj", "6.22557556152")</f>
        <v>6.22557556152</v>
      </c>
      <c r="U2084" s="69" t="str">
        <f>HYPERLINK(AB2 &amp; "/pencil/sn_d839dabf17d48bebf9141b0ebfe81fea/rendering/18.obj", "5.81041381836")</f>
        <v>5.81041381836</v>
      </c>
      <c r="V2084" s="74" t="str">
        <f>HYPERLINK(AB2 &amp; "/pencil/sn_d839dabf17d48bebf9141b0ebfe81fea/rendering/19.obj", "6.06356079102")</f>
        <v>6.06356079102</v>
      </c>
      <c r="W2084" s="12" t="s">
        <v>31</v>
      </c>
      <c r="X2084" s="13">
        <v>5.9831862182617197</v>
      </c>
      <c r="Y2084" s="13">
        <v>0.12755263153001761</v>
      </c>
      <c r="Z2084" s="17">
        <v>2.131851272499339E-2</v>
      </c>
    </row>
    <row r="2085" spans="1:26" x14ac:dyDescent="0.2">
      <c r="A2085" s="1">
        <v>2083</v>
      </c>
      <c r="B2085" s="2" t="s">
        <v>449</v>
      </c>
      <c r="C2085" s="17" t="str">
        <f>HYPERLINK(AB2 &amp; "/pencil/sn_d839dabf17d48bebf9141b0ebfe81fea/rendering/00.obj", "1.18171942234")</f>
        <v>1.18171942234</v>
      </c>
      <c r="D2085" s="91" t="str">
        <f>HYPERLINK(AB2 &amp; "/pencil/sn_d839dabf17d48bebf9141b0ebfe81fea/rendering/01.obj", "1.24202132225")</f>
        <v>1.24202132225</v>
      </c>
      <c r="E2085" s="69" t="str">
        <f>HYPERLINK(AB2 &amp; "/pencil/sn_d839dabf17d48bebf9141b0ebfe81fea/rendering/02.obj", "1.17196440697")</f>
        <v>1.17196440697</v>
      </c>
      <c r="F2085" s="47" t="str">
        <f>HYPERLINK(AB2 &amp; "/pencil/sn_d839dabf17d48bebf9141b0ebfe81fea/rendering/03.obj", "1.19903922081")</f>
        <v>1.19903922081</v>
      </c>
      <c r="G2085" s="73" t="str">
        <f>HYPERLINK(AB2 &amp; "/pencil/sn_d839dabf17d48bebf9141b0ebfe81fea/rendering/04.obj", "1.16641616821")</f>
        <v>1.16641616821</v>
      </c>
      <c r="H2085" s="63" t="str">
        <f>HYPERLINK(AB2 &amp; "/pencil/sn_d839dabf17d48bebf9141b0ebfe81fea/rendering/05.obj", "1.06320166588")</f>
        <v>1.06320166588</v>
      </c>
      <c r="I2085" s="30" t="str">
        <f>HYPERLINK(AB2 &amp; "/pencil/sn_d839dabf17d48bebf9141b0ebfe81fea/rendering/06.obj", "1.20232248306")</f>
        <v>1.20232248306</v>
      </c>
      <c r="J2085" s="110" t="str">
        <f>HYPERLINK(AB2 &amp; "/pencil/sn_d839dabf17d48bebf9141b0ebfe81fea/rendering/07.obj", "1.08848595619")</f>
        <v>1.08848595619</v>
      </c>
      <c r="K2085" s="13" t="str">
        <f>HYPERLINK(AB2 &amp; "/pencil/sn_d839dabf17d48bebf9141b0ebfe81fea/rendering/08.obj", "1.20835924149")</f>
        <v>1.20835924149</v>
      </c>
      <c r="L2085" s="30" t="str">
        <f>HYPERLINK(AB2 &amp; "/pencil/sn_d839dabf17d48bebf9141b0ebfe81fea/rendering/09.obj", "1.20197939873")</f>
        <v>1.20197939873</v>
      </c>
      <c r="M2085" s="35" t="str">
        <f>HYPERLINK(AB2 &amp; "/pencil/sn_d839dabf17d48bebf9141b0ebfe81fea/rendering/10.obj", "1.27865314484")</f>
        <v>1.27865314484</v>
      </c>
      <c r="N2085" s="25" t="str">
        <f>HYPERLINK(AB2 &amp; "/pencil/sn_d839dabf17d48bebf9141b0ebfe81fea/rendering/11.obj", "1.22099685669")</f>
        <v>1.22099685669</v>
      </c>
      <c r="O2085" s="60" t="str">
        <f>HYPERLINK(AB2 &amp; "/pencil/sn_d839dabf17d48bebf9141b0ebfe81fea/rendering/12.obj", "1.27253711224")</f>
        <v>1.27253711224</v>
      </c>
      <c r="P2085" s="76" t="str">
        <f>HYPERLINK(AB2 &amp; "/pencil/sn_d839dabf17d48bebf9141b0ebfe81fea/rendering/13.obj", "1.42985296249")</f>
        <v>1.42985296249</v>
      </c>
      <c r="Q2085" s="38" t="str">
        <f>HYPERLINK(AB2 &amp; "/pencil/sn_d839dabf17d48bebf9141b0ebfe81fea/rendering/14.obj", "1.10019671917")</f>
        <v>1.10019671917</v>
      </c>
      <c r="R2085" s="13" t="str">
        <f>HYPERLINK(AB2 &amp; "/pencil/sn_d839dabf17d48bebf9141b0ebfe81fea/rendering/15.obj", "1.20823633671")</f>
        <v>1.20823633671</v>
      </c>
      <c r="S2085" s="68" t="str">
        <f>HYPERLINK(AB2 &amp; "/pencil/sn_d839dabf17d48bebf9141b0ebfe81fea/rendering/16.obj", "1.2581526041")</f>
        <v>1.2581526041</v>
      </c>
      <c r="T2085" s="133" t="str">
        <f>HYPERLINK(AB2 &amp; "/pencil/sn_d839dabf17d48bebf9141b0ebfe81fea/rendering/17.obj", "1.33022737503")</f>
        <v>1.33022737503</v>
      </c>
      <c r="U2085" s="30" t="str">
        <f>HYPERLINK(AB2 &amp; "/pencil/sn_d839dabf17d48bebf9141b0ebfe81fea/rendering/18.obj", "1.20193433762")</f>
        <v>1.20193433762</v>
      </c>
      <c r="V2085" s="35" t="str">
        <f>HYPERLINK(AB2 &amp; "/pencil/sn_d839dabf17d48bebf9141b0ebfe81fea/rendering/19.obj", "1.13717150688")</f>
        <v>1.13717150688</v>
      </c>
      <c r="W2085" s="12" t="s">
        <v>32</v>
      </c>
      <c r="X2085" s="13">
        <v>1.20817341208458</v>
      </c>
      <c r="Y2085" s="13">
        <v>8.1531838631291542E-2</v>
      </c>
      <c r="Z2085" s="41">
        <v>6.7483556429715416E-2</v>
      </c>
    </row>
    <row r="2086" spans="1:26" x14ac:dyDescent="0.2">
      <c r="A2086" s="1">
        <v>2084</v>
      </c>
      <c r="B2086" s="2" t="s">
        <v>449</v>
      </c>
      <c r="C2086" s="13" t="str">
        <f>HYPERLINK(AC2 &amp; "/pencil/sn_d839dabf17d48bebf9141b0ebfe81fea/rendering/00.xyz", "0.0")</f>
        <v>0.0</v>
      </c>
      <c r="D2086" s="13" t="str">
        <f>HYPERLINK(AC2 &amp; "/pencil/sn_d839dabf17d48bebf9141b0ebfe81fea/rendering/01.xyz", "0.0")</f>
        <v>0.0</v>
      </c>
      <c r="E2086" s="13" t="str">
        <f>HYPERLINK(AC2 &amp; "/pencil/sn_d839dabf17d48bebf9141b0ebfe81fea/rendering/02.xyz", "0.0")</f>
        <v>0.0</v>
      </c>
      <c r="F2086" s="13" t="str">
        <f>HYPERLINK(AC2 &amp; "/pencil/sn_d839dabf17d48bebf9141b0ebfe81fea/rendering/03.xyz", "0.0")</f>
        <v>0.0</v>
      </c>
      <c r="G2086" s="13" t="str">
        <f>HYPERLINK(AC2 &amp; "/pencil/sn_d839dabf17d48bebf9141b0ebfe81fea/rendering/04.xyz", "0.0")</f>
        <v>0.0</v>
      </c>
      <c r="H2086" s="13" t="str">
        <f>HYPERLINK(AC2 &amp; "/pencil/sn_d839dabf17d48bebf9141b0ebfe81fea/rendering/05.xyz", "0.0")</f>
        <v>0.0</v>
      </c>
      <c r="I2086" s="13" t="str">
        <f>HYPERLINK(AC2 &amp; "/pencil/sn_d839dabf17d48bebf9141b0ebfe81fea/rendering/06.xyz", "0.0")</f>
        <v>0.0</v>
      </c>
      <c r="J2086" s="13" t="str">
        <f>HYPERLINK(AC2 &amp; "/pencil/sn_d839dabf17d48bebf9141b0ebfe81fea/rendering/07.xyz", "0.0")</f>
        <v>0.0</v>
      </c>
      <c r="K2086" s="13" t="str">
        <f>HYPERLINK(AC2 &amp; "/pencil/sn_d839dabf17d48bebf9141b0ebfe81fea/rendering/08.xyz", "0.0")</f>
        <v>0.0</v>
      </c>
      <c r="L2086" s="13" t="str">
        <f>HYPERLINK(AC2 &amp; "/pencil/sn_d839dabf17d48bebf9141b0ebfe81fea/rendering/09.xyz", "0.0")</f>
        <v>0.0</v>
      </c>
      <c r="M2086" s="13" t="str">
        <f>HYPERLINK(AC2 &amp; "/pencil/sn_d839dabf17d48bebf9141b0ebfe81fea/rendering/10.xyz", "0.0")</f>
        <v>0.0</v>
      </c>
      <c r="N2086" s="13" t="str">
        <f>HYPERLINK(AC2 &amp; "/pencil/sn_d839dabf17d48bebf9141b0ebfe81fea/rendering/11.xyz", "0.0")</f>
        <v>0.0</v>
      </c>
      <c r="O2086" s="13" t="str">
        <f>HYPERLINK(AC2 &amp; "/pencil/sn_d839dabf17d48bebf9141b0ebfe81fea/rendering/12.xyz", "0.0")</f>
        <v>0.0</v>
      </c>
      <c r="P2086" s="13" t="str">
        <f>HYPERLINK(AC2 &amp; "/pencil/sn_d839dabf17d48bebf9141b0ebfe81fea/rendering/13.xyz", "0.0")</f>
        <v>0.0</v>
      </c>
      <c r="Q2086" s="13" t="str">
        <f>HYPERLINK(AC2 &amp; "/pencil/sn_d839dabf17d48bebf9141b0ebfe81fea/rendering/14.xyz", "0.0")</f>
        <v>0.0</v>
      </c>
      <c r="R2086" s="13" t="str">
        <f>HYPERLINK(AC2 &amp; "/pencil/sn_d839dabf17d48bebf9141b0ebfe81fea/rendering/15.xyz", "0.0")</f>
        <v>0.0</v>
      </c>
      <c r="S2086" s="13" t="str">
        <f>HYPERLINK(AC2 &amp; "/pencil/sn_d839dabf17d48bebf9141b0ebfe81fea/rendering/16.xyz", "0.0")</f>
        <v>0.0</v>
      </c>
      <c r="T2086" s="13" t="str">
        <f>HYPERLINK(AC2 &amp; "/pencil/sn_d839dabf17d48bebf9141b0ebfe81fea/rendering/17.xyz", "0.0")</f>
        <v>0.0</v>
      </c>
      <c r="U2086" s="13" t="str">
        <f>HYPERLINK(AC2 &amp; "/pencil/sn_d839dabf17d48bebf9141b0ebfe81fea/rendering/18.xyz", "0.0")</f>
        <v>0.0</v>
      </c>
      <c r="V2086" s="13" t="str">
        <f>HYPERLINK(AC2 &amp; "/pencil/sn_d839dabf17d48bebf9141b0ebfe81fea/rendering/19.xyz", "0.0")</f>
        <v>0.0</v>
      </c>
      <c r="W2086" s="12" t="s">
        <v>33</v>
      </c>
      <c r="X2086" s="13">
        <v>0</v>
      </c>
      <c r="Y2086" s="13">
        <v>0</v>
      </c>
      <c r="Z2086" s="13">
        <v>0</v>
      </c>
    </row>
    <row r="2087" spans="1:26" x14ac:dyDescent="0.2">
      <c r="A2087" s="1">
        <v>2085</v>
      </c>
      <c r="B2087" s="2" t="s">
        <v>450</v>
      </c>
      <c r="C2087" s="78" t="str">
        <f>HYPERLINK(AA2 &amp; "/pencil/sn_d844bb2ff4c6101997224e3a2c616944/rendering/00.obj", "5.06450500488")</f>
        <v>5.06450500488</v>
      </c>
      <c r="D2087" s="6" t="str">
        <f>HYPERLINK(AA2 &amp; "/pencil/sn_d844bb2ff4c6101997224e3a2c616944/rendering/01.obj", "4.54871826172")</f>
        <v>4.54871826172</v>
      </c>
      <c r="E2087" s="51" t="str">
        <f>HYPERLINK(AA2 &amp; "/pencil/sn_d844bb2ff4c6101997224e3a2c616944/rendering/02.obj", "5.14506958008")</f>
        <v>5.14506958008</v>
      </c>
      <c r="F2087" s="6" t="str">
        <f>HYPERLINK(AA2 &amp; "/pencil/sn_d844bb2ff4c6101997224e3a2c616944/rendering/03.obj", "4.98703765869")</f>
        <v>4.98703765869</v>
      </c>
      <c r="G2087" s="34" t="str">
        <f>HYPERLINK(AA2 &amp; "/pencil/sn_d844bb2ff4c6101997224e3a2c616944/rendering/04.obj", "4.53911376953")</f>
        <v>4.53911376953</v>
      </c>
      <c r="H2087" s="13" t="str">
        <f>HYPERLINK(AA2 &amp; "/pencil/sn_d844bb2ff4c6101997224e3a2c616944/rendering/05.obj", "4.75741455078")</f>
        <v>4.75741455078</v>
      </c>
      <c r="I2087" s="60" t="str">
        <f>HYPERLINK(AA2 &amp; "/pencil/sn_d844bb2ff4c6101997224e3a2c616944/rendering/06.obj", "5.01095214844")</f>
        <v>5.01095214844</v>
      </c>
      <c r="J2087" s="87" t="str">
        <f>HYPERLINK(AA2 &amp; "/pencil/sn_d844bb2ff4c6101997224e3a2c616944/rendering/07.obj", "5.84875")</f>
        <v>5.84875</v>
      </c>
      <c r="K2087" s="29" t="str">
        <f>HYPERLINK(AA2 &amp; "/pencil/sn_d844bb2ff4c6101997224e3a2c616944/rendering/08.obj", "4.14890075684")</f>
        <v>4.14890075684</v>
      </c>
      <c r="L2087" s="32" t="str">
        <f>HYPERLINK(AA2 &amp; "/pencil/sn_d844bb2ff4c6101997224e3a2c616944/rendering/09.obj", "4.2668560791")</f>
        <v>4.2668560791</v>
      </c>
      <c r="M2087" s="40" t="str">
        <f>HYPERLINK(AA2 &amp; "/pencil/sn_d844bb2ff4c6101997224e3a2c616944/rendering/10.obj", "3.94697174072")</f>
        <v>3.94697174072</v>
      </c>
      <c r="N2087" s="79" t="str">
        <f>HYPERLINK(AA2 &amp; "/pencil/sn_d844bb2ff4c6101997224e3a2c616944/rendering/11.obj", "4.0155657959")</f>
        <v>4.0155657959</v>
      </c>
      <c r="O2087" s="32" t="str">
        <f>HYPERLINK(AA2 &amp; "/pencil/sn_d844bb2ff4c6101997224e3a2c616944/rendering/12.obj", "4.26430145264")</f>
        <v>4.26430145264</v>
      </c>
      <c r="P2087" s="28" t="str">
        <f>HYPERLINK(AA2 &amp; "/pencil/sn_d844bb2ff4c6101997224e3a2c616944/rendering/13.obj", "5.29828369141")</f>
        <v>5.29828369141</v>
      </c>
      <c r="Q2087" s="65" t="str">
        <f>HYPERLINK(AA2 &amp; "/pencil/sn_d844bb2ff4c6101997224e3a2c616944/rendering/14.obj", "4.13715057373")</f>
        <v>4.13715057373</v>
      </c>
      <c r="R2087" s="69" t="str">
        <f>HYPERLINK(AA2 &amp; "/pencil/sn_d844bb2ff4c6101997224e3a2c616944/rendering/15.obj", "4.90335632324")</f>
        <v>4.90335632324</v>
      </c>
      <c r="S2087" s="30" t="str">
        <f>HYPERLINK(AA2 &amp; "/pencil/sn_d844bb2ff4c6101997224e3a2c616944/rendering/16.obj", "4.74306121826")</f>
        <v>4.74306121826</v>
      </c>
      <c r="T2087" s="73" t="str">
        <f>HYPERLINK(AA2 &amp; "/pencil/sn_d844bb2ff4c6101997224e3a2c616944/rendering/17.obj", "4.59524963379")</f>
        <v>4.59524963379</v>
      </c>
      <c r="U2087" s="17" t="str">
        <f>HYPERLINK(AA2 &amp; "/pencil/sn_d844bb2ff4c6101997224e3a2c616944/rendering/18.obj", "4.85662475586")</f>
        <v>4.85662475586</v>
      </c>
      <c r="V2087" s="56" t="str">
        <f>HYPERLINK(AA2 &amp; "/pencil/sn_d844bb2ff4c6101997224e3a2c616944/rendering/19.obj", "6.23636352539")</f>
        <v>6.23636352539</v>
      </c>
      <c r="W2087" s="12" t="s">
        <v>29</v>
      </c>
      <c r="X2087" s="13">
        <v>4.7657123260498047</v>
      </c>
      <c r="Y2087" s="13">
        <v>0.57558191302662587</v>
      </c>
      <c r="Z2087" s="63">
        <v>0.1207756309335845</v>
      </c>
    </row>
    <row r="2088" spans="1:26" x14ac:dyDescent="0.2">
      <c r="A2088" s="1">
        <v>2086</v>
      </c>
      <c r="B2088" s="2" t="s">
        <v>450</v>
      </c>
      <c r="C2088" s="57" t="str">
        <f>HYPERLINK(AA2 &amp; "/pencil/sn_d844bb2ff4c6101997224e3a2c616944/rendering/00.obj", "1.47966194153")</f>
        <v>1.47966194153</v>
      </c>
      <c r="D2088" s="135" t="str">
        <f>HYPERLINK(AA2 &amp; "/pencil/sn_d844bb2ff4c6101997224e3a2c616944/rendering/01.obj", "1.60812366009")</f>
        <v>1.60812366009</v>
      </c>
      <c r="E2088" s="52" t="str">
        <f>HYPERLINK(AA2 &amp; "/pencil/sn_d844bb2ff4c6101997224e3a2c616944/rendering/02.obj", "3.02193522453")</f>
        <v>3.02193522453</v>
      </c>
      <c r="F2088" s="92" t="str">
        <f>HYPERLINK(AA2 &amp; "/pencil/sn_d844bb2ff4c6101997224e3a2c616944/rendering/03.obj", "2.42369222641")</f>
        <v>2.42369222641</v>
      </c>
      <c r="G2088" s="166" t="str">
        <f>HYPERLINK(AA2 &amp; "/pencil/sn_d844bb2ff4c6101997224e3a2c616944/rendering/04.obj", "1.53594648838")</f>
        <v>1.53594648838</v>
      </c>
      <c r="H2088" s="39" t="str">
        <f>HYPERLINK(AA2 &amp; "/pencil/sn_d844bb2ff4c6101997224e3a2c616944/rendering/05.obj", "1.97283041477")</f>
        <v>1.97283041477</v>
      </c>
      <c r="I2088" s="172" t="str">
        <f>HYPERLINK(AA2 &amp; "/pencil/sn_d844bb2ff4c6101997224e3a2c616944/rendering/06.obj", "2.99157476425")</f>
        <v>2.99157476425</v>
      </c>
      <c r="J2088" s="249" t="str">
        <f>HYPERLINK(AA2 &amp; "/pencil/sn_d844bb2ff4c6101997224e3a2c616944/rendering/07.obj", "3.39502882957")</f>
        <v>3.39502882957</v>
      </c>
      <c r="K2088" s="54" t="str">
        <f>HYPERLINK(AA2 &amp; "/pencil/sn_d844bb2ff4c6101997224e3a2c616944/rendering/08.obj", "1.45144319534")</f>
        <v>1.45144319534</v>
      </c>
      <c r="L2088" s="59" t="str">
        <f>HYPERLINK(AA2 &amp; "/pencil/sn_d844bb2ff4c6101997224e3a2c616944/rendering/09.obj", "1.64101815224")</f>
        <v>1.64101815224</v>
      </c>
      <c r="M2088" s="82" t="str">
        <f>HYPERLINK(AA2 &amp; "/pencil/sn_d844bb2ff4c6101997224e3a2c616944/rendering/10.obj", "1.71215462685")</f>
        <v>1.71215462685</v>
      </c>
      <c r="N2088" s="162" t="str">
        <f>HYPERLINK(AA2 &amp; "/pencil/sn_d844bb2ff4c6101997224e3a2c616944/rendering/11.obj", "1.24348700047")</f>
        <v>1.24348700047</v>
      </c>
      <c r="O2088" s="111" t="str">
        <f>HYPERLINK(AA2 &amp; "/pencil/sn_d844bb2ff4c6101997224e3a2c616944/rendering/12.obj", "1.25093019009")</f>
        <v>1.25093019009</v>
      </c>
      <c r="P2088" s="158" t="str">
        <f>HYPERLINK(AA2 &amp; "/pencil/sn_d844bb2ff4c6101997224e3a2c616944/rendering/13.obj", "3.03941059113")</f>
        <v>3.03941059113</v>
      </c>
      <c r="Q2088" s="19" t="str">
        <f>HYPERLINK(AA2 &amp; "/pencil/sn_d844bb2ff4c6101997224e3a2c616944/rendering/14.obj", "1.59537184238")</f>
        <v>1.59537184238</v>
      </c>
      <c r="R2088" s="119" t="str">
        <f>HYPERLINK(AA2 &amp; "/pencil/sn_d844bb2ff4c6101997224e3a2c616944/rendering/15.obj", "2.73359966278")</f>
        <v>2.73359966278</v>
      </c>
      <c r="S2088" s="81" t="str">
        <f>HYPERLINK(AA2 &amp; "/pencil/sn_d844bb2ff4c6101997224e3a2c616944/rendering/16.obj", "1.68661773205")</f>
        <v>1.68661773205</v>
      </c>
      <c r="T2088" s="162" t="str">
        <f>HYPERLINK(AA2 &amp; "/pencil/sn_d844bb2ff4c6101997224e3a2c616944/rendering/17.obj", "1.23824632168")</f>
        <v>1.23824632168</v>
      </c>
      <c r="U2088" s="56" t="str">
        <f>HYPERLINK(AA2 &amp; "/pencil/sn_d844bb2ff4c6101997224e3a2c616944/rendering/18.obj", "2.82929301262")</f>
        <v>2.82929301262</v>
      </c>
      <c r="V2088" s="20" t="str">
        <f>HYPERLINK(AA2 &amp; "/pencil/sn_d844bb2ff4c6101997224e3a2c616944/rendering/19.obj", "4.32730913162")</f>
        <v>4.32730913162</v>
      </c>
      <c r="W2088" s="12" t="s">
        <v>30</v>
      </c>
      <c r="X2088" s="13">
        <v>2.1588837504386902</v>
      </c>
      <c r="Y2088" s="13">
        <v>0.8514578065835845</v>
      </c>
      <c r="Z2088" s="142">
        <v>0.39439724645227708</v>
      </c>
    </row>
    <row r="2089" spans="1:26" x14ac:dyDescent="0.2">
      <c r="A2089" s="1">
        <v>2087</v>
      </c>
      <c r="B2089" s="2" t="s">
        <v>450</v>
      </c>
      <c r="C2089" s="46" t="str">
        <f>HYPERLINK(AB2 &amp; "/pencil/sn_d844bb2ff4c6101997224e3a2c616944/rendering/00.obj", "4.10185791016")</f>
        <v>4.10185791016</v>
      </c>
      <c r="D2089" s="91" t="str">
        <f>HYPERLINK(AB2 &amp; "/pencil/sn_d844bb2ff4c6101997224e3a2c616944/rendering/01.obj", "3.92755096436")</f>
        <v>3.92755096436</v>
      </c>
      <c r="E2089" s="133" t="str">
        <f>HYPERLINK(AB2 &amp; "/pencil/sn_d844bb2ff4c6101997224e3a2c616944/rendering/02.obj", "3.62239440918")</f>
        <v>3.62239440918</v>
      </c>
      <c r="F2089" s="13" t="str">
        <f>HYPERLINK(AB2 &amp; "/pencil/sn_d844bb2ff4c6101997224e3a2c616944/rendering/03.obj", "4.03712646484")</f>
        <v>4.03712646484</v>
      </c>
      <c r="G2089" s="60" t="str">
        <f>HYPERLINK(AB2 &amp; "/pencil/sn_d844bb2ff4c6101997224e3a2c616944/rendering/04.obj", "3.82933410645")</f>
        <v>3.82933410645</v>
      </c>
      <c r="H2089" s="17" t="str">
        <f>HYPERLINK(AB2 &amp; "/pencil/sn_d844bb2ff4c6101997224e3a2c616944/rendering/05.obj", "3.95877197266")</f>
        <v>3.95877197266</v>
      </c>
      <c r="I2089" s="69" t="str">
        <f>HYPERLINK(AB2 &amp; "/pencil/sn_d844bb2ff4c6101997224e3a2c616944/rendering/06.obj", "4.152109375")</f>
        <v>4.152109375</v>
      </c>
      <c r="J2089" s="107" t="str">
        <f>HYPERLINK(AB2 &amp; "/pencil/sn_d844bb2ff4c6101997224e3a2c616944/rendering/07.obj", "3.69650115967")</f>
        <v>3.69650115967</v>
      </c>
      <c r="K2089" s="91" t="str">
        <f>HYPERLINK(AB2 &amp; "/pencil/sn_d844bb2ff4c6101997224e3a2c616944/rendering/08.obj", "4.14312011719")</f>
        <v>4.14312011719</v>
      </c>
      <c r="L2089" s="69" t="str">
        <f>HYPERLINK(AB2 &amp; "/pencil/sn_d844bb2ff4c6101997224e3a2c616944/rendering/09.obj", "4.14952636719")</f>
        <v>4.14952636719</v>
      </c>
      <c r="M2089" s="13" t="str">
        <f>HYPERLINK(AB2 &amp; "/pencil/sn_d844bb2ff4c6101997224e3a2c616944/rendering/10.obj", "4.04629577637")</f>
        <v>4.04629577637</v>
      </c>
      <c r="N2089" s="17" t="str">
        <f>HYPERLINK(AB2 &amp; "/pencil/sn_d844bb2ff4c6101997224e3a2c616944/rendering/11.obj", "3.94788330078")</f>
        <v>3.94788330078</v>
      </c>
      <c r="O2089" s="25" t="str">
        <f>HYPERLINK(AB2 &amp; "/pencil/sn_d844bb2ff4c6101997224e3a2c616944/rendering/12.obj", "4.076456604")</f>
        <v>4.076456604</v>
      </c>
      <c r="P2089" s="17" t="str">
        <f>HYPERLINK(AB2 &amp; "/pencil/sn_d844bb2ff4c6101997224e3a2c616944/rendering/13.obj", "3.95286132813")</f>
        <v>3.95286132813</v>
      </c>
      <c r="Q2089" s="91" t="str">
        <f>HYPERLINK(AB2 &amp; "/pencil/sn_d844bb2ff4c6101997224e3a2c616944/rendering/14.obj", "4.13856262207")</f>
        <v>4.13856262207</v>
      </c>
      <c r="R2089" s="91" t="str">
        <f>HYPERLINK(AB2 &amp; "/pencil/sn_d844bb2ff4c6101997224e3a2c616944/rendering/15.obj", "3.93356994629")</f>
        <v>3.93356994629</v>
      </c>
      <c r="S2089" s="51" t="str">
        <f>HYPERLINK(AB2 &amp; "/pencil/sn_d844bb2ff4c6101997224e3a2c616944/rendering/16.obj", "4.3586138916")</f>
        <v>4.3586138916</v>
      </c>
      <c r="T2089" s="30" t="str">
        <f>HYPERLINK(AB2 &amp; "/pencil/sn_d844bb2ff4c6101997224e3a2c616944/rendering/17.obj", "4.01816101074")</f>
        <v>4.01816101074</v>
      </c>
      <c r="U2089" s="68" t="str">
        <f>HYPERLINK(AB2 &amp; "/pencil/sn_d844bb2ff4c6101997224e3a2c616944/rendering/18.obj", "4.20505706787")</f>
        <v>4.20505706787</v>
      </c>
      <c r="V2089" s="67" t="str">
        <f>HYPERLINK(AB2 &amp; "/pencil/sn_d844bb2ff4c6101997224e3a2c616944/rendering/19.obj", "4.40217956543")</f>
        <v>4.40217956543</v>
      </c>
      <c r="W2089" s="12" t="s">
        <v>31</v>
      </c>
      <c r="X2089" s="13">
        <v>4.0348966979980476</v>
      </c>
      <c r="Y2089" s="13">
        <v>0.1862014753222338</v>
      </c>
      <c r="Z2089" s="6">
        <v>4.6147767652792548E-2</v>
      </c>
    </row>
    <row r="2090" spans="1:26" x14ac:dyDescent="0.2">
      <c r="A2090" s="1">
        <v>2088</v>
      </c>
      <c r="B2090" s="2" t="s">
        <v>450</v>
      </c>
      <c r="C2090" s="98" t="str">
        <f>HYPERLINK(AB2 &amp; "/pencil/sn_d844bb2ff4c6101997224e3a2c616944/rendering/00.obj", "1.52131724358")</f>
        <v>1.52131724358</v>
      </c>
      <c r="D2090" s="13" t="str">
        <f>HYPERLINK(AB2 &amp; "/pencil/sn_d844bb2ff4c6101997224e3a2c616944/rendering/01.obj", "1.23726737499")</f>
        <v>1.23726737499</v>
      </c>
      <c r="E2090" s="133" t="str">
        <f>HYPERLINK(AB2 &amp; "/pencil/sn_d844bb2ff4c6101997224e3a2c616944/rendering/02.obj", "1.11329579353")</f>
        <v>1.11329579353</v>
      </c>
      <c r="F2090" s="38" t="str">
        <f>HYPERLINK(AB2 &amp; "/pencil/sn_d844bb2ff4c6101997224e3a2c616944/rendering/03.obj", "1.12681031227")</f>
        <v>1.12681031227</v>
      </c>
      <c r="G2090" s="74" t="str">
        <f>HYPERLINK(AB2 &amp; "/pencil/sn_d844bb2ff4c6101997224e3a2c616944/rendering/04.obj", "1.25399684906")</f>
        <v>1.25399684906</v>
      </c>
      <c r="H2090" s="32" t="str">
        <f>HYPERLINK(AB2 &amp; "/pencil/sn_d844bb2ff4c6101997224e3a2c616944/rendering/05.obj", "1.10853874683")</f>
        <v>1.10853874683</v>
      </c>
      <c r="I2090" s="80" t="str">
        <f>HYPERLINK(AB2 &amp; "/pencil/sn_d844bb2ff4c6101997224e3a2c616944/rendering/06.obj", "1.05483949184")</f>
        <v>1.05483949184</v>
      </c>
      <c r="J2090" s="80" t="str">
        <f>HYPERLINK(AB2 &amp; "/pencil/sn_d844bb2ff4c6101997224e3a2c616944/rendering/07.obj", "1.42182683945")</f>
        <v>1.42182683945</v>
      </c>
      <c r="K2090" s="110" t="str">
        <f>HYPERLINK(AB2 &amp; "/pencil/sn_d844bb2ff4c6101997224e3a2c616944/rendering/08.obj", "1.11712384224")</f>
        <v>1.11712384224</v>
      </c>
      <c r="L2090" s="87" t="str">
        <f>HYPERLINK(AB2 &amp; "/pencil/sn_d844bb2ff4c6101997224e3a2c616944/rendering/09.obj", "1.52099812031")</f>
        <v>1.52099812031</v>
      </c>
      <c r="M2090" s="38" t="str">
        <f>HYPERLINK(AB2 &amp; "/pencil/sn_d844bb2ff4c6101997224e3a2c616944/rendering/10.obj", "1.12518620491")</f>
        <v>1.12518620491</v>
      </c>
      <c r="N2090" s="73" t="str">
        <f>HYPERLINK(AB2 &amp; "/pencil/sn_d844bb2ff4c6101997224e3a2c616944/rendering/11.obj", "1.19401431084")</f>
        <v>1.19401431084</v>
      </c>
      <c r="O2090" s="42" t="str">
        <f>HYPERLINK(AB2 &amp; "/pencil/sn_d844bb2ff4c6101997224e3a2c616944/rendering/12.obj", "1.06767809391")</f>
        <v>1.06767809391</v>
      </c>
      <c r="P2090" s="83" t="str">
        <f>HYPERLINK(AB2 &amp; "/pencil/sn_d844bb2ff4c6101997224e3a2c616944/rendering/13.obj", "1.04948723316")</f>
        <v>1.04948723316</v>
      </c>
      <c r="Q2090" s="106" t="str">
        <f>HYPERLINK(AB2 &amp; "/pencil/sn_d844bb2ff4c6101997224e3a2c616944/rendering/14.obj", "1.37815022469")</f>
        <v>1.37815022469</v>
      </c>
      <c r="R2090" s="67" t="str">
        <f>HYPERLINK(AB2 &amp; "/pencil/sn_d844bb2ff4c6101997224e3a2c616944/rendering/15.obj", "1.12424135208")</f>
        <v>1.12424135208</v>
      </c>
      <c r="S2090" s="19" t="str">
        <f>HYPERLINK(AB2 &amp; "/pencil/sn_d844bb2ff4c6101997224e3a2c616944/rendering/16.obj", "1.56103813648")</f>
        <v>1.56103813648</v>
      </c>
      <c r="T2090" s="55" t="str">
        <f>HYPERLINK(AB2 &amp; "/pencil/sn_d844bb2ff4c6101997224e3a2c616944/rendering/17.obj", "1.47639250755")</f>
        <v>1.47639250755</v>
      </c>
      <c r="U2090" s="83" t="str">
        <f>HYPERLINK(AB2 &amp; "/pencil/sn_d844bb2ff4c6101997224e3a2c616944/rendering/18.obj", "1.05046463013")</f>
        <v>1.05046463013</v>
      </c>
      <c r="V2090" s="47" t="str">
        <f>HYPERLINK(AB2 &amp; "/pencil/sn_d844bb2ff4c6101997224e3a2c616944/rendering/19.obj", "1.24878060818")</f>
        <v>1.24878060818</v>
      </c>
      <c r="W2090" s="12" t="s">
        <v>32</v>
      </c>
      <c r="X2090" s="13">
        <v>1.2375723958015441</v>
      </c>
      <c r="Y2090" s="13">
        <v>0.1725538737598406</v>
      </c>
      <c r="Z2090" s="93">
        <v>0.13942931689913929</v>
      </c>
    </row>
    <row r="2091" spans="1:26" x14ac:dyDescent="0.2">
      <c r="A2091" s="1">
        <v>2089</v>
      </c>
      <c r="B2091" s="2" t="s">
        <v>450</v>
      </c>
      <c r="C2091" s="13" t="str">
        <f>HYPERLINK(AC2 &amp; "/pencil/sn_d844bb2ff4c6101997224e3a2c616944/rendering/00.xyz", "0.0")</f>
        <v>0.0</v>
      </c>
      <c r="D2091" s="13" t="str">
        <f>HYPERLINK(AC2 &amp; "/pencil/sn_d844bb2ff4c6101997224e3a2c616944/rendering/01.xyz", "0.0")</f>
        <v>0.0</v>
      </c>
      <c r="E2091" s="13" t="str">
        <f>HYPERLINK(AC2 &amp; "/pencil/sn_d844bb2ff4c6101997224e3a2c616944/rendering/02.xyz", "0.0")</f>
        <v>0.0</v>
      </c>
      <c r="F2091" s="13" t="str">
        <f>HYPERLINK(AC2 &amp; "/pencil/sn_d844bb2ff4c6101997224e3a2c616944/rendering/03.xyz", "0.0")</f>
        <v>0.0</v>
      </c>
      <c r="G2091" s="13" t="str">
        <f>HYPERLINK(AC2 &amp; "/pencil/sn_d844bb2ff4c6101997224e3a2c616944/rendering/04.xyz", "0.0")</f>
        <v>0.0</v>
      </c>
      <c r="H2091" s="13" t="str">
        <f>HYPERLINK(AC2 &amp; "/pencil/sn_d844bb2ff4c6101997224e3a2c616944/rendering/05.xyz", "0.0")</f>
        <v>0.0</v>
      </c>
      <c r="I2091" s="13" t="str">
        <f>HYPERLINK(AC2 &amp; "/pencil/sn_d844bb2ff4c6101997224e3a2c616944/rendering/06.xyz", "0.0")</f>
        <v>0.0</v>
      </c>
      <c r="J2091" s="13" t="str">
        <f>HYPERLINK(AC2 &amp; "/pencil/sn_d844bb2ff4c6101997224e3a2c616944/rendering/07.xyz", "0.0")</f>
        <v>0.0</v>
      </c>
      <c r="K2091" s="13" t="str">
        <f>HYPERLINK(AC2 &amp; "/pencil/sn_d844bb2ff4c6101997224e3a2c616944/rendering/08.xyz", "0.0")</f>
        <v>0.0</v>
      </c>
      <c r="L2091" s="13" t="str">
        <f>HYPERLINK(AC2 &amp; "/pencil/sn_d844bb2ff4c6101997224e3a2c616944/rendering/09.xyz", "0.0")</f>
        <v>0.0</v>
      </c>
      <c r="M2091" s="13" t="str">
        <f>HYPERLINK(AC2 &amp; "/pencil/sn_d844bb2ff4c6101997224e3a2c616944/rendering/10.xyz", "0.0")</f>
        <v>0.0</v>
      </c>
      <c r="N2091" s="13" t="str">
        <f>HYPERLINK(AC2 &amp; "/pencil/sn_d844bb2ff4c6101997224e3a2c616944/rendering/11.xyz", "0.0")</f>
        <v>0.0</v>
      </c>
      <c r="O2091" s="13" t="str">
        <f>HYPERLINK(AC2 &amp; "/pencil/sn_d844bb2ff4c6101997224e3a2c616944/rendering/12.xyz", "0.0")</f>
        <v>0.0</v>
      </c>
      <c r="P2091" s="13" t="str">
        <f>HYPERLINK(AC2 &amp; "/pencil/sn_d844bb2ff4c6101997224e3a2c616944/rendering/13.xyz", "0.0")</f>
        <v>0.0</v>
      </c>
      <c r="Q2091" s="13" t="str">
        <f>HYPERLINK(AC2 &amp; "/pencil/sn_d844bb2ff4c6101997224e3a2c616944/rendering/14.xyz", "0.0")</f>
        <v>0.0</v>
      </c>
      <c r="R2091" s="13" t="str">
        <f>HYPERLINK(AC2 &amp; "/pencil/sn_d844bb2ff4c6101997224e3a2c616944/rendering/15.xyz", "0.0")</f>
        <v>0.0</v>
      </c>
      <c r="S2091" s="13" t="str">
        <f>HYPERLINK(AC2 &amp; "/pencil/sn_d844bb2ff4c6101997224e3a2c616944/rendering/16.xyz", "0.0")</f>
        <v>0.0</v>
      </c>
      <c r="T2091" s="13" t="str">
        <f>HYPERLINK(AC2 &amp; "/pencil/sn_d844bb2ff4c6101997224e3a2c616944/rendering/17.xyz", "0.0")</f>
        <v>0.0</v>
      </c>
      <c r="U2091" s="13" t="str">
        <f>HYPERLINK(AC2 &amp; "/pencil/sn_d844bb2ff4c6101997224e3a2c616944/rendering/18.xyz", "0.0")</f>
        <v>0.0</v>
      </c>
      <c r="V2091" s="13" t="str">
        <f>HYPERLINK(AC2 &amp; "/pencil/sn_d844bb2ff4c6101997224e3a2c616944/rendering/19.xyz", "0.0")</f>
        <v>0.0</v>
      </c>
      <c r="W2091" s="12" t="s">
        <v>33</v>
      </c>
      <c r="X2091" s="13">
        <v>0</v>
      </c>
      <c r="Y2091" s="13">
        <v>0</v>
      </c>
      <c r="Z2091" s="13">
        <v>0</v>
      </c>
    </row>
    <row r="2092" spans="1:26" x14ac:dyDescent="0.2">
      <c r="A2092" s="1">
        <v>2090</v>
      </c>
      <c r="B2092" s="2" t="s">
        <v>451</v>
      </c>
      <c r="C2092" s="108" t="str">
        <f>HYPERLINK(AA2 &amp; "/pencil/sn_d962ac6117eb8890c2c72e575af174cd/rendering/00.obj", "7.299609375")</f>
        <v>7.299609375</v>
      </c>
      <c r="D2092" s="193" t="str">
        <f>HYPERLINK(AA2 &amp; "/pencil/sn_d962ac6117eb8890c2c72e575af174cd/rendering/01.obj", "3.92487487793")</f>
        <v>3.92487487793</v>
      </c>
      <c r="E2092" s="140" t="str">
        <f>HYPERLINK(AA2 &amp; "/pencil/sn_d962ac6117eb8890c2c72e575af174cd/rendering/02.obj", "3.83557067871")</f>
        <v>3.83557067871</v>
      </c>
      <c r="F2092" s="87" t="str">
        <f>HYPERLINK(AA2 &amp; "/pencil/sn_d962ac6117eb8890c2c72e575af174cd/rendering/03.obj", "4.52951049805")</f>
        <v>4.52951049805</v>
      </c>
      <c r="G2092" s="95" t="str">
        <f>HYPERLINK(AA2 &amp; "/pencil/sn_d962ac6117eb8890c2c72e575af174cd/rendering/04.obj", "4.21115539551")</f>
        <v>4.21115539551</v>
      </c>
      <c r="H2092" s="179" t="str">
        <f>HYPERLINK(AA2 &amp; "/pencil/sn_d962ac6117eb8890c2c72e575af174cd/rendering/05.obj", "8.36630981445")</f>
        <v>8.36630981445</v>
      </c>
      <c r="I2092" s="36" t="str">
        <f>HYPERLINK(AA2 &amp; "/pencil/sn_d962ac6117eb8890c2c72e575af174cd/rendering/06.obj", "4.60749511719")</f>
        <v>4.60749511719</v>
      </c>
      <c r="J2092" s="20" t="str">
        <f>HYPERLINK(AA2 &amp; "/pencil/sn_d962ac6117eb8890c2c72e575af174cd/rendering/07.obj", "10.7392211914")</f>
        <v>10.7392211914</v>
      </c>
      <c r="K2092" s="166" t="str">
        <f>HYPERLINK(AA2 &amp; "/pencil/sn_d962ac6117eb8890c2c72e575af174cd/rendering/08.obj", "4.16893341064")</f>
        <v>4.16893341064</v>
      </c>
      <c r="L2092" s="19" t="str">
        <f>HYPERLINK(AA2 &amp; "/pencil/sn_d962ac6117eb8890c2c72e575af174cd/rendering/09.obj", "4.33062591553")</f>
        <v>4.33062591553</v>
      </c>
      <c r="M2092" s="4" t="str">
        <f>HYPERLINK(AA2 &amp; "/pencil/sn_d962ac6117eb8890c2c72e575af174cd/rendering/10.obj", "4.18694061279")</f>
        <v>4.18694061279</v>
      </c>
      <c r="N2092" s="110" t="str">
        <f>HYPERLINK(AA2 &amp; "/pencil/sn_d962ac6117eb8890c2c72e575af174cd/rendering/11.obj", "6.44289794922")</f>
        <v>6.44289794922</v>
      </c>
      <c r="O2092" s="108" t="str">
        <f>HYPERLINK(AA2 &amp; "/pencil/sn_d962ac6117eb8890c2c72e575af174cd/rendering/12.obj", "4.41223144531")</f>
        <v>4.41223144531</v>
      </c>
      <c r="P2092" s="135" t="str">
        <f>HYPERLINK(AA2 &amp; "/pencil/sn_d962ac6117eb8890c2c72e575af174cd/rendering/13.obj", "4.35815887451")</f>
        <v>4.35815887451</v>
      </c>
      <c r="Q2092" s="69" t="str">
        <f>HYPERLINK(AA2 &amp; "/pencil/sn_d962ac6117eb8890c2c72e575af174cd/rendering/14.obj", "6.02463989258")</f>
        <v>6.02463989258</v>
      </c>
      <c r="R2092" s="55" t="str">
        <f>HYPERLINK(AA2 &amp; "/pencil/sn_d962ac6117eb8890c2c72e575af174cd/rendering/15.obj", "4.72979431152")</f>
        <v>4.72979431152</v>
      </c>
      <c r="S2092" s="46" t="str">
        <f>HYPERLINK(AA2 &amp; "/pencil/sn_d962ac6117eb8890c2c72e575af174cd/rendering/16.obj", "5.76156616211")</f>
        <v>5.76156616211</v>
      </c>
      <c r="T2092" s="86" t="str">
        <f>HYPERLINK(AA2 &amp; "/pencil/sn_d962ac6117eb8890c2c72e575af174cd/rendering/17.obj", "4.28737792969")</f>
        <v>4.28737792969</v>
      </c>
      <c r="U2092" s="20" t="str">
        <f>HYPERLINK(AA2 &amp; "/pencil/sn_d962ac6117eb8890c2c72e575af174cd/rendering/18.obj", "16.3919140625")</f>
        <v>16.3919140625</v>
      </c>
      <c r="V2092" s="11" t="str">
        <f>HYPERLINK(AA2 &amp; "/pencil/sn_d962ac6117eb8890c2c72e575af174cd/rendering/19.obj", "4.54374053955")</f>
        <v>4.54374053955</v>
      </c>
      <c r="W2092" s="12" t="s">
        <v>29</v>
      </c>
      <c r="X2092" s="13">
        <v>5.8576284027099614</v>
      </c>
      <c r="Y2092" s="13">
        <v>2.9596590731640839</v>
      </c>
      <c r="Z2092" s="15">
        <v>0.50526576110475596</v>
      </c>
    </row>
    <row r="2093" spans="1:26" x14ac:dyDescent="0.2">
      <c r="A2093" s="1">
        <v>2091</v>
      </c>
      <c r="B2093" s="2" t="s">
        <v>451</v>
      </c>
      <c r="C2093" s="55" t="str">
        <f>HYPERLINK(AA2 &amp; "/pencil/sn_d962ac6117eb8890c2c72e575af174cd/rendering/00.obj", "4.91339349747")</f>
        <v>4.91339349747</v>
      </c>
      <c r="D2093" s="204" t="str">
        <f>HYPERLINK(AA2 &amp; "/pencil/sn_d962ac6117eb8890c2c72e575af174cd/rendering/01.obj", "0.845950245857")</f>
        <v>0.845950245857</v>
      </c>
      <c r="E2093" s="146" t="str">
        <f>HYPERLINK(AA2 &amp; "/pencil/sn_d962ac6117eb8890c2c72e575af174cd/rendering/02.obj", "0.92461001873")</f>
        <v>0.92461001873</v>
      </c>
      <c r="F2093" s="233" t="str">
        <f>HYPERLINK(AA2 &amp; "/pencil/sn_d962ac6117eb8890c2c72e575af174cd/rendering/03.obj", "1.22862744331")</f>
        <v>1.22862744331</v>
      </c>
      <c r="G2093" s="241" t="str">
        <f>HYPERLINK(AA2 &amp; "/pencil/sn_d962ac6117eb8890c2c72e575af174cd/rendering/04.obj", "1.4774222374")</f>
        <v>1.4774222374</v>
      </c>
      <c r="H2093" s="20" t="str">
        <f>HYPERLINK(AA2 &amp; "/pencil/sn_d962ac6117eb8890c2c72e575af174cd/rendering/05.obj", "8.52458000183")</f>
        <v>8.52458000183</v>
      </c>
      <c r="I2093" s="208" t="str">
        <f>HYPERLINK(AA2 &amp; "/pencil/sn_d962ac6117eb8890c2c72e575af174cd/rendering/06.obj", "0.976640880108")</f>
        <v>0.976640880108</v>
      </c>
      <c r="J2093" s="20" t="str">
        <f>HYPERLINK(AA2 &amp; "/pencil/sn_d962ac6117eb8890c2c72e575af174cd/rendering/07.obj", "12.5198106766")</f>
        <v>12.5198106766</v>
      </c>
      <c r="K2093" s="20" t="str">
        <f>HYPERLINK(AA2 &amp; "/pencil/sn_d962ac6117eb8890c2c72e575af174cd/rendering/08.obj", "0.824956059456")</f>
        <v>0.824956059456</v>
      </c>
      <c r="L2093" s="20" t="str">
        <f>HYPERLINK(AA2 &amp; "/pencil/sn_d962ac6117eb8890c2c72e575af174cd/rendering/09.obj", "0.798377752304")</f>
        <v>0.798377752304</v>
      </c>
      <c r="M2093" s="165" t="str">
        <f>HYPERLINK(AA2 &amp; "/pencil/sn_d962ac6117eb8890c2c72e575af174cd/rendering/10.obj", "1.27191531658")</f>
        <v>1.27191531658</v>
      </c>
      <c r="N2093" s="5" t="str">
        <f>HYPERLINK(AA2 &amp; "/pencil/sn_d962ac6117eb8890c2c72e575af174cd/rendering/11.obj", "4.44260120392")</f>
        <v>4.44260120392</v>
      </c>
      <c r="O2093" s="236" t="str">
        <f>HYPERLINK(AA2 &amp; "/pencil/sn_d962ac6117eb8890c2c72e575af174cd/rendering/12.obj", "1.08092737198")</f>
        <v>1.08092737198</v>
      </c>
      <c r="P2093" s="220" t="str">
        <f>HYPERLINK(AA2 &amp; "/pencil/sn_d962ac6117eb8890c2c72e575af174cd/rendering/13.obj", "1.3165667057")</f>
        <v>1.3165667057</v>
      </c>
      <c r="Q2093" s="7" t="str">
        <f>HYPERLINK(AA2 &amp; "/pencil/sn_d962ac6117eb8890c2c72e575af174cd/rendering/14.obj", "2.9787364006")</f>
        <v>2.9787364006</v>
      </c>
      <c r="R2093" s="189" t="str">
        <f>HYPERLINK(AA2 &amp; "/pencil/sn_d962ac6117eb8890c2c72e575af174cd/rendering/15.obj", "1.54022026062")</f>
        <v>1.54022026062</v>
      </c>
      <c r="S2093" s="56" t="str">
        <f>HYPERLINK(AA2 &amp; "/pencil/sn_d962ac6117eb8890c2c72e575af174cd/rendering/16.obj", "2.84459233284")</f>
        <v>2.84459233284</v>
      </c>
      <c r="T2093" s="154" t="str">
        <f>HYPERLINK(AA2 &amp; "/pencil/sn_d962ac6117eb8890c2c72e575af174cd/rendering/17.obj", "1.05322802067")</f>
        <v>1.05322802067</v>
      </c>
      <c r="U2093" s="20" t="str">
        <f>HYPERLINK(AA2 &amp; "/pencil/sn_d962ac6117eb8890c2c72e575af174cd/rendering/18.obj", "31.9812259674")</f>
        <v>31.9812259674</v>
      </c>
      <c r="V2093" s="180" t="str">
        <f>HYPERLINK(AA2 &amp; "/pencil/sn_d962ac6117eb8890c2c72e575af174cd/rendering/19.obj", "0.874500393867")</f>
        <v>0.874500393867</v>
      </c>
      <c r="W2093" s="12" t="s">
        <v>30</v>
      </c>
      <c r="X2093" s="13">
        <v>4.1209441393613817</v>
      </c>
      <c r="Y2093" s="13">
        <v>7.0346020021832798</v>
      </c>
      <c r="Z2093" s="20">
        <v>1.7070364858848639</v>
      </c>
    </row>
    <row r="2094" spans="1:26" x14ac:dyDescent="0.2">
      <c r="A2094" s="1">
        <v>2092</v>
      </c>
      <c r="B2094" s="2" t="s">
        <v>451</v>
      </c>
      <c r="C2094" s="74" t="str">
        <f>HYPERLINK(AB2 &amp; "/pencil/sn_d962ac6117eb8890c2c72e575af174cd/rendering/00.obj", "3.75204864502")</f>
        <v>3.75204864502</v>
      </c>
      <c r="D2094" s="69" t="str">
        <f>HYPERLINK(AB2 &amp; "/pencil/sn_d962ac6117eb8890c2c72e575af174cd/rendering/01.obj", "3.92150909424")</f>
        <v>3.92150909424</v>
      </c>
      <c r="E2094" s="69" t="str">
        <f>HYPERLINK(AB2 &amp; "/pencil/sn_d962ac6117eb8890c2c72e575af174cd/rendering/02.obj", "3.91814941406")</f>
        <v>3.91814941406</v>
      </c>
      <c r="F2094" s="46" t="str">
        <f>HYPERLINK(AB2 &amp; "/pencil/sn_d962ac6117eb8890c2c72e575af174cd/rendering/03.obj", "3.86487548828")</f>
        <v>3.86487548828</v>
      </c>
      <c r="G2094" s="94" t="str">
        <f>HYPERLINK(AB2 &amp; "/pencil/sn_d962ac6117eb8890c2c72e575af174cd/rendering/04.obj", "3.51973266602")</f>
        <v>3.51973266602</v>
      </c>
      <c r="H2094" s="94" t="str">
        <f>HYPERLINK(AB2 &amp; "/pencil/sn_d962ac6117eb8890c2c72e575af174cd/rendering/05.obj", "3.51766845703")</f>
        <v>3.51766845703</v>
      </c>
      <c r="I2094" s="48" t="str">
        <f>HYPERLINK(AB2 &amp; "/pencil/sn_d962ac6117eb8890c2c72e575af174cd/rendering/06.obj", "3.89541687012")</f>
        <v>3.89541687012</v>
      </c>
      <c r="J2094" s="66" t="str">
        <f>HYPERLINK(AB2 &amp; "/pencil/sn_d962ac6117eb8890c2c72e575af174cd/rendering/07.obj", "4.41724487305")</f>
        <v>4.41724487305</v>
      </c>
      <c r="K2094" s="60" t="str">
        <f>HYPERLINK(AB2 &amp; "/pencil/sn_d962ac6117eb8890c2c72e575af174cd/rendering/08.obj", "3.605753479")</f>
        <v>3.605753479</v>
      </c>
      <c r="L2094" s="17" t="str">
        <f>HYPERLINK(AB2 &amp; "/pencil/sn_d962ac6117eb8890c2c72e575af174cd/rendering/09.obj", "3.73002258301")</f>
        <v>3.73002258301</v>
      </c>
      <c r="M2094" s="27" t="str">
        <f>HYPERLINK(AB2 &amp; "/pencil/sn_d962ac6117eb8890c2c72e575af174cd/rendering/10.obj", "4.07188842773")</f>
        <v>4.07188842773</v>
      </c>
      <c r="N2094" s="46" t="str">
        <f>HYPERLINK(AB2 &amp; "/pencil/sn_d962ac6117eb8890c2c72e575af174cd/rendering/11.obj", "3.87224304199")</f>
        <v>3.87224304199</v>
      </c>
      <c r="O2094" s="68" t="str">
        <f>HYPERLINK(AB2 &amp; "/pencil/sn_d962ac6117eb8890c2c72e575af174cd/rendering/12.obj", "3.64063934326")</f>
        <v>3.64063934326</v>
      </c>
      <c r="P2094" s="67" t="str">
        <f>HYPERLINK(AB2 &amp; "/pencil/sn_d962ac6117eb8890c2c72e575af174cd/rendering/13.obj", "3.44797546387")</f>
        <v>3.44797546387</v>
      </c>
      <c r="Q2094" s="30" t="str">
        <f>HYPERLINK(AB2 &amp; "/pencil/sn_d962ac6117eb8890c2c72e575af174cd/rendering/14.obj", "3.82629760742")</f>
        <v>3.82629760742</v>
      </c>
      <c r="R2094" s="25" t="str">
        <f>HYPERLINK(AB2 &amp; "/pencil/sn_d962ac6117eb8890c2c72e575af174cd/rendering/15.obj", "3.75773712158")</f>
        <v>3.75773712158</v>
      </c>
      <c r="S2094" s="60" t="str">
        <f>HYPERLINK(AB2 &amp; "/pencil/sn_d962ac6117eb8890c2c72e575af174cd/rendering/16.obj", "3.61066040039")</f>
        <v>3.61066040039</v>
      </c>
      <c r="T2094" s="91" t="str">
        <f>HYPERLINK(AB2 &amp; "/pencil/sn_d962ac6117eb8890c2c72e575af174cd/rendering/17.obj", "3.90205932617")</f>
        <v>3.90205932617</v>
      </c>
      <c r="U2094" s="27" t="str">
        <f>HYPERLINK(AB2 &amp; "/pencil/sn_d962ac6117eb8890c2c72e575af174cd/rendering/18.obj", "4.07387969971")</f>
        <v>4.07387969971</v>
      </c>
      <c r="V2094" s="17" t="str">
        <f>HYPERLINK(AB2 &amp; "/pencil/sn_d962ac6117eb8890c2c72e575af174cd/rendering/19.obj", "3.72922851563")</f>
        <v>3.72922851563</v>
      </c>
      <c r="W2094" s="12" t="s">
        <v>31</v>
      </c>
      <c r="X2094" s="13">
        <v>3.8037515258789059</v>
      </c>
      <c r="Y2094" s="13">
        <v>0.2217156887317972</v>
      </c>
      <c r="Z2094" s="35">
        <v>5.8288688738827893E-2</v>
      </c>
    </row>
    <row r="2095" spans="1:26" x14ac:dyDescent="0.2">
      <c r="A2095" s="1">
        <v>2093</v>
      </c>
      <c r="B2095" s="2" t="s">
        <v>451</v>
      </c>
      <c r="C2095" s="39" t="str">
        <f>HYPERLINK(AB2 &amp; "/pencil/sn_d962ac6117eb8890c2c72e575af174cd/rendering/00.obj", "1.00350892544")</f>
        <v>1.00350892544</v>
      </c>
      <c r="D2095" s="98" t="str">
        <f>HYPERLINK(AB2 &amp; "/pencil/sn_d962ac6117eb8890c2c72e575af174cd/rendering/01.obj", "1.13790631294")</f>
        <v>1.13790631294</v>
      </c>
      <c r="E2095" s="203" t="str">
        <f>HYPERLINK(AB2 &amp; "/pencil/sn_d962ac6117eb8890c2c72e575af174cd/rendering/02.obj", "1.35521006584")</f>
        <v>1.35521006584</v>
      </c>
      <c r="F2095" s="109" t="str">
        <f>HYPERLINK(AB2 &amp; "/pencil/sn_d962ac6117eb8890c2c72e575af174cd/rendering/03.obj", "0.7508046031")</f>
        <v>0.7508046031</v>
      </c>
      <c r="G2095" s="79" t="str">
        <f>HYPERLINK(AB2 &amp; "/pencil/sn_d962ac6117eb8890c2c72e575af174cd/rendering/04.obj", "0.779781520367")</f>
        <v>0.779781520367</v>
      </c>
      <c r="H2095" s="29" t="str">
        <f>HYPERLINK(AB2 &amp; "/pencil/sn_d962ac6117eb8890c2c72e575af174cd/rendering/05.obj", "0.804222762585")</f>
        <v>0.804222762585</v>
      </c>
      <c r="I2095" s="6" t="str">
        <f>HYPERLINK(AB2 &amp; "/pencil/sn_d962ac6117eb8890c2c72e575af174cd/rendering/06.obj", "0.883167266846")</f>
        <v>0.883167266846</v>
      </c>
      <c r="J2095" s="20" t="str">
        <f>HYPERLINK(AB2 &amp; "/pencil/sn_d962ac6117eb8890c2c72e575af174cd/rendering/07.obj", "1.70225596428")</f>
        <v>1.70225596428</v>
      </c>
      <c r="K2095" s="87" t="str">
        <f>HYPERLINK(AB2 &amp; "/pencil/sn_d962ac6117eb8890c2c72e575af174cd/rendering/08.obj", "0.715951144695")</f>
        <v>0.715951144695</v>
      </c>
      <c r="L2095" s="35" t="str">
        <f>HYPERLINK(AB2 &amp; "/pencil/sn_d962ac6117eb8890c2c72e575af174cd/rendering/09.obj", "0.871349751949")</f>
        <v>0.871349751949</v>
      </c>
      <c r="M2095" s="33" t="str">
        <f>HYPERLINK(AB2 &amp; "/pencil/sn_d962ac6117eb8890c2c72e575af174cd/rendering/10.obj", "0.82564675808")</f>
        <v>0.82564675808</v>
      </c>
      <c r="N2095" s="110" t="str">
        <f>HYPERLINK(AB2 &amp; "/pencil/sn_d962ac6117eb8890c2c72e575af174cd/rendering/11.obj", "0.833479344845")</f>
        <v>0.833479344845</v>
      </c>
      <c r="O2095" s="39" t="str">
        <f>HYPERLINK(AB2 &amp; "/pencil/sn_d962ac6117eb8890c2c72e575af174cd/rendering/12.obj", "0.844090044498")</f>
        <v>0.844090044498</v>
      </c>
      <c r="P2095" s="117" t="str">
        <f>HYPERLINK(AB2 &amp; "/pencil/sn_d962ac6117eb8890c2c72e575af174cd/rendering/13.obj", "0.760083675385")</f>
        <v>0.760083675385</v>
      </c>
      <c r="Q2095" s="73" t="str">
        <f>HYPERLINK(AB2 &amp; "/pencil/sn_d962ac6117eb8890c2c72e575af174cd/rendering/14.obj", "0.957468628883")</f>
        <v>0.957468628883</v>
      </c>
      <c r="R2095" s="90" t="str">
        <f>HYPERLINK(AB2 &amp; "/pencil/sn_d962ac6117eb8890c2c72e575af174cd/rendering/15.obj", "0.837367236614")</f>
        <v>0.837367236614</v>
      </c>
      <c r="S2095" s="67" t="str">
        <f>HYPERLINK(AB2 &amp; "/pencil/sn_d962ac6117eb8890c2c72e575af174cd/rendering/16.obj", "0.838894367218")</f>
        <v>0.838894367218</v>
      </c>
      <c r="T2095" s="6" t="str">
        <f>HYPERLINK(AB2 &amp; "/pencil/sn_d962ac6117eb8890c2c72e575af174cd/rendering/17.obj", "0.967064261436")</f>
        <v>0.967064261436</v>
      </c>
      <c r="U2095" s="60" t="str">
        <f>HYPERLINK(AB2 &amp; "/pencil/sn_d962ac6117eb8890c2c72e575af174cd/rendering/18.obj", "0.877187311649")</f>
        <v>0.877187311649</v>
      </c>
      <c r="V2095" s="76" t="str">
        <f>HYPERLINK(AB2 &amp; "/pencil/sn_d962ac6117eb8890c2c72e575af174cd/rendering/19.obj", "0.756324410439")</f>
        <v>0.756324410439</v>
      </c>
      <c r="W2095" s="12" t="s">
        <v>32</v>
      </c>
      <c r="X2095" s="13">
        <v>0.92508821785449979</v>
      </c>
      <c r="Y2095" s="13">
        <v>0.22974933930667751</v>
      </c>
      <c r="Z2095" s="129">
        <v>0.24835397843410109</v>
      </c>
    </row>
    <row r="2096" spans="1:26" x14ac:dyDescent="0.2">
      <c r="A2096" s="1">
        <v>2094</v>
      </c>
      <c r="B2096" s="2" t="s">
        <v>451</v>
      </c>
      <c r="C2096" s="13" t="str">
        <f>HYPERLINK(AC2 &amp; "/pencil/sn_d962ac6117eb8890c2c72e575af174cd/rendering/00.xyz", "0.0")</f>
        <v>0.0</v>
      </c>
      <c r="D2096" s="13" t="str">
        <f>HYPERLINK(AC2 &amp; "/pencil/sn_d962ac6117eb8890c2c72e575af174cd/rendering/01.xyz", "0.0")</f>
        <v>0.0</v>
      </c>
      <c r="E2096" s="13" t="str">
        <f>HYPERLINK(AC2 &amp; "/pencil/sn_d962ac6117eb8890c2c72e575af174cd/rendering/02.xyz", "0.0")</f>
        <v>0.0</v>
      </c>
      <c r="F2096" s="13" t="str">
        <f>HYPERLINK(AC2 &amp; "/pencil/sn_d962ac6117eb8890c2c72e575af174cd/rendering/03.xyz", "0.0")</f>
        <v>0.0</v>
      </c>
      <c r="G2096" s="13" t="str">
        <f>HYPERLINK(AC2 &amp; "/pencil/sn_d962ac6117eb8890c2c72e575af174cd/rendering/04.xyz", "0.0")</f>
        <v>0.0</v>
      </c>
      <c r="H2096" s="13" t="str">
        <f>HYPERLINK(AC2 &amp; "/pencil/sn_d962ac6117eb8890c2c72e575af174cd/rendering/05.xyz", "0.0")</f>
        <v>0.0</v>
      </c>
      <c r="I2096" s="13" t="str">
        <f>HYPERLINK(AC2 &amp; "/pencil/sn_d962ac6117eb8890c2c72e575af174cd/rendering/06.xyz", "0.0")</f>
        <v>0.0</v>
      </c>
      <c r="J2096" s="13" t="str">
        <f>HYPERLINK(AC2 &amp; "/pencil/sn_d962ac6117eb8890c2c72e575af174cd/rendering/07.xyz", "0.0")</f>
        <v>0.0</v>
      </c>
      <c r="K2096" s="13" t="str">
        <f>HYPERLINK(AC2 &amp; "/pencil/sn_d962ac6117eb8890c2c72e575af174cd/rendering/08.xyz", "0.0")</f>
        <v>0.0</v>
      </c>
      <c r="L2096" s="13" t="str">
        <f>HYPERLINK(AC2 &amp; "/pencil/sn_d962ac6117eb8890c2c72e575af174cd/rendering/09.xyz", "0.0")</f>
        <v>0.0</v>
      </c>
      <c r="M2096" s="13" t="str">
        <f>HYPERLINK(AC2 &amp; "/pencil/sn_d962ac6117eb8890c2c72e575af174cd/rendering/10.xyz", "0.0")</f>
        <v>0.0</v>
      </c>
      <c r="N2096" s="13" t="str">
        <f>HYPERLINK(AC2 &amp; "/pencil/sn_d962ac6117eb8890c2c72e575af174cd/rendering/11.xyz", "0.0")</f>
        <v>0.0</v>
      </c>
      <c r="O2096" s="13" t="str">
        <f>HYPERLINK(AC2 &amp; "/pencil/sn_d962ac6117eb8890c2c72e575af174cd/rendering/12.xyz", "0.0")</f>
        <v>0.0</v>
      </c>
      <c r="P2096" s="13" t="str">
        <f>HYPERLINK(AC2 &amp; "/pencil/sn_d962ac6117eb8890c2c72e575af174cd/rendering/13.xyz", "0.0")</f>
        <v>0.0</v>
      </c>
      <c r="Q2096" s="13" t="str">
        <f>HYPERLINK(AC2 &amp; "/pencil/sn_d962ac6117eb8890c2c72e575af174cd/rendering/14.xyz", "0.0")</f>
        <v>0.0</v>
      </c>
      <c r="R2096" s="13" t="str">
        <f>HYPERLINK(AC2 &amp; "/pencil/sn_d962ac6117eb8890c2c72e575af174cd/rendering/15.xyz", "0.0")</f>
        <v>0.0</v>
      </c>
      <c r="S2096" s="13" t="str">
        <f>HYPERLINK(AC2 &amp; "/pencil/sn_d962ac6117eb8890c2c72e575af174cd/rendering/16.xyz", "0.0")</f>
        <v>0.0</v>
      </c>
      <c r="T2096" s="13" t="str">
        <f>HYPERLINK(AC2 &amp; "/pencil/sn_d962ac6117eb8890c2c72e575af174cd/rendering/17.xyz", "0.0")</f>
        <v>0.0</v>
      </c>
      <c r="U2096" s="13" t="str">
        <f>HYPERLINK(AC2 &amp; "/pencil/sn_d962ac6117eb8890c2c72e575af174cd/rendering/18.xyz", "0.0")</f>
        <v>0.0</v>
      </c>
      <c r="V2096" s="13" t="str">
        <f>HYPERLINK(AC2 &amp; "/pencil/sn_d962ac6117eb8890c2c72e575af174cd/rendering/19.xyz", "0.0")</f>
        <v>0.0</v>
      </c>
      <c r="W2096" s="12" t="s">
        <v>33</v>
      </c>
      <c r="X2096" s="13">
        <v>0</v>
      </c>
      <c r="Y2096" s="13">
        <v>0</v>
      </c>
      <c r="Z2096" s="13">
        <v>0</v>
      </c>
    </row>
    <row r="2097" spans="1:26" x14ac:dyDescent="0.2">
      <c r="A2097" s="1">
        <v>2095</v>
      </c>
      <c r="B2097" s="2" t="s">
        <v>452</v>
      </c>
      <c r="C2097" s="20" t="str">
        <f>HYPERLINK(AA2 &amp; "/pencil/sn_d9b99bd654bc74bd3a4ebcf150599a82/rendering/00.obj", "3.86575927734")</f>
        <v>3.86575927734</v>
      </c>
      <c r="D2097" s="89" t="str">
        <f>HYPERLINK(AA2 &amp; "/pencil/sn_d9b99bd654bc74bd3a4ebcf150599a82/rendering/01.obj", "1.51084335327")</f>
        <v>1.51084335327</v>
      </c>
      <c r="E2097" s="117" t="str">
        <f>HYPERLINK(AA2 &amp; "/pencil/sn_d9b99bd654bc74bd3a4ebcf150599a82/rendering/02.obj", "1.68036254883")</f>
        <v>1.68036254883</v>
      </c>
      <c r="F2097" s="6" t="str">
        <f>HYPERLINK(AA2 &amp; "/pencil/sn_d9b99bd654bc74bd3a4ebcf150599a82/rendering/03.obj", "1.94963180542")</f>
        <v>1.94963180542</v>
      </c>
      <c r="G2097" s="39" t="str">
        <f>HYPERLINK(AA2 &amp; "/pencil/sn_d9b99bd654bc74bd3a4ebcf150599a82/rendering/04.obj", "2.21403045654")</f>
        <v>2.21403045654</v>
      </c>
      <c r="H2097" s="25" t="str">
        <f>HYPERLINK(AA2 &amp; "/pencil/sn_d9b99bd654bc74bd3a4ebcf150599a82/rendering/05.obj", "2.01870849609")</f>
        <v>2.01870849609</v>
      </c>
      <c r="I2097" s="20" t="str">
        <f>HYPERLINK(AA2 &amp; "/pencil/sn_d9b99bd654bc74bd3a4ebcf150599a82/rendering/06.obj", "4.0051159668")</f>
        <v>4.0051159668</v>
      </c>
      <c r="J2097" s="64" t="str">
        <f>HYPERLINK(AA2 &amp; "/pencil/sn_d9b99bd654bc74bd3a4ebcf150599a82/rendering/07.obj", "1.7075553894")</f>
        <v>1.7075553894</v>
      </c>
      <c r="K2097" s="101" t="str">
        <f>HYPERLINK(AA2 &amp; "/pencil/sn_d9b99bd654bc74bd3a4ebcf150599a82/rendering/08.obj", "1.2712562561")</f>
        <v>1.2712562561</v>
      </c>
      <c r="L2097" s="85" t="str">
        <f>HYPERLINK(AA2 &amp; "/pencil/sn_d9b99bd654bc74bd3a4ebcf150599a82/rendering/09.obj", "1.43310531616")</f>
        <v>1.43310531616</v>
      </c>
      <c r="M2097" s="80" t="str">
        <f>HYPERLINK(AA2 &amp; "/pencil/sn_d9b99bd654bc74bd3a4ebcf150599a82/rendering/10.obj", "1.73829544067")</f>
        <v>1.73829544067</v>
      </c>
      <c r="N2097" s="168" t="str">
        <f>HYPERLINK(AA2 &amp; "/pencil/sn_d9b99bd654bc74bd3a4ebcf150599a82/rendering/11.obj", "1.38235046387")</f>
        <v>1.38235046387</v>
      </c>
      <c r="O2097" s="31" t="str">
        <f>HYPERLINK(AA2 &amp; "/pencil/sn_d9b99bd654bc74bd3a4ebcf150599a82/rendering/12.obj", "1.72203292847")</f>
        <v>1.72203292847</v>
      </c>
      <c r="P2097" s="102" t="str">
        <f>HYPERLINK(AA2 &amp; "/pencil/sn_d9b99bd654bc74bd3a4ebcf150599a82/rendering/13.obj", "1.02389511108")</f>
        <v>1.02389511108</v>
      </c>
      <c r="Q2097" s="218" t="str">
        <f>HYPERLINK(AA2 &amp; "/pencil/sn_d9b99bd654bc74bd3a4ebcf150599a82/rendering/14.obj", "0.988694381714")</f>
        <v>0.988694381714</v>
      </c>
      <c r="R2097" s="93" t="str">
        <f>HYPERLINK(AA2 &amp; "/pencil/sn_d9b99bd654bc74bd3a4ebcf150599a82/rendering/15.obj", "1.75315338135")</f>
        <v>1.75315338135</v>
      </c>
      <c r="S2097" s="20" t="str">
        <f>HYPERLINK(AA2 &amp; "/pencil/sn_d9b99bd654bc74bd3a4ebcf150599a82/rendering/16.obj", "3.86022338867")</f>
        <v>3.86022338867</v>
      </c>
      <c r="T2097" s="6" t="str">
        <f>HYPERLINK(AA2 &amp; "/pencil/sn_d9b99bd654bc74bd3a4ebcf150599a82/rendering/17.obj", "2.13032501221")</f>
        <v>2.13032501221</v>
      </c>
      <c r="U2097" s="13" t="str">
        <f>HYPERLINK(AA2 &amp; "/pencil/sn_d9b99bd654bc74bd3a4ebcf150599a82/rendering/18.obj", "2.04028076172")</f>
        <v>2.04028076172</v>
      </c>
      <c r="V2097" s="175" t="str">
        <f>HYPERLINK(AA2 &amp; "/pencil/sn_d9b99bd654bc74bd3a4ebcf150599a82/rendering/19.obj", "2.51733139038")</f>
        <v>2.51733139038</v>
      </c>
      <c r="W2097" s="12" t="s">
        <v>29</v>
      </c>
      <c r="X2097" s="13">
        <v>2.0406475563049322</v>
      </c>
      <c r="Y2097" s="13">
        <v>0.86910791612832539</v>
      </c>
      <c r="Z2097" s="162">
        <v>0.42589809957288649</v>
      </c>
    </row>
    <row r="2098" spans="1:26" x14ac:dyDescent="0.2">
      <c r="A2098" s="1">
        <v>2096</v>
      </c>
      <c r="B2098" s="2" t="s">
        <v>452</v>
      </c>
      <c r="C2098" s="20" t="str">
        <f>HYPERLINK(AA2 &amp; "/pencil/sn_d9b99bd654bc74bd3a4ebcf150599a82/rendering/00.obj", "13.9202709198")</f>
        <v>13.9202709198</v>
      </c>
      <c r="D2098" s="147" t="str">
        <f>HYPERLINK(AA2 &amp; "/pencil/sn_d9b99bd654bc74bd3a4ebcf150599a82/rendering/01.obj", "2.98185515404")</f>
        <v>2.98185515404</v>
      </c>
      <c r="E2098" s="86" t="str">
        <f>HYPERLINK(AA2 &amp; "/pencil/sn_d9b99bd654bc74bd3a4ebcf150599a82/rendering/02.obj", "4.2517952919")</f>
        <v>4.2517952919</v>
      </c>
      <c r="F2098" s="78" t="str">
        <f>HYPERLINK(AA2 &amp; "/pencil/sn_d9b99bd654bc74bd3a4ebcf150599a82/rendering/03.obj", "5.446164608")</f>
        <v>5.446164608</v>
      </c>
      <c r="G2098" s="24" t="str">
        <f>HYPERLINK(AA2 &amp; "/pencil/sn_d9b99bd654bc74bd3a4ebcf150599a82/rendering/04.obj", "4.82635450363")</f>
        <v>4.82635450363</v>
      </c>
      <c r="H2098" s="142" t="str">
        <f>HYPERLINK(AA2 &amp; "/pencil/sn_d9b99bd654bc74bd3a4ebcf150599a82/rendering/05.obj", "3.52593827248")</f>
        <v>3.52593827248</v>
      </c>
      <c r="I2098" s="20" t="str">
        <f>HYPERLINK(AA2 &amp; "/pencil/sn_d9b99bd654bc74bd3a4ebcf150599a82/rendering/06.obj", "14.512298584")</f>
        <v>14.512298584</v>
      </c>
      <c r="J2098" s="60" t="str">
        <f>HYPERLINK(AA2 &amp; "/pencil/sn_d9b99bd654bc74bd3a4ebcf150599a82/rendering/07.obj", "6.10647726059")</f>
        <v>6.10647726059</v>
      </c>
      <c r="K2098" s="159" t="str">
        <f>HYPERLINK(AA2 &amp; "/pencil/sn_d9b99bd654bc74bd3a4ebcf150599a82/rendering/08.obj", "3.09203028679")</f>
        <v>3.09203028679</v>
      </c>
      <c r="L2098" s="191" t="str">
        <f>HYPERLINK(AA2 &amp; "/pencil/sn_d9b99bd654bc74bd3a4ebcf150599a82/rendering/09.obj", "3.18183732033")</f>
        <v>3.18183732033</v>
      </c>
      <c r="M2098" s="175" t="str">
        <f>HYPERLINK(AA2 &amp; "/pencil/sn_d9b99bd654bc74bd3a4ebcf150599a82/rendering/10.obj", "4.45257949829")</f>
        <v>4.45257949829</v>
      </c>
      <c r="N2098" s="116" t="str">
        <f>HYPERLINK(AA2 &amp; "/pencil/sn_d9b99bd654bc74bd3a4ebcf150599a82/rendering/11.obj", "3.26423048973")</f>
        <v>3.26423048973</v>
      </c>
      <c r="O2098" s="97" t="str">
        <f>HYPERLINK(AA2 &amp; "/pencil/sn_d9b99bd654bc74bd3a4ebcf150599a82/rendering/12.obj", "3.28567481041")</f>
        <v>3.28567481041</v>
      </c>
      <c r="P2098" s="233" t="str">
        <f>HYPERLINK(AA2 &amp; "/pencil/sn_d9b99bd654bc74bd3a4ebcf150599a82/rendering/13.obj", "1.73172283173")</f>
        <v>1.73172283173</v>
      </c>
      <c r="Q2098" s="220" t="str">
        <f>HYPERLINK(AA2 &amp; "/pencil/sn_d9b99bd654bc74bd3a4ebcf150599a82/rendering/14.obj", "1.85795879364")</f>
        <v>1.85795879364</v>
      </c>
      <c r="R2098" s="91" t="str">
        <f>HYPERLINK(AA2 &amp; "/pencil/sn_d9b99bd654bc74bd3a4ebcf150599a82/rendering/15.obj", "5.96502828598")</f>
        <v>5.96502828598</v>
      </c>
      <c r="S2098" s="20" t="str">
        <f>HYPERLINK(AA2 &amp; "/pencil/sn_d9b99bd654bc74bd3a4ebcf150599a82/rendering/16.obj", "15.0081567764")</f>
        <v>15.0081567764</v>
      </c>
      <c r="T2098" s="110" t="str">
        <f>HYPERLINK(AA2 &amp; "/pencil/sn_d9b99bd654bc74bd3a4ebcf150599a82/rendering/17.obj", "6.39393663406")</f>
        <v>6.39393663406</v>
      </c>
      <c r="U2098" s="65" t="str">
        <f>HYPERLINK(AA2 &amp; "/pencil/sn_d9b99bd654bc74bd3a4ebcf150599a82/rendering/18.obj", "5.03348398209")</f>
        <v>5.03348398209</v>
      </c>
      <c r="V2098" s="86" t="str">
        <f>HYPERLINK(AA2 &amp; "/pencil/sn_d9b99bd654bc74bd3a4ebcf150599a82/rendering/19.obj", "7.37454652786")</f>
        <v>7.37454652786</v>
      </c>
      <c r="W2098" s="12" t="s">
        <v>30</v>
      </c>
      <c r="X2098" s="13">
        <v>5.8106170415878298</v>
      </c>
      <c r="Y2098" s="13">
        <v>3.921739882259045</v>
      </c>
      <c r="Z2098" s="155">
        <v>0.67492657908623355</v>
      </c>
    </row>
    <row r="2099" spans="1:26" x14ac:dyDescent="0.2">
      <c r="A2099" s="1">
        <v>2097</v>
      </c>
      <c r="B2099" s="2" t="s">
        <v>452</v>
      </c>
      <c r="C2099" s="69" t="str">
        <f>HYPERLINK(AB2 &amp; "/pencil/sn_d9b99bd654bc74bd3a4ebcf150599a82/rendering/00.obj", "1.24279922485")</f>
        <v>1.24279922485</v>
      </c>
      <c r="D2099" s="13" t="str">
        <f>HYPERLINK(AB2 &amp; "/pencil/sn_d9b99bd654bc74bd3a4ebcf150599a82/rendering/01.obj", "1.20932601929")</f>
        <v>1.20932601929</v>
      </c>
      <c r="E2099" s="68" t="str">
        <f>HYPERLINK(AB2 &amp; "/pencil/sn_d9b99bd654bc74bd3a4ebcf150599a82/rendering/02.obj", "1.26109405518")</f>
        <v>1.26109405518</v>
      </c>
      <c r="F2099" s="13" t="str">
        <f>HYPERLINK(AB2 &amp; "/pencil/sn_d9b99bd654bc74bd3a4ebcf150599a82/rendering/03.obj", "1.20882553101")</f>
        <v>1.20882553101</v>
      </c>
      <c r="G2099" s="91" t="str">
        <f>HYPERLINK(AB2 &amp; "/pencil/sn_d9b99bd654bc74bd3a4ebcf150599a82/rendering/04.obj", "1.2406464386")</f>
        <v>1.2406464386</v>
      </c>
      <c r="H2099" s="69" t="str">
        <f>HYPERLINK(AB2 &amp; "/pencil/sn_d9b99bd654bc74bd3a4ebcf150599a82/rendering/05.obj", "1.24549552917")</f>
        <v>1.24549552917</v>
      </c>
      <c r="I2099" s="39" t="str">
        <f>HYPERLINK(AB2 &amp; "/pencil/sn_d9b99bd654bc74bd3a4ebcf150599a82/rendering/06.obj", "1.10509155273")</f>
        <v>1.10509155273</v>
      </c>
      <c r="J2099" s="30" t="str">
        <f>HYPERLINK(AB2 &amp; "/pencil/sn_d9b99bd654bc74bd3a4ebcf150599a82/rendering/07.obj", "1.21296257019")</f>
        <v>1.21296257019</v>
      </c>
      <c r="K2099" s="47" t="str">
        <f>HYPERLINK(AB2 &amp; "/pencil/sn_d9b99bd654bc74bd3a4ebcf150599a82/rendering/08.obj", "1.21761230469")</f>
        <v>1.21761230469</v>
      </c>
      <c r="L2099" s="47" t="str">
        <f>HYPERLINK(AB2 &amp; "/pencil/sn_d9b99bd654bc74bd3a4ebcf150599a82/rendering/09.obj", "1.21656341553")</f>
        <v>1.21656341553</v>
      </c>
      <c r="M2099" s="74" t="str">
        <f>HYPERLINK(AB2 &amp; "/pencil/sn_d9b99bd654bc74bd3a4ebcf150599a82/rendering/10.obj", "1.19257141113")</f>
        <v>1.19257141113</v>
      </c>
      <c r="N2099" s="73" t="str">
        <f>HYPERLINK(AB2 &amp; "/pencil/sn_d9b99bd654bc74bd3a4ebcf150599a82/rendering/11.obj", "1.16432624817")</f>
        <v>1.16432624817</v>
      </c>
      <c r="O2099" s="34" t="str">
        <f>HYPERLINK(AB2 &amp; "/pencil/sn_d9b99bd654bc74bd3a4ebcf150599a82/rendering/12.obj", "1.26615814209")</f>
        <v>1.26615814209</v>
      </c>
      <c r="P2099" s="94" t="str">
        <f>HYPERLINK(AB2 &amp; "/pencil/sn_d9b99bd654bc74bd3a4ebcf150599a82/rendering/13.obj", "1.29920913696")</f>
        <v>1.29920913696</v>
      </c>
      <c r="Q2099" s="74" t="str">
        <f>HYPERLINK(AB2 &amp; "/pencil/sn_d9b99bd654bc74bd3a4ebcf150599a82/rendering/14.obj", "1.18972320557")</f>
        <v>1.18972320557</v>
      </c>
      <c r="R2099" s="73" t="str">
        <f>HYPERLINK(AB2 &amp; "/pencil/sn_d9b99bd654bc74bd3a4ebcf150599a82/rendering/15.obj", "1.16612037659")</f>
        <v>1.16612037659</v>
      </c>
      <c r="S2099" s="30" t="str">
        <f>HYPERLINK(AB2 &amp; "/pencil/sn_d9b99bd654bc74bd3a4ebcf150599a82/rendering/16.obj", "1.20288833618")</f>
        <v>1.20288833618</v>
      </c>
      <c r="T2099" s="68" t="str">
        <f>HYPERLINK(AB2 &amp; "/pencil/sn_d9b99bd654bc74bd3a4ebcf150599a82/rendering/17.obj", "1.15589485168")</f>
        <v>1.15589485168</v>
      </c>
      <c r="U2099" s="47" t="str">
        <f>HYPERLINK(AB2 &amp; "/pencil/sn_d9b99bd654bc74bd3a4ebcf150599a82/rendering/18.obj", "1.21802017212")</f>
        <v>1.21802017212</v>
      </c>
      <c r="V2099" s="68" t="str">
        <f>HYPERLINK(AB2 &amp; "/pencil/sn_d9b99bd654bc74bd3a4ebcf150599a82/rendering/19.obj", "1.15654800415")</f>
        <v>1.15654800415</v>
      </c>
      <c r="W2099" s="12" t="s">
        <v>31</v>
      </c>
      <c r="X2099" s="13">
        <v>1.2085938262939451</v>
      </c>
      <c r="Y2099" s="13">
        <v>4.398932043507741E-2</v>
      </c>
      <c r="Z2099" s="73">
        <v>3.6397108340332239E-2</v>
      </c>
    </row>
    <row r="2100" spans="1:26" x14ac:dyDescent="0.2">
      <c r="A2100" s="1">
        <v>2098</v>
      </c>
      <c r="B2100" s="2" t="s">
        <v>452</v>
      </c>
      <c r="C2100" s="78" t="str">
        <f>HYPERLINK(AB2 &amp; "/pencil/sn_d9b99bd654bc74bd3a4ebcf150599a82/rendering/00.obj", "1.68328714371")</f>
        <v>1.68328714371</v>
      </c>
      <c r="D2100" s="79" t="str">
        <f>HYPERLINK(AB2 &amp; "/pencil/sn_d9b99bd654bc74bd3a4ebcf150599a82/rendering/01.obj", "1.33578324318")</f>
        <v>1.33578324318</v>
      </c>
      <c r="E2100" s="33" t="str">
        <f>HYPERLINK(AB2 &amp; "/pencil/sn_d9b99bd654bc74bd3a4ebcf150599a82/rendering/02.obj", "1.75719630718")</f>
        <v>1.75719630718</v>
      </c>
      <c r="F2100" s="25" t="str">
        <f>HYPERLINK(AB2 &amp; "/pencil/sn_d9b99bd654bc74bd3a4ebcf150599a82/rendering/03.obj", "1.57044696808")</f>
        <v>1.57044696808</v>
      </c>
      <c r="G2100" s="5" t="str">
        <f>HYPERLINK(AB2 &amp; "/pencil/sn_d9b99bd654bc74bd3a4ebcf150599a82/rendering/04.obj", "1.70774841309")</f>
        <v>1.70774841309</v>
      </c>
      <c r="H2100" s="78" t="str">
        <f>HYPERLINK(AB2 &amp; "/pencil/sn_d9b99bd654bc74bd3a4ebcf150599a82/rendering/05.obj", "1.4898045063")</f>
        <v>1.4898045063</v>
      </c>
      <c r="I2100" s="110" t="str">
        <f>HYPERLINK(AB2 &amp; "/pencil/sn_d9b99bd654bc74bd3a4ebcf150599a82/rendering/06.obj", "1.42845988274")</f>
        <v>1.42845988274</v>
      </c>
      <c r="J2100" s="41" t="str">
        <f>HYPERLINK(AB2 &amp; "/pencil/sn_d9b99bd654bc74bd3a4ebcf150599a82/rendering/07.obj", "1.48069930077")</f>
        <v>1.48069930077</v>
      </c>
      <c r="K2100" s="94" t="str">
        <f>HYPERLINK(AB2 &amp; "/pencil/sn_d9b99bd654bc74bd3a4ebcf150599a82/rendering/08.obj", "1.70181190968")</f>
        <v>1.70181190968</v>
      </c>
      <c r="L2100" s="74" t="str">
        <f>HYPERLINK(AB2 &amp; "/pencil/sn_d9b99bd654bc74bd3a4ebcf150599a82/rendering/09.obj", "1.60959911346")</f>
        <v>1.60959911346</v>
      </c>
      <c r="M2100" s="75" t="str">
        <f>HYPERLINK(AB2 &amp; "/pencil/sn_d9b99bd654bc74bd3a4ebcf150599a82/rendering/10.obj", "1.93808090687")</f>
        <v>1.93808090687</v>
      </c>
      <c r="N2100" s="30" t="str">
        <f>HYPERLINK(AB2 &amp; "/pencil/sn_d9b99bd654bc74bd3a4ebcf150599a82/rendering/11.obj", "1.58040618896")</f>
        <v>1.58040618896</v>
      </c>
      <c r="O2100" s="68" t="str">
        <f>HYPERLINK(AB2 &amp; "/pencil/sn_d9b99bd654bc74bd3a4ebcf150599a82/rendering/12.obj", "1.5167286396")</f>
        <v>1.5167286396</v>
      </c>
      <c r="P2100" s="47" t="str">
        <f>HYPERLINK(AB2 &amp; "/pencil/sn_d9b99bd654bc74bd3a4ebcf150599a82/rendering/13.obj", "1.5962896347")</f>
        <v>1.5962896347</v>
      </c>
      <c r="Q2100" s="71" t="str">
        <f>HYPERLINK(AB2 &amp; "/pencil/sn_d9b99bd654bc74bd3a4ebcf150599a82/rendering/14.obj", "1.40014314651")</f>
        <v>1.40014314651</v>
      </c>
      <c r="R2100" s="70" t="str">
        <f>HYPERLINK(AB2 &amp; "/pencil/sn_d9b99bd654bc74bd3a4ebcf150599a82/rendering/15.obj", "1.78541362286")</f>
        <v>1.78541362286</v>
      </c>
      <c r="S2100" s="68" t="str">
        <f>HYPERLINK(AB2 &amp; "/pencil/sn_d9b99bd654bc74bd3a4ebcf150599a82/rendering/16.obj", "1.65504264832")</f>
        <v>1.65504264832</v>
      </c>
      <c r="T2100" s="48" t="str">
        <f>HYPERLINK(AB2 &amp; "/pencil/sn_d9b99bd654bc74bd3a4ebcf150599a82/rendering/17.obj", "1.55064964294")</f>
        <v>1.55064964294</v>
      </c>
      <c r="U2100" s="73" t="str">
        <f>HYPERLINK(AB2 &amp; "/pencil/sn_d9b99bd654bc74bd3a4ebcf150599a82/rendering/18.obj", "1.53060472012")</f>
        <v>1.53060472012</v>
      </c>
      <c r="V2100" s="106" t="str">
        <f>HYPERLINK(AB2 &amp; "/pencil/sn_d9b99bd654bc74bd3a4ebcf150599a82/rendering/19.obj", "1.40315151215")</f>
        <v>1.40315151215</v>
      </c>
      <c r="W2100" s="12" t="s">
        <v>32</v>
      </c>
      <c r="X2100" s="13">
        <v>1.586067372560501</v>
      </c>
      <c r="Y2100" s="13">
        <v>0.14513783879806241</v>
      </c>
      <c r="Z2100" s="67">
        <v>9.1507990964946259E-2</v>
      </c>
    </row>
    <row r="2101" spans="1:26" x14ac:dyDescent="0.2">
      <c r="A2101" s="1">
        <v>2099</v>
      </c>
      <c r="B2101" s="2" t="s">
        <v>452</v>
      </c>
      <c r="C2101" s="13" t="str">
        <f>HYPERLINK(AC2 &amp; "/pencil/sn_d9b99bd654bc74bd3a4ebcf150599a82/rendering/00.xyz", "0.0")</f>
        <v>0.0</v>
      </c>
      <c r="D2101" s="13" t="str">
        <f>HYPERLINK(AC2 &amp; "/pencil/sn_d9b99bd654bc74bd3a4ebcf150599a82/rendering/01.xyz", "0.0")</f>
        <v>0.0</v>
      </c>
      <c r="E2101" s="13" t="str">
        <f>HYPERLINK(AC2 &amp; "/pencil/sn_d9b99bd654bc74bd3a4ebcf150599a82/rendering/02.xyz", "0.0")</f>
        <v>0.0</v>
      </c>
      <c r="F2101" s="13" t="str">
        <f>HYPERLINK(AC2 &amp; "/pencil/sn_d9b99bd654bc74bd3a4ebcf150599a82/rendering/03.xyz", "0.0")</f>
        <v>0.0</v>
      </c>
      <c r="G2101" s="13" t="str">
        <f>HYPERLINK(AC2 &amp; "/pencil/sn_d9b99bd654bc74bd3a4ebcf150599a82/rendering/04.xyz", "0.0")</f>
        <v>0.0</v>
      </c>
      <c r="H2101" s="13" t="str">
        <f>HYPERLINK(AC2 &amp; "/pencil/sn_d9b99bd654bc74bd3a4ebcf150599a82/rendering/05.xyz", "0.0")</f>
        <v>0.0</v>
      </c>
      <c r="I2101" s="13" t="str">
        <f>HYPERLINK(AC2 &amp; "/pencil/sn_d9b99bd654bc74bd3a4ebcf150599a82/rendering/06.xyz", "0.0")</f>
        <v>0.0</v>
      </c>
      <c r="J2101" s="13" t="str">
        <f>HYPERLINK(AC2 &amp; "/pencil/sn_d9b99bd654bc74bd3a4ebcf150599a82/rendering/07.xyz", "0.0")</f>
        <v>0.0</v>
      </c>
      <c r="K2101" s="13" t="str">
        <f>HYPERLINK(AC2 &amp; "/pencil/sn_d9b99bd654bc74bd3a4ebcf150599a82/rendering/08.xyz", "0.0")</f>
        <v>0.0</v>
      </c>
      <c r="L2101" s="13" t="str">
        <f>HYPERLINK(AC2 &amp; "/pencil/sn_d9b99bd654bc74bd3a4ebcf150599a82/rendering/09.xyz", "0.0")</f>
        <v>0.0</v>
      </c>
      <c r="M2101" s="13" t="str">
        <f>HYPERLINK(AC2 &amp; "/pencil/sn_d9b99bd654bc74bd3a4ebcf150599a82/rendering/10.xyz", "0.0")</f>
        <v>0.0</v>
      </c>
      <c r="N2101" s="13" t="str">
        <f>HYPERLINK(AC2 &amp; "/pencil/sn_d9b99bd654bc74bd3a4ebcf150599a82/rendering/11.xyz", "0.0")</f>
        <v>0.0</v>
      </c>
      <c r="O2101" s="13" t="str">
        <f>HYPERLINK(AC2 &amp; "/pencil/sn_d9b99bd654bc74bd3a4ebcf150599a82/rendering/12.xyz", "0.0")</f>
        <v>0.0</v>
      </c>
      <c r="P2101" s="13" t="str">
        <f>HYPERLINK(AC2 &amp; "/pencil/sn_d9b99bd654bc74bd3a4ebcf150599a82/rendering/13.xyz", "0.0")</f>
        <v>0.0</v>
      </c>
      <c r="Q2101" s="13" t="str">
        <f>HYPERLINK(AC2 &amp; "/pencil/sn_d9b99bd654bc74bd3a4ebcf150599a82/rendering/14.xyz", "0.0")</f>
        <v>0.0</v>
      </c>
      <c r="R2101" s="13" t="str">
        <f>HYPERLINK(AC2 &amp; "/pencil/sn_d9b99bd654bc74bd3a4ebcf150599a82/rendering/15.xyz", "0.0")</f>
        <v>0.0</v>
      </c>
      <c r="S2101" s="13" t="str">
        <f>HYPERLINK(AC2 &amp; "/pencil/sn_d9b99bd654bc74bd3a4ebcf150599a82/rendering/16.xyz", "0.0")</f>
        <v>0.0</v>
      </c>
      <c r="T2101" s="13" t="str">
        <f>HYPERLINK(AC2 &amp; "/pencil/sn_d9b99bd654bc74bd3a4ebcf150599a82/rendering/17.xyz", "0.0")</f>
        <v>0.0</v>
      </c>
      <c r="U2101" s="13" t="str">
        <f>HYPERLINK(AC2 &amp; "/pencil/sn_d9b99bd654bc74bd3a4ebcf150599a82/rendering/18.xyz", "0.0")</f>
        <v>0.0</v>
      </c>
      <c r="V2101" s="13" t="str">
        <f>HYPERLINK(AC2 &amp; "/pencil/sn_d9b99bd654bc74bd3a4ebcf150599a82/rendering/19.xyz", "0.0")</f>
        <v>0.0</v>
      </c>
      <c r="W2101" s="12" t="s">
        <v>33</v>
      </c>
      <c r="X2101" s="13">
        <v>0</v>
      </c>
      <c r="Y2101" s="13">
        <v>0</v>
      </c>
      <c r="Z2101" s="13">
        <v>0</v>
      </c>
    </row>
    <row r="2102" spans="1:26" x14ac:dyDescent="0.2">
      <c r="A2102" s="1">
        <v>2100</v>
      </c>
      <c r="B2102" s="2" t="s">
        <v>453</v>
      </c>
      <c r="C2102" s="32" t="str">
        <f>HYPERLINK(AA2 &amp; "/pencil/sn_db55c78bddc17844faa359bca8206349/rendering/00.obj", "4.27069732666")</f>
        <v>4.27069732666</v>
      </c>
      <c r="D2102" s="44" t="str">
        <f>HYPERLINK(AA2 &amp; "/pencil/sn_db55c78bddc17844faa359bca8206349/rendering/01.obj", "3.83405578613")</f>
        <v>3.83405578613</v>
      </c>
      <c r="E2102" s="10" t="str">
        <f>HYPERLINK(AA2 &amp; "/pencil/sn_db55c78bddc17844faa359bca8206349/rendering/02.obj", "5.03776794434")</f>
        <v>5.03776794434</v>
      </c>
      <c r="F2102" s="83" t="str">
        <f>HYPERLINK(AA2 &amp; "/pencil/sn_db55c78bddc17844faa359bca8206349/rendering/03.obj", "4.04790008545")</f>
        <v>4.04790008545</v>
      </c>
      <c r="G2102" s="78" t="str">
        <f>HYPERLINK(AA2 &amp; "/pencil/sn_db55c78bddc17844faa359bca8206349/rendering/04.obj", "5.06687438965")</f>
        <v>5.06687438965</v>
      </c>
      <c r="H2102" s="41" t="str">
        <f>HYPERLINK(AA2 &amp; "/pencil/sn_db55c78bddc17844faa359bca8206349/rendering/05.obj", "4.45316070557")</f>
        <v>4.45316070557</v>
      </c>
      <c r="I2102" s="60" t="str">
        <f>HYPERLINK(AA2 &amp; "/pencil/sn_db55c78bddc17844faa359bca8206349/rendering/06.obj", "5.01908477783")</f>
        <v>5.01908477783</v>
      </c>
      <c r="J2102" s="29" t="str">
        <f>HYPERLINK(AA2 &amp; "/pencil/sn_db55c78bddc17844faa359bca8206349/rendering/07.obj", "4.15417236328")</f>
        <v>4.15417236328</v>
      </c>
      <c r="K2102" s="34" t="str">
        <f>HYPERLINK(AA2 &amp; "/pencil/sn_db55c78bddc17844faa359bca8206349/rendering/08.obj", "5.01163696289")</f>
        <v>5.01163696289</v>
      </c>
      <c r="L2102" s="60" t="str">
        <f>HYPERLINK(AA2 &amp; "/pencil/sn_db55c78bddc17844faa359bca8206349/rendering/09.obj", "5.02748138428")</f>
        <v>5.02748138428</v>
      </c>
      <c r="M2102" s="90" t="str">
        <f>HYPERLINK(AA2 &amp; "/pencil/sn_db55c78bddc17844faa359bca8206349/rendering/10.obj", "5.23570861816")</f>
        <v>5.23570861816</v>
      </c>
      <c r="N2102" s="110" t="str">
        <f>HYPERLINK(AA2 &amp; "/pencil/sn_db55c78bddc17844faa359bca8206349/rendering/11.obj", "4.29703887939")</f>
        <v>4.29703887939</v>
      </c>
      <c r="O2102" s="107" t="str">
        <f>HYPERLINK(AA2 &amp; "/pencil/sn_db55c78bddc17844faa359bca8206349/rendering/12.obj", "4.37903930664")</f>
        <v>4.37903930664</v>
      </c>
      <c r="P2102" s="67" t="str">
        <f>HYPERLINK(AA2 &amp; "/pencil/sn_db55c78bddc17844faa359bca8206349/rendering/13.obj", "5.21648132324")</f>
        <v>5.21648132324</v>
      </c>
      <c r="Q2102" s="32" t="str">
        <f>HYPERLINK(AA2 &amp; "/pencil/sn_db55c78bddc17844faa359bca8206349/rendering/14.obj", "5.28040039063")</f>
        <v>5.28040039063</v>
      </c>
      <c r="R2102" s="72" t="str">
        <f>HYPERLINK(AA2 &amp; "/pencil/sn_db55c78bddc17844faa359bca8206349/rendering/15.obj", "4.61752319336")</f>
        <v>4.61752319336</v>
      </c>
      <c r="S2102" s="74" t="str">
        <f>HYPERLINK(AA2 &amp; "/pencil/sn_db55c78bddc17844faa359bca8206349/rendering/16.obj", "4.84736816406")</f>
        <v>4.84736816406</v>
      </c>
      <c r="T2102" s="106" t="str">
        <f>HYPERLINK(AA2 &amp; "/pencil/sn_db55c78bddc17844faa359bca8206349/rendering/17.obj", "4.22671173096")</f>
        <v>4.22671173096</v>
      </c>
      <c r="U2102" s="68" t="str">
        <f>HYPERLINK(AA2 &amp; "/pencil/sn_db55c78bddc17844faa359bca8206349/rendering/18.obj", "4.97792510986")</f>
        <v>4.97792510986</v>
      </c>
      <c r="V2102" s="137" t="str">
        <f>HYPERLINK(AA2 &amp; "/pencil/sn_db55c78bddc17844faa359bca8206349/rendering/19.obj", "6.52536743164")</f>
        <v>6.52536743164</v>
      </c>
      <c r="W2102" s="12" t="s">
        <v>29</v>
      </c>
      <c r="X2102" s="13">
        <v>4.7763197937011723</v>
      </c>
      <c r="Y2102" s="13">
        <v>0.59052279306191824</v>
      </c>
      <c r="Z2102" s="92">
        <v>0.1236355224456866</v>
      </c>
    </row>
    <row r="2103" spans="1:26" x14ac:dyDescent="0.2">
      <c r="A2103" s="1">
        <v>2101</v>
      </c>
      <c r="B2103" s="2" t="s">
        <v>453</v>
      </c>
      <c r="C2103" s="124" t="str">
        <f>HYPERLINK(AA2 &amp; "/pencil/sn_db55c78bddc17844faa359bca8206349/rendering/00.obj", "0.750068485737")</f>
        <v>0.750068485737</v>
      </c>
      <c r="D2103" s="122" t="str">
        <f>HYPERLINK(AA2 &amp; "/pencil/sn_db55c78bddc17844faa359bca8206349/rendering/01.obj", "0.720274686813")</f>
        <v>0.720274686813</v>
      </c>
      <c r="E2103" s="124" t="str">
        <f>HYPERLINK(AA2 &amp; "/pencil/sn_db55c78bddc17844faa359bca8206349/rendering/02.obj", "1.67021048069")</f>
        <v>1.67021048069</v>
      </c>
      <c r="F2103" s="50" t="str">
        <f>HYPERLINK(AA2 &amp; "/pencil/sn_db55c78bddc17844faa359bca8206349/rendering/03.obj", "0.96987760067")</f>
        <v>0.96987760067</v>
      </c>
      <c r="G2103" s="136" t="str">
        <f>HYPERLINK(AA2 &amp; "/pencil/sn_db55c78bddc17844faa359bca8206349/rendering/04.obj", "0.923521459103")</f>
        <v>0.923521459103</v>
      </c>
      <c r="H2103" s="50" t="str">
        <f>HYPERLINK(AA2 &amp; "/pencil/sn_db55c78bddc17844faa359bca8206349/rendering/05.obj", "0.967767119408")</f>
        <v>0.967767119408</v>
      </c>
      <c r="I2103" s="182" t="str">
        <f>HYPERLINK(AA2 &amp; "/pencil/sn_db55c78bddc17844faa359bca8206349/rendering/06.obj", "0.806934893131")</f>
        <v>0.806934893131</v>
      </c>
      <c r="J2103" s="85" t="str">
        <f>HYPERLINK(AA2 &amp; "/pencil/sn_db55c78bddc17844faa359bca8206349/rendering/07.obj", "0.849558770657")</f>
        <v>0.849558770657</v>
      </c>
      <c r="K2103" s="50" t="str">
        <f>HYPERLINK(AA2 &amp; "/pencil/sn_db55c78bddc17844faa359bca8206349/rendering/08.obj", "0.968577623367")</f>
        <v>0.968577623367</v>
      </c>
      <c r="L2103" s="225" t="str">
        <f>HYPERLINK(AA2 &amp; "/pencil/sn_db55c78bddc17844faa359bca8206349/rendering/09.obj", "1.89578652382")</f>
        <v>1.89578652382</v>
      </c>
      <c r="M2103" s="74" t="str">
        <f>HYPERLINK(AA2 &amp; "/pencil/sn_db55c78bddc17844faa359bca8206349/rendering/10.obj", "1.22617769241")</f>
        <v>1.22617769241</v>
      </c>
      <c r="N2103" s="142" t="str">
        <f>HYPERLINK(AA2 &amp; "/pencil/sn_db55c78bddc17844faa359bca8206349/rendering/11.obj", "0.731896877289")</f>
        <v>0.731896877289</v>
      </c>
      <c r="O2103" s="157" t="str">
        <f>HYPERLINK(AA2 &amp; "/pencil/sn_db55c78bddc17844faa359bca8206349/rendering/12.obj", "0.705224215984")</f>
        <v>0.705224215984</v>
      </c>
      <c r="P2103" s="100" t="str">
        <f>HYPERLINK(AA2 &amp; "/pencil/sn_db55c78bddc17844faa359bca8206349/rendering/13.obj", "1.56977713108")</f>
        <v>1.56977713108</v>
      </c>
      <c r="Q2103" s="134" t="str">
        <f>HYPERLINK(AA2 &amp; "/pencil/sn_db55c78bddc17844faa359bca8206349/rendering/14.obj", "0.990464031696")</f>
        <v>0.990464031696</v>
      </c>
      <c r="R2103" s="193" t="str">
        <f>HYPERLINK(AA2 &amp; "/pencil/sn_db55c78bddc17844faa359bca8206349/rendering/15.obj", "0.81008040905")</f>
        <v>0.81008040905</v>
      </c>
      <c r="S2103" s="98" t="str">
        <f>HYPERLINK(AA2 &amp; "/pencil/sn_db55c78bddc17844faa359bca8206349/rendering/16.obj", "0.929805278778")</f>
        <v>0.929805278778</v>
      </c>
      <c r="T2103" s="129" t="str">
        <f>HYPERLINK(AA2 &amp; "/pencil/sn_db55c78bddc17844faa359bca8206349/rendering/17.obj", "0.907687306404")</f>
        <v>0.907687306404</v>
      </c>
      <c r="U2103" s="193" t="str">
        <f>HYPERLINK(AA2 &amp; "/pencil/sn_db55c78bddc17844faa359bca8206349/rendering/18.obj", "0.808427989483")</f>
        <v>0.808427989483</v>
      </c>
      <c r="V2103" s="20" t="str">
        <f>HYPERLINK(AA2 &amp; "/pencil/sn_db55c78bddc17844faa359bca8206349/rendering/19.obj", "4.97978258133")</f>
        <v>4.97978258133</v>
      </c>
      <c r="W2103" s="12" t="s">
        <v>30</v>
      </c>
      <c r="X2103" s="13">
        <v>1.2090950578451161</v>
      </c>
      <c r="Y2103" s="13">
        <v>0.92320515069200171</v>
      </c>
      <c r="Z2103" s="208">
        <v>0.7635505121800471</v>
      </c>
    </row>
    <row r="2104" spans="1:26" x14ac:dyDescent="0.2">
      <c r="A2104" s="1">
        <v>2102</v>
      </c>
      <c r="B2104" s="2" t="s">
        <v>453</v>
      </c>
      <c r="C2104" s="13" t="str">
        <f>HYPERLINK(AB2 &amp; "/pencil/sn_db55c78bddc17844faa359bca8206349/rendering/00.obj", "3.81531921387")</f>
        <v>3.81531921387</v>
      </c>
      <c r="D2104" s="46" t="str">
        <f>HYPERLINK(AB2 &amp; "/pencil/sn_db55c78bddc17844faa359bca8206349/rendering/01.obj", "3.89308166504")</f>
        <v>3.89308166504</v>
      </c>
      <c r="E2104" s="78" t="str">
        <f>HYPERLINK(AB2 &amp; "/pencil/sn_db55c78bddc17844faa359bca8206349/rendering/02.obj", "4.05578063965")</f>
        <v>4.05578063965</v>
      </c>
      <c r="F2104" s="6" t="str">
        <f>HYPERLINK(AB2 &amp; "/pencil/sn_db55c78bddc17844faa359bca8206349/rendering/03.obj", "3.99460876465")</f>
        <v>3.99460876465</v>
      </c>
      <c r="G2104" s="10" t="str">
        <f>HYPERLINK(AB2 &amp; "/pencil/sn_db55c78bddc17844faa359bca8206349/rendering/04.obj", "3.62013793945")</f>
        <v>3.62013793945</v>
      </c>
      <c r="H2104" s="68" t="str">
        <f>HYPERLINK(AB2 &amp; "/pencil/sn_db55c78bddc17844faa359bca8206349/rendering/05.obj", "3.98619750977")</f>
        <v>3.98619750977</v>
      </c>
      <c r="I2104" s="10" t="str">
        <f>HYPERLINK(AB2 &amp; "/pencil/sn_db55c78bddc17844faa359bca8206349/rendering/06.obj", "4.03731506348")</f>
        <v>4.03731506348</v>
      </c>
      <c r="J2104" s="60" t="str">
        <f>HYPERLINK(AB2 &amp; "/pencil/sn_db55c78bddc17844faa359bca8206349/rendering/07.obj", "3.63089111328")</f>
        <v>3.63089111328</v>
      </c>
      <c r="K2104" s="6" t="str">
        <f>HYPERLINK(AB2 &amp; "/pencil/sn_db55c78bddc17844faa359bca8206349/rendering/08.obj", "3.65443786621")</f>
        <v>3.65443786621</v>
      </c>
      <c r="L2104" s="10" t="str">
        <f>HYPERLINK(AB2 &amp; "/pencil/sn_db55c78bddc17844faa359bca8206349/rendering/09.obj", "3.61250915527")</f>
        <v>3.61250915527</v>
      </c>
      <c r="M2104" s="79" t="str">
        <f>HYPERLINK(AB2 &amp; "/pencil/sn_db55c78bddc17844faa359bca8206349/rendering/10.obj", "4.43078857422")</f>
        <v>4.43078857422</v>
      </c>
      <c r="N2104" s="78" t="str">
        <f>HYPERLINK(AB2 &amp; "/pencil/sn_db55c78bddc17844faa359bca8206349/rendering/11.obj", "4.06508514404")</f>
        <v>4.06508514404</v>
      </c>
      <c r="O2104" s="91" t="str">
        <f>HYPERLINK(AB2 &amp; "/pencil/sn_db55c78bddc17844faa359bca8206349/rendering/12.obj", "3.72634063721")</f>
        <v>3.72634063721</v>
      </c>
      <c r="P2104" s="91" t="str">
        <f>HYPERLINK(AB2 &amp; "/pencil/sn_db55c78bddc17844faa359bca8206349/rendering/13.obj", "3.72629821777")</f>
        <v>3.72629821777</v>
      </c>
      <c r="Q2104" s="110" t="str">
        <f>HYPERLINK(AB2 &amp; "/pencil/sn_db55c78bddc17844faa359bca8206349/rendering/14.obj", "4.20727539062")</f>
        <v>4.20727539062</v>
      </c>
      <c r="R2104" s="27" t="str">
        <f>HYPERLINK(AB2 &amp; "/pencil/sn_db55c78bddc17844faa359bca8206349/rendering/15.obj", "3.55330627441")</f>
        <v>3.55330627441</v>
      </c>
      <c r="S2104" s="67" t="str">
        <f>HYPERLINK(AB2 &amp; "/pencil/sn_db55c78bddc17844faa359bca8206349/rendering/16.obj", "3.46803924561")</f>
        <v>3.46803924561</v>
      </c>
      <c r="T2104" s="48" t="str">
        <f>HYPERLINK(AB2 &amp; "/pencil/sn_db55c78bddc17844faa359bca8206349/rendering/17.obj", "3.73725463867")</f>
        <v>3.73725463867</v>
      </c>
      <c r="U2104" s="5" t="str">
        <f>HYPERLINK(AB2 &amp; "/pencil/sn_db55c78bddc17844faa359bca8206349/rendering/18.obj", "3.53140563965")</f>
        <v>3.53140563965</v>
      </c>
      <c r="V2104" s="74" t="str">
        <f>HYPERLINK(AB2 &amp; "/pencil/sn_db55c78bddc17844faa359bca8206349/rendering/19.obj", "3.76705474854")</f>
        <v>3.76705474854</v>
      </c>
      <c r="W2104" s="12" t="s">
        <v>31</v>
      </c>
      <c r="X2104" s="13">
        <v>3.8256563720703132</v>
      </c>
      <c r="Y2104" s="13">
        <v>0.24499222103267099</v>
      </c>
      <c r="Z2104" s="26">
        <v>6.4039264692267631E-2</v>
      </c>
    </row>
    <row r="2105" spans="1:26" x14ac:dyDescent="0.2">
      <c r="A2105" s="1">
        <v>2103</v>
      </c>
      <c r="B2105" s="2" t="s">
        <v>453</v>
      </c>
      <c r="C2105" s="134" t="str">
        <f>HYPERLINK(AB2 &amp; "/pencil/sn_db55c78bddc17844faa359bca8206349/rendering/00.obj", "0.655308306217")</f>
        <v>0.655308306217</v>
      </c>
      <c r="D2105" s="42" t="str">
        <f>HYPERLINK(AB2 &amp; "/pencil/sn_db55c78bddc17844faa359bca8206349/rendering/01.obj", "0.906794726849")</f>
        <v>0.906794726849</v>
      </c>
      <c r="E2105" s="37" t="str">
        <f>HYPERLINK(AB2 &amp; "/pencil/sn_db55c78bddc17844faa359bca8206349/rendering/02.obj", "0.658618807793")</f>
        <v>0.658618807793</v>
      </c>
      <c r="F2105" s="103" t="str">
        <f>HYPERLINK(AB2 &amp; "/pencil/sn_db55c78bddc17844faa359bca8206349/rendering/03.obj", "1.0581548214")</f>
        <v>1.0581548214</v>
      </c>
      <c r="G2105" s="46" t="str">
        <f>HYPERLINK(AB2 &amp; "/pencil/sn_db55c78bddc17844faa359bca8206349/rendering/04.obj", "0.784048676491")</f>
        <v>0.784048676491</v>
      </c>
      <c r="H2105" s="69" t="str">
        <f>HYPERLINK(AB2 &amp; "/pencil/sn_db55c78bddc17844faa359bca8206349/rendering/05.obj", "0.775041937828")</f>
        <v>0.775041937828</v>
      </c>
      <c r="I2105" s="67" t="str">
        <f>HYPERLINK(AB2 &amp; "/pencil/sn_db55c78bddc17844faa359bca8206349/rendering/06.obj", "0.872386991978")</f>
        <v>0.872386991978</v>
      </c>
      <c r="J2105" s="134" t="str">
        <f>HYPERLINK(AB2 &amp; "/pencil/sn_db55c78bddc17844faa359bca8206349/rendering/07.obj", "0.655055999756")</f>
        <v>0.655055999756</v>
      </c>
      <c r="K2105" s="27" t="str">
        <f>HYPERLINK(AB2 &amp; "/pencil/sn_db55c78bddc17844faa359bca8206349/rendering/08.obj", "0.742111563683")</f>
        <v>0.742111563683</v>
      </c>
      <c r="L2105" s="30" t="str">
        <f>HYPERLINK(AB2 &amp; "/pencil/sn_db55c78bddc17844faa359bca8206349/rendering/09.obj", "0.802525579929")</f>
        <v>0.802525579929</v>
      </c>
      <c r="M2105" s="21" t="str">
        <f>HYPERLINK(AB2 &amp; "/pencil/sn_db55c78bddc17844faa359bca8206349/rendering/10.obj", "1.23888480663")</f>
        <v>1.23888480663</v>
      </c>
      <c r="N2105" s="29" t="str">
        <f>HYPERLINK(AB2 &amp; "/pencil/sn_db55c78bddc17844faa359bca8206349/rendering/11.obj", "0.693684458733")</f>
        <v>0.693684458733</v>
      </c>
      <c r="O2105" s="5" t="str">
        <f>HYPERLINK(AB2 &amp; "/pencil/sn_db55c78bddc17844faa359bca8206349/rendering/12.obj", "0.736920654774")</f>
        <v>0.736920654774</v>
      </c>
      <c r="P2105" s="13" t="str">
        <f>HYPERLINK(AB2 &amp; "/pencil/sn_db55c78bddc17844faa359bca8206349/rendering/13.obj", "0.79831469059")</f>
        <v>0.79831469059</v>
      </c>
      <c r="Q2105" s="36" t="str">
        <f>HYPERLINK(AB2 &amp; "/pencil/sn_db55c78bddc17844faa359bca8206349/rendering/14.obj", "0.970424056053")</f>
        <v>0.970424056053</v>
      </c>
      <c r="R2105" s="94" t="str">
        <f>HYPERLINK(AB2 &amp; "/pencil/sn_db55c78bddc17844faa359bca8206349/rendering/15.obj", "0.738451600075")</f>
        <v>0.738451600075</v>
      </c>
      <c r="S2105" s="25" t="str">
        <f>HYPERLINK(AB2 &amp; "/pencil/sn_db55c78bddc17844faa359bca8206349/rendering/16.obj", "0.789050281048")</f>
        <v>0.789050281048</v>
      </c>
      <c r="T2105" s="93" t="str">
        <f>HYPERLINK(AB2 &amp; "/pencil/sn_db55c78bddc17844faa359bca8206349/rendering/17.obj", "0.685815930367")</f>
        <v>0.685815930367</v>
      </c>
      <c r="U2105" s="28" t="str">
        <f>HYPERLINK(AB2 &amp; "/pencil/sn_db55c78bddc17844faa359bca8206349/rendering/18.obj", "0.70890557766")</f>
        <v>0.70890557766</v>
      </c>
      <c r="V2105" s="65" t="str">
        <f>HYPERLINK(AB2 &amp; "/pencil/sn_db55c78bddc17844faa359bca8206349/rendering/19.obj", "0.691120624542")</f>
        <v>0.691120624542</v>
      </c>
      <c r="W2105" s="12" t="s">
        <v>32</v>
      </c>
      <c r="X2105" s="13">
        <v>0.79808100461959841</v>
      </c>
      <c r="Y2105" s="13">
        <v>0.14550450645488691</v>
      </c>
      <c r="Z2105" s="76">
        <v>0.18231796723973021</v>
      </c>
    </row>
    <row r="2106" spans="1:26" x14ac:dyDescent="0.2">
      <c r="A2106" s="1">
        <v>2104</v>
      </c>
      <c r="B2106" s="2" t="s">
        <v>453</v>
      </c>
      <c r="C2106" s="13" t="str">
        <f>HYPERLINK(AC2 &amp; "/pencil/sn_db55c78bddc17844faa359bca8206349/rendering/00.xyz", "0.0")</f>
        <v>0.0</v>
      </c>
      <c r="D2106" s="13" t="str">
        <f>HYPERLINK(AC2 &amp; "/pencil/sn_db55c78bddc17844faa359bca8206349/rendering/01.xyz", "0.0")</f>
        <v>0.0</v>
      </c>
      <c r="E2106" s="13" t="str">
        <f>HYPERLINK(AC2 &amp; "/pencil/sn_db55c78bddc17844faa359bca8206349/rendering/02.xyz", "0.0")</f>
        <v>0.0</v>
      </c>
      <c r="F2106" s="13" t="str">
        <f>HYPERLINK(AC2 &amp; "/pencil/sn_db55c78bddc17844faa359bca8206349/rendering/03.xyz", "0.0")</f>
        <v>0.0</v>
      </c>
      <c r="G2106" s="13" t="str">
        <f>HYPERLINK(AC2 &amp; "/pencil/sn_db55c78bddc17844faa359bca8206349/rendering/04.xyz", "0.0")</f>
        <v>0.0</v>
      </c>
      <c r="H2106" s="13" t="str">
        <f>HYPERLINK(AC2 &amp; "/pencil/sn_db55c78bddc17844faa359bca8206349/rendering/05.xyz", "0.0")</f>
        <v>0.0</v>
      </c>
      <c r="I2106" s="13" t="str">
        <f>HYPERLINK(AC2 &amp; "/pencil/sn_db55c78bddc17844faa359bca8206349/rendering/06.xyz", "0.0")</f>
        <v>0.0</v>
      </c>
      <c r="J2106" s="13" t="str">
        <f>HYPERLINK(AC2 &amp; "/pencil/sn_db55c78bddc17844faa359bca8206349/rendering/07.xyz", "0.0")</f>
        <v>0.0</v>
      </c>
      <c r="K2106" s="13" t="str">
        <f>HYPERLINK(AC2 &amp; "/pencil/sn_db55c78bddc17844faa359bca8206349/rendering/08.xyz", "0.0")</f>
        <v>0.0</v>
      </c>
      <c r="L2106" s="13" t="str">
        <f>HYPERLINK(AC2 &amp; "/pencil/sn_db55c78bddc17844faa359bca8206349/rendering/09.xyz", "0.0")</f>
        <v>0.0</v>
      </c>
      <c r="M2106" s="13" t="str">
        <f>HYPERLINK(AC2 &amp; "/pencil/sn_db55c78bddc17844faa359bca8206349/rendering/10.xyz", "0.0")</f>
        <v>0.0</v>
      </c>
      <c r="N2106" s="13" t="str">
        <f>HYPERLINK(AC2 &amp; "/pencil/sn_db55c78bddc17844faa359bca8206349/rendering/11.xyz", "0.0")</f>
        <v>0.0</v>
      </c>
      <c r="O2106" s="13" t="str">
        <f>HYPERLINK(AC2 &amp; "/pencil/sn_db55c78bddc17844faa359bca8206349/rendering/12.xyz", "0.0")</f>
        <v>0.0</v>
      </c>
      <c r="P2106" s="13" t="str">
        <f>HYPERLINK(AC2 &amp; "/pencil/sn_db55c78bddc17844faa359bca8206349/rendering/13.xyz", "0.0")</f>
        <v>0.0</v>
      </c>
      <c r="Q2106" s="13" t="str">
        <f>HYPERLINK(AC2 &amp; "/pencil/sn_db55c78bddc17844faa359bca8206349/rendering/14.xyz", "0.0")</f>
        <v>0.0</v>
      </c>
      <c r="R2106" s="13" t="str">
        <f>HYPERLINK(AC2 &amp; "/pencil/sn_db55c78bddc17844faa359bca8206349/rendering/15.xyz", "0.0")</f>
        <v>0.0</v>
      </c>
      <c r="S2106" s="13" t="str">
        <f>HYPERLINK(AC2 &amp; "/pencil/sn_db55c78bddc17844faa359bca8206349/rendering/16.xyz", "0.0")</f>
        <v>0.0</v>
      </c>
      <c r="T2106" s="13" t="str">
        <f>HYPERLINK(AC2 &amp; "/pencil/sn_db55c78bddc17844faa359bca8206349/rendering/17.xyz", "0.0")</f>
        <v>0.0</v>
      </c>
      <c r="U2106" s="13" t="str">
        <f>HYPERLINK(AC2 &amp; "/pencil/sn_db55c78bddc17844faa359bca8206349/rendering/18.xyz", "0.0")</f>
        <v>0.0</v>
      </c>
      <c r="V2106" s="13" t="str">
        <f>HYPERLINK(AC2 &amp; "/pencil/sn_db55c78bddc17844faa359bca8206349/rendering/19.xyz", "0.0")</f>
        <v>0.0</v>
      </c>
      <c r="W2106" s="12" t="s">
        <v>33</v>
      </c>
      <c r="X2106" s="13">
        <v>0</v>
      </c>
      <c r="Y2106" s="13">
        <v>0</v>
      </c>
      <c r="Z2106" s="13">
        <v>0</v>
      </c>
    </row>
    <row r="2107" spans="1:26" x14ac:dyDescent="0.2">
      <c r="A2107" s="1">
        <v>2105</v>
      </c>
      <c r="B2107" s="2" t="s">
        <v>454</v>
      </c>
      <c r="C2107" s="90" t="str">
        <f>HYPERLINK(AA2 &amp; "/pencil/sn_dba10f096e74b42e387a6aee7e31ae66/rendering/00.obj", "3.93638549805")</f>
        <v>3.93638549805</v>
      </c>
      <c r="D2107" s="5" t="str">
        <f>HYPERLINK(AA2 &amp; "/pencil/sn_dba10f096e74b42e387a6aee7e31ae66/rendering/01.obj", "4.01959625244")</f>
        <v>4.01959625244</v>
      </c>
      <c r="E2107" s="47" t="str">
        <f>HYPERLINK(AA2 &amp; "/pencil/sn_dba10f096e74b42e387a6aee7e31ae66/rendering/02.obj", "4.3142855835")</f>
        <v>4.3142855835</v>
      </c>
      <c r="F2107" s="30" t="str">
        <f>HYPERLINK(AA2 &amp; "/pencil/sn_dba10f096e74b42e387a6aee7e31ae66/rendering/03.obj", "4.37417907715")</f>
        <v>4.37417907715</v>
      </c>
      <c r="G2107" s="89" t="str">
        <f>HYPERLINK(AA2 &amp; "/pencil/sn_dba10f096e74b42e387a6aee7e31ae66/rendering/04.obj", "3.23294372559")</f>
        <v>3.23294372559</v>
      </c>
      <c r="H2107" s="30" t="str">
        <f>HYPERLINK(AA2 &amp; "/pencil/sn_dba10f096e74b42e387a6aee7e31ae66/rendering/05.obj", "4.38015014648")</f>
        <v>4.38015014648</v>
      </c>
      <c r="I2107" s="42" t="str">
        <f>HYPERLINK(AA2 &amp; "/pencil/sn_dba10f096e74b42e387a6aee7e31ae66/rendering/06.obj", "3.76158294678")</f>
        <v>3.76158294678</v>
      </c>
      <c r="J2107" s="72" t="str">
        <f>HYPERLINK(AA2 &amp; "/pencil/sn_dba10f096e74b42e387a6aee7e31ae66/rendering/07.obj", "4.50030090332")</f>
        <v>4.50030090332</v>
      </c>
      <c r="K2107" s="37" t="str">
        <f>HYPERLINK(AA2 &amp; "/pencil/sn_dba10f096e74b42e387a6aee7e31ae66/rendering/08.obj", "3.59562225342")</f>
        <v>3.59562225342</v>
      </c>
      <c r="L2107" s="24" t="str">
        <f>HYPERLINK(AA2 &amp; "/pencil/sn_dba10f096e74b42e387a6aee7e31ae66/rendering/09.obj", "3.62719543457")</f>
        <v>3.62719543457</v>
      </c>
      <c r="M2107" s="64" t="str">
        <f>HYPERLINK(AA2 &amp; "/pencil/sn_dba10f096e74b42e387a6aee7e31ae66/rendering/10.obj", "3.64221038818")</f>
        <v>3.64221038818</v>
      </c>
      <c r="N2107" s="88" t="str">
        <f>HYPERLINK(AA2 &amp; "/pencil/sn_dba10f096e74b42e387a6aee7e31ae66/rendering/11.obj", "5.23084289551")</f>
        <v>5.23084289551</v>
      </c>
      <c r="O2107" s="13" t="str">
        <f>HYPERLINK(AA2 &amp; "/pencil/sn_dba10f096e74b42e387a6aee7e31ae66/rendering/12.obj", "4.36528747559")</f>
        <v>4.36528747559</v>
      </c>
      <c r="P2107" s="20" t="str">
        <f>HYPERLINK(AA2 &amp; "/pencil/sn_dba10f096e74b42e387a6aee7e31ae66/rendering/13.obj", "12.7665673828")</f>
        <v>12.7665673828</v>
      </c>
      <c r="Q2107" s="136" t="str">
        <f>HYPERLINK(AA2 &amp; "/pencil/sn_dba10f096e74b42e387a6aee7e31ae66/rendering/14.obj", "3.318152771")</f>
        <v>3.318152771</v>
      </c>
      <c r="R2107" s="120" t="str">
        <f>HYPERLINK(AA2 &amp; "/pencil/sn_dba10f096e74b42e387a6aee7e31ae66/rendering/15.obj", "3.43089447021")</f>
        <v>3.43089447021</v>
      </c>
      <c r="S2107" s="93" t="str">
        <f>HYPERLINK(AA2 &amp; "/pencil/sn_dba10f096e74b42e387a6aee7e31ae66/rendering/16.obj", "3.74855529785")</f>
        <v>3.74855529785</v>
      </c>
      <c r="T2107" s="55" t="str">
        <f>HYPERLINK(AA2 &amp; "/pencil/sn_dba10f096e74b42e387a6aee7e31ae66/rendering/17.obj", "3.51512878418")</f>
        <v>3.51512878418</v>
      </c>
      <c r="U2107" s="83" t="str">
        <f>HYPERLINK(AA2 &amp; "/pencil/sn_dba10f096e74b42e387a6aee7e31ae66/rendering/18.obj", "3.69203918457")</f>
        <v>3.69203918457</v>
      </c>
      <c r="V2107" s="66" t="str">
        <f>HYPERLINK(AA2 &amp; "/pencil/sn_dba10f096e74b42e387a6aee7e31ae66/rendering/19.obj", "3.65040466309")</f>
        <v>3.65040466309</v>
      </c>
      <c r="W2107" s="12" t="s">
        <v>29</v>
      </c>
      <c r="X2107" s="13">
        <v>4.3551162567138686</v>
      </c>
      <c r="Y2107" s="13">
        <v>1.987421786730696</v>
      </c>
      <c r="Z2107" s="230">
        <v>0.45634184475945427</v>
      </c>
    </row>
    <row r="2108" spans="1:26" x14ac:dyDescent="0.2">
      <c r="A2108" s="1">
        <v>2106</v>
      </c>
      <c r="B2108" s="2" t="s">
        <v>454</v>
      </c>
      <c r="C2108" s="49" t="str">
        <f>HYPERLINK(AA2 &amp; "/pencil/sn_dba10f096e74b42e387a6aee7e31ae66/rendering/00.obj", "1.38929569721")</f>
        <v>1.38929569721</v>
      </c>
      <c r="D2108" s="95" t="str">
        <f>HYPERLINK(AA2 &amp; "/pencil/sn_dba10f096e74b42e387a6aee7e31ae66/rendering/01.obj", "1.26327836514")</f>
        <v>1.26327836514</v>
      </c>
      <c r="E2108" s="107" t="str">
        <f>HYPERLINK(AA2 &amp; "/pencil/sn_dba10f096e74b42e387a6aee7e31ae66/rendering/02.obj", "1.89894902706")</f>
        <v>1.89894902706</v>
      </c>
      <c r="F2108" s="56" t="str">
        <f>HYPERLINK(AA2 &amp; "/pencil/sn_dba10f096e74b42e387a6aee7e31ae66/rendering/03.obj", "1.21343016624")</f>
        <v>1.21343016624</v>
      </c>
      <c r="G2108" s="145" t="str">
        <f>HYPERLINK(AA2 &amp; "/pencil/sn_dba10f096e74b42e387a6aee7e31ae66/rendering/04.obj", "0.894779026508")</f>
        <v>0.894779026508</v>
      </c>
      <c r="H2108" s="176" t="str">
        <f>HYPERLINK(AA2 &amp; "/pencil/sn_dba10f096e74b42e387a6aee7e31ae66/rendering/05.obj", "1.1946554184")</f>
        <v>1.1946554184</v>
      </c>
      <c r="I2108" s="105" t="str">
        <f>HYPERLINK(AA2 &amp; "/pencil/sn_dba10f096e74b42e387a6aee7e31ae66/rendering/06.obj", "0.852241396904")</f>
        <v>0.852241396904</v>
      </c>
      <c r="J2108" s="136" t="str">
        <f>HYPERLINK(AA2 &amp; "/pencil/sn_dba10f096e74b42e387a6aee7e31ae66/rendering/07.obj", "2.17061519623")</f>
        <v>2.17061519623</v>
      </c>
      <c r="K2108" s="99" t="str">
        <f>HYPERLINK(AA2 &amp; "/pencil/sn_dba10f096e74b42e387a6aee7e31ae66/rendering/08.obj", "1.27808570862")</f>
        <v>1.27808570862</v>
      </c>
      <c r="L2108" s="102" t="str">
        <f>HYPERLINK(AA2 &amp; "/pencil/sn_dba10f096e74b42e387a6aee7e31ae66/rendering/09.obj", "0.883730709553")</f>
        <v>0.883730709553</v>
      </c>
      <c r="M2108" s="159" t="str">
        <f>HYPERLINK(AA2 &amp; "/pencil/sn_dba10f096e74b42e387a6aee7e31ae66/rendering/10.obj", "0.928563773632")</f>
        <v>0.928563773632</v>
      </c>
      <c r="N2108" s="140" t="str">
        <f>HYPERLINK(AA2 &amp; "/pencil/sn_dba10f096e74b42e387a6aee7e31ae66/rendering/11.obj", "2.36034679413")</f>
        <v>2.36034679413</v>
      </c>
      <c r="O2108" s="14" t="str">
        <f>HYPERLINK(AA2 &amp; "/pencil/sn_dba10f096e74b42e387a6aee7e31ae66/rendering/12.obj", "1.24220311642")</f>
        <v>1.24220311642</v>
      </c>
      <c r="P2108" s="20" t="str">
        <f>HYPERLINK(AA2 &amp; "/pencil/sn_dba10f096e74b42e387a6aee7e31ae66/rendering/13.obj", "12.1774463654")</f>
        <v>12.1774463654</v>
      </c>
      <c r="Q2108" s="148" t="str">
        <f>HYPERLINK(AA2 &amp; "/pencil/sn_dba10f096e74b42e387a6aee7e31ae66/rendering/14.obj", "0.904781520367")</f>
        <v>0.904781520367</v>
      </c>
      <c r="R2108" s="15" t="str">
        <f>HYPERLINK(AA2 &amp; "/pencil/sn_dba10f096e74b42e387a6aee7e31ae66/rendering/15.obj", "0.867100954056")</f>
        <v>0.867100954056</v>
      </c>
      <c r="S2108" s="104" t="str">
        <f>HYPERLINK(AA2 &amp; "/pencil/sn_dba10f096e74b42e387a6aee7e31ae66/rendering/16.obj", "0.920812785625")</f>
        <v>0.920812785625</v>
      </c>
      <c r="T2108" s="148" t="str">
        <f>HYPERLINK(AA2 &amp; "/pencil/sn_dba10f096e74b42e387a6aee7e31ae66/rendering/17.obj", "0.902502655983")</f>
        <v>0.902502655983</v>
      </c>
      <c r="U2108" s="218" t="str">
        <f>HYPERLINK(AA2 &amp; "/pencil/sn_dba10f096e74b42e387a6aee7e31ae66/rendering/18.obj", "0.849247574806")</f>
        <v>0.849247574806</v>
      </c>
      <c r="V2108" s="126" t="str">
        <f>HYPERLINK(AA2 &amp; "/pencil/sn_dba10f096e74b42e387a6aee7e31ae66/rendering/19.obj", "0.877407371998")</f>
        <v>0.877407371998</v>
      </c>
      <c r="W2108" s="12" t="s">
        <v>30</v>
      </c>
      <c r="X2108" s="13">
        <v>1.753473681211472</v>
      </c>
      <c r="Y2108" s="13">
        <v>2.4308634067033958</v>
      </c>
      <c r="Z2108" s="20">
        <v>1.3863130269648061</v>
      </c>
    </row>
    <row r="2109" spans="1:26" x14ac:dyDescent="0.2">
      <c r="A2109" s="1">
        <v>2107</v>
      </c>
      <c r="B2109" s="2" t="s">
        <v>454</v>
      </c>
      <c r="C2109" s="29" t="str">
        <f>HYPERLINK(AB2 &amp; "/pencil/sn_dba10f096e74b42e387a6aee7e31ae66/rendering/00.obj", "3.90977172852")</f>
        <v>3.90977172852</v>
      </c>
      <c r="D2109" s="13" t="str">
        <f>HYPERLINK(AB2 &amp; "/pencil/sn_dba10f096e74b42e387a6aee7e31ae66/rendering/01.obj", "3.45051361084")</f>
        <v>3.45051361084</v>
      </c>
      <c r="E2109" s="72" t="str">
        <f>HYPERLINK(AB2 &amp; "/pencil/sn_dba10f096e74b42e387a6aee7e31ae66/rendering/02.obj", "3.33877502441")</f>
        <v>3.33877502441</v>
      </c>
      <c r="F2109" s="13" t="str">
        <f>HYPERLINK(AB2 &amp; "/pencil/sn_dba10f096e74b42e387a6aee7e31ae66/rendering/03.obj", "3.44788696289")</f>
        <v>3.44788696289</v>
      </c>
      <c r="G2109" s="33" t="str">
        <f>HYPERLINK(AB2 &amp; "/pencil/sn_dba10f096e74b42e387a6aee7e31ae66/rendering/04.obj", "3.8337512207")</f>
        <v>3.8337512207</v>
      </c>
      <c r="H2109" s="77" t="str">
        <f>HYPERLINK(AB2 &amp; "/pencil/sn_dba10f096e74b42e387a6aee7e31ae66/rendering/05.obj", "2.80583374023")</f>
        <v>2.80583374023</v>
      </c>
      <c r="I2109" s="42" t="str">
        <f>HYPERLINK(AB2 &amp; "/pencil/sn_dba10f096e74b42e387a6aee7e31ae66/rendering/06.obj", "3.92909851074")</f>
        <v>3.92909851074</v>
      </c>
      <c r="J2109" s="63" t="str">
        <f>HYPERLINK(AB2 &amp; "/pencil/sn_dba10f096e74b42e387a6aee7e31ae66/rendering/07.obj", "3.8743927002")</f>
        <v>3.8743927002</v>
      </c>
      <c r="K2109" s="6" t="str">
        <f>HYPERLINK(AB2 &amp; "/pencil/sn_dba10f096e74b42e387a6aee7e31ae66/rendering/08.obj", "3.30033752441")</f>
        <v>3.30033752441</v>
      </c>
      <c r="L2109" s="26" t="str">
        <f>HYPERLINK(AB2 &amp; "/pencil/sn_dba10f096e74b42e387a6aee7e31ae66/rendering/09.obj", "3.23635314941")</f>
        <v>3.23635314941</v>
      </c>
      <c r="M2109" s="13" t="str">
        <f>HYPERLINK(AB2 &amp; "/pencil/sn_dba10f096e74b42e387a6aee7e31ae66/rendering/10.obj", "3.44504394531")</f>
        <v>3.44504394531</v>
      </c>
      <c r="N2109" s="134" t="str">
        <f>HYPERLINK(AB2 &amp; "/pencil/sn_dba10f096e74b42e387a6aee7e31ae66/rendering/11.obj", "2.82676757813")</f>
        <v>2.82676757813</v>
      </c>
      <c r="O2109" s="30" t="str">
        <f>HYPERLINK(AB2 &amp; "/pencil/sn_dba10f096e74b42e387a6aee7e31ae66/rendering/12.obj", "3.44346893311")</f>
        <v>3.44346893311</v>
      </c>
      <c r="P2109" s="107" t="str">
        <f>HYPERLINK(AB2 &amp; "/pencil/sn_dba10f096e74b42e387a6aee7e31ae66/rendering/13.obj", "3.73936920166")</f>
        <v>3.73936920166</v>
      </c>
      <c r="Q2109" s="27" t="str">
        <f>HYPERLINK(AB2 &amp; "/pencil/sn_dba10f096e74b42e387a6aee7e31ae66/rendering/14.obj", "3.20750671387")</f>
        <v>3.20750671387</v>
      </c>
      <c r="R2109" s="17" t="str">
        <f>HYPERLINK(AB2 &amp; "/pencil/sn_dba10f096e74b42e387a6aee7e31ae66/rendering/15.obj", "3.38924499512")</f>
        <v>3.38924499512</v>
      </c>
      <c r="S2109" s="78" t="str">
        <f>HYPERLINK(AB2 &amp; "/pencil/sn_dba10f096e74b42e387a6aee7e31ae66/rendering/16.obj", "3.6676385498")</f>
        <v>3.6676385498</v>
      </c>
      <c r="T2109" s="13" t="str">
        <f>HYPERLINK(AB2 &amp; "/pencil/sn_dba10f096e74b42e387a6aee7e31ae66/rendering/17.obj", "3.46411865234")</f>
        <v>3.46411865234</v>
      </c>
      <c r="U2109" s="73" t="str">
        <f>HYPERLINK(AB2 &amp; "/pencil/sn_dba10f096e74b42e387a6aee7e31ae66/rendering/18.obj", "3.32593994141")</f>
        <v>3.32593994141</v>
      </c>
      <c r="V2109" s="30" t="str">
        <f>HYPERLINK(AB2 &amp; "/pencil/sn_dba10f096e74b42e387a6aee7e31ae66/rendering/19.obj", "3.46647033691")</f>
        <v>3.46647033691</v>
      </c>
      <c r="W2109" s="12" t="s">
        <v>31</v>
      </c>
      <c r="X2109" s="13">
        <v>3.4551141510009762</v>
      </c>
      <c r="Y2109" s="13">
        <v>0.30504826163548021</v>
      </c>
      <c r="Z2109" s="38">
        <v>8.8288909802619706E-2</v>
      </c>
    </row>
    <row r="2110" spans="1:26" x14ac:dyDescent="0.2">
      <c r="A2110" s="1">
        <v>2108</v>
      </c>
      <c r="B2110" s="2" t="s">
        <v>454</v>
      </c>
      <c r="C2110" s="37" t="str">
        <f>HYPERLINK(AB2 &amp; "/pencil/sn_dba10f096e74b42e387a6aee7e31ae66/rendering/00.obj", "1.16818988323")</f>
        <v>1.16818988323</v>
      </c>
      <c r="D2110" s="110" t="str">
        <f>HYPERLINK(AB2 &amp; "/pencil/sn_dba10f096e74b42e387a6aee7e31ae66/rendering/01.obj", "1.09081065655")</f>
        <v>1.09081065655</v>
      </c>
      <c r="E2110" s="90" t="str">
        <f>HYPERLINK(AB2 &amp; "/pencil/sn_dba10f096e74b42e387a6aee7e31ae66/rendering/02.obj", "0.899896681309")</f>
        <v>0.899896681309</v>
      </c>
      <c r="F2110" s="93" t="str">
        <f>HYPERLINK(AB2 &amp; "/pencil/sn_dba10f096e74b42e387a6aee7e31ae66/rendering/03.obj", "0.856552183628")</f>
        <v>0.856552183628</v>
      </c>
      <c r="G2110" s="48" t="str">
        <f>HYPERLINK(AB2 &amp; "/pencil/sn_dba10f096e74b42e387a6aee7e31ae66/rendering/04.obj", "0.969704806805")</f>
        <v>0.969704806805</v>
      </c>
      <c r="H2110" s="90" t="str">
        <f>HYPERLINK(AB2 &amp; "/pencil/sn_dba10f096e74b42e387a6aee7e31ae66/rendering/05.obj", "0.897691547871")</f>
        <v>0.897691547871</v>
      </c>
      <c r="I2110" s="59" t="str">
        <f>HYPERLINK(AB2 &amp; "/pencil/sn_dba10f096e74b42e387a6aee7e31ae66/rendering/06.obj", "1.2326335907")</f>
        <v>1.2326335907</v>
      </c>
      <c r="J2110" s="74" t="str">
        <f>HYPERLINK(AB2 &amp; "/pencil/sn_dba10f096e74b42e387a6aee7e31ae66/rendering/07.obj", "0.979164004326")</f>
        <v>0.979164004326</v>
      </c>
      <c r="K2110" s="32" t="str">
        <f>HYPERLINK(AB2 &amp; "/pencil/sn_dba10f096e74b42e387a6aee7e31ae66/rendering/08.obj", "1.09716713428")</f>
        <v>1.09716713428</v>
      </c>
      <c r="L2110" s="65" t="str">
        <f>HYPERLINK(AB2 &amp; "/pencil/sn_dba10f096e74b42e387a6aee7e31ae66/rendering/09.obj", "0.862648189068")</f>
        <v>0.862648189068</v>
      </c>
      <c r="M2110" s="93" t="str">
        <f>HYPERLINK(AB2 &amp; "/pencil/sn_dba10f096e74b42e387a6aee7e31ae66/rendering/10.obj", "1.1324712038")</f>
        <v>1.1324712038</v>
      </c>
      <c r="N2110" s="63" t="str">
        <f>HYPERLINK(AB2 &amp; "/pencil/sn_dba10f096e74b42e387a6aee7e31ae66/rendering/11.obj", "0.874725222588")</f>
        <v>0.874725222588</v>
      </c>
      <c r="O2110" s="34" t="str">
        <f>HYPERLINK(AB2 &amp; "/pencil/sn_dba10f096e74b42e387a6aee7e31ae66/rendering/12.obj", "1.04182553291")</f>
        <v>1.04182553291</v>
      </c>
      <c r="P2110" s="15" t="str">
        <f>HYPERLINK(AB2 &amp; "/pencil/sn_dba10f096e74b42e387a6aee7e31ae66/rendering/13.obj", "1.49861717224")</f>
        <v>1.49861717224</v>
      </c>
      <c r="Q2110" s="29" t="str">
        <f>HYPERLINK(AB2 &amp; "/pencil/sn_dba10f096e74b42e387a6aee7e31ae66/rendering/14.obj", "0.863869249821")</f>
        <v>0.863869249821</v>
      </c>
      <c r="R2110" s="27" t="str">
        <f>HYPERLINK(AB2 &amp; "/pencil/sn_dba10f096e74b42e387a6aee7e31ae66/rendering/15.obj", "0.925300717354")</f>
        <v>0.925300717354</v>
      </c>
      <c r="S2110" s="6" t="str">
        <f>HYPERLINK(AB2 &amp; "/pencil/sn_dba10f096e74b42e387a6aee7e31ae66/rendering/16.obj", "1.0396553278")</f>
        <v>1.0396553278</v>
      </c>
      <c r="T2110" s="80" t="str">
        <f>HYPERLINK(AB2 &amp; "/pencil/sn_dba10f096e74b42e387a6aee7e31ae66/rendering/17.obj", "0.845867156982")</f>
        <v>0.845867156982</v>
      </c>
      <c r="U2110" s="49" t="str">
        <f>HYPERLINK(AB2 &amp; "/pencil/sn_dba10f096e74b42e387a6aee7e31ae66/rendering/18.obj", "0.786608636379")</f>
        <v>0.786608636379</v>
      </c>
      <c r="V2110" s="117" t="str">
        <f>HYPERLINK(AB2 &amp; "/pencil/sn_dba10f096e74b42e387a6aee7e31ae66/rendering/19.obj", "0.818241715431")</f>
        <v>0.818241715431</v>
      </c>
      <c r="W2110" s="12" t="s">
        <v>32</v>
      </c>
      <c r="X2110" s="13">
        <v>0.99408203065395351</v>
      </c>
      <c r="Y2110" s="13">
        <v>0.16915969842000561</v>
      </c>
      <c r="Z2110" s="40">
        <v>0.1701667399708699</v>
      </c>
    </row>
    <row r="2111" spans="1:26" x14ac:dyDescent="0.2">
      <c r="A2111" s="1">
        <v>2109</v>
      </c>
      <c r="B2111" s="2" t="s">
        <v>454</v>
      </c>
      <c r="C2111" s="13" t="str">
        <f>HYPERLINK(AC2 &amp; "/pencil/sn_dba10f096e74b42e387a6aee7e31ae66/rendering/00.xyz", "0.0")</f>
        <v>0.0</v>
      </c>
      <c r="D2111" s="13" t="str">
        <f>HYPERLINK(AC2 &amp; "/pencil/sn_dba10f096e74b42e387a6aee7e31ae66/rendering/01.xyz", "0.0")</f>
        <v>0.0</v>
      </c>
      <c r="E2111" s="13" t="str">
        <f>HYPERLINK(AC2 &amp; "/pencil/sn_dba10f096e74b42e387a6aee7e31ae66/rendering/02.xyz", "0.0")</f>
        <v>0.0</v>
      </c>
      <c r="F2111" s="13" t="str">
        <f>HYPERLINK(AC2 &amp; "/pencil/sn_dba10f096e74b42e387a6aee7e31ae66/rendering/03.xyz", "0.0")</f>
        <v>0.0</v>
      </c>
      <c r="G2111" s="13" t="str">
        <f>HYPERLINK(AC2 &amp; "/pencil/sn_dba10f096e74b42e387a6aee7e31ae66/rendering/04.xyz", "0.0")</f>
        <v>0.0</v>
      </c>
      <c r="H2111" s="13" t="str">
        <f>HYPERLINK(AC2 &amp; "/pencil/sn_dba10f096e74b42e387a6aee7e31ae66/rendering/05.xyz", "0.0")</f>
        <v>0.0</v>
      </c>
      <c r="I2111" s="13" t="str">
        <f>HYPERLINK(AC2 &amp; "/pencil/sn_dba10f096e74b42e387a6aee7e31ae66/rendering/06.xyz", "0.0")</f>
        <v>0.0</v>
      </c>
      <c r="J2111" s="13" t="str">
        <f>HYPERLINK(AC2 &amp; "/pencil/sn_dba10f096e74b42e387a6aee7e31ae66/rendering/07.xyz", "0.0")</f>
        <v>0.0</v>
      </c>
      <c r="K2111" s="13" t="str">
        <f>HYPERLINK(AC2 &amp; "/pencil/sn_dba10f096e74b42e387a6aee7e31ae66/rendering/08.xyz", "0.0")</f>
        <v>0.0</v>
      </c>
      <c r="L2111" s="13" t="str">
        <f>HYPERLINK(AC2 &amp; "/pencil/sn_dba10f096e74b42e387a6aee7e31ae66/rendering/09.xyz", "0.0")</f>
        <v>0.0</v>
      </c>
      <c r="M2111" s="13" t="str">
        <f>HYPERLINK(AC2 &amp; "/pencil/sn_dba10f096e74b42e387a6aee7e31ae66/rendering/10.xyz", "0.0")</f>
        <v>0.0</v>
      </c>
      <c r="N2111" s="13" t="str">
        <f>HYPERLINK(AC2 &amp; "/pencil/sn_dba10f096e74b42e387a6aee7e31ae66/rendering/11.xyz", "0.0")</f>
        <v>0.0</v>
      </c>
      <c r="O2111" s="13" t="str">
        <f>HYPERLINK(AC2 &amp; "/pencil/sn_dba10f096e74b42e387a6aee7e31ae66/rendering/12.xyz", "0.0")</f>
        <v>0.0</v>
      </c>
      <c r="P2111" s="13" t="str">
        <f>HYPERLINK(AC2 &amp; "/pencil/sn_dba10f096e74b42e387a6aee7e31ae66/rendering/13.xyz", "0.0")</f>
        <v>0.0</v>
      </c>
      <c r="Q2111" s="13" t="str">
        <f>HYPERLINK(AC2 &amp; "/pencil/sn_dba10f096e74b42e387a6aee7e31ae66/rendering/14.xyz", "0.0")</f>
        <v>0.0</v>
      </c>
      <c r="R2111" s="13" t="str">
        <f>HYPERLINK(AC2 &amp; "/pencil/sn_dba10f096e74b42e387a6aee7e31ae66/rendering/15.xyz", "0.0")</f>
        <v>0.0</v>
      </c>
      <c r="S2111" s="13" t="str">
        <f>HYPERLINK(AC2 &amp; "/pencil/sn_dba10f096e74b42e387a6aee7e31ae66/rendering/16.xyz", "0.0")</f>
        <v>0.0</v>
      </c>
      <c r="T2111" s="13" t="str">
        <f>HYPERLINK(AC2 &amp; "/pencil/sn_dba10f096e74b42e387a6aee7e31ae66/rendering/17.xyz", "0.0")</f>
        <v>0.0</v>
      </c>
      <c r="U2111" s="13" t="str">
        <f>HYPERLINK(AC2 &amp; "/pencil/sn_dba10f096e74b42e387a6aee7e31ae66/rendering/18.xyz", "0.0")</f>
        <v>0.0</v>
      </c>
      <c r="V2111" s="13" t="str">
        <f>HYPERLINK(AC2 &amp; "/pencil/sn_dba10f096e74b42e387a6aee7e31ae66/rendering/19.xyz", "0.0")</f>
        <v>0.0</v>
      </c>
      <c r="W2111" s="12" t="s">
        <v>33</v>
      </c>
      <c r="X2111" s="13">
        <v>0</v>
      </c>
      <c r="Y2111" s="13">
        <v>0</v>
      </c>
      <c r="Z2111" s="13">
        <v>0</v>
      </c>
    </row>
    <row r="2112" spans="1:26" x14ac:dyDescent="0.2">
      <c r="A2112" s="1">
        <v>2110</v>
      </c>
      <c r="B2112" s="2" t="s">
        <v>455</v>
      </c>
      <c r="C2112" s="6" t="str">
        <f>HYPERLINK(AA2 &amp; "/pencil/sn_dc53c0c007551ed94d678187b8261d95/rendering/00.obj", "3.67169006348")</f>
        <v>3.67169006348</v>
      </c>
      <c r="D2112" s="30" t="str">
        <f>HYPERLINK(AA2 &amp; "/pencil/sn_dc53c0c007551ed94d678187b8261d95/rendering/01.obj", "3.53808227539")</f>
        <v>3.53808227539</v>
      </c>
      <c r="E2112" s="51" t="str">
        <f>HYPERLINK(AA2 &amp; "/pencil/sn_dc53c0c007551ed94d678187b8261d95/rendering/02.obj", "3.23133605957")</f>
        <v>3.23133605957</v>
      </c>
      <c r="F2112" s="73" t="str">
        <f>HYPERLINK(AA2 &amp; "/pencil/sn_dc53c0c007551ed94d678187b8261d95/rendering/03.obj", "3.38850280762")</f>
        <v>3.38850280762</v>
      </c>
      <c r="G2112" s="17" t="str">
        <f>HYPERLINK(AA2 &amp; "/pencil/sn_dc53c0c007551ed94d678187b8261d95/rendering/04.obj", "3.59093658447")</f>
        <v>3.59093658447</v>
      </c>
      <c r="H2112" s="68" t="str">
        <f>HYPERLINK(AA2 &amp; "/pencil/sn_dc53c0c007551ed94d678187b8261d95/rendering/05.obj", "3.36269592285")</f>
        <v>3.36269592285</v>
      </c>
      <c r="I2112" s="73" t="str">
        <f>HYPERLINK(AA2 &amp; "/pencil/sn_dc53c0c007551ed94d678187b8261d95/rendering/06.obj", "3.39207641602")</f>
        <v>3.39207641602</v>
      </c>
      <c r="J2112" s="47" t="str">
        <f>HYPERLINK(AA2 &amp; "/pencil/sn_dc53c0c007551ed94d678187b8261d95/rendering/07.obj", "3.54155456543")</f>
        <v>3.54155456543</v>
      </c>
      <c r="K2112" s="6" t="str">
        <f>HYPERLINK(AA2 &amp; "/pencil/sn_dc53c0c007551ed94d678187b8261d95/rendering/08.obj", "3.68050170898")</f>
        <v>3.68050170898</v>
      </c>
      <c r="L2112" s="13" t="str">
        <f>HYPERLINK(AA2 &amp; "/pencil/sn_dc53c0c007551ed94d678187b8261d95/rendering/09.obj", "3.5108807373")</f>
        <v>3.5108807373</v>
      </c>
      <c r="M2112" s="74" t="str">
        <f>HYPERLINK(AA2 &amp; "/pencil/sn_dc53c0c007551ed94d678187b8261d95/rendering/10.obj", "3.46994293213")</f>
        <v>3.46994293213</v>
      </c>
      <c r="N2112" s="48" t="str">
        <f>HYPERLINK(AA2 &amp; "/pencil/sn_dc53c0c007551ed94d678187b8261d95/rendering/11.obj", "3.43473937988")</f>
        <v>3.43473937988</v>
      </c>
      <c r="O2112" s="39" t="str">
        <f>HYPERLINK(AA2 &amp; "/pencil/sn_dc53c0c007551ed94d678187b8261d95/rendering/12.obj", "3.81926818848")</f>
        <v>3.81926818848</v>
      </c>
      <c r="P2112" s="69" t="str">
        <f>HYPERLINK(AA2 &amp; "/pencil/sn_dc53c0c007551ed94d678187b8261d95/rendering/13.obj", "3.62546875")</f>
        <v>3.62546875</v>
      </c>
      <c r="Q2112" s="48" t="str">
        <f>HYPERLINK(AA2 &amp; "/pencil/sn_dc53c0c007551ed94d678187b8261d95/rendering/14.obj", "3.60253723145")</f>
        <v>3.60253723145</v>
      </c>
      <c r="R2112" s="91" t="str">
        <f>HYPERLINK(AA2 &amp; "/pencil/sn_dc53c0c007551ed94d678187b8261d95/rendering/15.obj", "3.61444671631")</f>
        <v>3.61444671631</v>
      </c>
      <c r="S2112" s="35" t="str">
        <f>HYPERLINK(AA2 &amp; "/pencil/sn_dc53c0c007551ed94d678187b8261d95/rendering/16.obj", "3.31431243896")</f>
        <v>3.31431243896</v>
      </c>
      <c r="T2112" s="74" t="str">
        <f>HYPERLINK(AA2 &amp; "/pencil/sn_dc53c0c007551ed94d678187b8261d95/rendering/17.obj", "3.56163208008")</f>
        <v>3.56163208008</v>
      </c>
      <c r="U2112" s="69" t="str">
        <f>HYPERLINK(AA2 &amp; "/pencil/sn_dc53c0c007551ed94d678187b8261d95/rendering/18.obj", "3.4115423584")</f>
        <v>3.4115423584</v>
      </c>
      <c r="V2112" s="74" t="str">
        <f>HYPERLINK(AA2 &amp; "/pencil/sn_dc53c0c007551ed94d678187b8261d95/rendering/19.obj", "3.56246887207")</f>
        <v>3.56246887207</v>
      </c>
      <c r="W2112" s="12" t="s">
        <v>29</v>
      </c>
      <c r="X2112" s="13">
        <v>3.5162308044433588</v>
      </c>
      <c r="Y2112" s="13">
        <v>0.13782610372070769</v>
      </c>
      <c r="Z2112" s="23">
        <v>3.9197115145723882E-2</v>
      </c>
    </row>
    <row r="2113" spans="1:26" x14ac:dyDescent="0.2">
      <c r="A2113" s="1">
        <v>2111</v>
      </c>
      <c r="B2113" s="2" t="s">
        <v>455</v>
      </c>
      <c r="C2113" s="78" t="str">
        <f>HYPERLINK(AA2 &amp; "/pencil/sn_dc53c0c007551ed94d678187b8261d95/rendering/00.obj", "1.0579957962")</f>
        <v>1.0579957962</v>
      </c>
      <c r="D2113" s="34" t="str">
        <f>HYPERLINK(AA2 &amp; "/pencil/sn_dc53c0c007551ed94d678187b8261d95/rendering/01.obj", "1.04512059689")</f>
        <v>1.04512059689</v>
      </c>
      <c r="E2113" s="107" t="str">
        <f>HYPERLINK(AA2 &amp; "/pencil/sn_dc53c0c007551ed94d678187b8261d95/rendering/02.obj", "0.914525091648")</f>
        <v>0.914525091648</v>
      </c>
      <c r="F2113" s="91" t="str">
        <f>HYPERLINK(AA2 &amp; "/pencil/sn_dc53c0c007551ed94d678187b8261d95/rendering/03.obj", "0.970668435097")</f>
        <v>0.970668435097</v>
      </c>
      <c r="G2113" s="73" t="str">
        <f>HYPERLINK(AA2 &amp; "/pencil/sn_dc53c0c007551ed94d678187b8261d95/rendering/04.obj", "1.03118789196")</f>
        <v>1.03118789196</v>
      </c>
      <c r="H2113" s="60" t="str">
        <f>HYPERLINK(AA2 &amp; "/pencil/sn_dc53c0c007551ed94d678187b8261d95/rendering/05.obj", "1.04949748516")</f>
        <v>1.04949748516</v>
      </c>
      <c r="I2113" s="32" t="str">
        <f>HYPERLINK(AA2 &amp; "/pencil/sn_dc53c0c007551ed94d678187b8261d95/rendering/06.obj", "0.892053723335")</f>
        <v>0.892053723335</v>
      </c>
      <c r="J2113" s="32" t="str">
        <f>HYPERLINK(AA2 &amp; "/pencil/sn_dc53c0c007551ed94d678187b8261d95/rendering/07.obj", "0.893291056156")</f>
        <v>0.893291056156</v>
      </c>
      <c r="K2113" s="25" t="str">
        <f>HYPERLINK(AA2 &amp; "/pencil/sn_dc53c0c007551ed94d678187b8261d95/rendering/08.obj", "1.00750386715")</f>
        <v>1.00750386715</v>
      </c>
      <c r="L2113" s="39" t="str">
        <f>HYPERLINK(AA2 &amp; "/pencil/sn_dc53c0c007551ed94d678187b8261d95/rendering/09.obj", "0.910414457321")</f>
        <v>0.910414457321</v>
      </c>
      <c r="M2113" s="17" t="str">
        <f>HYPERLINK(AA2 &amp; "/pencil/sn_dc53c0c007551ed94d678187b8261d95/rendering/10.obj", "1.01722896099")</f>
        <v>1.01722896099</v>
      </c>
      <c r="N2113" s="68" t="str">
        <f>HYPERLINK(AA2 &amp; "/pencil/sn_dc53c0c007551ed94d678187b8261d95/rendering/11.obj", "0.954689860344")</f>
        <v>0.954689860344</v>
      </c>
      <c r="O2113" s="71" t="str">
        <f>HYPERLINK(AA2 &amp; "/pencil/sn_dc53c0c007551ed94d678187b8261d95/rendering/12.obj", "1.11266589165")</f>
        <v>1.11266589165</v>
      </c>
      <c r="P2113" s="64" t="str">
        <f>HYPERLINK(AA2 &amp; "/pencil/sn_dc53c0c007551ed94d678187b8261d95/rendering/13.obj", "1.16139531136")</f>
        <v>1.16139531136</v>
      </c>
      <c r="Q2113" s="25" t="str">
        <f>HYPERLINK(AA2 &amp; "/pencil/sn_dc53c0c007551ed94d678187b8261d95/rendering/14.obj", "0.986578643322")</f>
        <v>0.986578643322</v>
      </c>
      <c r="R2113" s="41" t="str">
        <f>HYPERLINK(AA2 &amp; "/pencil/sn_dc53c0c007551ed94d678187b8261d95/rendering/15.obj", "1.0637383461")</f>
        <v>1.0637383461</v>
      </c>
      <c r="S2113" s="94" t="str">
        <f>HYPERLINK(AA2 &amp; "/pencil/sn_dc53c0c007551ed94d678187b8261d95/rendering/16.obj", "0.922580242157")</f>
        <v>0.922580242157</v>
      </c>
      <c r="T2113" s="13" t="str">
        <f>HYPERLINK(AA2 &amp; "/pencil/sn_dc53c0c007551ed94d678187b8261d95/rendering/17.obj", "0.997808694839")</f>
        <v>0.997808694839</v>
      </c>
      <c r="U2113" s="17" t="str">
        <f>HYPERLINK(AA2 &amp; "/pencil/sn_dc53c0c007551ed94d678187b8261d95/rendering/18.obj", "0.976316094398")</f>
        <v>0.976316094398</v>
      </c>
      <c r="V2113" s="91" t="str">
        <f>HYPERLINK(AA2 &amp; "/pencil/sn_dc53c0c007551ed94d678187b8261d95/rendering/19.obj", "0.969438195229")</f>
        <v>0.969438195229</v>
      </c>
      <c r="W2113" s="12" t="s">
        <v>30</v>
      </c>
      <c r="X2113" s="13">
        <v>0.99673493206501007</v>
      </c>
      <c r="Y2113" s="13">
        <v>7.0966331984498518E-2</v>
      </c>
      <c r="Z2113" s="27">
        <v>7.1198800906347559E-2</v>
      </c>
    </row>
    <row r="2114" spans="1:26" x14ac:dyDescent="0.2">
      <c r="A2114" s="1">
        <v>2112</v>
      </c>
      <c r="B2114" s="2" t="s">
        <v>455</v>
      </c>
      <c r="C2114" s="69" t="str">
        <f>HYPERLINK(AB2 &amp; "/pencil/sn_dc53c0c007551ed94d678187b8261d95/rendering/00.obj", "5.08947753906")</f>
        <v>5.08947753906</v>
      </c>
      <c r="D2114" s="73" t="str">
        <f>HYPERLINK(AB2 &amp; "/pencil/sn_dc53c0c007551ed94d678187b8261d95/rendering/01.obj", "5.12512451172")</f>
        <v>5.12512451172</v>
      </c>
      <c r="E2114" s="13" t="str">
        <f>HYPERLINK(AB2 &amp; "/pencil/sn_dc53c0c007551ed94d678187b8261d95/rendering/02.obj", "4.93644989014")</f>
        <v>4.93644989014</v>
      </c>
      <c r="F2114" s="23" t="str">
        <f>HYPERLINK(AB2 &amp; "/pencil/sn_dc53c0c007551ed94d678187b8261d95/rendering/03.obj", "5.12962280273")</f>
        <v>5.12962280273</v>
      </c>
      <c r="G2114" s="47" t="str">
        <f>HYPERLINK(AB2 &amp; "/pencil/sn_dc53c0c007551ed94d678187b8261d95/rendering/04.obj", "4.98541320801")</f>
        <v>4.98541320801</v>
      </c>
      <c r="H2114" s="39" t="str">
        <f>HYPERLINK(AB2 &amp; "/pencil/sn_dc53c0c007551ed94d678187b8261d95/rendering/05.obj", "4.5210736084")</f>
        <v>4.5210736084</v>
      </c>
      <c r="I2114" s="72" t="str">
        <f>HYPERLINK(AB2 &amp; "/pencil/sn_dc53c0c007551ed94d678187b8261d95/rendering/06.obj", "5.10081085205")</f>
        <v>5.10081085205</v>
      </c>
      <c r="J2114" s="78" t="str">
        <f>HYPERLINK(AB2 &amp; "/pencil/sn_dc53c0c007551ed94d678187b8261d95/rendering/07.obj", "5.23861816406")</f>
        <v>5.23861816406</v>
      </c>
      <c r="K2114" s="17" t="str">
        <f>HYPERLINK(AB2 &amp; "/pencil/sn_dc53c0c007551ed94d678187b8261d95/rendering/08.obj", "4.83926727295")</f>
        <v>4.83926727295</v>
      </c>
      <c r="L2114" s="72" t="str">
        <f>HYPERLINK(AB2 &amp; "/pencil/sn_dc53c0c007551ed94d678187b8261d95/rendering/09.obj", "5.09985900879")</f>
        <v>5.09985900879</v>
      </c>
      <c r="M2114" s="73" t="str">
        <f>HYPERLINK(AB2 &amp; "/pencil/sn_dc53c0c007551ed94d678187b8261d95/rendering/10.obj", "4.75698608398")</f>
        <v>4.75698608398</v>
      </c>
      <c r="N2114" s="25" t="str">
        <f>HYPERLINK(AB2 &amp; "/pencil/sn_dc53c0c007551ed94d678187b8261d95/rendering/11.obj", "5.00287200928")</f>
        <v>5.00287200928</v>
      </c>
      <c r="O2114" s="5" t="str">
        <f>HYPERLINK(AB2 &amp; "/pencil/sn_dc53c0c007551ed94d678187b8261d95/rendering/12.obj", "4.56913360596")</f>
        <v>4.56913360596</v>
      </c>
      <c r="P2114" s="25" t="str">
        <f>HYPERLINK(AB2 &amp; "/pencil/sn_dc53c0c007551ed94d678187b8261d95/rendering/13.obj", "4.99939849854")</f>
        <v>4.99939849854</v>
      </c>
      <c r="Q2114" s="69" t="str">
        <f>HYPERLINK(AB2 &amp; "/pencil/sn_dc53c0c007551ed94d678187b8261d95/rendering/14.obj", "4.79388793945")</f>
        <v>4.79388793945</v>
      </c>
      <c r="R2114" s="13" t="str">
        <f>HYPERLINK(AB2 &amp; "/pencil/sn_dc53c0c007551ed94d678187b8261d95/rendering/15.obj", "4.94009033203")</f>
        <v>4.94009033203</v>
      </c>
      <c r="S2114" s="13" t="str">
        <f>HYPERLINK(AB2 &amp; "/pencil/sn_dc53c0c007551ed94d678187b8261d95/rendering/16.obj", "4.94241760254")</f>
        <v>4.94241760254</v>
      </c>
      <c r="T2114" s="13" t="str">
        <f>HYPERLINK(AB2 &amp; "/pencil/sn_dc53c0c007551ed94d678187b8261d95/rendering/17.obj", "4.94429870605")</f>
        <v>4.94429870605</v>
      </c>
      <c r="U2114" s="13" t="str">
        <f>HYPERLINK(AB2 &amp; "/pencil/sn_dc53c0c007551ed94d678187b8261d95/rendering/18.obj", "4.93526763916")</f>
        <v>4.93526763916</v>
      </c>
      <c r="V2114" s="47" t="str">
        <f>HYPERLINK(AB2 &amp; "/pencil/sn_dc53c0c007551ed94d678187b8261d95/rendering/19.obj", "4.89783782959")</f>
        <v>4.89783782959</v>
      </c>
      <c r="W2114" s="12" t="s">
        <v>31</v>
      </c>
      <c r="X2114" s="13">
        <v>4.94239535522461</v>
      </c>
      <c r="Y2114" s="13">
        <v>0.1764165576773894</v>
      </c>
      <c r="Z2114" s="73">
        <v>3.5694545862442847E-2</v>
      </c>
    </row>
    <row r="2115" spans="1:26" x14ac:dyDescent="0.2">
      <c r="A2115" s="1">
        <v>2113</v>
      </c>
      <c r="B2115" s="2" t="s">
        <v>455</v>
      </c>
      <c r="C2115" s="27" t="str">
        <f>HYPERLINK(AB2 &amp; "/pencil/sn_dc53c0c007551ed94d678187b8261d95/rendering/00.obj", "1.10393118858")</f>
        <v>1.10393118858</v>
      </c>
      <c r="D2115" s="83" t="str">
        <f>HYPERLINK(AB2 &amp; "/pencil/sn_dc53c0c007551ed94d678187b8261d95/rendering/01.obj", "1.37086224556")</f>
        <v>1.37086224556</v>
      </c>
      <c r="E2115" s="110" t="str">
        <f>HYPERLINK(AB2 &amp; "/pencil/sn_dc53c0c007551ed94d678187b8261d95/rendering/02.obj", "1.07250976562")</f>
        <v>1.07250976562</v>
      </c>
      <c r="F2115" s="94" t="str">
        <f>HYPERLINK(AB2 &amp; "/pencil/sn_dc53c0c007551ed94d678187b8261d95/rendering/03.obj", "1.27797758579")</f>
        <v>1.27797758579</v>
      </c>
      <c r="G2115" s="48" t="str">
        <f>HYPERLINK(AB2 &amp; "/pencil/sn_dc53c0c007551ed94d678187b8261d95/rendering/04.obj", "1.2190130949")</f>
        <v>1.2190130949</v>
      </c>
      <c r="H2115" s="47" t="str">
        <f>HYPERLINK(AB2 &amp; "/pencil/sn_dc53c0c007551ed94d678187b8261d95/rendering/05.obj", "1.19822227955")</f>
        <v>1.19822227955</v>
      </c>
      <c r="I2115" s="106" t="str">
        <f>HYPERLINK(AB2 &amp; "/pencil/sn_dc53c0c007551ed94d678187b8261d95/rendering/06.obj", "1.32683956623")</f>
        <v>1.32683956623</v>
      </c>
      <c r="J2115" s="27" t="str">
        <f>HYPERLINK(AB2 &amp; "/pencil/sn_dc53c0c007551ed94d678187b8261d95/rendering/07.obj", "1.10471844673")</f>
        <v>1.10471844673</v>
      </c>
      <c r="K2115" s="10" t="str">
        <f>HYPERLINK(AB2 &amp; "/pencil/sn_dc53c0c007551ed94d678187b8261d95/rendering/08.obj", "1.25405859947")</f>
        <v>1.25405859947</v>
      </c>
      <c r="L2115" s="38" t="str">
        <f>HYPERLINK(AB2 &amp; "/pencil/sn_dc53c0c007551ed94d678187b8261d95/rendering/09.obj", "1.08186483383")</f>
        <v>1.08186483383</v>
      </c>
      <c r="M2115" s="38" t="str">
        <f>HYPERLINK(AB2 &amp; "/pencil/sn_dc53c0c007551ed94d678187b8261d95/rendering/10.obj", "1.08277750015")</f>
        <v>1.08277750015</v>
      </c>
      <c r="N2115" s="79" t="str">
        <f>HYPERLINK(AB2 &amp; "/pencil/sn_dc53c0c007551ed94d678187b8261d95/rendering/11.obj", "1.37856674194")</f>
        <v>1.37856674194</v>
      </c>
      <c r="O2115" s="80" t="str">
        <f>HYPERLINK(AB2 &amp; "/pencil/sn_dc53c0c007551ed94d678187b8261d95/rendering/12.obj", "1.01065051556")</f>
        <v>1.01065051556</v>
      </c>
      <c r="P2115" s="78" t="str">
        <f>HYPERLINK(AB2 &amp; "/pencil/sn_dc53c0c007551ed94d678187b8261d95/rendering/13.obj", "1.11793208122")</f>
        <v>1.11793208122</v>
      </c>
      <c r="Q2115" s="6" t="str">
        <f>HYPERLINK(AB2 &amp; "/pencil/sn_dc53c0c007551ed94d678187b8261d95/rendering/14.obj", "1.1356524229")</f>
        <v>1.1356524229</v>
      </c>
      <c r="R2115" s="34" t="str">
        <f>HYPERLINK(AB2 &amp; "/pencil/sn_dc53c0c007551ed94d678187b8261d95/rendering/15.obj", "1.24751377106")</f>
        <v>1.24751377106</v>
      </c>
      <c r="S2115" s="47" t="str">
        <f>HYPERLINK(AB2 &amp; "/pencil/sn_dc53c0c007551ed94d678187b8261d95/rendering/16.obj", "1.17960476875")</f>
        <v>1.17960476875</v>
      </c>
      <c r="T2115" s="40" t="str">
        <f>HYPERLINK(AB2 &amp; "/pencil/sn_dc53c0c007551ed94d678187b8261d95/rendering/17.obj", "1.39312648773")</f>
        <v>1.39312648773</v>
      </c>
      <c r="U2115" s="30" t="str">
        <f>HYPERLINK(AB2 &amp; "/pencil/sn_dc53c0c007551ed94d678187b8261d95/rendering/18.obj", "1.18419241905")</f>
        <v>1.18419241905</v>
      </c>
      <c r="V2115" s="106" t="str">
        <f>HYPERLINK(AB2 &amp; "/pencil/sn_dc53c0c007551ed94d678187b8261d95/rendering/19.obj", "1.05480217934")</f>
        <v>1.05480217934</v>
      </c>
      <c r="W2115" s="12" t="s">
        <v>32</v>
      </c>
      <c r="X2115" s="13">
        <v>1.1897408246994019</v>
      </c>
      <c r="Y2115" s="13">
        <v>0.11285432186902131</v>
      </c>
      <c r="Z2115" s="90">
        <v>9.4856223747331617E-2</v>
      </c>
    </row>
    <row r="2116" spans="1:26" x14ac:dyDescent="0.2">
      <c r="A2116" s="1">
        <v>2114</v>
      </c>
      <c r="B2116" s="2" t="s">
        <v>455</v>
      </c>
      <c r="C2116" s="13" t="str">
        <f>HYPERLINK(AC2 &amp; "/pencil/sn_dc53c0c007551ed94d678187b8261d95/rendering/00.xyz", "0.0")</f>
        <v>0.0</v>
      </c>
      <c r="D2116" s="13" t="str">
        <f>HYPERLINK(AC2 &amp; "/pencil/sn_dc53c0c007551ed94d678187b8261d95/rendering/01.xyz", "0.0")</f>
        <v>0.0</v>
      </c>
      <c r="E2116" s="13" t="str">
        <f>HYPERLINK(AC2 &amp; "/pencil/sn_dc53c0c007551ed94d678187b8261d95/rendering/02.xyz", "0.0")</f>
        <v>0.0</v>
      </c>
      <c r="F2116" s="13" t="str">
        <f>HYPERLINK(AC2 &amp; "/pencil/sn_dc53c0c007551ed94d678187b8261d95/rendering/03.xyz", "0.0")</f>
        <v>0.0</v>
      </c>
      <c r="G2116" s="13" t="str">
        <f>HYPERLINK(AC2 &amp; "/pencil/sn_dc53c0c007551ed94d678187b8261d95/rendering/04.xyz", "0.0")</f>
        <v>0.0</v>
      </c>
      <c r="H2116" s="13" t="str">
        <f>HYPERLINK(AC2 &amp; "/pencil/sn_dc53c0c007551ed94d678187b8261d95/rendering/05.xyz", "0.0")</f>
        <v>0.0</v>
      </c>
      <c r="I2116" s="13" t="str">
        <f>HYPERLINK(AC2 &amp; "/pencil/sn_dc53c0c007551ed94d678187b8261d95/rendering/06.xyz", "0.0")</f>
        <v>0.0</v>
      </c>
      <c r="J2116" s="13" t="str">
        <f>HYPERLINK(AC2 &amp; "/pencil/sn_dc53c0c007551ed94d678187b8261d95/rendering/07.xyz", "0.0")</f>
        <v>0.0</v>
      </c>
      <c r="K2116" s="13" t="str">
        <f>HYPERLINK(AC2 &amp; "/pencil/sn_dc53c0c007551ed94d678187b8261d95/rendering/08.xyz", "0.0")</f>
        <v>0.0</v>
      </c>
      <c r="L2116" s="13" t="str">
        <f>HYPERLINK(AC2 &amp; "/pencil/sn_dc53c0c007551ed94d678187b8261d95/rendering/09.xyz", "0.0")</f>
        <v>0.0</v>
      </c>
      <c r="M2116" s="13" t="str">
        <f>HYPERLINK(AC2 &amp; "/pencil/sn_dc53c0c007551ed94d678187b8261d95/rendering/10.xyz", "0.0")</f>
        <v>0.0</v>
      </c>
      <c r="N2116" s="13" t="str">
        <f>HYPERLINK(AC2 &amp; "/pencil/sn_dc53c0c007551ed94d678187b8261d95/rendering/11.xyz", "0.0")</f>
        <v>0.0</v>
      </c>
      <c r="O2116" s="13" t="str">
        <f>HYPERLINK(AC2 &amp; "/pencil/sn_dc53c0c007551ed94d678187b8261d95/rendering/12.xyz", "0.0")</f>
        <v>0.0</v>
      </c>
      <c r="P2116" s="13" t="str">
        <f>HYPERLINK(AC2 &amp; "/pencil/sn_dc53c0c007551ed94d678187b8261d95/rendering/13.xyz", "0.0")</f>
        <v>0.0</v>
      </c>
      <c r="Q2116" s="13" t="str">
        <f>HYPERLINK(AC2 &amp; "/pencil/sn_dc53c0c007551ed94d678187b8261d95/rendering/14.xyz", "0.0")</f>
        <v>0.0</v>
      </c>
      <c r="R2116" s="13" t="str">
        <f>HYPERLINK(AC2 &amp; "/pencil/sn_dc53c0c007551ed94d678187b8261d95/rendering/15.xyz", "0.0")</f>
        <v>0.0</v>
      </c>
      <c r="S2116" s="13" t="str">
        <f>HYPERLINK(AC2 &amp; "/pencil/sn_dc53c0c007551ed94d678187b8261d95/rendering/16.xyz", "0.0")</f>
        <v>0.0</v>
      </c>
      <c r="T2116" s="13" t="str">
        <f>HYPERLINK(AC2 &amp; "/pencil/sn_dc53c0c007551ed94d678187b8261d95/rendering/17.xyz", "0.0")</f>
        <v>0.0</v>
      </c>
      <c r="U2116" s="13" t="str">
        <f>HYPERLINK(AC2 &amp; "/pencil/sn_dc53c0c007551ed94d678187b8261d95/rendering/18.xyz", "0.0")</f>
        <v>0.0</v>
      </c>
      <c r="V2116" s="13" t="str">
        <f>HYPERLINK(AC2 &amp; "/pencil/sn_dc53c0c007551ed94d678187b8261d95/rendering/19.xyz", "0.0")</f>
        <v>0.0</v>
      </c>
      <c r="W2116" s="12" t="s">
        <v>33</v>
      </c>
      <c r="X2116" s="13">
        <v>0</v>
      </c>
      <c r="Y2116" s="13">
        <v>0</v>
      </c>
      <c r="Z2116" s="13">
        <v>0</v>
      </c>
    </row>
    <row r="2117" spans="1:26" x14ac:dyDescent="0.2">
      <c r="A2117" s="1">
        <v>2115</v>
      </c>
      <c r="B2117" s="2" t="s">
        <v>456</v>
      </c>
      <c r="C2117" s="42" t="str">
        <f>HYPERLINK(AA2 &amp; "/pencil/sn_dd0b32e0ed3a4526f9e9a5b296ad3c43/rendering/00.obj", "2.64587036133")</f>
        <v>2.64587036133</v>
      </c>
      <c r="D2117" s="79" t="str">
        <f>HYPERLINK(AA2 &amp; "/pencil/sn_dd0b32e0ed3a4526f9e9a5b296ad3c43/rendering/01.obj", "2.57858886719")</f>
        <v>2.57858886719</v>
      </c>
      <c r="E2117" s="109" t="str">
        <f>HYPERLINK(AA2 &amp; "/pencil/sn_dd0b32e0ed3a4526f9e9a5b296ad3c43/rendering/02.obj", "2.48249694824")</f>
        <v>2.48249694824</v>
      </c>
      <c r="F2117" s="107" t="str">
        <f>HYPERLINK(AA2 &amp; "/pencil/sn_dd0b32e0ed3a4526f9e9a5b296ad3c43/rendering/03.obj", "2.80767211914")</f>
        <v>2.80767211914</v>
      </c>
      <c r="G2117" s="20" t="str">
        <f>HYPERLINK(AA2 &amp; "/pencil/sn_dd0b32e0ed3a4526f9e9a5b296ad3c43/rendering/04.obj", "6.93866455078")</f>
        <v>6.93866455078</v>
      </c>
      <c r="H2117" s="68" t="str">
        <f>HYPERLINK(AA2 &amp; "/pencil/sn_dd0b32e0ed3a4526f9e9a5b296ad3c43/rendering/05.obj", "2.93609466553")</f>
        <v>2.93609466553</v>
      </c>
      <c r="I2117" s="59" t="str">
        <f>HYPERLINK(AA2 &amp; "/pencil/sn_dd0b32e0ed3a4526f9e9a5b296ad3c43/rendering/06.obj", "2.33180404663")</f>
        <v>2.33180404663</v>
      </c>
      <c r="J2117" s="30" t="str">
        <f>HYPERLINK(AA2 &amp; "/pencil/sn_dd0b32e0ed3a4526f9e9a5b296ad3c43/rendering/07.obj", "3.08030944824")</f>
        <v>3.08030944824</v>
      </c>
      <c r="K2117" s="166" t="str">
        <f>HYPERLINK(AA2 &amp; "/pencil/sn_dd0b32e0ed3a4526f9e9a5b296ad3c43/rendering/08.obj", "3.94741333008")</f>
        <v>3.94741333008</v>
      </c>
      <c r="L2117" s="78" t="str">
        <f>HYPERLINK(AA2 &amp; "/pencil/sn_dd0b32e0ed3a4526f9e9a5b296ad3c43/rendering/09.obj", "3.25407226563")</f>
        <v>3.25407226563</v>
      </c>
      <c r="M2117" s="170" t="str">
        <f>HYPERLINK(AA2 &amp; "/pencil/sn_dd0b32e0ed3a4526f9e9a5b296ad3c43/rendering/10.obj", "2.28751953125")</f>
        <v>2.28751953125</v>
      </c>
      <c r="N2117" s="78" t="str">
        <f>HYPERLINK(AA2 &amp; "/pencil/sn_dd0b32e0ed3a4526f9e9a5b296ad3c43/rendering/11.obj", "2.8778717041")</f>
        <v>2.8778717041</v>
      </c>
      <c r="O2117" s="166" t="str">
        <f>HYPERLINK(AA2 &amp; "/pencil/sn_dd0b32e0ed3a4526f9e9a5b296ad3c43/rendering/12.obj", "2.18566360474")</f>
        <v>2.18566360474</v>
      </c>
      <c r="P2117" s="77" t="str">
        <f>HYPERLINK(AA2 &amp; "/pencil/sn_dd0b32e0ed3a4526f9e9a5b296ad3c43/rendering/13.obj", "2.49770324707")</f>
        <v>2.49770324707</v>
      </c>
      <c r="Q2117" s="11" t="str">
        <f>HYPERLINK(AA2 &amp; "/pencil/sn_dd0b32e0ed3a4526f9e9a5b296ad3c43/rendering/14.obj", "3.7575680542")</f>
        <v>3.7575680542</v>
      </c>
      <c r="R2117" s="11" t="str">
        <f>HYPERLINK(AA2 &amp; "/pencil/sn_dd0b32e0ed3a4526f9e9a5b296ad3c43/rendering/15.obj", "2.38156951904")</f>
        <v>2.38156951904</v>
      </c>
      <c r="S2117" s="64" t="str">
        <f>HYPERLINK(AA2 &amp; "/pencil/sn_dd0b32e0ed3a4526f9e9a5b296ad3c43/rendering/16.obj", "2.56558410645")</f>
        <v>2.56558410645</v>
      </c>
      <c r="T2117" s="30" t="str">
        <f>HYPERLINK(AA2 &amp; "/pencil/sn_dd0b32e0ed3a4526f9e9a5b296ad3c43/rendering/17.obj", "3.08332092285")</f>
        <v>3.08332092285</v>
      </c>
      <c r="U2117" s="130" t="str">
        <f>HYPERLINK(AA2 &amp; "/pencil/sn_dd0b32e0ed3a4526f9e9a5b296ad3c43/rendering/18.obj", "4.4446270752")</f>
        <v>4.4446270752</v>
      </c>
      <c r="V2117" s="99" t="str">
        <f>HYPERLINK(AA2 &amp; "/pencil/sn_dd0b32e0ed3a4526f9e9a5b296ad3c43/rendering/19.obj", "2.23320846558")</f>
        <v>2.23320846558</v>
      </c>
      <c r="W2117" s="12" t="s">
        <v>29</v>
      </c>
      <c r="X2117" s="13">
        <v>3.0658811416625982</v>
      </c>
      <c r="Y2117" s="13">
        <v>1.065789892880787</v>
      </c>
      <c r="Z2117" s="140">
        <v>0.34762922749928249</v>
      </c>
    </row>
    <row r="2118" spans="1:26" x14ac:dyDescent="0.2">
      <c r="A2118" s="1">
        <v>2116</v>
      </c>
      <c r="B2118" s="2" t="s">
        <v>456</v>
      </c>
      <c r="C2118" s="11" t="str">
        <f>HYPERLINK(AA2 &amp; "/pencil/sn_dd0b32e0ed3a4526f9e9a5b296ad3c43/rendering/00.obj", "1.47957539558")</f>
        <v>1.47957539558</v>
      </c>
      <c r="D2118" s="172" t="str">
        <f>HYPERLINK(AA2 &amp; "/pencil/sn_dd0b32e0ed3a4526f9e9a5b296ad3c43/rendering/01.obj", "1.17632675171")</f>
        <v>1.17632675171</v>
      </c>
      <c r="E2118" s="138" t="str">
        <f>HYPERLINK(AA2 &amp; "/pencil/sn_dd0b32e0ed3a4526f9e9a5b296ad3c43/rendering/02.obj", "1.2631739378")</f>
        <v>1.2631739378</v>
      </c>
      <c r="F2118" s="108" t="str">
        <f>HYPERLINK(AA2 &amp; "/pencil/sn_dd0b32e0ed3a4526f9e9a5b296ad3c43/rendering/03.obj", "1.43678867817")</f>
        <v>1.43678867817</v>
      </c>
      <c r="G2118" s="20" t="str">
        <f>HYPERLINK(AA2 &amp; "/pencil/sn_dd0b32e0ed3a4526f9e9a5b296ad3c43/rendering/04.obj", "5.95153474808")</f>
        <v>5.95153474808</v>
      </c>
      <c r="H2118" s="72" t="str">
        <f>HYPERLINK(AA2 &amp; "/pencil/sn_dd0b32e0ed3a4526f9e9a5b296ad3c43/rendering/05.obj", "1.84631538391")</f>
        <v>1.84631538391</v>
      </c>
      <c r="I2118" s="132" t="str">
        <f>HYPERLINK(AA2 &amp; "/pencil/sn_dd0b32e0ed3a4526f9e9a5b296ad3c43/rendering/06.obj", "1.10641229153")</f>
        <v>1.10641229153</v>
      </c>
      <c r="J2118" s="107" t="str">
        <f>HYPERLINK(AA2 &amp; "/pencil/sn_dd0b32e0ed3a4526f9e9a5b296ad3c43/rendering/07.obj", "2.0667116642")</f>
        <v>2.0667116642</v>
      </c>
      <c r="K2118" s="254" t="str">
        <f>HYPERLINK(AA2 &amp; "/pencil/sn_dd0b32e0ed3a4526f9e9a5b296ad3c43/rendering/08.obj", "3.38109707832")</f>
        <v>3.38109707832</v>
      </c>
      <c r="L2118" s="64" t="str">
        <f>HYPERLINK(AA2 &amp; "/pencil/sn_dd0b32e0ed3a4526f9e9a5b296ad3c43/rendering/09.obj", "1.59148681164")</f>
        <v>1.59148681164</v>
      </c>
      <c r="M2118" s="137" t="str">
        <f>HYPERLINK(AA2 &amp; "/pencil/sn_dd0b32e0ed3a4526f9e9a5b296ad3c43/rendering/10.obj", "1.21247315407")</f>
        <v>1.21247315407</v>
      </c>
      <c r="N2118" s="185" t="str">
        <f>HYPERLINK(AA2 &amp; "/pencil/sn_dd0b32e0ed3a4526f9e9a5b296ad3c43/rendering/11.obj", "1.25525867939")</f>
        <v>1.25525867939</v>
      </c>
      <c r="O2118" s="157" t="str">
        <f>HYPERLINK(AA2 &amp; "/pencil/sn_dd0b32e0ed3a4526f9e9a5b296ad3c43/rendering/12.obj", "1.1151381731")</f>
        <v>1.1151381731</v>
      </c>
      <c r="P2118" s="11" t="str">
        <f>HYPERLINK(AA2 &amp; "/pencil/sn_dd0b32e0ed3a4526f9e9a5b296ad3c43/rendering/13.obj", "1.4762250185")</f>
        <v>1.4762250185</v>
      </c>
      <c r="Q2118" s="113" t="str">
        <f>HYPERLINK(AA2 &amp; "/pencil/sn_dd0b32e0ed3a4526f9e9a5b296ad3c43/rendering/14.obj", "2.42907452583")</f>
        <v>2.42907452583</v>
      </c>
      <c r="R2118" s="151" t="str">
        <f>HYPERLINK(AA2 &amp; "/pencil/sn_dd0b32e0ed3a4526f9e9a5b296ad3c43/rendering/15.obj", "1.22228384018")</f>
        <v>1.22228384018</v>
      </c>
      <c r="S2118" s="113" t="str">
        <f>HYPERLINK(AA2 &amp; "/pencil/sn_dd0b32e0ed3a4526f9e9a5b296ad3c43/rendering/16.obj", "1.38186120987")</f>
        <v>1.38186120987</v>
      </c>
      <c r="T2118" s="60" t="str">
        <f>HYPERLINK(AA2 &amp; "/pencil/sn_dd0b32e0ed3a4526f9e9a5b296ad3c43/rendering/17.obj", "2.00378966331")</f>
        <v>2.00378966331</v>
      </c>
      <c r="U2118" s="20" t="str">
        <f>HYPERLINK(AA2 &amp; "/pencil/sn_dd0b32e0ed3a4526f9e9a5b296ad3c43/rendering/18.obj", "3.61612987518")</f>
        <v>3.61612987518</v>
      </c>
      <c r="V2118" s="158" t="str">
        <f>HYPERLINK(AA2 &amp; "/pencil/sn_dd0b32e0ed3a4526f9e9a5b296ad3c43/rendering/19.obj", "1.12319052219")</f>
        <v>1.12319052219</v>
      </c>
      <c r="W2118" s="12" t="s">
        <v>30</v>
      </c>
      <c r="X2118" s="13">
        <v>1.9067423701286319</v>
      </c>
      <c r="Y2118" s="13">
        <v>1.160492428502728</v>
      </c>
      <c r="Z2118" s="239">
        <v>0.60862570984062181</v>
      </c>
    </row>
    <row r="2119" spans="1:26" x14ac:dyDescent="0.2">
      <c r="A2119" s="1">
        <v>2117</v>
      </c>
      <c r="B2119" s="2" t="s">
        <v>456</v>
      </c>
      <c r="C2119" s="26" t="str">
        <f>HYPERLINK(AB2 &amp; "/pencil/sn_dd0b32e0ed3a4526f9e9a5b296ad3c43/rendering/00.obj", "2.28125045776")</f>
        <v>2.28125045776</v>
      </c>
      <c r="D2119" s="46" t="str">
        <f>HYPERLINK(AB2 &amp; "/pencil/sn_dd0b32e0ed3a4526f9e9a5b296ad3c43/rendering/01.obj", "2.48732772827")</f>
        <v>2.48732772827</v>
      </c>
      <c r="E2119" s="25" t="str">
        <f>HYPERLINK(AB2 &amp; "/pencil/sn_dd0b32e0ed3a4526f9e9a5b296ad3c43/rendering/02.obj", "2.41243347168")</f>
        <v>2.41243347168</v>
      </c>
      <c r="F2119" s="74" t="str">
        <f>HYPERLINK(AB2 &amp; "/pencil/sn_dd0b32e0ed3a4526f9e9a5b296ad3c43/rendering/03.obj", "2.40804321289")</f>
        <v>2.40804321289</v>
      </c>
      <c r="G2119" s="74" t="str">
        <f>HYPERLINK(AB2 &amp; "/pencil/sn_dd0b32e0ed3a4526f9e9a5b296ad3c43/rendering/04.obj", "2.40415283203")</f>
        <v>2.40415283203</v>
      </c>
      <c r="H2119" s="74" t="str">
        <f>HYPERLINK(AB2 &amp; "/pencil/sn_dd0b32e0ed3a4526f9e9a5b296ad3c43/rendering/05.obj", "2.47646179199")</f>
        <v>2.47646179199</v>
      </c>
      <c r="I2119" s="47" t="str">
        <f>HYPERLINK(AB2 &amp; "/pencil/sn_dd0b32e0ed3a4526f9e9a5b296ad3c43/rendering/06.obj", "2.46058700562")</f>
        <v>2.46058700562</v>
      </c>
      <c r="J2119" s="67" t="str">
        <f>HYPERLINK(AB2 &amp; "/pencil/sn_dd0b32e0ed3a4526f9e9a5b296ad3c43/rendering/07.obj", "2.21458740234")</f>
        <v>2.21458740234</v>
      </c>
      <c r="K2119" s="13" t="str">
        <f>HYPERLINK(AB2 &amp; "/pencil/sn_dd0b32e0ed3a4526f9e9a5b296ad3c43/rendering/08.obj", "2.4358543396")</f>
        <v>2.4358543396</v>
      </c>
      <c r="L2119" s="48" t="str">
        <f>HYPERLINK(AB2 &amp; "/pencil/sn_dd0b32e0ed3a4526f9e9a5b296ad3c43/rendering/09.obj", "2.38224990845")</f>
        <v>2.38224990845</v>
      </c>
      <c r="M2119" s="6" t="str">
        <f>HYPERLINK(AB2 &amp; "/pencil/sn_dd0b32e0ed3a4526f9e9a5b296ad3c43/rendering/10.obj", "2.32807647705")</f>
        <v>2.32807647705</v>
      </c>
      <c r="N2119" s="34" t="str">
        <f>HYPERLINK(AB2 &amp; "/pencil/sn_dd0b32e0ed3a4526f9e9a5b296ad3c43/rendering/11.obj", "2.32527648926")</f>
        <v>2.32527648926</v>
      </c>
      <c r="O2119" s="47" t="str">
        <f>HYPERLINK(AB2 &amp; "/pencil/sn_dd0b32e0ed3a4526f9e9a5b296ad3c43/rendering/12.obj", "2.45858688354")</f>
        <v>2.45858688354</v>
      </c>
      <c r="P2119" s="84" t="str">
        <f>HYPERLINK(AB2 &amp; "/pencil/sn_dd0b32e0ed3a4526f9e9a5b296ad3c43/rendering/13.obj", "2.798671875")</f>
        <v>2.798671875</v>
      </c>
      <c r="Q2119" s="10" t="str">
        <f>HYPERLINK(AB2 &amp; "/pencil/sn_dd0b32e0ed3a4526f9e9a5b296ad3c43/rendering/14.obj", "2.57441223145")</f>
        <v>2.57441223145</v>
      </c>
      <c r="R2119" s="6" t="str">
        <f>HYPERLINK(AB2 &amp; "/pencil/sn_dd0b32e0ed3a4526f9e9a5b296ad3c43/rendering/15.obj", "2.32766159058")</f>
        <v>2.32766159058</v>
      </c>
      <c r="S2119" s="13" t="str">
        <f>HYPERLINK(AB2 &amp; "/pencil/sn_dd0b32e0ed3a4526f9e9a5b296ad3c43/rendering/16.obj", "2.44008392334")</f>
        <v>2.44008392334</v>
      </c>
      <c r="T2119" s="67" t="str">
        <f>HYPERLINK(AB2 &amp; "/pencil/sn_dd0b32e0ed3a4526f9e9a5b296ad3c43/rendering/17.obj", "2.66585723877")</f>
        <v>2.66585723877</v>
      </c>
      <c r="U2119" s="73" t="str">
        <f>HYPERLINK(AB2 &amp; "/pencil/sn_dd0b32e0ed3a4526f9e9a5b296ad3c43/rendering/18.obj", "2.53113433838")</f>
        <v>2.53113433838</v>
      </c>
      <c r="V2119" s="47" t="str">
        <f>HYPERLINK(AB2 &amp; "/pencil/sn_dd0b32e0ed3a4526f9e9a5b296ad3c43/rendering/19.obj", "2.42226791382")</f>
        <v>2.42226791382</v>
      </c>
      <c r="W2119" s="12" t="s">
        <v>31</v>
      </c>
      <c r="X2119" s="13">
        <v>2.44174885559082</v>
      </c>
      <c r="Y2119" s="13">
        <v>0.12871674740134911</v>
      </c>
      <c r="Z2119" s="60">
        <v>5.2714982176250071E-2</v>
      </c>
    </row>
    <row r="2120" spans="1:26" x14ac:dyDescent="0.2">
      <c r="A2120" s="1">
        <v>2118</v>
      </c>
      <c r="B2120" s="2" t="s">
        <v>456</v>
      </c>
      <c r="C2120" s="73" t="str">
        <f>HYPERLINK(AB2 &amp; "/pencil/sn_dd0b32e0ed3a4526f9e9a5b296ad3c43/rendering/00.obj", "1.34749305248")</f>
        <v>1.34749305248</v>
      </c>
      <c r="D2120" s="32" t="str">
        <f>HYPERLINK(AB2 &amp; "/pencil/sn_dd0b32e0ed3a4526f9e9a5b296ad3c43/rendering/01.obj", "1.16444087029")</f>
        <v>1.16444087029</v>
      </c>
      <c r="E2120" s="30" t="str">
        <f>HYPERLINK(AB2 &amp; "/pencil/sn_dd0b32e0ed3a4526f9e9a5b296ad3c43/rendering/02.obj", "1.3095356226")</f>
        <v>1.3095356226</v>
      </c>
      <c r="F2120" s="65" t="str">
        <f>HYPERLINK(AB2 &amp; "/pencil/sn_dd0b32e0ed3a4526f9e9a5b296ad3c43/rendering/03.obj", "1.12868595123")</f>
        <v>1.12868595123</v>
      </c>
      <c r="G2120" s="60" t="str">
        <f>HYPERLINK(AB2 &amp; "/pencil/sn_dd0b32e0ed3a4526f9e9a5b296ad3c43/rendering/04.obj", "1.36991488934")</f>
        <v>1.36991488934</v>
      </c>
      <c r="H2120" s="10" t="str">
        <f>HYPERLINK(AB2 &amp; "/pencil/sn_dd0b32e0ed3a4526f9e9a5b296ad3c43/rendering/05.obj", "1.22854971886")</f>
        <v>1.22854971886</v>
      </c>
      <c r="I2120" s="23" t="str">
        <f>HYPERLINK(AB2 &amp; "/pencil/sn_dd0b32e0ed3a4526f9e9a5b296ad3c43/rendering/06.obj", "1.24885344505")</f>
        <v>1.24885344505</v>
      </c>
      <c r="J2120" s="26" t="str">
        <f>HYPERLINK(AB2 &amp; "/pencil/sn_dd0b32e0ed3a4526f9e9a5b296ad3c43/rendering/07.obj", "1.21748328209")</f>
        <v>1.21748328209</v>
      </c>
      <c r="K2120" s="63" t="str">
        <f>HYPERLINK(AB2 &amp; "/pencil/sn_dd0b32e0ed3a4526f9e9a5b296ad3c43/rendering/08.obj", "1.14472043514")</f>
        <v>1.14472043514</v>
      </c>
      <c r="L2120" s="91" t="str">
        <f>HYPERLINK(AB2 &amp; "/pencil/sn_dd0b32e0ed3a4526f9e9a5b296ad3c43/rendering/09.obj", "1.26581716537")</f>
        <v>1.26581716537</v>
      </c>
      <c r="M2120" s="69" t="str">
        <f>HYPERLINK(AB2 &amp; "/pencil/sn_dd0b32e0ed3a4526f9e9a5b296ad3c43/rendering/10.obj", "1.2633562088")</f>
        <v>1.2633562088</v>
      </c>
      <c r="N2120" s="37" t="str">
        <f>HYPERLINK(AB2 &amp; "/pencil/sn_dd0b32e0ed3a4526f9e9a5b296ad3c43/rendering/11.obj", "1.0766364336")</f>
        <v>1.0766364336</v>
      </c>
      <c r="O2120" s="8" t="str">
        <f>HYPERLINK(AB2 &amp; "/pencil/sn_dd0b32e0ed3a4526f9e9a5b296ad3c43/rendering/12.obj", "1.11392819881")</f>
        <v>1.11392819881</v>
      </c>
      <c r="P2120" s="93" t="str">
        <f>HYPERLINK(AB2 &amp; "/pencil/sn_dd0b32e0ed3a4526f9e9a5b296ad3c43/rendering/13.obj", "1.48424077034")</f>
        <v>1.48424077034</v>
      </c>
      <c r="Q2120" s="192" t="str">
        <f>HYPERLINK(AB2 &amp; "/pencil/sn_dd0b32e0ed3a4526f9e9a5b296ad3c43/rendering/14.obj", "1.78378844261")</f>
        <v>1.78378844261</v>
      </c>
      <c r="R2120" s="32" t="str">
        <f>HYPERLINK(AB2 &amp; "/pencil/sn_dd0b32e0ed3a4526f9e9a5b296ad3c43/rendering/15.obj", "1.165828228")</f>
        <v>1.165828228</v>
      </c>
      <c r="S2120" s="13" t="str">
        <f>HYPERLINK(AB2 &amp; "/pencil/sn_dd0b32e0ed3a4526f9e9a5b296ad3c43/rendering/16.obj", "1.30475091934")</f>
        <v>1.30475091934</v>
      </c>
      <c r="T2120" s="39" t="str">
        <f>HYPERLINK(AB2 &amp; "/pencil/sn_dd0b32e0ed3a4526f9e9a5b296ad3c43/rendering/17.obj", "1.41506409645")</f>
        <v>1.41506409645</v>
      </c>
      <c r="U2120" s="36" t="str">
        <f>HYPERLINK(AB2 &amp; "/pencil/sn_dd0b32e0ed3a4526f9e9a5b296ad3c43/rendering/18.obj", "1.58077549934")</f>
        <v>1.58077549934</v>
      </c>
      <c r="V2120" s="38" t="str">
        <f>HYPERLINK(AB2 &amp; "/pencil/sn_dd0b32e0ed3a4526f9e9a5b296ad3c43/rendering/19.obj", "1.4174656868")</f>
        <v>1.4174656868</v>
      </c>
      <c r="W2120" s="12" t="s">
        <v>32</v>
      </c>
      <c r="X2120" s="13">
        <v>1.301566445827484</v>
      </c>
      <c r="Y2120" s="13">
        <v>0.16918492565020671</v>
      </c>
      <c r="Z2120" s="29">
        <v>0.12998562324080629</v>
      </c>
    </row>
    <row r="2121" spans="1:26" x14ac:dyDescent="0.2">
      <c r="A2121" s="1">
        <v>2119</v>
      </c>
      <c r="B2121" s="2" t="s">
        <v>456</v>
      </c>
      <c r="C2121" s="13" t="str">
        <f>HYPERLINK(AC2 &amp; "/pencil/sn_dd0b32e0ed3a4526f9e9a5b296ad3c43/rendering/00.xyz", "0.0")</f>
        <v>0.0</v>
      </c>
      <c r="D2121" s="13" t="str">
        <f>HYPERLINK(AC2 &amp; "/pencil/sn_dd0b32e0ed3a4526f9e9a5b296ad3c43/rendering/01.xyz", "0.0")</f>
        <v>0.0</v>
      </c>
      <c r="E2121" s="13" t="str">
        <f>HYPERLINK(AC2 &amp; "/pencil/sn_dd0b32e0ed3a4526f9e9a5b296ad3c43/rendering/02.xyz", "0.0")</f>
        <v>0.0</v>
      </c>
      <c r="F2121" s="13" t="str">
        <f>HYPERLINK(AC2 &amp; "/pencil/sn_dd0b32e0ed3a4526f9e9a5b296ad3c43/rendering/03.xyz", "0.0")</f>
        <v>0.0</v>
      </c>
      <c r="G2121" s="13" t="str">
        <f>HYPERLINK(AC2 &amp; "/pencil/sn_dd0b32e0ed3a4526f9e9a5b296ad3c43/rendering/04.xyz", "0.0")</f>
        <v>0.0</v>
      </c>
      <c r="H2121" s="13" t="str">
        <f>HYPERLINK(AC2 &amp; "/pencil/sn_dd0b32e0ed3a4526f9e9a5b296ad3c43/rendering/05.xyz", "0.0")</f>
        <v>0.0</v>
      </c>
      <c r="I2121" s="13" t="str">
        <f>HYPERLINK(AC2 &amp; "/pencil/sn_dd0b32e0ed3a4526f9e9a5b296ad3c43/rendering/06.xyz", "0.0")</f>
        <v>0.0</v>
      </c>
      <c r="J2121" s="13" t="str">
        <f>HYPERLINK(AC2 &amp; "/pencil/sn_dd0b32e0ed3a4526f9e9a5b296ad3c43/rendering/07.xyz", "0.0")</f>
        <v>0.0</v>
      </c>
      <c r="K2121" s="13" t="str">
        <f>HYPERLINK(AC2 &amp; "/pencil/sn_dd0b32e0ed3a4526f9e9a5b296ad3c43/rendering/08.xyz", "0.0")</f>
        <v>0.0</v>
      </c>
      <c r="L2121" s="13" t="str">
        <f>HYPERLINK(AC2 &amp; "/pencil/sn_dd0b32e0ed3a4526f9e9a5b296ad3c43/rendering/09.xyz", "0.0")</f>
        <v>0.0</v>
      </c>
      <c r="M2121" s="13" t="str">
        <f>HYPERLINK(AC2 &amp; "/pencil/sn_dd0b32e0ed3a4526f9e9a5b296ad3c43/rendering/10.xyz", "0.0")</f>
        <v>0.0</v>
      </c>
      <c r="N2121" s="13" t="str">
        <f>HYPERLINK(AC2 &amp; "/pencil/sn_dd0b32e0ed3a4526f9e9a5b296ad3c43/rendering/11.xyz", "0.0")</f>
        <v>0.0</v>
      </c>
      <c r="O2121" s="13" t="str">
        <f>HYPERLINK(AC2 &amp; "/pencil/sn_dd0b32e0ed3a4526f9e9a5b296ad3c43/rendering/12.xyz", "0.0")</f>
        <v>0.0</v>
      </c>
      <c r="P2121" s="13" t="str">
        <f>HYPERLINK(AC2 &amp; "/pencil/sn_dd0b32e0ed3a4526f9e9a5b296ad3c43/rendering/13.xyz", "0.0")</f>
        <v>0.0</v>
      </c>
      <c r="Q2121" s="13" t="str">
        <f>HYPERLINK(AC2 &amp; "/pencil/sn_dd0b32e0ed3a4526f9e9a5b296ad3c43/rendering/14.xyz", "0.0")</f>
        <v>0.0</v>
      </c>
      <c r="R2121" s="13" t="str">
        <f>HYPERLINK(AC2 &amp; "/pencil/sn_dd0b32e0ed3a4526f9e9a5b296ad3c43/rendering/15.xyz", "0.0")</f>
        <v>0.0</v>
      </c>
      <c r="S2121" s="13" t="str">
        <f>HYPERLINK(AC2 &amp; "/pencil/sn_dd0b32e0ed3a4526f9e9a5b296ad3c43/rendering/16.xyz", "0.0")</f>
        <v>0.0</v>
      </c>
      <c r="T2121" s="13" t="str">
        <f>HYPERLINK(AC2 &amp; "/pencil/sn_dd0b32e0ed3a4526f9e9a5b296ad3c43/rendering/17.xyz", "0.0")</f>
        <v>0.0</v>
      </c>
      <c r="U2121" s="13" t="str">
        <f>HYPERLINK(AC2 &amp; "/pencil/sn_dd0b32e0ed3a4526f9e9a5b296ad3c43/rendering/18.xyz", "0.0")</f>
        <v>0.0</v>
      </c>
      <c r="V2121" s="13" t="str">
        <f>HYPERLINK(AC2 &amp; "/pencil/sn_dd0b32e0ed3a4526f9e9a5b296ad3c43/rendering/19.xyz", "0.0")</f>
        <v>0.0</v>
      </c>
      <c r="W2121" s="12" t="s">
        <v>33</v>
      </c>
      <c r="X2121" s="13">
        <v>0</v>
      </c>
      <c r="Y2121" s="13">
        <v>0</v>
      </c>
      <c r="Z2121" s="13">
        <v>0</v>
      </c>
    </row>
    <row r="2122" spans="1:26" x14ac:dyDescent="0.2">
      <c r="A2122" s="1">
        <v>2120</v>
      </c>
      <c r="B2122" s="2" t="s">
        <v>457</v>
      </c>
      <c r="C2122" s="23" t="str">
        <f>HYPERLINK(AA2 &amp; "/pencil/sn_de387435a5b0fe0bb15bdd2a3164e7e5/rendering/00.obj", "4.17138549805")</f>
        <v>4.17138549805</v>
      </c>
      <c r="D2122" s="87" t="str">
        <f>HYPERLINK(AA2 &amp; "/pencil/sn_de387435a5b0fe0bb15bdd2a3164e7e5/rendering/01.obj", "3.35045013428")</f>
        <v>3.35045013428</v>
      </c>
      <c r="E2122" s="109" t="str">
        <f>HYPERLINK(AA2 &amp; "/pencil/sn_de387435a5b0fe0bb15bdd2a3164e7e5/rendering/02.obj", "3.52215515137")</f>
        <v>3.52215515137</v>
      </c>
      <c r="F2122" s="27" t="str">
        <f>HYPERLINK(AA2 &amp; "/pencil/sn_de387435a5b0fe0bb15bdd2a3164e7e5/rendering/03.obj", "4.65701202393")</f>
        <v>4.65701202393</v>
      </c>
      <c r="G2122" s="73" t="str">
        <f>HYPERLINK(AA2 &amp; "/pencil/sn_de387435a5b0fe0bb15bdd2a3164e7e5/rendering/04.obj", "4.19514648437")</f>
        <v>4.19514648437</v>
      </c>
      <c r="H2122" s="58" t="str">
        <f>HYPERLINK(AA2 &amp; "/pencil/sn_de387435a5b0fe0bb15bdd2a3164e7e5/rendering/05.obj", "3.28358184814")</f>
        <v>3.28358184814</v>
      </c>
      <c r="I2122" s="39" t="str">
        <f>HYPERLINK(AA2 &amp; "/pencil/sn_de387435a5b0fe0bb15bdd2a3164e7e5/rendering/06.obj", "3.96614837646")</f>
        <v>3.96614837646</v>
      </c>
      <c r="J2122" s="25" t="str">
        <f>HYPERLINK(AA2 &amp; "/pencil/sn_de387435a5b0fe0bb15bdd2a3164e7e5/rendering/07.obj", "4.29854370117")</f>
        <v>4.29854370117</v>
      </c>
      <c r="K2122" s="133" t="str">
        <f>HYPERLINK(AA2 &amp; "/pencil/sn_de387435a5b0fe0bb15bdd2a3164e7e5/rendering/08.obj", "3.90620666504")</f>
        <v>3.90620666504</v>
      </c>
      <c r="L2122" s="88" t="str">
        <f>HYPERLINK(AA2 &amp; "/pencil/sn_de387435a5b0fe0bb15bdd2a3164e7e5/rendering/09.obj", "3.45960601807")</f>
        <v>3.45960601807</v>
      </c>
      <c r="M2122" s="30" t="str">
        <f>HYPERLINK(AA2 &amp; "/pencil/sn_de387435a5b0fe0bb15bdd2a3164e7e5/rendering/10.obj", "4.37008850098")</f>
        <v>4.37008850098</v>
      </c>
      <c r="N2122" s="26" t="str">
        <f>HYPERLINK(AA2 &amp; "/pencil/sn_de387435a5b0fe0bb15bdd2a3164e7e5/rendering/11.obj", "4.62832397461")</f>
        <v>4.62832397461</v>
      </c>
      <c r="O2122" s="67" t="str">
        <f>HYPERLINK(AA2 &amp; "/pencil/sn_de387435a5b0fe0bb15bdd2a3164e7e5/rendering/12.obj", "3.94624084473")</f>
        <v>3.94624084473</v>
      </c>
      <c r="P2122" s="69" t="str">
        <f>HYPERLINK(AA2 &amp; "/pencil/sn_de387435a5b0fe0bb15bdd2a3164e7e5/rendering/13.obj", "4.21895141602")</f>
        <v>4.21895141602</v>
      </c>
      <c r="Q2122" s="20" t="str">
        <f>HYPERLINK(AA2 &amp; "/pencil/sn_de387435a5b0fe0bb15bdd2a3164e7e5/rendering/14.obj", "9.2341003418")</f>
        <v>9.2341003418</v>
      </c>
      <c r="R2122" s="19" t="str">
        <f>HYPERLINK(AA2 &amp; "/pencil/sn_de387435a5b0fe0bb15bdd2a3164e7e5/rendering/15.obj", "3.21182098389")</f>
        <v>3.21182098389</v>
      </c>
      <c r="S2122" s="217" t="str">
        <f>HYPERLINK(AA2 &amp; "/pencil/sn_de387435a5b0fe0bb15bdd2a3164e7e5/rendering/16.obj", "7.09529663086")</f>
        <v>7.09529663086</v>
      </c>
      <c r="T2122" s="44" t="str">
        <f>HYPERLINK(AA2 &amp; "/pencil/sn_de387435a5b0fe0bb15bdd2a3164e7e5/rendering/17.obj", "3.48640411377")</f>
        <v>3.48640411377</v>
      </c>
      <c r="U2122" s="13" t="str">
        <f>HYPERLINK(AA2 &amp; "/pencil/sn_de387435a5b0fe0bb15bdd2a3164e7e5/rendering/18.obj", "4.34266021729")</f>
        <v>4.34266021729</v>
      </c>
      <c r="V2122" s="134" t="str">
        <f>HYPERLINK(AA2 &amp; "/pencil/sn_de387435a5b0fe0bb15bdd2a3164e7e5/rendering/19.obj", "3.55819152832")</f>
        <v>3.55819152832</v>
      </c>
      <c r="W2122" s="12" t="s">
        <v>29</v>
      </c>
      <c r="X2122" s="13">
        <v>4.3451157226562502</v>
      </c>
      <c r="Y2122" s="13">
        <v>1.386154700338009</v>
      </c>
      <c r="Z2122" s="176">
        <v>0.31901444951404578</v>
      </c>
    </row>
    <row r="2123" spans="1:26" x14ac:dyDescent="0.2">
      <c r="A2123" s="1">
        <v>2121</v>
      </c>
      <c r="B2123" s="2" t="s">
        <v>457</v>
      </c>
      <c r="C2123" s="172" t="str">
        <f>HYPERLINK(AA2 &amp; "/pencil/sn_de387435a5b0fe0bb15bdd2a3164e7e5/rendering/00.obj", "1.11566770077")</f>
        <v>1.11566770077</v>
      </c>
      <c r="D2123" s="54" t="str">
        <f>HYPERLINK(AA2 &amp; "/pencil/sn_de387435a5b0fe0bb15bdd2a3164e7e5/rendering/01.obj", "1.21834254265")</f>
        <v>1.21834254265</v>
      </c>
      <c r="E2123" s="147" t="str">
        <f>HYPERLINK(AA2 &amp; "/pencil/sn_de387435a5b0fe0bb15bdd2a3164e7e5/rendering/02.obj", "0.925939500332")</f>
        <v>0.925939500332</v>
      </c>
      <c r="F2123" s="48" t="str">
        <f>HYPERLINK(AA2 &amp; "/pencil/sn_de387435a5b0fe0bb15bdd2a3164e7e5/rendering/03.obj", "1.85255646706")</f>
        <v>1.85255646706</v>
      </c>
      <c r="G2123" s="117" t="str">
        <f>HYPERLINK(AA2 &amp; "/pencil/sn_de387435a5b0fe0bb15bdd2a3164e7e5/rendering/04.obj", "1.48724603653")</f>
        <v>1.48724603653</v>
      </c>
      <c r="H2123" s="159" t="str">
        <f>HYPERLINK(AA2 &amp; "/pencil/sn_de387435a5b0fe0bb15bdd2a3164e7e5/rendering/05.obj", "0.959392547607")</f>
        <v>0.959392547607</v>
      </c>
      <c r="I2123" s="200" t="str">
        <f>HYPERLINK(AA2 &amp; "/pencil/sn_de387435a5b0fe0bb15bdd2a3164e7e5/rendering/06.obj", "0.944472789764")</f>
        <v>0.944472789764</v>
      </c>
      <c r="J2123" s="6" t="str">
        <f>HYPERLINK(AA2 &amp; "/pencil/sn_de387435a5b0fe0bb15bdd2a3164e7e5/rendering/07.obj", "1.7312694788")</f>
        <v>1.7312694788</v>
      </c>
      <c r="K2123" s="131" t="str">
        <f>HYPERLINK(AA2 &amp; "/pencil/sn_de387435a5b0fe0bb15bdd2a3164e7e5/rendering/08.obj", "0.97406065464")</f>
        <v>0.97406065464</v>
      </c>
      <c r="L2123" s="127" t="str">
        <f>HYPERLINK(AA2 &amp; "/pencil/sn_de387435a5b0fe0bb15bdd2a3164e7e5/rendering/09.obj", "0.87290763855")</f>
        <v>0.87290763855</v>
      </c>
      <c r="M2123" s="5" t="str">
        <f>HYPERLINK(AA2 &amp; "/pencil/sn_de387435a5b0fe0bb15bdd2a3164e7e5/rendering/10.obj", "1.94848930836")</f>
        <v>1.94848930836</v>
      </c>
      <c r="N2123" s="77" t="str">
        <f>HYPERLINK(AA2 &amp; "/pencil/sn_de387435a5b0fe0bb15bdd2a3164e7e5/rendering/11.obj", "2.14889216423")</f>
        <v>2.14889216423</v>
      </c>
      <c r="O2123" s="191" t="str">
        <f>HYPERLINK(AA2 &amp; "/pencil/sn_de387435a5b0fe0bb15bdd2a3164e7e5/rendering/12.obj", "0.991070568562")</f>
        <v>0.991070568562</v>
      </c>
      <c r="P2123" s="54" t="str">
        <f>HYPERLINK(AA2 &amp; "/pencil/sn_de387435a5b0fe0bb15bdd2a3164e7e5/rendering/13.obj", "1.21972763538")</f>
        <v>1.21972763538</v>
      </c>
      <c r="Q2123" s="20" t="str">
        <f>HYPERLINK(AA2 &amp; "/pencil/sn_de387435a5b0fe0bb15bdd2a3164e7e5/rendering/14.obj", "9.03409099579")</f>
        <v>9.03409099579</v>
      </c>
      <c r="R2123" s="200" t="str">
        <f>HYPERLINK(AA2 &amp; "/pencil/sn_de387435a5b0fe0bb15bdd2a3164e7e5/rendering/15.obj", "0.945363581181")</f>
        <v>0.945363581181</v>
      </c>
      <c r="S2123" s="20" t="str">
        <f>HYPERLINK(AA2 &amp; "/pencil/sn_de387435a5b0fe0bb15bdd2a3164e7e5/rendering/16.obj", "4.37536859512")</f>
        <v>4.37536859512</v>
      </c>
      <c r="T2123" s="143" t="str">
        <f>HYPERLINK(AA2 &amp; "/pencil/sn_de387435a5b0fe0bb15bdd2a3164e7e5/rendering/17.obj", "0.953966796398")</f>
        <v>0.953966796398</v>
      </c>
      <c r="U2123" s="24" t="str">
        <f>HYPERLINK(AA2 &amp; "/pencil/sn_de387435a5b0fe0bb15bdd2a3164e7e5/rendering/18.obj", "1.50577831268")</f>
        <v>1.50577831268</v>
      </c>
      <c r="V2123" s="163" t="str">
        <f>HYPERLINK(AA2 &amp; "/pencil/sn_de387435a5b0fe0bb15bdd2a3164e7e5/rendering/19.obj", "1.01157903671")</f>
        <v>1.01157903671</v>
      </c>
      <c r="W2123" s="12" t="s">
        <v>30</v>
      </c>
      <c r="X2123" s="13">
        <v>1.810809117555618</v>
      </c>
      <c r="Y2123" s="13">
        <v>1.829038123792543</v>
      </c>
      <c r="Z2123" s="20">
        <v>1.010066774051553</v>
      </c>
    </row>
    <row r="2124" spans="1:26" x14ac:dyDescent="0.2">
      <c r="A2124" s="1">
        <v>2122</v>
      </c>
      <c r="B2124" s="2" t="s">
        <v>457</v>
      </c>
      <c r="C2124" s="35" t="str">
        <f>HYPERLINK(AB2 &amp; "/pencil/sn_de387435a5b0fe0bb15bdd2a3164e7e5/rendering/00.obj", "3.76949737549")</f>
        <v>3.76949737549</v>
      </c>
      <c r="D2124" s="39" t="str">
        <f>HYPERLINK(AB2 &amp; "/pencil/sn_de387435a5b0fe0bb15bdd2a3164e7e5/rendering/01.obj", "3.87176239014")</f>
        <v>3.87176239014</v>
      </c>
      <c r="E2124" s="30" t="str">
        <f>HYPERLINK(AB2 &amp; "/pencil/sn_de387435a5b0fe0bb15bdd2a3164e7e5/rendering/02.obj", "3.58046386719")</f>
        <v>3.58046386719</v>
      </c>
      <c r="F2124" s="13" t="str">
        <f>HYPERLINK(AB2 &amp; "/pencil/sn_de387435a5b0fe0bb15bdd2a3164e7e5/rendering/03.obj", "3.55446868896")</f>
        <v>3.55446868896</v>
      </c>
      <c r="G2124" s="60" t="str">
        <f>HYPERLINK(AB2 &amp; "/pencil/sn_de387435a5b0fe0bb15bdd2a3164e7e5/rendering/04.obj", "3.7448034668")</f>
        <v>3.7448034668</v>
      </c>
      <c r="H2124" s="47" t="str">
        <f>HYPERLINK(AB2 &amp; "/pencil/sn_de387435a5b0fe0bb15bdd2a3164e7e5/rendering/05.obj", "3.52713623047")</f>
        <v>3.52713623047</v>
      </c>
      <c r="I2124" s="78" t="str">
        <f>HYPERLINK(AB2 &amp; "/pencil/sn_de387435a5b0fe0bb15bdd2a3164e7e5/rendering/06.obj", "3.78344421387")</f>
        <v>3.78344421387</v>
      </c>
      <c r="J2124" s="23" t="str">
        <f>HYPERLINK(AB2 &amp; "/pencil/sn_de387435a5b0fe0bb15bdd2a3164e7e5/rendering/07.obj", "3.4240057373")</f>
        <v>3.4240057373</v>
      </c>
      <c r="K2124" s="73" t="str">
        <f>HYPERLINK(AB2 &amp; "/pencil/sn_de387435a5b0fe0bb15bdd2a3164e7e5/rendering/08.obj", "3.42933441162")</f>
        <v>3.42933441162</v>
      </c>
      <c r="L2124" s="49" t="str">
        <f>HYPERLINK(AB2 &amp; "/pencil/sn_de387435a5b0fe0bb15bdd2a3164e7e5/rendering/09.obj", "4.3048638916")</f>
        <v>4.3048638916</v>
      </c>
      <c r="M2124" s="25" t="str">
        <f>HYPERLINK(AB2 &amp; "/pencil/sn_de387435a5b0fe0bb15bdd2a3164e7e5/rendering/10.obj", "3.60417602539")</f>
        <v>3.60417602539</v>
      </c>
      <c r="N2124" s="91" t="str">
        <f>HYPERLINK(AB2 &amp; "/pencil/sn_de387435a5b0fe0bb15bdd2a3164e7e5/rendering/11.obj", "3.46669891357")</f>
        <v>3.46669891357</v>
      </c>
      <c r="O2124" s="35" t="str">
        <f>HYPERLINK(AB2 &amp; "/pencil/sn_de387435a5b0fe0bb15bdd2a3164e7e5/rendering/12.obj", "3.35754089355")</f>
        <v>3.35754089355</v>
      </c>
      <c r="P2124" s="107" t="str">
        <f>HYPERLINK(AB2 &amp; "/pencil/sn_de387435a5b0fe0bb15bdd2a3164e7e5/rendering/13.obj", "3.26398925781")</f>
        <v>3.26398925781</v>
      </c>
      <c r="Q2124" s="23" t="str">
        <f>HYPERLINK(AB2 &amp; "/pencil/sn_de387435a5b0fe0bb15bdd2a3164e7e5/rendering/14.obj", "3.42096313477")</f>
        <v>3.42096313477</v>
      </c>
      <c r="R2124" s="13" t="str">
        <f>HYPERLINK(AB2 &amp; "/pencil/sn_de387435a5b0fe0bb15bdd2a3164e7e5/rendering/15.obj", "3.55086883545")</f>
        <v>3.55086883545</v>
      </c>
      <c r="S2124" s="63" t="str">
        <f>HYPERLINK(AB2 &amp; "/pencil/sn_de387435a5b0fe0bb15bdd2a3164e7e5/rendering/16.obj", "3.13340179443")</f>
        <v>3.13340179443</v>
      </c>
      <c r="T2124" s="13" t="str">
        <f>HYPERLINK(AB2 &amp; "/pencil/sn_de387435a5b0fe0bb15bdd2a3164e7e5/rendering/17.obj", "3.5622479248")</f>
        <v>3.5622479248</v>
      </c>
      <c r="U2124" s="47" t="str">
        <f>HYPERLINK(AB2 &amp; "/pencil/sn_de387435a5b0fe0bb15bdd2a3164e7e5/rendering/18.obj", "3.58356781006")</f>
        <v>3.58356781006</v>
      </c>
      <c r="V2124" s="51" t="str">
        <f>HYPERLINK(AB2 &amp; "/pencil/sn_de387435a5b0fe0bb15bdd2a3164e7e5/rendering/19.obj", "3.27581054688")</f>
        <v>3.27581054688</v>
      </c>
      <c r="W2124" s="12" t="s">
        <v>31</v>
      </c>
      <c r="X2124" s="13">
        <v>3.5604522705078119</v>
      </c>
      <c r="Y2124" s="13">
        <v>0.24890495081362379</v>
      </c>
      <c r="Z2124" s="27">
        <v>6.9908239713075429E-2</v>
      </c>
    </row>
    <row r="2125" spans="1:26" x14ac:dyDescent="0.2">
      <c r="A2125" s="1">
        <v>2123</v>
      </c>
      <c r="B2125" s="2" t="s">
        <v>457</v>
      </c>
      <c r="C2125" s="107" t="str">
        <f>HYPERLINK(AB2 &amp; "/pencil/sn_de387435a5b0fe0bb15bdd2a3164e7e5/rendering/00.obj", "1.12796568871")</f>
        <v>1.12796568871</v>
      </c>
      <c r="D2125" s="136" t="str">
        <f>HYPERLINK(AB2 &amp; "/pencil/sn_de387435a5b0fe0bb15bdd2a3164e7e5/rendering/01.obj", "1.28863990307")</f>
        <v>1.28863990307</v>
      </c>
      <c r="E2125" s="80" t="str">
        <f>HYPERLINK(AB2 &amp; "/pencil/sn_de387435a5b0fe0bb15bdd2a3164e7e5/rendering/02.obj", "0.885699212551")</f>
        <v>0.885699212551</v>
      </c>
      <c r="F2125" s="60" t="str">
        <f>HYPERLINK(AB2 &amp; "/pencil/sn_de387435a5b0fe0bb15bdd2a3164e7e5/rendering/03.obj", "1.09390282631")</f>
        <v>1.09390282631</v>
      </c>
      <c r="G2125" s="26" t="str">
        <f>HYPERLINK(AB2 &amp; "/pencil/sn_de387435a5b0fe0bb15bdd2a3164e7e5/rendering/04.obj", "0.975336015224")</f>
        <v>0.975336015224</v>
      </c>
      <c r="H2125" s="40" t="str">
        <f>HYPERLINK(AB2 &amp; "/pencil/sn_de387435a5b0fe0bb15bdd2a3164e7e5/rendering/05.obj", "0.863829612732")</f>
        <v>0.863829612732</v>
      </c>
      <c r="I2125" s="73" t="str">
        <f>HYPERLINK(AB2 &amp; "/pencil/sn_de387435a5b0fe0bb15bdd2a3164e7e5/rendering/06.obj", "1.07777225971")</f>
        <v>1.07777225971</v>
      </c>
      <c r="J2125" s="70" t="str">
        <f>HYPERLINK(AB2 &amp; "/pencil/sn_de387435a5b0fe0bb15bdd2a3164e7e5/rendering/07.obj", "0.910038053989")</f>
        <v>0.910038053989</v>
      </c>
      <c r="K2125" s="6" t="str">
        <f>HYPERLINK(AB2 &amp; "/pencil/sn_de387435a5b0fe0bb15bdd2a3164e7e5/rendering/08.obj", "0.993832111359")</f>
        <v>0.993832111359</v>
      </c>
      <c r="L2125" s="74" t="str">
        <f>HYPERLINK(AB2 &amp; "/pencil/sn_de387435a5b0fe0bb15bdd2a3164e7e5/rendering/09.obj", "1.05454814434")</f>
        <v>1.05454814434</v>
      </c>
      <c r="M2125" s="79" t="str">
        <f>HYPERLINK(AB2 &amp; "/pencil/sn_de387435a5b0fe0bb15bdd2a3164e7e5/rendering/10.obj", "0.874544739723")</f>
        <v>0.874544739723</v>
      </c>
      <c r="N2125" s="47" t="str">
        <f>HYPERLINK(AB2 &amp; "/pencil/sn_de387435a5b0fe0bb15bdd2a3164e7e5/rendering/11.obj", "1.05003011227")</f>
        <v>1.05003011227</v>
      </c>
      <c r="O2125" s="64" t="str">
        <f>HYPERLINK(AB2 &amp; "/pencil/sn_de387435a5b0fe0bb15bdd2a3164e7e5/rendering/12.obj", "0.868878006935")</f>
        <v>0.868878006935</v>
      </c>
      <c r="P2125" s="5" t="str">
        <f>HYPERLINK(AB2 &amp; "/pencil/sn_de387435a5b0fe0bb15bdd2a3164e7e5/rendering/13.obj", "1.11950695515")</f>
        <v>1.11950695515</v>
      </c>
      <c r="Q2125" s="39" t="str">
        <f>HYPERLINK(AB2 &amp; "/pencil/sn_de387435a5b0fe0bb15bdd2a3164e7e5/rendering/14.obj", "1.12965679169")</f>
        <v>1.12965679169</v>
      </c>
      <c r="R2125" s="134" t="str">
        <f>HYPERLINK(AB2 &amp; "/pencil/sn_de387435a5b0fe0bb15bdd2a3164e7e5/rendering/15.obj", "1.22858691216")</f>
        <v>1.22858691216</v>
      </c>
      <c r="S2125" s="78" t="str">
        <f>HYPERLINK(AB2 &amp; "/pencil/sn_de387435a5b0fe0bb15bdd2a3164e7e5/rendering/16.obj", "1.10590469837")</f>
        <v>1.10590469837</v>
      </c>
      <c r="T2125" s="31" t="str">
        <f>HYPERLINK(AB2 &amp; "/pencil/sn_de387435a5b0fe0bb15bdd2a3164e7e5/rendering/17.obj", "0.880764126778")</f>
        <v>0.880764126778</v>
      </c>
      <c r="U2125" s="182" t="str">
        <f>HYPERLINK(AB2 &amp; "/pencil/sn_de387435a5b0fe0bb15bdd2a3164e7e5/rendering/18.obj", "1.3885819912")</f>
        <v>1.3885819912</v>
      </c>
      <c r="V2125" s="42" t="str">
        <f>HYPERLINK(AB2 &amp; "/pencil/sn_de387435a5b0fe0bb15bdd2a3164e7e5/rendering/19.obj", "0.899766206741")</f>
        <v>0.899766206741</v>
      </c>
      <c r="W2125" s="12" t="s">
        <v>32</v>
      </c>
      <c r="X2125" s="13">
        <v>1.040889218449593</v>
      </c>
      <c r="Y2125" s="13">
        <v>0.14657651985182019</v>
      </c>
      <c r="Z2125" s="93">
        <v>0.14081855902989021</v>
      </c>
    </row>
    <row r="2126" spans="1:26" x14ac:dyDescent="0.2">
      <c r="A2126" s="1">
        <v>2124</v>
      </c>
      <c r="B2126" s="2" t="s">
        <v>457</v>
      </c>
      <c r="C2126" s="13" t="str">
        <f>HYPERLINK(AC2 &amp; "/pencil/sn_de387435a5b0fe0bb15bdd2a3164e7e5/rendering/00.xyz", "0.0")</f>
        <v>0.0</v>
      </c>
      <c r="D2126" s="13" t="str">
        <f>HYPERLINK(AC2 &amp; "/pencil/sn_de387435a5b0fe0bb15bdd2a3164e7e5/rendering/01.xyz", "0.0")</f>
        <v>0.0</v>
      </c>
      <c r="E2126" s="13" t="str">
        <f>HYPERLINK(AC2 &amp; "/pencil/sn_de387435a5b0fe0bb15bdd2a3164e7e5/rendering/02.xyz", "0.0")</f>
        <v>0.0</v>
      </c>
      <c r="F2126" s="13" t="str">
        <f>HYPERLINK(AC2 &amp; "/pencil/sn_de387435a5b0fe0bb15bdd2a3164e7e5/rendering/03.xyz", "0.0")</f>
        <v>0.0</v>
      </c>
      <c r="G2126" s="13" t="str">
        <f>HYPERLINK(AC2 &amp; "/pencil/sn_de387435a5b0fe0bb15bdd2a3164e7e5/rendering/04.xyz", "0.0")</f>
        <v>0.0</v>
      </c>
      <c r="H2126" s="13" t="str">
        <f>HYPERLINK(AC2 &amp; "/pencil/sn_de387435a5b0fe0bb15bdd2a3164e7e5/rendering/05.xyz", "0.0")</f>
        <v>0.0</v>
      </c>
      <c r="I2126" s="13" t="str">
        <f>HYPERLINK(AC2 &amp; "/pencil/sn_de387435a5b0fe0bb15bdd2a3164e7e5/rendering/06.xyz", "0.0")</f>
        <v>0.0</v>
      </c>
      <c r="J2126" s="13" t="str">
        <f>HYPERLINK(AC2 &amp; "/pencil/sn_de387435a5b0fe0bb15bdd2a3164e7e5/rendering/07.xyz", "0.0")</f>
        <v>0.0</v>
      </c>
      <c r="K2126" s="13" t="str">
        <f>HYPERLINK(AC2 &amp; "/pencil/sn_de387435a5b0fe0bb15bdd2a3164e7e5/rendering/08.xyz", "0.0")</f>
        <v>0.0</v>
      </c>
      <c r="L2126" s="13" t="str">
        <f>HYPERLINK(AC2 &amp; "/pencil/sn_de387435a5b0fe0bb15bdd2a3164e7e5/rendering/09.xyz", "0.0")</f>
        <v>0.0</v>
      </c>
      <c r="M2126" s="13" t="str">
        <f>HYPERLINK(AC2 &amp; "/pencil/sn_de387435a5b0fe0bb15bdd2a3164e7e5/rendering/10.xyz", "0.0")</f>
        <v>0.0</v>
      </c>
      <c r="N2126" s="13" t="str">
        <f>HYPERLINK(AC2 &amp; "/pencil/sn_de387435a5b0fe0bb15bdd2a3164e7e5/rendering/11.xyz", "0.0")</f>
        <v>0.0</v>
      </c>
      <c r="O2126" s="13" t="str">
        <f>HYPERLINK(AC2 &amp; "/pencil/sn_de387435a5b0fe0bb15bdd2a3164e7e5/rendering/12.xyz", "0.0")</f>
        <v>0.0</v>
      </c>
      <c r="P2126" s="13" t="str">
        <f>HYPERLINK(AC2 &amp; "/pencil/sn_de387435a5b0fe0bb15bdd2a3164e7e5/rendering/13.xyz", "0.0")</f>
        <v>0.0</v>
      </c>
      <c r="Q2126" s="13" t="str">
        <f>HYPERLINK(AC2 &amp; "/pencil/sn_de387435a5b0fe0bb15bdd2a3164e7e5/rendering/14.xyz", "0.0")</f>
        <v>0.0</v>
      </c>
      <c r="R2126" s="13" t="str">
        <f>HYPERLINK(AC2 &amp; "/pencil/sn_de387435a5b0fe0bb15bdd2a3164e7e5/rendering/15.xyz", "0.0")</f>
        <v>0.0</v>
      </c>
      <c r="S2126" s="13" t="str">
        <f>HYPERLINK(AC2 &amp; "/pencil/sn_de387435a5b0fe0bb15bdd2a3164e7e5/rendering/16.xyz", "0.0")</f>
        <v>0.0</v>
      </c>
      <c r="T2126" s="13" t="str">
        <f>HYPERLINK(AC2 &amp; "/pencil/sn_de387435a5b0fe0bb15bdd2a3164e7e5/rendering/17.xyz", "0.0")</f>
        <v>0.0</v>
      </c>
      <c r="U2126" s="13" t="str">
        <f>HYPERLINK(AC2 &amp; "/pencil/sn_de387435a5b0fe0bb15bdd2a3164e7e5/rendering/18.xyz", "0.0")</f>
        <v>0.0</v>
      </c>
      <c r="V2126" s="13" t="str">
        <f>HYPERLINK(AC2 &amp; "/pencil/sn_de387435a5b0fe0bb15bdd2a3164e7e5/rendering/19.xyz", "0.0")</f>
        <v>0.0</v>
      </c>
      <c r="W2126" s="12" t="s">
        <v>33</v>
      </c>
      <c r="X2126" s="13">
        <v>0</v>
      </c>
      <c r="Y2126" s="13">
        <v>0</v>
      </c>
      <c r="Z2126" s="13">
        <v>0</v>
      </c>
    </row>
    <row r="2127" spans="1:26" x14ac:dyDescent="0.2">
      <c r="A2127" s="1">
        <v>2125</v>
      </c>
      <c r="B2127" s="2" t="s">
        <v>458</v>
      </c>
      <c r="C2127" s="70" t="str">
        <f>HYPERLINK(AA2 &amp; "/pencil/sn_de913c120d5f32b59bed0b60498125c1/rendering/00.obj", "3.38438171387")</f>
        <v>3.38438171387</v>
      </c>
      <c r="D2127" s="39" t="str">
        <f>HYPERLINK(AA2 &amp; "/pencil/sn_de913c120d5f32b59bed0b60498125c1/rendering/01.obj", "4.21255737305")</f>
        <v>4.21255737305</v>
      </c>
      <c r="E2127" s="166" t="str">
        <f>HYPERLINK(AA2 &amp; "/pencil/sn_de913c120d5f32b59bed0b60498125c1/rendering/02.obj", "4.99084197998")</f>
        <v>4.99084197998</v>
      </c>
      <c r="F2127" s="106" t="str">
        <f>HYPERLINK(AA2 &amp; "/pencil/sn_de913c120d5f32b59bed0b60498125c1/rendering/03.obj", "3.43128845215")</f>
        <v>3.43128845215</v>
      </c>
      <c r="G2127" s="82" t="str">
        <f>HYPERLINK(AA2 &amp; "/pencil/sn_de913c120d5f32b59bed0b60498125c1/rendering/04.obj", "4.6784475708")</f>
        <v>4.6784475708</v>
      </c>
      <c r="H2127" s="39" t="str">
        <f>HYPERLINK(AA2 &amp; "/pencil/sn_de913c120d5f32b59bed0b60498125c1/rendering/05.obj", "4.21620910645")</f>
        <v>4.21620910645</v>
      </c>
      <c r="I2127" s="40" t="str">
        <f>HYPERLINK(AA2 &amp; "/pencil/sn_de913c120d5f32b59bed0b60498125c1/rendering/06.obj", "3.21084259033")</f>
        <v>3.21084259033</v>
      </c>
      <c r="J2127" s="20" t="str">
        <f>HYPERLINK(AA2 &amp; "/pencil/sn_de913c120d5f32b59bed0b60498125c1/rendering/07.obj", "8.13948303223")</f>
        <v>8.13948303223</v>
      </c>
      <c r="K2127" s="81" t="str">
        <f>HYPERLINK(AA2 &amp; "/pencil/sn_de913c120d5f32b59bed0b60498125c1/rendering/08.obj", "3.03977783203")</f>
        <v>3.03977783203</v>
      </c>
      <c r="L2127" s="46" t="str">
        <f>HYPERLINK(AA2 &amp; "/pencil/sn_de913c120d5f32b59bed0b60498125c1/rendering/09.obj", "3.9475579834")</f>
        <v>3.9475579834</v>
      </c>
      <c r="M2127" s="38" t="str">
        <f>HYPERLINK(AA2 &amp; "/pencil/sn_de913c120d5f32b59bed0b60498125c1/rendering/10.obj", "3.52746948242")</f>
        <v>3.52746948242</v>
      </c>
      <c r="N2127" s="41" t="str">
        <f>HYPERLINK(AA2 &amp; "/pencil/sn_de913c120d5f32b59bed0b60498125c1/rendering/11.obj", "4.13858337402")</f>
        <v>4.13858337402</v>
      </c>
      <c r="O2127" s="83" t="str">
        <f>HYPERLINK(AA2 &amp; "/pencil/sn_de913c120d5f32b59bed0b60498125c1/rendering/12.obj", "3.28645812988")</f>
        <v>3.28645812988</v>
      </c>
      <c r="P2127" s="73" t="str">
        <f>HYPERLINK(AA2 &amp; "/pencil/sn_de913c120d5f32b59bed0b60498125c1/rendering/13.obj", "3.74597991943")</f>
        <v>3.74597991943</v>
      </c>
      <c r="Q2127" s="49" t="str">
        <f>HYPERLINK(AA2 &amp; "/pencil/sn_de913c120d5f32b59bed0b60498125c1/rendering/14.obj", "3.06969024658")</f>
        <v>3.06969024658</v>
      </c>
      <c r="R2127" s="49" t="str">
        <f>HYPERLINK(AA2 &amp; "/pencil/sn_de913c120d5f32b59bed0b60498125c1/rendering/15.obj", "3.06597564697")</f>
        <v>3.06597564697</v>
      </c>
      <c r="S2127" s="42" t="str">
        <f>HYPERLINK(AA2 &amp; "/pencil/sn_de913c120d5f32b59bed0b60498125c1/rendering/16.obj", "3.3449395752")</f>
        <v>3.3449395752</v>
      </c>
      <c r="T2127" s="90" t="str">
        <f>HYPERLINK(AA2 &amp; "/pencil/sn_de913c120d5f32b59bed0b60498125c1/rendering/17.obj", "3.51369812012")</f>
        <v>3.51369812012</v>
      </c>
      <c r="U2127" s="98" t="str">
        <f>HYPERLINK(AA2 &amp; "/pencil/sn_de913c120d5f32b59bed0b60498125c1/rendering/18.obj", "2.98683105469")</f>
        <v>2.98683105469</v>
      </c>
      <c r="V2127" s="60" t="str">
        <f>HYPERLINK(AA2 &amp; "/pencil/sn_de913c120d5f32b59bed0b60498125c1/rendering/19.obj", "3.67665557861")</f>
        <v>3.67665557861</v>
      </c>
      <c r="W2127" s="12" t="s">
        <v>29</v>
      </c>
      <c r="X2127" s="13">
        <v>3.8803834381103508</v>
      </c>
      <c r="Y2127" s="13">
        <v>1.117671712927605</v>
      </c>
      <c r="Z2127" s="166">
        <v>0.28803125535240492</v>
      </c>
    </row>
    <row r="2128" spans="1:26" x14ac:dyDescent="0.2">
      <c r="A2128" s="1">
        <v>2126</v>
      </c>
      <c r="B2128" s="2" t="s">
        <v>458</v>
      </c>
      <c r="C2128" s="73" t="str">
        <f>HYPERLINK(AA2 &amp; "/pencil/sn_de913c120d5f32b59bed0b60498125c1/rendering/00.obj", "1.64920496941")</f>
        <v>1.64920496941</v>
      </c>
      <c r="D2128" s="65" t="str">
        <f>HYPERLINK(AA2 &amp; "/pencil/sn_de913c120d5f32b59bed0b60498125c1/rendering/01.obj", "1.80375421047")</f>
        <v>1.80375421047</v>
      </c>
      <c r="E2128" s="20" t="str">
        <f>HYPERLINK(AA2 &amp; "/pencil/sn_de913c120d5f32b59bed0b60498125c1/rendering/02.obj", "3.06183314323")</f>
        <v>3.06183314323</v>
      </c>
      <c r="F2128" s="138" t="str">
        <f>HYPERLINK(AA2 &amp; "/pencil/sn_de913c120d5f32b59bed0b60498125c1/rendering/03.obj", "1.05375850201")</f>
        <v>1.05375850201</v>
      </c>
      <c r="G2128" s="201" t="str">
        <f>HYPERLINK(AA2 &amp; "/pencil/sn_de913c120d5f32b59bed0b60498125c1/rendering/04.obj", "2.51461696625")</f>
        <v>2.51461696625</v>
      </c>
      <c r="H2128" s="10" t="str">
        <f>HYPERLINK(AA2 &amp; "/pencil/sn_de913c120d5f32b59bed0b60498125c1/rendering/05.obj", "1.67624044418")</f>
        <v>1.67624044418</v>
      </c>
      <c r="I2128" s="162" t="str">
        <f>HYPERLINK(AA2 &amp; "/pencil/sn_de913c120d5f32b59bed0b60498125c1/rendering/06.obj", "0.916523933411")</f>
        <v>0.916523933411</v>
      </c>
      <c r="J2128" s="20" t="str">
        <f>HYPERLINK(AA2 &amp; "/pencil/sn_de913c120d5f32b59bed0b60498125c1/rendering/07.obj", "5.97763776779")</f>
        <v>5.97763776779</v>
      </c>
      <c r="K2128" s="157" t="str">
        <f>HYPERLINK(AA2 &amp; "/pencil/sn_de913c120d5f32b59bed0b60498125c1/rendering/08.obj", "0.927952945232")</f>
        <v>0.927952945232</v>
      </c>
      <c r="L2128" s="171" t="str">
        <f>HYPERLINK(AA2 &amp; "/pencil/sn_de913c120d5f32b59bed0b60498125c1/rendering/09.obj", "1.10171413422")</f>
        <v>1.10171413422</v>
      </c>
      <c r="M2128" s="128" t="str">
        <f>HYPERLINK(AA2 &amp; "/pencil/sn_de913c120d5f32b59bed0b60498125c1/rendering/10.obj", "0.970271587372")</f>
        <v>0.970271587372</v>
      </c>
      <c r="N2128" s="95" t="str">
        <f>HYPERLINK(AA2 &amp; "/pencil/sn_de913c120d5f32b59bed0b60498125c1/rendering/11.obj", "1.14131641388")</f>
        <v>1.14131641388</v>
      </c>
      <c r="O2128" s="198" t="str">
        <f>HYPERLINK(AA2 &amp; "/pencil/sn_de913c120d5f32b59bed0b60498125c1/rendering/12.obj", "0.974319934845")</f>
        <v>0.974319934845</v>
      </c>
      <c r="P2128" s="89" t="str">
        <f>HYPERLINK(AA2 &amp; "/pencil/sn_de913c120d5f32b59bed0b60498125c1/rendering/13.obj", "2.00013709068")</f>
        <v>2.00013709068</v>
      </c>
      <c r="Q2128" s="158" t="str">
        <f>HYPERLINK(AA2 &amp; "/pencil/sn_de913c120d5f32b59bed0b60498125c1/rendering/14.obj", "0.940295994282")</f>
        <v>0.940295994282</v>
      </c>
      <c r="R2128" s="212" t="str">
        <f>HYPERLINK(AA2 &amp; "/pencil/sn_de913c120d5f32b59bed0b60498125c1/rendering/15.obj", "0.904967188835")</f>
        <v>0.904967188835</v>
      </c>
      <c r="S2128" s="162" t="str">
        <f>HYPERLINK(AA2 &amp; "/pencil/sn_de913c120d5f32b59bed0b60498125c1/rendering/16.obj", "0.911971449852")</f>
        <v>0.911971449852</v>
      </c>
      <c r="T2128" s="43" t="str">
        <f>HYPERLINK(AA2 &amp; "/pencil/sn_de913c120d5f32b59bed0b60498125c1/rendering/17.obj", "0.992438554764")</f>
        <v>0.992438554764</v>
      </c>
      <c r="U2128" s="101" t="str">
        <f>HYPERLINK(AA2 &amp; "/pencil/sn_de913c120d5f32b59bed0b60498125c1/rendering/18.obj", "0.989386558533")</f>
        <v>0.989386558533</v>
      </c>
      <c r="V2128" s="77" t="str">
        <f>HYPERLINK(AA2 &amp; "/pencil/sn_de913c120d5f32b59bed0b60498125c1/rendering/19.obj", "1.29572582245")</f>
        <v>1.29572582245</v>
      </c>
      <c r="W2128" s="12" t="s">
        <v>30</v>
      </c>
      <c r="X2128" s="13">
        <v>1.5902033805847171</v>
      </c>
      <c r="Y2128" s="13">
        <v>1.162652949577867</v>
      </c>
      <c r="Z2128" s="242">
        <v>0.73113474903465481</v>
      </c>
    </row>
    <row r="2129" spans="1:26" x14ac:dyDescent="0.2">
      <c r="A2129" s="1">
        <v>2127</v>
      </c>
      <c r="B2129" s="2" t="s">
        <v>458</v>
      </c>
      <c r="C2129" s="78" t="str">
        <f>HYPERLINK(AB2 &amp; "/pencil/sn_de913c120d5f32b59bed0b60498125c1/rendering/00.obj", "2.70821105957")</f>
        <v>2.70821105957</v>
      </c>
      <c r="D2129" s="28" t="str">
        <f>HYPERLINK(AB2 &amp; "/pencil/sn_de913c120d5f32b59bed0b60498125c1/rendering/01.obj", "2.56500793457")</f>
        <v>2.56500793457</v>
      </c>
      <c r="E2129" s="6" t="str">
        <f>HYPERLINK(AB2 &amp; "/pencil/sn_de913c120d5f32b59bed0b60498125c1/rendering/02.obj", "2.75716156006")</f>
        <v>2.75716156006</v>
      </c>
      <c r="F2129" s="48" t="str">
        <f>HYPERLINK(AB2 &amp; "/pencil/sn_de913c120d5f32b59bed0b60498125c1/rendering/03.obj", "2.8165737915")</f>
        <v>2.8165737915</v>
      </c>
      <c r="G2129" s="91" t="str">
        <f>HYPERLINK(AB2 &amp; "/pencil/sn_de913c120d5f32b59bed0b60498125c1/rendering/04.obj", "2.96406555176")</f>
        <v>2.96406555176</v>
      </c>
      <c r="H2129" s="55" t="str">
        <f>HYPERLINK(AB2 &amp; "/pencil/sn_de913c120d5f32b59bed0b60498125c1/rendering/05.obj", "3.44478759766")</f>
        <v>3.44478759766</v>
      </c>
      <c r="I2129" s="6" t="str">
        <f>HYPERLINK(AB2 &amp; "/pencil/sn_de913c120d5f32b59bed0b60498125c1/rendering/06.obj", "3.01993560791")</f>
        <v>3.01993560791</v>
      </c>
      <c r="J2129" s="6" t="str">
        <f>HYPERLINK(AB2 &amp; "/pencil/sn_de913c120d5f32b59bed0b60498125c1/rendering/07.obj", "3.01859130859")</f>
        <v>3.01859130859</v>
      </c>
      <c r="K2129" s="74" t="str">
        <f>HYPERLINK(AB2 &amp; "/pencil/sn_de913c120d5f32b59bed0b60498125c1/rendering/08.obj", "2.84675537109")</f>
        <v>2.84675537109</v>
      </c>
      <c r="L2129" s="33" t="str">
        <f>HYPERLINK(AB2 &amp; "/pencil/sn_de913c120d5f32b59bed0b60498125c1/rendering/09.obj", "2.57124725342")</f>
        <v>2.57124725342</v>
      </c>
      <c r="M2129" s="25" t="str">
        <f>HYPERLINK(AB2 &amp; "/pencil/sn_de913c120d5f32b59bed0b60498125c1/rendering/10.obj", "2.85785949707")</f>
        <v>2.85785949707</v>
      </c>
      <c r="N2129" s="5" t="str">
        <f>HYPERLINK(AB2 &amp; "/pencil/sn_de913c120d5f32b59bed0b60498125c1/rendering/11.obj", "3.10626281738")</f>
        <v>3.10626281738</v>
      </c>
      <c r="O2129" s="26" t="str">
        <f>HYPERLINK(AB2 &amp; "/pencil/sn_de913c120d5f32b59bed0b60498125c1/rendering/12.obj", "3.07504852295")</f>
        <v>3.07504852295</v>
      </c>
      <c r="P2129" s="35" t="str">
        <f>HYPERLINK(AB2 &amp; "/pencil/sn_de913c120d5f32b59bed0b60498125c1/rendering/13.obj", "2.72260375977")</f>
        <v>2.72260375977</v>
      </c>
      <c r="Q2129" s="25" t="str">
        <f>HYPERLINK(AB2 &amp; "/pencil/sn_de913c120d5f32b59bed0b60498125c1/rendering/14.obj", "2.85875488281")</f>
        <v>2.85875488281</v>
      </c>
      <c r="R2129" s="34" t="str">
        <f>HYPERLINK(AB2 &amp; "/pencil/sn_de913c120d5f32b59bed0b60498125c1/rendering/15.obj", "3.03017578125")</f>
        <v>3.03017578125</v>
      </c>
      <c r="S2129" s="30" t="str">
        <f>HYPERLINK(AB2 &amp; "/pencil/sn_de913c120d5f32b59bed0b60498125c1/rendering/16.obj", "2.8980456543")</f>
        <v>2.8980456543</v>
      </c>
      <c r="T2129" s="106" t="str">
        <f>HYPERLINK(AB2 &amp; "/pencil/sn_de913c120d5f32b59bed0b60498125c1/rendering/17.obj", "2.56056121826")</f>
        <v>2.56056121826</v>
      </c>
      <c r="U2129" s="91" t="str">
        <f>HYPERLINK(AB2 &amp; "/pencil/sn_de913c120d5f32b59bed0b60498125c1/rendering/18.obj", "2.96410491943")</f>
        <v>2.96410491943</v>
      </c>
      <c r="V2129" s="72" t="str">
        <f>HYPERLINK(AB2 &amp; "/pencil/sn_de913c120d5f32b59bed0b60498125c1/rendering/19.obj", "2.97945922852")</f>
        <v>2.97945922852</v>
      </c>
      <c r="W2129" s="12" t="s">
        <v>31</v>
      </c>
      <c r="X2129" s="13">
        <v>2.8882606658935539</v>
      </c>
      <c r="Y2129" s="13">
        <v>0.2079174254397419</v>
      </c>
      <c r="Z2129" s="27">
        <v>7.1987070936832348E-2</v>
      </c>
    </row>
    <row r="2130" spans="1:26" x14ac:dyDescent="0.2">
      <c r="A2130" s="1">
        <v>2128</v>
      </c>
      <c r="B2130" s="2" t="s">
        <v>458</v>
      </c>
      <c r="C2130" s="110" t="str">
        <f>HYPERLINK(AB2 &amp; "/pencil/sn_de913c120d5f32b59bed0b60498125c1/rendering/00.obj", "0.807844221592")</f>
        <v>0.807844221592</v>
      </c>
      <c r="D2130" s="46" t="str">
        <f>HYPERLINK(AB2 &amp; "/pencil/sn_de913c120d5f32b59bed0b60498125c1/rendering/01.obj", "0.882148742676")</f>
        <v>0.882148742676</v>
      </c>
      <c r="E2130" s="106" t="str">
        <f>HYPERLINK(AB2 &amp; "/pencil/sn_de913c120d5f32b59bed0b60498125c1/rendering/02.obj", "0.999746322632")</f>
        <v>0.999746322632</v>
      </c>
      <c r="F2130" s="46" t="str">
        <f>HYPERLINK(AB2 &amp; "/pencil/sn_de913c120d5f32b59bed0b60498125c1/rendering/03.obj", "0.911296904087")</f>
        <v>0.911296904087</v>
      </c>
      <c r="G2130" s="96" t="str">
        <f>HYPERLINK(AB2 &amp; "/pencil/sn_de913c120d5f32b59bed0b60498125c1/rendering/04.obj", "1.22144269943")</f>
        <v>1.22144269943</v>
      </c>
      <c r="H2130" s="35" t="str">
        <f>HYPERLINK(AB2 &amp; "/pencil/sn_de913c120d5f32b59bed0b60498125c1/rendering/05.obj", "0.94726651907")</f>
        <v>0.94726651907</v>
      </c>
      <c r="I2130" s="5" t="str">
        <f>HYPERLINK(AB2 &amp; "/pencil/sn_de913c120d5f32b59bed0b60498125c1/rendering/06.obj", "0.828706860542")</f>
        <v>0.828706860542</v>
      </c>
      <c r="J2130" s="91" t="str">
        <f>HYPERLINK(AB2 &amp; "/pencil/sn_de913c120d5f32b59bed0b60498125c1/rendering/07.obj", "0.921512663364")</f>
        <v>0.921512663364</v>
      </c>
      <c r="K2130" s="79" t="str">
        <f>HYPERLINK(AB2 &amp; "/pencil/sn_de913c120d5f32b59bed0b60498125c1/rendering/08.obj", "0.753010809422")</f>
        <v>0.753010809422</v>
      </c>
      <c r="L2130" s="72" t="str">
        <f>HYPERLINK(AB2 &amp; "/pencil/sn_de913c120d5f32b59bed0b60498125c1/rendering/09.obj", "0.924961149693")</f>
        <v>0.924961149693</v>
      </c>
      <c r="M2130" s="13" t="str">
        <f>HYPERLINK(AB2 &amp; "/pencil/sn_de913c120d5f32b59bed0b60498125c1/rendering/10.obj", "0.89343559742")</f>
        <v>0.89343559742</v>
      </c>
      <c r="N2130" s="76" t="str">
        <f>HYPERLINK(AB2 &amp; "/pencil/sn_de913c120d5f32b59bed0b60498125c1/rendering/11.obj", "1.06043159962")</f>
        <v>1.06043159962</v>
      </c>
      <c r="O2130" s="79" t="str">
        <f>HYPERLINK(AB2 &amp; "/pencil/sn_de913c120d5f32b59bed0b60498125c1/rendering/12.obj", "0.755180358887")</f>
        <v>0.755180358887</v>
      </c>
      <c r="P2130" s="70" t="str">
        <f>HYPERLINK(AB2 &amp; "/pencil/sn_de913c120d5f32b59bed0b60498125c1/rendering/13.obj", "0.783192694187")</f>
        <v>0.783192694187</v>
      </c>
      <c r="Q2130" s="34" t="str">
        <f>HYPERLINK(AB2 &amp; "/pencil/sn_de913c120d5f32b59bed0b60498125c1/rendering/14.obj", "0.93889862299")</f>
        <v>0.93889862299</v>
      </c>
      <c r="R2130" s="63" t="str">
        <f>HYPERLINK(AB2 &amp; "/pencil/sn_de913c120d5f32b59bed0b60498125c1/rendering/15.obj", "0.788739860058")</f>
        <v>0.788739860058</v>
      </c>
      <c r="S2130" s="28" t="str">
        <f>HYPERLINK(AB2 &amp; "/pencil/sn_de913c120d5f32b59bed0b60498125c1/rendering/16.obj", "0.795032143593")</f>
        <v>0.795032143593</v>
      </c>
      <c r="T2130" s="63" t="str">
        <f>HYPERLINK(AB2 &amp; "/pencil/sn_de913c120d5f32b59bed0b60498125c1/rendering/17.obj", "1.00514054298")</f>
        <v>1.00514054298</v>
      </c>
      <c r="U2130" s="34" t="str">
        <f>HYPERLINK(AB2 &amp; "/pencil/sn_de913c120d5f32b59bed0b60498125c1/rendering/18.obj", "0.853157162666")</f>
        <v>0.853157162666</v>
      </c>
      <c r="V2130" s="34" t="str">
        <f>HYPERLINK(AB2 &amp; "/pencil/sn_de913c120d5f32b59bed0b60498125c1/rendering/19.obj", "0.853771090508")</f>
        <v>0.853771090508</v>
      </c>
      <c r="W2130" s="12" t="s">
        <v>32</v>
      </c>
      <c r="X2130" s="13">
        <v>0.89624582827091215</v>
      </c>
      <c r="Y2130" s="13">
        <v>0.1123909432581057</v>
      </c>
      <c r="Z2130" s="92">
        <v>0.12540191509168491</v>
      </c>
    </row>
    <row r="2131" spans="1:26" x14ac:dyDescent="0.2">
      <c r="A2131" s="1">
        <v>2129</v>
      </c>
      <c r="B2131" s="2" t="s">
        <v>458</v>
      </c>
      <c r="C2131" s="13" t="str">
        <f>HYPERLINK(AC2 &amp; "/pencil/sn_de913c120d5f32b59bed0b60498125c1/rendering/00.xyz", "0.0")</f>
        <v>0.0</v>
      </c>
      <c r="D2131" s="13" t="str">
        <f>HYPERLINK(AC2 &amp; "/pencil/sn_de913c120d5f32b59bed0b60498125c1/rendering/01.xyz", "0.0")</f>
        <v>0.0</v>
      </c>
      <c r="E2131" s="13" t="str">
        <f>HYPERLINK(AC2 &amp; "/pencil/sn_de913c120d5f32b59bed0b60498125c1/rendering/02.xyz", "0.0")</f>
        <v>0.0</v>
      </c>
      <c r="F2131" s="13" t="str">
        <f>HYPERLINK(AC2 &amp; "/pencil/sn_de913c120d5f32b59bed0b60498125c1/rendering/03.xyz", "0.0")</f>
        <v>0.0</v>
      </c>
      <c r="G2131" s="13" t="str">
        <f>HYPERLINK(AC2 &amp; "/pencil/sn_de913c120d5f32b59bed0b60498125c1/rendering/04.xyz", "0.0")</f>
        <v>0.0</v>
      </c>
      <c r="H2131" s="13" t="str">
        <f>HYPERLINK(AC2 &amp; "/pencil/sn_de913c120d5f32b59bed0b60498125c1/rendering/05.xyz", "0.0")</f>
        <v>0.0</v>
      </c>
      <c r="I2131" s="13" t="str">
        <f>HYPERLINK(AC2 &amp; "/pencil/sn_de913c120d5f32b59bed0b60498125c1/rendering/06.xyz", "0.0")</f>
        <v>0.0</v>
      </c>
      <c r="J2131" s="13" t="str">
        <f>HYPERLINK(AC2 &amp; "/pencil/sn_de913c120d5f32b59bed0b60498125c1/rendering/07.xyz", "0.0")</f>
        <v>0.0</v>
      </c>
      <c r="K2131" s="13" t="str">
        <f>HYPERLINK(AC2 &amp; "/pencil/sn_de913c120d5f32b59bed0b60498125c1/rendering/08.xyz", "0.0")</f>
        <v>0.0</v>
      </c>
      <c r="L2131" s="13" t="str">
        <f>HYPERLINK(AC2 &amp; "/pencil/sn_de913c120d5f32b59bed0b60498125c1/rendering/09.xyz", "0.0")</f>
        <v>0.0</v>
      </c>
      <c r="M2131" s="13" t="str">
        <f>HYPERLINK(AC2 &amp; "/pencil/sn_de913c120d5f32b59bed0b60498125c1/rendering/10.xyz", "0.0")</f>
        <v>0.0</v>
      </c>
      <c r="N2131" s="13" t="str">
        <f>HYPERLINK(AC2 &amp; "/pencil/sn_de913c120d5f32b59bed0b60498125c1/rendering/11.xyz", "0.0")</f>
        <v>0.0</v>
      </c>
      <c r="O2131" s="13" t="str">
        <f>HYPERLINK(AC2 &amp; "/pencil/sn_de913c120d5f32b59bed0b60498125c1/rendering/12.xyz", "0.0")</f>
        <v>0.0</v>
      </c>
      <c r="P2131" s="13" t="str">
        <f>HYPERLINK(AC2 &amp; "/pencil/sn_de913c120d5f32b59bed0b60498125c1/rendering/13.xyz", "0.0")</f>
        <v>0.0</v>
      </c>
      <c r="Q2131" s="13" t="str">
        <f>HYPERLINK(AC2 &amp; "/pencil/sn_de913c120d5f32b59bed0b60498125c1/rendering/14.xyz", "0.0")</f>
        <v>0.0</v>
      </c>
      <c r="R2131" s="13" t="str">
        <f>HYPERLINK(AC2 &amp; "/pencil/sn_de913c120d5f32b59bed0b60498125c1/rendering/15.xyz", "0.0")</f>
        <v>0.0</v>
      </c>
      <c r="S2131" s="13" t="str">
        <f>HYPERLINK(AC2 &amp; "/pencil/sn_de913c120d5f32b59bed0b60498125c1/rendering/16.xyz", "0.0")</f>
        <v>0.0</v>
      </c>
      <c r="T2131" s="13" t="str">
        <f>HYPERLINK(AC2 &amp; "/pencil/sn_de913c120d5f32b59bed0b60498125c1/rendering/17.xyz", "0.0")</f>
        <v>0.0</v>
      </c>
      <c r="U2131" s="13" t="str">
        <f>HYPERLINK(AC2 &amp; "/pencil/sn_de913c120d5f32b59bed0b60498125c1/rendering/18.xyz", "0.0")</f>
        <v>0.0</v>
      </c>
      <c r="V2131" s="13" t="str">
        <f>HYPERLINK(AC2 &amp; "/pencil/sn_de913c120d5f32b59bed0b60498125c1/rendering/19.xyz", "0.0")</f>
        <v>0.0</v>
      </c>
      <c r="W2131" s="12" t="s">
        <v>33</v>
      </c>
      <c r="X2131" s="13">
        <v>0</v>
      </c>
      <c r="Y2131" s="13">
        <v>0</v>
      </c>
      <c r="Z2131" s="13">
        <v>0</v>
      </c>
    </row>
    <row r="2132" spans="1:26" x14ac:dyDescent="0.2">
      <c r="A2132" s="1">
        <v>2130</v>
      </c>
      <c r="B2132" s="2" t="s">
        <v>459</v>
      </c>
      <c r="C2132" s="47" t="str">
        <f>HYPERLINK(AA2 &amp; "/pencil/sn_df1b84d9d15c89b690d903cb4fcdea47/rendering/00.obj", "3.58425170898")</f>
        <v>3.58425170898</v>
      </c>
      <c r="D2132" s="26" t="str">
        <f>HYPERLINK(AA2 &amp; "/pencil/sn_df1b84d9d15c89b690d903cb4fcdea47/rendering/01.obj", "3.84187347412")</f>
        <v>3.84187347412</v>
      </c>
      <c r="E2132" s="46" t="str">
        <f>HYPERLINK(AA2 &amp; "/pencil/sn_df1b84d9d15c89b690d903cb4fcdea47/rendering/02.obj", "3.68171508789")</f>
        <v>3.68171508789</v>
      </c>
      <c r="F2132" s="23" t="str">
        <f>HYPERLINK(AA2 &amp; "/pencil/sn_df1b84d9d15c89b690d903cb4fcdea47/rendering/03.obj", "3.75349517822")</f>
        <v>3.75349517822</v>
      </c>
      <c r="G2132" s="23" t="str">
        <f>HYPERLINK(AA2 &amp; "/pencil/sn_df1b84d9d15c89b690d903cb4fcdea47/rendering/04.obj", "3.46725524902")</f>
        <v>3.46725524902</v>
      </c>
      <c r="H2132" s="73" t="str">
        <f>HYPERLINK(AA2 &amp; "/pencil/sn_df1b84d9d15c89b690d903cb4fcdea47/rendering/05.obj", "3.48479187012")</f>
        <v>3.48479187012</v>
      </c>
      <c r="I2132" s="13" t="str">
        <f>HYPERLINK(AA2 &amp; "/pencil/sn_df1b84d9d15c89b690d903cb4fcdea47/rendering/06.obj", "3.62276824951")</f>
        <v>3.62276824951</v>
      </c>
      <c r="J2132" s="78" t="str">
        <f>HYPERLINK(AA2 &amp; "/pencil/sn_df1b84d9d15c89b690d903cb4fcdea47/rendering/07.obj", "3.39574768066")</f>
        <v>3.39574768066</v>
      </c>
      <c r="K2132" s="30" t="str">
        <f>HYPERLINK(AA2 &amp; "/pencil/sn_df1b84d9d15c89b690d903cb4fcdea47/rendering/08.obj", "3.6316607666")</f>
        <v>3.6316607666</v>
      </c>
      <c r="L2132" s="72" t="str">
        <f>HYPERLINK(AA2 &amp; "/pencil/sn_df1b84d9d15c89b690d903cb4fcdea47/rendering/09.obj", "3.49149719238")</f>
        <v>3.49149719238</v>
      </c>
      <c r="M2132" s="23" t="str">
        <f>HYPERLINK(AA2 &amp; "/pencil/sn_df1b84d9d15c89b690d903cb4fcdea47/rendering/10.obj", "3.75933410645")</f>
        <v>3.75933410645</v>
      </c>
      <c r="N2132" s="106" t="str">
        <f>HYPERLINK(AA2 &amp; "/pencil/sn_df1b84d9d15c89b690d903cb4fcdea47/rendering/11.obj", "4.02430480957")</f>
        <v>4.02430480957</v>
      </c>
      <c r="O2132" s="25" t="str">
        <f>HYPERLINK(AA2 &amp; "/pencil/sn_df1b84d9d15c89b690d903cb4fcdea47/rendering/12.obj", "3.56948120117")</f>
        <v>3.56948120117</v>
      </c>
      <c r="P2132" s="23" t="str">
        <f>HYPERLINK(AA2 &amp; "/pencil/sn_df1b84d9d15c89b690d903cb4fcdea47/rendering/13.obj", "3.75310119629")</f>
        <v>3.75310119629</v>
      </c>
      <c r="Q2132" s="30" t="str">
        <f>HYPERLINK(AA2 &amp; "/pencil/sn_df1b84d9d15c89b690d903cb4fcdea47/rendering/14.obj", "3.63264129639")</f>
        <v>3.63264129639</v>
      </c>
      <c r="R2132" s="60" t="str">
        <f>HYPERLINK(AA2 &amp; "/pencil/sn_df1b84d9d15c89b690d903cb4fcdea47/rendering/15.obj", "3.43215270996")</f>
        <v>3.43215270996</v>
      </c>
      <c r="S2132" s="74" t="str">
        <f>HYPERLINK(AA2 &amp; "/pencil/sn_df1b84d9d15c89b690d903cb4fcdea47/rendering/16.obj", "3.66264526367")</f>
        <v>3.66264526367</v>
      </c>
      <c r="T2132" s="48" t="str">
        <f>HYPERLINK(AA2 &amp; "/pencil/sn_df1b84d9d15c89b690d903cb4fcdea47/rendering/17.obj", "3.53442993164")</f>
        <v>3.53442993164</v>
      </c>
      <c r="U2132" s="91" t="str">
        <f>HYPERLINK(AA2 &amp; "/pencil/sn_df1b84d9d15c89b690d903cb4fcdea47/rendering/18.obj", "3.51344543457")</f>
        <v>3.51344543457</v>
      </c>
      <c r="V2132" s="34" t="str">
        <f>HYPERLINK(AA2 &amp; "/pencil/sn_df1b84d9d15c89b690d903cb4fcdea47/rendering/19.obj", "3.43943054199")</f>
        <v>3.43943054199</v>
      </c>
      <c r="W2132" s="12" t="s">
        <v>29</v>
      </c>
      <c r="X2132" s="13">
        <v>3.6138011474609391</v>
      </c>
      <c r="Y2132" s="13">
        <v>0.15356037942108611</v>
      </c>
      <c r="Z2132" s="68">
        <v>4.2492758498617958E-2</v>
      </c>
    </row>
    <row r="2133" spans="1:26" x14ac:dyDescent="0.2">
      <c r="A2133" s="1">
        <v>2131</v>
      </c>
      <c r="B2133" s="2" t="s">
        <v>459</v>
      </c>
      <c r="C2133" s="73" t="str">
        <f>HYPERLINK(AA2 &amp; "/pencil/sn_df1b84d9d15c89b690d903cb4fcdea47/rendering/00.obj", "0.79860252142")</f>
        <v>0.79860252142</v>
      </c>
      <c r="D2133" s="51" t="str">
        <f>HYPERLINK(AA2 &amp; "/pencil/sn_df1b84d9d15c89b690d903cb4fcdea47/rendering/01.obj", "0.762082874775")</f>
        <v>0.762082874775</v>
      </c>
      <c r="E2133" s="134" t="str">
        <f>HYPERLINK(AA2 &amp; "/pencil/sn_df1b84d9d15c89b690d903cb4fcdea47/rendering/02.obj", "0.978283584118")</f>
        <v>0.978283584118</v>
      </c>
      <c r="F2133" s="41" t="str">
        <f>HYPERLINK(AA2 &amp; "/pencil/sn_df1b84d9d15c89b690d903cb4fcdea47/rendering/03.obj", "0.884524106979")</f>
        <v>0.884524106979</v>
      </c>
      <c r="G2133" s="10" t="str">
        <f>HYPERLINK(AA2 &amp; "/pencil/sn_df1b84d9d15c89b690d903cb4fcdea47/rendering/04.obj", "0.783116936684")</f>
        <v>0.783116936684</v>
      </c>
      <c r="H2133" s="107" t="str">
        <f>HYPERLINK(AA2 &amp; "/pencil/sn_df1b84d9d15c89b690d903cb4fcdea47/rendering/05.obj", "0.760794758797")</f>
        <v>0.760794758797</v>
      </c>
      <c r="I2133" s="39" t="str">
        <f>HYPERLINK(AA2 &amp; "/pencil/sn_df1b84d9d15c89b690d903cb4fcdea47/rendering/06.obj", "0.758964776993")</f>
        <v>0.758964776993</v>
      </c>
      <c r="J2133" s="94" t="str">
        <f>HYPERLINK(AA2 &amp; "/pencil/sn_df1b84d9d15c89b690d903cb4fcdea47/rendering/07.obj", "0.769394874573")</f>
        <v>0.769394874573</v>
      </c>
      <c r="K2133" s="78" t="str">
        <f>HYPERLINK(AA2 &amp; "/pencil/sn_df1b84d9d15c89b690d903cb4fcdea47/rendering/08.obj", "0.880160748959")</f>
        <v>0.880160748959</v>
      </c>
      <c r="L2133" s="46" t="str">
        <f>HYPERLINK(AA2 &amp; "/pencil/sn_df1b84d9d15c89b690d903cb4fcdea47/rendering/09.obj", "0.84434235096")</f>
        <v>0.84434235096</v>
      </c>
      <c r="M2133" s="34" t="str">
        <f>HYPERLINK(AA2 &amp; "/pencil/sn_df1b84d9d15c89b690d903cb4fcdea47/rendering/10.obj", "0.788145840168")</f>
        <v>0.788145840168</v>
      </c>
      <c r="N2133" s="33" t="str">
        <f>HYPERLINK(AA2 &amp; "/pencil/sn_df1b84d9d15c89b690d903cb4fcdea47/rendering/11.obj", "0.919986188412")</f>
        <v>0.919986188412</v>
      </c>
      <c r="O2133" s="68" t="str">
        <f>HYPERLINK(AA2 &amp; "/pencil/sn_df1b84d9d15c89b690d903cb4fcdea47/rendering/12.obj", "0.864564239979")</f>
        <v>0.864564239979</v>
      </c>
      <c r="P2133" s="59" t="str">
        <f>HYPERLINK(AA2 &amp; "/pencil/sn_df1b84d9d15c89b690d903cb4fcdea47/rendering/13.obj", "1.0274348259")</f>
        <v>1.0274348259</v>
      </c>
      <c r="Q2133" s="94" t="str">
        <f>HYPERLINK(AA2 &amp; "/pencil/sn_df1b84d9d15c89b690d903cb4fcdea47/rendering/14.obj", "0.767691850662")</f>
        <v>0.767691850662</v>
      </c>
      <c r="R2133" s="10" t="str">
        <f>HYPERLINK(AA2 &amp; "/pencil/sn_df1b84d9d15c89b690d903cb4fcdea47/rendering/15.obj", "0.785025775433")</f>
        <v>0.785025775433</v>
      </c>
      <c r="S2133" s="48" t="str">
        <f>HYPERLINK(AA2 &amp; "/pencil/sn_df1b84d9d15c89b690d903cb4fcdea47/rendering/16.obj", "0.810689806938")</f>
        <v>0.810689806938</v>
      </c>
      <c r="T2133" s="30" t="str">
        <f>HYPERLINK(AA2 &amp; "/pencil/sn_df1b84d9d15c89b690d903cb4fcdea47/rendering/17.obj", "0.832640826702")</f>
        <v>0.832640826702</v>
      </c>
      <c r="U2133" s="26" t="str">
        <f>HYPERLINK(AA2 &amp; "/pencil/sn_df1b84d9d15c89b690d903cb4fcdea47/rendering/18.obj", "0.775146782398")</f>
        <v>0.775146782398</v>
      </c>
      <c r="V2133" s="73" t="str">
        <f>HYPERLINK(AA2 &amp; "/pencil/sn_df1b84d9d15c89b690d903cb4fcdea47/rendering/19.obj", "0.799068391323")</f>
        <v>0.799068391323</v>
      </c>
      <c r="W2133" s="12" t="s">
        <v>30</v>
      </c>
      <c r="X2133" s="13">
        <v>0.82953310310840611</v>
      </c>
      <c r="Y2133" s="13">
        <v>7.3911507201396998E-2</v>
      </c>
      <c r="Z2133" s="38">
        <v>8.9100129849475102E-2</v>
      </c>
    </row>
    <row r="2134" spans="1:26" x14ac:dyDescent="0.2">
      <c r="A2134" s="1">
        <v>2132</v>
      </c>
      <c r="B2134" s="2" t="s">
        <v>459</v>
      </c>
      <c r="C2134" s="25" t="str">
        <f>HYPERLINK(AB2 &amp; "/pencil/sn_df1b84d9d15c89b690d903cb4fcdea47/rendering/00.obj", "5.73065185547")</f>
        <v>5.73065185547</v>
      </c>
      <c r="D2134" s="74" t="str">
        <f>HYPERLINK(AB2 &amp; "/pencil/sn_df1b84d9d15c89b690d903cb4fcdea47/rendering/01.obj", "5.75408325195")</f>
        <v>5.75408325195</v>
      </c>
      <c r="E2134" s="30" t="str">
        <f>HYPERLINK(AB2 &amp; "/pencil/sn_df1b84d9d15c89b690d903cb4fcdea47/rendering/02.obj", "5.65270446777")</f>
        <v>5.65270446777</v>
      </c>
      <c r="F2134" s="48" t="str">
        <f>HYPERLINK(AB2 &amp; "/pencil/sn_df1b84d9d15c89b690d903cb4fcdea47/rendering/03.obj", "5.53143920898")</f>
        <v>5.53143920898</v>
      </c>
      <c r="G2134" s="46" t="str">
        <f>HYPERLINK(AB2 &amp; "/pencil/sn_df1b84d9d15c89b690d903cb4fcdea47/rendering/04.obj", "5.7678503418")</f>
        <v>5.7678503418</v>
      </c>
      <c r="H2134" s="46" t="str">
        <f>HYPERLINK(AB2 &amp; "/pencil/sn_df1b84d9d15c89b690d903cb4fcdea47/rendering/05.obj", "5.77681518555")</f>
        <v>5.77681518555</v>
      </c>
      <c r="I2134" s="46" t="str">
        <f>HYPERLINK(AB2 &amp; "/pencil/sn_df1b84d9d15c89b690d903cb4fcdea47/rendering/06.obj", "5.77091308594")</f>
        <v>5.77091308594</v>
      </c>
      <c r="J2134" s="74" t="str">
        <f>HYPERLINK(AB2 &amp; "/pencil/sn_df1b84d9d15c89b690d903cb4fcdea47/rendering/07.obj", "5.7572479248")</f>
        <v>5.7572479248</v>
      </c>
      <c r="K2134" s="17" t="str">
        <f>HYPERLINK(AB2 &amp; "/pencil/sn_df1b84d9d15c89b690d903cb4fcdea47/rendering/08.obj", "5.56261047363")</f>
        <v>5.56261047363</v>
      </c>
      <c r="L2134" s="13" t="str">
        <f>HYPERLINK(AB2 &amp; "/pencil/sn_df1b84d9d15c89b690d903cb4fcdea47/rendering/09.obj", "5.6589855957")</f>
        <v>5.6589855957</v>
      </c>
      <c r="M2134" s="30" t="str">
        <f>HYPERLINK(AB2 &amp; "/pencil/sn_df1b84d9d15c89b690d903cb4fcdea47/rendering/10.obj", "5.64917602539")</f>
        <v>5.64917602539</v>
      </c>
      <c r="N2134" s="25" t="str">
        <f>HYPERLINK(AB2 &amp; "/pencil/sn_df1b84d9d15c89b690d903cb4fcdea47/rendering/11.obj", "5.72790466309")</f>
        <v>5.72790466309</v>
      </c>
      <c r="O2134" s="23" t="str">
        <f>HYPERLINK(AB2 &amp; "/pencil/sn_df1b84d9d15c89b690d903cb4fcdea47/rendering/12.obj", "5.45298706055")</f>
        <v>5.45298706055</v>
      </c>
      <c r="P2134" s="69" t="str">
        <f>HYPERLINK(AB2 &amp; "/pencil/sn_df1b84d9d15c89b690d903cb4fcdea47/rendering/13.obj", "5.50557495117")</f>
        <v>5.50557495117</v>
      </c>
      <c r="Q2134" s="25" t="str">
        <f>HYPERLINK(AB2 &amp; "/pencil/sn_df1b84d9d15c89b690d903cb4fcdea47/rendering/14.obj", "5.728359375")</f>
        <v>5.728359375</v>
      </c>
      <c r="R2134" s="74" t="str">
        <f>HYPERLINK(AB2 &amp; "/pencil/sn_df1b84d9d15c89b690d903cb4fcdea47/rendering/15.obj", "5.75610595703")</f>
        <v>5.75610595703</v>
      </c>
      <c r="S2134" s="74" t="str">
        <f>HYPERLINK(AB2 &amp; "/pencil/sn_df1b84d9d15c89b690d903cb4fcdea47/rendering/16.obj", "5.75325683594")</f>
        <v>5.75325683594</v>
      </c>
      <c r="T2134" s="48" t="str">
        <f>HYPERLINK(AB2 &amp; "/pencil/sn_df1b84d9d15c89b690d903cb4fcdea47/rendering/17.obj", "5.79997436523")</f>
        <v>5.79997436523</v>
      </c>
      <c r="U2134" s="35" t="str">
        <f>HYPERLINK(AB2 &amp; "/pencil/sn_df1b84d9d15c89b690d903cb4fcdea47/rendering/18.obj", "5.34810241699")</f>
        <v>5.34810241699</v>
      </c>
      <c r="V2134" s="74" t="str">
        <f>HYPERLINK(AB2 &amp; "/pencil/sn_df1b84d9d15c89b690d903cb4fcdea47/rendering/19.obj", "5.75775817871")</f>
        <v>5.75775817871</v>
      </c>
      <c r="W2134" s="12" t="s">
        <v>31</v>
      </c>
      <c r="X2134" s="13">
        <v>5.6721250610351577</v>
      </c>
      <c r="Y2134" s="13">
        <v>0.12338388156870039</v>
      </c>
      <c r="Z2134" s="17">
        <v>2.1752672982528171E-2</v>
      </c>
    </row>
    <row r="2135" spans="1:26" x14ac:dyDescent="0.2">
      <c r="A2135" s="1">
        <v>2133</v>
      </c>
      <c r="B2135" s="2" t="s">
        <v>459</v>
      </c>
      <c r="C2135" s="35" t="str">
        <f>HYPERLINK(AB2 &amp; "/pencil/sn_df1b84d9d15c89b690d903cb4fcdea47/rendering/00.obj", "1.19652271271")</f>
        <v>1.19652271271</v>
      </c>
      <c r="D2135" s="28" t="str">
        <f>HYPERLINK(AB2 &amp; "/pencil/sn_df1b84d9d15c89b690d903cb4fcdea47/rendering/01.obj", "1.00572657585")</f>
        <v>1.00572657585</v>
      </c>
      <c r="E2135" s="47" t="str">
        <f>HYPERLINK(AB2 &amp; "/pencil/sn_df1b84d9d15c89b690d903cb4fcdea47/rendering/02.obj", "1.1211360693")</f>
        <v>1.1211360693</v>
      </c>
      <c r="F2135" s="72" t="str">
        <f>HYPERLINK(AB2 &amp; "/pencil/sn_df1b84d9d15c89b690d903cb4fcdea47/rendering/03.obj", "1.0937577486")</f>
        <v>1.0937577486</v>
      </c>
      <c r="G2135" s="34" t="str">
        <f>HYPERLINK(AB2 &amp; "/pencil/sn_df1b84d9d15c89b690d903cb4fcdea47/rendering/04.obj", "1.07477724552")</f>
        <v>1.07477724552</v>
      </c>
      <c r="H2135" s="51" t="str">
        <f>HYPERLINK(AB2 &amp; "/pencil/sn_df1b84d9d15c89b690d903cb4fcdea47/rendering/05.obj", "1.2214140892")</f>
        <v>1.2214140892</v>
      </c>
      <c r="I2135" s="92" t="str">
        <f>HYPERLINK(AB2 &amp; "/pencil/sn_df1b84d9d15c89b690d903cb4fcdea47/rendering/06.obj", "0.990571022034")</f>
        <v>0.990571022034</v>
      </c>
      <c r="J2135" s="67" t="str">
        <f>HYPERLINK(AB2 &amp; "/pencil/sn_df1b84d9d15c89b690d903cb4fcdea47/rendering/07.obj", "1.23598432541")</f>
        <v>1.23598432541</v>
      </c>
      <c r="K2135" s="25" t="str">
        <f>HYPERLINK(AB2 &amp; "/pencil/sn_df1b84d9d15c89b690d903cb4fcdea47/rendering/08.obj", "1.12024104595")</f>
        <v>1.12024104595</v>
      </c>
      <c r="L2135" s="33" t="str">
        <f>HYPERLINK(AB2 &amp; "/pencil/sn_df1b84d9d15c89b690d903cb4fcdea47/rendering/09.obj", "1.25154566765")</f>
        <v>1.25154566765</v>
      </c>
      <c r="M2135" s="51" t="str">
        <f>HYPERLINK(AB2 &amp; "/pencil/sn_df1b84d9d15c89b690d903cb4fcdea47/rendering/10.obj", "1.03958964348")</f>
        <v>1.03958964348</v>
      </c>
      <c r="N2135" s="23" t="str">
        <f>HYPERLINK(AB2 &amp; "/pencil/sn_df1b84d9d15c89b690d903cb4fcdea47/rendering/11.obj", "1.08632183075")</f>
        <v>1.08632183075</v>
      </c>
      <c r="O2135" s="39" t="str">
        <f>HYPERLINK(AB2 &amp; "/pencil/sn_df1b84d9d15c89b690d903cb4fcdea47/rendering/12.obj", "1.03373932838")</f>
        <v>1.03373932838</v>
      </c>
      <c r="P2135" s="25" t="str">
        <f>HYPERLINK(AB2 &amp; "/pencil/sn_df1b84d9d15c89b690d903cb4fcdea47/rendering/13.obj", "1.11756706238")</f>
        <v>1.11756706238</v>
      </c>
      <c r="Q2135" s="35" t="str">
        <f>HYPERLINK(AB2 &amp; "/pencil/sn_df1b84d9d15c89b690d903cb4fcdea47/rendering/14.obj", "1.06682217121")</f>
        <v>1.06682217121</v>
      </c>
      <c r="R2135" s="73" t="str">
        <f>HYPERLINK(AB2 &amp; "/pencil/sn_df1b84d9d15c89b690d903cb4fcdea47/rendering/15.obj", "1.17255735397")</f>
        <v>1.17255735397</v>
      </c>
      <c r="S2135" s="5" t="str">
        <f>HYPERLINK(AB2 &amp; "/pencil/sn_df1b84d9d15c89b690d903cb4fcdea47/rendering/16.obj", "1.21649491787")</f>
        <v>1.21649491787</v>
      </c>
      <c r="T2135" s="89" t="str">
        <f>HYPERLINK(AB2 &amp; "/pencil/sn_df1b84d9d15c89b690d903cb4fcdea47/rendering/17.obj", "1.42492473125")</f>
        <v>1.42492473125</v>
      </c>
      <c r="U2135" s="75" t="str">
        <f>HYPERLINK(AB2 &amp; "/pencil/sn_df1b84d9d15c89b690d903cb4fcdea47/rendering/18.obj", "0.881308794022")</f>
        <v>0.881308794022</v>
      </c>
      <c r="V2135" s="63" t="str">
        <f>HYPERLINK(AB2 &amp; "/pencil/sn_df1b84d9d15c89b690d903cb4fcdea47/rendering/19.obj", "1.26690280437")</f>
        <v>1.26690280437</v>
      </c>
      <c r="W2135" s="12" t="s">
        <v>32</v>
      </c>
      <c r="X2135" s="13">
        <v>1.130895256996155</v>
      </c>
      <c r="Y2135" s="13">
        <v>0.118014771440325</v>
      </c>
      <c r="Z2135" s="32">
        <v>0.1043551741067443</v>
      </c>
    </row>
    <row r="2136" spans="1:26" x14ac:dyDescent="0.2">
      <c r="A2136" s="1">
        <v>2134</v>
      </c>
      <c r="B2136" s="2" t="s">
        <v>459</v>
      </c>
      <c r="C2136" s="13" t="str">
        <f>HYPERLINK(AC2 &amp; "/pencil/sn_df1b84d9d15c89b690d903cb4fcdea47/rendering/00.xyz", "0.0")</f>
        <v>0.0</v>
      </c>
      <c r="D2136" s="13" t="str">
        <f>HYPERLINK(AC2 &amp; "/pencil/sn_df1b84d9d15c89b690d903cb4fcdea47/rendering/01.xyz", "0.0")</f>
        <v>0.0</v>
      </c>
      <c r="E2136" s="13" t="str">
        <f>HYPERLINK(AC2 &amp; "/pencil/sn_df1b84d9d15c89b690d903cb4fcdea47/rendering/02.xyz", "0.0")</f>
        <v>0.0</v>
      </c>
      <c r="F2136" s="13" t="str">
        <f>HYPERLINK(AC2 &amp; "/pencil/sn_df1b84d9d15c89b690d903cb4fcdea47/rendering/03.xyz", "0.0")</f>
        <v>0.0</v>
      </c>
      <c r="G2136" s="13" t="str">
        <f>HYPERLINK(AC2 &amp; "/pencil/sn_df1b84d9d15c89b690d903cb4fcdea47/rendering/04.xyz", "0.0")</f>
        <v>0.0</v>
      </c>
      <c r="H2136" s="13" t="str">
        <f>HYPERLINK(AC2 &amp; "/pencil/sn_df1b84d9d15c89b690d903cb4fcdea47/rendering/05.xyz", "0.0")</f>
        <v>0.0</v>
      </c>
      <c r="I2136" s="13" t="str">
        <f>HYPERLINK(AC2 &amp; "/pencil/sn_df1b84d9d15c89b690d903cb4fcdea47/rendering/06.xyz", "0.0")</f>
        <v>0.0</v>
      </c>
      <c r="J2136" s="13" t="str">
        <f>HYPERLINK(AC2 &amp; "/pencil/sn_df1b84d9d15c89b690d903cb4fcdea47/rendering/07.xyz", "0.0")</f>
        <v>0.0</v>
      </c>
      <c r="K2136" s="13" t="str">
        <f>HYPERLINK(AC2 &amp; "/pencil/sn_df1b84d9d15c89b690d903cb4fcdea47/rendering/08.xyz", "0.0")</f>
        <v>0.0</v>
      </c>
      <c r="L2136" s="13" t="str">
        <f>HYPERLINK(AC2 &amp; "/pencil/sn_df1b84d9d15c89b690d903cb4fcdea47/rendering/09.xyz", "0.0")</f>
        <v>0.0</v>
      </c>
      <c r="M2136" s="13" t="str">
        <f>HYPERLINK(AC2 &amp; "/pencil/sn_df1b84d9d15c89b690d903cb4fcdea47/rendering/10.xyz", "0.0")</f>
        <v>0.0</v>
      </c>
      <c r="N2136" s="13" t="str">
        <f>HYPERLINK(AC2 &amp; "/pencil/sn_df1b84d9d15c89b690d903cb4fcdea47/rendering/11.xyz", "0.0")</f>
        <v>0.0</v>
      </c>
      <c r="O2136" s="13" t="str">
        <f>HYPERLINK(AC2 &amp; "/pencil/sn_df1b84d9d15c89b690d903cb4fcdea47/rendering/12.xyz", "0.0")</f>
        <v>0.0</v>
      </c>
      <c r="P2136" s="13" t="str">
        <f>HYPERLINK(AC2 &amp; "/pencil/sn_df1b84d9d15c89b690d903cb4fcdea47/rendering/13.xyz", "0.0")</f>
        <v>0.0</v>
      </c>
      <c r="Q2136" s="13" t="str">
        <f>HYPERLINK(AC2 &amp; "/pencil/sn_df1b84d9d15c89b690d903cb4fcdea47/rendering/14.xyz", "0.0")</f>
        <v>0.0</v>
      </c>
      <c r="R2136" s="13" t="str">
        <f>HYPERLINK(AC2 &amp; "/pencil/sn_df1b84d9d15c89b690d903cb4fcdea47/rendering/15.xyz", "0.0")</f>
        <v>0.0</v>
      </c>
      <c r="S2136" s="13" t="str">
        <f>HYPERLINK(AC2 &amp; "/pencil/sn_df1b84d9d15c89b690d903cb4fcdea47/rendering/16.xyz", "0.0")</f>
        <v>0.0</v>
      </c>
      <c r="T2136" s="13" t="str">
        <f>HYPERLINK(AC2 &amp; "/pencil/sn_df1b84d9d15c89b690d903cb4fcdea47/rendering/17.xyz", "0.0")</f>
        <v>0.0</v>
      </c>
      <c r="U2136" s="13" t="str">
        <f>HYPERLINK(AC2 &amp; "/pencil/sn_df1b84d9d15c89b690d903cb4fcdea47/rendering/18.xyz", "0.0")</f>
        <v>0.0</v>
      </c>
      <c r="V2136" s="13" t="str">
        <f>HYPERLINK(AC2 &amp; "/pencil/sn_df1b84d9d15c89b690d903cb4fcdea47/rendering/19.xyz", "0.0")</f>
        <v>0.0</v>
      </c>
      <c r="W2136" s="12" t="s">
        <v>33</v>
      </c>
      <c r="X2136" s="13">
        <v>0</v>
      </c>
      <c r="Y2136" s="13">
        <v>0</v>
      </c>
      <c r="Z2136" s="13">
        <v>0</v>
      </c>
    </row>
    <row r="2137" spans="1:26" x14ac:dyDescent="0.2">
      <c r="A2137" s="1">
        <v>2135</v>
      </c>
      <c r="B2137" s="2" t="s">
        <v>460</v>
      </c>
      <c r="C2137" s="108" t="str">
        <f>HYPERLINK(AA2 &amp; "/pencil/sn_df3dad3be54e23d4823708c0b62ca422/rendering/00.obj", "2.98680664063")</f>
        <v>2.98680664063</v>
      </c>
      <c r="D2137" s="118" t="str">
        <f>HYPERLINK(AA2 &amp; "/pencil/sn_df3dad3be54e23d4823708c0b62ca422/rendering/01.obj", "2.79885131836")</f>
        <v>2.79885131836</v>
      </c>
      <c r="E2137" s="69" t="str">
        <f>HYPERLINK(AA2 &amp; "/pencil/sn_df3dad3be54e23d4823708c0b62ca422/rendering/02.obj", "3.84461425781")</f>
        <v>3.84461425781</v>
      </c>
      <c r="F2137" s="108" t="str">
        <f>HYPERLINK(AA2 &amp; "/pencil/sn_df3dad3be54e23d4823708c0b62ca422/rendering/03.obj", "2.98063079834")</f>
        <v>2.98063079834</v>
      </c>
      <c r="G2137" s="29" t="str">
        <f>HYPERLINK(AA2 &amp; "/pencil/sn_df3dad3be54e23d4823708c0b62ca422/rendering/04.obj", "3.44459289551")</f>
        <v>3.44459289551</v>
      </c>
      <c r="H2137" s="67" t="str">
        <f>HYPERLINK(AA2 &amp; "/pencil/sn_df3dad3be54e23d4823708c0b62ca422/rendering/05.obj", "3.60055786133")</f>
        <v>3.60055786133</v>
      </c>
      <c r="I2137" s="109" t="str">
        <f>HYPERLINK(AA2 &amp; "/pencil/sn_df3dad3be54e23d4823708c0b62ca422/rendering/06.obj", "4.71965484619")</f>
        <v>4.71965484619</v>
      </c>
      <c r="J2137" s="120" t="str">
        <f>HYPERLINK(AA2 &amp; "/pencil/sn_df3dad3be54e23d4823708c0b62ca422/rendering/07.obj", "3.12128997803")</f>
        <v>3.12128997803</v>
      </c>
      <c r="K2137" s="20" t="str">
        <f>HYPERLINK(AA2 &amp; "/pencil/sn_df3dad3be54e23d4823708c0b62ca422/rendering/08.obj", "15.0238183594")</f>
        <v>15.0238183594</v>
      </c>
      <c r="L2137" s="19" t="str">
        <f>HYPERLINK(AA2 &amp; "/pencil/sn_df3dad3be54e23d4823708c0b62ca422/rendering/09.obj", "4.99526428223")</f>
        <v>4.99526428223</v>
      </c>
      <c r="M2137" s="31" t="str">
        <f>HYPERLINK(AA2 &amp; "/pencil/sn_df3dad3be54e23d4823708c0b62ca422/rendering/10.obj", "4.58040527344")</f>
        <v>4.58040527344</v>
      </c>
      <c r="N2137" s="134" t="str">
        <f>HYPERLINK(AA2 &amp; "/pencil/sn_df3dad3be54e23d4823708c0b62ca422/rendering/11.obj", "3.24395294189")</f>
        <v>3.24395294189</v>
      </c>
      <c r="O2137" s="108" t="str">
        <f>HYPERLINK(AA2 &amp; "/pencil/sn_df3dad3be54e23d4823708c0b62ca422/rendering/12.obj", "2.98855285645")</f>
        <v>2.98855285645</v>
      </c>
      <c r="P2137" s="118" t="str">
        <f>HYPERLINK(AA2 &amp; "/pencil/sn_df3dad3be54e23d4823708c0b62ca422/rendering/13.obj", "2.7979486084")</f>
        <v>2.7979486084</v>
      </c>
      <c r="Q2137" s="142" t="str">
        <f>HYPERLINK(AA2 &amp; "/pencil/sn_df3dad3be54e23d4823708c0b62ca422/rendering/14.obj", "2.40440658569")</f>
        <v>2.40440658569</v>
      </c>
      <c r="R2137" s="80" t="str">
        <f>HYPERLINK(AA2 &amp; "/pencil/sn_df3dad3be54e23d4823708c0b62ca422/rendering/15.obj", "3.37626831055")</f>
        <v>3.37626831055</v>
      </c>
      <c r="S2137" s="86" t="str">
        <f>HYPERLINK(AA2 &amp; "/pencil/sn_df3dad3be54e23d4823708c0b62ca422/rendering/16.obj", "2.90008605957")</f>
        <v>2.90008605957</v>
      </c>
      <c r="T2137" s="76" t="str">
        <f>HYPERLINK(AA2 &amp; "/pencil/sn_df3dad3be54e23d4823708c0b62ca422/rendering/17.obj", "3.23462524414")</f>
        <v>3.23462524414</v>
      </c>
      <c r="U2137" s="169" t="str">
        <f>HYPERLINK(AA2 &amp; "/pencil/sn_df3dad3be54e23d4823708c0b62ca422/rendering/18.obj", "2.72356628418")</f>
        <v>2.72356628418</v>
      </c>
      <c r="V2137" s="63" t="str">
        <f>HYPERLINK(AA2 &amp; "/pencil/sn_df3dad3be54e23d4823708c0b62ca422/rendering/19.obj", "3.48214599609")</f>
        <v>3.48214599609</v>
      </c>
      <c r="W2137" s="12" t="s">
        <v>29</v>
      </c>
      <c r="X2137" s="13">
        <v>3.962401969909668</v>
      </c>
      <c r="Y2137" s="13">
        <v>2.6247090081701621</v>
      </c>
      <c r="Z2137" s="45">
        <v>0.66240351890143989</v>
      </c>
    </row>
    <row r="2138" spans="1:26" x14ac:dyDescent="0.2">
      <c r="A2138" s="1">
        <v>2136</v>
      </c>
      <c r="B2138" s="2" t="s">
        <v>460</v>
      </c>
      <c r="C2138" s="223" t="str">
        <f>HYPERLINK(AA2 &amp; "/pencil/sn_df3dad3be54e23d4823708c0b62ca422/rendering/00.obj", "1.25198066235")</f>
        <v>1.25198066235</v>
      </c>
      <c r="D2138" s="18" t="str">
        <f>HYPERLINK(AA2 &amp; "/pencil/sn_df3dad3be54e23d4823708c0b62ca422/rendering/01.obj", "1.19674789906")</f>
        <v>1.19674789906</v>
      </c>
      <c r="E2138" s="168" t="str">
        <f>HYPERLINK(AA2 &amp; "/pencil/sn_df3dad3be54e23d4823708c0b62ca422/rendering/02.obj", "1.92786502838")</f>
        <v>1.92786502838</v>
      </c>
      <c r="F2138" s="126" t="str">
        <f>HYPERLINK(AA2 &amp; "/pencil/sn_df3dad3be54e23d4823708c0b62ca422/rendering/03.obj", "1.42195785046")</f>
        <v>1.42195785046</v>
      </c>
      <c r="G2138" s="176" t="str">
        <f>HYPERLINK(AA2 &amp; "/pencil/sn_df3dad3be54e23d4823708c0b62ca422/rendering/04.obj", "1.94068527222")</f>
        <v>1.94068527222</v>
      </c>
      <c r="H2138" s="169" t="str">
        <f>HYPERLINK(AA2 &amp; "/pencil/sn_df3dad3be54e23d4823708c0b62ca422/rendering/05.obj", "1.96074926853")</f>
        <v>1.96074926853</v>
      </c>
      <c r="I2138" s="48" t="str">
        <f>HYPERLINK(AA2 &amp; "/pencil/sn_df3dad3be54e23d4823708c0b62ca422/rendering/06.obj", "2.9121940136")</f>
        <v>2.9121940136</v>
      </c>
      <c r="J2138" s="231" t="str">
        <f>HYPERLINK(AA2 &amp; "/pencil/sn_df3dad3be54e23d4823708c0b62ca422/rendering/07.obj", "1.20633077621")</f>
        <v>1.20633077621</v>
      </c>
      <c r="K2138" s="20" t="str">
        <f>HYPERLINK(AA2 &amp; "/pencil/sn_df3dad3be54e23d4823708c0b62ca422/rendering/08.obj", "23.3260211945")</f>
        <v>23.3260211945</v>
      </c>
      <c r="L2138" s="14" t="str">
        <f>HYPERLINK(AA2 &amp; "/pencil/sn_df3dad3be54e23d4823708c0b62ca422/rendering/09.obj", "3.66858434677")</f>
        <v>3.66858434677</v>
      </c>
      <c r="M2138" s="40" t="str">
        <f>HYPERLINK(AA2 &amp; "/pencil/sn_df3dad3be54e23d4823708c0b62ca422/rendering/10.obj", "3.33396935463")</f>
        <v>3.33396935463</v>
      </c>
      <c r="N2138" s="81" t="str">
        <f>HYPERLINK(AA2 &amp; "/pencil/sn_df3dad3be54e23d4823708c0b62ca422/rendering/11.obj", "2.22325897217")</f>
        <v>2.22325897217</v>
      </c>
      <c r="O2138" s="226" t="str">
        <f>HYPERLINK(AA2 &amp; "/pencil/sn_df3dad3be54e23d4823708c0b62ca422/rendering/12.obj", "1.24290454388")</f>
        <v>1.24290454388</v>
      </c>
      <c r="P2138" s="244" t="str">
        <f>HYPERLINK(AA2 &amp; "/pencil/sn_df3dad3be54e23d4823708c0b62ca422/rendering/13.obj", "1.09972286224")</f>
        <v>1.09972286224</v>
      </c>
      <c r="Q2138" s="167" t="str">
        <f>HYPERLINK(AA2 &amp; "/pencil/sn_df3dad3be54e23d4823708c0b62ca422/rendering/14.obj", "1.12496960163")</f>
        <v>1.12496960163</v>
      </c>
      <c r="R2138" s="227" t="str">
        <f>HYPERLINK(AA2 &amp; "/pencil/sn_df3dad3be54e23d4823708c0b62ca422/rendering/15.obj", "1.39769160748")</f>
        <v>1.39769160748</v>
      </c>
      <c r="S2138" s="158" t="str">
        <f>HYPERLINK(AA2 &amp; "/pencil/sn_df3dad3be54e23d4823708c0b62ca422/rendering/16.obj", "1.68240189552")</f>
        <v>1.68240189552</v>
      </c>
      <c r="T2138" s="195" t="str">
        <f>HYPERLINK(AA2 &amp; "/pencil/sn_df3dad3be54e23d4823708c0b62ca422/rendering/17.obj", "1.28313302994")</f>
        <v>1.28313302994</v>
      </c>
      <c r="U2138" s="195" t="str">
        <f>HYPERLINK(AA2 &amp; "/pencil/sn_df3dad3be54e23d4823708c0b62ca422/rendering/18.obj", "1.28765392303")</f>
        <v>1.28765392303</v>
      </c>
      <c r="V2138" s="144" t="str">
        <f>HYPERLINK(AA2 &amp; "/pencil/sn_df3dad3be54e23d4823708c0b62ca422/rendering/19.obj", "1.41401159763")</f>
        <v>1.41401159763</v>
      </c>
      <c r="W2138" s="12" t="s">
        <v>30</v>
      </c>
      <c r="X2138" s="13">
        <v>2.8451416850090032</v>
      </c>
      <c r="Y2138" s="13">
        <v>4.7545571088366154</v>
      </c>
      <c r="Z2138" s="20">
        <v>1.671114353948798</v>
      </c>
    </row>
    <row r="2139" spans="1:26" x14ac:dyDescent="0.2">
      <c r="A2139" s="1">
        <v>2137</v>
      </c>
      <c r="B2139" s="2" t="s">
        <v>460</v>
      </c>
      <c r="C2139" s="27" t="str">
        <f>HYPERLINK(AB2 &amp; "/pencil/sn_df3dad3be54e23d4823708c0b62ca422/rendering/00.obj", "2.7406036377")</f>
        <v>2.7406036377</v>
      </c>
      <c r="D2139" s="6" t="str">
        <f>HYPERLINK(AB2 &amp; "/pencil/sn_df3dad3be54e23d4823708c0b62ca422/rendering/01.obj", "3.07819519043")</f>
        <v>3.07819519043</v>
      </c>
      <c r="E2139" s="90" t="str">
        <f>HYPERLINK(AB2 &amp; "/pencil/sn_df3dad3be54e23d4823708c0b62ca422/rendering/02.obj", "2.66147857666")</f>
        <v>2.66147857666</v>
      </c>
      <c r="F2139" s="46" t="str">
        <f>HYPERLINK(AB2 &amp; "/pencil/sn_df3dad3be54e23d4823708c0b62ca422/rendering/03.obj", "2.89274108887")</f>
        <v>2.89274108887</v>
      </c>
      <c r="G2139" s="107" t="str">
        <f>HYPERLINK(AB2 &amp; "/pencil/sn_df3dad3be54e23d4823708c0b62ca422/rendering/04.obj", "2.69890350342")</f>
        <v>2.69890350342</v>
      </c>
      <c r="H2139" s="106" t="str">
        <f>HYPERLINK(AB2 &amp; "/pencil/sn_df3dad3be54e23d4823708c0b62ca422/rendering/05.obj", "3.28223083496")</f>
        <v>3.28223083496</v>
      </c>
      <c r="I2139" s="72" t="str">
        <f>HYPERLINK(AB2 &amp; "/pencil/sn_df3dad3be54e23d4823708c0b62ca422/rendering/06.obj", "2.84446899414")</f>
        <v>2.84446899414</v>
      </c>
      <c r="J2139" s="10" t="str">
        <f>HYPERLINK(AB2 &amp; "/pencil/sn_df3dad3be54e23d4823708c0b62ca422/rendering/07.obj", "2.7863494873")</f>
        <v>2.7863494873</v>
      </c>
      <c r="K2139" s="65" t="str">
        <f>HYPERLINK(AB2 &amp; "/pencil/sn_df3dad3be54e23d4823708c0b62ca422/rendering/08.obj", "3.34307647705")</f>
        <v>3.34307647705</v>
      </c>
      <c r="L2139" s="60" t="str">
        <f>HYPERLINK(AB2 &amp; "/pencil/sn_df3dad3be54e23d4823708c0b62ca422/rendering/09.obj", "3.09646148682")</f>
        <v>3.09646148682</v>
      </c>
      <c r="M2139" s="34" t="str">
        <f>HYPERLINK(AB2 &amp; "/pencil/sn_df3dad3be54e23d4823708c0b62ca422/rendering/10.obj", "3.09307861328")</f>
        <v>3.09307861328</v>
      </c>
      <c r="N2139" s="39" t="str">
        <f>HYPERLINK(AB2 &amp; "/pencil/sn_df3dad3be54e23d4823708c0b62ca422/rendering/11.obj", "3.20128173828")</f>
        <v>3.20128173828</v>
      </c>
      <c r="O2139" s="91" t="str">
        <f>HYPERLINK(AB2 &amp; "/pencil/sn_df3dad3be54e23d4823708c0b62ca422/rendering/12.obj", "2.87190307617")</f>
        <v>2.87190307617</v>
      </c>
      <c r="P2139" s="91" t="str">
        <f>HYPERLINK(AB2 &amp; "/pencil/sn_df3dad3be54e23d4823708c0b62ca422/rendering/13.obj", "3.02500366211")</f>
        <v>3.02500366211</v>
      </c>
      <c r="Q2139" s="68" t="str">
        <f>HYPERLINK(AB2 &amp; "/pencil/sn_df3dad3be54e23d4823708c0b62ca422/rendering/14.obj", "2.81790679932")</f>
        <v>2.81790679932</v>
      </c>
      <c r="R2139" s="23" t="str">
        <f>HYPERLINK(AB2 &amp; "/pencil/sn_df3dad3be54e23d4823708c0b62ca422/rendering/15.obj", "2.83297546387")</f>
        <v>2.83297546387</v>
      </c>
      <c r="S2139" s="94" t="str">
        <f>HYPERLINK(AB2 &amp; "/pencil/sn_df3dad3be54e23d4823708c0b62ca422/rendering/16.obj", "2.73197418213")</f>
        <v>2.73197418213</v>
      </c>
      <c r="T2139" s="110" t="str">
        <f>HYPERLINK(AB2 &amp; "/pencil/sn_df3dad3be54e23d4823708c0b62ca422/rendering/17.obj", "3.23960021973")</f>
        <v>3.23960021973</v>
      </c>
      <c r="U2139" s="107" t="str">
        <f>HYPERLINK(AB2 &amp; "/pencil/sn_df3dad3be54e23d4823708c0b62ca422/rendering/18.obj", "2.70006134033")</f>
        <v>2.70006134033</v>
      </c>
      <c r="V2139" s="25" t="str">
        <f>HYPERLINK(AB2 &amp; "/pencil/sn_df3dad3be54e23d4823708c0b62ca422/rendering/19.obj", "2.98016601563")</f>
        <v>2.98016601563</v>
      </c>
      <c r="W2139" s="12" t="s">
        <v>31</v>
      </c>
      <c r="X2139" s="13">
        <v>2.9459230194091801</v>
      </c>
      <c r="Y2139" s="13">
        <v>0.2067657673669237</v>
      </c>
      <c r="Z2139" s="27">
        <v>7.0187091110205449E-2</v>
      </c>
    </row>
    <row r="2140" spans="1:26" x14ac:dyDescent="0.2">
      <c r="A2140" s="1">
        <v>2138</v>
      </c>
      <c r="B2140" s="2" t="s">
        <v>460</v>
      </c>
      <c r="C2140" s="17" t="str">
        <f>HYPERLINK(AB2 &amp; "/pencil/sn_df3dad3be54e23d4823708c0b62ca422/rendering/00.obj", "1.35893857479")</f>
        <v>1.35893857479</v>
      </c>
      <c r="D2140" s="26" t="str">
        <f>HYPERLINK(AB2 &amp; "/pencil/sn_df3dad3be54e23d4823708c0b62ca422/rendering/01.obj", "1.24574685097")</f>
        <v>1.24574685097</v>
      </c>
      <c r="E2140" s="77" t="str">
        <f>HYPERLINK(AB2 &amp; "/pencil/sn_df3dad3be54e23d4823708c0b62ca422/rendering/02.obj", "1.578535676")</f>
        <v>1.578535676</v>
      </c>
      <c r="F2140" s="91" t="str">
        <f>HYPERLINK(AB2 &amp; "/pencil/sn_df3dad3be54e23d4823708c0b62ca422/rendering/03.obj", "1.36409425735")</f>
        <v>1.36409425735</v>
      </c>
      <c r="G2140" s="5" t="str">
        <f>HYPERLINK(AB2 &amp; "/pencil/sn_df3dad3be54e23d4823708c0b62ca422/rendering/04.obj", "1.22978365421")</f>
        <v>1.22978365421</v>
      </c>
      <c r="H2140" s="134" t="str">
        <f>HYPERLINK(AB2 &amp; "/pencil/sn_df3dad3be54e23d4823708c0b62ca422/rendering/05.obj", "1.5691986084")</f>
        <v>1.5691986084</v>
      </c>
      <c r="I2140" s="32" t="str">
        <f>HYPERLINK(AB2 &amp; "/pencil/sn_df3dad3be54e23d4823708c0b62ca422/rendering/06.obj", "1.47080898285")</f>
        <v>1.47080898285</v>
      </c>
      <c r="J2140" s="63" t="str">
        <f>HYPERLINK(AB2 &amp; "/pencil/sn_df3dad3be54e23d4823708c0b62ca422/rendering/07.obj", "1.16947817802")</f>
        <v>1.16947817802</v>
      </c>
      <c r="K2140" s="6" t="str">
        <f>HYPERLINK(AB2 &amp; "/pencil/sn_df3dad3be54e23d4823708c0b62ca422/rendering/08.obj", "1.38859927654")</f>
        <v>1.38859927654</v>
      </c>
      <c r="L2140" s="26" t="str">
        <f>HYPERLINK(AB2 &amp; "/pencil/sn_df3dad3be54e23d4823708c0b62ca422/rendering/09.obj", "1.24528455734")</f>
        <v>1.24528455734</v>
      </c>
      <c r="M2140" s="129" t="str">
        <f>HYPERLINK(AB2 &amp; "/pencil/sn_df3dad3be54e23d4823708c0b62ca422/rendering/10.obj", "1.6616859436")</f>
        <v>1.6616859436</v>
      </c>
      <c r="N2140" s="91" t="str">
        <f>HYPERLINK(AB2 &amp; "/pencil/sn_df3dad3be54e23d4823708c0b62ca422/rendering/11.obj", "1.29312801361")</f>
        <v>1.29312801361</v>
      </c>
      <c r="O2140" s="13" t="str">
        <f>HYPERLINK(AB2 &amp; "/pencil/sn_df3dad3be54e23d4823708c0b62ca422/rendering/12.obj", "1.32628321648")</f>
        <v>1.32628321648</v>
      </c>
      <c r="P2140" s="30" t="str">
        <f>HYPERLINK(AB2 &amp; "/pencil/sn_df3dad3be54e23d4823708c0b62ca422/rendering/13.obj", "1.32257938385")</f>
        <v>1.32257938385</v>
      </c>
      <c r="Q2140" s="79" t="str">
        <f>HYPERLINK(AB2 &amp; "/pencil/sn_df3dad3be54e23d4823708c0b62ca422/rendering/14.obj", "1.11795783043")</f>
        <v>1.11795783043</v>
      </c>
      <c r="R2140" s="46" t="str">
        <f>HYPERLINK(AB2 &amp; "/pencil/sn_df3dad3be54e23d4823708c0b62ca422/rendering/15.obj", "1.30496370792")</f>
        <v>1.30496370792</v>
      </c>
      <c r="S2140" s="64" t="str">
        <f>HYPERLINK(AB2 &amp; "/pencil/sn_df3dad3be54e23d4823708c0b62ca422/rendering/16.obj", "1.11177790165")</f>
        <v>1.11177790165</v>
      </c>
      <c r="T2140" s="78" t="str">
        <f>HYPERLINK(AB2 &amp; "/pencil/sn_df3dad3be54e23d4823708c0b62ca422/rendering/17.obj", "1.25022983551")</f>
        <v>1.25022983551</v>
      </c>
      <c r="U2140" s="134" t="str">
        <f>HYPERLINK(AB2 &amp; "/pencil/sn_df3dad3be54e23d4823708c0b62ca422/rendering/18.obj", "1.09103131294")</f>
        <v>1.09103131294</v>
      </c>
      <c r="V2140" s="70" t="str">
        <f>HYPERLINK(AB2 &amp; "/pencil/sn_df3dad3be54e23d4823708c0b62ca422/rendering/19.obj", "1.49837982655")</f>
        <v>1.49837982655</v>
      </c>
      <c r="W2140" s="12" t="s">
        <v>32</v>
      </c>
      <c r="X2140" s="13">
        <v>1.3299242794513699</v>
      </c>
      <c r="Y2140" s="13">
        <v>0.15665364115617009</v>
      </c>
      <c r="Z2140" s="71">
        <v>0.1177913987860978</v>
      </c>
    </row>
    <row r="2141" spans="1:26" x14ac:dyDescent="0.2">
      <c r="A2141" s="1">
        <v>2139</v>
      </c>
      <c r="B2141" s="2" t="s">
        <v>460</v>
      </c>
      <c r="C2141" s="13" t="str">
        <f>HYPERLINK(AC2 &amp; "/pencil/sn_df3dad3be54e23d4823708c0b62ca422/rendering/00.xyz", "0.0")</f>
        <v>0.0</v>
      </c>
      <c r="D2141" s="13" t="str">
        <f>HYPERLINK(AC2 &amp; "/pencil/sn_df3dad3be54e23d4823708c0b62ca422/rendering/01.xyz", "0.0")</f>
        <v>0.0</v>
      </c>
      <c r="E2141" s="13" t="str">
        <f>HYPERLINK(AC2 &amp; "/pencil/sn_df3dad3be54e23d4823708c0b62ca422/rendering/02.xyz", "0.0")</f>
        <v>0.0</v>
      </c>
      <c r="F2141" s="13" t="str">
        <f>HYPERLINK(AC2 &amp; "/pencil/sn_df3dad3be54e23d4823708c0b62ca422/rendering/03.xyz", "0.0")</f>
        <v>0.0</v>
      </c>
      <c r="G2141" s="13" t="str">
        <f>HYPERLINK(AC2 &amp; "/pencil/sn_df3dad3be54e23d4823708c0b62ca422/rendering/04.xyz", "0.0")</f>
        <v>0.0</v>
      </c>
      <c r="H2141" s="13" t="str">
        <f>HYPERLINK(AC2 &amp; "/pencil/sn_df3dad3be54e23d4823708c0b62ca422/rendering/05.xyz", "0.0")</f>
        <v>0.0</v>
      </c>
      <c r="I2141" s="13" t="str">
        <f>HYPERLINK(AC2 &amp; "/pencil/sn_df3dad3be54e23d4823708c0b62ca422/rendering/06.xyz", "0.0")</f>
        <v>0.0</v>
      </c>
      <c r="J2141" s="13" t="str">
        <f>HYPERLINK(AC2 &amp; "/pencil/sn_df3dad3be54e23d4823708c0b62ca422/rendering/07.xyz", "0.0")</f>
        <v>0.0</v>
      </c>
      <c r="K2141" s="13" t="str">
        <f>HYPERLINK(AC2 &amp; "/pencil/sn_df3dad3be54e23d4823708c0b62ca422/rendering/08.xyz", "0.0")</f>
        <v>0.0</v>
      </c>
      <c r="L2141" s="13" t="str">
        <f>HYPERLINK(AC2 &amp; "/pencil/sn_df3dad3be54e23d4823708c0b62ca422/rendering/09.xyz", "0.0")</f>
        <v>0.0</v>
      </c>
      <c r="M2141" s="13" t="str">
        <f>HYPERLINK(AC2 &amp; "/pencil/sn_df3dad3be54e23d4823708c0b62ca422/rendering/10.xyz", "0.0")</f>
        <v>0.0</v>
      </c>
      <c r="N2141" s="13" t="str">
        <f>HYPERLINK(AC2 &amp; "/pencil/sn_df3dad3be54e23d4823708c0b62ca422/rendering/11.xyz", "0.0")</f>
        <v>0.0</v>
      </c>
      <c r="O2141" s="13" t="str">
        <f>HYPERLINK(AC2 &amp; "/pencil/sn_df3dad3be54e23d4823708c0b62ca422/rendering/12.xyz", "0.0")</f>
        <v>0.0</v>
      </c>
      <c r="P2141" s="13" t="str">
        <f>HYPERLINK(AC2 &amp; "/pencil/sn_df3dad3be54e23d4823708c0b62ca422/rendering/13.xyz", "0.0")</f>
        <v>0.0</v>
      </c>
      <c r="Q2141" s="13" t="str">
        <f>HYPERLINK(AC2 &amp; "/pencil/sn_df3dad3be54e23d4823708c0b62ca422/rendering/14.xyz", "0.0")</f>
        <v>0.0</v>
      </c>
      <c r="R2141" s="13" t="str">
        <f>HYPERLINK(AC2 &amp; "/pencil/sn_df3dad3be54e23d4823708c0b62ca422/rendering/15.xyz", "0.0")</f>
        <v>0.0</v>
      </c>
      <c r="S2141" s="13" t="str">
        <f>HYPERLINK(AC2 &amp; "/pencil/sn_df3dad3be54e23d4823708c0b62ca422/rendering/16.xyz", "0.0")</f>
        <v>0.0</v>
      </c>
      <c r="T2141" s="13" t="str">
        <f>HYPERLINK(AC2 &amp; "/pencil/sn_df3dad3be54e23d4823708c0b62ca422/rendering/17.xyz", "0.0")</f>
        <v>0.0</v>
      </c>
      <c r="U2141" s="13" t="str">
        <f>HYPERLINK(AC2 &amp; "/pencil/sn_df3dad3be54e23d4823708c0b62ca422/rendering/18.xyz", "0.0")</f>
        <v>0.0</v>
      </c>
      <c r="V2141" s="13" t="str">
        <f>HYPERLINK(AC2 &amp; "/pencil/sn_df3dad3be54e23d4823708c0b62ca422/rendering/19.xyz", "0.0")</f>
        <v>0.0</v>
      </c>
      <c r="W2141" s="12" t="s">
        <v>33</v>
      </c>
      <c r="X2141" s="13">
        <v>0</v>
      </c>
      <c r="Y2141" s="13">
        <v>0</v>
      </c>
      <c r="Z2141" s="13">
        <v>0</v>
      </c>
    </row>
    <row r="2142" spans="1:26" x14ac:dyDescent="0.2">
      <c r="A2142" s="1">
        <v>2140</v>
      </c>
      <c r="B2142" s="2" t="s">
        <v>461</v>
      </c>
      <c r="C2142" s="42" t="str">
        <f>HYPERLINK(AA2 &amp; "/pencil/sn_df9a09542b48feafc86851951fe3b3ed/rendering/00.obj", "4.77924102783")</f>
        <v>4.77924102783</v>
      </c>
      <c r="D2142" s="72" t="str">
        <f>HYPERLINK(AA2 &amp; "/pencil/sn_df9a09542b48feafc86851951fe3b3ed/rendering/01.obj", "4.06611206055")</f>
        <v>4.06611206055</v>
      </c>
      <c r="E2142" s="33" t="str">
        <f>HYPERLINK(AA2 &amp; "/pencil/sn_df9a09542b48feafc86851951fe3b3ed/rendering/02.obj", "4.65995849609")</f>
        <v>4.65995849609</v>
      </c>
      <c r="F2142" s="63" t="str">
        <f>HYPERLINK(AA2 &amp; "/pencil/sn_df9a09542b48feafc86851951fe3b3ed/rendering/03.obj", "3.7001751709")</f>
        <v>3.7001751709</v>
      </c>
      <c r="G2142" s="32" t="str">
        <f>HYPERLINK(AA2 &amp; "/pencil/sn_df9a09542b48feafc86851951fe3b3ed/rendering/04.obj", "3.76413238525")</f>
        <v>3.76413238525</v>
      </c>
      <c r="H2142" s="48" t="str">
        <f>HYPERLINK(AA2 &amp; "/pencil/sn_df9a09542b48feafc86851951fe3b3ed/rendering/05.obj", "4.3030090332")</f>
        <v>4.3030090332</v>
      </c>
      <c r="I2142" s="30" t="str">
        <f>HYPERLINK(AA2 &amp; "/pencil/sn_df9a09542b48feafc86851951fe3b3ed/rendering/06.obj", "4.2246862793")</f>
        <v>4.2246862793</v>
      </c>
      <c r="J2142" s="67" t="str">
        <f>HYPERLINK(AA2 &amp; "/pencil/sn_df9a09542b48feafc86851951fe3b3ed/rendering/07.obj", "3.82593170166")</f>
        <v>3.82593170166</v>
      </c>
      <c r="K2142" s="46" t="str">
        <f>HYPERLINK(AA2 &amp; "/pencil/sn_df9a09542b48feafc86851951fe3b3ed/rendering/08.obj", "4.13183929443")</f>
        <v>4.13183929443</v>
      </c>
      <c r="L2142" s="47" t="str">
        <f>HYPERLINK(AA2 &amp; "/pencil/sn_df9a09542b48feafc86851951fe3b3ed/rendering/09.obj", "4.24678985596")</f>
        <v>4.24678985596</v>
      </c>
      <c r="M2142" s="51" t="str">
        <f>HYPERLINK(AA2 &amp; "/pencil/sn_df9a09542b48feafc86851951fe3b3ed/rendering/10.obj", "3.87303192139")</f>
        <v>3.87303192139</v>
      </c>
      <c r="N2142" s="73" t="str">
        <f>HYPERLINK(AA2 &amp; "/pencil/sn_df9a09542b48feafc86851951fe3b3ed/rendering/11.obj", "4.05917785645")</f>
        <v>4.05917785645</v>
      </c>
      <c r="O2142" s="107" t="str">
        <f>HYPERLINK(AA2 &amp; "/pencil/sn_df9a09542b48feafc86851951fe3b3ed/rendering/12.obj", "3.85610778809")</f>
        <v>3.85610778809</v>
      </c>
      <c r="P2142" s="86" t="str">
        <f>HYPERLINK(AA2 &amp; "/pencil/sn_df9a09542b48feafc86851951fe3b3ed/rendering/13.obj", "5.33364562988")</f>
        <v>5.33364562988</v>
      </c>
      <c r="Q2142" s="94" t="str">
        <f>HYPERLINK(AA2 &amp; "/pencil/sn_df9a09542b48feafc86851951fe3b3ed/rendering/14.obj", "3.89789245605")</f>
        <v>3.89789245605</v>
      </c>
      <c r="R2142" s="110" t="str">
        <f>HYPERLINK(AA2 &amp; "/pencil/sn_df9a09542b48feafc86851951fe3b3ed/rendering/15.obj", "3.78850402832")</f>
        <v>3.78850402832</v>
      </c>
      <c r="S2142" s="23" t="str">
        <f>HYPERLINK(AA2 &amp; "/pencil/sn_df9a09542b48feafc86851951fe3b3ed/rendering/16.obj", "4.04978820801")</f>
        <v>4.04978820801</v>
      </c>
      <c r="T2142" s="10" t="str">
        <f>HYPERLINK(AA2 &amp; "/pencil/sn_df9a09542b48feafc86851951fe3b3ed/rendering/17.obj", "4.44105194092")</f>
        <v>4.44105194092</v>
      </c>
      <c r="U2142" s="87" t="str">
        <f>HYPERLINK(AA2 &amp; "/pencil/sn_df9a09542b48feafc86851951fe3b3ed/rendering/18.obj", "5.17201660156")</f>
        <v>5.17201660156</v>
      </c>
      <c r="V2142" s="6" t="str">
        <f>HYPERLINK(AA2 &amp; "/pencil/sn_df9a09542b48feafc86851951fe3b3ed/rendering/19.obj", "4.01328979492")</f>
        <v>4.01328979492</v>
      </c>
      <c r="W2142" s="12" t="s">
        <v>29</v>
      </c>
      <c r="X2142" s="13">
        <v>4.2093190765380859</v>
      </c>
      <c r="Y2142" s="13">
        <v>0.44789266593332572</v>
      </c>
      <c r="Z2142" s="32">
        <v>0.10640501653338449</v>
      </c>
    </row>
    <row r="2143" spans="1:26" x14ac:dyDescent="0.2">
      <c r="A2143" s="1">
        <v>2141</v>
      </c>
      <c r="B2143" s="2" t="s">
        <v>461</v>
      </c>
      <c r="C2143" s="21" t="str">
        <f>HYPERLINK(AA2 &amp; "/pencil/sn_df9a09542b48feafc86851951fe3b3ed/rendering/00.obj", "2.15287590027")</f>
        <v>2.15287590027</v>
      </c>
      <c r="D2143" s="10" t="str">
        <f>HYPERLINK(AA2 &amp; "/pencil/sn_df9a09542b48feafc86851951fe3b3ed/rendering/01.obj", "1.31020247936")</f>
        <v>1.31020247936</v>
      </c>
      <c r="E2143" s="53" t="str">
        <f>HYPERLINK(AA2 &amp; "/pencil/sn_df9a09542b48feafc86851951fe3b3ed/rendering/02.obj", "1.95460808277")</f>
        <v>1.95460808277</v>
      </c>
      <c r="F2143" s="19" t="str">
        <f>HYPERLINK(AA2 &amp; "/pencil/sn_df9a09542b48feafc86851951fe3b3ed/rendering/03.obj", "1.02070224285")</f>
        <v>1.02070224285</v>
      </c>
      <c r="G2143" s="7" t="str">
        <f>HYPERLINK(AA2 &amp; "/pencil/sn_df9a09542b48feafc86851951fe3b3ed/rendering/04.obj", "1.00160002708")</f>
        <v>1.00160002708</v>
      </c>
      <c r="H2143" s="63" t="str">
        <f>HYPERLINK(AA2 &amp; "/pencil/sn_df9a09542b48feafc86851951fe3b3ed/rendering/05.obj", "1.55358564854")</f>
        <v>1.55358564854</v>
      </c>
      <c r="I2143" s="107" t="str">
        <f>HYPERLINK(AA2 &amp; "/pencil/sn_df9a09542b48feafc86851951fe3b3ed/rendering/06.obj", "1.27133345604")</f>
        <v>1.27133345604</v>
      </c>
      <c r="J2143" s="176" t="str">
        <f>HYPERLINK(AA2 &amp; "/pencil/sn_df9a09542b48feafc86851951fe3b3ed/rendering/07.obj", "0.945969045162")</f>
        <v>0.945969045162</v>
      </c>
      <c r="K2143" s="59" t="str">
        <f>HYPERLINK(AA2 &amp; "/pencil/sn_df9a09542b48feafc86851951fe3b3ed/rendering/08.obj", "1.05187129974")</f>
        <v>1.05187129974</v>
      </c>
      <c r="L2143" s="65" t="str">
        <f>HYPERLINK(AA2 &amp; "/pencil/sn_df9a09542b48feafc86851951fe3b3ed/rendering/09.obj", "1.19903469086")</f>
        <v>1.19903469086</v>
      </c>
      <c r="M2143" s="54" t="str">
        <f>HYPERLINK(AA2 &amp; "/pencil/sn_df9a09542b48feafc86851951fe3b3ed/rendering/10.obj", "0.932783901691")</f>
        <v>0.932783901691</v>
      </c>
      <c r="N2143" s="81" t="str">
        <f>HYPERLINK(AA2 &amp; "/pencil/sn_df9a09542b48feafc86851951fe3b3ed/rendering/11.obj", "1.08263862133")</f>
        <v>1.08263862133</v>
      </c>
      <c r="O2143" s="140" t="str">
        <f>HYPERLINK(AA2 &amp; "/pencil/sn_df9a09542b48feafc86851951fe3b3ed/rendering/12.obj", "0.905986785889")</f>
        <v>0.905986785889</v>
      </c>
      <c r="P2143" s="20" t="str">
        <f>HYPERLINK(AA2 &amp; "/pencil/sn_df9a09542b48feafc86851951fe3b3ed/rendering/13.obj", "2.90975618362")</f>
        <v>2.90975618362</v>
      </c>
      <c r="Q2143" s="175" t="str">
        <f>HYPERLINK(AA2 &amp; "/pencil/sn_df9a09542b48feafc86851951fe3b3ed/rendering/14.obj", "1.06127405167")</f>
        <v>1.06127405167</v>
      </c>
      <c r="R2143" s="171" t="str">
        <f>HYPERLINK(AA2 &amp; "/pencil/sn_df9a09542b48feafc86851951fe3b3ed/rendering/15.obj", "0.959793746471")</f>
        <v>0.959793746471</v>
      </c>
      <c r="S2143" s="14" t="str">
        <f>HYPERLINK(AA2 &amp; "/pencil/sn_df9a09542b48feafc86851951fe3b3ed/rendering/16.obj", "0.98105597496")</f>
        <v>0.98105597496</v>
      </c>
      <c r="T2143" s="14" t="str">
        <f>HYPERLINK(AA2 &amp; "/pencil/sn_df9a09542b48feafc86851951fe3b3ed/rendering/17.obj", "1.78515398502")</f>
        <v>1.78515398502</v>
      </c>
      <c r="U2143" s="20" t="str">
        <f>HYPERLINK(AA2 &amp; "/pencil/sn_df9a09542b48feafc86851951fe3b3ed/rendering/18.obj", "2.62519478798")</f>
        <v>2.62519478798</v>
      </c>
      <c r="V2143" s="4" t="str">
        <f>HYPERLINK(AA2 &amp; "/pencil/sn_df9a09542b48feafc86851951fe3b3ed/rendering/19.obj", "0.992463290691")</f>
        <v>0.992463290691</v>
      </c>
      <c r="W2143" s="12" t="s">
        <v>30</v>
      </c>
      <c r="X2143" s="13">
        <v>1.384894210100174</v>
      </c>
      <c r="Y2143" s="13">
        <v>0.58010148740557954</v>
      </c>
      <c r="Z2143" s="132">
        <v>0.41887783425971498</v>
      </c>
    </row>
    <row r="2144" spans="1:26" x14ac:dyDescent="0.2">
      <c r="A2144" s="1">
        <v>2142</v>
      </c>
      <c r="B2144" s="2" t="s">
        <v>461</v>
      </c>
      <c r="C2144" s="91" t="str">
        <f>HYPERLINK(AB2 &amp; "/pencil/sn_df9a09542b48feafc86851951fe3b3ed/rendering/00.obj", "3.53422912598")</f>
        <v>3.53422912598</v>
      </c>
      <c r="D2144" s="13" t="str">
        <f>HYPERLINK(AB2 &amp; "/pencil/sn_df9a09542b48feafc86851951fe3b3ed/rendering/01.obj", "3.63538452148")</f>
        <v>3.63538452148</v>
      </c>
      <c r="E2144" s="47" t="str">
        <f>HYPERLINK(AB2 &amp; "/pencil/sn_df9a09542b48feafc86851951fe3b3ed/rendering/02.obj", "3.59766540527")</f>
        <v>3.59766540527</v>
      </c>
      <c r="F2144" s="25" t="str">
        <f>HYPERLINK(AB2 &amp; "/pencil/sn_df9a09542b48feafc86851951fe3b3ed/rendering/03.obj", "3.66964355469")</f>
        <v>3.66964355469</v>
      </c>
      <c r="G2144" s="33" t="str">
        <f>HYPERLINK(AB2 &amp; "/pencil/sn_df9a09542b48feafc86851951fe3b3ed/rendering/04.obj", "4.02641235352")</f>
        <v>4.02641235352</v>
      </c>
      <c r="H2144" s="60" t="str">
        <f>HYPERLINK(AB2 &amp; "/pencil/sn_df9a09542b48feafc86851951fe3b3ed/rendering/05.obj", "3.43800720215")</f>
        <v>3.43800720215</v>
      </c>
      <c r="I2144" s="69" t="str">
        <f>HYPERLINK(AB2 &amp; "/pencil/sn_df9a09542b48feafc86851951fe3b3ed/rendering/06.obj", "3.51776489258")</f>
        <v>3.51776489258</v>
      </c>
      <c r="J2144" s="91" t="str">
        <f>HYPERLINK(AB2 &amp; "/pencil/sn_df9a09542b48feafc86851951fe3b3ed/rendering/07.obj", "3.53709716797")</f>
        <v>3.53709716797</v>
      </c>
      <c r="K2144" s="60" t="str">
        <f>HYPERLINK(AB2 &amp; "/pencil/sn_df9a09542b48feafc86851951fe3b3ed/rendering/08.obj", "3.43976013184")</f>
        <v>3.43976013184</v>
      </c>
      <c r="L2144" s="30" t="str">
        <f>HYPERLINK(AB2 &amp; "/pencil/sn_df9a09542b48feafc86851951fe3b3ed/rendering/09.obj", "3.64876220703")</f>
        <v>3.64876220703</v>
      </c>
      <c r="M2144" s="10" t="str">
        <f>HYPERLINK(AB2 &amp; "/pencil/sn_df9a09542b48feafc86851951fe3b3ed/rendering/10.obj", "3.82893066406")</f>
        <v>3.82893066406</v>
      </c>
      <c r="N2144" s="23" t="str">
        <f>HYPERLINK(AB2 &amp; "/pencil/sn_df9a09542b48feafc86851951fe3b3ed/rendering/11.obj", "3.77251525879")</f>
        <v>3.77251525879</v>
      </c>
      <c r="O2144" s="68" t="str">
        <f>HYPERLINK(AB2 &amp; "/pencil/sn_df9a09542b48feafc86851951fe3b3ed/rendering/12.obj", "3.78058837891")</f>
        <v>3.78058837891</v>
      </c>
      <c r="P2144" s="67" t="str">
        <f>HYPERLINK(AB2 &amp; "/pencil/sn_df9a09542b48feafc86851951fe3b3ed/rendering/13.obj", "3.96119018555")</f>
        <v>3.96119018555</v>
      </c>
      <c r="Q2144" s="10" t="str">
        <f>HYPERLINK(AB2 &amp; "/pencil/sn_df9a09542b48feafc86851951fe3b3ed/rendering/14.obj", "3.42739776611")</f>
        <v>3.42739776611</v>
      </c>
      <c r="R2144" s="17" t="str">
        <f>HYPERLINK(AB2 &amp; "/pencil/sn_df9a09542b48feafc86851951fe3b3ed/rendering/15.obj", "3.55345092773")</f>
        <v>3.55345092773</v>
      </c>
      <c r="S2144" s="27" t="str">
        <f>HYPERLINK(AB2 &amp; "/pencil/sn_df9a09542b48feafc86851951fe3b3ed/rendering/16.obj", "3.37226928711")</f>
        <v>3.37226928711</v>
      </c>
      <c r="T2144" s="72" t="str">
        <f>HYPERLINK(AB2 &amp; "/pencil/sn_df9a09542b48feafc86851951fe3b3ed/rendering/17.obj", "3.75349090576")</f>
        <v>3.75349090576</v>
      </c>
      <c r="U2144" s="47" t="str">
        <f>HYPERLINK(AB2 &amp; "/pencil/sn_df9a09542b48feafc86851951fe3b3ed/rendering/18.obj", "3.66439727783")</f>
        <v>3.66439727783</v>
      </c>
      <c r="V2144" s="34" t="str">
        <f>HYPERLINK(AB2 &amp; "/pencil/sn_df9a09542b48feafc86851951fe3b3ed/rendering/19.obj", "3.44947174072")</f>
        <v>3.44947174072</v>
      </c>
      <c r="W2144" s="12" t="s">
        <v>31</v>
      </c>
      <c r="X2144" s="13">
        <v>3.630421447753907</v>
      </c>
      <c r="Y2144" s="13">
        <v>0.17581147462391039</v>
      </c>
      <c r="Z2144" s="34">
        <v>4.8427290647669173E-2</v>
      </c>
    </row>
    <row r="2145" spans="1:26" x14ac:dyDescent="0.2">
      <c r="A2145" s="1">
        <v>2143</v>
      </c>
      <c r="B2145" s="2" t="s">
        <v>461</v>
      </c>
      <c r="C2145" s="32" t="str">
        <f>HYPERLINK(AB2 &amp; "/pencil/sn_df9a09542b48feafc86851951fe3b3ed/rendering/00.obj", "1.16991817951")</f>
        <v>1.16991817951</v>
      </c>
      <c r="D2145" s="182" t="str">
        <f>HYPERLINK(AB2 &amp; "/pencil/sn_df9a09542b48feafc86851951fe3b3ed/rendering/01.obj", "1.41437804699")</f>
        <v>1.41437804699</v>
      </c>
      <c r="E2145" s="79" t="str">
        <f>HYPERLINK(AB2 &amp; "/pencil/sn_df9a09542b48feafc86851951fe3b3ed/rendering/02.obj", "0.890973091125")</f>
        <v>0.890973091125</v>
      </c>
      <c r="F2145" s="40" t="str">
        <f>HYPERLINK(AB2 &amp; "/pencil/sn_df9a09542b48feafc86851951fe3b3ed/rendering/03.obj", "0.878264427185")</f>
        <v>0.878264427185</v>
      </c>
      <c r="G2145" s="70" t="str">
        <f>HYPERLINK(AB2 &amp; "/pencil/sn_df9a09542b48feafc86851951fe3b3ed/rendering/04.obj", "0.924950122833")</f>
        <v>0.924950122833</v>
      </c>
      <c r="H2145" s="6" t="str">
        <f>HYPERLINK(AB2 &amp; "/pencil/sn_df9a09542b48feafc86851951fe3b3ed/rendering/05.obj", "1.01244831085")</f>
        <v>1.01244831085</v>
      </c>
      <c r="I2145" s="73" t="str">
        <f>HYPERLINK(AB2 &amp; "/pencil/sn_df9a09542b48feafc86851951fe3b3ed/rendering/06.obj", "1.09732913971")</f>
        <v>1.09732913971</v>
      </c>
      <c r="J2145" s="110" t="str">
        <f>HYPERLINK(AB2 &amp; "/pencil/sn_df9a09542b48feafc86851951fe3b3ed/rendering/07.obj", "0.953084230423")</f>
        <v>0.953084230423</v>
      </c>
      <c r="K2145" s="26" t="str">
        <f>HYPERLINK(AB2 &amp; "/pencil/sn_df9a09542b48feafc86851951fe3b3ed/rendering/08.obj", "0.990896522999")</f>
        <v>0.990896522999</v>
      </c>
      <c r="L2145" s="28" t="str">
        <f>HYPERLINK(AB2 &amp; "/pencil/sn_df9a09542b48feafc86851951fe3b3ed/rendering/09.obj", "1.17563760281")</f>
        <v>1.17563760281</v>
      </c>
      <c r="M2145" s="25" t="str">
        <f>HYPERLINK(AB2 &amp; "/pencil/sn_df9a09542b48feafc86851951fe3b3ed/rendering/10.obj", "1.0473883152")</f>
        <v>1.0473883152</v>
      </c>
      <c r="N2145" s="40" t="str">
        <f>HYPERLINK(AB2 &amp; "/pencil/sn_df9a09542b48feafc86851951fe3b3ed/rendering/11.obj", "1.24131965637")</f>
        <v>1.24131965637</v>
      </c>
      <c r="O2145" s="83" t="str">
        <f>HYPERLINK(AB2 &amp; "/pencil/sn_df9a09542b48feafc86851951fe3b3ed/rendering/12.obj", "0.897649943829")</f>
        <v>0.897649943829</v>
      </c>
      <c r="P2145" s="4" t="str">
        <f>HYPERLINK(AB2 &amp; "/pencil/sn_df9a09542b48feafc86851951fe3b3ed/rendering/13.obj", "1.35972988605")</f>
        <v>1.35972988605</v>
      </c>
      <c r="Q2145" s="67" t="str">
        <f>HYPERLINK(AB2 &amp; "/pencil/sn_df9a09542b48feafc86851951fe3b3ed/rendering/14.obj", "0.962428629398")</f>
        <v>0.962428629398</v>
      </c>
      <c r="R2145" s="40" t="str">
        <f>HYPERLINK(AB2 &amp; "/pencil/sn_df9a09542b48feafc86851951fe3b3ed/rendering/15.obj", "0.876861929893")</f>
        <v>0.876861929893</v>
      </c>
      <c r="S2145" s="65" t="str">
        <f>HYPERLINK(AB2 &amp; "/pencil/sn_df9a09542b48feafc86851951fe3b3ed/rendering/16.obj", "0.917080044746")</f>
        <v>0.917080044746</v>
      </c>
      <c r="T2145" s="107" t="str">
        <f>HYPERLINK(AB2 &amp; "/pencil/sn_df9a09542b48feafc86851951fe3b3ed/rendering/17.obj", "0.970671057701")</f>
        <v>0.970671057701</v>
      </c>
      <c r="U2145" s="118" t="str">
        <f>HYPERLINK(AB2 &amp; "/pencil/sn_df9a09542b48feafc86851951fe3b3ed/rendering/18.obj", "1.37065279484")</f>
        <v>1.37065279484</v>
      </c>
      <c r="V2145" s="91" t="str">
        <f>HYPERLINK(AB2 &amp; "/pencil/sn_df9a09542b48feafc86851951fe3b3ed/rendering/19.obj", "1.0291492939")</f>
        <v>1.0291492939</v>
      </c>
      <c r="W2145" s="12" t="s">
        <v>32</v>
      </c>
      <c r="X2145" s="13">
        <v>1.059040561318398</v>
      </c>
      <c r="Y2145" s="13">
        <v>0.16865209400656239</v>
      </c>
      <c r="Z2145" s="79">
        <v>0.15924989104912821</v>
      </c>
    </row>
    <row r="2146" spans="1:26" x14ac:dyDescent="0.2">
      <c r="A2146" s="1">
        <v>2144</v>
      </c>
      <c r="B2146" s="2" t="s">
        <v>461</v>
      </c>
      <c r="C2146" s="13" t="str">
        <f>HYPERLINK(AC2 &amp; "/pencil/sn_df9a09542b48feafc86851951fe3b3ed/rendering/00.xyz", "0.0")</f>
        <v>0.0</v>
      </c>
      <c r="D2146" s="13" t="str">
        <f>HYPERLINK(AC2 &amp; "/pencil/sn_df9a09542b48feafc86851951fe3b3ed/rendering/01.xyz", "0.0")</f>
        <v>0.0</v>
      </c>
      <c r="E2146" s="13" t="str">
        <f>HYPERLINK(AC2 &amp; "/pencil/sn_df9a09542b48feafc86851951fe3b3ed/rendering/02.xyz", "0.0")</f>
        <v>0.0</v>
      </c>
      <c r="F2146" s="13" t="str">
        <f>HYPERLINK(AC2 &amp; "/pencil/sn_df9a09542b48feafc86851951fe3b3ed/rendering/03.xyz", "0.0")</f>
        <v>0.0</v>
      </c>
      <c r="G2146" s="13" t="str">
        <f>HYPERLINK(AC2 &amp; "/pencil/sn_df9a09542b48feafc86851951fe3b3ed/rendering/04.xyz", "0.0")</f>
        <v>0.0</v>
      </c>
      <c r="H2146" s="13" t="str">
        <f>HYPERLINK(AC2 &amp; "/pencil/sn_df9a09542b48feafc86851951fe3b3ed/rendering/05.xyz", "0.0")</f>
        <v>0.0</v>
      </c>
      <c r="I2146" s="13" t="str">
        <f>HYPERLINK(AC2 &amp; "/pencil/sn_df9a09542b48feafc86851951fe3b3ed/rendering/06.xyz", "0.0")</f>
        <v>0.0</v>
      </c>
      <c r="J2146" s="13" t="str">
        <f>HYPERLINK(AC2 &amp; "/pencil/sn_df9a09542b48feafc86851951fe3b3ed/rendering/07.xyz", "0.0")</f>
        <v>0.0</v>
      </c>
      <c r="K2146" s="13" t="str">
        <f>HYPERLINK(AC2 &amp; "/pencil/sn_df9a09542b48feafc86851951fe3b3ed/rendering/08.xyz", "0.0")</f>
        <v>0.0</v>
      </c>
      <c r="L2146" s="13" t="str">
        <f>HYPERLINK(AC2 &amp; "/pencil/sn_df9a09542b48feafc86851951fe3b3ed/rendering/09.xyz", "0.0")</f>
        <v>0.0</v>
      </c>
      <c r="M2146" s="13" t="str">
        <f>HYPERLINK(AC2 &amp; "/pencil/sn_df9a09542b48feafc86851951fe3b3ed/rendering/10.xyz", "0.0")</f>
        <v>0.0</v>
      </c>
      <c r="N2146" s="13" t="str">
        <f>HYPERLINK(AC2 &amp; "/pencil/sn_df9a09542b48feafc86851951fe3b3ed/rendering/11.xyz", "0.0")</f>
        <v>0.0</v>
      </c>
      <c r="O2146" s="13" t="str">
        <f>HYPERLINK(AC2 &amp; "/pencil/sn_df9a09542b48feafc86851951fe3b3ed/rendering/12.xyz", "0.0")</f>
        <v>0.0</v>
      </c>
      <c r="P2146" s="13" t="str">
        <f>HYPERLINK(AC2 &amp; "/pencil/sn_df9a09542b48feafc86851951fe3b3ed/rendering/13.xyz", "0.0")</f>
        <v>0.0</v>
      </c>
      <c r="Q2146" s="13" t="str">
        <f>HYPERLINK(AC2 &amp; "/pencil/sn_df9a09542b48feafc86851951fe3b3ed/rendering/14.xyz", "0.0")</f>
        <v>0.0</v>
      </c>
      <c r="R2146" s="13" t="str">
        <f>HYPERLINK(AC2 &amp; "/pencil/sn_df9a09542b48feafc86851951fe3b3ed/rendering/15.xyz", "0.0")</f>
        <v>0.0</v>
      </c>
      <c r="S2146" s="13" t="str">
        <f>HYPERLINK(AC2 &amp; "/pencil/sn_df9a09542b48feafc86851951fe3b3ed/rendering/16.xyz", "0.0")</f>
        <v>0.0</v>
      </c>
      <c r="T2146" s="13" t="str">
        <f>HYPERLINK(AC2 &amp; "/pencil/sn_df9a09542b48feafc86851951fe3b3ed/rendering/17.xyz", "0.0")</f>
        <v>0.0</v>
      </c>
      <c r="U2146" s="13" t="str">
        <f>HYPERLINK(AC2 &amp; "/pencil/sn_df9a09542b48feafc86851951fe3b3ed/rendering/18.xyz", "0.0")</f>
        <v>0.0</v>
      </c>
      <c r="V2146" s="13" t="str">
        <f>HYPERLINK(AC2 &amp; "/pencil/sn_df9a09542b48feafc86851951fe3b3ed/rendering/19.xyz", "0.0")</f>
        <v>0.0</v>
      </c>
      <c r="W2146" s="12" t="s">
        <v>33</v>
      </c>
      <c r="X2146" s="13">
        <v>0</v>
      </c>
      <c r="Y2146" s="13">
        <v>0</v>
      </c>
      <c r="Z2146" s="13">
        <v>0</v>
      </c>
    </row>
    <row r="2147" spans="1:26" x14ac:dyDescent="0.2">
      <c r="A2147" s="1">
        <v>2145</v>
      </c>
      <c r="B2147" s="2" t="s">
        <v>462</v>
      </c>
      <c r="C2147" s="68" t="str">
        <f>HYPERLINK(AA2 &amp; "/pencil/sn_e081531e3f9ddad8bb01e8d0bddd5702/rendering/00.obj", "3.50823364258")</f>
        <v>3.50823364258</v>
      </c>
      <c r="D2147" s="48" t="str">
        <f>HYPERLINK(AA2 &amp; "/pencil/sn_e081531e3f9ddad8bb01e8d0bddd5702/rendering/01.obj", "3.7487512207")</f>
        <v>3.7487512207</v>
      </c>
      <c r="E2147" s="25" t="str">
        <f>HYPERLINK(AA2 &amp; "/pencil/sn_e081531e3f9ddad8bb01e8d0bddd5702/rendering/02.obj", "3.62582580566")</f>
        <v>3.62582580566</v>
      </c>
      <c r="F2147" s="60" t="str">
        <f>HYPERLINK(AA2 &amp; "/pencil/sn_e081531e3f9ddad8bb01e8d0bddd5702/rendering/03.obj", "3.47502075195")</f>
        <v>3.47502075195</v>
      </c>
      <c r="G2147" s="47" t="str">
        <f>HYPERLINK(AA2 &amp; "/pencil/sn_e081531e3f9ddad8bb01e8d0bddd5702/rendering/04.obj", "3.63702270508")</f>
        <v>3.63702270508</v>
      </c>
      <c r="H2147" s="73" t="str">
        <f>HYPERLINK(AA2 &amp; "/pencil/sn_e081531e3f9ddad8bb01e8d0bddd5702/rendering/05.obj", "3.79314849854")</f>
        <v>3.79314849854</v>
      </c>
      <c r="I2147" s="94" t="str">
        <f>HYPERLINK(AA2 &amp; "/pencil/sn_e081531e3f9ddad8bb01e8d0bddd5702/rendering/06.obj", "3.93193450928")</f>
        <v>3.93193450928</v>
      </c>
      <c r="J2147" s="25" t="str">
        <f>HYPERLINK(AA2 &amp; "/pencil/sn_e081531e3f9ddad8bb01e8d0bddd5702/rendering/07.obj", "3.70154846191")</f>
        <v>3.70154846191</v>
      </c>
      <c r="K2147" s="72" t="str">
        <f>HYPERLINK(AA2 &amp; "/pencil/sn_e081531e3f9ddad8bb01e8d0bddd5702/rendering/08.obj", "3.78999389648")</f>
        <v>3.78999389648</v>
      </c>
      <c r="L2147" s="10" t="str">
        <f>HYPERLINK(AA2 &amp; "/pencil/sn_e081531e3f9ddad8bb01e8d0bddd5702/rendering/09.obj", "3.46503997803")</f>
        <v>3.46503997803</v>
      </c>
      <c r="M2147" s="46" t="str">
        <f>HYPERLINK(AA2 &amp; "/pencil/sn_e081531e3f9ddad8bb01e8d0bddd5702/rendering/10.obj", "3.73311889648")</f>
        <v>3.73311889648</v>
      </c>
      <c r="N2147" s="91" t="str">
        <f>HYPERLINK(AA2 &amp; "/pencil/sn_e081531e3f9ddad8bb01e8d0bddd5702/rendering/11.obj", "3.76592407227")</f>
        <v>3.76592407227</v>
      </c>
      <c r="O2147" s="26" t="str">
        <f>HYPERLINK(AA2 &amp; "/pencil/sn_e081531e3f9ddad8bb01e8d0bddd5702/rendering/12.obj", "3.42930664063")</f>
        <v>3.42930664063</v>
      </c>
      <c r="P2147" s="72" t="str">
        <f>HYPERLINK(AA2 &amp; "/pencil/sn_e081531e3f9ddad8bb01e8d0bddd5702/rendering/13.obj", "3.78287689209")</f>
        <v>3.78287689209</v>
      </c>
      <c r="Q2147" s="60" t="str">
        <f>HYPERLINK(AA2 &amp; "/pencil/sn_e081531e3f9ddad8bb01e8d0bddd5702/rendering/14.obj", "3.47453674316")</f>
        <v>3.47453674316</v>
      </c>
      <c r="R2147" s="72" t="str">
        <f>HYPERLINK(AA2 &amp; "/pencil/sn_e081531e3f9ddad8bb01e8d0bddd5702/rendering/15.obj", "3.54063598633")</f>
        <v>3.54063598633</v>
      </c>
      <c r="S2147" s="69" t="str">
        <f>HYPERLINK(AA2 &amp; "/pencil/sn_e081531e3f9ddad8bb01e8d0bddd5702/rendering/16.obj", "3.77131347656")</f>
        <v>3.77131347656</v>
      </c>
      <c r="T2147" s="38" t="str">
        <f>HYPERLINK(AA2 &amp; "/pencil/sn_e081531e3f9ddad8bb01e8d0bddd5702/rendering/17.obj", "3.98759429932")</f>
        <v>3.98759429932</v>
      </c>
      <c r="U2147" s="46" t="str">
        <f>HYPERLINK(AA2 &amp; "/pencil/sn_e081531e3f9ddad8bb01e8d0bddd5702/rendering/18.obj", "3.59834472656")</f>
        <v>3.59834472656</v>
      </c>
      <c r="V2147" s="72" t="str">
        <f>HYPERLINK(AA2 &amp; "/pencil/sn_e081531e3f9ddad8bb01e8d0bddd5702/rendering/19.obj", "3.53940460205")</f>
        <v>3.53940460205</v>
      </c>
      <c r="W2147" s="12" t="s">
        <v>29</v>
      </c>
      <c r="X2147" s="13">
        <v>3.6649787902832029</v>
      </c>
      <c r="Y2147" s="13">
        <v>0.1559199081458959</v>
      </c>
      <c r="Z2147" s="68">
        <v>4.2543195218285992E-2</v>
      </c>
    </row>
    <row r="2148" spans="1:26" x14ac:dyDescent="0.2">
      <c r="A2148" s="1">
        <v>2146</v>
      </c>
      <c r="B2148" s="2" t="s">
        <v>462</v>
      </c>
      <c r="C2148" s="73" t="str">
        <f>HYPERLINK(AA2 &amp; "/pencil/sn_e081531e3f9ddad8bb01e8d0bddd5702/rendering/00.obj", "0.931498885155")</f>
        <v>0.931498885155</v>
      </c>
      <c r="D2148" s="17" t="str">
        <f>HYPERLINK(AA2 &amp; "/pencil/sn_e081531e3f9ddad8bb01e8d0bddd5702/rendering/01.obj", "0.947227656841")</f>
        <v>0.947227656841</v>
      </c>
      <c r="E2148" s="46" t="str">
        <f>HYPERLINK(AA2 &amp; "/pencil/sn_e081531e3f9ddad8bb01e8d0bddd5702/rendering/02.obj", "0.981463491917")</f>
        <v>0.981463491917</v>
      </c>
      <c r="F2148" s="94" t="str">
        <f>HYPERLINK(AA2 &amp; "/pencil/sn_e081531e3f9ddad8bb01e8d0bddd5702/rendering/03.obj", "0.895661771297")</f>
        <v>0.895661771297</v>
      </c>
      <c r="G2148" s="13" t="str">
        <f>HYPERLINK(AA2 &amp; "/pencil/sn_e081531e3f9ddad8bb01e8d0bddd5702/rendering/04.obj", "0.966730773449")</f>
        <v>0.966730773449</v>
      </c>
      <c r="H2148" s="68" t="str">
        <f>HYPERLINK(AA2 &amp; "/pencil/sn_e081531e3f9ddad8bb01e8d0bddd5702/rendering/05.obj", "0.924515545368")</f>
        <v>0.924515545368</v>
      </c>
      <c r="I2148" s="27" t="str">
        <f>HYPERLINK(AA2 &amp; "/pencil/sn_e081531e3f9ddad8bb01e8d0bddd5702/rendering/06.obj", "1.03425204754")</f>
        <v>1.03425204754</v>
      </c>
      <c r="J2148" s="17" t="str">
        <f>HYPERLINK(AA2 &amp; "/pencil/sn_e081531e3f9ddad8bb01e8d0bddd5702/rendering/07.obj", "0.947406470776")</f>
        <v>0.947406470776</v>
      </c>
      <c r="K2148" s="64" t="str">
        <f>HYPERLINK(AA2 &amp; "/pencil/sn_e081531e3f9ddad8bb01e8d0bddd5702/rendering/08.obj", "1.12549602985")</f>
        <v>1.12549602985</v>
      </c>
      <c r="L2148" s="94" t="str">
        <f>HYPERLINK(AA2 &amp; "/pencil/sn_e081531e3f9ddad8bb01e8d0bddd5702/rendering/09.obj", "0.893400073051")</f>
        <v>0.893400073051</v>
      </c>
      <c r="M2148" s="91" t="str">
        <f>HYPERLINK(AA2 &amp; "/pencil/sn_e081531e3f9ddad8bb01e8d0bddd5702/rendering/10.obj", "0.940307974815")</f>
        <v>0.940307974815</v>
      </c>
      <c r="N2148" s="27" t="str">
        <f>HYPERLINK(AA2 &amp; "/pencil/sn_e081531e3f9ddad8bb01e8d0bddd5702/rendering/11.obj", "0.897779881954")</f>
        <v>0.897779881954</v>
      </c>
      <c r="O2148" s="67" t="str">
        <f>HYPERLINK(AA2 &amp; "/pencil/sn_e081531e3f9ddad8bb01e8d0bddd5702/rendering/12.obj", "0.877904176712")</f>
        <v>0.877904176712</v>
      </c>
      <c r="P2148" s="72" t="str">
        <f>HYPERLINK(AA2 &amp; "/pencil/sn_e081531e3f9ddad8bb01e8d0bddd5702/rendering/13.obj", "0.997303843498")</f>
        <v>0.997303843498</v>
      </c>
      <c r="Q2148" s="30" t="str">
        <f>HYPERLINK(AA2 &amp; "/pencil/sn_e081531e3f9ddad8bb01e8d0bddd5702/rendering/14.obj", "0.960654914379")</f>
        <v>0.960654914379</v>
      </c>
      <c r="R2148" s="91" t="str">
        <f>HYPERLINK(AA2 &amp; "/pencil/sn_e081531e3f9ddad8bb01e8d0bddd5702/rendering/15.obj", "0.940315961838")</f>
        <v>0.940315961838</v>
      </c>
      <c r="S2148" s="46" t="str">
        <f>HYPERLINK(AA2 &amp; "/pencil/sn_e081531e3f9ddad8bb01e8d0bddd5702/rendering/16.obj", "0.950047016144")</f>
        <v>0.950047016144</v>
      </c>
      <c r="T2148" s="124" t="str">
        <f>HYPERLINK(AA2 &amp; "/pencil/sn_e081531e3f9ddad8bb01e8d0bddd5702/rendering/17.obj", "1.33503031731")</f>
        <v>1.33503031731</v>
      </c>
      <c r="U2148" s="67" t="str">
        <f>HYPERLINK(AA2 &amp; "/pencil/sn_e081531e3f9ddad8bb01e8d0bddd5702/rendering/18.obj", "0.876076281071")</f>
        <v>0.876076281071</v>
      </c>
      <c r="V2148" s="5" t="str">
        <f>HYPERLINK(AA2 &amp; "/pencil/sn_e081531e3f9ddad8bb01e8d0bddd5702/rendering/19.obj", "0.892919182777")</f>
        <v>0.892919182777</v>
      </c>
      <c r="W2148" s="12" t="s">
        <v>30</v>
      </c>
      <c r="X2148" s="13">
        <v>0.96579961478710175</v>
      </c>
      <c r="Y2148" s="13">
        <v>0.1021694332823606</v>
      </c>
      <c r="Z2148" s="32">
        <v>0.1057874032232686</v>
      </c>
    </row>
    <row r="2149" spans="1:26" x14ac:dyDescent="0.2">
      <c r="A2149" s="1">
        <v>2147</v>
      </c>
      <c r="B2149" s="2" t="s">
        <v>462</v>
      </c>
      <c r="C2149" s="68" t="str">
        <f>HYPERLINK(AB2 &amp; "/pencil/sn_e081531e3f9ddad8bb01e8d0bddd5702/rendering/00.obj", "5.27741455078")</f>
        <v>5.27741455078</v>
      </c>
      <c r="D2149" s="17" t="str">
        <f>HYPERLINK(AB2 &amp; "/pencil/sn_e081531e3f9ddad8bb01e8d0bddd5702/rendering/01.obj", "5.63504577637")</f>
        <v>5.63504577637</v>
      </c>
      <c r="E2149" s="13" t="str">
        <f>HYPERLINK(AB2 &amp; "/pencil/sn_e081531e3f9ddad8bb01e8d0bddd5702/rendering/02.obj", "5.53569213867")</f>
        <v>5.53569213867</v>
      </c>
      <c r="F2149" s="25" t="str">
        <f>HYPERLINK(AB2 &amp; "/pencil/sn_e081531e3f9ddad8bb01e8d0bddd5702/rendering/03.obj", "5.45305419922")</f>
        <v>5.45305419922</v>
      </c>
      <c r="G2149" s="74" t="str">
        <f>HYPERLINK(AB2 &amp; "/pencil/sn_e081531e3f9ddad8bb01e8d0bddd5702/rendering/04.obj", "5.43826904297")</f>
        <v>5.43826904297</v>
      </c>
      <c r="H2149" s="25" t="str">
        <f>HYPERLINK(AB2 &amp; "/pencil/sn_e081531e3f9ddad8bb01e8d0bddd5702/rendering/05.obj", "5.4605090332")</f>
        <v>5.4605090332</v>
      </c>
      <c r="I2149" s="10" t="str">
        <f>HYPERLINK(AB2 &amp; "/pencil/sn_e081531e3f9ddad8bb01e8d0bddd5702/rendering/06.obj", "5.81405029297")</f>
        <v>5.81405029297</v>
      </c>
      <c r="J2149" s="60" t="str">
        <f>HYPERLINK(AB2 &amp; "/pencil/sn_e081531e3f9ddad8bb01e8d0bddd5702/rendering/07.obj", "5.81138000488")</f>
        <v>5.81138000488</v>
      </c>
      <c r="K2149" s="25" t="str">
        <f>HYPERLINK(AB2 &amp; "/pencil/sn_e081531e3f9ddad8bb01e8d0bddd5702/rendering/08.obj", "5.57661621094")</f>
        <v>5.57661621094</v>
      </c>
      <c r="L2149" s="13" t="str">
        <f>HYPERLINK(AB2 &amp; "/pencil/sn_e081531e3f9ddad8bb01e8d0bddd5702/rendering/09.obj", "5.52705871582")</f>
        <v>5.52705871582</v>
      </c>
      <c r="M2149" s="73" t="str">
        <f>HYPERLINK(AB2 &amp; "/pencil/sn_e081531e3f9ddad8bb01e8d0bddd5702/rendering/10.obj", "5.72204711914")</f>
        <v>5.72204711914</v>
      </c>
      <c r="N2149" s="30" t="str">
        <f>HYPERLINK(AB2 &amp; "/pencil/sn_e081531e3f9ddad8bb01e8d0bddd5702/rendering/11.obj", "5.54944091797")</f>
        <v>5.54944091797</v>
      </c>
      <c r="O2149" s="13" t="str">
        <f>HYPERLINK(AB2 &amp; "/pencil/sn_e081531e3f9ddad8bb01e8d0bddd5702/rendering/12.obj", "5.52965820312")</f>
        <v>5.52965820312</v>
      </c>
      <c r="P2149" s="17" t="str">
        <f>HYPERLINK(AB2 &amp; "/pencil/sn_e081531e3f9ddad8bb01e8d0bddd5702/rendering/13.obj", "5.4033026123")</f>
        <v>5.4033026123</v>
      </c>
      <c r="Q2149" s="6" t="str">
        <f>HYPERLINK(AB2 &amp; "/pencil/sn_e081531e3f9ddad8bb01e8d0bddd5702/rendering/14.obj", "5.27011657715")</f>
        <v>5.27011657715</v>
      </c>
      <c r="R2149" s="46" t="str">
        <f>HYPERLINK(AB2 &amp; "/pencil/sn_e081531e3f9ddad8bb01e8d0bddd5702/rendering/15.obj", "5.4283581543")</f>
        <v>5.4283581543</v>
      </c>
      <c r="S2149" s="10" t="str">
        <f>HYPERLINK(AB2 &amp; "/pencil/sn_e081531e3f9ddad8bb01e8d0bddd5702/rendering/16.obj", "5.82738342285")</f>
        <v>5.82738342285</v>
      </c>
      <c r="T2149" s="47" t="str">
        <f>HYPERLINK(AB2 &amp; "/pencil/sn_e081531e3f9ddad8bb01e8d0bddd5702/rendering/17.obj", "5.56041503906")</f>
        <v>5.56041503906</v>
      </c>
      <c r="U2149" s="17" t="str">
        <f>HYPERLINK(AB2 &amp; "/pencil/sn_e081531e3f9ddad8bb01e8d0bddd5702/rendering/18.obj", "5.41146057129")</f>
        <v>5.41146057129</v>
      </c>
      <c r="V2149" s="41" t="str">
        <f>HYPERLINK(AB2 &amp; "/pencil/sn_e081531e3f9ddad8bb01e8d0bddd5702/rendering/19.obj", "5.1407989502")</f>
        <v>5.1407989502</v>
      </c>
      <c r="W2149" s="12" t="s">
        <v>31</v>
      </c>
      <c r="X2149" s="13">
        <v>5.5186035766601584</v>
      </c>
      <c r="Y2149" s="13">
        <v>0.17882225106466751</v>
      </c>
      <c r="Z2149" s="72">
        <v>3.2403532629334139E-2</v>
      </c>
    </row>
    <row r="2150" spans="1:26" x14ac:dyDescent="0.2">
      <c r="A2150" s="1">
        <v>2148</v>
      </c>
      <c r="B2150" s="2" t="s">
        <v>462</v>
      </c>
      <c r="C2150" s="55" t="str">
        <f>HYPERLINK(AB2 &amp; "/pencil/sn_e081531e3f9ddad8bb01e8d0bddd5702/rendering/00.obj", "0.946779847145")</f>
        <v>0.946779847145</v>
      </c>
      <c r="D2150" s="74" t="str">
        <f>HYPERLINK(AB2 &amp; "/pencil/sn_e081531e3f9ddad8bb01e8d0bddd5702/rendering/01.obj", "1.1570494175")</f>
        <v>1.1570494175</v>
      </c>
      <c r="E2150" s="47" t="str">
        <f>HYPERLINK(AB2 &amp; "/pencil/sn_e081531e3f9ddad8bb01e8d0bddd5702/rendering/02.obj", "1.18355727196")</f>
        <v>1.18355727196</v>
      </c>
      <c r="F2150" s="10" t="str">
        <f>HYPERLINK(AB2 &amp; "/pencil/sn_e081531e3f9ddad8bb01e8d0bddd5702/rendering/03.obj", "1.11092877388")</f>
        <v>1.11092877388</v>
      </c>
      <c r="G2150" s="35" t="str">
        <f>HYPERLINK(AB2 &amp; "/pencil/sn_e081531e3f9ddad8bb01e8d0bddd5702/rendering/04.obj", "1.24219679832")</f>
        <v>1.24219679832</v>
      </c>
      <c r="H2150" s="48" t="str">
        <f>HYPERLINK(AB2 &amp; "/pencil/sn_e081531e3f9ddad8bb01e8d0bddd5702/rendering/05.obj", "1.20357203484")</f>
        <v>1.20357203484</v>
      </c>
      <c r="I2150" s="28" t="str">
        <f>HYPERLINK(AB2 &amp; "/pencil/sn_e081531e3f9ddad8bb01e8d0bddd5702/rendering/06.obj", "1.30407011509")</f>
        <v>1.30407011509</v>
      </c>
      <c r="J2150" s="6" t="str">
        <f>HYPERLINK(AB2 &amp; "/pencil/sn_e081531e3f9ddad8bb01e8d0bddd5702/rendering/07.obj", "1.22732055187")</f>
        <v>1.22732055187</v>
      </c>
      <c r="K2150" s="47" t="str">
        <f>HYPERLINK(AB2 &amp; "/pencil/sn_e081531e3f9ddad8bb01e8d0bddd5702/rendering/08.obj", "1.18407845497")</f>
        <v>1.18407845497</v>
      </c>
      <c r="L2150" s="46" t="str">
        <f>HYPERLINK(AB2 &amp; "/pencil/sn_e081531e3f9ddad8bb01e8d0bddd5702/rendering/09.obj", "1.15559160709")</f>
        <v>1.15559160709</v>
      </c>
      <c r="M2150" s="91" t="str">
        <f>HYPERLINK(AB2 &amp; "/pencil/sn_e081531e3f9ddad8bb01e8d0bddd5702/rendering/10.obj", "1.20567381382")</f>
        <v>1.20567381382</v>
      </c>
      <c r="N2150" s="46" t="str">
        <f>HYPERLINK(AB2 &amp; "/pencil/sn_e081531e3f9ddad8bb01e8d0bddd5702/rendering/11.obj", "1.15423429012")</f>
        <v>1.15423429012</v>
      </c>
      <c r="O2150" s="72" t="str">
        <f>HYPERLINK(AB2 &amp; "/pencil/sn_e081531e3f9ddad8bb01e8d0bddd5702/rendering/12.obj", "1.13701033592")</f>
        <v>1.13701033592</v>
      </c>
      <c r="P2150" s="47" t="str">
        <f>HYPERLINK(AB2 &amp; "/pencil/sn_e081531e3f9ddad8bb01e8d0bddd5702/rendering/13.obj", "1.18445682526")</f>
        <v>1.18445682526</v>
      </c>
      <c r="Q2150" s="34" t="str">
        <f>HYPERLINK(AB2 &amp; "/pencil/sn_e081531e3f9ddad8bb01e8d0bddd5702/rendering/14.obj", "1.1178842783")</f>
        <v>1.1178842783</v>
      </c>
      <c r="R2150" s="27" t="str">
        <f>HYPERLINK(AB2 &amp; "/pencil/sn_e081531e3f9ddad8bb01e8d0bddd5702/rendering/15.obj", "1.09381377697")</f>
        <v>1.09381377697</v>
      </c>
      <c r="S2150" s="31" t="str">
        <f>HYPERLINK(AB2 &amp; "/pencil/sn_e081531e3f9ddad8bb01e8d0bddd5702/rendering/16.obj", "1.35886311531")</f>
        <v>1.35886311531</v>
      </c>
      <c r="T2150" s="93" t="str">
        <f>HYPERLINK(AB2 &amp; "/pencil/sn_e081531e3f9ddad8bb01e8d0bddd5702/rendering/17.obj", "1.3383936882")</f>
        <v>1.3383936882</v>
      </c>
      <c r="U2150" s="10" t="str">
        <f>HYPERLINK(AB2 &amp; "/pencil/sn_e081531e3f9ddad8bb01e8d0bddd5702/rendering/18.obj", "1.23894548416")</f>
        <v>1.23894548416</v>
      </c>
      <c r="V2150" s="77" t="str">
        <f>HYPERLINK(AB2 &amp; "/pencil/sn_e081531e3f9ddad8bb01e8d0bddd5702/rendering/19.obj", "0.955831468105")</f>
        <v>0.955831468105</v>
      </c>
      <c r="W2150" s="12" t="s">
        <v>32</v>
      </c>
      <c r="X2150" s="13">
        <v>1.175012597441673</v>
      </c>
      <c r="Y2150" s="13">
        <v>0.10177366604749261</v>
      </c>
      <c r="Z2150" s="39">
        <v>8.6614957379250235E-2</v>
      </c>
    </row>
    <row r="2151" spans="1:26" x14ac:dyDescent="0.2">
      <c r="A2151" s="1">
        <v>2149</v>
      </c>
      <c r="B2151" s="2" t="s">
        <v>462</v>
      </c>
      <c r="C2151" s="13" t="str">
        <f>HYPERLINK(AC2 &amp; "/pencil/sn_e081531e3f9ddad8bb01e8d0bddd5702/rendering/00.xyz", "0.0")</f>
        <v>0.0</v>
      </c>
      <c r="D2151" s="13" t="str">
        <f>HYPERLINK(AC2 &amp; "/pencil/sn_e081531e3f9ddad8bb01e8d0bddd5702/rendering/01.xyz", "0.0")</f>
        <v>0.0</v>
      </c>
      <c r="E2151" s="13" t="str">
        <f>HYPERLINK(AC2 &amp; "/pencil/sn_e081531e3f9ddad8bb01e8d0bddd5702/rendering/02.xyz", "0.0")</f>
        <v>0.0</v>
      </c>
      <c r="F2151" s="13" t="str">
        <f>HYPERLINK(AC2 &amp; "/pencil/sn_e081531e3f9ddad8bb01e8d0bddd5702/rendering/03.xyz", "0.0")</f>
        <v>0.0</v>
      </c>
      <c r="G2151" s="13" t="str">
        <f>HYPERLINK(AC2 &amp; "/pencil/sn_e081531e3f9ddad8bb01e8d0bddd5702/rendering/04.xyz", "0.0")</f>
        <v>0.0</v>
      </c>
      <c r="H2151" s="13" t="str">
        <f>HYPERLINK(AC2 &amp; "/pencil/sn_e081531e3f9ddad8bb01e8d0bddd5702/rendering/05.xyz", "0.0")</f>
        <v>0.0</v>
      </c>
      <c r="I2151" s="13" t="str">
        <f>HYPERLINK(AC2 &amp; "/pencil/sn_e081531e3f9ddad8bb01e8d0bddd5702/rendering/06.xyz", "0.0")</f>
        <v>0.0</v>
      </c>
      <c r="J2151" s="13" t="str">
        <f>HYPERLINK(AC2 &amp; "/pencil/sn_e081531e3f9ddad8bb01e8d0bddd5702/rendering/07.xyz", "0.0")</f>
        <v>0.0</v>
      </c>
      <c r="K2151" s="13" t="str">
        <f>HYPERLINK(AC2 &amp; "/pencil/sn_e081531e3f9ddad8bb01e8d0bddd5702/rendering/08.xyz", "0.0")</f>
        <v>0.0</v>
      </c>
      <c r="L2151" s="13" t="str">
        <f>HYPERLINK(AC2 &amp; "/pencil/sn_e081531e3f9ddad8bb01e8d0bddd5702/rendering/09.xyz", "0.0")</f>
        <v>0.0</v>
      </c>
      <c r="M2151" s="13" t="str">
        <f>HYPERLINK(AC2 &amp; "/pencil/sn_e081531e3f9ddad8bb01e8d0bddd5702/rendering/10.xyz", "0.0")</f>
        <v>0.0</v>
      </c>
      <c r="N2151" s="13" t="str">
        <f>HYPERLINK(AC2 &amp; "/pencil/sn_e081531e3f9ddad8bb01e8d0bddd5702/rendering/11.xyz", "0.0")</f>
        <v>0.0</v>
      </c>
      <c r="O2151" s="13" t="str">
        <f>HYPERLINK(AC2 &amp; "/pencil/sn_e081531e3f9ddad8bb01e8d0bddd5702/rendering/12.xyz", "0.0")</f>
        <v>0.0</v>
      </c>
      <c r="P2151" s="13" t="str">
        <f>HYPERLINK(AC2 &amp; "/pencil/sn_e081531e3f9ddad8bb01e8d0bddd5702/rendering/13.xyz", "0.0")</f>
        <v>0.0</v>
      </c>
      <c r="Q2151" s="13" t="str">
        <f>HYPERLINK(AC2 &amp; "/pencil/sn_e081531e3f9ddad8bb01e8d0bddd5702/rendering/14.xyz", "0.0")</f>
        <v>0.0</v>
      </c>
      <c r="R2151" s="13" t="str">
        <f>HYPERLINK(AC2 &amp; "/pencil/sn_e081531e3f9ddad8bb01e8d0bddd5702/rendering/15.xyz", "0.0")</f>
        <v>0.0</v>
      </c>
      <c r="S2151" s="13" t="str">
        <f>HYPERLINK(AC2 &amp; "/pencil/sn_e081531e3f9ddad8bb01e8d0bddd5702/rendering/16.xyz", "0.0")</f>
        <v>0.0</v>
      </c>
      <c r="T2151" s="13" t="str">
        <f>HYPERLINK(AC2 &amp; "/pencil/sn_e081531e3f9ddad8bb01e8d0bddd5702/rendering/17.xyz", "0.0")</f>
        <v>0.0</v>
      </c>
      <c r="U2151" s="13" t="str">
        <f>HYPERLINK(AC2 &amp; "/pencil/sn_e081531e3f9ddad8bb01e8d0bddd5702/rendering/18.xyz", "0.0")</f>
        <v>0.0</v>
      </c>
      <c r="V2151" s="13" t="str">
        <f>HYPERLINK(AC2 &amp; "/pencil/sn_e081531e3f9ddad8bb01e8d0bddd5702/rendering/19.xyz", "0.0")</f>
        <v>0.0</v>
      </c>
      <c r="W2151" s="12" t="s">
        <v>33</v>
      </c>
      <c r="X2151" s="13">
        <v>0</v>
      </c>
      <c r="Y2151" s="13">
        <v>0</v>
      </c>
      <c r="Z2151" s="13">
        <v>0</v>
      </c>
    </row>
    <row r="2152" spans="1:26" x14ac:dyDescent="0.2">
      <c r="A2152" s="1">
        <v>2150</v>
      </c>
      <c r="B2152" s="2" t="s">
        <v>463</v>
      </c>
      <c r="C2152" s="117" t="str">
        <f>HYPERLINK(AA2 &amp; "/pencil/sn_e0c7865ad644afd1336115f25f0588da/rendering/00.obj", "3.27774597168")</f>
        <v>3.27774597168</v>
      </c>
      <c r="D2152" s="80" t="str">
        <f>HYPERLINK(AA2 &amp; "/pencil/sn_e0c7865ad644afd1336115f25f0588da/rendering/01.obj", "3.3890411377")</f>
        <v>3.3890411377</v>
      </c>
      <c r="E2152" s="63" t="str">
        <f>HYPERLINK(AA2 &amp; "/pencil/sn_e0c7865ad644afd1336115f25f0588da/rendering/02.obj", "3.50385284424")</f>
        <v>3.50385284424</v>
      </c>
      <c r="F2152" s="27" t="str">
        <f>HYPERLINK(AA2 &amp; "/pencil/sn_e0c7865ad644afd1336115f25f0588da/rendering/03.obj", "4.25801971436")</f>
        <v>4.25801971436</v>
      </c>
      <c r="G2152" s="49" t="str">
        <f>HYPERLINK(AA2 &amp; "/pencil/sn_e0c7865ad644afd1336115f25f0588da/rendering/04.obj", "3.14454345703")</f>
        <v>3.14454345703</v>
      </c>
      <c r="H2152" s="55" t="str">
        <f>HYPERLINK(AA2 &amp; "/pencil/sn_e0c7865ad644afd1336115f25f0588da/rendering/05.obj", "3.20634765625")</f>
        <v>3.20634765625</v>
      </c>
      <c r="I2152" s="39" t="str">
        <f>HYPERLINK(AA2 &amp; "/pencil/sn_e0c7865ad644afd1336115f25f0588da/rendering/06.obj", "3.63664855957")</f>
        <v>3.63664855957</v>
      </c>
      <c r="J2152" s="55" t="str">
        <f>HYPERLINK(AA2 &amp; "/pencil/sn_e0c7865ad644afd1336115f25f0588da/rendering/07.obj", "3.21770629883")</f>
        <v>3.21770629883</v>
      </c>
      <c r="K2152" s="120" t="str">
        <f>HYPERLINK(AA2 &amp; "/pencil/sn_e0c7865ad644afd1336115f25f0588da/rendering/08.obj", "4.82168182373")</f>
        <v>4.82168182373</v>
      </c>
      <c r="L2152" s="32" t="str">
        <f>HYPERLINK(AA2 &amp; "/pencil/sn_e0c7865ad644afd1336115f25f0588da/rendering/09.obj", "3.56337585449")</f>
        <v>3.56337585449</v>
      </c>
      <c r="M2152" s="77" t="str">
        <f>HYPERLINK(AA2 &amp; "/pencil/sn_e0c7865ad644afd1336115f25f0588da/rendering/10.obj", "3.23204040527")</f>
        <v>3.23204040527</v>
      </c>
      <c r="N2152" s="20" t="str">
        <f>HYPERLINK(AA2 &amp; "/pencil/sn_e0c7865ad644afd1336115f25f0588da/rendering/11.obj", "7.75280517578")</f>
        <v>7.75280517578</v>
      </c>
      <c r="O2152" s="32" t="str">
        <f>HYPERLINK(AA2 &amp; "/pencil/sn_e0c7865ad644afd1336115f25f0588da/rendering/12.obj", "3.55750701904")</f>
        <v>3.55750701904</v>
      </c>
      <c r="P2152" s="49" t="str">
        <f>HYPERLINK(AA2 &amp; "/pencil/sn_e0c7865ad644afd1336115f25f0588da/rendering/13.obj", "4.811824646")</f>
        <v>4.811824646</v>
      </c>
      <c r="Q2152" s="88" t="str">
        <f>HYPERLINK(AA2 &amp; "/pencil/sn_e0c7865ad644afd1336115f25f0588da/rendering/14.obj", "3.1733190918")</f>
        <v>3.1733190918</v>
      </c>
      <c r="R2152" s="134" t="str">
        <f>HYPERLINK(AA2 &amp; "/pencil/sn_e0c7865ad644afd1336115f25f0588da/rendering/15.obj", "3.26431213379")</f>
        <v>3.26431213379</v>
      </c>
      <c r="S2152" s="93" t="str">
        <f>HYPERLINK(AA2 &amp; "/pencil/sn_e0c7865ad644afd1336115f25f0588da/rendering/16.obj", "4.53725219727")</f>
        <v>4.53725219727</v>
      </c>
      <c r="T2152" s="85" t="str">
        <f>HYPERLINK(AA2 &amp; "/pencil/sn_e0c7865ad644afd1336115f25f0588da/rendering/17.obj", "5.16581970215")</f>
        <v>5.16581970215</v>
      </c>
      <c r="U2152" s="49" t="str">
        <f>HYPERLINK(AA2 &amp; "/pencil/sn_e0c7865ad644afd1336115f25f0588da/rendering/18.obj", "4.80869049072")</f>
        <v>4.80869049072</v>
      </c>
      <c r="V2152" s="117" t="str">
        <f>HYPERLINK(AA2 &amp; "/pencil/sn_e0c7865ad644afd1336115f25f0588da/rendering/19.obj", "3.2806036377")</f>
        <v>3.2806036377</v>
      </c>
      <c r="W2152" s="12" t="s">
        <v>29</v>
      </c>
      <c r="X2152" s="13">
        <v>3.9801568908691412</v>
      </c>
      <c r="Y2152" s="13">
        <v>1.0895727358098599</v>
      </c>
      <c r="Z2152" s="113">
        <v>0.27375120269993469</v>
      </c>
    </row>
    <row r="2153" spans="1:26" x14ac:dyDescent="0.2">
      <c r="A2153" s="1">
        <v>2151</v>
      </c>
      <c r="B2153" s="2" t="s">
        <v>463</v>
      </c>
      <c r="C2153" s="104" t="str">
        <f>HYPERLINK(AA2 &amp; "/pencil/sn_e0c7865ad644afd1336115f25f0588da/rendering/00.obj", "0.865803658962")</f>
        <v>0.865803658962</v>
      </c>
      <c r="D2153" s="179" t="str">
        <f>HYPERLINK(AA2 &amp; "/pencil/sn_e0c7865ad644afd1336115f25f0588da/rendering/01.obj", "0.940537154675")</f>
        <v>0.940537154675</v>
      </c>
      <c r="E2153" s="156" t="str">
        <f>HYPERLINK(AA2 &amp; "/pencil/sn_e0c7865ad644afd1336115f25f0588da/rendering/02.obj", "0.912548959255")</f>
        <v>0.912548959255</v>
      </c>
      <c r="F2153" s="72" t="str">
        <f>HYPERLINK(AA2 &amp; "/pencil/sn_e0c7865ad644afd1336115f25f0588da/rendering/03.obj", "1.59103512764")</f>
        <v>1.59103512764</v>
      </c>
      <c r="G2153" s="159" t="str">
        <f>HYPERLINK(AA2 &amp; "/pencil/sn_e0c7865ad644afd1336115f25f0588da/rendering/04.obj", "0.876546740532")</f>
        <v>0.876546740532</v>
      </c>
      <c r="H2153" s="53" t="str">
        <f>HYPERLINK(AA2 &amp; "/pencil/sn_e0c7865ad644afd1336115f25f0588da/rendering/05.obj", "0.969179928303")</f>
        <v>0.969179928303</v>
      </c>
      <c r="I2153" s="156" t="str">
        <f>HYPERLINK(AA2 &amp; "/pencil/sn_e0c7865ad644afd1336115f25f0588da/rendering/06.obj", "0.910244762897")</f>
        <v>0.910244762897</v>
      </c>
      <c r="J2153" s="212" t="str">
        <f>HYPERLINK(AA2 &amp; "/pencil/sn_e0c7865ad644afd1336115f25f0588da/rendering/07.obj", "0.93481105566")</f>
        <v>0.93481105566</v>
      </c>
      <c r="K2153" s="145" t="str">
        <f>HYPERLINK(AA2 &amp; "/pencil/sn_e0c7865ad644afd1336115f25f0588da/rendering/08.obj", "2.45890545845")</f>
        <v>2.45890545845</v>
      </c>
      <c r="L2153" s="111" t="str">
        <f>HYPERLINK(AA2 &amp; "/pencil/sn_e0c7865ad644afd1336115f25f0588da/rendering/09.obj", "0.953319728374")</f>
        <v>0.953319728374</v>
      </c>
      <c r="M2153" s="156" t="str">
        <f>HYPERLINK(AA2 &amp; "/pencil/sn_e0c7865ad644afd1336115f25f0588da/rendering/10.obj", "0.908958494663")</f>
        <v>0.908958494663</v>
      </c>
      <c r="N2153" s="20" t="str">
        <f>HYPERLINK(AA2 &amp; "/pencil/sn_e0c7865ad644afd1336115f25f0588da/rendering/11.obj", "6.82002353668")</f>
        <v>6.82002353668</v>
      </c>
      <c r="O2153" s="142" t="str">
        <f>HYPERLINK(AA2 &amp; "/pencil/sn_e0c7865ad644afd1336115f25f0588da/rendering/12.obj", "0.9999756217")</f>
        <v>0.9999756217</v>
      </c>
      <c r="P2153" s="174" t="str">
        <f>HYPERLINK(AA2 &amp; "/pencil/sn_e0c7865ad644afd1336115f25f0588da/rendering/13.obj", "2.5145945549")</f>
        <v>2.5145945549</v>
      </c>
      <c r="Q2153" s="139" t="str">
        <f>HYPERLINK(AA2 &amp; "/pencil/sn_e0c7865ad644afd1336115f25f0588da/rendering/14.obj", "0.852571904659")</f>
        <v>0.852571904659</v>
      </c>
      <c r="R2153" s="52" t="str">
        <f>HYPERLINK(AA2 &amp; "/pencil/sn_e0c7865ad644afd1336115f25f0588da/rendering/15.obj", "0.990005075932")</f>
        <v>0.990005075932</v>
      </c>
      <c r="S2153" s="142" t="str">
        <f>HYPERLINK(AA2 &amp; "/pencil/sn_e0c7865ad644afd1336115f25f0588da/rendering/16.obj", "2.29410362244")</f>
        <v>2.29410362244</v>
      </c>
      <c r="T2153" s="235" t="str">
        <f>HYPERLINK(AA2 &amp; "/pencil/sn_e0c7865ad644afd1336115f25f0588da/rendering/17.obj", "2.53954529762")</f>
        <v>2.53954529762</v>
      </c>
      <c r="U2153" s="186" t="str">
        <f>HYPERLINK(AA2 &amp; "/pencil/sn_e0c7865ad644afd1336115f25f0588da/rendering/18.obj", "2.63905858994")</f>
        <v>2.63905858994</v>
      </c>
      <c r="V2153" s="122" t="str">
        <f>HYPERLINK(AA2 &amp; "/pencil/sn_e0c7865ad644afd1336115f25f0588da/rendering/19.obj", "0.984095156193")</f>
        <v>0.984095156193</v>
      </c>
      <c r="W2153" s="12" t="s">
        <v>30</v>
      </c>
      <c r="X2153" s="13">
        <v>1.6477932214736939</v>
      </c>
      <c r="Y2153" s="13">
        <v>1.3614943623478879</v>
      </c>
      <c r="Z2153" s="20">
        <v>0.82625316368897517</v>
      </c>
    </row>
    <row r="2154" spans="1:26" x14ac:dyDescent="0.2">
      <c r="A2154" s="1">
        <v>2152</v>
      </c>
      <c r="B2154" s="2" t="s">
        <v>463</v>
      </c>
      <c r="C2154" s="83" t="str">
        <f>HYPERLINK(AB2 &amp; "/pencil/sn_e0c7865ad644afd1336115f25f0588da/rendering/00.obj", "3.49602020264")</f>
        <v>3.49602020264</v>
      </c>
      <c r="D2154" s="60" t="str">
        <f>HYPERLINK(AB2 &amp; "/pencil/sn_e0c7865ad644afd1336115f25f0588da/rendering/01.obj", "3.19262817383")</f>
        <v>3.19262817383</v>
      </c>
      <c r="E2154" s="68" t="str">
        <f>HYPERLINK(AB2 &amp; "/pencil/sn_e0c7865ad644afd1336115f25f0588da/rendering/02.obj", "2.90536376953")</f>
        <v>2.90536376953</v>
      </c>
      <c r="F2154" s="27" t="str">
        <f>HYPERLINK(AB2 &amp; "/pencil/sn_e0c7865ad644afd1336115f25f0588da/rendering/03.obj", "2.82606658936")</f>
        <v>2.82606658936</v>
      </c>
      <c r="G2154" s="91" t="str">
        <f>HYPERLINK(AB2 &amp; "/pencil/sn_e0c7865ad644afd1336115f25f0588da/rendering/04.obj", "2.95273986816")</f>
        <v>2.95273986816</v>
      </c>
      <c r="H2154" s="60" t="str">
        <f>HYPERLINK(AB2 &amp; "/pencil/sn_e0c7865ad644afd1336115f25f0588da/rendering/05.obj", "2.8762789917")</f>
        <v>2.8762789917</v>
      </c>
      <c r="I2154" s="72" t="str">
        <f>HYPERLINK(AB2 &amp; "/pencil/sn_e0c7865ad644afd1336115f25f0588da/rendering/06.obj", "2.94041809082")</f>
        <v>2.94041809082</v>
      </c>
      <c r="J2154" s="87" t="str">
        <f>HYPERLINK(AB2 &amp; "/pencil/sn_e0c7865ad644afd1336115f25f0588da/rendering/07.obj", "3.72861022949")</f>
        <v>3.72861022949</v>
      </c>
      <c r="K2154" s="46" t="str">
        <f>HYPERLINK(AB2 &amp; "/pencil/sn_e0c7865ad644afd1336115f25f0588da/rendering/08.obj", "3.0877935791")</f>
        <v>3.0877935791</v>
      </c>
      <c r="L2154" s="60" t="str">
        <f>HYPERLINK(AB2 &amp; "/pencil/sn_e0c7865ad644afd1336115f25f0588da/rendering/09.obj", "2.88226348877")</f>
        <v>2.88226348877</v>
      </c>
      <c r="M2154" s="68" t="str">
        <f>HYPERLINK(AB2 &amp; "/pencil/sn_e0c7865ad644afd1336115f25f0588da/rendering/10.obj", "3.16590026855")</f>
        <v>3.16590026855</v>
      </c>
      <c r="N2154" s="34" t="str">
        <f>HYPERLINK(AB2 &amp; "/pencil/sn_e0c7865ad644afd1336115f25f0588da/rendering/11.obj", "3.18196899414")</f>
        <v>3.18196899414</v>
      </c>
      <c r="O2154" s="46" t="str">
        <f>HYPERLINK(AB2 &amp; "/pencil/sn_e0c7865ad644afd1336115f25f0588da/rendering/12.obj", "2.98694152832")</f>
        <v>2.98694152832</v>
      </c>
      <c r="P2154" s="94" t="str">
        <f>HYPERLINK(AB2 &amp; "/pencil/sn_e0c7865ad644afd1336115f25f0588da/rendering/13.obj", "2.81127685547")</f>
        <v>2.81127685547</v>
      </c>
      <c r="Q2154" s="13" t="str">
        <f>HYPERLINK(AB2 &amp; "/pencil/sn_e0c7865ad644afd1336115f25f0588da/rendering/14.obj", "3.04189453125")</f>
        <v>3.04189453125</v>
      </c>
      <c r="R2154" s="91" t="str">
        <f>HYPERLINK(AB2 &amp; "/pencil/sn_e0c7865ad644afd1336115f25f0588da/rendering/15.obj", "2.9589855957")</f>
        <v>2.9589855957</v>
      </c>
      <c r="S2154" s="73" t="str">
        <f>HYPERLINK(AB2 &amp; "/pencil/sn_e0c7865ad644afd1336115f25f0588da/rendering/16.obj", "3.14572845459")</f>
        <v>3.14572845459</v>
      </c>
      <c r="T2154" s="69" t="str">
        <f>HYPERLINK(AB2 &amp; "/pencil/sn_e0c7865ad644afd1336115f25f0588da/rendering/17.obj", "2.94980560303")</f>
        <v>2.94980560303</v>
      </c>
      <c r="U2154" s="32" t="str">
        <f>HYPERLINK(AB2 &amp; "/pencil/sn_e0c7865ad644afd1336115f25f0588da/rendering/18.obj", "2.71587219238")</f>
        <v>2.71587219238</v>
      </c>
      <c r="V2154" s="34" t="str">
        <f>HYPERLINK(AB2 &amp; "/pencil/sn_e0c7865ad644afd1336115f25f0588da/rendering/19.obj", "2.88471679688")</f>
        <v>2.88471679688</v>
      </c>
      <c r="W2154" s="12" t="s">
        <v>31</v>
      </c>
      <c r="X2154" s="13">
        <v>3.0365636901855471</v>
      </c>
      <c r="Y2154" s="13">
        <v>0.2331073030146513</v>
      </c>
      <c r="Z2154" s="5">
        <v>7.6766808405196826E-2</v>
      </c>
    </row>
    <row r="2155" spans="1:26" x14ac:dyDescent="0.2">
      <c r="A2155" s="1">
        <v>2153</v>
      </c>
      <c r="B2155" s="2" t="s">
        <v>463</v>
      </c>
      <c r="C2155" s="106" t="str">
        <f>HYPERLINK(AB2 &amp; "/pencil/sn_e0c7865ad644afd1336115f25f0588da/rendering/00.obj", "1.02097022533")</f>
        <v>1.02097022533</v>
      </c>
      <c r="D2155" s="110" t="str">
        <f>HYPERLINK(AB2 &amp; "/pencil/sn_e0c7865ad644afd1336115f25f0588da/rendering/01.obj", "0.825212597847")</f>
        <v>0.825212597847</v>
      </c>
      <c r="E2155" s="70" t="str">
        <f>HYPERLINK(AB2 &amp; "/pencil/sn_e0c7865ad644afd1336115f25f0588da/rendering/02.obj", "1.03431582451")</f>
        <v>1.03431582451</v>
      </c>
      <c r="F2155" s="69" t="str">
        <f>HYPERLINK(AB2 &amp; "/pencil/sn_e0c7865ad644afd1336115f25f0588da/rendering/03.obj", "0.94373446703")</f>
        <v>0.94373446703</v>
      </c>
      <c r="G2155" s="8" t="str">
        <f>HYPERLINK(AB2 &amp; "/pencil/sn_e0c7865ad644afd1336115f25f0588da/rendering/04.obj", "0.785232365131")</f>
        <v>0.785232365131</v>
      </c>
      <c r="H2155" s="60" t="str">
        <f>HYPERLINK(AB2 &amp; "/pencil/sn_e0c7865ad644afd1336115f25f0588da/rendering/05.obj", "0.86874628067")</f>
        <v>0.86874628067</v>
      </c>
      <c r="I2155" s="28" t="str">
        <f>HYPERLINK(AB2 &amp; "/pencil/sn_e0c7865ad644afd1336115f25f0588da/rendering/06.obj", "0.814892053604")</f>
        <v>0.814892053604</v>
      </c>
      <c r="J2155" s="158" t="str">
        <f>HYPERLINK(AB2 &amp; "/pencil/sn_e0c7865ad644afd1336115f25f0588da/rendering/07.obj", "1.29354155064")</f>
        <v>1.29354155064</v>
      </c>
      <c r="K2155" s="78" t="str">
        <f>HYPERLINK(AB2 &amp; "/pencil/sn_e0c7865ad644afd1336115f25f0588da/rendering/08.obj", "0.861221075058")</f>
        <v>0.861221075058</v>
      </c>
      <c r="L2155" s="110" t="str">
        <f>HYPERLINK(AB2 &amp; "/pencil/sn_e0c7865ad644afd1336115f25f0588da/rendering/09.obj", "1.00726997852")</f>
        <v>1.00726997852</v>
      </c>
      <c r="M2155" s="94" t="str">
        <f>HYPERLINK(AB2 &amp; "/pencil/sn_e0c7865ad644afd1336115f25f0588da/rendering/10.obj", "0.850694715977")</f>
        <v>0.850694715977</v>
      </c>
      <c r="N2155" s="5" t="str">
        <f>HYPERLINK(AB2 &amp; "/pencil/sn_e0c7865ad644afd1336115f25f0588da/rendering/11.obj", "0.846803486347")</f>
        <v>0.846803486347</v>
      </c>
      <c r="O2155" s="73" t="str">
        <f>HYPERLINK(AB2 &amp; "/pencil/sn_e0c7865ad644afd1336115f25f0588da/rendering/12.obj", "0.9494561553")</f>
        <v>0.9494561553</v>
      </c>
      <c r="P2155" s="48" t="str">
        <f>HYPERLINK(AB2 &amp; "/pencil/sn_e0c7865ad644afd1336115f25f0588da/rendering/13.obj", "0.940186738968")</f>
        <v>0.940186738968</v>
      </c>
      <c r="Q2155" s="67" t="str">
        <f>HYPERLINK(AB2 &amp; "/pencil/sn_e0c7865ad644afd1336115f25f0588da/rendering/14.obj", "0.831440329552")</f>
        <v>0.831440329552</v>
      </c>
      <c r="R2155" s="28" t="str">
        <f>HYPERLINK(AB2 &amp; "/pencil/sn_e0c7865ad644afd1336115f25f0588da/rendering/15.obj", "0.813842892647")</f>
        <v>0.813842892647</v>
      </c>
      <c r="S2155" s="13" t="str">
        <f>HYPERLINK(AB2 &amp; "/pencil/sn_e0c7865ad644afd1336115f25f0588da/rendering/16.obj", "0.915353000164")</f>
        <v>0.915353000164</v>
      </c>
      <c r="T2155" s="27" t="str">
        <f>HYPERLINK(AB2 &amp; "/pencil/sn_e0c7865ad644afd1336115f25f0588da/rendering/17.obj", "0.853342473507")</f>
        <v>0.853342473507</v>
      </c>
      <c r="U2155" s="5" t="str">
        <f>HYPERLINK(AB2 &amp; "/pencil/sn_e0c7865ad644afd1336115f25f0588da/rendering/18.obj", "0.846083819866")</f>
        <v>0.846083819866</v>
      </c>
      <c r="V2155" s="42" t="str">
        <f>HYPERLINK(AB2 &amp; "/pencil/sn_e0c7865ad644afd1336115f25f0588da/rendering/19.obj", "1.04181313515")</f>
        <v>1.04181313515</v>
      </c>
      <c r="W2155" s="12" t="s">
        <v>32</v>
      </c>
      <c r="X2155" s="13">
        <v>0.91720765829086304</v>
      </c>
      <c r="Y2155" s="13">
        <v>0.11627800699421779</v>
      </c>
      <c r="Z2155" s="70">
        <v>0.1267739164006674</v>
      </c>
    </row>
    <row r="2156" spans="1:26" x14ac:dyDescent="0.2">
      <c r="A2156" s="1">
        <v>2154</v>
      </c>
      <c r="B2156" s="2" t="s">
        <v>463</v>
      </c>
      <c r="C2156" s="13" t="str">
        <f>HYPERLINK(AC2 &amp; "/pencil/sn_e0c7865ad644afd1336115f25f0588da/rendering/00.xyz", "0.0")</f>
        <v>0.0</v>
      </c>
      <c r="D2156" s="13" t="str">
        <f>HYPERLINK(AC2 &amp; "/pencil/sn_e0c7865ad644afd1336115f25f0588da/rendering/01.xyz", "0.0")</f>
        <v>0.0</v>
      </c>
      <c r="E2156" s="13" t="str">
        <f>HYPERLINK(AC2 &amp; "/pencil/sn_e0c7865ad644afd1336115f25f0588da/rendering/02.xyz", "0.0")</f>
        <v>0.0</v>
      </c>
      <c r="F2156" s="13" t="str">
        <f>HYPERLINK(AC2 &amp; "/pencil/sn_e0c7865ad644afd1336115f25f0588da/rendering/03.xyz", "0.0")</f>
        <v>0.0</v>
      </c>
      <c r="G2156" s="13" t="str">
        <f>HYPERLINK(AC2 &amp; "/pencil/sn_e0c7865ad644afd1336115f25f0588da/rendering/04.xyz", "0.0")</f>
        <v>0.0</v>
      </c>
      <c r="H2156" s="13" t="str">
        <f>HYPERLINK(AC2 &amp; "/pencil/sn_e0c7865ad644afd1336115f25f0588da/rendering/05.xyz", "0.0")</f>
        <v>0.0</v>
      </c>
      <c r="I2156" s="13" t="str">
        <f>HYPERLINK(AC2 &amp; "/pencil/sn_e0c7865ad644afd1336115f25f0588da/rendering/06.xyz", "0.0")</f>
        <v>0.0</v>
      </c>
      <c r="J2156" s="13" t="str">
        <f>HYPERLINK(AC2 &amp; "/pencil/sn_e0c7865ad644afd1336115f25f0588da/rendering/07.xyz", "0.0")</f>
        <v>0.0</v>
      </c>
      <c r="K2156" s="13" t="str">
        <f>HYPERLINK(AC2 &amp; "/pencil/sn_e0c7865ad644afd1336115f25f0588da/rendering/08.xyz", "0.0")</f>
        <v>0.0</v>
      </c>
      <c r="L2156" s="13" t="str">
        <f>HYPERLINK(AC2 &amp; "/pencil/sn_e0c7865ad644afd1336115f25f0588da/rendering/09.xyz", "0.0")</f>
        <v>0.0</v>
      </c>
      <c r="M2156" s="13" t="str">
        <f>HYPERLINK(AC2 &amp; "/pencil/sn_e0c7865ad644afd1336115f25f0588da/rendering/10.xyz", "0.0")</f>
        <v>0.0</v>
      </c>
      <c r="N2156" s="13" t="str">
        <f>HYPERLINK(AC2 &amp; "/pencil/sn_e0c7865ad644afd1336115f25f0588da/rendering/11.xyz", "0.0")</f>
        <v>0.0</v>
      </c>
      <c r="O2156" s="13" t="str">
        <f>HYPERLINK(AC2 &amp; "/pencil/sn_e0c7865ad644afd1336115f25f0588da/rendering/12.xyz", "0.0")</f>
        <v>0.0</v>
      </c>
      <c r="P2156" s="13" t="str">
        <f>HYPERLINK(AC2 &amp; "/pencil/sn_e0c7865ad644afd1336115f25f0588da/rendering/13.xyz", "0.0")</f>
        <v>0.0</v>
      </c>
      <c r="Q2156" s="13" t="str">
        <f>HYPERLINK(AC2 &amp; "/pencil/sn_e0c7865ad644afd1336115f25f0588da/rendering/14.xyz", "0.0")</f>
        <v>0.0</v>
      </c>
      <c r="R2156" s="13" t="str">
        <f>HYPERLINK(AC2 &amp; "/pencil/sn_e0c7865ad644afd1336115f25f0588da/rendering/15.xyz", "0.0")</f>
        <v>0.0</v>
      </c>
      <c r="S2156" s="13" t="str">
        <f>HYPERLINK(AC2 &amp; "/pencil/sn_e0c7865ad644afd1336115f25f0588da/rendering/16.xyz", "0.0")</f>
        <v>0.0</v>
      </c>
      <c r="T2156" s="13" t="str">
        <f>HYPERLINK(AC2 &amp; "/pencil/sn_e0c7865ad644afd1336115f25f0588da/rendering/17.xyz", "0.0")</f>
        <v>0.0</v>
      </c>
      <c r="U2156" s="13" t="str">
        <f>HYPERLINK(AC2 &amp; "/pencil/sn_e0c7865ad644afd1336115f25f0588da/rendering/18.xyz", "0.0")</f>
        <v>0.0</v>
      </c>
      <c r="V2156" s="13" t="str">
        <f>HYPERLINK(AC2 &amp; "/pencil/sn_e0c7865ad644afd1336115f25f0588da/rendering/19.xyz", "0.0")</f>
        <v>0.0</v>
      </c>
      <c r="W2156" s="12" t="s">
        <v>33</v>
      </c>
      <c r="X2156" s="13">
        <v>0</v>
      </c>
      <c r="Y2156" s="13">
        <v>0</v>
      </c>
      <c r="Z2156" s="13">
        <v>0</v>
      </c>
    </row>
    <row r="2157" spans="1:26" x14ac:dyDescent="0.2">
      <c r="A2157" s="1">
        <v>2155</v>
      </c>
      <c r="B2157" s="2" t="s">
        <v>464</v>
      </c>
      <c r="C2157" s="23" t="str">
        <f>HYPERLINK(AA2 &amp; "/pencil/sn_e121fc59ec952dffb38525e01968f715/rendering/00.obj", "3.64829071045")</f>
        <v>3.64829071045</v>
      </c>
      <c r="D2157" s="68" t="str">
        <f>HYPERLINK(AA2 &amp; "/pencil/sn_e121fc59ec952dffb38525e01968f715/rendering/01.obj", "3.63567993164")</f>
        <v>3.63567993164</v>
      </c>
      <c r="E2157" s="6" t="str">
        <f>HYPERLINK(AA2 &amp; "/pencil/sn_e121fc59ec952dffb38525e01968f715/rendering/02.obj", "3.61662200928")</f>
        <v>3.61662200928</v>
      </c>
      <c r="F2157" s="110" t="str">
        <f>HYPERLINK(AA2 &amp; "/pencil/sn_e121fc59ec952dffb38525e01968f715/rendering/03.obj", "4.17120300293")</f>
        <v>4.17120300293</v>
      </c>
      <c r="G2157" s="13" t="str">
        <f>HYPERLINK(AA2 &amp; "/pencil/sn_e121fc59ec952dffb38525e01968f715/rendering/04.obj", "3.79455566406")</f>
        <v>3.79455566406</v>
      </c>
      <c r="H2157" s="48" t="str">
        <f>HYPERLINK(AA2 &amp; "/pencil/sn_e121fc59ec952dffb38525e01968f715/rendering/05.obj", "3.69836242676")</f>
        <v>3.69836242676</v>
      </c>
      <c r="I2157" s="41" t="str">
        <f>HYPERLINK(AA2 &amp; "/pencil/sn_e121fc59ec952dffb38525e01968f715/rendering/06.obj", "3.53998260498")</f>
        <v>3.53998260498</v>
      </c>
      <c r="J2157" s="17" t="str">
        <f>HYPERLINK(AA2 &amp; "/pencil/sn_e121fc59ec952dffb38525e01968f715/rendering/07.obj", "3.86980407715")</f>
        <v>3.86980407715</v>
      </c>
      <c r="K2157" s="13" t="str">
        <f>HYPERLINK(AA2 &amp; "/pencil/sn_e121fc59ec952dffb38525e01968f715/rendering/08.obj", "3.78329864502")</f>
        <v>3.78329864502</v>
      </c>
      <c r="L2157" s="106" t="str">
        <f>HYPERLINK(AA2 &amp; "/pencil/sn_e121fc59ec952dffb38525e01968f715/rendering/09.obj", "4.2316418457")</f>
        <v>4.2316418457</v>
      </c>
      <c r="M2157" s="30" t="str">
        <f>HYPERLINK(AA2 &amp; "/pencil/sn_e121fc59ec952dffb38525e01968f715/rendering/10.obj", "3.81098937988")</f>
        <v>3.81098937988</v>
      </c>
      <c r="N2157" s="26" t="str">
        <f>HYPERLINK(AA2 &amp; "/pencil/sn_e121fc59ec952dffb38525e01968f715/rendering/11.obj", "4.0315927124")</f>
        <v>4.0315927124</v>
      </c>
      <c r="O2157" s="72" t="str">
        <f>HYPERLINK(AA2 &amp; "/pencil/sn_e121fc59ec952dffb38525e01968f715/rendering/12.obj", "3.66227478027")</f>
        <v>3.66227478027</v>
      </c>
      <c r="P2157" s="6" t="str">
        <f>HYPERLINK(AA2 &amp; "/pencil/sn_e121fc59ec952dffb38525e01968f715/rendering/13.obj", "3.62317443848")</f>
        <v>3.62317443848</v>
      </c>
      <c r="Q2157" s="47" t="str">
        <f>HYPERLINK(AA2 &amp; "/pencil/sn_e121fc59ec952dffb38525e01968f715/rendering/14.obj", "3.82169006348")</f>
        <v>3.82169006348</v>
      </c>
      <c r="R2157" s="46" t="str">
        <f>HYPERLINK(AA2 &amp; "/pencil/sn_e121fc59ec952dffb38525e01968f715/rendering/15.obj", "3.72707702637")</f>
        <v>3.72707702637</v>
      </c>
      <c r="S2157" s="94" t="str">
        <f>HYPERLINK(AA2 &amp; "/pencil/sn_e121fc59ec952dffb38525e01968f715/rendering/16.obj", "4.07336425781")</f>
        <v>4.07336425781</v>
      </c>
      <c r="T2157" s="46" t="str">
        <f>HYPERLINK(AA2 &amp; "/pencil/sn_e121fc59ec952dffb38525e01968f715/rendering/17.obj", "3.73187133789")</f>
        <v>3.73187133789</v>
      </c>
      <c r="U2157" s="41" t="str">
        <f>HYPERLINK(AA2 &amp; "/pencil/sn_e121fc59ec952dffb38525e01968f715/rendering/18.obj", "3.53666656494")</f>
        <v>3.53666656494</v>
      </c>
      <c r="V2157" s="25" t="str">
        <f>HYPERLINK(AA2 &amp; "/pencil/sn_e121fc59ec952dffb38525e01968f715/rendering/19.obj", "3.83835174561")</f>
        <v>3.83835174561</v>
      </c>
      <c r="W2157" s="12" t="s">
        <v>29</v>
      </c>
      <c r="X2157" s="13">
        <v>3.7923246612548831</v>
      </c>
      <c r="Y2157" s="13">
        <v>0.19360493480807961</v>
      </c>
      <c r="Z2157" s="60">
        <v>5.1051782772210119E-2</v>
      </c>
    </row>
    <row r="2158" spans="1:26" x14ac:dyDescent="0.2">
      <c r="A2158" s="1">
        <v>2156</v>
      </c>
      <c r="B2158" s="2" t="s">
        <v>464</v>
      </c>
      <c r="C2158" s="23" t="str">
        <f>HYPERLINK(AA2 &amp; "/pencil/sn_e121fc59ec952dffb38525e01968f715/rendering/00.obj", "0.844754159451")</f>
        <v>0.844754159451</v>
      </c>
      <c r="D2158" s="46" t="str">
        <f>HYPERLINK(AA2 &amp; "/pencil/sn_e121fc59ec952dffb38525e01968f715/rendering/01.obj", "0.863648176193")</f>
        <v>0.863648176193</v>
      </c>
      <c r="E2158" s="110" t="str">
        <f>HYPERLINK(AA2 &amp; "/pencil/sn_e121fc59ec952dffb38525e01968f715/rendering/02.obj", "0.791508376598")</f>
        <v>0.791508376598</v>
      </c>
      <c r="F2158" s="226" t="str">
        <f>HYPERLINK(AA2 &amp; "/pencil/sn_e121fc59ec952dffb38525e01968f715/rendering/03.obj", "1.37175512314")</f>
        <v>1.37175512314</v>
      </c>
      <c r="G2158" s="110" t="str">
        <f>HYPERLINK(AA2 &amp; "/pencil/sn_e121fc59ec952dffb38525e01968f715/rendering/04.obj", "0.790478467941")</f>
        <v>0.790478467941</v>
      </c>
      <c r="H2158" s="23" t="str">
        <f>HYPERLINK(AA2 &amp; "/pencil/sn_e121fc59ec952dffb38525e01968f715/rendering/05.obj", "0.843595385551")</f>
        <v>0.843595385551</v>
      </c>
      <c r="I2158" s="28" t="str">
        <f>HYPERLINK(AA2 &amp; "/pencil/sn_e121fc59ec952dffb38525e01968f715/rendering/06.obj", "0.781128525734")</f>
        <v>0.781128525734</v>
      </c>
      <c r="J2158" s="90" t="str">
        <f>HYPERLINK(AA2 &amp; "/pencil/sn_e121fc59ec952dffb38525e01968f715/rendering/07.obj", "0.794002950191")</f>
        <v>0.794002950191</v>
      </c>
      <c r="K2158" s="33" t="str">
        <f>HYPERLINK(AA2 &amp; "/pencil/sn_e121fc59ec952dffb38525e01968f715/rendering/08.obj", "0.783955514431")</f>
        <v>0.783955514431</v>
      </c>
      <c r="L2158" s="14" t="str">
        <f>HYPERLINK(AA2 &amp; "/pencil/sn_e121fc59ec952dffb38525e01968f715/rendering/09.obj", "1.13289487362")</f>
        <v>1.13289487362</v>
      </c>
      <c r="M2158" s="110" t="str">
        <f>HYPERLINK(AA2 &amp; "/pencil/sn_e121fc59ec952dffb38525e01968f715/rendering/10.obj", "0.965313076973")</f>
        <v>0.965313076973</v>
      </c>
      <c r="N2158" s="19" t="str">
        <f>HYPERLINK(AA2 &amp; "/pencil/sn_e121fc59ec952dffb38525e01968f715/rendering/11.obj", "1.10814547539")</f>
        <v>1.10814547539</v>
      </c>
      <c r="O2158" s="63" t="str">
        <f>HYPERLINK(AA2 &amp; "/pencil/sn_e121fc59ec952dffb38525e01968f715/rendering/12.obj", "0.77054554224")</f>
        <v>0.77054554224</v>
      </c>
      <c r="P2158" s="80" t="str">
        <f>HYPERLINK(AA2 &amp; "/pencil/sn_e121fc59ec952dffb38525e01968f715/rendering/13.obj", "0.746497809887")</f>
        <v>0.746497809887</v>
      </c>
      <c r="Q2158" s="46" t="str">
        <f>HYPERLINK(AA2 &amp; "/pencil/sn_e121fc59ec952dffb38525e01968f715/rendering/14.obj", "0.863216102123")</f>
        <v>0.863216102123</v>
      </c>
      <c r="R2158" s="106" t="str">
        <f>HYPERLINK(AA2 &amp; "/pencil/sn_e121fc59ec952dffb38525e01968f715/rendering/15.obj", "0.776852846146")</f>
        <v>0.776852846146</v>
      </c>
      <c r="S2158" s="34" t="str">
        <f>HYPERLINK(AA2 &amp; "/pencil/sn_e121fc59ec952dffb38525e01968f715/rendering/16.obj", "0.921485900879")</f>
        <v>0.921485900879</v>
      </c>
      <c r="T2158" s="64" t="str">
        <f>HYPERLINK(AA2 &amp; "/pencil/sn_e121fc59ec952dffb38525e01968f715/rendering/17.obj", "0.733282804489")</f>
        <v>0.733282804489</v>
      </c>
      <c r="U2158" s="79" t="str">
        <f>HYPERLINK(AA2 &amp; "/pencil/sn_e121fc59ec952dffb38525e01968f715/rendering/18.obj", "0.740090727806")</f>
        <v>0.740090727806</v>
      </c>
      <c r="V2158" s="26" t="str">
        <f>HYPERLINK(AA2 &amp; "/pencil/sn_e121fc59ec952dffb38525e01968f715/rendering/19.obj", "0.933827459812")</f>
        <v>0.933827459812</v>
      </c>
      <c r="W2158" s="12" t="s">
        <v>30</v>
      </c>
      <c r="X2158" s="13">
        <v>0.87784896492958064</v>
      </c>
      <c r="Y2158" s="13">
        <v>0.157564850919264</v>
      </c>
      <c r="Z2158" s="134">
        <v>0.17948970405393541</v>
      </c>
    </row>
    <row r="2159" spans="1:26" x14ac:dyDescent="0.2">
      <c r="A2159" s="1">
        <v>2157</v>
      </c>
      <c r="B2159" s="2" t="s">
        <v>464</v>
      </c>
      <c r="C2159" s="91" t="str">
        <f>HYPERLINK(AB2 &amp; "/pencil/sn_e121fc59ec952dffb38525e01968f715/rendering/00.obj", "5.55840515137")</f>
        <v>5.55840515137</v>
      </c>
      <c r="D2159" s="5" t="str">
        <f>HYPERLINK(AB2 &amp; "/pencil/sn_e121fc59ec952dffb38525e01968f715/rendering/01.obj", "5.27904663086")</f>
        <v>5.27904663086</v>
      </c>
      <c r="E2159" s="107" t="str">
        <f>HYPERLINK(AB2 &amp; "/pencil/sn_e121fc59ec952dffb38525e01968f715/rendering/02.obj", "5.24286987305")</f>
        <v>5.24286987305</v>
      </c>
      <c r="F2159" s="91" t="str">
        <f>HYPERLINK(AB2 &amp; "/pencil/sn_e121fc59ec952dffb38525e01968f715/rendering/03.obj", "5.859375")</f>
        <v>5.859375</v>
      </c>
      <c r="G2159" s="26" t="str">
        <f>HYPERLINK(AB2 &amp; "/pencil/sn_e121fc59ec952dffb38525e01968f715/rendering/04.obj", "6.07604187012")</f>
        <v>6.07604187012</v>
      </c>
      <c r="H2159" s="46" t="str">
        <f>HYPERLINK(AB2 &amp; "/pencil/sn_e121fc59ec952dffb38525e01968f715/rendering/05.obj", "5.60648742676")</f>
        <v>5.60648742676</v>
      </c>
      <c r="I2159" s="74" t="str">
        <f>HYPERLINK(AB2 &amp; "/pencil/sn_e121fc59ec952dffb38525e01968f715/rendering/06.obj", "5.79759216309")</f>
        <v>5.79759216309</v>
      </c>
      <c r="J2159" s="68" t="str">
        <f>HYPERLINK(AB2 &amp; "/pencil/sn_e121fc59ec952dffb38525e01968f715/rendering/07.obj", "5.95121765137")</f>
        <v>5.95121765137</v>
      </c>
      <c r="K2159" s="13" t="str">
        <f>HYPERLINK(AB2 &amp; "/pencil/sn_e121fc59ec952dffb38525e01968f715/rendering/08.obj", "5.69421875")</f>
        <v>5.69421875</v>
      </c>
      <c r="L2159" s="30" t="str">
        <f>HYPERLINK(AB2 &amp; "/pencil/sn_e121fc59ec952dffb38525e01968f715/rendering/09.obj", "5.6774230957")</f>
        <v>5.6774230957</v>
      </c>
      <c r="M2159" s="13" t="str">
        <f>HYPERLINK(AB2 &amp; "/pencil/sn_e121fc59ec952dffb38525e01968f715/rendering/10.obj", "5.72708068848")</f>
        <v>5.72708068848</v>
      </c>
      <c r="N2159" s="26" t="str">
        <f>HYPERLINK(AB2 &amp; "/pencil/sn_e121fc59ec952dffb38525e01968f715/rendering/11.obj", "6.07178710938")</f>
        <v>6.07178710938</v>
      </c>
      <c r="O2159" s="74" t="str">
        <f>HYPERLINK(AB2 &amp; "/pencil/sn_e121fc59ec952dffb38525e01968f715/rendering/12.obj", "5.79303344727")</f>
        <v>5.79303344727</v>
      </c>
      <c r="P2159" s="17" t="str">
        <f>HYPERLINK(AB2 &amp; "/pencil/sn_e121fc59ec952dffb38525e01968f715/rendering/13.obj", "5.82694213867")</f>
        <v>5.82694213867</v>
      </c>
      <c r="Q2159" s="73" t="str">
        <f>HYPERLINK(AB2 &amp; "/pencil/sn_e121fc59ec952dffb38525e01968f715/rendering/14.obj", "5.91317749023")</f>
        <v>5.91317749023</v>
      </c>
      <c r="R2159" s="34" t="str">
        <f>HYPERLINK(AB2 &amp; "/pencil/sn_e121fc59ec952dffb38525e01968f715/rendering/15.obj", "5.43350891113")</f>
        <v>5.43350891113</v>
      </c>
      <c r="S2159" s="13" t="str">
        <f>HYPERLINK(AB2 &amp; "/pencil/sn_e121fc59ec952dffb38525e01968f715/rendering/16.obj", "5.70933227539")</f>
        <v>5.70933227539</v>
      </c>
      <c r="T2159" s="13" t="str">
        <f>HYPERLINK(AB2 &amp; "/pencil/sn_e121fc59ec952dffb38525e01968f715/rendering/17.obj", "5.7096105957")</f>
        <v>5.7096105957</v>
      </c>
      <c r="U2159" s="72" t="str">
        <f>HYPERLINK(AB2 &amp; "/pencil/sn_e121fc59ec952dffb38525e01968f715/rendering/18.obj", "5.52711791992")</f>
        <v>5.52711791992</v>
      </c>
      <c r="V2159" s="30" t="str">
        <f>HYPERLINK(AB2 &amp; "/pencil/sn_e121fc59ec952dffb38525e01968f715/rendering/19.obj", "5.7374407959")</f>
        <v>5.7374407959</v>
      </c>
      <c r="W2159" s="12" t="s">
        <v>31</v>
      </c>
      <c r="X2159" s="13">
        <v>5.7095854492187508</v>
      </c>
      <c r="Y2159" s="13">
        <v>0.21963281930713729</v>
      </c>
      <c r="Z2159" s="23">
        <v>3.8467384586947533E-2</v>
      </c>
    </row>
    <row r="2160" spans="1:26" x14ac:dyDescent="0.2">
      <c r="A2160" s="1">
        <v>2158</v>
      </c>
      <c r="B2160" s="2" t="s">
        <v>464</v>
      </c>
      <c r="C2160" s="82" t="str">
        <f>HYPERLINK(AB2 &amp; "/pencil/sn_e121fc59ec952dffb38525e01968f715/rendering/00.obj", "0.83717083931")</f>
        <v>0.83717083931</v>
      </c>
      <c r="D2160" s="87" t="str">
        <f>HYPERLINK(AB2 &amp; "/pencil/sn_e121fc59ec952dffb38525e01968f715/rendering/01.obj", "0.815927863121")</f>
        <v>0.815927863121</v>
      </c>
      <c r="E2160" s="36" t="str">
        <f>HYPERLINK(AB2 &amp; "/pencil/sn_e121fc59ec952dffb38525e01968f715/rendering/02.obj", "0.827883422375")</f>
        <v>0.827883422375</v>
      </c>
      <c r="F2160" s="10" t="str">
        <f>HYPERLINK(AB2 &amp; "/pencil/sn_e121fc59ec952dffb38525e01968f715/rendering/03.obj", "1.11253082752")</f>
        <v>1.11253082752</v>
      </c>
      <c r="G2160" s="110" t="str">
        <f>HYPERLINK(AB2 &amp; "/pencil/sn_e121fc59ec952dffb38525e01968f715/rendering/04.obj", "1.15737366676")</f>
        <v>1.15737366676</v>
      </c>
      <c r="H2160" s="5" t="str">
        <f>HYPERLINK(AB2 &amp; "/pencil/sn_e121fc59ec952dffb38525e01968f715/rendering/05.obj", "0.974575459957")</f>
        <v>0.974575459957</v>
      </c>
      <c r="I2160" s="30" t="str">
        <f>HYPERLINK(AB2 &amp; "/pencil/sn_e121fc59ec952dffb38525e01968f715/rendering/06.obj", "1.04807174206")</f>
        <v>1.04807174206</v>
      </c>
      <c r="J2160" s="37" t="str">
        <f>HYPERLINK(AB2 &amp; "/pencil/sn_e121fc59ec952dffb38525e01968f715/rendering/07.obj", "1.23877549171")</f>
        <v>1.23877549171</v>
      </c>
      <c r="K2160" s="74" t="str">
        <f>HYPERLINK(AB2 &amp; "/pencil/sn_e121fc59ec952dffb38525e01968f715/rendering/08.obj", "1.06782674789")</f>
        <v>1.06782674789</v>
      </c>
      <c r="L2160" s="32" t="str">
        <f>HYPERLINK(AB2 &amp; "/pencil/sn_e121fc59ec952dffb38525e01968f715/rendering/09.obj", "0.943558633327")</f>
        <v>0.943558633327</v>
      </c>
      <c r="M2160" s="90" t="str">
        <f>HYPERLINK(AB2 &amp; "/pencil/sn_e121fc59ec952dffb38525e01968f715/rendering/10.obj", "1.154951334")</f>
        <v>1.154951334</v>
      </c>
      <c r="N2160" s="52" t="str">
        <f>HYPERLINK(AB2 &amp; "/pencil/sn_e121fc59ec952dffb38525e01968f715/rendering/11.obj", "1.47739255428")</f>
        <v>1.47739255428</v>
      </c>
      <c r="O2160" s="65" t="str">
        <f>HYPERLINK(AB2 &amp; "/pencil/sn_e121fc59ec952dffb38525e01968f715/rendering/12.obj", "1.1961581707")</f>
        <v>1.1961581707</v>
      </c>
      <c r="P2160" s="94" t="str">
        <f>HYPERLINK(AB2 &amp; "/pencil/sn_e121fc59ec952dffb38525e01968f715/rendering/13.obj", "1.13070201874")</f>
        <v>1.13070201874</v>
      </c>
      <c r="Q2160" s="73" t="str">
        <f>HYPERLINK(AB2 &amp; "/pencil/sn_e121fc59ec952dffb38525e01968f715/rendering/14.obj", "1.01570236683")</f>
        <v>1.01570236683</v>
      </c>
      <c r="R2160" s="68" t="str">
        <f>HYPERLINK(AB2 &amp; "/pencil/sn_e121fc59ec952dffb38525e01968f715/rendering/15.obj", "1.00941038132")</f>
        <v>1.00941038132</v>
      </c>
      <c r="S2160" s="46" t="str">
        <f>HYPERLINK(AB2 &amp; "/pencil/sn_e121fc59ec952dffb38525e01968f715/rendering/16.obj", "1.07349872589")</f>
        <v>1.07349872589</v>
      </c>
      <c r="T2160" s="25" t="str">
        <f>HYPERLINK(AB2 &amp; "/pencil/sn_e121fc59ec952dffb38525e01968f715/rendering/17.obj", "1.06648659706")</f>
        <v>1.06648659706</v>
      </c>
      <c r="U2160" s="40" t="str">
        <f>HYPERLINK(AB2 &amp; "/pencil/sn_e121fc59ec952dffb38525e01968f715/rendering/18.obj", "0.873142898083")</f>
        <v>0.873142898083</v>
      </c>
      <c r="V2160" s="74" t="str">
        <f>HYPERLINK(AB2 &amp; "/pencil/sn_e121fc59ec952dffb38525e01968f715/rendering/19.obj", "1.06815350056")</f>
        <v>1.06815350056</v>
      </c>
      <c r="W2160" s="12" t="s">
        <v>32</v>
      </c>
      <c r="X2160" s="13">
        <v>1.0544646620750431</v>
      </c>
      <c r="Y2160" s="13">
        <v>0.15398842330026319</v>
      </c>
      <c r="Z2160" s="84">
        <v>0.14603469308988981</v>
      </c>
    </row>
    <row r="2161" spans="1:26" x14ac:dyDescent="0.2">
      <c r="A2161" s="1">
        <v>2159</v>
      </c>
      <c r="B2161" s="2" t="s">
        <v>464</v>
      </c>
      <c r="C2161" s="13" t="str">
        <f>HYPERLINK(AC2 &amp; "/pencil/sn_e121fc59ec952dffb38525e01968f715/rendering/00.xyz", "0.0")</f>
        <v>0.0</v>
      </c>
      <c r="D2161" s="13" t="str">
        <f>HYPERLINK(AC2 &amp; "/pencil/sn_e121fc59ec952dffb38525e01968f715/rendering/01.xyz", "0.0")</f>
        <v>0.0</v>
      </c>
      <c r="E2161" s="13" t="str">
        <f>HYPERLINK(AC2 &amp; "/pencil/sn_e121fc59ec952dffb38525e01968f715/rendering/02.xyz", "0.0")</f>
        <v>0.0</v>
      </c>
      <c r="F2161" s="13" t="str">
        <f>HYPERLINK(AC2 &amp; "/pencil/sn_e121fc59ec952dffb38525e01968f715/rendering/03.xyz", "0.0")</f>
        <v>0.0</v>
      </c>
      <c r="G2161" s="13" t="str">
        <f>HYPERLINK(AC2 &amp; "/pencil/sn_e121fc59ec952dffb38525e01968f715/rendering/04.xyz", "0.0")</f>
        <v>0.0</v>
      </c>
      <c r="H2161" s="13" t="str">
        <f>HYPERLINK(AC2 &amp; "/pencil/sn_e121fc59ec952dffb38525e01968f715/rendering/05.xyz", "0.0")</f>
        <v>0.0</v>
      </c>
      <c r="I2161" s="13" t="str">
        <f>HYPERLINK(AC2 &amp; "/pencil/sn_e121fc59ec952dffb38525e01968f715/rendering/06.xyz", "0.0")</f>
        <v>0.0</v>
      </c>
      <c r="J2161" s="13" t="str">
        <f>HYPERLINK(AC2 &amp; "/pencil/sn_e121fc59ec952dffb38525e01968f715/rendering/07.xyz", "0.0")</f>
        <v>0.0</v>
      </c>
      <c r="K2161" s="13" t="str">
        <f>HYPERLINK(AC2 &amp; "/pencil/sn_e121fc59ec952dffb38525e01968f715/rendering/08.xyz", "0.0")</f>
        <v>0.0</v>
      </c>
      <c r="L2161" s="13" t="str">
        <f>HYPERLINK(AC2 &amp; "/pencil/sn_e121fc59ec952dffb38525e01968f715/rendering/09.xyz", "0.0")</f>
        <v>0.0</v>
      </c>
      <c r="M2161" s="13" t="str">
        <f>HYPERLINK(AC2 &amp; "/pencil/sn_e121fc59ec952dffb38525e01968f715/rendering/10.xyz", "0.0")</f>
        <v>0.0</v>
      </c>
      <c r="N2161" s="13" t="str">
        <f>HYPERLINK(AC2 &amp; "/pencil/sn_e121fc59ec952dffb38525e01968f715/rendering/11.xyz", "0.0")</f>
        <v>0.0</v>
      </c>
      <c r="O2161" s="13" t="str">
        <f>HYPERLINK(AC2 &amp; "/pencil/sn_e121fc59ec952dffb38525e01968f715/rendering/12.xyz", "0.0")</f>
        <v>0.0</v>
      </c>
      <c r="P2161" s="13" t="str">
        <f>HYPERLINK(AC2 &amp; "/pencil/sn_e121fc59ec952dffb38525e01968f715/rendering/13.xyz", "0.0")</f>
        <v>0.0</v>
      </c>
      <c r="Q2161" s="13" t="str">
        <f>HYPERLINK(AC2 &amp; "/pencil/sn_e121fc59ec952dffb38525e01968f715/rendering/14.xyz", "0.0")</f>
        <v>0.0</v>
      </c>
      <c r="R2161" s="13" t="str">
        <f>HYPERLINK(AC2 &amp; "/pencil/sn_e121fc59ec952dffb38525e01968f715/rendering/15.xyz", "0.0")</f>
        <v>0.0</v>
      </c>
      <c r="S2161" s="13" t="str">
        <f>HYPERLINK(AC2 &amp; "/pencil/sn_e121fc59ec952dffb38525e01968f715/rendering/16.xyz", "0.0")</f>
        <v>0.0</v>
      </c>
      <c r="T2161" s="13" t="str">
        <f>HYPERLINK(AC2 &amp; "/pencil/sn_e121fc59ec952dffb38525e01968f715/rendering/17.xyz", "0.0")</f>
        <v>0.0</v>
      </c>
      <c r="U2161" s="13" t="str">
        <f>HYPERLINK(AC2 &amp; "/pencil/sn_e121fc59ec952dffb38525e01968f715/rendering/18.xyz", "0.0")</f>
        <v>0.0</v>
      </c>
      <c r="V2161" s="13" t="str">
        <f>HYPERLINK(AC2 &amp; "/pencil/sn_e121fc59ec952dffb38525e01968f715/rendering/19.xyz", "0.0")</f>
        <v>0.0</v>
      </c>
      <c r="W2161" s="12" t="s">
        <v>33</v>
      </c>
      <c r="X2161" s="13">
        <v>0</v>
      </c>
      <c r="Y2161" s="13">
        <v>0</v>
      </c>
      <c r="Z2161" s="13">
        <v>0</v>
      </c>
    </row>
    <row r="2162" spans="1:26" x14ac:dyDescent="0.2">
      <c r="A2162" s="1">
        <v>2160</v>
      </c>
      <c r="B2162" s="2" t="s">
        <v>465</v>
      </c>
      <c r="C2162" s="113" t="str">
        <f>HYPERLINK(AA2 &amp; "/pencil/sn_e1dcd7c5d05413c29a293c6471e6f319/rendering/00.obj", "8.33229797363")</f>
        <v>8.33229797363</v>
      </c>
      <c r="D2162" s="140" t="str">
        <f>HYPERLINK(AA2 &amp; "/pencil/sn_e1dcd7c5d05413c29a293c6471e6f319/rendering/01.obj", "7.51162414551")</f>
        <v>7.51162414551</v>
      </c>
      <c r="E2162" s="72" t="str">
        <f>HYPERLINK(AA2 &amp; "/pencil/sn_e1dcd7c5d05413c29a293c6471e6f319/rendering/02.obj", "11.8516027832")</f>
        <v>11.8516027832</v>
      </c>
      <c r="F2162" s="168" t="str">
        <f>HYPERLINK(AA2 &amp; "/pencil/sn_e1dcd7c5d05413c29a293c6471e6f319/rendering/03.obj", "7.80370605469")</f>
        <v>7.80370605469</v>
      </c>
      <c r="G2162" s="88" t="str">
        <f>HYPERLINK(AA2 &amp; "/pencil/sn_e1dcd7c5d05413c29a293c6471e6f319/rendering/04.obj", "9.16174316406")</f>
        <v>9.16174316406</v>
      </c>
      <c r="H2162" s="153" t="str">
        <f>HYPERLINK(AA2 &amp; "/pencil/sn_e1dcd7c5d05413c29a293c6471e6f319/rendering/05.obj", "7.39186401367")</f>
        <v>7.39186401367</v>
      </c>
      <c r="I2162" s="69" t="str">
        <f>HYPERLINK(AA2 &amp; "/pencil/sn_e1dcd7c5d05413c29a293c6471e6f319/rendering/06.obj", "11.1653833008")</f>
        <v>11.1653833008</v>
      </c>
      <c r="J2162" s="203" t="str">
        <f>HYPERLINK(AA2 &amp; "/pencil/sn_e1dcd7c5d05413c29a293c6471e6f319/rendering/07.obj", "6.15318847656")</f>
        <v>6.15318847656</v>
      </c>
      <c r="K2162" s="20" t="str">
        <f>HYPERLINK(AA2 &amp; "/pencil/sn_e1dcd7c5d05413c29a293c6471e6f319/rendering/08.obj", "21.6389233398")</f>
        <v>21.6389233398</v>
      </c>
      <c r="L2162" s="20" t="str">
        <f>HYPERLINK(AA2 &amp; "/pencil/sn_e1dcd7c5d05413c29a293c6471e6f319/rendering/09.obj", "26.7965185547")</f>
        <v>26.7965185547</v>
      </c>
      <c r="M2162" s="23" t="str">
        <f>HYPERLINK(AA2 &amp; "/pencil/sn_e1dcd7c5d05413c29a293c6471e6f319/rendering/10.obj", "11.9305200195")</f>
        <v>11.9305200195</v>
      </c>
      <c r="N2162" s="21" t="str">
        <f>HYPERLINK(AA2 &amp; "/pencil/sn_e1dcd7c5d05413c29a293c6471e6f319/rendering/11.obj", "5.13389160156")</f>
        <v>5.13389160156</v>
      </c>
      <c r="O2162" s="223" t="str">
        <f>HYPERLINK(AA2 &amp; "/pencil/sn_e1dcd7c5d05413c29a293c6471e6f319/rendering/12.obj", "5.0549017334")</f>
        <v>5.0549017334</v>
      </c>
      <c r="P2162" s="182" t="str">
        <f>HYPERLINK(AA2 &amp; "/pencil/sn_e1dcd7c5d05413c29a293c6471e6f319/rendering/13.obj", "7.66325134277")</f>
        <v>7.66325134277</v>
      </c>
      <c r="Q2162" s="11" t="str">
        <f>HYPERLINK(AA2 &amp; "/pencil/sn_e1dcd7c5d05413c29a293c6471e6f319/rendering/14.obj", "8.91648193359")</f>
        <v>8.91648193359</v>
      </c>
      <c r="R2162" s="131" t="str">
        <f>HYPERLINK(AA2 &amp; "/pencil/sn_e1dcd7c5d05413c29a293c6471e6f319/rendering/15.obj", "16.8189465332")</f>
        <v>16.8189465332</v>
      </c>
      <c r="S2162" s="60" t="str">
        <f>HYPERLINK(AA2 &amp; "/pencil/sn_e1dcd7c5d05413c29a293c6471e6f319/rendering/16.obj", "10.905111084")</f>
        <v>10.905111084</v>
      </c>
      <c r="T2162" s="20" t="str">
        <f>HYPERLINK(AA2 &amp; "/pencil/sn_e1dcd7c5d05413c29a293c6471e6f319/rendering/17.obj", "22.1580493164")</f>
        <v>22.1580493164</v>
      </c>
      <c r="U2162" s="48" t="str">
        <f>HYPERLINK(AA2 &amp; "/pencil/sn_e1dcd7c5d05413c29a293c6471e6f319/rendering/18.obj", "11.2224084473")</f>
        <v>11.2224084473</v>
      </c>
      <c r="V2162" s="78" t="str">
        <f>HYPERLINK(AA2 &amp; "/pencil/sn_e1dcd7c5d05413c29a293c6471e6f319/rendering/19.obj", "12.2011535645")</f>
        <v>12.2011535645</v>
      </c>
      <c r="W2162" s="12" t="s">
        <v>29</v>
      </c>
      <c r="X2162" s="13">
        <v>11.49057836914062</v>
      </c>
      <c r="Y2162" s="13">
        <v>5.8051989867259151</v>
      </c>
      <c r="Z2162" s="15">
        <v>0.50521381955119837</v>
      </c>
    </row>
    <row r="2163" spans="1:26" x14ac:dyDescent="0.2">
      <c r="A2163" s="1">
        <v>2161</v>
      </c>
      <c r="B2163" s="2" t="s">
        <v>465</v>
      </c>
      <c r="C2163" s="251" t="str">
        <f>HYPERLINK(AA2 &amp; "/pencil/sn_e1dcd7c5d05413c29a293c6471e6f319/rendering/00.obj", "18.5877761841")</f>
        <v>18.5877761841</v>
      </c>
      <c r="D2163" s="233" t="str">
        <f>HYPERLINK(AA2 &amp; "/pencil/sn_e1dcd7c5d05413c29a293c6471e6f319/rendering/01.obj", "13.473651886")</f>
        <v>13.473651886</v>
      </c>
      <c r="E2163" s="87" t="str">
        <f>HYPERLINK(AA2 &amp; "/pencil/sn_e1dcd7c5d05413c29a293c6471e6f319/rendering/02.obj", "34.8578987122")</f>
        <v>34.8578987122</v>
      </c>
      <c r="F2163" s="16" t="str">
        <f>HYPERLINK(AA2 &amp; "/pencil/sn_e1dcd7c5d05413c29a293c6471e6f319/rendering/03.obj", "20.6044521332")</f>
        <v>20.6044521332</v>
      </c>
      <c r="G2163" s="202" t="str">
        <f>HYPERLINK(AA2 &amp; "/pencil/sn_e1dcd7c5d05413c29a293c6471e6f319/rendering/04.obj", "16.7797813416")</f>
        <v>16.7797813416</v>
      </c>
      <c r="H2163" s="115" t="str">
        <f>HYPERLINK(AA2 &amp; "/pencil/sn_e1dcd7c5d05413c29a293c6471e6f319/rendering/05.obj", "16.3111248016")</f>
        <v>16.3111248016</v>
      </c>
      <c r="I2163" s="137" t="str">
        <f>HYPERLINK(AA2 &amp; "/pencil/sn_e1dcd7c5d05413c29a293c6471e6f319/rendering/06.obj", "28.619430542")</f>
        <v>28.619430542</v>
      </c>
      <c r="J2163" s="199" t="str">
        <f>HYPERLINK(AA2 &amp; "/pencil/sn_e1dcd7c5d05413c29a293c6471e6f319/rendering/07.obj", "9.70996284485")</f>
        <v>9.70996284485</v>
      </c>
      <c r="K2163" s="20" t="str">
        <f>HYPERLINK(AA2 &amp; "/pencil/sn_e1dcd7c5d05413c29a293c6471e6f319/rendering/08.obj", "150.900527954")</f>
        <v>150.900527954</v>
      </c>
      <c r="L2163" s="20" t="str">
        <f>HYPERLINK(AA2 &amp; "/pencil/sn_e1dcd7c5d05413c29a293c6471e6f319/rendering/09.obj", "201.960250854")</f>
        <v>201.960250854</v>
      </c>
      <c r="M2163" s="48" t="str">
        <f>HYPERLINK(AA2 &amp; "/pencil/sn_e1dcd7c5d05413c29a293c6471e6f319/rendering/10.obj", "46.2732048035")</f>
        <v>46.2732048035</v>
      </c>
      <c r="N2163" s="20" t="str">
        <f>HYPERLINK(AA2 &amp; "/pencil/sn_e1dcd7c5d05413c29a293c6471e6f319/rendering/11.obj", "6.57447957993")</f>
        <v>6.57447957993</v>
      </c>
      <c r="O2163" s="20" t="str">
        <f>HYPERLINK(AA2 &amp; "/pencil/sn_e1dcd7c5d05413c29a293c6471e6f319/rendering/12.obj", "6.47033643723")</f>
        <v>6.47033643723</v>
      </c>
      <c r="P2163" s="165" t="str">
        <f>HYPERLINK(AA2 &amp; "/pencil/sn_e1dcd7c5d05413c29a293c6471e6f319/rendering/13.obj", "13.9382858276")</f>
        <v>13.9382858276</v>
      </c>
      <c r="Q2163" s="240" t="str">
        <f>HYPERLINK(AA2 &amp; "/pencil/sn_e1dcd7c5d05413c29a293c6471e6f319/rendering/14.obj", "15.6269321442")</f>
        <v>15.6269321442</v>
      </c>
      <c r="R2163" s="253" t="str">
        <f>HYPERLINK(AA2 &amp; "/pencil/sn_e1dcd7c5d05413c29a293c6471e6f319/rendering/15.obj", "77.9988555908")</f>
        <v>77.9988555908</v>
      </c>
      <c r="S2163" s="61" t="str">
        <f>HYPERLINK(AA2 &amp; "/pencil/sn_e1dcd7c5d05413c29a293c6471e6f319/rendering/16.obj", "31.5425281525")</f>
        <v>31.5425281525</v>
      </c>
      <c r="T2163" s="20" t="str">
        <f>HYPERLINK(AA2 &amp; "/pencil/sn_e1dcd7c5d05413c29a293c6471e6f319/rendering/17.obj", "136.624694824")</f>
        <v>136.624694824</v>
      </c>
      <c r="U2163" s="102" t="str">
        <f>HYPERLINK(AA2 &amp; "/pencil/sn_e1dcd7c5d05413c29a293c6471e6f319/rendering/18.obj", "22.7556667328")</f>
        <v>22.7556667328</v>
      </c>
      <c r="V2163" s="129" t="str">
        <f>HYPERLINK(AA2 &amp; "/pencil/sn_e1dcd7c5d05413c29a293c6471e6f319/rendering/19.obj", "33.906539917")</f>
        <v>33.906539917</v>
      </c>
      <c r="W2163" s="12" t="s">
        <v>30</v>
      </c>
      <c r="X2163" s="13">
        <v>45.175819063186637</v>
      </c>
      <c r="Y2163" s="13">
        <v>53.125680680287687</v>
      </c>
      <c r="Z2163" s="20">
        <v>1.175976037224288</v>
      </c>
    </row>
    <row r="2164" spans="1:26" x14ac:dyDescent="0.2">
      <c r="A2164" s="1">
        <v>2162</v>
      </c>
      <c r="B2164" s="2" t="s">
        <v>465</v>
      </c>
      <c r="C2164" s="52" t="str">
        <f>HYPERLINK(AB2 &amp; "/pencil/sn_e1dcd7c5d05413c29a293c6471e6f319/rendering/00.obj", "10.2189868164")</f>
        <v>10.2189868164</v>
      </c>
      <c r="D2164" s="23" t="str">
        <f>HYPERLINK(AB2 &amp; "/pencil/sn_e1dcd7c5d05413c29a293c6471e6f319/rendering/01.obj", "17.7446582031")</f>
        <v>17.7446582031</v>
      </c>
      <c r="E2164" s="37" t="str">
        <f>HYPERLINK(AB2 &amp; "/pencil/sn_e1dcd7c5d05413c29a293c6471e6f319/rendering/02.obj", "14.0885766602")</f>
        <v>14.0885766602</v>
      </c>
      <c r="F2164" s="90" t="str">
        <f>HYPERLINK(AB2 &amp; "/pencil/sn_e1dcd7c5d05413c29a293c6471e6f319/rendering/03.obj", "15.4260461426")</f>
        <v>15.4260461426</v>
      </c>
      <c r="G2164" s="106" t="str">
        <f>HYPERLINK(AB2 &amp; "/pencil/sn_e1dcd7c5d05413c29a293c6471e6f319/rendering/04.obj", "19.0174206543")</f>
        <v>19.0174206543</v>
      </c>
      <c r="H2164" s="70" t="str">
        <f>HYPERLINK(AB2 &amp; "/pencil/sn_e1dcd7c5d05413c29a293c6471e6f319/rendering/05.obj", "14.872520752")</f>
        <v>14.872520752</v>
      </c>
      <c r="I2164" s="42" t="str">
        <f>HYPERLINK(AB2 &amp; "/pencil/sn_e1dcd7c5d05413c29a293c6471e6f319/rendering/06.obj", "14.7509838867")</f>
        <v>14.7509838867</v>
      </c>
      <c r="J2164" s="172" t="str">
        <f>HYPERLINK(AB2 &amp; "/pencil/sn_e1dcd7c5d05413c29a293c6471e6f319/rendering/07.obj", "10.518449707")</f>
        <v>10.518449707</v>
      </c>
      <c r="K2164" s="35" t="str">
        <f>HYPERLINK(AB2 &amp; "/pencil/sn_e1dcd7c5d05413c29a293c6471e6f319/rendering/08.obj", "16.0804296875")</f>
        <v>16.0804296875</v>
      </c>
      <c r="L2164" s="20" t="str">
        <f>HYPERLINK(AB2 &amp; "/pencil/sn_e1dcd7c5d05413c29a293c6471e6f319/rendering/09.obj", "32.9149853516")</f>
        <v>32.9149853516</v>
      </c>
      <c r="M2164" s="20" t="str">
        <f>HYPERLINK(AB2 &amp; "/pencil/sn_e1dcd7c5d05413c29a293c6471e6f319/rendering/10.obj", "31.2758325195")</f>
        <v>31.2758325195</v>
      </c>
      <c r="N2164" s="18" t="str">
        <f>HYPERLINK(AB2 &amp; "/pencil/sn_e1dcd7c5d05413c29a293c6471e6f319/rendering/11.obj", "7.17176269531")</f>
        <v>7.17176269531</v>
      </c>
      <c r="O2164" s="226" t="str">
        <f>HYPERLINK(AB2 &amp; "/pencil/sn_e1dcd7c5d05413c29a293c6471e6f319/rendering/12.obj", "7.43471679688")</f>
        <v>7.43471679688</v>
      </c>
      <c r="P2164" s="136" t="str">
        <f>HYPERLINK(AB2 &amp; "/pencil/sn_e1dcd7c5d05413c29a293c6471e6f319/rendering/13.obj", "21.0981738281")</f>
        <v>21.0981738281</v>
      </c>
      <c r="Q2164" s="147" t="str">
        <f>HYPERLINK(AB2 &amp; "/pencil/sn_e1dcd7c5d05413c29a293c6471e6f319/rendering/14.obj", "8.71857666016")</f>
        <v>8.71857666016</v>
      </c>
      <c r="R2164" s="139" t="str">
        <f>HYPERLINK(AB2 &amp; "/pencil/sn_e1dcd7c5d05413c29a293c6471e6f319/rendering/15.obj", "25.2596728516")</f>
        <v>25.2596728516</v>
      </c>
      <c r="S2164" s="153" t="str">
        <f>HYPERLINK(AB2 &amp; "/pencil/sn_e1dcd7c5d05413c29a293c6471e6f319/rendering/16.obj", "23.1437988281")</f>
        <v>23.1437988281</v>
      </c>
      <c r="T2164" s="27" t="str">
        <f>HYPERLINK(AB2 &amp; "/pencil/sn_e1dcd7c5d05413c29a293c6471e6f319/rendering/17.obj", "18.2473608398")</f>
        <v>18.2473608398</v>
      </c>
      <c r="U2164" s="152" t="str">
        <f>HYPERLINK(AB2 &amp; "/pencil/sn_e1dcd7c5d05413c29a293c6471e6f319/rendering/18.obj", "10.105880127")</f>
        <v>10.105880127</v>
      </c>
      <c r="V2164" s="121" t="str">
        <f>HYPERLINK(AB2 &amp; "/pencil/sn_e1dcd7c5d05413c29a293c6471e6f319/rendering/19.obj", "23.0697265625")</f>
        <v>23.0697265625</v>
      </c>
      <c r="W2164" s="12" t="s">
        <v>31</v>
      </c>
      <c r="X2164" s="13">
        <v>17.057927978515629</v>
      </c>
      <c r="Y2164" s="13">
        <v>7.1985431651198484</v>
      </c>
      <c r="Z2164" s="111">
        <v>0.42200571922840668</v>
      </c>
    </row>
    <row r="2165" spans="1:26" x14ac:dyDescent="0.2">
      <c r="A2165" s="1">
        <v>2163</v>
      </c>
      <c r="B2165" s="2" t="s">
        <v>465</v>
      </c>
      <c r="C2165" s="243" t="str">
        <f>HYPERLINK(AB2 &amp; "/pencil/sn_e1dcd7c5d05413c29a293c6471e6f319/rendering/00.obj", "29.5654201508")</f>
        <v>29.5654201508</v>
      </c>
      <c r="D2165" s="138" t="str">
        <f>HYPERLINK(AB2 &amp; "/pencil/sn_e1dcd7c5d05413c29a293c6471e6f319/rendering/01.obj", "88.4380645752")</f>
        <v>88.4380645752</v>
      </c>
      <c r="E2165" s="128" t="str">
        <f>HYPERLINK(AB2 &amp; "/pencil/sn_e1dcd7c5d05413c29a293c6471e6f319/rendering/02.obj", "81.3409042358")</f>
        <v>81.3409042358</v>
      </c>
      <c r="F2165" s="151" t="str">
        <f>HYPERLINK(AB2 &amp; "/pencil/sn_e1dcd7c5d05413c29a293c6471e6f319/rendering/03.obj", "85.7389678955")</f>
        <v>85.7389678955</v>
      </c>
      <c r="G2165" s="60" t="str">
        <f>HYPERLINK(AB2 &amp; "/pencil/sn_e1dcd7c5d05413c29a293c6471e6f319/rendering/04.obj", "126.760360718")</f>
        <v>126.760360718</v>
      </c>
      <c r="H2165" s="172" t="str">
        <f>HYPERLINK(AB2 &amp; "/pencil/sn_e1dcd7c5d05413c29a293c6471e6f319/rendering/05.obj", "82.2058410645")</f>
        <v>82.2058410645</v>
      </c>
      <c r="I2165" s="149" t="str">
        <f>HYPERLINK(AB2 &amp; "/pencil/sn_e1dcd7c5d05413c29a293c6471e6f319/rendering/06.obj", "87.5101547241")</f>
        <v>87.5101547241</v>
      </c>
      <c r="J2165" s="204" t="str">
        <f>HYPERLINK(AB2 &amp; "/pencil/sn_e1dcd7c5d05413c29a293c6471e6f319/rendering/07.obj", "27.1495094299")</f>
        <v>27.1495094299</v>
      </c>
      <c r="K2165" s="148" t="str">
        <f>HYPERLINK(AB2 &amp; "/pencil/sn_e1dcd7c5d05413c29a293c6471e6f319/rendering/08.obj", "68.9066314697")</f>
        <v>68.9066314697</v>
      </c>
      <c r="L2165" s="20" t="str">
        <f>HYPERLINK(AB2 &amp; "/pencil/sn_e1dcd7c5d05413c29a293c6471e6f319/rendering/09.obj", "494.680328369")</f>
        <v>494.680328369</v>
      </c>
      <c r="M2165" s="20" t="str">
        <f>HYPERLINK(AB2 &amp; "/pencil/sn_e1dcd7c5d05413c29a293c6471e6f319/rendering/10.obj", "475.230255127")</f>
        <v>475.230255127</v>
      </c>
      <c r="N2165" s="20" t="str">
        <f>HYPERLINK(AB2 &amp; "/pencil/sn_e1dcd7c5d05413c29a293c6471e6f319/rendering/11.obj", "15.3315601349")</f>
        <v>15.3315601349</v>
      </c>
      <c r="O2165" s="20" t="str">
        <f>HYPERLINK(AB2 &amp; "/pencil/sn_e1dcd7c5d05413c29a293c6471e6f319/rendering/12.obj", "16.33984375")</f>
        <v>16.33984375</v>
      </c>
      <c r="P2165" s="101" t="str">
        <f>HYPERLINK(AB2 &amp; "/pencil/sn_e1dcd7c5d05413c29a293c6471e6f319/rendering/13.obj", "184.241699219")</f>
        <v>184.241699219</v>
      </c>
      <c r="Q2165" s="254" t="str">
        <f>HYPERLINK(AB2 &amp; "/pencil/sn_e1dcd7c5d05413c29a293c6471e6f319/rendering/14.obj", "30.4060058594")</f>
        <v>30.4060058594</v>
      </c>
      <c r="R2165" s="177" t="str">
        <f>HYPERLINK(AB2 &amp; "/pencil/sn_e1dcd7c5d05413c29a293c6471e6f319/rendering/15.obj", "205.142074585")</f>
        <v>205.142074585</v>
      </c>
      <c r="S2165" s="253" t="str">
        <f>HYPERLINK(AB2 &amp; "/pencil/sn_e1dcd7c5d05413c29a293c6471e6f319/rendering/16.obj", "230.351242065")</f>
        <v>230.351242065</v>
      </c>
      <c r="T2165" s="122" t="str">
        <f>HYPERLINK(AB2 &amp; "/pencil/sn_e1dcd7c5d05413c29a293c6471e6f319/rendering/17.obj", "79.7328186035")</f>
        <v>79.7328186035</v>
      </c>
      <c r="U2165" s="245" t="str">
        <f>HYPERLINK(AB2 &amp; "/pencil/sn_e1dcd7c5d05413c29a293c6471e6f319/rendering/18.obj", "37.5761489868")</f>
        <v>37.5761489868</v>
      </c>
      <c r="V2165" s="220" t="str">
        <f>HYPERLINK(AB2 &amp; "/pencil/sn_e1dcd7c5d05413c29a293c6471e6f319/rendering/19.obj", "224.301391602")</f>
        <v>224.301391602</v>
      </c>
      <c r="W2165" s="12" t="s">
        <v>32</v>
      </c>
      <c r="X2165" s="13">
        <v>133.54746112823489</v>
      </c>
      <c r="Y2165" s="13">
        <v>134.3657388149295</v>
      </c>
      <c r="Z2165" s="20">
        <v>1.006127242553184</v>
      </c>
    </row>
    <row r="2166" spans="1:26" x14ac:dyDescent="0.2">
      <c r="A2166" s="1">
        <v>2164</v>
      </c>
      <c r="B2166" s="2" t="s">
        <v>465</v>
      </c>
      <c r="C2166" s="13" t="str">
        <f>HYPERLINK(AC2 &amp; "/pencil/sn_e1dcd7c5d05413c29a293c6471e6f319/rendering/00.xyz", "0.0")</f>
        <v>0.0</v>
      </c>
      <c r="D2166" s="13" t="str">
        <f>HYPERLINK(AC2 &amp; "/pencil/sn_e1dcd7c5d05413c29a293c6471e6f319/rendering/01.xyz", "0.0")</f>
        <v>0.0</v>
      </c>
      <c r="E2166" s="13" t="str">
        <f>HYPERLINK(AC2 &amp; "/pencil/sn_e1dcd7c5d05413c29a293c6471e6f319/rendering/02.xyz", "0.0")</f>
        <v>0.0</v>
      </c>
      <c r="F2166" s="13" t="str">
        <f>HYPERLINK(AC2 &amp; "/pencil/sn_e1dcd7c5d05413c29a293c6471e6f319/rendering/03.xyz", "0.0")</f>
        <v>0.0</v>
      </c>
      <c r="G2166" s="13" t="str">
        <f>HYPERLINK(AC2 &amp; "/pencil/sn_e1dcd7c5d05413c29a293c6471e6f319/rendering/04.xyz", "0.0")</f>
        <v>0.0</v>
      </c>
      <c r="H2166" s="13" t="str">
        <f>HYPERLINK(AC2 &amp; "/pencil/sn_e1dcd7c5d05413c29a293c6471e6f319/rendering/05.xyz", "0.0")</f>
        <v>0.0</v>
      </c>
      <c r="I2166" s="13" t="str">
        <f>HYPERLINK(AC2 &amp; "/pencil/sn_e1dcd7c5d05413c29a293c6471e6f319/rendering/06.xyz", "0.0")</f>
        <v>0.0</v>
      </c>
      <c r="J2166" s="13" t="str">
        <f>HYPERLINK(AC2 &amp; "/pencil/sn_e1dcd7c5d05413c29a293c6471e6f319/rendering/07.xyz", "0.0")</f>
        <v>0.0</v>
      </c>
      <c r="K2166" s="13" t="str">
        <f>HYPERLINK(AC2 &amp; "/pencil/sn_e1dcd7c5d05413c29a293c6471e6f319/rendering/08.xyz", "0.0")</f>
        <v>0.0</v>
      </c>
      <c r="L2166" s="13" t="str">
        <f>HYPERLINK(AC2 &amp; "/pencil/sn_e1dcd7c5d05413c29a293c6471e6f319/rendering/09.xyz", "0.0")</f>
        <v>0.0</v>
      </c>
      <c r="M2166" s="13" t="str">
        <f>HYPERLINK(AC2 &amp; "/pencil/sn_e1dcd7c5d05413c29a293c6471e6f319/rendering/10.xyz", "0.0")</f>
        <v>0.0</v>
      </c>
      <c r="N2166" s="13" t="str">
        <f>HYPERLINK(AC2 &amp; "/pencil/sn_e1dcd7c5d05413c29a293c6471e6f319/rendering/11.xyz", "0.0")</f>
        <v>0.0</v>
      </c>
      <c r="O2166" s="13" t="str">
        <f>HYPERLINK(AC2 &amp; "/pencil/sn_e1dcd7c5d05413c29a293c6471e6f319/rendering/12.xyz", "0.0")</f>
        <v>0.0</v>
      </c>
      <c r="P2166" s="13" t="str">
        <f>HYPERLINK(AC2 &amp; "/pencil/sn_e1dcd7c5d05413c29a293c6471e6f319/rendering/13.xyz", "0.0")</f>
        <v>0.0</v>
      </c>
      <c r="Q2166" s="13" t="str">
        <f>HYPERLINK(AC2 &amp; "/pencil/sn_e1dcd7c5d05413c29a293c6471e6f319/rendering/14.xyz", "0.0")</f>
        <v>0.0</v>
      </c>
      <c r="R2166" s="13" t="str">
        <f>HYPERLINK(AC2 &amp; "/pencil/sn_e1dcd7c5d05413c29a293c6471e6f319/rendering/15.xyz", "0.0")</f>
        <v>0.0</v>
      </c>
      <c r="S2166" s="13" t="str">
        <f>HYPERLINK(AC2 &amp; "/pencil/sn_e1dcd7c5d05413c29a293c6471e6f319/rendering/16.xyz", "0.0")</f>
        <v>0.0</v>
      </c>
      <c r="T2166" s="13" t="str">
        <f>HYPERLINK(AC2 &amp; "/pencil/sn_e1dcd7c5d05413c29a293c6471e6f319/rendering/17.xyz", "0.0")</f>
        <v>0.0</v>
      </c>
      <c r="U2166" s="13" t="str">
        <f>HYPERLINK(AC2 &amp; "/pencil/sn_e1dcd7c5d05413c29a293c6471e6f319/rendering/18.xyz", "0.0")</f>
        <v>0.0</v>
      </c>
      <c r="V2166" s="13" t="str">
        <f>HYPERLINK(AC2 &amp; "/pencil/sn_e1dcd7c5d05413c29a293c6471e6f319/rendering/19.xyz", "0.0")</f>
        <v>0.0</v>
      </c>
      <c r="W2166" s="12" t="s">
        <v>33</v>
      </c>
      <c r="X2166" s="13">
        <v>0</v>
      </c>
      <c r="Y2166" s="13">
        <v>0</v>
      </c>
      <c r="Z2166" s="13">
        <v>0</v>
      </c>
    </row>
    <row r="2167" spans="1:26" x14ac:dyDescent="0.2">
      <c r="A2167" s="1">
        <v>2165</v>
      </c>
      <c r="B2167" s="2" t="s">
        <v>466</v>
      </c>
      <c r="C2167" s="92" t="str">
        <f>HYPERLINK(AA2 &amp; "/pencil/sn_e20d5484f3e27e107299dc9fb372e1f/rendering/00.obj", "13.4219848633")</f>
        <v>13.4219848633</v>
      </c>
      <c r="D2167" s="83" t="str">
        <f>HYPERLINK(AA2 &amp; "/pencil/sn_e20d5484f3e27e107299dc9fb372e1f/rendering/01.obj", "12.9589550781")</f>
        <v>12.9589550781</v>
      </c>
      <c r="E2167" s="94" t="str">
        <f>HYPERLINK(AA2 &amp; "/pencil/sn_e20d5484f3e27e107299dc9fb372e1f/rendering/02.obj", "14.1860510254")</f>
        <v>14.1860510254</v>
      </c>
      <c r="F2167" s="67" t="str">
        <f>HYPERLINK(AA2 &amp; "/pencil/sn_e20d5484f3e27e107299dc9fb372e1f/rendering/03.obj", "13.8673779297")</f>
        <v>13.8673779297</v>
      </c>
      <c r="G2167" s="80" t="str">
        <f>HYPERLINK(AA2 &amp; "/pencil/sn_e20d5484f3e27e107299dc9fb372e1f/rendering/04.obj", "13.0053405762")</f>
        <v>13.0053405762</v>
      </c>
      <c r="H2167" s="227" t="str">
        <f>HYPERLINK(AA2 &amp; "/pencil/sn_e20d5484f3e27e107299dc9fb372e1f/rendering/05.obj", "7.49730224609")</f>
        <v>7.49730224609</v>
      </c>
      <c r="I2167" s="136" t="str">
        <f>HYPERLINK(AA2 &amp; "/pencil/sn_e20d5484f3e27e107299dc9fb372e1f/rendering/06.obj", "18.9091564941")</f>
        <v>18.9091564941</v>
      </c>
      <c r="J2167" s="123" t="str">
        <f>HYPERLINK(AA2 &amp; "/pencil/sn_e20d5484f3e27e107299dc9fb372e1f/rendering/07.obj", "9.67855102539")</f>
        <v>9.67855102539</v>
      </c>
      <c r="K2167" s="191" t="str">
        <f>HYPERLINK(AA2 &amp; "/pencil/sn_e20d5484f3e27e107299dc9fb372e1f/rendering/08.obj", "22.2518115234")</f>
        <v>22.2518115234</v>
      </c>
      <c r="L2167" s="156" t="str">
        <f>HYPERLINK(AA2 &amp; "/pencil/sn_e20d5484f3e27e107299dc9fb372e1f/rendering/09.obj", "8.44405761719")</f>
        <v>8.44405761719</v>
      </c>
      <c r="M2167" s="38" t="str">
        <f>HYPERLINK(AA2 &amp; "/pencil/sn_e20d5484f3e27e107299dc9fb372e1f/rendering/10.obj", "13.9182250977")</f>
        <v>13.9182250977</v>
      </c>
      <c r="N2167" s="21" t="str">
        <f>HYPERLINK(AA2 &amp; "/pencil/sn_e20d5484f3e27e107299dc9fb372e1f/rendering/11.obj", "23.7500537109")</f>
        <v>23.7500537109</v>
      </c>
      <c r="O2167" s="15" t="str">
        <f>HYPERLINK(AA2 &amp; "/pencil/sn_e20d5484f3e27e107299dc9fb372e1f/rendering/12.obj", "23.0716674805")</f>
        <v>23.0716674805</v>
      </c>
      <c r="P2167" s="6" t="str">
        <f>HYPERLINK(AA2 &amp; "/pencil/sn_e20d5484f3e27e107299dc9fb372e1f/rendering/13.obj", "14.625333252")</f>
        <v>14.625333252</v>
      </c>
      <c r="Q2167" s="157" t="str">
        <f>HYPERLINK(AA2 &amp; "/pencil/sn_e20d5484f3e27e107299dc9fb372e1f/rendering/14.obj", "21.6340454102")</f>
        <v>21.6340454102</v>
      </c>
      <c r="R2167" s="87" t="str">
        <f>HYPERLINK(AA2 &amp; "/pencil/sn_e20d5484f3e27e107299dc9fb372e1f/rendering/15.obj", "11.8235522461")</f>
        <v>11.8235522461</v>
      </c>
      <c r="S2167" s="88" t="str">
        <f>HYPERLINK(AA2 &amp; "/pencil/sn_e20d5484f3e27e107299dc9fb372e1f/rendering/16.obj", "12.1884814453")</f>
        <v>12.1884814453</v>
      </c>
      <c r="T2167" s="133" t="str">
        <f>HYPERLINK(AA2 &amp; "/pencil/sn_e20d5484f3e27e107299dc9fb372e1f/rendering/17.obj", "16.8541467285")</f>
        <v>16.8541467285</v>
      </c>
      <c r="U2167" s="92" t="str">
        <f>HYPERLINK(AA2 &amp; "/pencil/sn_e20d5484f3e27e107299dc9fb372e1f/rendering/18.obj", "17.1736914063")</f>
        <v>17.1736914063</v>
      </c>
      <c r="V2167" s="67" t="str">
        <f>HYPERLINK(AA2 &amp; "/pencil/sn_e20d5484f3e27e107299dc9fb372e1f/rendering/19.obj", "16.7062158203")</f>
        <v>16.7062158203</v>
      </c>
      <c r="W2167" s="12" t="s">
        <v>29</v>
      </c>
      <c r="X2167" s="13">
        <v>15.29830004882812</v>
      </c>
      <c r="Y2167" s="13">
        <v>4.5954550812408179</v>
      </c>
      <c r="Z2167" s="100">
        <v>0.30038991695635092</v>
      </c>
    </row>
    <row r="2168" spans="1:26" x14ac:dyDescent="0.2">
      <c r="A2168" s="1">
        <v>2166</v>
      </c>
      <c r="B2168" s="2" t="s">
        <v>466</v>
      </c>
      <c r="C2168" s="179" t="str">
        <f>HYPERLINK(AA2 &amp; "/pencil/sn_e20d5484f3e27e107299dc9fb372e1f/rendering/00.obj", "36.7057876587")</f>
        <v>36.7057876587</v>
      </c>
      <c r="D2168" s="144" t="str">
        <f>HYPERLINK(AA2 &amp; "/pencil/sn_e20d5484f3e27e107299dc9fb372e1f/rendering/01.obj", "31.9620685577")</f>
        <v>31.9620685577</v>
      </c>
      <c r="E2168" s="103" t="str">
        <f>HYPERLINK(AA2 &amp; "/pencil/sn_e20d5484f3e27e107299dc9fb372e1f/rendering/02.obj", "43.4851341248")</f>
        <v>43.4851341248</v>
      </c>
      <c r="F2168" s="108" t="str">
        <f>HYPERLINK(AA2 &amp; "/pencil/sn_e20d5484f3e27e107299dc9fb372e1f/rendering/03.obj", "48.4412384033")</f>
        <v>48.4412384033</v>
      </c>
      <c r="G2168" s="251" t="str">
        <f>HYPERLINK(AA2 &amp; "/pencil/sn_e20d5484f3e27e107299dc9fb372e1f/rendering/04.obj", "26.4850215912")</f>
        <v>26.4850215912</v>
      </c>
      <c r="H2168" s="20" t="str">
        <f>HYPERLINK(AA2 &amp; "/pencil/sn_e20d5484f3e27e107299dc9fb372e1f/rendering/05.obj", "4.56484699249")</f>
        <v>4.56484699249</v>
      </c>
      <c r="I2168" s="20" t="str">
        <f>HYPERLINK(AA2 &amp; "/pencil/sn_e20d5484f3e27e107299dc9fb372e1f/rendering/06.obj", "129.262161255")</f>
        <v>129.262161255</v>
      </c>
      <c r="J2168" s="62" t="str">
        <f>HYPERLINK(AA2 &amp; "/pencil/sn_e20d5484f3e27e107299dc9fb372e1f/rendering/07.obj", "25.8426494598")</f>
        <v>25.8426494598</v>
      </c>
      <c r="K2168" s="20" t="str">
        <f>HYPERLINK(AA2 &amp; "/pencil/sn_e20d5484f3e27e107299dc9fb372e1f/rendering/08.obj", "165.582885742")</f>
        <v>165.582885742</v>
      </c>
      <c r="L2168" s="20" t="str">
        <f>HYPERLINK(AA2 &amp; "/pencil/sn_e20d5484f3e27e107299dc9fb372e1f/rendering/09.obj", "13.0612850189")</f>
        <v>13.0612850189</v>
      </c>
      <c r="M2168" s="74" t="str">
        <f>HYPERLINK(AA2 &amp; "/pencil/sn_e20d5484f3e27e107299dc9fb372e1f/rendering/10.obj", "63.4886856079")</f>
        <v>63.4886856079</v>
      </c>
      <c r="N2168" s="20" t="str">
        <f>HYPERLINK(AA2 &amp; "/pencil/sn_e20d5484f3e27e107299dc9fb372e1f/rendering/11.obj", "144.289840698")</f>
        <v>144.289840698</v>
      </c>
      <c r="O2168" s="20" t="str">
        <f>HYPERLINK(AA2 &amp; "/pencil/sn_e20d5484f3e27e107299dc9fb372e1f/rendering/12.obj", "120.774589539")</f>
        <v>120.774589539</v>
      </c>
      <c r="P2168" s="99" t="str">
        <f>HYPERLINK(AA2 &amp; "/pencil/sn_e20d5484f3e27e107299dc9fb372e1f/rendering/13.obj", "46.93126297")</f>
        <v>46.93126297</v>
      </c>
      <c r="Q2168" s="106" t="str">
        <f>HYPERLINK(AA2 &amp; "/pencil/sn_e20d5484f3e27e107299dc9fb372e1f/rendering/14.obj", "71.7476577759")</f>
        <v>71.7476577759</v>
      </c>
      <c r="R2168" s="190" t="str">
        <f>HYPERLINK(AA2 &amp; "/pencil/sn_e20d5484f3e27e107299dc9fb372e1f/rendering/15.obj", "19.6738853455")</f>
        <v>19.6738853455</v>
      </c>
      <c r="S2168" s="161" t="str">
        <f>HYPERLINK(AA2 &amp; "/pencil/sn_e20d5484f3e27e107299dc9fb372e1f/rendering/16.obj", "26.6022224426")</f>
        <v>26.6022224426</v>
      </c>
      <c r="T2168" s="144" t="str">
        <f>HYPERLINK(AA2 &amp; "/pencil/sn_e20d5484f3e27e107299dc9fb372e1f/rendering/17.obj", "96.7089309692")</f>
        <v>96.7089309692</v>
      </c>
      <c r="U2168" s="51" t="str">
        <f>HYPERLINK(AA2 &amp; "/pencil/sn_e20d5484f3e27e107299dc9fb372e1f/rendering/18.obj", "69.4038543701")</f>
        <v>69.4038543701</v>
      </c>
      <c r="V2168" s="249" t="str">
        <f>HYPERLINK(AA2 &amp; "/pencil/sn_e20d5484f3e27e107299dc9fb372e1f/rendering/19.obj", "101.105415344")</f>
        <v>101.105415344</v>
      </c>
      <c r="W2168" s="12" t="s">
        <v>30</v>
      </c>
      <c r="X2168" s="13">
        <v>64.305971193313596</v>
      </c>
      <c r="Y2168" s="13">
        <v>45.750449610031161</v>
      </c>
      <c r="Z2168" s="125">
        <v>0.71144947756870514</v>
      </c>
    </row>
    <row r="2169" spans="1:26" x14ac:dyDescent="0.2">
      <c r="A2169" s="1">
        <v>2167</v>
      </c>
      <c r="B2169" s="2" t="s">
        <v>466</v>
      </c>
      <c r="C2169" s="19" t="str">
        <f>HYPERLINK(AB2 &amp; "/pencil/sn_e20d5484f3e27e107299dc9fb372e1f/rendering/00.obj", "7.14886108398")</f>
        <v>7.14886108398</v>
      </c>
      <c r="D2169" s="166" t="str">
        <f>HYPERLINK(AB2 &amp; "/pencil/sn_e20d5484f3e27e107299dc9fb372e1f/rendering/01.obj", "6.91159790039")</f>
        <v>6.91159790039</v>
      </c>
      <c r="E2169" s="48" t="str">
        <f>HYPERLINK(AB2 &amp; "/pencil/sn_e20d5484f3e27e107299dc9fb372e1f/rendering/02.obj", "9.46882751465")</f>
        <v>9.46882751465</v>
      </c>
      <c r="F2169" s="82" t="str">
        <f>HYPERLINK(AB2 &amp; "/pencil/sn_e20d5484f3e27e107299dc9fb372e1f/rendering/03.obj", "7.71513183594")</f>
        <v>7.71513183594</v>
      </c>
      <c r="G2169" s="48" t="str">
        <f>HYPERLINK(AB2 &amp; "/pencil/sn_e20d5484f3e27e107299dc9fb372e1f/rendering/04.obj", "9.93818481445")</f>
        <v>9.93818481445</v>
      </c>
      <c r="H2169" s="91" t="str">
        <f>HYPERLINK(AB2 &amp; "/pencil/sn_e20d5484f3e27e107299dc9fb372e1f/rendering/05.obj", "9.97246765137")</f>
        <v>9.97246765137</v>
      </c>
      <c r="I2169" s="68" t="str">
        <f>HYPERLINK(AB2 &amp; "/pencil/sn_e20d5484f3e27e107299dc9fb372e1f/rendering/06.obj", "9.29948364258")</f>
        <v>9.29948364258</v>
      </c>
      <c r="J2169" s="134" t="str">
        <f>HYPERLINK(AB2 &amp; "/pencil/sn_e20d5484f3e27e107299dc9fb372e1f/rendering/07.obj", "7.9550982666")</f>
        <v>7.9550982666</v>
      </c>
      <c r="K2169" s="64" t="str">
        <f>HYPERLINK(AB2 &amp; "/pencil/sn_e20d5484f3e27e107299dc9fb372e1f/rendering/08.obj", "8.08977172852")</f>
        <v>8.08977172852</v>
      </c>
      <c r="L2169" s="187" t="str">
        <f>HYPERLINK(AB2 &amp; "/pencil/sn_e20d5484f3e27e107299dc9fb372e1f/rendering/09.obj", "13.0826135254")</f>
        <v>13.0826135254</v>
      </c>
      <c r="M2169" s="145" t="str">
        <f>HYPERLINK(AB2 &amp; "/pencil/sn_e20d5484f3e27e107299dc9fb372e1f/rendering/10.obj", "14.464609375")</f>
        <v>14.464609375</v>
      </c>
      <c r="N2169" s="49" t="str">
        <f>HYPERLINK(AB2 &amp; "/pencil/sn_e20d5484f3e27e107299dc9fb372e1f/rendering/11.obj", "7.68738769531")</f>
        <v>7.68738769531</v>
      </c>
      <c r="O2169" s="75" t="str">
        <f>HYPERLINK(AB2 &amp; "/pencil/sn_e20d5484f3e27e107299dc9fb372e1f/rendering/12.obj", "7.55193847656")</f>
        <v>7.55193847656</v>
      </c>
      <c r="P2169" s="42" t="str">
        <f>HYPERLINK(AB2 &amp; "/pencil/sn_e20d5484f3e27e107299dc9fb372e1f/rendering/13.obj", "11.0129309082")</f>
        <v>11.0129309082</v>
      </c>
      <c r="Q2169" s="107" t="str">
        <f>HYPERLINK(AB2 &amp; "/pencil/sn_e20d5484f3e27e107299dc9fb372e1f/rendering/14.obj", "10.5024841309")</f>
        <v>10.5024841309</v>
      </c>
      <c r="R2169" s="17" t="str">
        <f>HYPERLINK(AB2 &amp; "/pencil/sn_e20d5484f3e27e107299dc9fb372e1f/rendering/15.obj", "9.89001525879")</f>
        <v>9.89001525879</v>
      </c>
      <c r="S2169" s="47" t="str">
        <f>HYPERLINK(AB2 &amp; "/pencil/sn_e20d5484f3e27e107299dc9fb372e1f/rendering/16.obj", "9.7667565918")</f>
        <v>9.7667565918</v>
      </c>
      <c r="T2169" s="172" t="str">
        <f>HYPERLINK(AB2 &amp; "/pencil/sn_e20d5484f3e27e107299dc9fb372e1f/rendering/17.obj", "13.4174230957")</f>
        <v>13.4174230957</v>
      </c>
      <c r="U2169" s="57" t="str">
        <f>HYPERLINK(AB2 &amp; "/pencil/sn_e20d5484f3e27e107299dc9fb372e1f/rendering/18.obj", "6.6370324707")</f>
        <v>6.6370324707</v>
      </c>
      <c r="V2169" s="196" t="str">
        <f>HYPERLINK(AB2 &amp; "/pencil/sn_e20d5484f3e27e107299dc9fb372e1f/rendering/19.obj", "13.5461035156")</f>
        <v>13.5461035156</v>
      </c>
      <c r="W2169" s="12" t="s">
        <v>31</v>
      </c>
      <c r="X2169" s="13">
        <v>9.7029359741210932</v>
      </c>
      <c r="Y2169" s="13">
        <v>2.3174939899450808</v>
      </c>
      <c r="Z2169" s="59">
        <v>0.23884461323110021</v>
      </c>
    </row>
    <row r="2170" spans="1:26" x14ac:dyDescent="0.2">
      <c r="A2170" s="1">
        <v>2168</v>
      </c>
      <c r="B2170" s="2" t="s">
        <v>466</v>
      </c>
      <c r="C2170" s="15" t="str">
        <f>HYPERLINK(AB2 &amp; "/pencil/sn_e20d5484f3e27e107299dc9fb372e1f/rendering/00.obj", "8.03338527679")</f>
        <v>8.03338527679</v>
      </c>
      <c r="D2170" s="226" t="str">
        <f>HYPERLINK(AB2 &amp; "/pencil/sn_e20d5484f3e27e107299dc9fb372e1f/rendering/01.obj", "7.1489906311")</f>
        <v>7.1489906311</v>
      </c>
      <c r="E2170" s="139" t="str">
        <f>HYPERLINK(AB2 &amp; "/pencil/sn_e20d5484f3e27e107299dc9fb372e1f/rendering/02.obj", "8.47028923035")</f>
        <v>8.47028923035</v>
      </c>
      <c r="F2170" s="96" t="str">
        <f>HYPERLINK(AB2 &amp; "/pencil/sn_e20d5484f3e27e107299dc9fb372e1f/rendering/03.obj", "10.3872375488")</f>
        <v>10.3872375488</v>
      </c>
      <c r="G2170" s="156" t="str">
        <f>HYPERLINK(AB2 &amp; "/pencil/sn_e20d5484f3e27e107299dc9fb372e1f/rendering/04.obj", "9.0057477951")</f>
        <v>9.0057477951</v>
      </c>
      <c r="H2170" s="48" t="str">
        <f>HYPERLINK(AB2 &amp; "/pencil/sn_e20d5484f3e27e107299dc9fb372e1f/rendering/05.obj", "16.7133731842")</f>
        <v>16.7133731842</v>
      </c>
      <c r="I2170" s="100" t="str">
        <f>HYPERLINK(AB2 &amp; "/pencil/sn_e20d5484f3e27e107299dc9fb372e1f/rendering/06.obj", "11.4177770615")</f>
        <v>11.4177770615</v>
      </c>
      <c r="J2170" s="100" t="str">
        <f>HYPERLINK(AB2 &amp; "/pencil/sn_e20d5484f3e27e107299dc9fb372e1f/rendering/07.obj", "11.4090385437")</f>
        <v>11.4090385437</v>
      </c>
      <c r="K2170" s="172" t="str">
        <f>HYPERLINK(AB2 &amp; "/pencil/sn_e20d5484f3e27e107299dc9fb372e1f/rendering/08.obj", "10.049325943")</f>
        <v>10.049325943</v>
      </c>
      <c r="L2170" s="125" t="str">
        <f>HYPERLINK(AB2 &amp; "/pencil/sn_e20d5484f3e27e107299dc9fb372e1f/rendering/09.obj", "27.9223823547")</f>
        <v>27.9223823547</v>
      </c>
      <c r="M2170" s="20" t="str">
        <f>HYPERLINK(AB2 &amp; "/pencil/sn_e20d5484f3e27e107299dc9fb372e1f/rendering/10.obj", "53.6211395264")</f>
        <v>53.6211395264</v>
      </c>
      <c r="N2170" s="198" t="str">
        <f>HYPERLINK(AB2 &amp; "/pencil/sn_e20d5484f3e27e107299dc9fb372e1f/rendering/11.obj", "10.0089244843")</f>
        <v>10.0089244843</v>
      </c>
      <c r="O2170" s="84" t="str">
        <f>HYPERLINK(AB2 &amp; "/pencil/sn_e20d5484f3e27e107299dc9fb372e1f/rendering/12.obj", "13.908290863")</f>
        <v>13.908290863</v>
      </c>
      <c r="P2170" s="85" t="str">
        <f>HYPERLINK(AB2 &amp; "/pencil/sn_e20d5484f3e27e107299dc9fb372e1f/rendering/13.obj", "11.4652462006")</f>
        <v>11.4652462006</v>
      </c>
      <c r="Q2170" s="6" t="str">
        <f>HYPERLINK(AB2 &amp; "/pencil/sn_e20d5484f3e27e107299dc9fb372e1f/rendering/14.obj", "15.5815448761")</f>
        <v>15.5815448761</v>
      </c>
      <c r="R2170" s="212" t="str">
        <f>HYPERLINK(AB2 &amp; "/pencil/sn_e20d5484f3e27e107299dc9fb372e1f/rendering/15.obj", "9.25920677185")</f>
        <v>9.25920677185</v>
      </c>
      <c r="S2170" s="163" t="str">
        <f>HYPERLINK(AB2 &amp; "/pencil/sn_e20d5484f3e27e107299dc9fb372e1f/rendering/16.obj", "9.12021350861")</f>
        <v>9.12021350861</v>
      </c>
      <c r="T2170" s="20" t="str">
        <f>HYPERLINK(AB2 &amp; "/pencil/sn_e20d5484f3e27e107299dc9fb372e1f/rendering/17.obj", "33.6840324402")</f>
        <v>33.6840324402</v>
      </c>
      <c r="U2170" s="105" t="str">
        <f>HYPERLINK(AB2 &amp; "/pencil/sn_e20d5484f3e27e107299dc9fb372e1f/rendering/18.obj", "7.96382474899")</f>
        <v>7.96382474899</v>
      </c>
      <c r="V2170" s="20" t="str">
        <f>HYPERLINK(AB2 &amp; "/pencil/sn_e20d5484f3e27e107299dc9fb372e1f/rendering/19.obj", "41.0080718994")</f>
        <v>41.0080718994</v>
      </c>
      <c r="W2170" s="12" t="s">
        <v>32</v>
      </c>
      <c r="X2170" s="13">
        <v>16.308902144432071</v>
      </c>
      <c r="Y2170" s="13">
        <v>12.3874743906542</v>
      </c>
      <c r="Z2170" s="258">
        <v>0.75955292888205483</v>
      </c>
    </row>
    <row r="2171" spans="1:26" x14ac:dyDescent="0.2">
      <c r="A2171" s="1">
        <v>2169</v>
      </c>
      <c r="B2171" s="2" t="s">
        <v>466</v>
      </c>
      <c r="C2171" s="13" t="str">
        <f>HYPERLINK(AC2 &amp; "/pencil/sn_e20d5484f3e27e107299dc9fb372e1f/rendering/00.xyz", "0.0")</f>
        <v>0.0</v>
      </c>
      <c r="D2171" s="13" t="str">
        <f>HYPERLINK(AC2 &amp; "/pencil/sn_e20d5484f3e27e107299dc9fb372e1f/rendering/01.xyz", "0.0")</f>
        <v>0.0</v>
      </c>
      <c r="E2171" s="13" t="str">
        <f>HYPERLINK(AC2 &amp; "/pencil/sn_e20d5484f3e27e107299dc9fb372e1f/rendering/02.xyz", "0.0")</f>
        <v>0.0</v>
      </c>
      <c r="F2171" s="13" t="str">
        <f>HYPERLINK(AC2 &amp; "/pencil/sn_e20d5484f3e27e107299dc9fb372e1f/rendering/03.xyz", "0.0")</f>
        <v>0.0</v>
      </c>
      <c r="G2171" s="13" t="str">
        <f>HYPERLINK(AC2 &amp; "/pencil/sn_e20d5484f3e27e107299dc9fb372e1f/rendering/04.xyz", "0.0")</f>
        <v>0.0</v>
      </c>
      <c r="H2171" s="13" t="str">
        <f>HYPERLINK(AC2 &amp; "/pencil/sn_e20d5484f3e27e107299dc9fb372e1f/rendering/05.xyz", "0.0")</f>
        <v>0.0</v>
      </c>
      <c r="I2171" s="13" t="str">
        <f>HYPERLINK(AC2 &amp; "/pencil/sn_e20d5484f3e27e107299dc9fb372e1f/rendering/06.xyz", "0.0")</f>
        <v>0.0</v>
      </c>
      <c r="J2171" s="13" t="str">
        <f>HYPERLINK(AC2 &amp; "/pencil/sn_e20d5484f3e27e107299dc9fb372e1f/rendering/07.xyz", "0.0")</f>
        <v>0.0</v>
      </c>
      <c r="K2171" s="13" t="str">
        <f>HYPERLINK(AC2 &amp; "/pencil/sn_e20d5484f3e27e107299dc9fb372e1f/rendering/08.xyz", "0.0")</f>
        <v>0.0</v>
      </c>
      <c r="L2171" s="13" t="str">
        <f>HYPERLINK(AC2 &amp; "/pencil/sn_e20d5484f3e27e107299dc9fb372e1f/rendering/09.xyz", "0.0")</f>
        <v>0.0</v>
      </c>
      <c r="M2171" s="13" t="str">
        <f>HYPERLINK(AC2 &amp; "/pencil/sn_e20d5484f3e27e107299dc9fb372e1f/rendering/10.xyz", "0.0")</f>
        <v>0.0</v>
      </c>
      <c r="N2171" s="13" t="str">
        <f>HYPERLINK(AC2 &amp; "/pencil/sn_e20d5484f3e27e107299dc9fb372e1f/rendering/11.xyz", "0.0")</f>
        <v>0.0</v>
      </c>
      <c r="O2171" s="13" t="str">
        <f>HYPERLINK(AC2 &amp; "/pencil/sn_e20d5484f3e27e107299dc9fb372e1f/rendering/12.xyz", "0.0")</f>
        <v>0.0</v>
      </c>
      <c r="P2171" s="13" t="str">
        <f>HYPERLINK(AC2 &amp; "/pencil/sn_e20d5484f3e27e107299dc9fb372e1f/rendering/13.xyz", "0.0")</f>
        <v>0.0</v>
      </c>
      <c r="Q2171" s="13" t="str">
        <f>HYPERLINK(AC2 &amp; "/pencil/sn_e20d5484f3e27e107299dc9fb372e1f/rendering/14.xyz", "0.0")</f>
        <v>0.0</v>
      </c>
      <c r="R2171" s="13" t="str">
        <f>HYPERLINK(AC2 &amp; "/pencil/sn_e20d5484f3e27e107299dc9fb372e1f/rendering/15.xyz", "0.0")</f>
        <v>0.0</v>
      </c>
      <c r="S2171" s="13" t="str">
        <f>HYPERLINK(AC2 &amp; "/pencil/sn_e20d5484f3e27e107299dc9fb372e1f/rendering/16.xyz", "0.0")</f>
        <v>0.0</v>
      </c>
      <c r="T2171" s="13" t="str">
        <f>HYPERLINK(AC2 &amp; "/pencil/sn_e20d5484f3e27e107299dc9fb372e1f/rendering/17.xyz", "0.0")</f>
        <v>0.0</v>
      </c>
      <c r="U2171" s="13" t="str">
        <f>HYPERLINK(AC2 &amp; "/pencil/sn_e20d5484f3e27e107299dc9fb372e1f/rendering/18.xyz", "0.0")</f>
        <v>0.0</v>
      </c>
      <c r="V2171" s="13" t="str">
        <f>HYPERLINK(AC2 &amp; "/pencil/sn_e20d5484f3e27e107299dc9fb372e1f/rendering/19.xyz", "0.0")</f>
        <v>0.0</v>
      </c>
      <c r="W2171" s="12" t="s">
        <v>33</v>
      </c>
      <c r="X2171" s="13">
        <v>0</v>
      </c>
      <c r="Y2171" s="13">
        <v>0</v>
      </c>
      <c r="Z2171" s="13">
        <v>0</v>
      </c>
    </row>
    <row r="2172" spans="1:26" x14ac:dyDescent="0.2">
      <c r="A2172" s="1">
        <v>2170</v>
      </c>
      <c r="B2172" s="2" t="s">
        <v>467</v>
      </c>
      <c r="C2172" s="74" t="str">
        <f>HYPERLINK(AA2 &amp; "/pencil/sn_e220e56bd9b2dec20b845a98672d904/rendering/00.obj", "4.39593017578")</f>
        <v>4.39593017578</v>
      </c>
      <c r="D2172" s="26" t="str">
        <f>HYPERLINK(AA2 &amp; "/pencil/sn_e220e56bd9b2dec20b845a98672d904/rendering/01.obj", "4.0554510498")</f>
        <v>4.0554510498</v>
      </c>
      <c r="E2172" s="117" t="str">
        <f>HYPERLINK(AA2 &amp; "/pencil/sn_e220e56bd9b2dec20b845a98672d904/rendering/02.obj", "5.10352233887")</f>
        <v>5.10352233887</v>
      </c>
      <c r="F2172" s="33" t="str">
        <f>HYPERLINK(AA2 &amp; "/pencil/sn_e220e56bd9b2dec20b845a98672d904/rendering/03.obj", "3.87138793945")</f>
        <v>3.87138793945</v>
      </c>
      <c r="G2172" s="33" t="str">
        <f>HYPERLINK(AA2 &amp; "/pencil/sn_e220e56bd9b2dec20b845a98672d904/rendering/04.obj", "3.87235687256")</f>
        <v>3.87235687256</v>
      </c>
      <c r="H2172" s="72" t="str">
        <f>HYPERLINK(AA2 &amp; "/pencil/sn_e220e56bd9b2dec20b845a98672d904/rendering/05.obj", "4.19427947998")</f>
        <v>4.19427947998</v>
      </c>
      <c r="I2172" s="91" t="str">
        <f>HYPERLINK(AA2 &amp; "/pencil/sn_e220e56bd9b2dec20b845a98672d904/rendering/06.obj", "4.21848876953")</f>
        <v>4.21848876953</v>
      </c>
      <c r="J2172" s="94" t="str">
        <f>HYPERLINK(AA2 &amp; "/pencil/sn_e220e56bd9b2dec20b845a98672d904/rendering/07.obj", "4.02345947266")</f>
        <v>4.02345947266</v>
      </c>
      <c r="K2172" s="46" t="str">
        <f>HYPERLINK(AA2 &amp; "/pencil/sn_e220e56bd9b2dec20b845a98672d904/rendering/08.obj", "4.26585144043")</f>
        <v>4.26585144043</v>
      </c>
      <c r="L2172" s="37" t="str">
        <f>HYPERLINK(AA2 &amp; "/pencil/sn_e220e56bd9b2dec20b845a98672d904/rendering/09.obj", "5.09734191895")</f>
        <v>5.09734191895</v>
      </c>
      <c r="M2172" s="110" t="str">
        <f>HYPERLINK(AA2 &amp; "/pencil/sn_e220e56bd9b2dec20b845a98672d904/rendering/10.obj", "4.76628845215")</f>
        <v>4.76628845215</v>
      </c>
      <c r="N2172" s="69" t="str">
        <f>HYPERLINK(AA2 &amp; "/pencil/sn_e220e56bd9b2dec20b845a98672d904/rendering/11.obj", "4.46484130859")</f>
        <v>4.46484130859</v>
      </c>
      <c r="O2172" s="41" t="str">
        <f>HYPERLINK(AA2 &amp; "/pencil/sn_e220e56bd9b2dec20b845a98672d904/rendering/12.obj", "4.62719055176")</f>
        <v>4.62719055176</v>
      </c>
      <c r="P2172" s="73" t="str">
        <f>HYPERLINK(AA2 &amp; "/pencil/sn_e220e56bd9b2dec20b845a98672d904/rendering/13.obj", "4.18576751709")</f>
        <v>4.18576751709</v>
      </c>
      <c r="Q2172" s="74" t="str">
        <f>HYPERLINK(AA2 &amp; "/pencil/sn_e220e56bd9b2dec20b845a98672d904/rendering/14.obj", "4.27850708008")</f>
        <v>4.27850708008</v>
      </c>
      <c r="R2172" s="33" t="str">
        <f>HYPERLINK(AA2 &amp; "/pencil/sn_e220e56bd9b2dec20b845a98672d904/rendering/15.obj", "4.81527832031")</f>
        <v>4.81527832031</v>
      </c>
      <c r="S2172" s="5" t="str">
        <f>HYPERLINK(AA2 &amp; "/pencil/sn_e220e56bd9b2dec20b845a98672d904/rendering/16.obj", "4.01194122314")</f>
        <v>4.01194122314</v>
      </c>
      <c r="T2172" s="69" t="str">
        <f>HYPERLINK(AA2 &amp; "/pencil/sn_e220e56bd9b2dec20b845a98672d904/rendering/17.obj", "4.21569824219")</f>
        <v>4.21569824219</v>
      </c>
      <c r="U2172" s="6" t="str">
        <f>HYPERLINK(AA2 &amp; "/pencil/sn_e220e56bd9b2dec20b845a98672d904/rendering/18.obj", "4.14801879883")</f>
        <v>4.14801879883</v>
      </c>
      <c r="V2172" s="23" t="str">
        <f>HYPERLINK(AA2 &amp; "/pencil/sn_e220e56bd9b2dec20b845a98672d904/rendering/19.obj", "4.17530151367")</f>
        <v>4.17530151367</v>
      </c>
      <c r="W2172" s="12" t="s">
        <v>29</v>
      </c>
      <c r="X2172" s="13">
        <v>4.3393451232910154</v>
      </c>
      <c r="Y2172" s="13">
        <v>0.35643397484285227</v>
      </c>
      <c r="Z2172" s="107">
        <v>8.2140038350424674E-2</v>
      </c>
    </row>
    <row r="2173" spans="1:26" x14ac:dyDescent="0.2">
      <c r="A2173" s="1">
        <v>2171</v>
      </c>
      <c r="B2173" s="2" t="s">
        <v>467</v>
      </c>
      <c r="C2173" s="79" t="str">
        <f>HYPERLINK(AA2 &amp; "/pencil/sn_e220e56bd9b2dec20b845a98672d904/rendering/00.obj", "1.02737486362")</f>
        <v>1.02737486362</v>
      </c>
      <c r="D2173" s="24" t="str">
        <f>HYPERLINK(AA2 &amp; "/pencil/sn_e220e56bd9b2dec20b845a98672d904/rendering/01.obj", "1.01604127884")</f>
        <v>1.01604127884</v>
      </c>
      <c r="E2173" s="20" t="str">
        <f>HYPERLINK(AA2 &amp; "/pencil/sn_e220e56bd9b2dec20b845a98672d904/rendering/02.obj", "2.63107013702")</f>
        <v>2.63107013702</v>
      </c>
      <c r="F2173" s="171" t="str">
        <f>HYPERLINK(AA2 &amp; "/pencil/sn_e220e56bd9b2dec20b845a98672d904/rendering/03.obj", "0.84761506319")</f>
        <v>0.84761506319</v>
      </c>
      <c r="G2173" s="136" t="str">
        <f>HYPERLINK(AA2 &amp; "/pencil/sn_e220e56bd9b2dec20b845a98672d904/rendering/04.obj", "0.930333375931")</f>
        <v>0.930333375931</v>
      </c>
      <c r="H2173" s="175" t="str">
        <f>HYPERLINK(AA2 &amp; "/pencil/sn_e220e56bd9b2dec20b845a98672d904/rendering/05.obj", "0.933028399944")</f>
        <v>0.933028399944</v>
      </c>
      <c r="I2173" s="24" t="str">
        <f>HYPERLINK(AA2 &amp; "/pencil/sn_e220e56bd9b2dec20b845a98672d904/rendering/06.obj", "1.01388728619")</f>
        <v>1.01388728619</v>
      </c>
      <c r="J2173" s="100" t="str">
        <f>HYPERLINK(AA2 &amp; "/pencil/sn_e220e56bd9b2dec20b845a98672d904/rendering/07.obj", "0.852205812931")</f>
        <v>0.852205812931</v>
      </c>
      <c r="K2173" s="7" t="str">
        <f>HYPERLINK(AA2 &amp; "/pencil/sn_e220e56bd9b2dec20b845a98672d904/rendering/08.obj", "0.881389677525")</f>
        <v>0.881389677525</v>
      </c>
      <c r="L2173" s="20" t="str">
        <f>HYPERLINK(AA2 &amp; "/pencil/sn_e220e56bd9b2dec20b845a98672d904/rendering/09.obj", "2.37076759338")</f>
        <v>2.37076759338</v>
      </c>
      <c r="M2173" s="71" t="str">
        <f>HYPERLINK(AA2 &amp; "/pencil/sn_e220e56bd9b2dec20b845a98672d904/rendering/10.obj", "1.36218571663")</f>
        <v>1.36218571663</v>
      </c>
      <c r="N2173" s="110" t="str">
        <f>HYPERLINK(AA2 &amp; "/pencil/sn_e220e56bd9b2dec20b845a98672d904/rendering/11.obj", "1.34029138088")</f>
        <v>1.34029138088</v>
      </c>
      <c r="O2173" s="48" t="str">
        <f>HYPERLINK(AA2 &amp; "/pencil/sn_e220e56bd9b2dec20b845a98672d904/rendering/12.obj", "1.19196617603")</f>
        <v>1.19196617603</v>
      </c>
      <c r="P2173" s="92" t="str">
        <f>HYPERLINK(AA2 &amp; "/pencil/sn_e220e56bd9b2dec20b845a98672d904/rendering/13.obj", "1.06885540485")</f>
        <v>1.06885540485</v>
      </c>
      <c r="Q2173" s="47" t="str">
        <f>HYPERLINK(AA2 &amp; "/pencil/sn_e220e56bd9b2dec20b845a98672d904/rendering/14.obj", "1.20923244953")</f>
        <v>1.20923244953</v>
      </c>
      <c r="R2173" s="49" t="str">
        <f>HYPERLINK(AA2 &amp; "/pencil/sn_e220e56bd9b2dec20b845a98672d904/rendering/15.obj", "1.4729373455")</f>
        <v>1.4729373455</v>
      </c>
      <c r="S2173" s="4" t="str">
        <f>HYPERLINK(AA2 &amp; "/pencil/sn_e220e56bd9b2dec20b845a98672d904/rendering/16.obj", "0.871252715588")</f>
        <v>0.871252715588</v>
      </c>
      <c r="T2173" s="24" t="str">
        <f>HYPERLINK(AA2 &amp; "/pencil/sn_e220e56bd9b2dec20b845a98672d904/rendering/17.obj", "1.01596498489")</f>
        <v>1.01596498489</v>
      </c>
      <c r="U2173" s="31" t="str">
        <f>HYPERLINK(AA2 &amp; "/pencil/sn_e220e56bd9b2dec20b845a98672d904/rendering/18.obj", "1.40711200237")</f>
        <v>1.40711200237</v>
      </c>
      <c r="V2173" s="98" t="str">
        <f>HYPERLINK(AA2 &amp; "/pencil/sn_e220e56bd9b2dec20b845a98672d904/rendering/19.obj", "0.936680853367")</f>
        <v>0.936680853367</v>
      </c>
      <c r="W2173" s="12" t="s">
        <v>30</v>
      </c>
      <c r="X2173" s="13">
        <v>1.2190096259117129</v>
      </c>
      <c r="Y2173" s="13">
        <v>0.46863403343643589</v>
      </c>
      <c r="Z2173" s="172">
        <v>0.3844383370524565</v>
      </c>
    </row>
    <row r="2174" spans="1:26" x14ac:dyDescent="0.2">
      <c r="A2174" s="1">
        <v>2172</v>
      </c>
      <c r="B2174" s="2" t="s">
        <v>467</v>
      </c>
      <c r="C2174" s="47" t="str">
        <f>HYPERLINK(AB2 &amp; "/pencil/sn_e220e56bd9b2dec20b845a98672d904/rendering/00.obj", "3.81065826416")</f>
        <v>3.81065826416</v>
      </c>
      <c r="D2174" s="25" t="str">
        <f>HYPERLINK(AB2 &amp; "/pencil/sn_e220e56bd9b2dec20b845a98672d904/rendering/01.obj", "3.73980987549")</f>
        <v>3.73980987549</v>
      </c>
      <c r="E2174" s="60" t="str">
        <f>HYPERLINK(AB2 &amp; "/pencil/sn_e220e56bd9b2dec20b845a98672d904/rendering/02.obj", "3.97869262695")</f>
        <v>3.97869262695</v>
      </c>
      <c r="F2174" s="25" t="str">
        <f>HYPERLINK(AB2 &amp; "/pencil/sn_e220e56bd9b2dec20b845a98672d904/rendering/03.obj", "3.82522613525")</f>
        <v>3.82522613525</v>
      </c>
      <c r="G2174" s="30" t="str">
        <f>HYPERLINK(AB2 &amp; "/pencil/sn_e220e56bd9b2dec20b845a98672d904/rendering/04.obj", "3.76248382568")</f>
        <v>3.76248382568</v>
      </c>
      <c r="H2174" s="92" t="str">
        <f>HYPERLINK(AB2 &amp; "/pencil/sn_e220e56bd9b2dec20b845a98672d904/rendering/05.obj", "3.30910919189")</f>
        <v>3.30910919189</v>
      </c>
      <c r="I2174" s="48" t="str">
        <f>HYPERLINK(AB2 &amp; "/pencil/sn_e220e56bd9b2dec20b845a98672d904/rendering/06.obj", "3.68606964111")</f>
        <v>3.68606964111</v>
      </c>
      <c r="J2174" s="13" t="str">
        <f>HYPERLINK(AB2 &amp; "/pencil/sn_e220e56bd9b2dec20b845a98672d904/rendering/07.obj", "3.77917694092")</f>
        <v>3.77917694092</v>
      </c>
      <c r="K2174" s="78" t="str">
        <f>HYPERLINK(AB2 &amp; "/pencil/sn_e220e56bd9b2dec20b845a98672d904/rendering/08.obj", "4.01332580566")</f>
        <v>4.01332580566</v>
      </c>
      <c r="L2174" s="74" t="str">
        <f>HYPERLINK(AB2 &amp; "/pencil/sn_e220e56bd9b2dec20b845a98672d904/rendering/09.obj", "3.82902709961")</f>
        <v>3.82902709961</v>
      </c>
      <c r="M2174" s="110" t="str">
        <f>HYPERLINK(AB2 &amp; "/pencil/sn_e220e56bd9b2dec20b845a98672d904/rendering/10.obj", "3.40642120361")</f>
        <v>3.40642120361</v>
      </c>
      <c r="N2174" s="133" t="str">
        <f>HYPERLINK(AB2 &amp; "/pencil/sn_e220e56bd9b2dec20b845a98672d904/rendering/11.obj", "3.39368133545")</f>
        <v>3.39368133545</v>
      </c>
      <c r="O2174" s="5" t="str">
        <f>HYPERLINK(AB2 &amp; "/pencil/sn_e220e56bd9b2dec20b845a98672d904/rendering/12.obj", "4.0698260498")</f>
        <v>4.0698260498</v>
      </c>
      <c r="P2174" s="26" t="str">
        <f>HYPERLINK(AB2 &amp; "/pencil/sn_e220e56bd9b2dec20b845a98672d904/rendering/13.obj", "4.02606231689")</f>
        <v>4.02606231689</v>
      </c>
      <c r="Q2174" s="72" t="str">
        <f>HYPERLINK(AB2 &amp; "/pencil/sn_e220e56bd9b2dec20b845a98672d904/rendering/14.obj", "3.65147705078")</f>
        <v>3.65147705078</v>
      </c>
      <c r="R2174" s="51" t="str">
        <f>HYPERLINK(AB2 &amp; "/pencil/sn_e220e56bd9b2dec20b845a98672d904/rendering/15.obj", "4.08345306396")</f>
        <v>4.08345306396</v>
      </c>
      <c r="S2174" s="25" t="str">
        <f>HYPERLINK(AB2 &amp; "/pencil/sn_e220e56bd9b2dec20b845a98672d904/rendering/16.obj", "3.81968688965")</f>
        <v>3.81968688965</v>
      </c>
      <c r="T2174" s="91" t="str">
        <f>HYPERLINK(AB2 &amp; "/pencil/sn_e220e56bd9b2dec20b845a98672d904/rendering/17.obj", "3.68238830566")</f>
        <v>3.68238830566</v>
      </c>
      <c r="U2174" s="6" t="str">
        <f>HYPERLINK(AB2 &amp; "/pencil/sn_e220e56bd9b2dec20b845a98672d904/rendering/18.obj", "3.9504083252")</f>
        <v>3.9504083252</v>
      </c>
      <c r="V2174" s="47" t="str">
        <f>HYPERLINK(AB2 &amp; "/pencil/sn_e220e56bd9b2dec20b845a98672d904/rendering/19.obj", "3.75098724365")</f>
        <v>3.75098724365</v>
      </c>
      <c r="W2174" s="12" t="s">
        <v>31</v>
      </c>
      <c r="X2174" s="13">
        <v>3.7783985595703129</v>
      </c>
      <c r="Y2174" s="13">
        <v>0.21385461933906141</v>
      </c>
      <c r="Z2174" s="35">
        <v>5.6599275054609752E-2</v>
      </c>
    </row>
    <row r="2175" spans="1:26" x14ac:dyDescent="0.2">
      <c r="A2175" s="1">
        <v>2173</v>
      </c>
      <c r="B2175" s="2" t="s">
        <v>467</v>
      </c>
      <c r="C2175" s="38" t="str">
        <f>HYPERLINK(AB2 &amp; "/pencil/sn_e220e56bd9b2dec20b845a98672d904/rendering/00.obj", "0.814553916454")</f>
        <v>0.814553916454</v>
      </c>
      <c r="D2175" s="73" t="str">
        <f>HYPERLINK(AB2 &amp; "/pencil/sn_e220e56bd9b2dec20b845a98672d904/rendering/01.obj", "0.926460921764")</f>
        <v>0.926460921764</v>
      </c>
      <c r="E2175" s="86" t="str">
        <f>HYPERLINK(AB2 &amp; "/pencil/sn_e220e56bd9b2dec20b845a98672d904/rendering/02.obj", "1.13638865948")</f>
        <v>1.13638865948</v>
      </c>
      <c r="F2175" s="51" t="str">
        <f>HYPERLINK(AB2 &amp; "/pencil/sn_e220e56bd9b2dec20b845a98672d904/rendering/03.obj", "0.823838829994")</f>
        <v>0.823838829994</v>
      </c>
      <c r="G2175" s="83" t="str">
        <f>HYPERLINK(AB2 &amp; "/pencil/sn_e220e56bd9b2dec20b845a98672d904/rendering/04.obj", "0.757550239563")</f>
        <v>0.757550239563</v>
      </c>
      <c r="H2175" s="110" t="str">
        <f>HYPERLINK(AB2 &amp; "/pencil/sn_e220e56bd9b2dec20b845a98672d904/rendering/05.obj", "0.807815074921")</f>
        <v>0.807815074921</v>
      </c>
      <c r="I2175" s="8" t="str">
        <f>HYPERLINK(AB2 &amp; "/pencil/sn_e220e56bd9b2dec20b845a98672d904/rendering/06.obj", "0.766998708248")</f>
        <v>0.766998708248</v>
      </c>
      <c r="J2175" s="92" t="str">
        <f>HYPERLINK(AB2 &amp; "/pencil/sn_e220e56bd9b2dec20b845a98672d904/rendering/07.obj", "0.785368919373")</f>
        <v>0.785368919373</v>
      </c>
      <c r="K2175" s="133" t="str">
        <f>HYPERLINK(AB2 &amp; "/pencil/sn_e220e56bd9b2dec20b845a98672d904/rendering/08.obj", "0.803303778172")</f>
        <v>0.803303778172</v>
      </c>
      <c r="L2175" s="6" t="str">
        <f>HYPERLINK(AB2 &amp; "/pencil/sn_e220e56bd9b2dec20b845a98672d904/rendering/09.obj", "0.853368103504")</f>
        <v>0.853368103504</v>
      </c>
      <c r="M2175" s="72" t="str">
        <f>HYPERLINK(AB2 &amp; "/pencil/sn_e220e56bd9b2dec20b845a98672d904/rendering/10.obj", "0.92314940691")</f>
        <v>0.92314940691</v>
      </c>
      <c r="N2175" s="41" t="str">
        <f>HYPERLINK(AB2 &amp; "/pencil/sn_e220e56bd9b2dec20b845a98672d904/rendering/11.obj", "0.835817635059")</f>
        <v>0.835817635059</v>
      </c>
      <c r="O2175" s="35" t="str">
        <f>HYPERLINK(AB2 &amp; "/pencil/sn_e220e56bd9b2dec20b845a98672d904/rendering/12.obj", "0.841850996017")</f>
        <v>0.841850996017</v>
      </c>
      <c r="P2175" s="10" t="str">
        <f>HYPERLINK(AB2 &amp; "/pencil/sn_e220e56bd9b2dec20b845a98672d904/rendering/13.obj", "0.943286895752")</f>
        <v>0.943286895752</v>
      </c>
      <c r="Q2175" s="78" t="str">
        <f>HYPERLINK(AB2 &amp; "/pencil/sn_e220e56bd9b2dec20b845a98672d904/rendering/14.obj", "0.841502487659")</f>
        <v>0.841502487659</v>
      </c>
      <c r="R2175" s="37" t="str">
        <f>HYPERLINK(AB2 &amp; "/pencil/sn_e220e56bd9b2dec20b845a98672d904/rendering/15.obj", "1.05016875267")</f>
        <v>1.05016875267</v>
      </c>
      <c r="S2175" s="169" t="str">
        <f>HYPERLINK(AB2 &amp; "/pencil/sn_e220e56bd9b2dec20b845a98672d904/rendering/16.obj", "1.17319834232")</f>
        <v>1.17319834232</v>
      </c>
      <c r="T2175" s="133" t="str">
        <f>HYPERLINK(AB2 &amp; "/pencil/sn_e220e56bd9b2dec20b845a98672d904/rendering/17.obj", "0.802609860897")</f>
        <v>0.802609860897</v>
      </c>
      <c r="U2175" s="94" t="str">
        <f>HYPERLINK(AB2 &amp; "/pencil/sn_e220e56bd9b2dec20b845a98672d904/rendering/18.obj", "0.960906326771")</f>
        <v>0.960906326771</v>
      </c>
      <c r="V2175" s="37" t="str">
        <f>HYPERLINK(AB2 &amp; "/pencil/sn_e220e56bd9b2dec20b845a98672d904/rendering/19.obj", "1.05149745941")</f>
        <v>1.05149745941</v>
      </c>
      <c r="W2175" s="12" t="s">
        <v>32</v>
      </c>
      <c r="X2175" s="13">
        <v>0.89498176574707033</v>
      </c>
      <c r="Y2175" s="13">
        <v>0.1197890184361871</v>
      </c>
      <c r="Z2175" s="65">
        <v>0.13384520559052429</v>
      </c>
    </row>
    <row r="2176" spans="1:26" x14ac:dyDescent="0.2">
      <c r="A2176" s="1">
        <v>2174</v>
      </c>
      <c r="B2176" s="2" t="s">
        <v>467</v>
      </c>
      <c r="C2176" s="13" t="str">
        <f>HYPERLINK(AC2 &amp; "/pencil/sn_e220e56bd9b2dec20b845a98672d904/rendering/00.xyz", "0.0")</f>
        <v>0.0</v>
      </c>
      <c r="D2176" s="13" t="str">
        <f>HYPERLINK(AC2 &amp; "/pencil/sn_e220e56bd9b2dec20b845a98672d904/rendering/01.xyz", "0.0")</f>
        <v>0.0</v>
      </c>
      <c r="E2176" s="13" t="str">
        <f>HYPERLINK(AC2 &amp; "/pencil/sn_e220e56bd9b2dec20b845a98672d904/rendering/02.xyz", "0.0")</f>
        <v>0.0</v>
      </c>
      <c r="F2176" s="13" t="str">
        <f>HYPERLINK(AC2 &amp; "/pencil/sn_e220e56bd9b2dec20b845a98672d904/rendering/03.xyz", "0.0")</f>
        <v>0.0</v>
      </c>
      <c r="G2176" s="13" t="str">
        <f>HYPERLINK(AC2 &amp; "/pencil/sn_e220e56bd9b2dec20b845a98672d904/rendering/04.xyz", "0.0")</f>
        <v>0.0</v>
      </c>
      <c r="H2176" s="13" t="str">
        <f>HYPERLINK(AC2 &amp; "/pencil/sn_e220e56bd9b2dec20b845a98672d904/rendering/05.xyz", "0.0")</f>
        <v>0.0</v>
      </c>
      <c r="I2176" s="13" t="str">
        <f>HYPERLINK(AC2 &amp; "/pencil/sn_e220e56bd9b2dec20b845a98672d904/rendering/06.xyz", "0.0")</f>
        <v>0.0</v>
      </c>
      <c r="J2176" s="13" t="str">
        <f>HYPERLINK(AC2 &amp; "/pencil/sn_e220e56bd9b2dec20b845a98672d904/rendering/07.xyz", "0.0")</f>
        <v>0.0</v>
      </c>
      <c r="K2176" s="13" t="str">
        <f>HYPERLINK(AC2 &amp; "/pencil/sn_e220e56bd9b2dec20b845a98672d904/rendering/08.xyz", "0.0")</f>
        <v>0.0</v>
      </c>
      <c r="L2176" s="13" t="str">
        <f>HYPERLINK(AC2 &amp; "/pencil/sn_e220e56bd9b2dec20b845a98672d904/rendering/09.xyz", "0.0")</f>
        <v>0.0</v>
      </c>
      <c r="M2176" s="13" t="str">
        <f>HYPERLINK(AC2 &amp; "/pencil/sn_e220e56bd9b2dec20b845a98672d904/rendering/10.xyz", "0.0")</f>
        <v>0.0</v>
      </c>
      <c r="N2176" s="13" t="str">
        <f>HYPERLINK(AC2 &amp; "/pencil/sn_e220e56bd9b2dec20b845a98672d904/rendering/11.xyz", "0.0")</f>
        <v>0.0</v>
      </c>
      <c r="O2176" s="13" t="str">
        <f>HYPERLINK(AC2 &amp; "/pencil/sn_e220e56bd9b2dec20b845a98672d904/rendering/12.xyz", "0.0")</f>
        <v>0.0</v>
      </c>
      <c r="P2176" s="13" t="str">
        <f>HYPERLINK(AC2 &amp; "/pencil/sn_e220e56bd9b2dec20b845a98672d904/rendering/13.xyz", "0.0")</f>
        <v>0.0</v>
      </c>
      <c r="Q2176" s="13" t="str">
        <f>HYPERLINK(AC2 &amp; "/pencil/sn_e220e56bd9b2dec20b845a98672d904/rendering/14.xyz", "0.0")</f>
        <v>0.0</v>
      </c>
      <c r="R2176" s="13" t="str">
        <f>HYPERLINK(AC2 &amp; "/pencil/sn_e220e56bd9b2dec20b845a98672d904/rendering/15.xyz", "0.0")</f>
        <v>0.0</v>
      </c>
      <c r="S2176" s="13" t="str">
        <f>HYPERLINK(AC2 &amp; "/pencil/sn_e220e56bd9b2dec20b845a98672d904/rendering/16.xyz", "0.0")</f>
        <v>0.0</v>
      </c>
      <c r="T2176" s="13" t="str">
        <f>HYPERLINK(AC2 &amp; "/pencil/sn_e220e56bd9b2dec20b845a98672d904/rendering/17.xyz", "0.0")</f>
        <v>0.0</v>
      </c>
      <c r="U2176" s="13" t="str">
        <f>HYPERLINK(AC2 &amp; "/pencil/sn_e220e56bd9b2dec20b845a98672d904/rendering/18.xyz", "0.0")</f>
        <v>0.0</v>
      </c>
      <c r="V2176" s="13" t="str">
        <f>HYPERLINK(AC2 &amp; "/pencil/sn_e220e56bd9b2dec20b845a98672d904/rendering/19.xyz", "0.0")</f>
        <v>0.0</v>
      </c>
      <c r="W2176" s="12" t="s">
        <v>33</v>
      </c>
      <c r="X2176" s="13">
        <v>0</v>
      </c>
      <c r="Y2176" s="13">
        <v>0</v>
      </c>
      <c r="Z2176" s="13">
        <v>0</v>
      </c>
    </row>
    <row r="2177" spans="1:26" x14ac:dyDescent="0.2">
      <c r="A2177" s="1">
        <v>2175</v>
      </c>
      <c r="B2177" s="2" t="s">
        <v>468</v>
      </c>
      <c r="C2177" s="78" t="str">
        <f>HYPERLINK(AA2 &amp; "/pencil/sn_e482c8bf90ae1477252cde31666379c/rendering/00.obj", "3.4327142334")</f>
        <v>3.4327142334</v>
      </c>
      <c r="D2177" s="63" t="str">
        <f>HYPERLINK(AA2 &amp; "/pencil/sn_e482c8bf90ae1477252cde31666379c/rendering/01.obj", "4.09518615723")</f>
        <v>4.09518615723</v>
      </c>
      <c r="E2177" s="34" t="str">
        <f>HYPERLINK(AA2 &amp; "/pencil/sn_e482c8bf90ae1477252cde31666379c/rendering/02.obj", "3.83431304932")</f>
        <v>3.83431304932</v>
      </c>
      <c r="F2177" s="17" t="str">
        <f>HYPERLINK(AA2 &amp; "/pencil/sn_e482c8bf90ae1477252cde31666379c/rendering/03.obj", "3.58607727051")</f>
        <v>3.58607727051</v>
      </c>
      <c r="G2177" s="60" t="str">
        <f>HYPERLINK(AA2 &amp; "/pencil/sn_e482c8bf90ae1477252cde31666379c/rendering/04.obj", "3.46220855713")</f>
        <v>3.46220855713</v>
      </c>
      <c r="H2177" s="47" t="str">
        <f>HYPERLINK(AA2 &amp; "/pencil/sn_e482c8bf90ae1477252cde31666379c/rendering/05.obj", "3.68218078613")</f>
        <v>3.68218078613</v>
      </c>
      <c r="I2177" s="92" t="str">
        <f>HYPERLINK(AA2 &amp; "/pencil/sn_e482c8bf90ae1477252cde31666379c/rendering/06.obj", "4.10772399902")</f>
        <v>4.10772399902</v>
      </c>
      <c r="J2177" s="74" t="str">
        <f>HYPERLINK(AA2 &amp; "/pencil/sn_e482c8bf90ae1477252cde31666379c/rendering/07.obj", "3.60284240723")</f>
        <v>3.60284240723</v>
      </c>
      <c r="K2177" s="80" t="str">
        <f>HYPERLINK(AA2 &amp; "/pencil/sn_e482c8bf90ae1477252cde31666379c/rendering/08.obj", "4.19499237061")</f>
        <v>4.19499237061</v>
      </c>
      <c r="L2177" s="23" t="str">
        <f>HYPERLINK(AA2 &amp; "/pencil/sn_e482c8bf90ae1477252cde31666379c/rendering/09.obj", "3.51800109863")</f>
        <v>3.51800109863</v>
      </c>
      <c r="M2177" s="90" t="str">
        <f>HYPERLINK(AA2 &amp; "/pencil/sn_e482c8bf90ae1477252cde31666379c/rendering/10.obj", "3.31080871582")</f>
        <v>3.31080871582</v>
      </c>
      <c r="N2177" s="72" t="str">
        <f>HYPERLINK(AA2 &amp; "/pencil/sn_e482c8bf90ae1477252cde31666379c/rendering/11.obj", "3.77475952148")</f>
        <v>3.77475952148</v>
      </c>
      <c r="O2177" s="69" t="str">
        <f>HYPERLINK(AA2 &amp; "/pencil/sn_e482c8bf90ae1477252cde31666379c/rendering/12.obj", "3.54491546631")</f>
        <v>3.54491546631</v>
      </c>
      <c r="P2177" s="5" t="str">
        <f>HYPERLINK(AA2 &amp; "/pencil/sn_e482c8bf90ae1477252cde31666379c/rendering/13.obj", "3.37391906738")</f>
        <v>3.37391906738</v>
      </c>
      <c r="Q2177" s="38" t="str">
        <f>HYPERLINK(AA2 &amp; "/pencil/sn_e482c8bf90ae1477252cde31666379c/rendering/14.obj", "3.98069458008")</f>
        <v>3.98069458008</v>
      </c>
      <c r="R2177" s="91" t="str">
        <f>HYPERLINK(AA2 &amp; "/pencil/sn_e482c8bf90ae1477252cde31666379c/rendering/15.obj", "3.55388793945")</f>
        <v>3.55388793945</v>
      </c>
      <c r="S2177" s="23" t="str">
        <f>HYPERLINK(AA2 &amp; "/pencil/sn_e482c8bf90ae1477252cde31666379c/rendering/16.obj", "3.51063293457")</f>
        <v>3.51063293457</v>
      </c>
      <c r="T2177" s="91" t="str">
        <f>HYPERLINK(AA2 &amp; "/pencil/sn_e482c8bf90ae1477252cde31666379c/rendering/17.obj", "3.55888793945")</f>
        <v>3.55888793945</v>
      </c>
      <c r="U2177" s="74" t="str">
        <f>HYPERLINK(AA2 &amp; "/pencil/sn_e482c8bf90ae1477252cde31666379c/rendering/18.obj", "3.71278808594")</f>
        <v>3.71278808594</v>
      </c>
      <c r="V2177" s="133" t="str">
        <f>HYPERLINK(AA2 &amp; "/pencil/sn_e482c8bf90ae1477252cde31666379c/rendering/19.obj", "3.28063171387")</f>
        <v>3.28063171387</v>
      </c>
      <c r="W2177" s="12" t="s">
        <v>29</v>
      </c>
      <c r="X2177" s="13">
        <v>3.6559082946777348</v>
      </c>
      <c r="Y2177" s="13">
        <v>0.2597898378414808</v>
      </c>
      <c r="Z2177" s="27">
        <v>7.1060272004000308E-2</v>
      </c>
    </row>
    <row r="2178" spans="1:26" x14ac:dyDescent="0.2">
      <c r="A2178" s="1">
        <v>2176</v>
      </c>
      <c r="B2178" s="2" t="s">
        <v>468</v>
      </c>
      <c r="C2178" s="40" t="str">
        <f>HYPERLINK(AA2 &amp; "/pencil/sn_e482c8bf90ae1477252cde31666379c/rendering/00.obj", "3.33267951012")</f>
        <v>3.33267951012</v>
      </c>
      <c r="D2178" s="32" t="str">
        <f>HYPERLINK(AA2 &amp; "/pencil/sn_e482c8bf90ae1477252cde31666379c/rendering/01.obj", "4.43977212906")</f>
        <v>4.43977212906</v>
      </c>
      <c r="E2178" s="92" t="str">
        <f>HYPERLINK(AA2 &amp; "/pencil/sn_e482c8bf90ae1477252cde31666379c/rendering/02.obj", "4.51568508148")</f>
        <v>4.51568508148</v>
      </c>
      <c r="F2178" s="29" t="str">
        <f>HYPERLINK(AA2 &amp; "/pencil/sn_e482c8bf90ae1477252cde31666379c/rendering/03.obj", "3.49561285973")</f>
        <v>3.49561285973</v>
      </c>
      <c r="G2178" s="117" t="str">
        <f>HYPERLINK(AA2 &amp; "/pencil/sn_e482c8bf90ae1477252cde31666379c/rendering/04.obj", "3.30255413055")</f>
        <v>3.30255413055</v>
      </c>
      <c r="H2178" s="133" t="str">
        <f>HYPERLINK(AA2 &amp; "/pencil/sn_e482c8bf90ae1477252cde31666379c/rendering/05.obj", "4.43212985992")</f>
        <v>4.43212985992</v>
      </c>
      <c r="I2178" s="108" t="str">
        <f>HYPERLINK(AA2 &amp; "/pencil/sn_e482c8bf90ae1477252cde31666379c/rendering/06.obj", "5.01182746887")</f>
        <v>5.01182746887</v>
      </c>
      <c r="J2178" s="26" t="str">
        <f>HYPERLINK(AA2 &amp; "/pencil/sn_e482c8bf90ae1477252cde31666379c/rendering/07.obj", "3.75469279289")</f>
        <v>3.75469279289</v>
      </c>
      <c r="K2178" s="51" t="str">
        <f>HYPERLINK(AA2 &amp; "/pencil/sn_e482c8bf90ae1477252cde31666379c/rendering/08.obj", "4.34685516357")</f>
        <v>4.34685516357</v>
      </c>
      <c r="L2178" s="46" t="str">
        <f>HYPERLINK(AA2 &amp; "/pencil/sn_e482c8bf90ae1477252cde31666379c/rendering/09.obj", "3.95505332947")</f>
        <v>3.95505332947</v>
      </c>
      <c r="M2178" s="27" t="str">
        <f>HYPERLINK(AA2 &amp; "/pencil/sn_e482c8bf90ae1477252cde31666379c/rendering/10.obj", "3.72970104218")</f>
        <v>3.72970104218</v>
      </c>
      <c r="N2178" s="5" t="str">
        <f>HYPERLINK(AA2 &amp; "/pencil/sn_e482c8bf90ae1477252cde31666379c/rendering/11.obj", "3.70758342743")</f>
        <v>3.70758342743</v>
      </c>
      <c r="O2178" s="133" t="str">
        <f>HYPERLINK(AA2 &amp; "/pencil/sn_e482c8bf90ae1477252cde31666379c/rendering/12.obj", "3.60677337646")</f>
        <v>3.60677337646</v>
      </c>
      <c r="P2178" s="42" t="str">
        <f>HYPERLINK(AA2 &amp; "/pencil/sn_e482c8bf90ae1477252cde31666379c/rendering/13.obj", "3.46921372414")</f>
        <v>3.46921372414</v>
      </c>
      <c r="Q2178" s="27" t="str">
        <f>HYPERLINK(AA2 &amp; "/pencil/sn_e482c8bf90ae1477252cde31666379c/rendering/14.obj", "4.30727529526")</f>
        <v>4.30727529526</v>
      </c>
      <c r="R2178" s="91" t="str">
        <f>HYPERLINK(AA2 &amp; "/pencil/sn_e482c8bf90ae1477252cde31666379c/rendering/15.obj", "4.13119125366")</f>
        <v>4.13119125366</v>
      </c>
      <c r="S2178" s="94" t="str">
        <f>HYPERLINK(AA2 &amp; "/pencil/sn_e482c8bf90ae1477252cde31666379c/rendering/16.obj", "4.31240606308")</f>
        <v>4.31240606308</v>
      </c>
      <c r="T2178" s="94" t="str">
        <f>HYPERLINK(AA2 &amp; "/pencil/sn_e482c8bf90ae1477252cde31666379c/rendering/17.obj", "4.31954479218")</f>
        <v>4.31954479218</v>
      </c>
      <c r="U2178" s="67" t="str">
        <f>HYPERLINK(AA2 &amp; "/pencil/sn_e482c8bf90ae1477252cde31666379c/rendering/18.obj", "4.38693284988")</f>
        <v>4.38693284988</v>
      </c>
      <c r="V2178" s="34" t="str">
        <f>HYPERLINK(AA2 &amp; "/pencil/sn_e482c8bf90ae1477252cde31666379c/rendering/19.obj", "3.8231575489")</f>
        <v>3.8231575489</v>
      </c>
      <c r="W2178" s="12" t="s">
        <v>30</v>
      </c>
      <c r="X2178" s="13">
        <v>4.0190320849418644</v>
      </c>
      <c r="Y2178" s="13">
        <v>0.45379133685429401</v>
      </c>
      <c r="Z2178" s="28">
        <v>0.11291060316600041</v>
      </c>
    </row>
    <row r="2179" spans="1:26" x14ac:dyDescent="0.2">
      <c r="A2179" s="1">
        <v>2177</v>
      </c>
      <c r="B2179" s="2" t="s">
        <v>468</v>
      </c>
      <c r="C2179" s="41" t="str">
        <f>HYPERLINK(AB2 &amp; "/pencil/sn_e482c8bf90ae1477252cde31666379c/rendering/00.obj", "3.7035559082")</f>
        <v>3.7035559082</v>
      </c>
      <c r="D2179" s="67" t="str">
        <f>HYPERLINK(AB2 &amp; "/pencil/sn_e482c8bf90ae1477252cde31666379c/rendering/01.obj", "4.33682617187")</f>
        <v>4.33682617187</v>
      </c>
      <c r="E2179" s="23" t="str">
        <f>HYPERLINK(AB2 &amp; "/pencil/sn_e482c8bf90ae1477252cde31666379c/rendering/02.obj", "4.12715637207")</f>
        <v>4.12715637207</v>
      </c>
      <c r="F2179" s="78" t="str">
        <f>HYPERLINK(AB2 &amp; "/pencil/sn_e482c8bf90ae1477252cde31666379c/rendering/03.obj", "4.2206640625")</f>
        <v>4.2206640625</v>
      </c>
      <c r="G2179" s="47" t="str">
        <f>HYPERLINK(AB2 &amp; "/pencil/sn_e482c8bf90ae1477252cde31666379c/rendering/04.obj", "4.00548400879")</f>
        <v>4.00548400879</v>
      </c>
      <c r="H2179" s="35" t="str">
        <f>HYPERLINK(AB2 &amp; "/pencil/sn_e482c8bf90ae1477252cde31666379c/rendering/05.obj", "3.74495544434")</f>
        <v>3.74495544434</v>
      </c>
      <c r="I2179" s="48" t="str">
        <f>HYPERLINK(AB2 &amp; "/pencil/sn_e482c8bf90ae1477252cde31666379c/rendering/06.obj", "4.07112579346")</f>
        <v>4.07112579346</v>
      </c>
      <c r="J2179" s="30" t="str">
        <f>HYPERLINK(AB2 &amp; "/pencil/sn_e482c8bf90ae1477252cde31666379c/rendering/07.obj", "3.95506958008")</f>
        <v>3.95506958008</v>
      </c>
      <c r="K2179" s="10" t="str">
        <f>HYPERLINK(AB2 &amp; "/pencil/sn_e482c8bf90ae1477252cde31666379c/rendering/08.obj", "3.75860900879")</f>
        <v>3.75860900879</v>
      </c>
      <c r="L2179" s="65" t="str">
        <f>HYPERLINK(AB2 &amp; "/pencil/sn_e482c8bf90ae1477252cde31666379c/rendering/09.obj", "4.503828125")</f>
        <v>4.503828125</v>
      </c>
      <c r="M2179" s="34" t="str">
        <f>HYPERLINK(AB2 &amp; "/pencil/sn_e482c8bf90ae1477252cde31666379c/rendering/10.obj", "4.16988739014")</f>
        <v>4.16988739014</v>
      </c>
      <c r="N2179" s="73" t="str">
        <f>HYPERLINK(AB2 &amp; "/pencil/sn_e482c8bf90ae1477252cde31666379c/rendering/11.obj", "4.11186065674")</f>
        <v>4.11186065674</v>
      </c>
      <c r="O2179" s="68" t="str">
        <f>HYPERLINK(AB2 &amp; "/pencil/sn_e482c8bf90ae1477252cde31666379c/rendering/12.obj", "3.79879394531")</f>
        <v>3.79879394531</v>
      </c>
      <c r="P2179" s="26" t="str">
        <f>HYPERLINK(AB2 &amp; "/pencil/sn_e482c8bf90ae1477252cde31666379c/rendering/13.obj", "3.71759643555")</f>
        <v>3.71759643555</v>
      </c>
      <c r="Q2179" s="38" t="str">
        <f>HYPERLINK(AB2 &amp; "/pencil/sn_e482c8bf90ae1477252cde31666379c/rendering/14.obj", "3.62060821533")</f>
        <v>3.62060821533</v>
      </c>
      <c r="R2179" s="107" t="str">
        <f>HYPERLINK(AB2 &amp; "/pencil/sn_e482c8bf90ae1477252cde31666379c/rendering/15.obj", "4.30712890625")</f>
        <v>4.30712890625</v>
      </c>
      <c r="S2179" s="30" t="str">
        <f>HYPERLINK(AB2 &amp; "/pencil/sn_e482c8bf90ae1477252cde31666379c/rendering/16.obj", "3.98643615723")</f>
        <v>3.98643615723</v>
      </c>
      <c r="T2179" s="10" t="str">
        <f>HYPERLINK(AB2 &amp; "/pencil/sn_e482c8bf90ae1477252cde31666379c/rendering/17.obj", "3.75465545654")</f>
        <v>3.75465545654</v>
      </c>
      <c r="U2179" s="51" t="str">
        <f>HYPERLINK(AB2 &amp; "/pencil/sn_e482c8bf90ae1477252cde31666379c/rendering/18.obj", "3.65518127441")</f>
        <v>3.65518127441</v>
      </c>
      <c r="V2179" s="46" t="str">
        <f>HYPERLINK(AB2 &amp; "/pencil/sn_e482c8bf90ae1477252cde31666379c/rendering/19.obj", "3.90723205566")</f>
        <v>3.90723205566</v>
      </c>
      <c r="W2179" s="12" t="s">
        <v>31</v>
      </c>
      <c r="X2179" s="13">
        <v>3.9728327484130861</v>
      </c>
      <c r="Y2179" s="13">
        <v>0.24733168030024741</v>
      </c>
      <c r="Z2179" s="78">
        <v>6.2255749477256983E-2</v>
      </c>
    </row>
    <row r="2180" spans="1:26" x14ac:dyDescent="0.2">
      <c r="A2180" s="1">
        <v>2178</v>
      </c>
      <c r="B2180" s="2" t="s">
        <v>468</v>
      </c>
      <c r="C2180" s="66" t="str">
        <f>HYPERLINK(AB2 &amp; "/pencil/sn_e482c8bf90ae1477252cde31666379c/rendering/00.obj", "2.83108830452")</f>
        <v>2.83108830452</v>
      </c>
      <c r="D2180" s="39" t="str">
        <f>HYPERLINK(AB2 &amp; "/pencil/sn_e482c8bf90ae1477252cde31666379c/rendering/01.obj", "3.66282868385")</f>
        <v>3.66282868385</v>
      </c>
      <c r="E2180" s="78" t="str">
        <f>HYPERLINK(AB2 &amp; "/pencil/sn_e482c8bf90ae1477252cde31666379c/rendering/02.obj", "3.57975482941")</f>
        <v>3.57975482941</v>
      </c>
      <c r="F2180" s="77" t="str">
        <f>HYPERLINK(AB2 &amp; "/pencil/sn_e482c8bf90ae1477252cde31666379c/rendering/03.obj", "4.00541543961")</f>
        <v>4.00541543961</v>
      </c>
      <c r="G2180" s="32" t="str">
        <f>HYPERLINK(AB2 &amp; "/pencil/sn_e482c8bf90ae1477252cde31666379c/rendering/04.obj", "3.01877999306")</f>
        <v>3.01877999306</v>
      </c>
      <c r="H2180" s="65" t="str">
        <f>HYPERLINK(AB2 &amp; "/pencil/sn_e482c8bf90ae1477252cde31666379c/rendering/05.obj", "2.92814517021")</f>
        <v>2.92814517021</v>
      </c>
      <c r="I2180" s="8" t="str">
        <f>HYPERLINK(AB2 &amp; "/pencil/sn_e482c8bf90ae1477252cde31666379c/rendering/06.obj", "3.85435628891")</f>
        <v>3.85435628891</v>
      </c>
      <c r="J2180" s="27" t="str">
        <f>HYPERLINK(AB2 &amp; "/pencil/sn_e482c8bf90ae1477252cde31666379c/rendering/07.obj", "3.13426709175")</f>
        <v>3.13426709175</v>
      </c>
      <c r="K2180" s="42" t="str">
        <f>HYPERLINK(AB2 &amp; "/pencil/sn_e482c8bf90ae1477252cde31666379c/rendering/08.obj", "2.91575336456")</f>
        <v>2.91575336456</v>
      </c>
      <c r="L2180" s="98" t="str">
        <f>HYPERLINK(AB2 &amp; "/pencil/sn_e482c8bf90ae1477252cde31666379c/rendering/09.obj", "4.15864992142")</f>
        <v>4.15864992142</v>
      </c>
      <c r="M2180" s="135" t="str">
        <f>HYPERLINK(AB2 &amp; "/pencil/sn_e482c8bf90ae1477252cde31666379c/rendering/10.obj", "4.24118232727")</f>
        <v>4.24118232727</v>
      </c>
      <c r="N2180" s="60" t="str">
        <f>HYPERLINK(AB2 &amp; "/pencil/sn_e482c8bf90ae1477252cde31666379c/rendering/11.obj", "3.54909920692")</f>
        <v>3.54909920692</v>
      </c>
      <c r="O2180" s="32" t="str">
        <f>HYPERLINK(AB2 &amp; "/pencil/sn_e482c8bf90ae1477252cde31666379c/rendering/12.obj", "3.01776623726")</f>
        <v>3.01776623726</v>
      </c>
      <c r="P2180" s="90" t="str">
        <f>HYPERLINK(AB2 &amp; "/pencil/sn_e482c8bf90ae1477252cde31666379c/rendering/13.obj", "3.04946303368")</f>
        <v>3.04946303368</v>
      </c>
      <c r="Q2180" s="55" t="str">
        <f>HYPERLINK(AB2 &amp; "/pencil/sn_e482c8bf90ae1477252cde31666379c/rendering/14.obj", "2.72645545006")</f>
        <v>2.72645545006</v>
      </c>
      <c r="R2180" s="7" t="str">
        <f>HYPERLINK(AB2 &amp; "/pencil/sn_e482c8bf90ae1477252cde31666379c/rendering/15.obj", "4.31025505066")</f>
        <v>4.31025505066</v>
      </c>
      <c r="S2180" s="5" t="str">
        <f>HYPERLINK(AB2 &amp; "/pencil/sn_e482c8bf90ae1477252cde31666379c/rendering/16.obj", "3.63463354111")</f>
        <v>3.63463354111</v>
      </c>
      <c r="T2180" s="42" t="str">
        <f>HYPERLINK(AB2 &amp; "/pencil/sn_e482c8bf90ae1477252cde31666379c/rendering/17.obj", "2.91926908493")</f>
        <v>2.91926908493</v>
      </c>
      <c r="U2180" s="37" t="str">
        <f>HYPERLINK(AB2 &amp; "/pencil/sn_e482c8bf90ae1477252cde31666379c/rendering/18.obj", "2.78626513481")</f>
        <v>2.78626513481</v>
      </c>
      <c r="V2180" s="34" t="str">
        <f>HYPERLINK(AB2 &amp; "/pencil/sn_e482c8bf90ae1477252cde31666379c/rendering/19.obj", "3.2117331028")</f>
        <v>3.2117331028</v>
      </c>
      <c r="W2180" s="12" t="s">
        <v>32</v>
      </c>
      <c r="X2180" s="13">
        <v>3.376758062839508</v>
      </c>
      <c r="Y2180" s="13">
        <v>0.5106438468126937</v>
      </c>
      <c r="Z2180" s="83">
        <v>0.1512231072851262</v>
      </c>
    </row>
    <row r="2181" spans="1:26" x14ac:dyDescent="0.2">
      <c r="A2181" s="1">
        <v>2179</v>
      </c>
      <c r="B2181" s="2" t="s">
        <v>468</v>
      </c>
      <c r="C2181" s="13" t="str">
        <f>HYPERLINK(AC2 &amp; "/pencil/sn_e482c8bf90ae1477252cde31666379c/rendering/00.xyz", "0.0")</f>
        <v>0.0</v>
      </c>
      <c r="D2181" s="13" t="str">
        <f>HYPERLINK(AC2 &amp; "/pencil/sn_e482c8bf90ae1477252cde31666379c/rendering/01.xyz", "0.0")</f>
        <v>0.0</v>
      </c>
      <c r="E2181" s="13" t="str">
        <f>HYPERLINK(AC2 &amp; "/pencil/sn_e482c8bf90ae1477252cde31666379c/rendering/02.xyz", "0.0")</f>
        <v>0.0</v>
      </c>
      <c r="F2181" s="13" t="str">
        <f>HYPERLINK(AC2 &amp; "/pencil/sn_e482c8bf90ae1477252cde31666379c/rendering/03.xyz", "0.0")</f>
        <v>0.0</v>
      </c>
      <c r="G2181" s="13" t="str">
        <f>HYPERLINK(AC2 &amp; "/pencil/sn_e482c8bf90ae1477252cde31666379c/rendering/04.xyz", "0.0")</f>
        <v>0.0</v>
      </c>
      <c r="H2181" s="13" t="str">
        <f>HYPERLINK(AC2 &amp; "/pencil/sn_e482c8bf90ae1477252cde31666379c/rendering/05.xyz", "0.0")</f>
        <v>0.0</v>
      </c>
      <c r="I2181" s="13" t="str">
        <f>HYPERLINK(AC2 &amp; "/pencil/sn_e482c8bf90ae1477252cde31666379c/rendering/06.xyz", "0.0")</f>
        <v>0.0</v>
      </c>
      <c r="J2181" s="13" t="str">
        <f>HYPERLINK(AC2 &amp; "/pencil/sn_e482c8bf90ae1477252cde31666379c/rendering/07.xyz", "0.0")</f>
        <v>0.0</v>
      </c>
      <c r="K2181" s="13" t="str">
        <f>HYPERLINK(AC2 &amp; "/pencil/sn_e482c8bf90ae1477252cde31666379c/rendering/08.xyz", "0.0")</f>
        <v>0.0</v>
      </c>
      <c r="L2181" s="13" t="str">
        <f>HYPERLINK(AC2 &amp; "/pencil/sn_e482c8bf90ae1477252cde31666379c/rendering/09.xyz", "0.0")</f>
        <v>0.0</v>
      </c>
      <c r="M2181" s="13" t="str">
        <f>HYPERLINK(AC2 &amp; "/pencil/sn_e482c8bf90ae1477252cde31666379c/rendering/10.xyz", "0.0")</f>
        <v>0.0</v>
      </c>
      <c r="N2181" s="13" t="str">
        <f>HYPERLINK(AC2 &amp; "/pencil/sn_e482c8bf90ae1477252cde31666379c/rendering/11.xyz", "0.0")</f>
        <v>0.0</v>
      </c>
      <c r="O2181" s="13" t="str">
        <f>HYPERLINK(AC2 &amp; "/pencil/sn_e482c8bf90ae1477252cde31666379c/rendering/12.xyz", "0.0")</f>
        <v>0.0</v>
      </c>
      <c r="P2181" s="13" t="str">
        <f>HYPERLINK(AC2 &amp; "/pencil/sn_e482c8bf90ae1477252cde31666379c/rendering/13.xyz", "0.0")</f>
        <v>0.0</v>
      </c>
      <c r="Q2181" s="13" t="str">
        <f>HYPERLINK(AC2 &amp; "/pencil/sn_e482c8bf90ae1477252cde31666379c/rendering/14.xyz", "0.0")</f>
        <v>0.0</v>
      </c>
      <c r="R2181" s="13" t="str">
        <f>HYPERLINK(AC2 &amp; "/pencil/sn_e482c8bf90ae1477252cde31666379c/rendering/15.xyz", "0.0")</f>
        <v>0.0</v>
      </c>
      <c r="S2181" s="13" t="str">
        <f>HYPERLINK(AC2 &amp; "/pencil/sn_e482c8bf90ae1477252cde31666379c/rendering/16.xyz", "0.0")</f>
        <v>0.0</v>
      </c>
      <c r="T2181" s="13" t="str">
        <f>HYPERLINK(AC2 &amp; "/pencil/sn_e482c8bf90ae1477252cde31666379c/rendering/17.xyz", "0.0")</f>
        <v>0.0</v>
      </c>
      <c r="U2181" s="13" t="str">
        <f>HYPERLINK(AC2 &amp; "/pencil/sn_e482c8bf90ae1477252cde31666379c/rendering/18.xyz", "0.0")</f>
        <v>0.0</v>
      </c>
      <c r="V2181" s="13" t="str">
        <f>HYPERLINK(AC2 &amp; "/pencil/sn_e482c8bf90ae1477252cde31666379c/rendering/19.xyz", "0.0")</f>
        <v>0.0</v>
      </c>
      <c r="W2181" s="12" t="s">
        <v>33</v>
      </c>
      <c r="X2181" s="13">
        <v>0</v>
      </c>
      <c r="Y2181" s="13">
        <v>0</v>
      </c>
      <c r="Z2181" s="13">
        <v>0</v>
      </c>
    </row>
    <row r="2182" spans="1:26" x14ac:dyDescent="0.2">
      <c r="A2182" s="1">
        <v>2180</v>
      </c>
      <c r="B2182" s="2" t="s">
        <v>469</v>
      </c>
      <c r="C2182" s="10" t="str">
        <f>HYPERLINK(AA2 &amp; "/pencil/sn_e499791b7b39b44c644404f8fb3dc5e3/rendering/00.obj", "4.02127502441")</f>
        <v>4.02127502441</v>
      </c>
      <c r="D2182" s="48" t="str">
        <f>HYPERLINK(AA2 &amp; "/pencil/sn_e499791b7b39b44c644404f8fb3dc5e3/rendering/01.obj", "3.90084838867")</f>
        <v>3.90084838867</v>
      </c>
      <c r="E2182" s="42" t="str">
        <f>HYPERLINK(AA2 &amp; "/pencil/sn_e499791b7b39b44c644404f8fb3dc5e3/rendering/02.obj", "4.33803100586")</f>
        <v>4.33803100586</v>
      </c>
      <c r="F2182" s="55" t="str">
        <f>HYPERLINK(AA2 &amp; "/pencil/sn_e499791b7b39b44c644404f8fb3dc5e3/rendering/03.obj", "4.54814819336")</f>
        <v>4.54814819336</v>
      </c>
      <c r="G2182" s="35" t="str">
        <f>HYPERLINK(AA2 &amp; "/pencil/sn_e499791b7b39b44c644404f8fb3dc5e3/rendering/04.obj", "3.59217346191")</f>
        <v>3.59217346191</v>
      </c>
      <c r="H2182" s="27" t="str">
        <f>HYPERLINK(AA2 &amp; "/pencil/sn_e499791b7b39b44c644404f8fb3dc5e3/rendering/05.obj", "3.5409387207")</f>
        <v>3.5409387207</v>
      </c>
      <c r="I2182" s="34" t="str">
        <f>HYPERLINK(AA2 &amp; "/pencil/sn_e499791b7b39b44c644404f8fb3dc5e3/rendering/06.obj", "3.63421447754")</f>
        <v>3.63421447754</v>
      </c>
      <c r="J2182" s="69" t="str">
        <f>HYPERLINK(AA2 &amp; "/pencil/sn_e499791b7b39b44c644404f8fb3dc5e3/rendering/07.obj", "3.6993170166")</f>
        <v>3.6993170166</v>
      </c>
      <c r="K2182" s="17" t="str">
        <f>HYPERLINK(AA2 &amp; "/pencil/sn_e499791b7b39b44c644404f8fb3dc5e3/rendering/08.obj", "3.73596313477")</f>
        <v>3.73596313477</v>
      </c>
      <c r="L2182" s="78" t="str">
        <f>HYPERLINK(AA2 &amp; "/pencil/sn_e499791b7b39b44c644404f8fb3dc5e3/rendering/09.obj", "3.57523010254")</f>
        <v>3.57523010254</v>
      </c>
      <c r="M2182" s="48" t="str">
        <f>HYPERLINK(AA2 &amp; "/pencil/sn_e499791b7b39b44c644404f8fb3dc5e3/rendering/10.obj", "3.90007629395")</f>
        <v>3.90007629395</v>
      </c>
      <c r="N2182" s="32" t="str">
        <f>HYPERLINK(AA2 &amp; "/pencil/sn_e499791b7b39b44c644404f8fb3dc5e3/rendering/11.obj", "3.41503997803")</f>
        <v>3.41503997803</v>
      </c>
      <c r="O2182" s="39" t="str">
        <f>HYPERLINK(AA2 &amp; "/pencil/sn_e499791b7b39b44c644404f8fb3dc5e3/rendering/12.obj", "3.4809954834")</f>
        <v>3.4809954834</v>
      </c>
      <c r="P2182" s="17" t="str">
        <f>HYPERLINK(AA2 &amp; "/pencil/sn_e499791b7b39b44c644404f8fb3dc5e3/rendering/13.obj", "3.89355712891")</f>
        <v>3.89355712891</v>
      </c>
      <c r="Q2182" s="69" t="str">
        <f>HYPERLINK(AA2 &amp; "/pencil/sn_e499791b7b39b44c644404f8fb3dc5e3/rendering/14.obj", "3.92275848389")</f>
        <v>3.92275848389</v>
      </c>
      <c r="R2182" s="6" t="str">
        <f>HYPERLINK(AA2 &amp; "/pencil/sn_e499791b7b39b44c644404f8fb3dc5e3/rendering/15.obj", "3.99049163818")</f>
        <v>3.99049163818</v>
      </c>
      <c r="S2182" s="41" t="str">
        <f>HYPERLINK(AA2 &amp; "/pencil/sn_e499791b7b39b44c644404f8fb3dc5e3/rendering/16.obj", "3.55747497559")</f>
        <v>3.55747497559</v>
      </c>
      <c r="T2182" s="78" t="str">
        <f>HYPERLINK(AA2 &amp; "/pencil/sn_e499791b7b39b44c644404f8fb3dc5e3/rendering/17.obj", "3.5836026001")</f>
        <v>3.5836026001</v>
      </c>
      <c r="U2182" s="23" t="str">
        <f>HYPERLINK(AA2 &amp; "/pencil/sn_e499791b7b39b44c644404f8fb3dc5e3/rendering/18.obj", "3.96852111816")</f>
        <v>3.96852111816</v>
      </c>
      <c r="V2182" s="68" t="str">
        <f>HYPERLINK(AA2 &amp; "/pencil/sn_e499791b7b39b44c644404f8fb3dc5e3/rendering/19.obj", "3.97942749023")</f>
        <v>3.97942749023</v>
      </c>
      <c r="W2182" s="12" t="s">
        <v>29</v>
      </c>
      <c r="X2182" s="13">
        <v>3.8139042358398441</v>
      </c>
      <c r="Y2182" s="13">
        <v>0.28225353241176321</v>
      </c>
      <c r="Z2182" s="94">
        <v>7.4006455054477602E-2</v>
      </c>
    </row>
    <row r="2183" spans="1:26" x14ac:dyDescent="0.2">
      <c r="A2183" s="1">
        <v>2181</v>
      </c>
      <c r="B2183" s="2" t="s">
        <v>469</v>
      </c>
      <c r="C2183" s="46" t="str">
        <f>HYPERLINK(AA2 &amp; "/pencil/sn_e499791b7b39b44c644404f8fb3dc5e3/rendering/00.obj", "0.870998561382")</f>
        <v>0.870998561382</v>
      </c>
      <c r="D2183" s="46" t="str">
        <f>HYPERLINK(AA2 &amp; "/pencil/sn_e499791b7b39b44c644404f8fb3dc5e3/rendering/01.obj", "0.901747584343")</f>
        <v>0.901747584343</v>
      </c>
      <c r="E2183" s="196" t="str">
        <f>HYPERLINK(AA2 &amp; "/pencil/sn_e499791b7b39b44c644404f8fb3dc5e3/rendering/02.obj", "1.23903250694")</f>
        <v>1.23903250694</v>
      </c>
      <c r="F2183" s="20" t="str">
        <f>HYPERLINK(AA2 &amp; "/pencil/sn_e499791b7b39b44c644404f8fb3dc5e3/rendering/03.obj", "1.67116653919")</f>
        <v>1.67116653919</v>
      </c>
      <c r="G2183" s="33" t="str">
        <f>HYPERLINK(AA2 &amp; "/pencil/sn_e499791b7b39b44c644404f8fb3dc5e3/rendering/04.obj", "0.790340483189")</f>
        <v>0.790340483189</v>
      </c>
      <c r="H2183" s="42" t="str">
        <f>HYPERLINK(AA2 &amp; "/pencil/sn_e499791b7b39b44c644404f8fb3dc5e3/rendering/05.obj", "0.764837145805")</f>
        <v>0.764837145805</v>
      </c>
      <c r="I2183" s="38" t="str">
        <f>HYPERLINK(AA2 &amp; "/pencil/sn_e499791b7b39b44c644404f8fb3dc5e3/rendering/06.obj", "0.806151688099")</f>
        <v>0.806151688099</v>
      </c>
      <c r="J2183" s="5" t="str">
        <f>HYPERLINK(AA2 &amp; "/pencil/sn_e499791b7b39b44c644404f8fb3dc5e3/rendering/07.obj", "0.819815158844")</f>
        <v>0.819815158844</v>
      </c>
      <c r="K2183" s="79" t="str">
        <f>HYPERLINK(AA2 &amp; "/pencil/sn_e499791b7b39b44c644404f8fb3dc5e3/rendering/08.obj", "0.746106743813")</f>
        <v>0.746106743813</v>
      </c>
      <c r="L2183" s="34" t="str">
        <f>HYPERLINK(AA2 &amp; "/pencil/sn_e499791b7b39b44c644404f8fb3dc5e3/rendering/09.obj", "0.842744290829")</f>
        <v>0.842744290829</v>
      </c>
      <c r="M2183" s="41" t="str">
        <f>HYPERLINK(AA2 &amp; "/pencil/sn_e499791b7b39b44c644404f8fb3dc5e3/rendering/10.obj", "0.94597864151")</f>
        <v>0.94597864151</v>
      </c>
      <c r="N2183" s="37" t="str">
        <f>HYPERLINK(AA2 &amp; "/pencil/sn_e499791b7b39b44c644404f8fb3dc5e3/rendering/11.obj", "0.732572674751")</f>
        <v>0.732572674751</v>
      </c>
      <c r="O2183" s="44" t="str">
        <f>HYPERLINK(AA2 &amp; "/pencil/sn_e499791b7b39b44c644404f8fb3dc5e3/rendering/12.obj", "0.711655378342")</f>
        <v>0.711655378342</v>
      </c>
      <c r="P2183" s="70" t="str">
        <f>HYPERLINK(AA2 &amp; "/pencil/sn_e499791b7b39b44c644404f8fb3dc5e3/rendering/13.obj", "0.999927222729")</f>
        <v>0.999927222729</v>
      </c>
      <c r="Q2183" s="69" t="str">
        <f>HYPERLINK(AA2 &amp; "/pencil/sn_e499791b7b39b44c644404f8fb3dc5e3/rendering/14.obj", "0.9131513834")</f>
        <v>0.9131513834</v>
      </c>
      <c r="R2183" s="33" t="str">
        <f>HYPERLINK(AA2 &amp; "/pencil/sn_e499791b7b39b44c644404f8fb3dc5e3/rendering/15.obj", "0.791087448597")</f>
        <v>0.791087448597</v>
      </c>
      <c r="S2183" s="117" t="str">
        <f>HYPERLINK(AA2 &amp; "/pencil/sn_e499791b7b39b44c644404f8fb3dc5e3/rendering/16.obj", "0.728214144707")</f>
        <v>0.728214144707</v>
      </c>
      <c r="T2183" s="37" t="str">
        <f>HYPERLINK(AA2 &amp; "/pencil/sn_e499791b7b39b44c644404f8fb3dc5e3/rendering/17.obj", "0.733456730843")</f>
        <v>0.733456730843</v>
      </c>
      <c r="U2183" s="117" t="str">
        <f>HYPERLINK(AA2 &amp; "/pencil/sn_e499791b7b39b44c644404f8fb3dc5e3/rendering/18.obj", "0.729814529419")</f>
        <v>0.729814529419</v>
      </c>
      <c r="V2183" s="63" t="str">
        <f>HYPERLINK(AA2 &amp; "/pencil/sn_e499791b7b39b44c644404f8fb3dc5e3/rendering/19.obj", "0.992618262768")</f>
        <v>0.992618262768</v>
      </c>
      <c r="W2183" s="12" t="s">
        <v>30</v>
      </c>
      <c r="X2183" s="13">
        <v>0.88657085597515106</v>
      </c>
      <c r="Y2183" s="13">
        <v>0.21929422180400771</v>
      </c>
      <c r="Z2183" s="108">
        <v>0.24735103835869171</v>
      </c>
    </row>
    <row r="2184" spans="1:26" x14ac:dyDescent="0.2">
      <c r="A2184" s="1">
        <v>2182</v>
      </c>
      <c r="B2184" s="2" t="s">
        <v>469</v>
      </c>
      <c r="C2184" s="25" t="str">
        <f>HYPERLINK(AB2 &amp; "/pencil/sn_e499791b7b39b44c644404f8fb3dc5e3/rendering/00.obj", "5.77200378418")</f>
        <v>5.77200378418</v>
      </c>
      <c r="D2184" s="13" t="str">
        <f>HYPERLINK(AB2 &amp; "/pencil/sn_e499791b7b39b44c644404f8fb3dc5e3/rendering/01.obj", "5.70372558594")</f>
        <v>5.70372558594</v>
      </c>
      <c r="E2184" s="13" t="str">
        <f>HYPERLINK(AB2 &amp; "/pencil/sn_e499791b7b39b44c644404f8fb3dc5e3/rendering/02.obj", "5.69514892578")</f>
        <v>5.69514892578</v>
      </c>
      <c r="F2184" s="46" t="str">
        <f>HYPERLINK(AB2 &amp; "/pencil/sn_e499791b7b39b44c644404f8fb3dc5e3/rendering/03.obj", "5.79527648926")</f>
        <v>5.79527648926</v>
      </c>
      <c r="G2184" s="13" t="str">
        <f>HYPERLINK(AB2 &amp; "/pencil/sn_e499791b7b39b44c644404f8fb3dc5e3/rendering/04.obj", "5.70903808594")</f>
        <v>5.70903808594</v>
      </c>
      <c r="H2184" s="25" t="str">
        <f>HYPERLINK(AB2 &amp; "/pencil/sn_e499791b7b39b44c644404f8fb3dc5e3/rendering/05.obj", "5.64790527344")</f>
        <v>5.64790527344</v>
      </c>
      <c r="I2184" s="23" t="str">
        <f>HYPERLINK(AB2 &amp; "/pencil/sn_e499791b7b39b44c644404f8fb3dc5e3/rendering/06.obj", "5.91977294922")</f>
        <v>5.91977294922</v>
      </c>
      <c r="J2184" s="60" t="str">
        <f>HYPERLINK(AB2 &amp; "/pencil/sn_e499791b7b39b44c644404f8fb3dc5e3/rendering/07.obj", "5.40647888184")</f>
        <v>5.40647888184</v>
      </c>
      <c r="K2184" s="46" t="str">
        <f>HYPERLINK(AB2 &amp; "/pencil/sn_e499791b7b39b44c644404f8fb3dc5e3/rendering/08.obj", "5.80248413086")</f>
        <v>5.80248413086</v>
      </c>
      <c r="L2184" s="25" t="str">
        <f>HYPERLINK(AB2 &amp; "/pencil/sn_e499791b7b39b44c644404f8fb3dc5e3/rendering/09.obj", "5.76309570312")</f>
        <v>5.76309570312</v>
      </c>
      <c r="M2184" s="17" t="str">
        <f>HYPERLINK(AB2 &amp; "/pencil/sn_e499791b7b39b44c644404f8fb3dc5e3/rendering/10.obj", "5.81937011719")</f>
        <v>5.81937011719</v>
      </c>
      <c r="N2184" s="38" t="str">
        <f>HYPERLINK(AB2 &amp; "/pencil/sn_e499791b7b39b44c644404f8fb3dc5e3/rendering/11.obj", "5.19930419922")</f>
        <v>5.19930419922</v>
      </c>
      <c r="O2184" s="73" t="str">
        <f>HYPERLINK(AB2 &amp; "/pencil/sn_e499791b7b39b44c644404f8fb3dc5e3/rendering/12.obj", "5.48740234375")</f>
        <v>5.48740234375</v>
      </c>
      <c r="P2184" s="46" t="str">
        <f>HYPERLINK(AB2 &amp; "/pencil/sn_e499791b7b39b44c644404f8fb3dc5e3/rendering/13.obj", "5.79575134277")</f>
        <v>5.79575134277</v>
      </c>
      <c r="Q2184" s="13" t="str">
        <f>HYPERLINK(AB2 &amp; "/pencil/sn_e499791b7b39b44c644404f8fb3dc5e3/rendering/14.obj", "5.7049609375")</f>
        <v>5.7049609375</v>
      </c>
      <c r="R2184" s="34" t="str">
        <f>HYPERLINK(AB2 &amp; "/pencil/sn_e499791b7b39b44c644404f8fb3dc5e3/rendering/15.obj", "5.98413330078")</f>
        <v>5.98413330078</v>
      </c>
      <c r="S2184" s="78" t="str">
        <f>HYPERLINK(AB2 &amp; "/pencil/sn_e499791b7b39b44c644404f8fb3dc5e3/rendering/16.obj", "5.34962585449")</f>
        <v>5.34962585449</v>
      </c>
      <c r="T2184" s="46" t="str">
        <f>HYPERLINK(AB2 &amp; "/pencil/sn_e499791b7b39b44c644404f8fb3dc5e3/rendering/17.obj", "5.79397705078")</f>
        <v>5.79397705078</v>
      </c>
      <c r="U2184" s="17" t="str">
        <f>HYPERLINK(AB2 &amp; "/pencil/sn_e499791b7b39b44c644404f8fb3dc5e3/rendering/18.obj", "5.82214660645")</f>
        <v>5.82214660645</v>
      </c>
      <c r="V2184" s="91" t="str">
        <f>HYPERLINK(AB2 &amp; "/pencil/sn_e499791b7b39b44c644404f8fb3dc5e3/rendering/19.obj", "5.86007263184")</f>
        <v>5.86007263184</v>
      </c>
      <c r="W2184" s="12" t="s">
        <v>31</v>
      </c>
      <c r="X2184" s="13">
        <v>5.7015837097167976</v>
      </c>
      <c r="Y2184" s="13">
        <v>0.19211826021283049</v>
      </c>
      <c r="Z2184" s="72">
        <v>3.3695595819354038E-2</v>
      </c>
    </row>
    <row r="2185" spans="1:26" x14ac:dyDescent="0.2">
      <c r="A2185" s="1">
        <v>2183</v>
      </c>
      <c r="B2185" s="2" t="s">
        <v>469</v>
      </c>
      <c r="C2185" s="29" t="str">
        <f>HYPERLINK(AB2 &amp; "/pencil/sn_e499791b7b39b44c644404f8fb3dc5e3/rendering/00.obj", "0.913465976715")</f>
        <v>0.913465976715</v>
      </c>
      <c r="D2185" s="74" t="str">
        <f>HYPERLINK(AB2 &amp; "/pencil/sn_e499791b7b39b44c644404f8fb3dc5e3/rendering/01.obj", "1.03238391876")</f>
        <v>1.03238391876</v>
      </c>
      <c r="E2185" s="107" t="str">
        <f>HYPERLINK(AB2 &amp; "/pencil/sn_e499791b7b39b44c644404f8fb3dc5e3/rendering/02.obj", "0.961372733116")</f>
        <v>0.961372733116</v>
      </c>
      <c r="F2185" s="26" t="str">
        <f>HYPERLINK(AB2 &amp; "/pencil/sn_e499791b7b39b44c644404f8fb3dc5e3/rendering/03.obj", "0.979543745518")</f>
        <v>0.979543745518</v>
      </c>
      <c r="G2185" s="13" t="str">
        <f>HYPERLINK(AB2 &amp; "/pencil/sn_e499791b7b39b44c644404f8fb3dc5e3/rendering/04.obj", "1.04848313332")</f>
        <v>1.04848313332</v>
      </c>
      <c r="H2185" s="5" t="str">
        <f>HYPERLINK(AB2 &amp; "/pencil/sn_e499791b7b39b44c644404f8fb3dc5e3/rendering/05.obj", "1.12746155262")</f>
        <v>1.12746155262</v>
      </c>
      <c r="I2185" s="7" t="str">
        <f>HYPERLINK(AB2 &amp; "/pencil/sn_e499791b7b39b44c644404f8fb3dc5e3/rendering/06.obj", "1.34115242958")</f>
        <v>1.34115242958</v>
      </c>
      <c r="J2185" s="87" t="str">
        <f>HYPERLINK(AB2 &amp; "/pencil/sn_e499791b7b39b44c644404f8fb3dc5e3/rendering/07.obj", "0.809615790844")</f>
        <v>0.809615790844</v>
      </c>
      <c r="K2185" s="107" t="str">
        <f>HYPERLINK(AB2 &amp; "/pencil/sn_e499791b7b39b44c644404f8fb3dc5e3/rendering/08.obj", "1.13679432869")</f>
        <v>1.13679432869</v>
      </c>
      <c r="L2185" s="78" t="str">
        <f>HYPERLINK(AB2 &amp; "/pencil/sn_e499791b7b39b44c644404f8fb3dc5e3/rendering/09.obj", "1.11231613159")</f>
        <v>1.11231613159</v>
      </c>
      <c r="M2185" s="29" t="str">
        <f>HYPERLINK(AB2 &amp; "/pencil/sn_e499791b7b39b44c644404f8fb3dc5e3/rendering/10.obj", "1.18534815311")</f>
        <v>1.18534815311</v>
      </c>
      <c r="N2185" s="82" t="str">
        <f>HYPERLINK(AB2 &amp; "/pencil/sn_e499791b7b39b44c644404f8fb3dc5e3/rendering/11.obj", "0.831923186779")</f>
        <v>0.831923186779</v>
      </c>
      <c r="O2185" s="71" t="str">
        <f>HYPERLINK(AB2 &amp; "/pencil/sn_e499791b7b39b44c644404f8fb3dc5e3/rendering/12.obj", "0.923503041267")</f>
        <v>0.923503041267</v>
      </c>
      <c r="P2185" s="91" t="str">
        <f>HYPERLINK(AB2 &amp; "/pencil/sn_e499791b7b39b44c644404f8fb3dc5e3/rendering/13.obj", "1.02149426937")</f>
        <v>1.02149426937</v>
      </c>
      <c r="Q2185" s="83" t="str">
        <f>HYPERLINK(AB2 &amp; "/pencil/sn_e499791b7b39b44c644404f8fb3dc5e3/rendering/14.obj", "0.888137578964")</f>
        <v>0.888137578964</v>
      </c>
      <c r="R2185" s="169" t="str">
        <f>HYPERLINK(AB2 &amp; "/pencil/sn_e499791b7b39b44c644404f8fb3dc5e3/rendering/15.obj", "1.37465250492")</f>
        <v>1.37465250492</v>
      </c>
      <c r="S2185" s="28" t="str">
        <f>HYPERLINK(AB2 &amp; "/pencil/sn_e499791b7b39b44c644404f8fb3dc5e3/rendering/16.obj", "0.930826187134")</f>
        <v>0.930826187134</v>
      </c>
      <c r="T2185" s="67" t="str">
        <f>HYPERLINK(AB2 &amp; "/pencil/sn_e499791b7b39b44c644404f8fb3dc5e3/rendering/17.obj", "1.14516091347")</f>
        <v>1.14516091347</v>
      </c>
      <c r="U2185" s="47" t="str">
        <f>HYPERLINK(AB2 &amp; "/pencil/sn_e499791b7b39b44c644404f8fb3dc5e3/rendering/18.obj", "1.03983330727")</f>
        <v>1.03983330727</v>
      </c>
      <c r="V2185" s="28" t="str">
        <f>HYPERLINK(AB2 &amp; "/pencil/sn_e499791b7b39b44c644404f8fb3dc5e3/rendering/19.obj", "1.16547107697")</f>
        <v>1.16547107697</v>
      </c>
      <c r="W2185" s="12" t="s">
        <v>32</v>
      </c>
      <c r="X2185" s="13">
        <v>1.048446998000145</v>
      </c>
      <c r="Y2185" s="13">
        <v>0.14877504104011141</v>
      </c>
      <c r="Z2185" s="8">
        <v>0.14190039298494969</v>
      </c>
    </row>
    <row r="2186" spans="1:26" x14ac:dyDescent="0.2">
      <c r="A2186" s="1">
        <v>2184</v>
      </c>
      <c r="B2186" s="2" t="s">
        <v>469</v>
      </c>
      <c r="C2186" s="13" t="str">
        <f>HYPERLINK(AC2 &amp; "/pencil/sn_e499791b7b39b44c644404f8fb3dc5e3/rendering/00.xyz", "0.0")</f>
        <v>0.0</v>
      </c>
      <c r="D2186" s="13" t="str">
        <f>HYPERLINK(AC2 &amp; "/pencil/sn_e499791b7b39b44c644404f8fb3dc5e3/rendering/01.xyz", "0.0")</f>
        <v>0.0</v>
      </c>
      <c r="E2186" s="13" t="str">
        <f>HYPERLINK(AC2 &amp; "/pencil/sn_e499791b7b39b44c644404f8fb3dc5e3/rendering/02.xyz", "0.0")</f>
        <v>0.0</v>
      </c>
      <c r="F2186" s="13" t="str">
        <f>HYPERLINK(AC2 &amp; "/pencil/sn_e499791b7b39b44c644404f8fb3dc5e3/rendering/03.xyz", "0.0")</f>
        <v>0.0</v>
      </c>
      <c r="G2186" s="13" t="str">
        <f>HYPERLINK(AC2 &amp; "/pencil/sn_e499791b7b39b44c644404f8fb3dc5e3/rendering/04.xyz", "0.0")</f>
        <v>0.0</v>
      </c>
      <c r="H2186" s="13" t="str">
        <f>HYPERLINK(AC2 &amp; "/pencil/sn_e499791b7b39b44c644404f8fb3dc5e3/rendering/05.xyz", "0.0")</f>
        <v>0.0</v>
      </c>
      <c r="I2186" s="13" t="str">
        <f>HYPERLINK(AC2 &amp; "/pencil/sn_e499791b7b39b44c644404f8fb3dc5e3/rendering/06.xyz", "0.0")</f>
        <v>0.0</v>
      </c>
      <c r="J2186" s="13" t="str">
        <f>HYPERLINK(AC2 &amp; "/pencil/sn_e499791b7b39b44c644404f8fb3dc5e3/rendering/07.xyz", "0.0")</f>
        <v>0.0</v>
      </c>
      <c r="K2186" s="13" t="str">
        <f>HYPERLINK(AC2 &amp; "/pencil/sn_e499791b7b39b44c644404f8fb3dc5e3/rendering/08.xyz", "0.0")</f>
        <v>0.0</v>
      </c>
      <c r="L2186" s="13" t="str">
        <f>HYPERLINK(AC2 &amp; "/pencil/sn_e499791b7b39b44c644404f8fb3dc5e3/rendering/09.xyz", "0.0")</f>
        <v>0.0</v>
      </c>
      <c r="M2186" s="13" t="str">
        <f>HYPERLINK(AC2 &amp; "/pencil/sn_e499791b7b39b44c644404f8fb3dc5e3/rendering/10.xyz", "0.0")</f>
        <v>0.0</v>
      </c>
      <c r="N2186" s="13" t="str">
        <f>HYPERLINK(AC2 &amp; "/pencil/sn_e499791b7b39b44c644404f8fb3dc5e3/rendering/11.xyz", "0.0")</f>
        <v>0.0</v>
      </c>
      <c r="O2186" s="13" t="str">
        <f>HYPERLINK(AC2 &amp; "/pencil/sn_e499791b7b39b44c644404f8fb3dc5e3/rendering/12.xyz", "0.0")</f>
        <v>0.0</v>
      </c>
      <c r="P2186" s="13" t="str">
        <f>HYPERLINK(AC2 &amp; "/pencil/sn_e499791b7b39b44c644404f8fb3dc5e3/rendering/13.xyz", "0.0")</f>
        <v>0.0</v>
      </c>
      <c r="Q2186" s="13" t="str">
        <f>HYPERLINK(AC2 &amp; "/pencil/sn_e499791b7b39b44c644404f8fb3dc5e3/rendering/14.xyz", "0.0")</f>
        <v>0.0</v>
      </c>
      <c r="R2186" s="13" t="str">
        <f>HYPERLINK(AC2 &amp; "/pencil/sn_e499791b7b39b44c644404f8fb3dc5e3/rendering/15.xyz", "0.0")</f>
        <v>0.0</v>
      </c>
      <c r="S2186" s="13" t="str">
        <f>HYPERLINK(AC2 &amp; "/pencil/sn_e499791b7b39b44c644404f8fb3dc5e3/rendering/16.xyz", "0.0")</f>
        <v>0.0</v>
      </c>
      <c r="T2186" s="13" t="str">
        <f>HYPERLINK(AC2 &amp; "/pencil/sn_e499791b7b39b44c644404f8fb3dc5e3/rendering/17.xyz", "0.0")</f>
        <v>0.0</v>
      </c>
      <c r="U2186" s="13" t="str">
        <f>HYPERLINK(AC2 &amp; "/pencil/sn_e499791b7b39b44c644404f8fb3dc5e3/rendering/18.xyz", "0.0")</f>
        <v>0.0</v>
      </c>
      <c r="V2186" s="13" t="str">
        <f>HYPERLINK(AC2 &amp; "/pencil/sn_e499791b7b39b44c644404f8fb3dc5e3/rendering/19.xyz", "0.0")</f>
        <v>0.0</v>
      </c>
      <c r="W2186" s="12" t="s">
        <v>33</v>
      </c>
      <c r="X2186" s="13">
        <v>0</v>
      </c>
      <c r="Y2186" s="13">
        <v>0</v>
      </c>
      <c r="Z2186" s="13">
        <v>0</v>
      </c>
    </row>
    <row r="2187" spans="1:26" x14ac:dyDescent="0.2">
      <c r="A2187" s="1">
        <v>2185</v>
      </c>
      <c r="B2187" s="2" t="s">
        <v>470</v>
      </c>
      <c r="C2187" s="5" t="str">
        <f>HYPERLINK(AA2 &amp; "/pencil/sn_e59b4248a05db713cbb84f44b807063b/rendering/00.obj", "4.7351763916")</f>
        <v>4.7351763916</v>
      </c>
      <c r="D2187" s="135" t="str">
        <f>HYPERLINK(AA2 &amp; "/pencil/sn_e59b4248a05db713cbb84f44b807063b/rendering/01.obj", "3.26764770508")</f>
        <v>3.26764770508</v>
      </c>
      <c r="E2187" s="31" t="str">
        <f>HYPERLINK(AA2 &amp; "/pencil/sn_e59b4248a05db713cbb84f44b807063b/rendering/02.obj", "3.70576477051")</f>
        <v>3.70576477051</v>
      </c>
      <c r="F2187" s="20" t="str">
        <f>HYPERLINK(AA2 &amp; "/pencil/sn_e59b4248a05db713cbb84f44b807063b/rendering/03.obj", "8.3021081543")</f>
        <v>8.3021081543</v>
      </c>
      <c r="G2187" s="117" t="str">
        <f>HYPERLINK(AA2 &amp; "/pencil/sn_e59b4248a05db713cbb84f44b807063b/rendering/04.obj", "3.60979949951")</f>
        <v>3.60979949951</v>
      </c>
      <c r="H2187" s="176" t="str">
        <f>HYPERLINK(AA2 &amp; "/pencil/sn_e59b4248a05db713cbb84f44b807063b/rendering/05.obj", "2.99281066895")</f>
        <v>2.99281066895</v>
      </c>
      <c r="I2187" s="25" t="str">
        <f>HYPERLINK(AA2 &amp; "/pencil/sn_e59b4248a05db713cbb84f44b807063b/rendering/06.obj", "4.34782287598")</f>
        <v>4.34782287598</v>
      </c>
      <c r="J2187" s="67" t="str">
        <f>HYPERLINK(AA2 &amp; "/pencil/sn_e59b4248a05db713cbb84f44b807063b/rendering/07.obj", "3.97965637207")</f>
        <v>3.97965637207</v>
      </c>
      <c r="K2187" s="121" t="str">
        <f>HYPERLINK(AA2 &amp; "/pencil/sn_e59b4248a05db713cbb84f44b807063b/rendering/08.obj", "2.84052001953")</f>
        <v>2.84052001953</v>
      </c>
      <c r="L2187" s="136" t="str">
        <f>HYPERLINK(AA2 &amp; "/pencil/sn_e59b4248a05db713cbb84f44b807063b/rendering/09.obj", "3.35031341553")</f>
        <v>3.35031341553</v>
      </c>
      <c r="M2187" s="64" t="str">
        <f>HYPERLINK(AA2 &amp; "/pencil/sn_e59b4248a05db713cbb84f44b807063b/rendering/10.obj", "3.66257781982")</f>
        <v>3.66257781982</v>
      </c>
      <c r="N2187" s="77" t="str">
        <f>HYPERLINK(AA2 &amp; "/pencil/sn_e59b4248a05db713cbb84f44b807063b/rendering/11.obj", "3.57796569824")</f>
        <v>3.57796569824</v>
      </c>
      <c r="O2187" s="36" t="str">
        <f>HYPERLINK(AA2 &amp; "/pencil/sn_e59b4248a05db713cbb84f44b807063b/rendering/12.obj", "3.44859405518")</f>
        <v>3.44859405518</v>
      </c>
      <c r="P2187" s="20" t="str">
        <f>HYPERLINK(AA2 &amp; "/pencil/sn_e59b4248a05db713cbb84f44b807063b/rendering/13.obj", "10.0426611328")</f>
        <v>10.0426611328</v>
      </c>
      <c r="Q2187" s="118" t="str">
        <f>HYPERLINK(AA2 &amp; "/pencil/sn_e59b4248a05db713cbb84f44b807063b/rendering/14.obj", "3.09729309082")</f>
        <v>3.09729309082</v>
      </c>
      <c r="R2187" s="85" t="str">
        <f>HYPERLINK(AA2 &amp; "/pencil/sn_e59b4248a05db713cbb84f44b807063b/rendering/15.obj", "3.09009979248")</f>
        <v>3.09009979248</v>
      </c>
      <c r="S2187" s="38" t="str">
        <f>HYPERLINK(AA2 &amp; "/pencil/sn_e59b4248a05db713cbb84f44b807063b/rendering/16.obj", "4.77878540039")</f>
        <v>4.77878540039</v>
      </c>
      <c r="T2187" s="88" t="str">
        <f>HYPERLINK(AA2 &amp; "/pencil/sn_e59b4248a05db713cbb84f44b807063b/rendering/17.obj", "3.49834228516")</f>
        <v>3.49834228516</v>
      </c>
      <c r="U2187" s="20" t="str">
        <f>HYPERLINK(AA2 &amp; "/pencil/sn_e59b4248a05db713cbb84f44b807063b/rendering/18.obj", "8.04481323242")</f>
        <v>8.04481323242</v>
      </c>
      <c r="V2187" s="49" t="str">
        <f>HYPERLINK(AA2 &amp; "/pencil/sn_e59b4248a05db713cbb84f44b807063b/rendering/19.obj", "3.48139831543")</f>
        <v>3.48139831543</v>
      </c>
      <c r="W2187" s="12" t="s">
        <v>29</v>
      </c>
      <c r="X2187" s="13">
        <v>4.3927075347900404</v>
      </c>
      <c r="Y2187" s="13">
        <v>1.9478438430907581</v>
      </c>
      <c r="Z2187" s="181">
        <v>0.44342670839429338</v>
      </c>
    </row>
    <row r="2188" spans="1:26" x14ac:dyDescent="0.2">
      <c r="A2188" s="1">
        <v>2186</v>
      </c>
      <c r="B2188" s="2" t="s">
        <v>470</v>
      </c>
      <c r="C2188" s="191" t="str">
        <f>HYPERLINK(AA2 &amp; "/pencil/sn_e59b4248a05db713cbb84f44b807063b/rendering/00.obj", "3.21938967705")</f>
        <v>3.21938967705</v>
      </c>
      <c r="D2188" s="239" t="str">
        <f>HYPERLINK(AA2 &amp; "/pencil/sn_e59b4248a05db713cbb84f44b807063b/rendering/01.obj", "0.868220806122")</f>
        <v>0.868220806122</v>
      </c>
      <c r="E2188" s="218" t="str">
        <f>HYPERLINK(AA2 &amp; "/pencil/sn_e59b4248a05db713cbb84f44b807063b/rendering/02.obj", "1.068800807")</f>
        <v>1.068800807</v>
      </c>
      <c r="F2188" s="20" t="str">
        <f>HYPERLINK(AA2 &amp; "/pencil/sn_e59b4248a05db713cbb84f44b807063b/rendering/03.obj", "7.53950309753")</f>
        <v>7.53950309753</v>
      </c>
      <c r="G2188" s="166" t="str">
        <f>HYPERLINK(AA2 &amp; "/pencil/sn_e59b4248a05db713cbb84f44b807063b/rendering/04.obj", "1.57945084572")</f>
        <v>1.57945084572</v>
      </c>
      <c r="H2188" s="167" t="str">
        <f>HYPERLINK(AA2 &amp; "/pencil/sn_e59b4248a05db713cbb84f44b807063b/rendering/05.obj", "0.87951362133")</f>
        <v>0.87951362133</v>
      </c>
      <c r="I2188" s="76" t="str">
        <f>HYPERLINK(AA2 &amp; "/pencil/sn_e59b4248a05db713cbb84f44b807063b/rendering/06.obj", "2.618247509")</f>
        <v>2.618247509</v>
      </c>
      <c r="J2188" s="113" t="str">
        <f>HYPERLINK(AA2 &amp; "/pencil/sn_e59b4248a05db713cbb84f44b807063b/rendering/07.obj", "1.60839748383")</f>
        <v>1.60839748383</v>
      </c>
      <c r="K2188" s="147" t="str">
        <f>HYPERLINK(AA2 &amp; "/pencil/sn_e59b4248a05db713cbb84f44b807063b/rendering/08.obj", "1.13415181637")</f>
        <v>1.13415181637</v>
      </c>
      <c r="L2188" s="62" t="str">
        <f>HYPERLINK(AA2 &amp; "/pencil/sn_e59b4248a05db713cbb84f44b807063b/rendering/09.obj", "0.889321148396")</f>
        <v>0.889321148396</v>
      </c>
      <c r="M2188" s="197" t="str">
        <f>HYPERLINK(AA2 &amp; "/pencil/sn_e59b4248a05db713cbb84f44b807063b/rendering/10.obj", "0.960707843304")</f>
        <v>0.960707843304</v>
      </c>
      <c r="N2188" s="231" t="str">
        <f>HYPERLINK(AA2 &amp; "/pencil/sn_e59b4248a05db713cbb84f44b807063b/rendering/11.obj", "0.940655350685")</f>
        <v>0.940655350685</v>
      </c>
      <c r="O2188" s="201" t="str">
        <f>HYPERLINK(AA2 &amp; "/pencil/sn_e59b4248a05db713cbb84f44b807063b/rendering/12.obj", "0.924303770065")</f>
        <v>0.924303770065</v>
      </c>
      <c r="P2188" s="20" t="str">
        <f>HYPERLINK(AA2 &amp; "/pencil/sn_e59b4248a05db713cbb84f44b807063b/rendering/13.obj", "8.37264060974")</f>
        <v>8.37264060974</v>
      </c>
      <c r="Q2188" s="174" t="str">
        <f>HYPERLINK(AA2 &amp; "/pencil/sn_e59b4248a05db713cbb84f44b807063b/rendering/14.obj", "1.05222249031")</f>
        <v>1.05222249031</v>
      </c>
      <c r="R2188" s="167" t="str">
        <f>HYPERLINK(AA2 &amp; "/pencil/sn_e59b4248a05db713cbb84f44b807063b/rendering/15.obj", "0.876210868359")</f>
        <v>0.876210868359</v>
      </c>
      <c r="S2188" s="37" t="str">
        <f>HYPERLINK(AA2 &amp; "/pencil/sn_e59b4248a05db713cbb84f44b807063b/rendering/16.obj", "2.6004087925")</f>
        <v>2.6004087925</v>
      </c>
      <c r="T2188" s="143" t="str">
        <f>HYPERLINK(AA2 &amp; "/pencil/sn_e59b4248a05db713cbb84f44b807063b/rendering/17.obj", "1.16664624214")</f>
        <v>1.16664624214</v>
      </c>
      <c r="U2188" s="20" t="str">
        <f>HYPERLINK(AA2 &amp; "/pencil/sn_e59b4248a05db713cbb84f44b807063b/rendering/18.obj", "5.01227903366")</f>
        <v>5.01227903366</v>
      </c>
      <c r="V2188" s="197" t="str">
        <f>HYPERLINK(AA2 &amp; "/pencil/sn_e59b4248a05db713cbb84f44b807063b/rendering/19.obj", "0.962524294853")</f>
        <v>0.962524294853</v>
      </c>
      <c r="W2188" s="12" t="s">
        <v>30</v>
      </c>
      <c r="X2188" s="13">
        <v>2.2136798053979869</v>
      </c>
      <c r="Y2188" s="13">
        <v>2.1759533462160001</v>
      </c>
      <c r="Z2188" s="20">
        <v>0.98295758081634343</v>
      </c>
    </row>
    <row r="2189" spans="1:26" x14ac:dyDescent="0.2">
      <c r="A2189" s="1">
        <v>2187</v>
      </c>
      <c r="B2189" s="2" t="s">
        <v>470</v>
      </c>
      <c r="C2189" s="74" t="str">
        <f>HYPERLINK(AB2 &amp; "/pencil/sn_e59b4248a05db713cbb84f44b807063b/rendering/00.obj", "3.18661254883")</f>
        <v>3.18661254883</v>
      </c>
      <c r="D2189" s="74" t="str">
        <f>HYPERLINK(AB2 &amp; "/pencil/sn_e59b4248a05db713cbb84f44b807063b/rendering/01.obj", "3.10338867187")</f>
        <v>3.10338867187</v>
      </c>
      <c r="E2189" s="23" t="str">
        <f>HYPERLINK(AB2 &amp; "/pencil/sn_e59b4248a05db713cbb84f44b807063b/rendering/02.obj", "3.01720336914")</f>
        <v>3.01720336914</v>
      </c>
      <c r="F2189" s="47" t="str">
        <f>HYPERLINK(AB2 &amp; "/pencil/sn_e59b4248a05db713cbb84f44b807063b/rendering/03.obj", "3.16695983887")</f>
        <v>3.16695983887</v>
      </c>
      <c r="G2189" s="94" t="str">
        <f>HYPERLINK(AB2 &amp; "/pencil/sn_e59b4248a05db713cbb84f44b807063b/rendering/04.obj", "2.91637939453")</f>
        <v>2.91637939453</v>
      </c>
      <c r="H2189" s="92" t="str">
        <f>HYPERLINK(AB2 &amp; "/pencil/sn_e59b4248a05db713cbb84f44b807063b/rendering/05.obj", "2.7566229248")</f>
        <v>2.7566229248</v>
      </c>
      <c r="I2189" s="46" t="str">
        <f>HYPERLINK(AB2 &amp; "/pencil/sn_e59b4248a05db713cbb84f44b807063b/rendering/06.obj", "3.19507049561")</f>
        <v>3.19507049561</v>
      </c>
      <c r="J2189" s="91" t="str">
        <f>HYPERLINK(AB2 &amp; "/pencil/sn_e59b4248a05db713cbb84f44b807063b/rendering/07.obj", "3.05949066162")</f>
        <v>3.05949066162</v>
      </c>
      <c r="K2189" s="25" t="str">
        <f>HYPERLINK(AB2 &amp; "/pencil/sn_e59b4248a05db713cbb84f44b807063b/rendering/08.obj", "3.10709777832")</f>
        <v>3.10709777832</v>
      </c>
      <c r="L2189" s="17" t="str">
        <f>HYPERLINK(AB2 &amp; "/pencil/sn_e59b4248a05db713cbb84f44b807063b/rendering/09.obj", "3.0780480957")</f>
        <v>3.0780480957</v>
      </c>
      <c r="M2189" s="74" t="str">
        <f>HYPERLINK(AB2 &amp; "/pencil/sn_e59b4248a05db713cbb84f44b807063b/rendering/10.obj", "3.1847845459")</f>
        <v>3.1847845459</v>
      </c>
      <c r="N2189" s="73" t="str">
        <f>HYPERLINK(AB2 &amp; "/pencil/sn_e59b4248a05db713cbb84f44b807063b/rendering/11.obj", "3.02661193848")</f>
        <v>3.02661193848</v>
      </c>
      <c r="O2189" s="41" t="str">
        <f>HYPERLINK(AB2 &amp; "/pencil/sn_e59b4248a05db713cbb84f44b807063b/rendering/12.obj", "2.92709716797")</f>
        <v>2.92709716797</v>
      </c>
      <c r="P2189" s="81" t="str">
        <f>HYPERLINK(AB2 &amp; "/pencil/sn_e59b4248a05db713cbb84f44b807063b/rendering/13.obj", "3.82655822754")</f>
        <v>3.82655822754</v>
      </c>
      <c r="Q2189" s="26" t="str">
        <f>HYPERLINK(AB2 &amp; "/pencil/sn_e59b4248a05db713cbb84f44b807063b/rendering/14.obj", "2.94486938477")</f>
        <v>2.94486938477</v>
      </c>
      <c r="R2189" s="30" t="str">
        <f>HYPERLINK(AB2 &amp; "/pencil/sn_e59b4248a05db713cbb84f44b807063b/rendering/15.obj", "3.12867279053")</f>
        <v>3.12867279053</v>
      </c>
      <c r="S2189" s="47" t="str">
        <f>HYPERLINK(AB2 &amp; "/pencil/sn_e59b4248a05db713cbb84f44b807063b/rendering/16.obj", "3.16590698242")</f>
        <v>3.16590698242</v>
      </c>
      <c r="T2189" s="74" t="str">
        <f>HYPERLINK(AB2 &amp; "/pencil/sn_e59b4248a05db713cbb84f44b807063b/rendering/17.obj", "3.0941217041")</f>
        <v>3.0941217041</v>
      </c>
      <c r="U2189" s="93" t="str">
        <f>HYPERLINK(AB2 &amp; "/pencil/sn_e59b4248a05db713cbb84f44b807063b/rendering/18.obj", "3.58633239746")</f>
        <v>3.58633239746</v>
      </c>
      <c r="V2189" s="51" t="str">
        <f>HYPERLINK(AB2 &amp; "/pencil/sn_e59b4248a05db713cbb84f44b807063b/rendering/19.obj", "3.39252227783")</f>
        <v>3.39252227783</v>
      </c>
      <c r="W2189" s="12" t="s">
        <v>31</v>
      </c>
      <c r="X2189" s="13">
        <v>3.1432175598144529</v>
      </c>
      <c r="Y2189" s="13">
        <v>0.23087267718043741</v>
      </c>
      <c r="Z2189" s="94">
        <v>7.3451064963529281E-2</v>
      </c>
    </row>
    <row r="2190" spans="1:26" x14ac:dyDescent="0.2">
      <c r="A2190" s="1">
        <v>2188</v>
      </c>
      <c r="B2190" s="2" t="s">
        <v>470</v>
      </c>
      <c r="C2190" s="69" t="str">
        <f>HYPERLINK(AB2 &amp; "/pencil/sn_e59b4248a05db713cbb84f44b807063b/rendering/00.obj", "1.0055192709")</f>
        <v>1.0055192709</v>
      </c>
      <c r="D2190" s="83" t="str">
        <f>HYPERLINK(AB2 &amp; "/pencil/sn_e59b4248a05db713cbb84f44b807063b/rendering/01.obj", "0.877168059349")</f>
        <v>0.877168059349</v>
      </c>
      <c r="E2190" s="92" t="str">
        <f>HYPERLINK(AB2 &amp; "/pencil/sn_e59b4248a05db713cbb84f44b807063b/rendering/02.obj", "0.908019483089")</f>
        <v>0.908019483089</v>
      </c>
      <c r="F2190" s="106" t="str">
        <f>HYPERLINK(AB2 &amp; "/pencil/sn_e59b4248a05db713cbb84f44b807063b/rendering/03.obj", "1.15328812599")</f>
        <v>1.15328812599</v>
      </c>
      <c r="G2190" s="6" t="str">
        <f>HYPERLINK(AB2 &amp; "/pencil/sn_e59b4248a05db713cbb84f44b807063b/rendering/04.obj", "1.08266472816")</f>
        <v>1.08266472816</v>
      </c>
      <c r="H2190" s="92" t="str">
        <f>HYPERLINK(AB2 &amp; "/pencil/sn_e59b4248a05db713cbb84f44b807063b/rendering/05.obj", "0.906965374947")</f>
        <v>0.906965374947</v>
      </c>
      <c r="I2190" s="108" t="str">
        <f>HYPERLINK(AB2 &amp; "/pencil/sn_e59b4248a05db713cbb84f44b807063b/rendering/06.obj", "0.781594455242")</f>
        <v>0.781594455242</v>
      </c>
      <c r="J2190" s="74" t="str">
        <f>HYPERLINK(AB2 &amp; "/pencil/sn_e59b4248a05db713cbb84f44b807063b/rendering/07.obj", "1.02090775967")</f>
        <v>1.02090775967</v>
      </c>
      <c r="K2190" s="4" t="str">
        <f>HYPERLINK(AB2 &amp; "/pencil/sn_e59b4248a05db713cbb84f44b807063b/rendering/08.obj", "1.33118009567")</f>
        <v>1.33118009567</v>
      </c>
      <c r="L2190" s="36" t="str">
        <f>HYPERLINK(AB2 &amp; "/pencil/sn_e59b4248a05db713cbb84f44b807063b/rendering/09.obj", "0.811774134636")</f>
        <v>0.811774134636</v>
      </c>
      <c r="M2190" s="32" t="str">
        <f>HYPERLINK(AB2 &amp; "/pencil/sn_e59b4248a05db713cbb84f44b807063b/rendering/10.obj", "1.14562761784")</f>
        <v>1.14562761784</v>
      </c>
      <c r="N2190" s="30" t="str">
        <f>HYPERLINK(AB2 &amp; "/pencil/sn_e59b4248a05db713cbb84f44b807063b/rendering/11.obj", "1.03977608681")</f>
        <v>1.03977608681</v>
      </c>
      <c r="O2190" s="55" t="str">
        <f>HYPERLINK(AB2 &amp; "/pencil/sn_e59b4248a05db713cbb84f44b807063b/rendering/12.obj", "0.835032463074")</f>
        <v>0.835032463074</v>
      </c>
      <c r="P2190" s="128" t="str">
        <f>HYPERLINK(AB2 &amp; "/pencil/sn_e59b4248a05db713cbb84f44b807063b/rendering/13.obj", "1.4398086071")</f>
        <v>1.4398086071</v>
      </c>
      <c r="Q2190" s="5" t="str">
        <f>HYPERLINK(AB2 &amp; "/pencil/sn_e59b4248a05db713cbb84f44b807063b/rendering/14.obj", "0.954657077789")</f>
        <v>0.954657077789</v>
      </c>
      <c r="R2190" s="74" t="str">
        <f>HYPERLINK(AB2 &amp; "/pencil/sn_e59b4248a05db713cbb84f44b807063b/rendering/15.obj", "1.01996803284")</f>
        <v>1.01996803284</v>
      </c>
      <c r="S2190" s="69" t="str">
        <f>HYPERLINK(AB2 &amp; "/pencil/sn_e59b4248a05db713cbb84f44b807063b/rendering/16.obj", "1.0665409565")</f>
        <v>1.0665409565</v>
      </c>
      <c r="T2190" s="19" t="str">
        <f>HYPERLINK(AB2 &amp; "/pencil/sn_e59b4248a05db713cbb84f44b807063b/rendering/17.obj", "0.765630304813")</f>
        <v>0.765630304813</v>
      </c>
      <c r="U2190" s="114" t="str">
        <f>HYPERLINK(AB2 &amp; "/pencil/sn_e59b4248a05db713cbb84f44b807063b/rendering/18.obj", "1.51312983036")</f>
        <v>1.51312983036</v>
      </c>
      <c r="V2190" s="46" t="str">
        <f>HYPERLINK(AB2 &amp; "/pencil/sn_e59b4248a05db713cbb84f44b807063b/rendering/19.obj", "1.05415964127")</f>
        <v>1.05415964127</v>
      </c>
      <c r="W2190" s="12" t="s">
        <v>32</v>
      </c>
      <c r="X2190" s="13">
        <v>1.035670605301857</v>
      </c>
      <c r="Y2190" s="13">
        <v>0.20023070485971489</v>
      </c>
      <c r="Z2190" s="55">
        <v>0.19333435151551459</v>
      </c>
    </row>
    <row r="2191" spans="1:26" x14ac:dyDescent="0.2">
      <c r="A2191" s="1">
        <v>2189</v>
      </c>
      <c r="B2191" s="2" t="s">
        <v>470</v>
      </c>
      <c r="C2191" s="13" t="str">
        <f>HYPERLINK(AC2 &amp; "/pencil/sn_e59b4248a05db713cbb84f44b807063b/rendering/00.xyz", "0.0")</f>
        <v>0.0</v>
      </c>
      <c r="D2191" s="13" t="str">
        <f>HYPERLINK(AC2 &amp; "/pencil/sn_e59b4248a05db713cbb84f44b807063b/rendering/01.xyz", "0.0")</f>
        <v>0.0</v>
      </c>
      <c r="E2191" s="13" t="str">
        <f>HYPERLINK(AC2 &amp; "/pencil/sn_e59b4248a05db713cbb84f44b807063b/rendering/02.xyz", "0.0")</f>
        <v>0.0</v>
      </c>
      <c r="F2191" s="13" t="str">
        <f>HYPERLINK(AC2 &amp; "/pencil/sn_e59b4248a05db713cbb84f44b807063b/rendering/03.xyz", "0.0")</f>
        <v>0.0</v>
      </c>
      <c r="G2191" s="13" t="str">
        <f>HYPERLINK(AC2 &amp; "/pencil/sn_e59b4248a05db713cbb84f44b807063b/rendering/04.xyz", "0.0")</f>
        <v>0.0</v>
      </c>
      <c r="H2191" s="13" t="str">
        <f>HYPERLINK(AC2 &amp; "/pencil/sn_e59b4248a05db713cbb84f44b807063b/rendering/05.xyz", "0.0")</f>
        <v>0.0</v>
      </c>
      <c r="I2191" s="13" t="str">
        <f>HYPERLINK(AC2 &amp; "/pencil/sn_e59b4248a05db713cbb84f44b807063b/rendering/06.xyz", "0.0")</f>
        <v>0.0</v>
      </c>
      <c r="J2191" s="13" t="str">
        <f>HYPERLINK(AC2 &amp; "/pencil/sn_e59b4248a05db713cbb84f44b807063b/rendering/07.xyz", "0.0")</f>
        <v>0.0</v>
      </c>
      <c r="K2191" s="13" t="str">
        <f>HYPERLINK(AC2 &amp; "/pencil/sn_e59b4248a05db713cbb84f44b807063b/rendering/08.xyz", "0.0")</f>
        <v>0.0</v>
      </c>
      <c r="L2191" s="13" t="str">
        <f>HYPERLINK(AC2 &amp; "/pencil/sn_e59b4248a05db713cbb84f44b807063b/rendering/09.xyz", "0.0")</f>
        <v>0.0</v>
      </c>
      <c r="M2191" s="13" t="str">
        <f>HYPERLINK(AC2 &amp; "/pencil/sn_e59b4248a05db713cbb84f44b807063b/rendering/10.xyz", "0.0")</f>
        <v>0.0</v>
      </c>
      <c r="N2191" s="13" t="str">
        <f>HYPERLINK(AC2 &amp; "/pencil/sn_e59b4248a05db713cbb84f44b807063b/rendering/11.xyz", "0.0")</f>
        <v>0.0</v>
      </c>
      <c r="O2191" s="13" t="str">
        <f>HYPERLINK(AC2 &amp; "/pencil/sn_e59b4248a05db713cbb84f44b807063b/rendering/12.xyz", "0.0")</f>
        <v>0.0</v>
      </c>
      <c r="P2191" s="13" t="str">
        <f>HYPERLINK(AC2 &amp; "/pencil/sn_e59b4248a05db713cbb84f44b807063b/rendering/13.xyz", "0.0")</f>
        <v>0.0</v>
      </c>
      <c r="Q2191" s="13" t="str">
        <f>HYPERLINK(AC2 &amp; "/pencil/sn_e59b4248a05db713cbb84f44b807063b/rendering/14.xyz", "0.0")</f>
        <v>0.0</v>
      </c>
      <c r="R2191" s="13" t="str">
        <f>HYPERLINK(AC2 &amp; "/pencil/sn_e59b4248a05db713cbb84f44b807063b/rendering/15.xyz", "0.0")</f>
        <v>0.0</v>
      </c>
      <c r="S2191" s="13" t="str">
        <f>HYPERLINK(AC2 &amp; "/pencil/sn_e59b4248a05db713cbb84f44b807063b/rendering/16.xyz", "0.0")</f>
        <v>0.0</v>
      </c>
      <c r="T2191" s="13" t="str">
        <f>HYPERLINK(AC2 &amp; "/pencil/sn_e59b4248a05db713cbb84f44b807063b/rendering/17.xyz", "0.0")</f>
        <v>0.0</v>
      </c>
      <c r="U2191" s="13" t="str">
        <f>HYPERLINK(AC2 &amp; "/pencil/sn_e59b4248a05db713cbb84f44b807063b/rendering/18.xyz", "0.0")</f>
        <v>0.0</v>
      </c>
      <c r="V2191" s="13" t="str">
        <f>HYPERLINK(AC2 &amp; "/pencil/sn_e59b4248a05db713cbb84f44b807063b/rendering/19.xyz", "0.0")</f>
        <v>0.0</v>
      </c>
      <c r="W2191" s="12" t="s">
        <v>33</v>
      </c>
      <c r="X2191" s="13">
        <v>0</v>
      </c>
      <c r="Y2191" s="13">
        <v>0</v>
      </c>
      <c r="Z2191" s="13">
        <v>0</v>
      </c>
    </row>
    <row r="2192" spans="1:26" x14ac:dyDescent="0.2">
      <c r="A2192" s="1">
        <v>2190</v>
      </c>
      <c r="B2192" s="2" t="s">
        <v>471</v>
      </c>
      <c r="C2192" s="27" t="str">
        <f>HYPERLINK(AA2 &amp; "/pencil/sn_e5d6d09e2c91c75e1b5647ac5820a290/rendering/00.obj", "4.34197387695")</f>
        <v>4.34197387695</v>
      </c>
      <c r="D2192" s="27" t="str">
        <f>HYPERLINK(AA2 &amp; "/pencil/sn_e5d6d09e2c91c75e1b5647ac5820a290/rendering/01.obj", "4.35095977783")</f>
        <v>4.35095977783</v>
      </c>
      <c r="E2192" s="5" t="str">
        <f>HYPERLINK(AA2 &amp; "/pencil/sn_e5d6d09e2c91c75e1b5647ac5820a290/rendering/02.obj", "5.04053161621")</f>
        <v>5.04053161621</v>
      </c>
      <c r="F2192" s="106" t="str">
        <f>HYPERLINK(AA2 &amp; "/pencil/sn_e5d6d09e2c91c75e1b5647ac5820a290/rendering/03.obj", "5.21209838867")</f>
        <v>5.21209838867</v>
      </c>
      <c r="G2192" s="42" t="str">
        <f>HYPERLINK(AA2 &amp; "/pencil/sn_e5d6d09e2c91c75e1b5647ac5820a290/rendering/04.obj", "4.03604919434")</f>
        <v>4.03604919434</v>
      </c>
      <c r="H2192" s="67" t="str">
        <f>HYPERLINK(AA2 &amp; "/pencil/sn_e5d6d09e2c91c75e1b5647ac5820a290/rendering/05.obj", "4.24480163574")</f>
        <v>4.24480163574</v>
      </c>
      <c r="I2192" s="17" t="str">
        <f>HYPERLINK(AA2 &amp; "/pencil/sn_e5d6d09e2c91c75e1b5647ac5820a290/rendering/06.obj", "4.76722869873")</f>
        <v>4.76722869873</v>
      </c>
      <c r="J2192" s="133" t="str">
        <f>HYPERLINK(AA2 &amp; "/pencil/sn_e5d6d09e2c91c75e1b5647ac5820a290/rendering/07.obj", "4.20378173828")</f>
        <v>4.20378173828</v>
      </c>
      <c r="K2192" s="120" t="str">
        <f>HYPERLINK(AA2 &amp; "/pencil/sn_e5d6d09e2c91c75e1b5647ac5820a290/rendering/08.obj", "3.68354217529")</f>
        <v>3.68354217529</v>
      </c>
      <c r="L2192" s="25" t="str">
        <f>HYPERLINK(AA2 &amp; "/pencil/sn_e5d6d09e2c91c75e1b5647ac5820a290/rendering/09.obj", "4.61934509277")</f>
        <v>4.61934509277</v>
      </c>
      <c r="M2192" s="127" t="str">
        <f>HYPERLINK(AA2 &amp; "/pencil/sn_e5d6d09e2c91c75e1b5647ac5820a290/rendering/10.obj", "7.09969726563")</f>
        <v>7.09969726563</v>
      </c>
      <c r="N2192" s="106" t="str">
        <f>HYPERLINK(AA2 &amp; "/pencil/sn_e5d6d09e2c91c75e1b5647ac5820a290/rendering/11.obj", "5.20572021484")</f>
        <v>5.20572021484</v>
      </c>
      <c r="O2192" s="38" t="str">
        <f>HYPERLINK(AA2 &amp; "/pencil/sn_e5d6d09e2c91c75e1b5647ac5820a290/rendering/12.obj", "4.26138916016")</f>
        <v>4.26138916016</v>
      </c>
      <c r="P2192" s="134" t="str">
        <f>HYPERLINK(AA2 &amp; "/pencil/sn_e5d6d09e2c91c75e1b5647ac5820a290/rendering/13.obj", "5.52087524414")</f>
        <v>5.52087524414</v>
      </c>
      <c r="Q2192" s="90" t="str">
        <f>HYPERLINK(AA2 &amp; "/pencil/sn_e5d6d09e2c91c75e1b5647ac5820a290/rendering/14.obj", "4.22653656006")</f>
        <v>4.22653656006</v>
      </c>
      <c r="R2192" s="107" t="str">
        <f>HYPERLINK(AA2 &amp; "/pencil/sn_e5d6d09e2c91c75e1b5647ac5820a290/rendering/15.obj", "4.28577331543")</f>
        <v>4.28577331543</v>
      </c>
      <c r="S2192" s="10" t="str">
        <f>HYPERLINK(AA2 &amp; "/pencil/sn_e5d6d09e2c91c75e1b5647ac5820a290/rendering/16.obj", "4.41586364746")</f>
        <v>4.41586364746</v>
      </c>
      <c r="T2192" s="133" t="str">
        <f>HYPERLINK(AA2 &amp; "/pencil/sn_e5d6d09e2c91c75e1b5647ac5820a290/rendering/17.obj", "4.20451782227")</f>
        <v>4.20451782227</v>
      </c>
      <c r="U2192" s="106" t="str">
        <f>HYPERLINK(AA2 &amp; "/pencil/sn_e5d6d09e2c91c75e1b5647ac5820a290/rendering/18.obj", "5.21086669922")</f>
        <v>5.21086669922</v>
      </c>
      <c r="V2192" s="17" t="str">
        <f>HYPERLINK(AA2 &amp; "/pencil/sn_e5d6d09e2c91c75e1b5647ac5820a290/rendering/19.obj", "4.58761291504")</f>
        <v>4.58761291504</v>
      </c>
      <c r="W2192" s="12" t="s">
        <v>29</v>
      </c>
      <c r="X2192" s="13">
        <v>4.6759582519531264</v>
      </c>
      <c r="Y2192" s="13">
        <v>0.72219308453336184</v>
      </c>
      <c r="Z2192" s="31">
        <v>0.1544481463733568</v>
      </c>
    </row>
    <row r="2193" spans="1:26" x14ac:dyDescent="0.2">
      <c r="A2193" s="1">
        <v>2191</v>
      </c>
      <c r="B2193" s="2" t="s">
        <v>471</v>
      </c>
      <c r="C2193" s="100" t="str">
        <f>HYPERLINK(AA2 &amp; "/pencil/sn_e5d6d09e2c91c75e1b5647ac5820a290/rendering/00.obj", "1.14617085457")</f>
        <v>1.14617085457</v>
      </c>
      <c r="D2193" s="170" t="str">
        <f>HYPERLINK(AA2 &amp; "/pencil/sn_e5d6d09e2c91c75e1b5647ac5820a290/rendering/01.obj", "1.22380280495")</f>
        <v>1.22380280495</v>
      </c>
      <c r="E2193" s="23" t="str">
        <f>HYPERLINK(AA2 &amp; "/pencil/sn_e5d6d09e2c91c75e1b5647ac5820a290/rendering/02.obj", "1.70064723492")</f>
        <v>1.70064723492</v>
      </c>
      <c r="F2193" s="74" t="str">
        <f>HYPERLINK(AA2 &amp; "/pencil/sn_e5d6d09e2c91c75e1b5647ac5820a290/rendering/03.obj", "1.65615808964")</f>
        <v>1.65615808964</v>
      </c>
      <c r="G2193" s="95" t="str">
        <f>HYPERLINK(AA2 &amp; "/pencil/sn_e5d6d09e2c91c75e1b5647ac5820a290/rendering/04.obj", "1.17366540432")</f>
        <v>1.17366540432</v>
      </c>
      <c r="H2193" s="134" t="str">
        <f>HYPERLINK(AA2 &amp; "/pencil/sn_e5d6d09e2c91c75e1b5647ac5820a290/rendering/05.obj", "1.33841061592")</f>
        <v>1.33841061592</v>
      </c>
      <c r="I2193" s="36" t="str">
        <f>HYPERLINK(AA2 &amp; "/pencil/sn_e5d6d09e2c91c75e1b5647ac5820a290/rendering/06.obj", "1.98729765415")</f>
        <v>1.98729765415</v>
      </c>
      <c r="J2193" s="129" t="str">
        <f>HYPERLINK(AA2 &amp; "/pencil/sn_e5d6d09e2c91c75e1b5647ac5820a290/rendering/07.obj", "1.22672355175")</f>
        <v>1.22672355175</v>
      </c>
      <c r="K2193" s="140" t="str">
        <f>HYPERLINK(AA2 &amp; "/pencil/sn_e5d6d09e2c91c75e1b5647ac5820a290/rendering/08.obj", "1.06835496426")</f>
        <v>1.06835496426</v>
      </c>
      <c r="L2193" s="108" t="str">
        <f>HYPERLINK(AA2 &amp; "/pencil/sn_e5d6d09e2c91c75e1b5647ac5820a290/rendering/09.obj", "1.23429679871")</f>
        <v>1.23429679871</v>
      </c>
      <c r="M2193" s="20" t="str">
        <f>HYPERLINK(AA2 &amp; "/pencil/sn_e5d6d09e2c91c75e1b5647ac5820a290/rendering/10.obj", "4.8553147316")</f>
        <v>4.8553147316</v>
      </c>
      <c r="N2193" s="81" t="str">
        <f>HYPERLINK(AA2 &amp; "/pencil/sn_e5d6d09e2c91c75e1b5647ac5820a290/rendering/11.obj", "1.99279165268")</f>
        <v>1.99279165268</v>
      </c>
      <c r="O2193" s="37" t="str">
        <f>HYPERLINK(AA2 &amp; "/pencil/sn_e5d6d09e2c91c75e1b5647ac5820a290/rendering/12.obj", "1.34781968594")</f>
        <v>1.34781968594</v>
      </c>
      <c r="P2193" s="87" t="str">
        <f>HYPERLINK(AA2 &amp; "/pencil/sn_e5d6d09e2c91c75e1b5647ac5820a290/rendering/13.obj", "2.00615262985")</f>
        <v>2.00615262985</v>
      </c>
      <c r="Q2193" s="19" t="str">
        <f>HYPERLINK(AA2 &amp; "/pencil/sn_e5d6d09e2c91c75e1b5647ac5820a290/rendering/14.obj", "1.20817399025")</f>
        <v>1.20817399025</v>
      </c>
      <c r="R2193" s="107" t="str">
        <f>HYPERLINK(AA2 &amp; "/pencil/sn_e5d6d09e2c91c75e1b5647ac5820a290/rendering/15.obj", "1.77090680599")</f>
        <v>1.77090680599</v>
      </c>
      <c r="S2193" s="171" t="str">
        <f>HYPERLINK(AA2 &amp; "/pencil/sn_e5d6d09e2c91c75e1b5647ac5820a290/rendering/16.obj", "1.13673627377")</f>
        <v>1.13673627377</v>
      </c>
      <c r="T2193" s="99" t="str">
        <f>HYPERLINK(AA2 &amp; "/pencil/sn_e5d6d09e2c91c75e1b5647ac5820a290/rendering/17.obj", "1.18841362")</f>
        <v>1.18841362</v>
      </c>
      <c r="U2193" s="96" t="str">
        <f>HYPERLINK(AA2 &amp; "/pencil/sn_e5d6d09e2c91c75e1b5647ac5820a290/rendering/18.obj", "2.22900223732")</f>
        <v>2.22900223732</v>
      </c>
      <c r="V2193" s="86" t="str">
        <f>HYPERLINK(AA2 &amp; "/pencil/sn_e5d6d09e2c91c75e1b5647ac5820a290/rendering/19.obj", "1.19528138638")</f>
        <v>1.19528138638</v>
      </c>
      <c r="W2193" s="12" t="s">
        <v>30</v>
      </c>
      <c r="X2193" s="13">
        <v>1.6343060493469239</v>
      </c>
      <c r="Y2193" s="13">
        <v>0.81851235417721313</v>
      </c>
      <c r="Z2193" s="126">
        <v>0.50083174721423462</v>
      </c>
    </row>
    <row r="2194" spans="1:26" x14ac:dyDescent="0.2">
      <c r="A2194" s="1">
        <v>2192</v>
      </c>
      <c r="B2194" s="2" t="s">
        <v>471</v>
      </c>
      <c r="C2194" s="72" t="str">
        <f>HYPERLINK(AB2 &amp; "/pencil/sn_e5d6d09e2c91c75e1b5647ac5820a290/rendering/00.obj", "4.13708496094")</f>
        <v>4.13708496094</v>
      </c>
      <c r="D2194" s="68" t="str">
        <f>HYPERLINK(AB2 &amp; "/pencil/sn_e5d6d09e2c91c75e1b5647ac5820a290/rendering/01.obj", "4.10412109375")</f>
        <v>4.10412109375</v>
      </c>
      <c r="E2194" s="47" t="str">
        <f>HYPERLINK(AB2 &amp; "/pencil/sn_e5d6d09e2c91c75e1b5647ac5820a290/rendering/02.obj", "4.25536743164")</f>
        <v>4.25536743164</v>
      </c>
      <c r="F2194" s="41" t="str">
        <f>HYPERLINK(AB2 &amp; "/pencil/sn_e5d6d09e2c91c75e1b5647ac5820a290/rendering/03.obj", "4.00110015869")</f>
        <v>4.00110015869</v>
      </c>
      <c r="G2194" s="46" t="str">
        <f>HYPERLINK(AB2 &amp; "/pencil/sn_e5d6d09e2c91c75e1b5647ac5820a290/rendering/04.obj", "4.20561462402")</f>
        <v>4.20561462402</v>
      </c>
      <c r="H2194" s="72" t="str">
        <f>HYPERLINK(AB2 &amp; "/pencil/sn_e5d6d09e2c91c75e1b5647ac5820a290/rendering/05.obj", "4.42407836914")</f>
        <v>4.42407836914</v>
      </c>
      <c r="I2194" s="72" t="str">
        <f>HYPERLINK(AB2 &amp; "/pencil/sn_e5d6d09e2c91c75e1b5647ac5820a290/rendering/06.obj", "4.14584411621")</f>
        <v>4.14584411621</v>
      </c>
      <c r="J2194" s="23" t="str">
        <f>HYPERLINK(AB2 &amp; "/pencil/sn_e5d6d09e2c91c75e1b5647ac5820a290/rendering/07.obj", "4.1179876709")</f>
        <v>4.1179876709</v>
      </c>
      <c r="K2194" s="17" t="str">
        <f>HYPERLINK(AB2 &amp; "/pencil/sn_e5d6d09e2c91c75e1b5647ac5820a290/rendering/08.obj", "4.19645629883")</f>
        <v>4.19645629883</v>
      </c>
      <c r="L2194" s="13" t="str">
        <f>HYPERLINK(AB2 &amp; "/pencil/sn_e5d6d09e2c91c75e1b5647ac5820a290/rendering/09.obj", "4.28358398438")</f>
        <v>4.28358398438</v>
      </c>
      <c r="M2194" s="34" t="str">
        <f>HYPERLINK(AB2 &amp; "/pencil/sn_e5d6d09e2c91c75e1b5647ac5820a290/rendering/10.obj", "4.48716369629")</f>
        <v>4.48716369629</v>
      </c>
      <c r="N2194" s="68" t="str">
        <f>HYPERLINK(AB2 &amp; "/pencil/sn_e5d6d09e2c91c75e1b5647ac5820a290/rendering/11.obj", "4.46797454834")</f>
        <v>4.46797454834</v>
      </c>
      <c r="O2194" s="17" t="str">
        <f>HYPERLINK(AB2 &amp; "/pencil/sn_e5d6d09e2c91c75e1b5647ac5820a290/rendering/12.obj", "4.37606903076")</f>
        <v>4.37606903076</v>
      </c>
      <c r="P2194" s="91" t="str">
        <f>HYPERLINK(AB2 &amp; "/pencil/sn_e5d6d09e2c91c75e1b5647ac5820a290/rendering/13.obj", "4.4015612793")</f>
        <v>4.4015612793</v>
      </c>
      <c r="Q2194" s="67" t="str">
        <f>HYPERLINK(AB2 &amp; "/pencil/sn_e5d6d09e2c91c75e1b5647ac5820a290/rendering/14.obj", "4.68109436035")</f>
        <v>4.68109436035</v>
      </c>
      <c r="R2194" s="69" t="str">
        <f>HYPERLINK(AB2 &amp; "/pencil/sn_e5d6d09e2c91c75e1b5647ac5820a290/rendering/15.obj", "4.16002105713")</f>
        <v>4.16002105713</v>
      </c>
      <c r="S2194" s="47" t="str">
        <f>HYPERLINK(AB2 &amp; "/pencil/sn_e5d6d09e2c91c75e1b5647ac5820a290/rendering/16.obj", "4.32049682617")</f>
        <v>4.32049682617</v>
      </c>
      <c r="T2194" s="74" t="str">
        <f>HYPERLINK(AB2 &amp; "/pencil/sn_e5d6d09e2c91c75e1b5647ac5820a290/rendering/17.obj", "4.21673339844")</f>
        <v>4.21673339844</v>
      </c>
      <c r="U2194" s="46" t="str">
        <f>HYPERLINK(AB2 &amp; "/pencil/sn_e5d6d09e2c91c75e1b5647ac5820a290/rendering/18.obj", "4.20783355713")</f>
        <v>4.20783355713</v>
      </c>
      <c r="V2194" s="6" t="str">
        <f>HYPERLINK(AB2 &amp; "/pencil/sn_e5d6d09e2c91c75e1b5647ac5820a290/rendering/19.obj", "4.47654602051")</f>
        <v>4.47654602051</v>
      </c>
      <c r="W2194" s="12" t="s">
        <v>31</v>
      </c>
      <c r="X2194" s="13">
        <v>4.283336624145508</v>
      </c>
      <c r="Y2194" s="13">
        <v>0.16341167744691909</v>
      </c>
      <c r="Z2194" s="23">
        <v>3.81505568639538E-2</v>
      </c>
    </row>
    <row r="2195" spans="1:26" x14ac:dyDescent="0.2">
      <c r="A2195" s="1">
        <v>2193</v>
      </c>
      <c r="B2195" s="2" t="s">
        <v>471</v>
      </c>
      <c r="C2195" s="39" t="str">
        <f>HYPERLINK(AB2 &amp; "/pencil/sn_e5d6d09e2c91c75e1b5647ac5820a290/rendering/00.obj", "1.13690280914")</f>
        <v>1.13690280914</v>
      </c>
      <c r="D2195" s="13" t="str">
        <f>HYPERLINK(AB2 &amp; "/pencil/sn_e5d6d09e2c91c75e1b5647ac5820a290/rendering/01.obj", "1.24314808846")</f>
        <v>1.24314808846</v>
      </c>
      <c r="E2195" s="48" t="str">
        <f>HYPERLINK(AB2 &amp; "/pencil/sn_e5d6d09e2c91c75e1b5647ac5820a290/rendering/02.obj", "1.27140402794")</f>
        <v>1.27140402794</v>
      </c>
      <c r="F2195" s="71" t="str">
        <f>HYPERLINK(AB2 &amp; "/pencil/sn_e5d6d09e2c91c75e1b5647ac5820a290/rendering/03.obj", "1.09893095493")</f>
        <v>1.09893095493</v>
      </c>
      <c r="G2195" s="83" t="str">
        <f>HYPERLINK(AB2 &amp; "/pencil/sn_e5d6d09e2c91c75e1b5647ac5820a290/rendering/04.obj", "1.05367171764")</f>
        <v>1.05367171764</v>
      </c>
      <c r="H2195" s="13" t="str">
        <f>HYPERLINK(AB2 &amp; "/pencil/sn_e5d6d09e2c91c75e1b5647ac5820a290/rendering/05.obj", "1.24304187298")</f>
        <v>1.24304187298</v>
      </c>
      <c r="I2195" s="84" t="str">
        <f>HYPERLINK(AB2 &amp; "/pencil/sn_e5d6d09e2c91c75e1b5647ac5820a290/rendering/06.obj", "1.0628259182")</f>
        <v>1.0628259182</v>
      </c>
      <c r="J2195" s="64" t="str">
        <f>HYPERLINK(AB2 &amp; "/pencil/sn_e5d6d09e2c91c75e1b5647ac5820a290/rendering/07.obj", "1.03969955444")</f>
        <v>1.03969955444</v>
      </c>
      <c r="K2195" s="6" t="str">
        <f>HYPERLINK(AB2 &amp; "/pencil/sn_e5d6d09e2c91c75e1b5647ac5820a290/rendering/08.obj", "1.18804085255")</f>
        <v>1.18804085255</v>
      </c>
      <c r="L2195" s="4" t="str">
        <f>HYPERLINK(AB2 &amp; "/pencil/sn_e5d6d09e2c91c75e1b5647ac5820a290/rendering/09.obj", "1.59577143192")</f>
        <v>1.59577143192</v>
      </c>
      <c r="M2195" s="17" t="str">
        <f>HYPERLINK(AB2 &amp; "/pencil/sn_e5d6d09e2c91c75e1b5647ac5820a290/rendering/10.obj", "1.26710414886")</f>
        <v>1.26710414886</v>
      </c>
      <c r="N2195" s="23" t="str">
        <f>HYPERLINK(AB2 &amp; "/pencil/sn_e5d6d09e2c91c75e1b5647ac5820a290/rendering/11.obj", "1.29157662392")</f>
        <v>1.29157662392</v>
      </c>
      <c r="O2195" s="47" t="str">
        <f>HYPERLINK(AB2 &amp; "/pencil/sn_e5d6d09e2c91c75e1b5647ac5820a290/rendering/12.obj", "1.23304247856")</f>
        <v>1.23304247856</v>
      </c>
      <c r="P2195" s="30" t="str">
        <f>HYPERLINK(AB2 &amp; "/pencil/sn_e5d6d09e2c91c75e1b5647ac5820a290/rendering/13.obj", "1.25110554695")</f>
        <v>1.25110554695</v>
      </c>
      <c r="Q2195" s="37" t="str">
        <f>HYPERLINK(AB2 &amp; "/pencil/sn_e5d6d09e2c91c75e1b5647ac5820a290/rendering/14.obj", "1.45834696293")</f>
        <v>1.45834696293</v>
      </c>
      <c r="R2195" s="94" t="str">
        <f>HYPERLINK(AB2 &amp; "/pencil/sn_e5d6d09e2c91c75e1b5647ac5820a290/rendering/15.obj", "1.15324640274")</f>
        <v>1.15324640274</v>
      </c>
      <c r="S2195" s="94" t="str">
        <f>HYPERLINK(AB2 &amp; "/pencil/sn_e5d6d09e2c91c75e1b5647ac5820a290/rendering/16.obj", "1.33460760117")</f>
        <v>1.33460760117</v>
      </c>
      <c r="T2195" s="133" t="str">
        <f>HYPERLINK(AB2 &amp; "/pencil/sn_e5d6d09e2c91c75e1b5647ac5820a290/rendering/17.obj", "1.11602520943")</f>
        <v>1.11602520943</v>
      </c>
      <c r="U2195" s="48" t="str">
        <f>HYPERLINK(AB2 &amp; "/pencil/sn_e5d6d09e2c91c75e1b5647ac5820a290/rendering/18.obj", "1.27097153664")</f>
        <v>1.27097153664</v>
      </c>
      <c r="V2195" s="170" t="str">
        <f>HYPERLINK(AB2 &amp; "/pencil/sn_e5d6d09e2c91c75e1b5647ac5820a290/rendering/19.obj", "1.55675280094")</f>
        <v>1.55675280094</v>
      </c>
      <c r="W2195" s="12" t="s">
        <v>32</v>
      </c>
      <c r="X2195" s="13">
        <v>1.24331082701683</v>
      </c>
      <c r="Y2195" s="13">
        <v>0.1501995163979393</v>
      </c>
      <c r="Z2195" s="63">
        <v>0.1208060873710272</v>
      </c>
    </row>
    <row r="2196" spans="1:26" x14ac:dyDescent="0.2">
      <c r="A2196" s="1">
        <v>2194</v>
      </c>
      <c r="B2196" s="2" t="s">
        <v>471</v>
      </c>
      <c r="C2196" s="13" t="str">
        <f>HYPERLINK(AC2 &amp; "/pencil/sn_e5d6d09e2c91c75e1b5647ac5820a290/rendering/00.xyz", "0.0")</f>
        <v>0.0</v>
      </c>
      <c r="D2196" s="13" t="str">
        <f>HYPERLINK(AC2 &amp; "/pencil/sn_e5d6d09e2c91c75e1b5647ac5820a290/rendering/01.xyz", "0.0")</f>
        <v>0.0</v>
      </c>
      <c r="E2196" s="13" t="str">
        <f>HYPERLINK(AC2 &amp; "/pencil/sn_e5d6d09e2c91c75e1b5647ac5820a290/rendering/02.xyz", "0.0")</f>
        <v>0.0</v>
      </c>
      <c r="F2196" s="13" t="str">
        <f>HYPERLINK(AC2 &amp; "/pencil/sn_e5d6d09e2c91c75e1b5647ac5820a290/rendering/03.xyz", "0.0")</f>
        <v>0.0</v>
      </c>
      <c r="G2196" s="13" t="str">
        <f>HYPERLINK(AC2 &amp; "/pencil/sn_e5d6d09e2c91c75e1b5647ac5820a290/rendering/04.xyz", "0.0")</f>
        <v>0.0</v>
      </c>
      <c r="H2196" s="13" t="str">
        <f>HYPERLINK(AC2 &amp; "/pencil/sn_e5d6d09e2c91c75e1b5647ac5820a290/rendering/05.xyz", "0.0")</f>
        <v>0.0</v>
      </c>
      <c r="I2196" s="13" t="str">
        <f>HYPERLINK(AC2 &amp; "/pencil/sn_e5d6d09e2c91c75e1b5647ac5820a290/rendering/06.xyz", "0.0")</f>
        <v>0.0</v>
      </c>
      <c r="J2196" s="13" t="str">
        <f>HYPERLINK(AC2 &amp; "/pencil/sn_e5d6d09e2c91c75e1b5647ac5820a290/rendering/07.xyz", "0.0")</f>
        <v>0.0</v>
      </c>
      <c r="K2196" s="13" t="str">
        <f>HYPERLINK(AC2 &amp; "/pencil/sn_e5d6d09e2c91c75e1b5647ac5820a290/rendering/08.xyz", "0.0")</f>
        <v>0.0</v>
      </c>
      <c r="L2196" s="13" t="str">
        <f>HYPERLINK(AC2 &amp; "/pencil/sn_e5d6d09e2c91c75e1b5647ac5820a290/rendering/09.xyz", "0.0")</f>
        <v>0.0</v>
      </c>
      <c r="M2196" s="13" t="str">
        <f>HYPERLINK(AC2 &amp; "/pencil/sn_e5d6d09e2c91c75e1b5647ac5820a290/rendering/10.xyz", "0.0")</f>
        <v>0.0</v>
      </c>
      <c r="N2196" s="13" t="str">
        <f>HYPERLINK(AC2 &amp; "/pencil/sn_e5d6d09e2c91c75e1b5647ac5820a290/rendering/11.xyz", "0.0")</f>
        <v>0.0</v>
      </c>
      <c r="O2196" s="13" t="str">
        <f>HYPERLINK(AC2 &amp; "/pencil/sn_e5d6d09e2c91c75e1b5647ac5820a290/rendering/12.xyz", "0.0")</f>
        <v>0.0</v>
      </c>
      <c r="P2196" s="13" t="str">
        <f>HYPERLINK(AC2 &amp; "/pencil/sn_e5d6d09e2c91c75e1b5647ac5820a290/rendering/13.xyz", "0.0")</f>
        <v>0.0</v>
      </c>
      <c r="Q2196" s="13" t="str">
        <f>HYPERLINK(AC2 &amp; "/pencil/sn_e5d6d09e2c91c75e1b5647ac5820a290/rendering/14.xyz", "0.0")</f>
        <v>0.0</v>
      </c>
      <c r="R2196" s="13" t="str">
        <f>HYPERLINK(AC2 &amp; "/pencil/sn_e5d6d09e2c91c75e1b5647ac5820a290/rendering/15.xyz", "0.0")</f>
        <v>0.0</v>
      </c>
      <c r="S2196" s="13" t="str">
        <f>HYPERLINK(AC2 &amp; "/pencil/sn_e5d6d09e2c91c75e1b5647ac5820a290/rendering/16.xyz", "0.0")</f>
        <v>0.0</v>
      </c>
      <c r="T2196" s="13" t="str">
        <f>HYPERLINK(AC2 &amp; "/pencil/sn_e5d6d09e2c91c75e1b5647ac5820a290/rendering/17.xyz", "0.0")</f>
        <v>0.0</v>
      </c>
      <c r="U2196" s="13" t="str">
        <f>HYPERLINK(AC2 &amp; "/pencil/sn_e5d6d09e2c91c75e1b5647ac5820a290/rendering/18.xyz", "0.0")</f>
        <v>0.0</v>
      </c>
      <c r="V2196" s="13" t="str">
        <f>HYPERLINK(AC2 &amp; "/pencil/sn_e5d6d09e2c91c75e1b5647ac5820a290/rendering/19.xyz", "0.0")</f>
        <v>0.0</v>
      </c>
      <c r="W2196" s="12" t="s">
        <v>33</v>
      </c>
      <c r="X2196" s="13">
        <v>0</v>
      </c>
      <c r="Y2196" s="13">
        <v>0</v>
      </c>
      <c r="Z2196" s="13">
        <v>0</v>
      </c>
    </row>
    <row r="2197" spans="1:26" x14ac:dyDescent="0.2">
      <c r="A2197" s="1">
        <v>2195</v>
      </c>
      <c r="B2197" s="2" t="s">
        <v>472</v>
      </c>
      <c r="C2197" s="74" t="str">
        <f>HYPERLINK(AA2 &amp; "/pencil/sn_e5e2c9a79846d03b50974363fa607f82/rendering/00.obj", "4.93127868652")</f>
        <v>4.93127868652</v>
      </c>
      <c r="D2197" s="117" t="str">
        <f>HYPERLINK(AA2 &amp; "/pencil/sn_e5e2c9a79846d03b50974363fa607f82/rendering/01.obj", "4.00806640625")</f>
        <v>4.00806640625</v>
      </c>
      <c r="E2197" s="39" t="str">
        <f>HYPERLINK(AA2 &amp; "/pencil/sn_e5e2c9a79846d03b50974363fa607f82/rendering/02.obj", "4.44773040771")</f>
        <v>4.44773040771</v>
      </c>
      <c r="F2197" s="72" t="str">
        <f>HYPERLINK(AA2 &amp; "/pencil/sn_e5e2c9a79846d03b50974363fa607f82/rendering/03.obj", "5.01630126953")</f>
        <v>5.01630126953</v>
      </c>
      <c r="G2197" s="47" t="str">
        <f>HYPERLINK(AA2 &amp; "/pencil/sn_e5e2c9a79846d03b50974363fa607f82/rendering/04.obj", "4.89576049805")</f>
        <v>4.89576049805</v>
      </c>
      <c r="H2197" s="49" t="str">
        <f>HYPERLINK(AA2 &amp; "/pencil/sn_e5e2c9a79846d03b50974363fa607f82/rendering/05.obj", "5.87849121094")</f>
        <v>5.87849121094</v>
      </c>
      <c r="I2197" s="37" t="str">
        <f>HYPERLINK(AA2 &amp; "/pencil/sn_e5e2c9a79846d03b50974363fa607f82/rendering/06.obj", "4.00963256836")</f>
        <v>4.00963256836</v>
      </c>
      <c r="J2197" s="8" t="str">
        <f>HYPERLINK(AA2 &amp; "/pencil/sn_e5e2c9a79846d03b50974363fa607f82/rendering/07.obj", "4.1691986084")</f>
        <v>4.1691986084</v>
      </c>
      <c r="K2197" s="95" t="str">
        <f>HYPERLINK(AA2 &amp; "/pencil/sn_e5e2c9a79846d03b50974363fa607f82/rendering/08.obj", "6.22590576172")</f>
        <v>6.22590576172</v>
      </c>
      <c r="L2197" s="136" t="str">
        <f>HYPERLINK(AA2 &amp; "/pencil/sn_e5e2c9a79846d03b50974363fa607f82/rendering/09.obj", "3.70382019043")</f>
        <v>3.70382019043</v>
      </c>
      <c r="M2197" s="82" t="str">
        <f>HYPERLINK(AA2 &amp; "/pencil/sn_e5e2c9a79846d03b50974363fa607f82/rendering/10.obj", "3.85755310059")</f>
        <v>3.85755310059</v>
      </c>
      <c r="N2197" s="78" t="str">
        <f>HYPERLINK(AA2 &amp; "/pencil/sn_e5e2c9a79846d03b50974363fa607f82/rendering/11.obj", "4.56670654297")</f>
        <v>4.56670654297</v>
      </c>
      <c r="O2197" s="80" t="str">
        <f>HYPERLINK(AA2 &amp; "/pencil/sn_e5e2c9a79846d03b50974363fa607f82/rendering/12.obj", "4.13108520508")</f>
        <v>4.13108520508</v>
      </c>
      <c r="P2197" s="20" t="str">
        <f>HYPERLINK(AA2 &amp; "/pencil/sn_e5e2c9a79846d03b50974363fa607f82/rendering/13.obj", "11.0139147949")</f>
        <v>11.0139147949</v>
      </c>
      <c r="Q2197" s="134" t="str">
        <f>HYPERLINK(AA2 &amp; "/pencil/sn_e5e2c9a79846d03b50974363fa607f82/rendering/14.obj", "3.98340942383")</f>
        <v>3.98340942383</v>
      </c>
      <c r="R2197" s="5" t="str">
        <f>HYPERLINK(AA2 &amp; "/pencil/sn_e5e2c9a79846d03b50974363fa607f82/rendering/15.obj", "4.4851751709")</f>
        <v>4.4851751709</v>
      </c>
      <c r="S2197" s="79" t="str">
        <f>HYPERLINK(AA2 &amp; "/pencil/sn_e5e2c9a79846d03b50974363fa607f82/rendering/16.obj", "4.08513671875")</f>
        <v>4.08513671875</v>
      </c>
      <c r="T2197" s="32" t="str">
        <f>HYPERLINK(AA2 &amp; "/pencil/sn_e5e2c9a79846d03b50974363fa607f82/rendering/17.obj", "4.3502355957")</f>
        <v>4.3502355957</v>
      </c>
      <c r="U2197" s="6" t="str">
        <f>HYPERLINK(AA2 &amp; "/pencil/sn_e5e2c9a79846d03b50974363fa607f82/rendering/18.obj", "5.08612304688")</f>
        <v>5.08612304688</v>
      </c>
      <c r="V2197" s="90" t="str">
        <f>HYPERLINK(AA2 &amp; "/pencil/sn_e5e2c9a79846d03b50974363fa607f82/rendering/19.obj", "4.40320922852")</f>
        <v>4.40320922852</v>
      </c>
      <c r="W2197" s="12" t="s">
        <v>29</v>
      </c>
      <c r="X2197" s="13">
        <v>4.8624367218017586</v>
      </c>
      <c r="Y2197" s="13">
        <v>1.5473914460794209</v>
      </c>
      <c r="Z2197" s="176">
        <v>0.31823374464522403</v>
      </c>
    </row>
    <row r="2198" spans="1:26" x14ac:dyDescent="0.2">
      <c r="A2198" s="1">
        <v>2196</v>
      </c>
      <c r="B2198" s="2" t="s">
        <v>472</v>
      </c>
      <c r="C2198" s="73" t="str">
        <f>HYPERLINK(AA2 &amp; "/pencil/sn_e5e2c9a79846d03b50974363fa607f82/rendering/00.obj", "2.07173442841")</f>
        <v>2.07173442841</v>
      </c>
      <c r="D2198" s="16" t="str">
        <f>HYPERLINK(AA2 &amp; "/pencil/sn_e5e2c9a79846d03b50974363fa607f82/rendering/01.obj", "0.977455615997")</f>
        <v>0.977455615997</v>
      </c>
      <c r="E2198" s="186" t="str">
        <f>HYPERLINK(AA2 &amp; "/pencil/sn_e5e2c9a79846d03b50974363fa607f82/rendering/02.obj", "0.858267962933")</f>
        <v>0.858267962933</v>
      </c>
      <c r="F2198" s="59" t="str">
        <f>HYPERLINK(AA2 &amp; "/pencil/sn_e5e2c9a79846d03b50974363fa607f82/rendering/03.obj", "1.63549745083")</f>
        <v>1.63549745083</v>
      </c>
      <c r="G2198" s="166" t="str">
        <f>HYPERLINK(AA2 &amp; "/pencil/sn_e5e2c9a79846d03b50974363fa607f82/rendering/04.obj", "1.52903664112")</f>
        <v>1.52903664112</v>
      </c>
      <c r="H2198" s="20" t="str">
        <f>HYPERLINK(AA2 &amp; "/pencil/sn_e5e2c9a79846d03b50974363fa607f82/rendering/05.obj", "3.89047265053")</f>
        <v>3.89047265053</v>
      </c>
      <c r="I2198" s="161" t="str">
        <f>HYPERLINK(AA2 &amp; "/pencil/sn_e5e2c9a79846d03b50974363fa607f82/rendering/06.obj", "0.894502222538")</f>
        <v>0.894502222538</v>
      </c>
      <c r="J2198" s="197" t="str">
        <f>HYPERLINK(AA2 &amp; "/pencil/sn_e5e2c9a79846d03b50974363fa607f82/rendering/07.obj", "0.929510772228")</f>
        <v>0.929510772228</v>
      </c>
      <c r="K2198" s="164" t="str">
        <f>HYPERLINK(AA2 &amp; "/pencil/sn_e5e2c9a79846d03b50974363fa607f82/rendering/08.obj", "3.51591539383")</f>
        <v>3.51591539383</v>
      </c>
      <c r="L2198" s="246" t="str">
        <f>HYPERLINK(AA2 &amp; "/pencil/sn_e5e2c9a79846d03b50974363fa607f82/rendering/09.obj", "0.837719142437")</f>
        <v>0.837719142437</v>
      </c>
      <c r="M2198" s="16" t="str">
        <f>HYPERLINK(AA2 &amp; "/pencil/sn_e5e2c9a79846d03b50974363fa607f82/rendering/10.obj", "0.981040000916")</f>
        <v>0.981040000916</v>
      </c>
      <c r="N2198" s="116" t="str">
        <f>HYPERLINK(AA2 &amp; "/pencil/sn_e5e2c9a79846d03b50974363fa607f82/rendering/11.obj", "1.20500934124")</f>
        <v>1.20500934124</v>
      </c>
      <c r="O2198" s="62" t="str">
        <f>HYPERLINK(AA2 &amp; "/pencil/sn_e5e2c9a79846d03b50974363fa607f82/rendering/12.obj", "0.86618989706")</f>
        <v>0.86618989706</v>
      </c>
      <c r="P2198" s="20" t="str">
        <f>HYPERLINK(AA2 &amp; "/pencil/sn_e5e2c9a79846d03b50974363fa607f82/rendering/13.obj", "14.6830539703")</f>
        <v>14.6830539703</v>
      </c>
      <c r="Q2198" s="127" t="str">
        <f>HYPERLINK(AA2 &amp; "/pencil/sn_e5e2c9a79846d03b50974363fa607f82/rendering/14.obj", "1.03550291061")</f>
        <v>1.03550291061</v>
      </c>
      <c r="R2198" s="166" t="str">
        <f>HYPERLINK(AA2 &amp; "/pencil/sn_e5e2c9a79846d03b50974363fa607f82/rendering/15.obj", "1.53251862526")</f>
        <v>1.53251862526</v>
      </c>
      <c r="S2198" s="249" t="str">
        <f>HYPERLINK(AA2 &amp; "/pencil/sn_e5e2c9a79846d03b50974363fa607f82/rendering/16.obj", "0.920016944408")</f>
        <v>0.920016944408</v>
      </c>
      <c r="T2198" s="128" t="str">
        <f>HYPERLINK(AA2 &amp; "/pencil/sn_e5e2c9a79846d03b50974363fa607f82/rendering/17.obj", "1.30707347393")</f>
        <v>1.30707347393</v>
      </c>
      <c r="U2198" s="110" t="str">
        <f>HYPERLINK(AA2 &amp; "/pencil/sn_e5e2c9a79846d03b50974363fa607f82/rendering/18.obj", "2.36001896858")</f>
        <v>2.36001896858</v>
      </c>
      <c r="V2198" s="223" t="str">
        <f>HYPERLINK(AA2 &amp; "/pencil/sn_e5e2c9a79846d03b50974363fa607f82/rendering/19.obj", "0.942454636097")</f>
        <v>0.942454636097</v>
      </c>
      <c r="W2198" s="12" t="s">
        <v>30</v>
      </c>
      <c r="X2198" s="13">
        <v>2.1486495524644851</v>
      </c>
      <c r="Y2198" s="13">
        <v>2.9976397233553489</v>
      </c>
      <c r="Z2198" s="20">
        <v>1.395127334709878</v>
      </c>
    </row>
    <row r="2199" spans="1:26" x14ac:dyDescent="0.2">
      <c r="A2199" s="1">
        <v>2197</v>
      </c>
      <c r="B2199" s="2" t="s">
        <v>472</v>
      </c>
      <c r="C2199" s="35" t="str">
        <f>HYPERLINK(AB2 &amp; "/pencil/sn_e5e2c9a79846d03b50974363fa607f82/rendering/00.obj", "3.94893005371")</f>
        <v>3.94893005371</v>
      </c>
      <c r="D2199" s="60" t="str">
        <f>HYPERLINK(AB2 &amp; "/pencil/sn_e5e2c9a79846d03b50974363fa607f82/rendering/01.obj", "3.53664733887")</f>
        <v>3.53664733887</v>
      </c>
      <c r="E2199" s="23" t="str">
        <f>HYPERLINK(AB2 &amp; "/pencil/sn_e5e2c9a79846d03b50974363fa607f82/rendering/02.obj", "3.87393249512")</f>
        <v>3.87393249512</v>
      </c>
      <c r="F2199" s="17" t="str">
        <f>HYPERLINK(AB2 &amp; "/pencil/sn_e5e2c9a79846d03b50974363fa607f82/rendering/03.obj", "3.81181884766")</f>
        <v>3.81181884766</v>
      </c>
      <c r="G2199" s="34" t="str">
        <f>HYPERLINK(AB2 &amp; "/pencil/sn_e5e2c9a79846d03b50974363fa607f82/rendering/04.obj", "3.91767730713")</f>
        <v>3.91767730713</v>
      </c>
      <c r="H2199" s="91" t="str">
        <f>HYPERLINK(AB2 &amp; "/pencil/sn_e5e2c9a79846d03b50974363fa607f82/rendering/05.obj", "3.82836700439")</f>
        <v>3.82836700439</v>
      </c>
      <c r="I2199" s="5" t="str">
        <f>HYPERLINK(AB2 &amp; "/pencil/sn_e5e2c9a79846d03b50974363fa607f82/rendering/06.obj", "4.02257904053")</f>
        <v>4.02257904053</v>
      </c>
      <c r="J2199" s="72" t="str">
        <f>HYPERLINK(AB2 &amp; "/pencil/sn_e5e2c9a79846d03b50974363fa607f82/rendering/07.obj", "3.85089599609")</f>
        <v>3.85089599609</v>
      </c>
      <c r="K2199" s="47" t="str">
        <f>HYPERLINK(AB2 &amp; "/pencil/sn_e5e2c9a79846d03b50974363fa607f82/rendering/08.obj", "3.75789978027")</f>
        <v>3.75789978027</v>
      </c>
      <c r="L2199" s="30" t="str">
        <f>HYPERLINK(AB2 &amp; "/pencil/sn_e5e2c9a79846d03b50974363fa607f82/rendering/09.obj", "3.75160491943")</f>
        <v>3.75160491943</v>
      </c>
      <c r="M2199" s="27" t="str">
        <f>HYPERLINK(AB2 &amp; "/pencil/sn_e5e2c9a79846d03b50974363fa607f82/rendering/10.obj", "3.47325958252")</f>
        <v>3.47325958252</v>
      </c>
      <c r="N2199" s="73" t="str">
        <f>HYPERLINK(AB2 &amp; "/pencil/sn_e5e2c9a79846d03b50974363fa607f82/rendering/11.obj", "3.86985717773")</f>
        <v>3.86985717773</v>
      </c>
      <c r="O2199" s="74" t="str">
        <f>HYPERLINK(AB2 &amp; "/pencil/sn_e5e2c9a79846d03b50974363fa607f82/rendering/12.obj", "3.68057037354")</f>
        <v>3.68057037354</v>
      </c>
      <c r="P2199" s="23" t="str">
        <f>HYPERLINK(AB2 &amp; "/pencil/sn_e5e2c9a79846d03b50974363fa607f82/rendering/13.obj", "3.59128234863")</f>
        <v>3.59128234863</v>
      </c>
      <c r="Q2199" s="41" t="str">
        <f>HYPERLINK(AB2 &amp; "/pencil/sn_e5e2c9a79846d03b50974363fa607f82/rendering/14.obj", "3.47681213379")</f>
        <v>3.47681213379</v>
      </c>
      <c r="R2199" s="35" t="str">
        <f>HYPERLINK(AB2 &amp; "/pencil/sn_e5e2c9a79846d03b50974363fa607f82/rendering/15.obj", "3.51318664551")</f>
        <v>3.51318664551</v>
      </c>
      <c r="S2199" s="10" t="str">
        <f>HYPERLINK(AB2 &amp; "/pencil/sn_e5e2c9a79846d03b50974363fa607f82/rendering/16.obj", "3.94153686523")</f>
        <v>3.94153686523</v>
      </c>
      <c r="T2199" s="67" t="str">
        <f>HYPERLINK(AB2 &amp; "/pencil/sn_e5e2c9a79846d03b50974363fa607f82/rendering/17.obj", "3.38819213867")</f>
        <v>3.38819213867</v>
      </c>
      <c r="U2199" s="25" t="str">
        <f>HYPERLINK(AB2 &amp; "/pencil/sn_e5e2c9a79846d03b50974363fa607f82/rendering/18.obj", "3.77619506836")</f>
        <v>3.77619506836</v>
      </c>
      <c r="V2199" s="91" t="str">
        <f>HYPERLINK(AB2 &amp; "/pencil/sn_e5e2c9a79846d03b50974363fa607f82/rendering/19.obj", "3.6339364624")</f>
        <v>3.6339364624</v>
      </c>
      <c r="W2199" s="12" t="s">
        <v>31</v>
      </c>
      <c r="X2199" s="13">
        <v>3.7322590789794918</v>
      </c>
      <c r="Y2199" s="13">
        <v>0.18030572712604839</v>
      </c>
      <c r="Z2199" s="34">
        <v>4.8310077974369668E-2</v>
      </c>
    </row>
    <row r="2200" spans="1:26" x14ac:dyDescent="0.2">
      <c r="A2200" s="1">
        <v>2198</v>
      </c>
      <c r="B2200" s="2" t="s">
        <v>472</v>
      </c>
      <c r="C2200" s="90" t="str">
        <f>HYPERLINK(AB2 &amp; "/pencil/sn_e5e2c9a79846d03b50974363fa607f82/rendering/00.obj", "0.792553365231")</f>
        <v>0.792553365231</v>
      </c>
      <c r="D2200" s="80" t="str">
        <f>HYPERLINK(AB2 &amp; "/pencil/sn_e5e2c9a79846d03b50974363fa607f82/rendering/01.obj", "0.745290100574")</f>
        <v>0.745290100574</v>
      </c>
      <c r="E2200" s="35" t="str">
        <f>HYPERLINK(AB2 &amp; "/pencil/sn_e5e2c9a79846d03b50974363fa607f82/rendering/02.obj", "0.823011577129")</f>
        <v>0.823011577129</v>
      </c>
      <c r="F2200" s="201" t="str">
        <f>HYPERLINK(AB2 &amp; "/pencil/sn_e5e2c9a79846d03b50974363fa607f82/rendering/03.obj", "1.38361430168")</f>
        <v>1.38361430168</v>
      </c>
      <c r="G2200" s="129" t="str">
        <f>HYPERLINK(AB2 &amp; "/pencil/sn_e5e2c9a79846d03b50974363fa607f82/rendering/04.obj", "1.09251749516")</f>
        <v>1.09251749516</v>
      </c>
      <c r="H2200" s="83" t="str">
        <f>HYPERLINK(AB2 &amp; "/pencil/sn_e5e2c9a79846d03b50974363fa607f82/rendering/05.obj", "1.00911021233")</f>
        <v>1.00911021233</v>
      </c>
      <c r="I2200" s="35" t="str">
        <f>HYPERLINK(AB2 &amp; "/pencil/sn_e5e2c9a79846d03b50974363fa607f82/rendering/06.obj", "0.824783742428")</f>
        <v>0.824783742428</v>
      </c>
      <c r="J2200" s="51" t="str">
        <f>HYPERLINK(AB2 &amp; "/pencil/sn_e5e2c9a79846d03b50974363fa607f82/rendering/07.obj", "0.805202424526")</f>
        <v>0.805202424526</v>
      </c>
      <c r="K2200" s="68" t="str">
        <f>HYPERLINK(AB2 &amp; "/pencil/sn_e5e2c9a79846d03b50974363fa607f82/rendering/08.obj", "0.911685347557")</f>
        <v>0.911685347557</v>
      </c>
      <c r="L2200" s="90" t="str">
        <f>HYPERLINK(AB2 &amp; "/pencil/sn_e5e2c9a79846d03b50974363fa607f82/rendering/09.obj", "0.790466845036")</f>
        <v>0.790466845036</v>
      </c>
      <c r="M2200" s="38" t="str">
        <f>HYPERLINK(AB2 &amp; "/pencil/sn_e5e2c9a79846d03b50974363fa607f82/rendering/10.obj", "0.79673653841")</f>
        <v>0.79673653841</v>
      </c>
      <c r="N2200" s="91" t="str">
        <f>HYPERLINK(AB2 &amp; "/pencil/sn_e5e2c9a79846d03b50974363fa607f82/rendering/11.obj", "0.899196743965")</f>
        <v>0.899196743965</v>
      </c>
      <c r="O2200" s="51" t="str">
        <f>HYPERLINK(AB2 &amp; "/pencil/sn_e5e2c9a79846d03b50974363fa607f82/rendering/12.obj", "0.804170787334")</f>
        <v>0.804170787334</v>
      </c>
      <c r="P2200" s="34" t="str">
        <f>HYPERLINK(AB2 &amp; "/pencil/sn_e5e2c9a79846d03b50974363fa607f82/rendering/13.obj", "0.831179380417")</f>
        <v>0.831179380417</v>
      </c>
      <c r="Q2200" s="35" t="str">
        <f>HYPERLINK(AB2 &amp; "/pencil/sn_e5e2c9a79846d03b50974363fa607f82/rendering/14.obj", "0.825633943081")</f>
        <v>0.825633943081</v>
      </c>
      <c r="R2200" s="10" t="str">
        <f>HYPERLINK(AB2 &amp; "/pencil/sn_e5e2c9a79846d03b50974363fa607f82/rendering/15.obj", "0.922012388706")</f>
        <v>0.922012388706</v>
      </c>
      <c r="S2200" s="92" t="str">
        <f>HYPERLINK(AB2 &amp; "/pencil/sn_e5e2c9a79846d03b50974363fa607f82/rendering/16.obj", "0.76621735096")</f>
        <v>0.76621735096</v>
      </c>
      <c r="T2200" s="26" t="str">
        <f>HYPERLINK(AB2 &amp; "/pencil/sn_e5e2c9a79846d03b50974363fa607f82/rendering/17.obj", "0.818892538548")</f>
        <v>0.818892538548</v>
      </c>
      <c r="U2200" s="133" t="str">
        <f>HYPERLINK(AB2 &amp; "/pencil/sn_e5e2c9a79846d03b50974363fa607f82/rendering/18.obj", "0.785746991634")</f>
        <v>0.785746991634</v>
      </c>
      <c r="V2200" s="13" t="str">
        <f>HYPERLINK(AB2 &amp; "/pencil/sn_e5e2c9a79846d03b50974363fa607f82/rendering/19.obj", "0.8737449646")</f>
        <v>0.8737449646</v>
      </c>
      <c r="W2200" s="12" t="s">
        <v>32</v>
      </c>
      <c r="X2200" s="13">
        <v>0.87508835196495061</v>
      </c>
      <c r="Y2200" s="13">
        <v>0.142730855290922</v>
      </c>
      <c r="Z2200" s="66">
        <v>0.16310450821386169</v>
      </c>
    </row>
    <row r="2201" spans="1:26" x14ac:dyDescent="0.2">
      <c r="A2201" s="1">
        <v>2199</v>
      </c>
      <c r="B2201" s="2" t="s">
        <v>472</v>
      </c>
      <c r="C2201" s="13" t="str">
        <f>HYPERLINK(AC2 &amp; "/pencil/sn_e5e2c9a79846d03b50974363fa607f82/rendering/00.xyz", "0.0")</f>
        <v>0.0</v>
      </c>
      <c r="D2201" s="13" t="str">
        <f>HYPERLINK(AC2 &amp; "/pencil/sn_e5e2c9a79846d03b50974363fa607f82/rendering/01.xyz", "0.0")</f>
        <v>0.0</v>
      </c>
      <c r="E2201" s="13" t="str">
        <f>HYPERLINK(AC2 &amp; "/pencil/sn_e5e2c9a79846d03b50974363fa607f82/rendering/02.xyz", "0.0")</f>
        <v>0.0</v>
      </c>
      <c r="F2201" s="13" t="str">
        <f>HYPERLINK(AC2 &amp; "/pencil/sn_e5e2c9a79846d03b50974363fa607f82/rendering/03.xyz", "0.0")</f>
        <v>0.0</v>
      </c>
      <c r="G2201" s="13" t="str">
        <f>HYPERLINK(AC2 &amp; "/pencil/sn_e5e2c9a79846d03b50974363fa607f82/rendering/04.xyz", "0.0")</f>
        <v>0.0</v>
      </c>
      <c r="H2201" s="13" t="str">
        <f>HYPERLINK(AC2 &amp; "/pencil/sn_e5e2c9a79846d03b50974363fa607f82/rendering/05.xyz", "0.0")</f>
        <v>0.0</v>
      </c>
      <c r="I2201" s="13" t="str">
        <f>HYPERLINK(AC2 &amp; "/pencil/sn_e5e2c9a79846d03b50974363fa607f82/rendering/06.xyz", "0.0")</f>
        <v>0.0</v>
      </c>
      <c r="J2201" s="13" t="str">
        <f>HYPERLINK(AC2 &amp; "/pencil/sn_e5e2c9a79846d03b50974363fa607f82/rendering/07.xyz", "0.0")</f>
        <v>0.0</v>
      </c>
      <c r="K2201" s="13" t="str">
        <f>HYPERLINK(AC2 &amp; "/pencil/sn_e5e2c9a79846d03b50974363fa607f82/rendering/08.xyz", "0.0")</f>
        <v>0.0</v>
      </c>
      <c r="L2201" s="13" t="str">
        <f>HYPERLINK(AC2 &amp; "/pencil/sn_e5e2c9a79846d03b50974363fa607f82/rendering/09.xyz", "0.0")</f>
        <v>0.0</v>
      </c>
      <c r="M2201" s="13" t="str">
        <f>HYPERLINK(AC2 &amp; "/pencil/sn_e5e2c9a79846d03b50974363fa607f82/rendering/10.xyz", "0.0")</f>
        <v>0.0</v>
      </c>
      <c r="N2201" s="13" t="str">
        <f>HYPERLINK(AC2 &amp; "/pencil/sn_e5e2c9a79846d03b50974363fa607f82/rendering/11.xyz", "0.0")</f>
        <v>0.0</v>
      </c>
      <c r="O2201" s="13" t="str">
        <f>HYPERLINK(AC2 &amp; "/pencil/sn_e5e2c9a79846d03b50974363fa607f82/rendering/12.xyz", "0.0")</f>
        <v>0.0</v>
      </c>
      <c r="P2201" s="13" t="str">
        <f>HYPERLINK(AC2 &amp; "/pencil/sn_e5e2c9a79846d03b50974363fa607f82/rendering/13.xyz", "0.0")</f>
        <v>0.0</v>
      </c>
      <c r="Q2201" s="13" t="str">
        <f>HYPERLINK(AC2 &amp; "/pencil/sn_e5e2c9a79846d03b50974363fa607f82/rendering/14.xyz", "0.0")</f>
        <v>0.0</v>
      </c>
      <c r="R2201" s="13" t="str">
        <f>HYPERLINK(AC2 &amp; "/pencil/sn_e5e2c9a79846d03b50974363fa607f82/rendering/15.xyz", "0.0")</f>
        <v>0.0</v>
      </c>
      <c r="S2201" s="13" t="str">
        <f>HYPERLINK(AC2 &amp; "/pencil/sn_e5e2c9a79846d03b50974363fa607f82/rendering/16.xyz", "0.0")</f>
        <v>0.0</v>
      </c>
      <c r="T2201" s="13" t="str">
        <f>HYPERLINK(AC2 &amp; "/pencil/sn_e5e2c9a79846d03b50974363fa607f82/rendering/17.xyz", "0.0")</f>
        <v>0.0</v>
      </c>
      <c r="U2201" s="13" t="str">
        <f>HYPERLINK(AC2 &amp; "/pencil/sn_e5e2c9a79846d03b50974363fa607f82/rendering/18.xyz", "0.0")</f>
        <v>0.0</v>
      </c>
      <c r="V2201" s="13" t="str">
        <f>HYPERLINK(AC2 &amp; "/pencil/sn_e5e2c9a79846d03b50974363fa607f82/rendering/19.xyz", "0.0")</f>
        <v>0.0</v>
      </c>
      <c r="W2201" s="12" t="s">
        <v>33</v>
      </c>
      <c r="X2201" s="13">
        <v>0</v>
      </c>
      <c r="Y2201" s="13">
        <v>0</v>
      </c>
      <c r="Z2201" s="13">
        <v>0</v>
      </c>
    </row>
    <row r="2202" spans="1:26" x14ac:dyDescent="0.2">
      <c r="A2202" s="1">
        <v>2200</v>
      </c>
      <c r="B2202" s="2" t="s">
        <v>473</v>
      </c>
      <c r="C2202" s="78" t="str">
        <f>HYPERLINK(AA2 &amp; "/pencil/sn_e5fe4dc1fe3dadf955991a951ebab66e/rendering/00.obj", "3.29915130615")</f>
        <v>3.29915130615</v>
      </c>
      <c r="D2202" s="47" t="str">
        <f>HYPERLINK(AA2 &amp; "/pencil/sn_e5fe4dc1fe3dadf955991a951ebab66e/rendering/01.obj", "3.1245892334")</f>
        <v>3.1245892334</v>
      </c>
      <c r="E2202" s="34" t="str">
        <f>HYPERLINK(AA2 &amp; "/pencil/sn_e5fe4dc1fe3dadf955991a951ebab66e/rendering/02.obj", "2.9528793335")</f>
        <v>2.9528793335</v>
      </c>
      <c r="F2202" s="30" t="str">
        <f>HYPERLINK(AA2 &amp; "/pencil/sn_e5fe4dc1fe3dadf955991a951ebab66e/rendering/03.obj", "3.12245422363")</f>
        <v>3.12245422363</v>
      </c>
      <c r="G2202" s="23" t="str">
        <f>HYPERLINK(AA2 &amp; "/pencil/sn_e5fe4dc1fe3dadf955991a951ebab66e/rendering/04.obj", "2.98720458984")</f>
        <v>2.98720458984</v>
      </c>
      <c r="H2202" s="47" t="str">
        <f>HYPERLINK(AA2 &amp; "/pencil/sn_e5fe4dc1fe3dadf955991a951ebab66e/rendering/05.obj", "3.12495544434")</f>
        <v>3.12495544434</v>
      </c>
      <c r="I2202" s="91" t="str">
        <f>HYPERLINK(AA2 &amp; "/pencil/sn_e5fe4dc1fe3dadf955991a951ebab66e/rendering/06.obj", "3.02171020508")</f>
        <v>3.02171020508</v>
      </c>
      <c r="J2202" s="10" t="str">
        <f>HYPERLINK(AA2 &amp; "/pencil/sn_e5fe4dc1fe3dadf955991a951ebab66e/rendering/07.obj", "3.27983947754")</f>
        <v>3.27983947754</v>
      </c>
      <c r="K2202" s="94" t="str">
        <f>HYPERLINK(AA2 &amp; "/pencil/sn_e5fe4dc1fe3dadf955991a951ebab66e/rendering/08.obj", "2.8716897583")</f>
        <v>2.8716897583</v>
      </c>
      <c r="L2202" s="30" t="str">
        <f>HYPERLINK(AA2 &amp; "/pencil/sn_e5fe4dc1fe3dadf955991a951ebab66e/rendering/09.obj", "3.11771697998")</f>
        <v>3.11771697998</v>
      </c>
      <c r="M2202" s="25" t="str">
        <f>HYPERLINK(AA2 &amp; "/pencil/sn_e5fe4dc1fe3dadf955991a951ebab66e/rendering/10.obj", "3.06661834717")</f>
        <v>3.06661834717</v>
      </c>
      <c r="N2202" s="13" t="str">
        <f>HYPERLINK(AA2 &amp; "/pencil/sn_e5fe4dc1fe3dadf955991a951ebab66e/rendering/11.obj", "3.09744995117")</f>
        <v>3.09744995117</v>
      </c>
      <c r="O2202" s="46" t="str">
        <f>HYPERLINK(AA2 &amp; "/pencil/sn_e5fe4dc1fe3dadf955991a951ebab66e/rendering/12.obj", "3.05249542236")</f>
        <v>3.05249542236</v>
      </c>
      <c r="P2202" s="47" t="str">
        <f>HYPERLINK(AA2 &amp; "/pencil/sn_e5fe4dc1fe3dadf955991a951ebab66e/rendering/13.obj", "3.13300598145")</f>
        <v>3.13300598145</v>
      </c>
      <c r="Q2202" s="35" t="str">
        <f>HYPERLINK(AA2 &amp; "/pencil/sn_e5fe4dc1fe3dadf955991a951ebab66e/rendering/14.obj", "3.28570129395")</f>
        <v>3.28570129395</v>
      </c>
      <c r="R2202" s="47" t="str">
        <f>HYPERLINK(AA2 &amp; "/pencil/sn_e5fe4dc1fe3dadf955991a951ebab66e/rendering/15.obj", "3.08056518555")</f>
        <v>3.08056518555</v>
      </c>
      <c r="S2202" s="17" t="str">
        <f>HYPERLINK(AA2 &amp; "/pencil/sn_e5fe4dc1fe3dadf955991a951ebab66e/rendering/16.obj", "3.1678302002")</f>
        <v>3.1678302002</v>
      </c>
      <c r="T2202" s="74" t="str">
        <f>HYPERLINK(AA2 &amp; "/pencil/sn_e5fe4dc1fe3dadf955991a951ebab66e/rendering/17.obj", "3.06431518555")</f>
        <v>3.06431518555</v>
      </c>
      <c r="U2202" s="74" t="str">
        <f>HYPERLINK(AA2 &amp; "/pencil/sn_e5fe4dc1fe3dadf955991a951ebab66e/rendering/18.obj", "3.14626464844")</f>
        <v>3.14626464844</v>
      </c>
      <c r="V2202" s="13" t="str">
        <f>HYPERLINK(AA2 &amp; "/pencil/sn_e5fe4dc1fe3dadf955991a951ebab66e/rendering/19.obj", "3.09691467285")</f>
        <v>3.09691467285</v>
      </c>
      <c r="W2202" s="12" t="s">
        <v>29</v>
      </c>
      <c r="X2202" s="13">
        <v>3.104667572021484</v>
      </c>
      <c r="Y2202" s="13">
        <v>0.1033414912507097</v>
      </c>
      <c r="Z2202" s="72">
        <v>3.3285847471078163E-2</v>
      </c>
    </row>
    <row r="2203" spans="1:26" x14ac:dyDescent="0.2">
      <c r="A2203" s="1">
        <v>2201</v>
      </c>
      <c r="B2203" s="2" t="s">
        <v>473</v>
      </c>
      <c r="C2203" s="48" t="str">
        <f>HYPERLINK(AA2 &amp; "/pencil/sn_e5fe4dc1fe3dadf955991a951ebab66e/rendering/00.obj", "0.906105518341")</f>
        <v>0.906105518341</v>
      </c>
      <c r="D2203" s="73" t="str">
        <f>HYPERLINK(AA2 &amp; "/pencil/sn_e5fe4dc1fe3dadf955991a951ebab66e/rendering/01.obj", "0.960575938225")</f>
        <v>0.960575938225</v>
      </c>
      <c r="E2203" s="30" t="str">
        <f>HYPERLINK(AA2 &amp; "/pencil/sn_e5fe4dc1fe3dadf955991a951ebab66e/rendering/02.obj", "0.930796146393")</f>
        <v>0.930796146393</v>
      </c>
      <c r="F2203" s="60" t="str">
        <f>HYPERLINK(AA2 &amp; "/pencil/sn_e5fe4dc1fe3dadf955991a951ebab66e/rendering/03.obj", "0.878756403923")</f>
        <v>0.878756403923</v>
      </c>
      <c r="G2203" s="74" t="str">
        <f>HYPERLINK(AA2 &amp; "/pencil/sn_e5fe4dc1fe3dadf955991a951ebab66e/rendering/04.obj", "0.939696013927")</f>
        <v>0.939696013927</v>
      </c>
      <c r="H2203" s="91" t="str">
        <f>HYPERLINK(AA2 &amp; "/pencil/sn_e5fe4dc1fe3dadf955991a951ebab66e/rendering/05.obj", "0.9517557621")</f>
        <v>0.9517557621</v>
      </c>
      <c r="I2203" s="68" t="str">
        <f>HYPERLINK(AA2 &amp; "/pencil/sn_e5fe4dc1fe3dadf955991a951ebab66e/rendering/06.obj", "0.966909348965")</f>
        <v>0.966909348965</v>
      </c>
      <c r="J2203" s="10" t="str">
        <f>HYPERLINK(AA2 &amp; "/pencil/sn_e5fe4dc1fe3dadf955991a951ebab66e/rendering/07.obj", "0.978453218937")</f>
        <v>0.978453218937</v>
      </c>
      <c r="K2203" s="91" t="str">
        <f>HYPERLINK(AA2 &amp; "/pencil/sn_e5fe4dc1fe3dadf955991a951ebab66e/rendering/08.obj", "0.903475165367")</f>
        <v>0.903475165367</v>
      </c>
      <c r="L2203" s="35" t="str">
        <f>HYPERLINK(AA2 &amp; "/pencil/sn_e5fe4dc1fe3dadf955991a951ebab66e/rendering/09.obj", "0.874682724476")</f>
        <v>0.874682724476</v>
      </c>
      <c r="M2203" s="78" t="str">
        <f>HYPERLINK(AA2 &amp; "/pencil/sn_e5fe4dc1fe3dadf955991a951ebab66e/rendering/10.obj", "0.871133863926")</f>
        <v>0.871133863926</v>
      </c>
      <c r="N2203" s="73" t="str">
        <f>HYPERLINK(AA2 &amp; "/pencil/sn_e5fe4dc1fe3dadf955991a951ebab66e/rendering/11.obj", "0.892564356327")</f>
        <v>0.892564356327</v>
      </c>
      <c r="O2203" s="26" t="str">
        <f>HYPERLINK(AA2 &amp; "/pencil/sn_e5fe4dc1fe3dadf955991a951ebab66e/rendering/12.obj", "0.866371393204")</f>
        <v>0.866371393204</v>
      </c>
      <c r="P2203" s="34" t="str">
        <f>HYPERLINK(AA2 &amp; "/pencil/sn_e5fe4dc1fe3dadf955991a951ebab66e/rendering/13.obj", "0.973534226418")</f>
        <v>0.973534226418</v>
      </c>
      <c r="Q2203" s="110" t="str">
        <f>HYPERLINK(AA2 &amp; "/pencil/sn_e5fe4dc1fe3dadf955991a951ebab66e/rendering/14.obj", "1.0177526474")</f>
        <v>1.0177526474</v>
      </c>
      <c r="R2203" s="48" t="str">
        <f>HYPERLINK(AA2 &amp; "/pencil/sn_e5fe4dc1fe3dadf955991a951ebab66e/rendering/15.obj", "0.904834270477")</f>
        <v>0.904834270477</v>
      </c>
      <c r="S2203" s="91" t="str">
        <f>HYPERLINK(AA2 &amp; "/pencil/sn_e5fe4dc1fe3dadf955991a951ebab66e/rendering/16.obj", "0.903535306454")</f>
        <v>0.903535306454</v>
      </c>
      <c r="T2203" s="17" t="str">
        <f>HYPERLINK(AA2 &amp; "/pencil/sn_e5fe4dc1fe3dadf955991a951ebab66e/rendering/17.obj", "0.907999634743")</f>
        <v>0.907999634743</v>
      </c>
      <c r="U2203" s="51" t="str">
        <f>HYPERLINK(AA2 &amp; "/pencil/sn_e5fe4dc1fe3dadf955991a951ebab66e/rendering/18.obj", "1.00175273418")</f>
        <v>1.00175273418</v>
      </c>
      <c r="V2203" s="74" t="str">
        <f>HYPERLINK(AA2 &amp; "/pencil/sn_e5fe4dc1fe3dadf955991a951ebab66e/rendering/19.obj", "0.912662506104")</f>
        <v>0.912662506104</v>
      </c>
      <c r="W2203" s="12" t="s">
        <v>30</v>
      </c>
      <c r="X2203" s="13">
        <v>0.92716735899448399</v>
      </c>
      <c r="Y2203" s="13">
        <v>4.3468703607953851E-2</v>
      </c>
      <c r="Z2203" s="6">
        <v>4.688334116409771E-2</v>
      </c>
    </row>
    <row r="2204" spans="1:26" x14ac:dyDescent="0.2">
      <c r="A2204" s="1">
        <v>2202</v>
      </c>
      <c r="B2204" s="2" t="s">
        <v>473</v>
      </c>
      <c r="C2204" s="46" t="str">
        <f>HYPERLINK(AB2 &amp; "/pencil/sn_e5fe4dc1fe3dadf955991a951ebab66e/rendering/00.obj", "4.79956359863")</f>
        <v>4.79956359863</v>
      </c>
      <c r="D2204" s="30" t="str">
        <f>HYPERLINK(AB2 &amp; "/pencil/sn_e5fe4dc1fe3dadf955991a951ebab66e/rendering/01.obj", "4.90702423096")</f>
        <v>4.90702423096</v>
      </c>
      <c r="E2204" s="30" t="str">
        <f>HYPERLINK(AB2 &amp; "/pencil/sn_e5fe4dc1fe3dadf955991a951ebab66e/rendering/02.obj", "4.90235687256")</f>
        <v>4.90235687256</v>
      </c>
      <c r="F2204" s="91" t="str">
        <f>HYPERLINK(AB2 &amp; "/pencil/sn_e5fe4dc1fe3dadf955991a951ebab66e/rendering/03.obj", "4.75469268799")</f>
        <v>4.75469268799</v>
      </c>
      <c r="G2204" s="68" t="str">
        <f>HYPERLINK(AB2 &amp; "/pencil/sn_e5fe4dc1fe3dadf955991a951ebab66e/rendering/04.obj", "4.67186889648")</f>
        <v>4.67186889648</v>
      </c>
      <c r="H2204" s="72" t="str">
        <f>HYPERLINK(AB2 &amp; "/pencil/sn_e5fe4dc1fe3dadf955991a951ebab66e/rendering/05.obj", "5.03651092529")</f>
        <v>5.03651092529</v>
      </c>
      <c r="I2204" s="47" t="str">
        <f>HYPERLINK(AB2 &amp; "/pencil/sn_e5fe4dc1fe3dadf955991a951ebab66e/rendering/06.obj", "4.84321899414")</f>
        <v>4.84321899414</v>
      </c>
      <c r="J2204" s="48" t="str">
        <f>HYPERLINK(AB2 &amp; "/pencil/sn_e5fe4dc1fe3dadf955991a951ebab66e/rendering/07.obj", "4.99192260742")</f>
        <v>4.99192260742</v>
      </c>
      <c r="K2204" s="72" t="str">
        <f>HYPERLINK(AB2 &amp; "/pencil/sn_e5fe4dc1fe3dadf955991a951ebab66e/rendering/08.obj", "4.72079345703")</f>
        <v>4.72079345703</v>
      </c>
      <c r="L2204" s="6" t="str">
        <f>HYPERLINK(AB2 &amp; "/pencil/sn_e5fe4dc1fe3dadf955991a951ebab66e/rendering/09.obj", "5.09387207031")</f>
        <v>5.09387207031</v>
      </c>
      <c r="M2204" s="25" t="str">
        <f>HYPERLINK(AB2 &amp; "/pencil/sn_e5fe4dc1fe3dadf955991a951ebab66e/rendering/10.obj", "4.92701019287")</f>
        <v>4.92701019287</v>
      </c>
      <c r="N2204" s="13" t="str">
        <f>HYPERLINK(AB2 &amp; "/pencil/sn_e5fe4dc1fe3dadf955991a951ebab66e/rendering/11.obj", "4.89093933105")</f>
        <v>4.89093933105</v>
      </c>
      <c r="O2204" s="51" t="str">
        <f>HYPERLINK(AB2 &amp; "/pencil/sn_e5fe4dc1fe3dadf955991a951ebab66e/rendering/12.obj", "4.48753875732")</f>
        <v>4.48753875732</v>
      </c>
      <c r="P2204" s="74" t="str">
        <f>HYPERLINK(AB2 &amp; "/pencil/sn_e5fe4dc1fe3dadf955991a951ebab66e/rendering/13.obj", "4.94904022217")</f>
        <v>4.94904022217</v>
      </c>
      <c r="Q2204" s="47" t="str">
        <f>HYPERLINK(AB2 &amp; "/pencil/sn_e5fe4dc1fe3dadf955991a951ebab66e/rendering/14.obj", "4.84025390625")</f>
        <v>4.84025390625</v>
      </c>
      <c r="R2204" s="23" t="str">
        <f>HYPERLINK(AB2 &amp; "/pencil/sn_e5fe4dc1fe3dadf955991a951ebab66e/rendering/15.obj", "5.06806213379")</f>
        <v>5.06806213379</v>
      </c>
      <c r="S2204" s="30" t="str">
        <f>HYPERLINK(AB2 &amp; "/pencil/sn_e5fe4dc1fe3dadf955991a951ebab66e/rendering/16.obj", "4.85272460938")</f>
        <v>4.85272460938</v>
      </c>
      <c r="T2204" s="30" t="str">
        <f>HYPERLINK(AB2 &amp; "/pencil/sn_e5fe4dc1fe3dadf955991a951ebab66e/rendering/17.obj", "4.84844543457")</f>
        <v>4.84844543457</v>
      </c>
      <c r="U2204" s="17" t="str">
        <f>HYPERLINK(AB2 &amp; "/pencil/sn_e5fe4dc1fe3dadf955991a951ebab66e/rendering/18.obj", "4.78233520508")</f>
        <v>4.78233520508</v>
      </c>
      <c r="V2204" s="78" t="str">
        <f>HYPERLINK(AB2 &amp; "/pencil/sn_e5fe4dc1fe3dadf955991a951ebab66e/rendering/19.obj", "5.17454589844")</f>
        <v>5.17454589844</v>
      </c>
      <c r="W2204" s="12" t="s">
        <v>31</v>
      </c>
      <c r="X2204" s="13">
        <v>4.8771360015869138</v>
      </c>
      <c r="Y2204" s="13">
        <v>0.15364312724493401</v>
      </c>
      <c r="Z2204" s="72">
        <v>3.1502735866898487E-2</v>
      </c>
    </row>
    <row r="2205" spans="1:26" x14ac:dyDescent="0.2">
      <c r="A2205" s="1">
        <v>2203</v>
      </c>
      <c r="B2205" s="2" t="s">
        <v>473</v>
      </c>
      <c r="C2205" s="10" t="str">
        <f>HYPERLINK(AB2 &amp; "/pencil/sn_e5fe4dc1fe3dadf955991a951ebab66e/rendering/00.obj", "1.1582545042")</f>
        <v>1.1582545042</v>
      </c>
      <c r="D2205" s="68" t="str">
        <f>HYPERLINK(AB2 &amp; "/pencil/sn_e5fe4dc1fe3dadf955991a951ebab66e/rendering/01.obj", "1.17083179951")</f>
        <v>1.17083179951</v>
      </c>
      <c r="E2205" s="13" t="str">
        <f>HYPERLINK(AB2 &amp; "/pencil/sn_e5fe4dc1fe3dadf955991a951ebab66e/rendering/02.obj", "1.22235143185")</f>
        <v>1.22235143185</v>
      </c>
      <c r="F2205" s="48" t="str">
        <f>HYPERLINK(AB2 &amp; "/pencil/sn_e5fe4dc1fe3dadf955991a951ebab66e/rendering/03.obj", "1.19575583935")</f>
        <v>1.19575583935</v>
      </c>
      <c r="G2205" s="106" t="str">
        <f>HYPERLINK(AB2 &amp; "/pencil/sn_e5fe4dc1fe3dadf955991a951ebab66e/rendering/04.obj", "1.08523344994")</f>
        <v>1.08523344994</v>
      </c>
      <c r="H2205" s="5" t="str">
        <f>HYPERLINK(AB2 &amp; "/pencil/sn_e5fe4dc1fe3dadf955991a951ebab66e/rendering/05.obj", "1.31857585907")</f>
        <v>1.31857585907</v>
      </c>
      <c r="I2205" s="35" t="str">
        <f>HYPERLINK(AB2 &amp; "/pencil/sn_e5fe4dc1fe3dadf955991a951ebab66e/rendering/06.obj", "1.15381002426")</f>
        <v>1.15381002426</v>
      </c>
      <c r="J2205" s="10" t="str">
        <f>HYPERLINK(AB2 &amp; "/pencil/sn_e5fe4dc1fe3dadf955991a951ebab66e/rendering/07.obj", "1.29039955139")</f>
        <v>1.29039955139</v>
      </c>
      <c r="K2205" s="69" t="str">
        <f>HYPERLINK(AB2 &amp; "/pencil/sn_e5fe4dc1fe3dadf955991a951ebab66e/rendering/08.obj", "1.25999677181")</f>
        <v>1.25999677181</v>
      </c>
      <c r="L2205" s="5" t="str">
        <f>HYPERLINK(AB2 &amp; "/pencil/sn_e5fe4dc1fe3dadf955991a951ebab66e/rendering/09.obj", "1.31777119637")</f>
        <v>1.31777119637</v>
      </c>
      <c r="M2205" s="78" t="str">
        <f>HYPERLINK(AB2 &amp; "/pencil/sn_e5fe4dc1fe3dadf955991a951ebab66e/rendering/10.obj", "1.14748430252")</f>
        <v>1.14748430252</v>
      </c>
      <c r="N2205" s="46" t="str">
        <f>HYPERLINK(AB2 &amp; "/pencil/sn_e5fe4dc1fe3dadf955991a951ebab66e/rendering/11.obj", "1.24461817741")</f>
        <v>1.24461817741</v>
      </c>
      <c r="O2205" s="82" t="str">
        <f>HYPERLINK(AB2 &amp; "/pencil/sn_e5fe4dc1fe3dadf955991a951ebab66e/rendering/12.obj", "0.972243249416")</f>
        <v>0.972243249416</v>
      </c>
      <c r="P2205" s="23" t="str">
        <f>HYPERLINK(AB2 &amp; "/pencil/sn_e5fe4dc1fe3dadf955991a951ebab66e/rendering/13.obj", "1.27368831635")</f>
        <v>1.27368831635</v>
      </c>
      <c r="Q2205" s="69" t="str">
        <f>HYPERLINK(AB2 &amp; "/pencil/sn_e5fe4dc1fe3dadf955991a951ebab66e/rendering/14.obj", "1.25942015648")</f>
        <v>1.25942015648</v>
      </c>
      <c r="R2205" s="77" t="str">
        <f>HYPERLINK(AB2 &amp; "/pencil/sn_e5fe4dc1fe3dadf955991a951ebab66e/rendering/15.obj", "1.45333588123")</f>
        <v>1.45333588123</v>
      </c>
      <c r="S2205" s="6" t="str">
        <f>HYPERLINK(AB2 &amp; "/pencil/sn_e5fe4dc1fe3dadf955991a951ebab66e/rendering/16.obj", "1.16646409035")</f>
        <v>1.16646409035</v>
      </c>
      <c r="T2205" s="34" t="str">
        <f>HYPERLINK(AB2 &amp; "/pencil/sn_e5fe4dc1fe3dadf955991a951ebab66e/rendering/17.obj", "1.28463697433")</f>
        <v>1.28463697433</v>
      </c>
      <c r="U2205" s="28" t="str">
        <f>HYPERLINK(AB2 &amp; "/pencil/sn_e5fe4dc1fe3dadf955991a951ebab66e/rendering/18.obj", "1.08626532555")</f>
        <v>1.08626532555</v>
      </c>
      <c r="V2205" s="79" t="str">
        <f>HYPERLINK(AB2 &amp; "/pencil/sn_e5fe4dc1fe3dadf955991a951ebab66e/rendering/19.obj", "1.41668474674")</f>
        <v>1.41668474674</v>
      </c>
      <c r="W2205" s="12" t="s">
        <v>32</v>
      </c>
      <c r="X2205" s="13">
        <v>1.2238910824060441</v>
      </c>
      <c r="Y2205" s="13">
        <v>0.1105983246875539</v>
      </c>
      <c r="Z2205" s="38">
        <v>9.036614963329008E-2</v>
      </c>
    </row>
    <row r="2206" spans="1:26" x14ac:dyDescent="0.2">
      <c r="A2206" s="1">
        <v>2204</v>
      </c>
      <c r="B2206" s="2" t="s">
        <v>473</v>
      </c>
      <c r="C2206" s="13" t="str">
        <f>HYPERLINK(AC2 &amp; "/pencil/sn_e5fe4dc1fe3dadf955991a951ebab66e/rendering/00.xyz", "0.0")</f>
        <v>0.0</v>
      </c>
      <c r="D2206" s="13" t="str">
        <f>HYPERLINK(AC2 &amp; "/pencil/sn_e5fe4dc1fe3dadf955991a951ebab66e/rendering/01.xyz", "0.0")</f>
        <v>0.0</v>
      </c>
      <c r="E2206" s="13" t="str">
        <f>HYPERLINK(AC2 &amp; "/pencil/sn_e5fe4dc1fe3dadf955991a951ebab66e/rendering/02.xyz", "0.0")</f>
        <v>0.0</v>
      </c>
      <c r="F2206" s="13" t="str">
        <f>HYPERLINK(AC2 &amp; "/pencil/sn_e5fe4dc1fe3dadf955991a951ebab66e/rendering/03.xyz", "0.0")</f>
        <v>0.0</v>
      </c>
      <c r="G2206" s="13" t="str">
        <f>HYPERLINK(AC2 &amp; "/pencil/sn_e5fe4dc1fe3dadf955991a951ebab66e/rendering/04.xyz", "0.0")</f>
        <v>0.0</v>
      </c>
      <c r="H2206" s="13" t="str">
        <f>HYPERLINK(AC2 &amp; "/pencil/sn_e5fe4dc1fe3dadf955991a951ebab66e/rendering/05.xyz", "0.0")</f>
        <v>0.0</v>
      </c>
      <c r="I2206" s="13" t="str">
        <f>HYPERLINK(AC2 &amp; "/pencil/sn_e5fe4dc1fe3dadf955991a951ebab66e/rendering/06.xyz", "0.0")</f>
        <v>0.0</v>
      </c>
      <c r="J2206" s="13" t="str">
        <f>HYPERLINK(AC2 &amp; "/pencil/sn_e5fe4dc1fe3dadf955991a951ebab66e/rendering/07.xyz", "0.0")</f>
        <v>0.0</v>
      </c>
      <c r="K2206" s="13" t="str">
        <f>HYPERLINK(AC2 &amp; "/pencil/sn_e5fe4dc1fe3dadf955991a951ebab66e/rendering/08.xyz", "0.0")</f>
        <v>0.0</v>
      </c>
      <c r="L2206" s="13" t="str">
        <f>HYPERLINK(AC2 &amp; "/pencil/sn_e5fe4dc1fe3dadf955991a951ebab66e/rendering/09.xyz", "0.0")</f>
        <v>0.0</v>
      </c>
      <c r="M2206" s="13" t="str">
        <f>HYPERLINK(AC2 &amp; "/pencil/sn_e5fe4dc1fe3dadf955991a951ebab66e/rendering/10.xyz", "0.0")</f>
        <v>0.0</v>
      </c>
      <c r="N2206" s="13" t="str">
        <f>HYPERLINK(AC2 &amp; "/pencil/sn_e5fe4dc1fe3dadf955991a951ebab66e/rendering/11.xyz", "0.0")</f>
        <v>0.0</v>
      </c>
      <c r="O2206" s="13" t="str">
        <f>HYPERLINK(AC2 &amp; "/pencil/sn_e5fe4dc1fe3dadf955991a951ebab66e/rendering/12.xyz", "0.0")</f>
        <v>0.0</v>
      </c>
      <c r="P2206" s="13" t="str">
        <f>HYPERLINK(AC2 &amp; "/pencil/sn_e5fe4dc1fe3dadf955991a951ebab66e/rendering/13.xyz", "0.0")</f>
        <v>0.0</v>
      </c>
      <c r="Q2206" s="13" t="str">
        <f>HYPERLINK(AC2 &amp; "/pencil/sn_e5fe4dc1fe3dadf955991a951ebab66e/rendering/14.xyz", "0.0")</f>
        <v>0.0</v>
      </c>
      <c r="R2206" s="13" t="str">
        <f>HYPERLINK(AC2 &amp; "/pencil/sn_e5fe4dc1fe3dadf955991a951ebab66e/rendering/15.xyz", "0.0")</f>
        <v>0.0</v>
      </c>
      <c r="S2206" s="13" t="str">
        <f>HYPERLINK(AC2 &amp; "/pencil/sn_e5fe4dc1fe3dadf955991a951ebab66e/rendering/16.xyz", "0.0")</f>
        <v>0.0</v>
      </c>
      <c r="T2206" s="13" t="str">
        <f>HYPERLINK(AC2 &amp; "/pencil/sn_e5fe4dc1fe3dadf955991a951ebab66e/rendering/17.xyz", "0.0")</f>
        <v>0.0</v>
      </c>
      <c r="U2206" s="13" t="str">
        <f>HYPERLINK(AC2 &amp; "/pencil/sn_e5fe4dc1fe3dadf955991a951ebab66e/rendering/18.xyz", "0.0")</f>
        <v>0.0</v>
      </c>
      <c r="V2206" s="13" t="str">
        <f>HYPERLINK(AC2 &amp; "/pencil/sn_e5fe4dc1fe3dadf955991a951ebab66e/rendering/19.xyz", "0.0")</f>
        <v>0.0</v>
      </c>
      <c r="W2206" s="12" t="s">
        <v>33</v>
      </c>
      <c r="X2206" s="13">
        <v>0</v>
      </c>
      <c r="Y2206" s="13">
        <v>0</v>
      </c>
      <c r="Z2206" s="13">
        <v>0</v>
      </c>
    </row>
    <row r="2207" spans="1:26" x14ac:dyDescent="0.2">
      <c r="A2207" s="1">
        <v>2205</v>
      </c>
      <c r="B2207" s="2" t="s">
        <v>474</v>
      </c>
      <c r="C2207" s="70" t="str">
        <f>HYPERLINK(AA2 &amp; "/pencil/sn_e8052c58c50d22dff9141b0ebfe81fea/rendering/00.obj", "2.73981628418")</f>
        <v>2.73981628418</v>
      </c>
      <c r="D2207" s="6" t="str">
        <f>HYPERLINK(AA2 &amp; "/pencil/sn_e8052c58c50d22dff9141b0ebfe81fea/rendering/01.obj", "3.28005401611")</f>
        <v>3.28005401611</v>
      </c>
      <c r="E2207" s="34" t="str">
        <f>HYPERLINK(AA2 &amp; "/pencil/sn_e8052c58c50d22dff9141b0ebfe81fea/rendering/02.obj", "3.29187744141")</f>
        <v>3.29187744141</v>
      </c>
      <c r="F2207" s="25" t="str">
        <f>HYPERLINK(AA2 &amp; "/pencil/sn_e8052c58c50d22dff9141b0ebfe81fea/rendering/03.obj", "3.17529846191")</f>
        <v>3.17529846191</v>
      </c>
      <c r="G2207" s="35" t="str">
        <f>HYPERLINK(AA2 &amp; "/pencil/sn_e8052c58c50d22dff9141b0ebfe81fea/rendering/04.obj", "3.32127380371")</f>
        <v>3.32127380371</v>
      </c>
      <c r="H2207" s="92" t="str">
        <f>HYPERLINK(AA2 &amp; "/pencil/sn_e8052c58c50d22dff9141b0ebfe81fea/rendering/05.obj", "2.74796813965")</f>
        <v>2.74796813965</v>
      </c>
      <c r="I2207" s="60" t="str">
        <f>HYPERLINK(AA2 &amp; "/pencil/sn_e8052c58c50d22dff9141b0ebfe81fea/rendering/06.obj", "3.30289489746")</f>
        <v>3.30289489746</v>
      </c>
      <c r="J2207" s="28" t="str">
        <f>HYPERLINK(AA2 &amp; "/pencil/sn_e8052c58c50d22dff9141b0ebfe81fea/rendering/07.obj", "2.78601867676")</f>
        <v>2.78601867676</v>
      </c>
      <c r="K2207" s="34" t="str">
        <f>HYPERLINK(AA2 &amp; "/pencil/sn_e8052c58c50d22dff9141b0ebfe81fea/rendering/08.obj", "2.98734558105")</f>
        <v>2.98734558105</v>
      </c>
      <c r="L2207" s="33" t="str">
        <f>HYPERLINK(AA2 &amp; "/pencil/sn_e8052c58c50d22dff9141b0ebfe81fea/rendering/09.obj", "2.79677734375")</f>
        <v>2.79677734375</v>
      </c>
      <c r="M2207" s="63" t="str">
        <f>HYPERLINK(AA2 &amp; "/pencil/sn_e8052c58c50d22dff9141b0ebfe81fea/rendering/10.obj", "2.75716247559")</f>
        <v>2.75716247559</v>
      </c>
      <c r="N2207" s="64" t="str">
        <f>HYPERLINK(AA2 &amp; "/pencil/sn_e8052c58c50d22dff9141b0ebfe81fea/rendering/11.obj", "3.65045776367")</f>
        <v>3.65045776367</v>
      </c>
      <c r="O2207" s="71" t="str">
        <f>HYPERLINK(AA2 &amp; "/pencil/sn_e8052c58c50d22dff9141b0ebfe81fea/rendering/12.obj", "2.7715512085")</f>
        <v>2.7715512085</v>
      </c>
      <c r="P2207" s="74" t="str">
        <f>HYPERLINK(AA2 &amp; "/pencil/sn_e8052c58c50d22dff9141b0ebfe81fea/rendering/13.obj", "3.18315246582")</f>
        <v>3.18315246582</v>
      </c>
      <c r="Q2207" s="78" t="str">
        <f>HYPERLINK(AA2 &amp; "/pencil/sn_e8052c58c50d22dff9141b0ebfe81fea/rendering/14.obj", "3.32649993896")</f>
        <v>3.32649993896</v>
      </c>
      <c r="R2207" s="107" t="str">
        <f>HYPERLINK(AA2 &amp; "/pencil/sn_e8052c58c50d22dff9141b0ebfe81fea/rendering/15.obj", "3.40005371094")</f>
        <v>3.40005371094</v>
      </c>
      <c r="S2207" s="33" t="str">
        <f>HYPERLINK(AA2 &amp; "/pencil/sn_e8052c58c50d22dff9141b0ebfe81fea/rendering/16.obj", "2.80237060547")</f>
        <v>2.80237060547</v>
      </c>
      <c r="T2207" s="6" t="str">
        <f>HYPERLINK(AA2 &amp; "/pencil/sn_e8052c58c50d22dff9141b0ebfe81fea/rendering/17.obj", "3.28118225098")</f>
        <v>3.28118225098</v>
      </c>
      <c r="U2207" s="108" t="str">
        <f>HYPERLINK(AA2 &amp; "/pencil/sn_e8052c58c50d22dff9141b0ebfe81fea/rendering/18.obj", "3.91049133301")</f>
        <v>3.91049133301</v>
      </c>
      <c r="V2207" s="69" t="str">
        <f>HYPERLINK(AA2 &amp; "/pencil/sn_e8052c58c50d22dff9141b0ebfe81fea/rendering/19.obj", "3.22986816406")</f>
        <v>3.22986816406</v>
      </c>
      <c r="W2207" s="12" t="s">
        <v>29</v>
      </c>
      <c r="X2207" s="13">
        <v>3.137105728149415</v>
      </c>
      <c r="Y2207" s="13">
        <v>0.32142004595082102</v>
      </c>
      <c r="Z2207" s="133">
        <v>0.1024575114146463</v>
      </c>
    </row>
    <row r="2208" spans="1:26" x14ac:dyDescent="0.2">
      <c r="A2208" s="1">
        <v>2206</v>
      </c>
      <c r="B2208" s="2" t="s">
        <v>474</v>
      </c>
      <c r="C2208" s="51" t="str">
        <f>HYPERLINK(AA2 &amp; "/pencil/sn_e8052c58c50d22dff9141b0ebfe81fea/rendering/00.obj", "0.777235865593")</f>
        <v>0.777235865593</v>
      </c>
      <c r="D2208" s="35" t="str">
        <f>HYPERLINK(AA2 &amp; "/pencil/sn_e8052c58c50d22dff9141b0ebfe81fea/rendering/01.obj", "0.795653343201")</f>
        <v>0.795653343201</v>
      </c>
      <c r="E2208" s="26" t="str">
        <f>HYPERLINK(AA2 &amp; "/pencil/sn_e8052c58c50d22dff9141b0ebfe81fea/rendering/02.obj", "0.791177928448")</f>
        <v>0.791177928448</v>
      </c>
      <c r="F2208" s="106" t="str">
        <f>HYPERLINK(AA2 &amp; "/pencil/sn_e8052c58c50d22dff9141b0ebfe81fea/rendering/03.obj", "0.940773248672")</f>
        <v>0.940773248672</v>
      </c>
      <c r="G2208" s="5" t="str">
        <f>HYPERLINK(AA2 &amp; "/pencil/sn_e8052c58c50d22dff9141b0ebfe81fea/rendering/04.obj", "0.780331134796")</f>
        <v>0.780331134796</v>
      </c>
      <c r="H2208" s="92" t="str">
        <f>HYPERLINK(AA2 &amp; "/pencil/sn_e8052c58c50d22dff9141b0ebfe81fea/rendering/05.obj", "0.7414290905")</f>
        <v>0.7414290905</v>
      </c>
      <c r="I2208" s="6" t="str">
        <f>HYPERLINK(AA2 &amp; "/pencil/sn_e8052c58c50d22dff9141b0ebfe81fea/rendering/06.obj", "0.80592083931")</f>
        <v>0.80592083931</v>
      </c>
      <c r="J2208" s="27" t="str">
        <f>HYPERLINK(AA2 &amp; "/pencil/sn_e8052c58c50d22dff9141b0ebfe81fea/rendering/07.obj", "0.784860014915")</f>
        <v>0.784860014915</v>
      </c>
      <c r="K2208" s="25" t="str">
        <f>HYPERLINK(AA2 &amp; "/pencil/sn_e8052c58c50d22dff9141b0ebfe81fea/rendering/08.obj", "0.853128910065")</f>
        <v>0.853128910065</v>
      </c>
      <c r="L2208" s="27" t="str">
        <f>HYPERLINK(AA2 &amp; "/pencil/sn_e8052c58c50d22dff9141b0ebfe81fea/rendering/09.obj", "0.784187972546")</f>
        <v>0.784187972546</v>
      </c>
      <c r="M2208" s="67" t="str">
        <f>HYPERLINK(AA2 &amp; "/pencil/sn_e8052c58c50d22dff9141b0ebfe81fea/rendering/10.obj", "0.76677685976")</f>
        <v>0.76677685976</v>
      </c>
      <c r="N2208" s="53" t="str">
        <f>HYPERLINK(AA2 &amp; "/pencil/sn_e8052c58c50d22dff9141b0ebfe81fea/rendering/11.obj", "1.1923801899")</f>
        <v>1.1923801899</v>
      </c>
      <c r="O2208" s="92" t="str">
        <f>HYPERLINK(AA2 &amp; "/pencil/sn_e8052c58c50d22dff9141b0ebfe81fea/rendering/12.obj", "0.739057898521")</f>
        <v>0.739057898521</v>
      </c>
      <c r="P2208" s="63" t="str">
        <f>HYPERLINK(AA2 &amp; "/pencil/sn_e8052c58c50d22dff9141b0ebfe81fea/rendering/13.obj", "0.742857933044")</f>
        <v>0.742857933044</v>
      </c>
      <c r="Q2208" s="35" t="str">
        <f>HYPERLINK(AA2 &amp; "/pencil/sn_e8052c58c50d22dff9141b0ebfe81fea/rendering/14.obj", "0.796863377094")</f>
        <v>0.796863377094</v>
      </c>
      <c r="R2208" s="26" t="str">
        <f>HYPERLINK(AA2 &amp; "/pencil/sn_e8052c58c50d22dff9141b0ebfe81fea/rendering/15.obj", "0.8988301754")</f>
        <v>0.8988301754</v>
      </c>
      <c r="S2208" s="74" t="str">
        <f>HYPERLINK(AA2 &amp; "/pencil/sn_e8052c58c50d22dff9141b0ebfe81fea/rendering/16.obj", "0.857849895954")</f>
        <v>0.857849895954</v>
      </c>
      <c r="T2208" s="5" t="str">
        <f>HYPERLINK(AA2 &amp; "/pencil/sn_e8052c58c50d22dff9141b0ebfe81fea/rendering/17.obj", "0.781155228615")</f>
        <v>0.781155228615</v>
      </c>
      <c r="U2208" s="195" t="str">
        <f>HYPERLINK(AA2 &amp; "/pencil/sn_e8052c58c50d22dff9141b0ebfe81fea/rendering/18.obj", "1.30686700344")</f>
        <v>1.30686700344</v>
      </c>
      <c r="V2208" s="133" t="str">
        <f>HYPERLINK(AA2 &amp; "/pencil/sn_e8052c58c50d22dff9141b0ebfe81fea/rendering/19.obj", "0.759832799435")</f>
        <v>0.759832799435</v>
      </c>
      <c r="W2208" s="12" t="s">
        <v>30</v>
      </c>
      <c r="X2208" s="13">
        <v>0.84485848546028142</v>
      </c>
      <c r="Y2208" s="13">
        <v>0.14515378756592831</v>
      </c>
      <c r="Z2208" s="40">
        <v>0.17180840349475579</v>
      </c>
    </row>
    <row r="2209" spans="1:26" x14ac:dyDescent="0.2">
      <c r="A2209" s="1">
        <v>2207</v>
      </c>
      <c r="B2209" s="2" t="s">
        <v>474</v>
      </c>
      <c r="C2209" s="73" t="str">
        <f>HYPERLINK(AB2 &amp; "/pencil/sn_e8052c58c50d22dff9141b0ebfe81fea/rendering/00.obj", "4.84036560059")</f>
        <v>4.84036560059</v>
      </c>
      <c r="D2209" s="69" t="str">
        <f>HYPERLINK(AB2 &amp; "/pencil/sn_e8052c58c50d22dff9141b0ebfe81fea/rendering/01.obj", "5.16363098145")</f>
        <v>5.16363098145</v>
      </c>
      <c r="E2209" s="68" t="str">
        <f>HYPERLINK(AB2 &amp; "/pencil/sn_e8052c58c50d22dff9141b0ebfe81fea/rendering/02.obj", "5.23314697266")</f>
        <v>5.23314697266</v>
      </c>
      <c r="F2209" s="30" t="str">
        <f>HYPERLINK(AB2 &amp; "/pencil/sn_e8052c58c50d22dff9141b0ebfe81fea/rendering/03.obj", "5.03185119629")</f>
        <v>5.03185119629</v>
      </c>
      <c r="G2209" s="73" t="str">
        <f>HYPERLINK(AB2 &amp; "/pencil/sn_e8052c58c50d22dff9141b0ebfe81fea/rendering/04.obj", "5.19037475586")</f>
        <v>5.19037475586</v>
      </c>
      <c r="H2209" s="30" t="str">
        <f>HYPERLINK(AB2 &amp; "/pencil/sn_e8052c58c50d22dff9141b0ebfe81fea/rendering/05.obj", "4.98534362793")</f>
        <v>4.98534362793</v>
      </c>
      <c r="I2209" s="47" t="str">
        <f>HYPERLINK(AB2 &amp; "/pencil/sn_e8052c58c50d22dff9141b0ebfe81fea/rendering/06.obj", "5.04825561523")</f>
        <v>5.04825561523</v>
      </c>
      <c r="J2209" s="23" t="str">
        <f>HYPERLINK(AB2 &amp; "/pencil/sn_e8052c58c50d22dff9141b0ebfe81fea/rendering/07.obj", "4.82265472412")</f>
        <v>4.82265472412</v>
      </c>
      <c r="K2209" s="72" t="str">
        <f>HYPERLINK(AB2 &amp; "/pencil/sn_e8052c58c50d22dff9141b0ebfe81fea/rendering/08.obj", "4.84545715332")</f>
        <v>4.84545715332</v>
      </c>
      <c r="L2209" s="68" t="str">
        <f>HYPERLINK(AB2 &amp; "/pencil/sn_e8052c58c50d22dff9141b0ebfe81fea/rendering/09.obj", "4.79620422363")</f>
        <v>4.79620422363</v>
      </c>
      <c r="M2209" s="23" t="str">
        <f>HYPERLINK(AB2 &amp; "/pencil/sn_e8052c58c50d22dff9141b0ebfe81fea/rendering/10.obj", "4.82089111328")</f>
        <v>4.82089111328</v>
      </c>
      <c r="N2209" s="47" t="str">
        <f>HYPERLINK(AB2 &amp; "/pencil/sn_e8052c58c50d22dff9141b0ebfe81fea/rendering/11.obj", "5.05454345703")</f>
        <v>5.05454345703</v>
      </c>
      <c r="O2209" s="25" t="str">
        <f>HYPERLINK(AB2 &amp; "/pencil/sn_e8052c58c50d22dff9141b0ebfe81fea/rendering/12.obj", "4.96720031738")</f>
        <v>4.96720031738</v>
      </c>
      <c r="P2209" s="73" t="str">
        <f>HYPERLINK(AB2 &amp; "/pencil/sn_e8052c58c50d22dff9141b0ebfe81fea/rendering/13.obj", "5.19708129883")</f>
        <v>5.19708129883</v>
      </c>
      <c r="Q2209" s="13" t="str">
        <f>HYPERLINK(AB2 &amp; "/pencil/sn_e8052c58c50d22dff9141b0ebfe81fea/rendering/14.obj", "5.00839569092")</f>
        <v>5.00839569092</v>
      </c>
      <c r="R2209" s="17" t="str">
        <f>HYPERLINK(AB2 &amp; "/pencil/sn_e8052c58c50d22dff9141b0ebfe81fea/rendering/15.obj", "4.90657226562")</f>
        <v>4.90657226562</v>
      </c>
      <c r="S2209" s="46" t="str">
        <f>HYPERLINK(AB2 &amp; "/pencil/sn_e8052c58c50d22dff9141b0ebfe81fea/rendering/16.obj", "4.93217803955")</f>
        <v>4.93217803955</v>
      </c>
      <c r="T2209" s="68" t="str">
        <f>HYPERLINK(AB2 &amp; "/pencil/sn_e8052c58c50d22dff9141b0ebfe81fea/rendering/17.obj", "5.23362060547")</f>
        <v>5.23362060547</v>
      </c>
      <c r="U2209" s="72" t="str">
        <f>HYPERLINK(AB2 &amp; "/pencil/sn_e8052c58c50d22dff9141b0ebfe81fea/rendering/18.obj", "5.18714782715")</f>
        <v>5.18714782715</v>
      </c>
      <c r="V2209" s="30" t="str">
        <f>HYPERLINK(AB2 &amp; "/pencil/sn_e8052c58c50d22dff9141b0ebfe81fea/rendering/19.obj", "5.04202270508")</f>
        <v>5.04202270508</v>
      </c>
      <c r="W2209" s="12" t="s">
        <v>31</v>
      </c>
      <c r="X2209" s="13">
        <v>5.0153469085693354</v>
      </c>
      <c r="Y2209" s="13">
        <v>0.14462242330771041</v>
      </c>
      <c r="Z2209" s="69">
        <v>2.8835976043971211E-2</v>
      </c>
    </row>
    <row r="2210" spans="1:26" x14ac:dyDescent="0.2">
      <c r="A2210" s="1">
        <v>2208</v>
      </c>
      <c r="B2210" s="2" t="s">
        <v>474</v>
      </c>
      <c r="C2210" s="117" t="str">
        <f>HYPERLINK(AB2 &amp; "/pencil/sn_e8052c58c50d22dff9141b0ebfe81fea/rendering/00.obj", "0.982373952866")</f>
        <v>0.982373952866</v>
      </c>
      <c r="D2210" s="120" t="str">
        <f>HYPERLINK(AB2 &amp; "/pencil/sn_e8052c58c50d22dff9141b0ebfe81fea/rendering/01.obj", "1.44569551945")</f>
        <v>1.44569551945</v>
      </c>
      <c r="E2210" s="64" t="str">
        <f>HYPERLINK(AB2 &amp; "/pencil/sn_e8052c58c50d22dff9141b0ebfe81fea/rendering/02.obj", "1.3899834156")</f>
        <v>1.3899834156</v>
      </c>
      <c r="F2210" s="68" t="str">
        <f>HYPERLINK(AB2 &amp; "/pencil/sn_e8052c58c50d22dff9141b0ebfe81fea/rendering/03.obj", "1.14176797867")</f>
        <v>1.14176797867</v>
      </c>
      <c r="G2210" s="63" t="str">
        <f>HYPERLINK(AB2 &amp; "/pencil/sn_e8052c58c50d22dff9141b0ebfe81fea/rendering/04.obj", "1.33893573284")</f>
        <v>1.33893573284</v>
      </c>
      <c r="H2210" s="63" t="str">
        <f>HYPERLINK(AB2 &amp; "/pencil/sn_e8052c58c50d22dff9141b0ebfe81fea/rendering/05.obj", "1.3363969326")</f>
        <v>1.3363969326</v>
      </c>
      <c r="I2210" s="48" t="str">
        <f>HYPERLINK(AB2 &amp; "/pencil/sn_e8052c58c50d22dff9141b0ebfe81fea/rendering/06.obj", "1.16417598724")</f>
        <v>1.16417598724</v>
      </c>
      <c r="J2210" s="64" t="str">
        <f>HYPERLINK(AB2 &amp; "/pencil/sn_e8052c58c50d22dff9141b0ebfe81fea/rendering/07.obj", "0.99769371748")</f>
        <v>0.99769371748</v>
      </c>
      <c r="K2210" s="38" t="str">
        <f>HYPERLINK(AB2 &amp; "/pencil/sn_e8052c58c50d22dff9141b0ebfe81fea/rendering/08.obj", "1.0880202055")</f>
        <v>1.0880202055</v>
      </c>
      <c r="L2210" s="64" t="str">
        <f>HYPERLINK(AB2 &amp; "/pencil/sn_e8052c58c50d22dff9141b0ebfe81fea/rendering/09.obj", "0.995044052601")</f>
        <v>0.995044052601</v>
      </c>
      <c r="M2210" s="76" t="str">
        <f>HYPERLINK(AB2 &amp; "/pencil/sn_e8052c58c50d22dff9141b0ebfe81fea/rendering/10.obj", "0.974390625954")</f>
        <v>0.974390625954</v>
      </c>
      <c r="N2210" s="25" t="str">
        <f>HYPERLINK(AB2 &amp; "/pencil/sn_e8052c58c50d22dff9141b0ebfe81fea/rendering/11.obj", "1.18053209782")</f>
        <v>1.18053209782</v>
      </c>
      <c r="O2210" s="68" t="str">
        <f>HYPERLINK(AB2 &amp; "/pencil/sn_e8052c58c50d22dff9141b0ebfe81fea/rendering/12.obj", "1.24381482601")</f>
        <v>1.24381482601</v>
      </c>
      <c r="P2210" s="28" t="str">
        <f>HYPERLINK(AB2 &amp; "/pencil/sn_e8052c58c50d22dff9141b0ebfe81fea/rendering/13.obj", "1.32709360123")</f>
        <v>1.32709360123</v>
      </c>
      <c r="Q2210" s="10" t="str">
        <f>HYPERLINK(AB2 &amp; "/pencil/sn_e8052c58c50d22dff9141b0ebfe81fea/rendering/14.obj", "1.12926673889")</f>
        <v>1.12926673889</v>
      </c>
      <c r="R2210" s="79" t="str">
        <f>HYPERLINK(AB2 &amp; "/pencil/sn_e8052c58c50d22dff9141b0ebfe81fea/rendering/15.obj", "1.00476133823")</f>
        <v>1.00476133823</v>
      </c>
      <c r="S2210" s="48" t="str">
        <f>HYPERLINK(AB2 &amp; "/pencil/sn_e8052c58c50d22dff9141b0ebfe81fea/rendering/16.obj", "1.2202937603")</f>
        <v>1.2202937603</v>
      </c>
      <c r="T2210" s="55" t="str">
        <f>HYPERLINK(AB2 &amp; "/pencil/sn_e8052c58c50d22dff9141b0ebfe81fea/rendering/17.obj", "1.42354679108")</f>
        <v>1.42354679108</v>
      </c>
      <c r="U2210" s="5" t="str">
        <f>HYPERLINK(AB2 &amp; "/pencil/sn_e8052c58c50d22dff9141b0ebfe81fea/rendering/18.obj", "1.28407490253")</f>
        <v>1.28407490253</v>
      </c>
      <c r="V2210" s="47" t="str">
        <f>HYPERLINK(AB2 &amp; "/pencil/sn_e8052c58c50d22dff9141b0ebfe81fea/rendering/19.obj", "1.2014632225")</f>
        <v>1.2014632225</v>
      </c>
      <c r="W2210" s="12" t="s">
        <v>32</v>
      </c>
      <c r="X2210" s="13">
        <v>1.1934662699699401</v>
      </c>
      <c r="Y2210" s="13">
        <v>0.15015846657009649</v>
      </c>
      <c r="Z2210" s="70">
        <v>0.125817101285886</v>
      </c>
    </row>
    <row r="2211" spans="1:26" x14ac:dyDescent="0.2">
      <c r="A2211" s="1">
        <v>2209</v>
      </c>
      <c r="B2211" s="2" t="s">
        <v>474</v>
      </c>
      <c r="C2211" s="13" t="str">
        <f>HYPERLINK(AC2 &amp; "/pencil/sn_e8052c58c50d22dff9141b0ebfe81fea/rendering/00.xyz", "0.0")</f>
        <v>0.0</v>
      </c>
      <c r="D2211" s="13" t="str">
        <f>HYPERLINK(AC2 &amp; "/pencil/sn_e8052c58c50d22dff9141b0ebfe81fea/rendering/01.xyz", "0.0")</f>
        <v>0.0</v>
      </c>
      <c r="E2211" s="13" t="str">
        <f>HYPERLINK(AC2 &amp; "/pencil/sn_e8052c58c50d22dff9141b0ebfe81fea/rendering/02.xyz", "0.0")</f>
        <v>0.0</v>
      </c>
      <c r="F2211" s="13" t="str">
        <f>HYPERLINK(AC2 &amp; "/pencil/sn_e8052c58c50d22dff9141b0ebfe81fea/rendering/03.xyz", "0.0")</f>
        <v>0.0</v>
      </c>
      <c r="G2211" s="13" t="str">
        <f>HYPERLINK(AC2 &amp; "/pencil/sn_e8052c58c50d22dff9141b0ebfe81fea/rendering/04.xyz", "0.0")</f>
        <v>0.0</v>
      </c>
      <c r="H2211" s="13" t="str">
        <f>HYPERLINK(AC2 &amp; "/pencil/sn_e8052c58c50d22dff9141b0ebfe81fea/rendering/05.xyz", "0.0")</f>
        <v>0.0</v>
      </c>
      <c r="I2211" s="13" t="str">
        <f>HYPERLINK(AC2 &amp; "/pencil/sn_e8052c58c50d22dff9141b0ebfe81fea/rendering/06.xyz", "0.0")</f>
        <v>0.0</v>
      </c>
      <c r="J2211" s="13" t="str">
        <f>HYPERLINK(AC2 &amp; "/pencil/sn_e8052c58c50d22dff9141b0ebfe81fea/rendering/07.xyz", "0.0")</f>
        <v>0.0</v>
      </c>
      <c r="K2211" s="13" t="str">
        <f>HYPERLINK(AC2 &amp; "/pencil/sn_e8052c58c50d22dff9141b0ebfe81fea/rendering/08.xyz", "0.0")</f>
        <v>0.0</v>
      </c>
      <c r="L2211" s="13" t="str">
        <f>HYPERLINK(AC2 &amp; "/pencil/sn_e8052c58c50d22dff9141b0ebfe81fea/rendering/09.xyz", "0.0")</f>
        <v>0.0</v>
      </c>
      <c r="M2211" s="13" t="str">
        <f>HYPERLINK(AC2 &amp; "/pencil/sn_e8052c58c50d22dff9141b0ebfe81fea/rendering/10.xyz", "0.0")</f>
        <v>0.0</v>
      </c>
      <c r="N2211" s="13" t="str">
        <f>HYPERLINK(AC2 &amp; "/pencil/sn_e8052c58c50d22dff9141b0ebfe81fea/rendering/11.xyz", "0.0")</f>
        <v>0.0</v>
      </c>
      <c r="O2211" s="13" t="str">
        <f>HYPERLINK(AC2 &amp; "/pencil/sn_e8052c58c50d22dff9141b0ebfe81fea/rendering/12.xyz", "0.0")</f>
        <v>0.0</v>
      </c>
      <c r="P2211" s="13" t="str">
        <f>HYPERLINK(AC2 &amp; "/pencil/sn_e8052c58c50d22dff9141b0ebfe81fea/rendering/13.xyz", "0.0")</f>
        <v>0.0</v>
      </c>
      <c r="Q2211" s="13" t="str">
        <f>HYPERLINK(AC2 &amp; "/pencil/sn_e8052c58c50d22dff9141b0ebfe81fea/rendering/14.xyz", "0.0")</f>
        <v>0.0</v>
      </c>
      <c r="R2211" s="13" t="str">
        <f>HYPERLINK(AC2 &amp; "/pencil/sn_e8052c58c50d22dff9141b0ebfe81fea/rendering/15.xyz", "0.0")</f>
        <v>0.0</v>
      </c>
      <c r="S2211" s="13" t="str">
        <f>HYPERLINK(AC2 &amp; "/pencil/sn_e8052c58c50d22dff9141b0ebfe81fea/rendering/16.xyz", "0.0")</f>
        <v>0.0</v>
      </c>
      <c r="T2211" s="13" t="str">
        <f>HYPERLINK(AC2 &amp; "/pencil/sn_e8052c58c50d22dff9141b0ebfe81fea/rendering/17.xyz", "0.0")</f>
        <v>0.0</v>
      </c>
      <c r="U2211" s="13" t="str">
        <f>HYPERLINK(AC2 &amp; "/pencil/sn_e8052c58c50d22dff9141b0ebfe81fea/rendering/18.xyz", "0.0")</f>
        <v>0.0</v>
      </c>
      <c r="V2211" s="13" t="str">
        <f>HYPERLINK(AC2 &amp; "/pencil/sn_e8052c58c50d22dff9141b0ebfe81fea/rendering/19.xyz", "0.0")</f>
        <v>0.0</v>
      </c>
      <c r="W2211" s="12" t="s">
        <v>33</v>
      </c>
      <c r="X2211" s="13">
        <v>0</v>
      </c>
      <c r="Y2211" s="13">
        <v>0</v>
      </c>
      <c r="Z2211" s="13">
        <v>0</v>
      </c>
    </row>
    <row r="2212" spans="1:26" x14ac:dyDescent="0.2">
      <c r="A2212" s="1">
        <v>2210</v>
      </c>
      <c r="B2212" s="2" t="s">
        <v>475</v>
      </c>
      <c r="C2212" s="78" t="str">
        <f>HYPERLINK(AA2 &amp; "/pencil/sn_e87e2a275c64aa42b7323bd2550572e4/rendering/00.obj", "4.10852111816")</f>
        <v>4.10852111816</v>
      </c>
      <c r="D2212" s="49" t="str">
        <f>HYPERLINK(AA2 &amp; "/pencil/sn_e87e2a275c64aa42b7323bd2550572e4/rendering/01.obj", "5.27911621094")</f>
        <v>5.27911621094</v>
      </c>
      <c r="E2212" s="64" t="str">
        <f>HYPERLINK(AA2 &amp; "/pencil/sn_e87e2a275c64aa42b7323bd2550572e4/rendering/02.obj", "5.0984576416")</f>
        <v>5.0984576416</v>
      </c>
      <c r="F2212" s="107" t="str">
        <f>HYPERLINK(AA2 &amp; "/pencil/sn_e87e2a275c64aa42b7323bd2550572e4/rendering/03.obj", "4.01474151611")</f>
        <v>4.01474151611</v>
      </c>
      <c r="G2212" s="69" t="str">
        <f>HYPERLINK(AA2 &amp; "/pencil/sn_e87e2a275c64aa42b7323bd2550572e4/rendering/04.obj", "4.50811737061")</f>
        <v>4.50811737061</v>
      </c>
      <c r="H2212" s="92" t="str">
        <f>HYPERLINK(AA2 &amp; "/pencil/sn_e87e2a275c64aa42b7323bd2550572e4/rendering/05.obj", "4.91205932617")</f>
        <v>4.91205932617</v>
      </c>
      <c r="I2212" s="39" t="str">
        <f>HYPERLINK(AA2 &amp; "/pencil/sn_e87e2a275c64aa42b7323bd2550572e4/rendering/06.obj", "4.00177398682")</f>
        <v>4.00177398682</v>
      </c>
      <c r="J2212" s="133" t="str">
        <f>HYPERLINK(AA2 &amp; "/pencil/sn_e87e2a275c64aa42b7323bd2550572e4/rendering/07.obj", "3.93060943604")</f>
        <v>3.93060943604</v>
      </c>
      <c r="K2212" s="109" t="str">
        <f>HYPERLINK(AA2 &amp; "/pencil/sn_e87e2a275c64aa42b7323bd2550572e4/rendering/08.obj", "3.53735473633")</f>
        <v>3.53735473633</v>
      </c>
      <c r="L2212" s="28" t="str">
        <f>HYPERLINK(AA2 &amp; "/pencil/sn_e87e2a275c64aa42b7323bd2550572e4/rendering/09.obj", "3.89074768066")</f>
        <v>3.89074768066</v>
      </c>
      <c r="M2212" s="93" t="str">
        <f>HYPERLINK(AA2 &amp; "/pencil/sn_e87e2a275c64aa42b7323bd2550572e4/rendering/10.obj", "3.76526062012")</f>
        <v>3.76526062012</v>
      </c>
      <c r="N2212" s="149" t="str">
        <f>HYPERLINK(AA2 &amp; "/pencil/sn_e87e2a275c64aa42b7323bd2550572e4/rendering/11.obj", "5.87964660645")</f>
        <v>5.87964660645</v>
      </c>
      <c r="O2212" s="148" t="str">
        <f>HYPERLINK(AA2 &amp; "/pencil/sn_e87e2a275c64aa42b7323bd2550572e4/rendering/12.obj", "6.48859680176")</f>
        <v>6.48859680176</v>
      </c>
      <c r="P2212" s="71" t="str">
        <f>HYPERLINK(AA2 &amp; "/pencil/sn_e87e2a275c64aa42b7323bd2550572e4/rendering/13.obj", "3.85521759033")</f>
        <v>3.85521759033</v>
      </c>
      <c r="Q2212" s="74" t="str">
        <f>HYPERLINK(AA2 &amp; "/pencil/sn_e87e2a275c64aa42b7323bd2550572e4/rendering/14.obj", "4.31718383789")</f>
        <v>4.31718383789</v>
      </c>
      <c r="R2212" s="94" t="str">
        <f>HYPERLINK(AA2 &amp; "/pencil/sn_e87e2a275c64aa42b7323bd2550572e4/rendering/15.obj", "4.6966986084")</f>
        <v>4.6966986084</v>
      </c>
      <c r="S2212" s="87" t="str">
        <f>HYPERLINK(AA2 &amp; "/pencil/sn_e87e2a275c64aa42b7323bd2550572e4/rendering/16.obj", "3.3744732666")</f>
        <v>3.3744732666</v>
      </c>
      <c r="T2212" s="84" t="str">
        <f>HYPERLINK(AA2 &amp; "/pencil/sn_e87e2a275c64aa42b7323bd2550572e4/rendering/17.obj", "3.73884460449")</f>
        <v>3.73884460449</v>
      </c>
      <c r="U2212" s="72" t="str">
        <f>HYPERLINK(AA2 &amp; "/pencil/sn_e87e2a275c64aa42b7323bd2550572e4/rendering/18.obj", "4.23554626465")</f>
        <v>4.23554626465</v>
      </c>
      <c r="V2212" s="92" t="str">
        <f>HYPERLINK(AA2 &amp; "/pencil/sn_e87e2a275c64aa42b7323bd2550572e4/rendering/19.obj", "3.83287475586")</f>
        <v>3.83287475586</v>
      </c>
      <c r="W2212" s="12" t="s">
        <v>29</v>
      </c>
      <c r="X2212" s="13">
        <v>4.3732920989990243</v>
      </c>
      <c r="Y2212" s="13">
        <v>0.78484951962273508</v>
      </c>
      <c r="Z2212" s="134">
        <v>0.1794642346900118</v>
      </c>
    </row>
    <row r="2213" spans="1:26" x14ac:dyDescent="0.2">
      <c r="A2213" s="1">
        <v>2211</v>
      </c>
      <c r="B2213" s="2" t="s">
        <v>475</v>
      </c>
      <c r="C2213" s="25" t="str">
        <f>HYPERLINK(AA2 &amp; "/pencil/sn_e87e2a275c64aa42b7323bd2550572e4/rendering/00.obj", "1.58889269829")</f>
        <v>1.58889269829</v>
      </c>
      <c r="D2213" s="164" t="str">
        <f>HYPERLINK(AA2 &amp; "/pencil/sn_e87e2a275c64aa42b7323bd2550572e4/rendering/01.obj", "2.62614178658")</f>
        <v>2.62614178658</v>
      </c>
      <c r="E2213" s="20" t="str">
        <f>HYPERLINK(AA2 &amp; "/pencil/sn_e87e2a275c64aa42b7323bd2550572e4/rendering/02.obj", "3.01431274414")</f>
        <v>3.01431274414</v>
      </c>
      <c r="F2213" s="171" t="str">
        <f>HYPERLINK(AA2 &amp; "/pencil/sn_e87e2a275c64aa42b7323bd2550572e4/rendering/03.obj", "1.11364614964")</f>
        <v>1.11364614964</v>
      </c>
      <c r="G2213" s="110" t="str">
        <f>HYPERLINK(AA2 &amp; "/pencil/sn_e87e2a275c64aa42b7323bd2550572e4/rendering/04.obj", "1.44872713089")</f>
        <v>1.44872713089</v>
      </c>
      <c r="H2213" s="95" t="str">
        <f>HYPERLINK(AA2 &amp; "/pencil/sn_e87e2a275c64aa42b7323bd2550572e4/rendering/05.obj", "2.0601978302")</f>
        <v>2.0601978302</v>
      </c>
      <c r="I2213" s="100" t="str">
        <f>HYPERLINK(AA2 &amp; "/pencil/sn_e87e2a275c64aa42b7323bd2550572e4/rendering/06.obj", "1.12417721748")</f>
        <v>1.12417721748</v>
      </c>
      <c r="J2213" s="101" t="str">
        <f>HYPERLINK(AA2 &amp; "/pencil/sn_e87e2a275c64aa42b7323bd2550572e4/rendering/07.obj", "0.998904168606")</f>
        <v>0.998904168606</v>
      </c>
      <c r="K2213" s="191" t="str">
        <f>HYPERLINK(AA2 &amp; "/pencil/sn_e87e2a275c64aa42b7323bd2550572e4/rendering/08.obj", "0.877927482128")</f>
        <v>0.877927482128</v>
      </c>
      <c r="L2213" s="116" t="str">
        <f>HYPERLINK(AA2 &amp; "/pencil/sn_e87e2a275c64aa42b7323bd2550572e4/rendering/09.obj", "0.901428282261")</f>
        <v>0.901428282261</v>
      </c>
      <c r="M2213" s="131" t="str">
        <f>HYPERLINK(AA2 &amp; "/pencil/sn_e87e2a275c64aa42b7323bd2550572e4/rendering/10.obj", "0.862399101257")</f>
        <v>0.862399101257</v>
      </c>
      <c r="N2213" s="20" t="str">
        <f>HYPERLINK(AA2 &amp; "/pencil/sn_e87e2a275c64aa42b7323bd2550572e4/rendering/11.obj", "3.65818595886")</f>
        <v>3.65818595886</v>
      </c>
      <c r="O2213" s="20" t="str">
        <f>HYPERLINK(AA2 &amp; "/pencil/sn_e87e2a275c64aa42b7323bd2550572e4/rendering/12.obj", "3.92562818527")</f>
        <v>3.92562818527</v>
      </c>
      <c r="P2213" s="131" t="str">
        <f>HYPERLINK(AA2 &amp; "/pencil/sn_e87e2a275c64aa42b7323bd2550572e4/rendering/13.obj", "0.862306058407")</f>
        <v>0.862306058407</v>
      </c>
      <c r="Q2213" s="176" t="str">
        <f>HYPERLINK(AA2 &amp; "/pencil/sn_e87e2a275c64aa42b7323bd2550572e4/rendering/14.obj", "1.09521591663")</f>
        <v>1.09521591663</v>
      </c>
      <c r="R2213" s="120" t="str">
        <f>HYPERLINK(AA2 &amp; "/pencil/sn_e87e2a275c64aa42b7323bd2550572e4/rendering/15.obj", "1.26835751534")</f>
        <v>1.26835751534</v>
      </c>
      <c r="S2213" s="122" t="str">
        <f>HYPERLINK(AA2 &amp; "/pencil/sn_e87e2a275c64aa42b7323bd2550572e4/rendering/16.obj", "0.959768891335")</f>
        <v>0.959768891335</v>
      </c>
      <c r="T2213" s="43" t="str">
        <f>HYPERLINK(AA2 &amp; "/pencil/sn_e87e2a275c64aa42b7323bd2550572e4/rendering/17.obj", "1.00617468357")</f>
        <v>1.00617468357</v>
      </c>
      <c r="U2213" s="75" t="str">
        <f>HYPERLINK(AA2 &amp; "/pencil/sn_e87e2a275c64aa42b7323bd2550572e4/rendering/18.obj", "1.25095951557")</f>
        <v>1.25095951557</v>
      </c>
      <c r="V2213" s="94" t="str">
        <f>HYPERLINK(AA2 &amp; "/pencil/sn_e87e2a275c64aa42b7323bd2550572e4/rendering/19.obj", "1.48973727226")</f>
        <v>1.48973727226</v>
      </c>
      <c r="W2213" s="12" t="s">
        <v>30</v>
      </c>
      <c r="X2213" s="13">
        <v>1.6066544294357299</v>
      </c>
      <c r="Y2213" s="13">
        <v>0.92506848598570546</v>
      </c>
      <c r="Z2213" s="231">
        <v>0.57577315260668538</v>
      </c>
    </row>
    <row r="2214" spans="1:26" x14ac:dyDescent="0.2">
      <c r="A2214" s="1">
        <v>2212</v>
      </c>
      <c r="B2214" s="2" t="s">
        <v>475</v>
      </c>
      <c r="C2214" s="13" t="str">
        <f>HYPERLINK(AB2 &amp; "/pencil/sn_e87e2a275c64aa42b7323bd2550572e4/rendering/00.obj", "3.44455749512")</f>
        <v>3.44455749512</v>
      </c>
      <c r="D2214" s="35" t="str">
        <f>HYPERLINK(AB2 &amp; "/pencil/sn_e87e2a275c64aa42b7323bd2550572e4/rendering/01.obj", "3.24353820801")</f>
        <v>3.24353820801</v>
      </c>
      <c r="E2214" s="92" t="str">
        <f>HYPERLINK(AB2 &amp; "/pencil/sn_e87e2a275c64aa42b7323bd2550572e4/rendering/02.obj", "3.01894836426")</f>
        <v>3.01894836426</v>
      </c>
      <c r="F2214" s="6" t="str">
        <f>HYPERLINK(AB2 &amp; "/pencil/sn_e87e2a275c64aa42b7323bd2550572e4/rendering/03.obj", "3.60285522461")</f>
        <v>3.60285522461</v>
      </c>
      <c r="G2214" s="30" t="str">
        <f>HYPERLINK(AB2 &amp; "/pencil/sn_e87e2a275c64aa42b7323bd2550572e4/rendering/04.obj", "3.42592712402")</f>
        <v>3.42592712402</v>
      </c>
      <c r="H2214" s="74" t="str">
        <f>HYPERLINK(AB2 &amp; "/pencil/sn_e87e2a275c64aa42b7323bd2550572e4/rendering/05.obj", "3.39287811279")</f>
        <v>3.39287811279</v>
      </c>
      <c r="I2214" s="30" t="str">
        <f>HYPERLINK(AB2 &amp; "/pencil/sn_e87e2a275c64aa42b7323bd2550572e4/rendering/06.obj", "3.4613394165")</f>
        <v>3.4613394165</v>
      </c>
      <c r="J2214" s="25" t="str">
        <f>HYPERLINK(AB2 &amp; "/pencil/sn_e87e2a275c64aa42b7323bd2550572e4/rendering/07.obj", "3.40993255615")</f>
        <v>3.40993255615</v>
      </c>
      <c r="K2214" s="32" t="str">
        <f>HYPERLINK(AB2 &amp; "/pencil/sn_e87e2a275c64aa42b7323bd2550572e4/rendering/08.obj", "3.08142150879")</f>
        <v>3.08142150879</v>
      </c>
      <c r="L2214" s="94" t="str">
        <f>HYPERLINK(AB2 &amp; "/pencil/sn_e87e2a275c64aa42b7323bd2550572e4/rendering/09.obj", "3.69868896484")</f>
        <v>3.69868896484</v>
      </c>
      <c r="M2214" s="46" t="str">
        <f>HYPERLINK(AB2 &amp; "/pencil/sn_e87e2a275c64aa42b7323bd2550572e4/rendering/10.obj", "3.38502319336")</f>
        <v>3.38502319336</v>
      </c>
      <c r="N2214" s="78" t="str">
        <f>HYPERLINK(AB2 &amp; "/pencil/sn_e87e2a275c64aa42b7323bd2550572e4/rendering/11.obj", "3.23273193359")</f>
        <v>3.23273193359</v>
      </c>
      <c r="O2214" s="46" t="str">
        <f>HYPERLINK(AB2 &amp; "/pencil/sn_e87e2a275c64aa42b7323bd2550572e4/rendering/12.obj", "3.38388061523")</f>
        <v>3.38388061523</v>
      </c>
      <c r="P2214" s="71" t="str">
        <f>HYPERLINK(AB2 &amp; "/pencil/sn_e87e2a275c64aa42b7323bd2550572e4/rendering/13.obj", "3.84680847168")</f>
        <v>3.84680847168</v>
      </c>
      <c r="Q2214" s="6" t="str">
        <f>HYPERLINK(AB2 &amp; "/pencil/sn_e87e2a275c64aa42b7323bd2550572e4/rendering/14.obj", "3.29192565918")</f>
        <v>3.29192565918</v>
      </c>
      <c r="R2214" s="39" t="str">
        <f>HYPERLINK(AB2 &amp; "/pencil/sn_e87e2a275c64aa42b7323bd2550572e4/rendering/15.obj", "3.74582275391")</f>
        <v>3.74582275391</v>
      </c>
      <c r="S2214" s="117" t="str">
        <f>HYPERLINK(AB2 &amp; "/pencil/sn_e87e2a275c64aa42b7323bd2550572e4/rendering/16.obj", "4.04865325928")</f>
        <v>4.04865325928</v>
      </c>
      <c r="T2214" s="69" t="str">
        <f>HYPERLINK(AB2 &amp; "/pencil/sn_e87e2a275c64aa42b7323bd2550572e4/rendering/17.obj", "3.33592529297")</f>
        <v>3.33592529297</v>
      </c>
      <c r="U2214" s="30" t="str">
        <f>HYPERLINK(AB2 &amp; "/pencil/sn_e87e2a275c64aa42b7323bd2550572e4/rendering/18.obj", "3.4318145752")</f>
        <v>3.4318145752</v>
      </c>
      <c r="V2214" s="46" t="str">
        <f>HYPERLINK(AB2 &amp; "/pencil/sn_e87e2a275c64aa42b7323bd2550572e4/rendering/19.obj", "3.38920471191")</f>
        <v>3.38920471191</v>
      </c>
      <c r="W2214" s="12" t="s">
        <v>31</v>
      </c>
      <c r="X2214" s="13">
        <v>3.4435938720703132</v>
      </c>
      <c r="Y2214" s="13">
        <v>0.24035999356229731</v>
      </c>
      <c r="Z2214" s="27">
        <v>6.9799169847456821E-2</v>
      </c>
    </row>
    <row r="2215" spans="1:26" x14ac:dyDescent="0.2">
      <c r="A2215" s="1">
        <v>2213</v>
      </c>
      <c r="B2215" s="2" t="s">
        <v>475</v>
      </c>
      <c r="C2215" s="133" t="str">
        <f>HYPERLINK(AB2 &amp; "/pencil/sn_e87e2a275c64aa42b7323bd2550572e4/rendering/00.obj", "0.807373523712")</f>
        <v>0.807373523712</v>
      </c>
      <c r="D2215" s="110" t="str">
        <f>HYPERLINK(AB2 &amp; "/pencil/sn_e87e2a275c64aa42b7323bd2550572e4/rendering/01.obj", "0.81055277586")</f>
        <v>0.81055277586</v>
      </c>
      <c r="E2215" s="78" t="str">
        <f>HYPERLINK(AB2 &amp; "/pencil/sn_e87e2a275c64aa42b7323bd2550572e4/rendering/02.obj", "0.844575881958")</f>
        <v>0.844575881958</v>
      </c>
      <c r="F2215" s="91" t="str">
        <f>HYPERLINK(AB2 &amp; "/pencil/sn_e87e2a275c64aa42b7323bd2550572e4/rendering/03.obj", "0.923058927059")</f>
        <v>0.923058927059</v>
      </c>
      <c r="G2215" s="110" t="str">
        <f>HYPERLINK(AB2 &amp; "/pencil/sn_e87e2a275c64aa42b7323bd2550572e4/rendering/04.obj", "0.989850521088")</f>
        <v>0.989850521088</v>
      </c>
      <c r="H2215" s="41" t="str">
        <f>HYPERLINK(AB2 &amp; "/pencil/sn_e87e2a275c64aa42b7323bd2550572e4/rendering/05.obj", "0.838833451271")</f>
        <v>0.838833451271</v>
      </c>
      <c r="I2215" s="58" t="str">
        <f>HYPERLINK(AB2 &amp; "/pencil/sn_e87e2a275c64aa42b7323bd2550572e4/rendering/06.obj", "1.12029576302")</f>
        <v>1.12029576302</v>
      </c>
      <c r="J2215" s="34" t="str">
        <f>HYPERLINK(AB2 &amp; "/pencil/sn_e87e2a275c64aa42b7323bd2550572e4/rendering/07.obj", "0.855074584484")</f>
        <v>0.855074584484</v>
      </c>
      <c r="K2215" s="51" t="str">
        <f>HYPERLINK(AB2 &amp; "/pencil/sn_e87e2a275c64aa42b7323bd2550572e4/rendering/08.obj", "0.827851474285")</f>
        <v>0.827851474285</v>
      </c>
      <c r="L2215" s="11" t="str">
        <f>HYPERLINK(AB2 &amp; "/pencil/sn_e87e2a275c64aa42b7323bd2550572e4/rendering/09.obj", "1.10232520103")</f>
        <v>1.10232520103</v>
      </c>
      <c r="M2215" s="74" t="str">
        <f>HYPERLINK(AB2 &amp; "/pencil/sn_e87e2a275c64aa42b7323bd2550572e4/rendering/10.obj", "0.886738479137")</f>
        <v>0.886738479137</v>
      </c>
      <c r="N2215" s="27" t="str">
        <f>HYPERLINK(AB2 &amp; "/pencil/sn_e87e2a275c64aa42b7323bd2550572e4/rendering/11.obj", "0.83589476347")</f>
        <v>0.83589476347</v>
      </c>
      <c r="O2215" s="48" t="str">
        <f>HYPERLINK(AB2 &amp; "/pencil/sn_e87e2a275c64aa42b7323bd2550572e4/rendering/12.obj", "0.920472621918")</f>
        <v>0.920472621918</v>
      </c>
      <c r="P2215" s="110" t="str">
        <f>HYPERLINK(AB2 &amp; "/pencil/sn_e87e2a275c64aa42b7323bd2550572e4/rendering/13.obj", "0.809853851795")</f>
        <v>0.809853851795</v>
      </c>
      <c r="Q2215" s="17" t="str">
        <f>HYPERLINK(AB2 &amp; "/pencil/sn_e87e2a275c64aa42b7323bd2550572e4/rendering/14.obj", "0.881793916225")</f>
        <v>0.881793916225</v>
      </c>
      <c r="R2215" s="110" t="str">
        <f>HYPERLINK(AB2 &amp; "/pencil/sn_e87e2a275c64aa42b7323bd2550572e4/rendering/15.obj", "0.988088428974")</f>
        <v>0.988088428974</v>
      </c>
      <c r="S2215" s="17" t="str">
        <f>HYPERLINK(AB2 &amp; "/pencil/sn_e87e2a275c64aa42b7323bd2550572e4/rendering/16.obj", "0.917091488838")</f>
        <v>0.917091488838</v>
      </c>
      <c r="T2215" s="65" t="str">
        <f>HYPERLINK(AB2 &amp; "/pencil/sn_e87e2a275c64aa42b7323bd2550572e4/rendering/17.obj", "0.780363380909")</f>
        <v>0.780363380909</v>
      </c>
      <c r="U2215" s="60" t="str">
        <f>HYPERLINK(AB2 &amp; "/pencil/sn_e87e2a275c64aa42b7323bd2550572e4/rendering/18.obj", "0.853663146496")</f>
        <v>0.853663146496</v>
      </c>
      <c r="V2215" s="63" t="str">
        <f>HYPERLINK(AB2 &amp; "/pencil/sn_e87e2a275c64aa42b7323bd2550572e4/rendering/19.obj", "1.00784993172")</f>
        <v>1.00784993172</v>
      </c>
      <c r="W2215" s="12" t="s">
        <v>32</v>
      </c>
      <c r="X2215" s="13">
        <v>0.90008010566234586</v>
      </c>
      <c r="Y2215" s="13">
        <v>9.4338050153510794E-2</v>
      </c>
      <c r="Z2215" s="32">
        <v>0.1048107269120117</v>
      </c>
    </row>
    <row r="2216" spans="1:26" x14ac:dyDescent="0.2">
      <c r="A2216" s="1">
        <v>2214</v>
      </c>
      <c r="B2216" s="2" t="s">
        <v>475</v>
      </c>
      <c r="C2216" s="13" t="str">
        <f>HYPERLINK(AC2 &amp; "/pencil/sn_e87e2a275c64aa42b7323bd2550572e4/rendering/00.xyz", "0.0")</f>
        <v>0.0</v>
      </c>
      <c r="D2216" s="13" t="str">
        <f>HYPERLINK(AC2 &amp; "/pencil/sn_e87e2a275c64aa42b7323bd2550572e4/rendering/01.xyz", "0.0")</f>
        <v>0.0</v>
      </c>
      <c r="E2216" s="13" t="str">
        <f>HYPERLINK(AC2 &amp; "/pencil/sn_e87e2a275c64aa42b7323bd2550572e4/rendering/02.xyz", "0.0")</f>
        <v>0.0</v>
      </c>
      <c r="F2216" s="13" t="str">
        <f>HYPERLINK(AC2 &amp; "/pencil/sn_e87e2a275c64aa42b7323bd2550572e4/rendering/03.xyz", "0.0")</f>
        <v>0.0</v>
      </c>
      <c r="G2216" s="13" t="str">
        <f>HYPERLINK(AC2 &amp; "/pencil/sn_e87e2a275c64aa42b7323bd2550572e4/rendering/04.xyz", "0.0")</f>
        <v>0.0</v>
      </c>
      <c r="H2216" s="13" t="str">
        <f>HYPERLINK(AC2 &amp; "/pencil/sn_e87e2a275c64aa42b7323bd2550572e4/rendering/05.xyz", "0.0")</f>
        <v>0.0</v>
      </c>
      <c r="I2216" s="13" t="str">
        <f>HYPERLINK(AC2 &amp; "/pencil/sn_e87e2a275c64aa42b7323bd2550572e4/rendering/06.xyz", "0.0")</f>
        <v>0.0</v>
      </c>
      <c r="J2216" s="13" t="str">
        <f>HYPERLINK(AC2 &amp; "/pencil/sn_e87e2a275c64aa42b7323bd2550572e4/rendering/07.xyz", "0.0")</f>
        <v>0.0</v>
      </c>
      <c r="K2216" s="13" t="str">
        <f>HYPERLINK(AC2 &amp; "/pencil/sn_e87e2a275c64aa42b7323bd2550572e4/rendering/08.xyz", "0.0")</f>
        <v>0.0</v>
      </c>
      <c r="L2216" s="13" t="str">
        <f>HYPERLINK(AC2 &amp; "/pencil/sn_e87e2a275c64aa42b7323bd2550572e4/rendering/09.xyz", "0.0")</f>
        <v>0.0</v>
      </c>
      <c r="M2216" s="13" t="str">
        <f>HYPERLINK(AC2 &amp; "/pencil/sn_e87e2a275c64aa42b7323bd2550572e4/rendering/10.xyz", "0.0")</f>
        <v>0.0</v>
      </c>
      <c r="N2216" s="13" t="str">
        <f>HYPERLINK(AC2 &amp; "/pencil/sn_e87e2a275c64aa42b7323bd2550572e4/rendering/11.xyz", "0.0")</f>
        <v>0.0</v>
      </c>
      <c r="O2216" s="13" t="str">
        <f>HYPERLINK(AC2 &amp; "/pencil/sn_e87e2a275c64aa42b7323bd2550572e4/rendering/12.xyz", "0.0")</f>
        <v>0.0</v>
      </c>
      <c r="P2216" s="13" t="str">
        <f>HYPERLINK(AC2 &amp; "/pencil/sn_e87e2a275c64aa42b7323bd2550572e4/rendering/13.xyz", "0.0")</f>
        <v>0.0</v>
      </c>
      <c r="Q2216" s="13" t="str">
        <f>HYPERLINK(AC2 &amp; "/pencil/sn_e87e2a275c64aa42b7323bd2550572e4/rendering/14.xyz", "0.0")</f>
        <v>0.0</v>
      </c>
      <c r="R2216" s="13" t="str">
        <f>HYPERLINK(AC2 &amp; "/pencil/sn_e87e2a275c64aa42b7323bd2550572e4/rendering/15.xyz", "0.0")</f>
        <v>0.0</v>
      </c>
      <c r="S2216" s="13" t="str">
        <f>HYPERLINK(AC2 &amp; "/pencil/sn_e87e2a275c64aa42b7323bd2550572e4/rendering/16.xyz", "0.0")</f>
        <v>0.0</v>
      </c>
      <c r="T2216" s="13" t="str">
        <f>HYPERLINK(AC2 &amp; "/pencil/sn_e87e2a275c64aa42b7323bd2550572e4/rendering/17.xyz", "0.0")</f>
        <v>0.0</v>
      </c>
      <c r="U2216" s="13" t="str">
        <f>HYPERLINK(AC2 &amp; "/pencil/sn_e87e2a275c64aa42b7323bd2550572e4/rendering/18.xyz", "0.0")</f>
        <v>0.0</v>
      </c>
      <c r="V2216" s="13" t="str">
        <f>HYPERLINK(AC2 &amp; "/pencil/sn_e87e2a275c64aa42b7323bd2550572e4/rendering/19.xyz", "0.0")</f>
        <v>0.0</v>
      </c>
      <c r="W2216" s="12" t="s">
        <v>33</v>
      </c>
      <c r="X2216" s="13">
        <v>0</v>
      </c>
      <c r="Y2216" s="13">
        <v>0</v>
      </c>
      <c r="Z2216" s="13">
        <v>0</v>
      </c>
    </row>
    <row r="2217" spans="1:26" x14ac:dyDescent="0.2">
      <c r="A2217" s="1">
        <v>2215</v>
      </c>
      <c r="B2217" s="2" t="s">
        <v>476</v>
      </c>
      <c r="C2217" s="122" t="str">
        <f>HYPERLINK(AA2 &amp; "/pencil/sn_e8cd878799bcad7b419a0d2ea1ae9704/rendering/00.obj", "6.72250488281")</f>
        <v>6.72250488281</v>
      </c>
      <c r="D2217" s="141" t="str">
        <f>HYPERLINK(AA2 &amp; "/pencil/sn_e8cd878799bcad7b419a0d2ea1ae9704/rendering/01.obj", "17.4691845703")</f>
        <v>17.4691845703</v>
      </c>
      <c r="E2217" s="13" t="str">
        <f>HYPERLINK(AA2 &amp; "/pencil/sn_e8cd878799bcad7b419a0d2ea1ae9704/rendering/02.obj", "11.3012023926")</f>
        <v>11.3012023926</v>
      </c>
      <c r="F2217" s="13" t="str">
        <f>HYPERLINK(AA2 &amp; "/pencil/sn_e8cd878799bcad7b419a0d2ea1ae9704/rendering/03.obj", "11.2626782227")</f>
        <v>11.2626782227</v>
      </c>
      <c r="G2217" s="120" t="str">
        <f>HYPERLINK(AA2 &amp; "/pencil/sn_e8cd878799bcad7b419a0d2ea1ae9704/rendering/04.obj", "8.88999389648")</f>
        <v>8.88999389648</v>
      </c>
      <c r="H2217" s="90" t="str">
        <f>HYPERLINK(AA2 &amp; "/pencil/sn_e8cd878799bcad7b419a0d2ea1ae9704/rendering/05.obj", "10.1945770264")</f>
        <v>10.1945770264</v>
      </c>
      <c r="I2217" s="119" t="str">
        <f>HYPERLINK(AA2 &amp; "/pencil/sn_e8cd878799bcad7b419a0d2ea1ae9704/rendering/06.obj", "8.2855657959")</f>
        <v>8.2855657959</v>
      </c>
      <c r="J2217" s="20" t="str">
        <f>HYPERLINK(AA2 &amp; "/pencil/sn_e8cd878799bcad7b419a0d2ea1ae9704/rendering/07.obj", "20.8225683594")</f>
        <v>20.8225683594</v>
      </c>
      <c r="K2217" s="51" t="str">
        <f>HYPERLINK(AA2 &amp; "/pencil/sn_e8cd878799bcad7b419a0d2ea1ae9704/rendering/08.obj", "10.3689770508")</f>
        <v>10.3689770508</v>
      </c>
      <c r="L2217" s="167" t="str">
        <f>HYPERLINK(AA2 &amp; "/pencil/sn_e8cd878799bcad7b419a0d2ea1ae9704/rendering/09.obj", "18.0603112793")</f>
        <v>18.0603112793</v>
      </c>
      <c r="M2217" s="127" t="str">
        <f>HYPERLINK(AA2 &amp; "/pencil/sn_e8cd878799bcad7b419a0d2ea1ae9704/rendering/10.obj", "17.1322631836")</f>
        <v>17.1322631836</v>
      </c>
      <c r="N2217" s="162" t="str">
        <f>HYPERLINK(AA2 &amp; "/pencil/sn_e8cd878799bcad7b419a0d2ea1ae9704/rendering/11.obj", "6.48767456055")</f>
        <v>6.48767456055</v>
      </c>
      <c r="O2217" s="118" t="str">
        <f>HYPERLINK(AA2 &amp; "/pencil/sn_e8cd878799bcad7b419a0d2ea1ae9704/rendering/12.obj", "7.95459472656")</f>
        <v>7.95459472656</v>
      </c>
      <c r="P2217" s="136" t="str">
        <f>HYPERLINK(AA2 &amp; "/pencil/sn_e8cd878799bcad7b419a0d2ea1ae9704/rendering/13.obj", "8.58433532715")</f>
        <v>8.58433532715</v>
      </c>
      <c r="Q2217" s="35" t="str">
        <f>HYPERLINK(AA2 &amp; "/pencil/sn_e8cd878799bcad7b419a0d2ea1ae9704/rendering/14.obj", "10.6194287109")</f>
        <v>10.6194287109</v>
      </c>
      <c r="R2217" s="249" t="str">
        <f>HYPERLINK(AA2 &amp; "/pencil/sn_e8cd878799bcad7b419a0d2ea1ae9704/rendering/15.obj", "4.82632171631")</f>
        <v>4.82632171631</v>
      </c>
      <c r="S2217" s="17" t="str">
        <f>HYPERLINK(AA2 &amp; "/pencil/sn_e8cd878799bcad7b419a0d2ea1ae9704/rendering/16.obj", "11.4941943359")</f>
        <v>11.4941943359</v>
      </c>
      <c r="T2217" s="182" t="str">
        <f>HYPERLINK(AA2 &amp; "/pencil/sn_e8cd878799bcad7b419a0d2ea1ae9704/rendering/17.obj", "15.040847168")</f>
        <v>15.040847168</v>
      </c>
      <c r="U2217" s="90" t="str">
        <f>HYPERLINK(AA2 &amp; "/pencil/sn_e8cd878799bcad7b419a0d2ea1ae9704/rendering/18.obj", "12.3584155273")</f>
        <v>12.3584155273</v>
      </c>
      <c r="V2217" s="193" t="str">
        <f>HYPERLINK(AA2 &amp; "/pencil/sn_e8cd878799bcad7b419a0d2ea1ae9704/rendering/19.obj", "7.52471191406")</f>
        <v>7.52471191406</v>
      </c>
      <c r="W2217" s="12" t="s">
        <v>29</v>
      </c>
      <c r="X2217" s="13">
        <v>11.27001753234863</v>
      </c>
      <c r="Y2217" s="13">
        <v>4.2419173730753039</v>
      </c>
      <c r="Z2217" s="43">
        <v>0.37638959841008363</v>
      </c>
    </row>
    <row r="2218" spans="1:26" x14ac:dyDescent="0.2">
      <c r="A2218" s="1">
        <v>2216</v>
      </c>
      <c r="B2218" s="2" t="s">
        <v>476</v>
      </c>
      <c r="C2218" s="20" t="str">
        <f>HYPERLINK(AA2 &amp; "/pencil/sn_e8cd878799bcad7b419a0d2ea1ae9704/rendering/00.obj", "5.06658697128")</f>
        <v>5.06658697128</v>
      </c>
      <c r="D2218" s="20" t="str">
        <f>HYPERLINK(AA2 &amp; "/pencil/sn_e8cd878799bcad7b419a0d2ea1ae9704/rendering/01.obj", "114.231315613")</f>
        <v>114.231315613</v>
      </c>
      <c r="E2218" s="202" t="str">
        <f>HYPERLINK(AA2 &amp; "/pencil/sn_e8cd878799bcad7b419a0d2ea1ae9704/rendering/02.obj", "15.09100914")</f>
        <v>15.09100914</v>
      </c>
      <c r="F2218" s="80" t="str">
        <f>HYPERLINK(AA2 &amp; "/pencil/sn_e8cd878799bcad7b419a0d2ea1ae9704/rendering/03.obj", "34.676651001")</f>
        <v>34.676651001</v>
      </c>
      <c r="G2218" s="164" t="str">
        <f>HYPERLINK(AA2 &amp; "/pencil/sn_e8cd878799bcad7b419a0d2ea1ae9704/rendering/04.obj", "14.8890419006")</f>
        <v>14.8890419006</v>
      </c>
      <c r="H2218" s="179" t="str">
        <f>HYPERLINK(AA2 &amp; "/pencil/sn_e8cd878799bcad7b419a0d2ea1ae9704/rendering/05.obj", "23.2524852753")</f>
        <v>23.2524852753</v>
      </c>
      <c r="I2218" s="254" t="str">
        <f>HYPERLINK(AA2 &amp; "/pencil/sn_e8cd878799bcad7b419a0d2ea1ae9704/rendering/06.obj", "9.23270320892")</f>
        <v>9.23270320892</v>
      </c>
      <c r="J2218" s="20" t="str">
        <f>HYPERLINK(AA2 &amp; "/pencil/sn_e8cd878799bcad7b419a0d2ea1ae9704/rendering/07.obj", "157.602722168")</f>
        <v>157.602722168</v>
      </c>
      <c r="K2218" s="212" t="str">
        <f>HYPERLINK(AA2 &amp; "/pencil/sn_e8cd878799bcad7b419a0d2ea1ae9704/rendering/08.obj", "23.2470436096")</f>
        <v>23.2470436096</v>
      </c>
      <c r="L2218" s="20" t="str">
        <f>HYPERLINK(AA2 &amp; "/pencil/sn_e8cd878799bcad7b419a0d2ea1ae9704/rendering/09.obj", "114.769813538")</f>
        <v>114.769813538</v>
      </c>
      <c r="M2218" s="20" t="str">
        <f>HYPERLINK(AA2 &amp; "/pencil/sn_e8cd878799bcad7b419a0d2ea1ae9704/rendering/10.obj", "77.3679046631")</f>
        <v>77.3679046631</v>
      </c>
      <c r="N2218" s="20" t="str">
        <f>HYPERLINK(AA2 &amp; "/pencil/sn_e8cd878799bcad7b419a0d2ea1ae9704/rendering/11.obj", "4.95035409927")</f>
        <v>4.95035409927</v>
      </c>
      <c r="O2218" s="253" t="str">
        <f>HYPERLINK(AA2 &amp; "/pencil/sn_e8cd878799bcad7b419a0d2ea1ae9704/rendering/12.obj", "11.101017952")</f>
        <v>11.101017952</v>
      </c>
      <c r="P2218" s="205" t="str">
        <f>HYPERLINK(AA2 &amp; "/pencil/sn_e8cd878799bcad7b419a0d2ea1ae9704/rendering/13.obj", "13.5533189774")</f>
        <v>13.5533189774</v>
      </c>
      <c r="Q2218" s="166" t="str">
        <f>HYPERLINK(AA2 &amp; "/pencil/sn_e8cd878799bcad7b419a0d2ea1ae9704/rendering/14.obj", "29.0827674866")</f>
        <v>29.0827674866</v>
      </c>
      <c r="R2218" s="20" t="str">
        <f>HYPERLINK(AA2 &amp; "/pencil/sn_e8cd878799bcad7b419a0d2ea1ae9704/rendering/15.obj", "2.24439358711")</f>
        <v>2.24439358711</v>
      </c>
      <c r="S2218" s="38" t="str">
        <f>HYPERLINK(AA2 &amp; "/pencil/sn_e8cd878799bcad7b419a0d2ea1ae9704/rendering/16.obj", "37.1155166626")</f>
        <v>37.1155166626</v>
      </c>
      <c r="T2218" s="20" t="str">
        <f>HYPERLINK(AA2 &amp; "/pencil/sn_e8cd878799bcad7b419a0d2ea1ae9704/rendering/17.obj", "74.6658782959")</f>
        <v>74.6658782959</v>
      </c>
      <c r="U2218" s="38" t="str">
        <f>HYPERLINK(AA2 &amp; "/pencil/sn_e8cd878799bcad7b419a0d2ea1ae9704/rendering/18.obj", "44.4093780518")</f>
        <v>44.4093780518</v>
      </c>
      <c r="V2218" s="232" t="str">
        <f>HYPERLINK(AA2 &amp; "/pencil/sn_e8cd878799bcad7b419a0d2ea1ae9704/rendering/19.obj", "8.91856098175")</f>
        <v>8.91856098175</v>
      </c>
      <c r="W2218" s="12" t="s">
        <v>30</v>
      </c>
      <c r="X2218" s="13">
        <v>40.773423159122473</v>
      </c>
      <c r="Y2218" s="13">
        <v>42.910573461852117</v>
      </c>
      <c r="Z2218" s="20">
        <v>1.052415277824214</v>
      </c>
    </row>
    <row r="2219" spans="1:26" x14ac:dyDescent="0.2">
      <c r="A2219" s="1">
        <v>2217</v>
      </c>
      <c r="B2219" s="2" t="s">
        <v>476</v>
      </c>
      <c r="C2219" s="73" t="str">
        <f>HYPERLINK(AB2 &amp; "/pencil/sn_e8cd878799bcad7b419a0d2ea1ae9704/rendering/00.obj", "3.63010192871")</f>
        <v>3.63010192871</v>
      </c>
      <c r="D2219" s="94" t="str">
        <f>HYPERLINK(AB2 &amp; "/pencil/sn_e8cd878799bcad7b419a0d2ea1ae9704/rendering/01.obj", "4.03654907227")</f>
        <v>4.03654907227</v>
      </c>
      <c r="E2219" s="25" t="str">
        <f>HYPERLINK(AB2 &amp; "/pencil/sn_e8cd878799bcad7b419a0d2ea1ae9704/rendering/02.obj", "3.72485046387")</f>
        <v>3.72485046387</v>
      </c>
      <c r="F2219" s="72" t="str">
        <f>HYPERLINK(AB2 &amp; "/pencil/sn_e8cd878799bcad7b419a0d2ea1ae9704/rendering/03.obj", "3.63304107666")</f>
        <v>3.63304107666</v>
      </c>
      <c r="G2219" s="69" t="str">
        <f>HYPERLINK(AB2 &amp; "/pencil/sn_e8cd878799bcad7b419a0d2ea1ae9704/rendering/04.obj", "3.6550378418")</f>
        <v>3.6550378418</v>
      </c>
      <c r="H2219" s="13" t="str">
        <f>HYPERLINK(AB2 &amp; "/pencil/sn_e8cd878799bcad7b419a0d2ea1ae9704/rendering/05.obj", "3.77077209473")</f>
        <v>3.77077209473</v>
      </c>
      <c r="I2219" s="13" t="str">
        <f>HYPERLINK(AB2 &amp; "/pencil/sn_e8cd878799bcad7b419a0d2ea1ae9704/rendering/06.obj", "3.76847900391")</f>
        <v>3.76847900391</v>
      </c>
      <c r="J2219" s="38" t="str">
        <f>HYPERLINK(AB2 &amp; "/pencil/sn_e8cd878799bcad7b419a0d2ea1ae9704/rendering/07.obj", "4.10053833008")</f>
        <v>4.10053833008</v>
      </c>
      <c r="K2219" s="13" t="str">
        <f>HYPERLINK(AB2 &amp; "/pencil/sn_e8cd878799bcad7b419a0d2ea1ae9704/rendering/08.obj", "3.76625061035")</f>
        <v>3.76625061035</v>
      </c>
      <c r="L2219" s="46" t="str">
        <f>HYPERLINK(AB2 &amp; "/pencil/sn_e8cd878799bcad7b419a0d2ea1ae9704/rendering/09.obj", "3.82311340332")</f>
        <v>3.82311340332</v>
      </c>
      <c r="M2219" s="27" t="str">
        <f>HYPERLINK(AB2 &amp; "/pencil/sn_e8cd878799bcad7b419a0d2ea1ae9704/rendering/10.obj", "3.50025024414")</f>
        <v>3.50025024414</v>
      </c>
      <c r="N2219" s="107" t="str">
        <f>HYPERLINK(AB2 &amp; "/pencil/sn_e8cd878799bcad7b419a0d2ea1ae9704/rendering/11.obj", "4.06915283203")</f>
        <v>4.06915283203</v>
      </c>
      <c r="O2219" s="24" t="str">
        <f>HYPERLINK(AB2 &amp; "/pencil/sn_e8cd878799bcad7b419a0d2ea1ae9704/rendering/12.obj", "3.12871337891")</f>
        <v>3.12871337891</v>
      </c>
      <c r="P2219" s="48" t="str">
        <f>HYPERLINK(AB2 &amp; "/pencil/sn_e8cd878799bcad7b419a0d2ea1ae9704/rendering/13.obj", "3.8456463623")</f>
        <v>3.8456463623</v>
      </c>
      <c r="Q2219" s="133" t="str">
        <f>HYPERLINK(AB2 &amp; "/pencil/sn_e8cd878799bcad7b419a0d2ea1ae9704/rendering/14.obj", "3.38112548828")</f>
        <v>3.38112548828</v>
      </c>
      <c r="R2219" s="49" t="str">
        <f>HYPERLINK(AB2 &amp; "/pencil/sn_e8cd878799bcad7b419a0d2ea1ae9704/rendering/15.obj", "4.54165588379")</f>
        <v>4.54165588379</v>
      </c>
      <c r="S2219" s="110" t="str">
        <f>HYPERLINK(AB2 &amp; "/pencil/sn_e8cd878799bcad7b419a0d2ea1ae9704/rendering/16.obj", "3.38650756836")</f>
        <v>3.38650756836</v>
      </c>
      <c r="T2219" s="134" t="str">
        <f>HYPERLINK(AB2 &amp; "/pencil/sn_e8cd878799bcad7b419a0d2ea1ae9704/rendering/17.obj", "4.4353692627")</f>
        <v>4.4353692627</v>
      </c>
      <c r="U2219" s="71" t="str">
        <f>HYPERLINK(AB2 &amp; "/pencil/sn_e8cd878799bcad7b419a0d2ea1ae9704/rendering/18.obj", "3.31834777832")</f>
        <v>3.31834777832</v>
      </c>
      <c r="V2219" s="25" t="str">
        <f>HYPERLINK(AB2 &amp; "/pencil/sn_e8cd878799bcad7b419a0d2ea1ae9704/rendering/19.obj", "3.71438934326")</f>
        <v>3.71438934326</v>
      </c>
      <c r="W2219" s="12" t="s">
        <v>31</v>
      </c>
      <c r="X2219" s="13">
        <v>3.7614945983886718</v>
      </c>
      <c r="Y2219" s="13">
        <v>0.34336923052550039</v>
      </c>
      <c r="Z2219" s="67">
        <v>9.1285317988384462E-2</v>
      </c>
    </row>
    <row r="2220" spans="1:26" x14ac:dyDescent="0.2">
      <c r="A2220" s="1">
        <v>2218</v>
      </c>
      <c r="B2220" s="2" t="s">
        <v>476</v>
      </c>
      <c r="C2220" s="84" t="str">
        <f>HYPERLINK(AB2 &amp; "/pencil/sn_e8cd878799bcad7b419a0d2ea1ae9704/rendering/00.obj", "1.48201107979")</f>
        <v>1.48201107979</v>
      </c>
      <c r="D2220" s="79" t="str">
        <f>HYPERLINK(AB2 &amp; "/pencil/sn_e8cd878799bcad7b419a0d2ea1ae9704/rendering/01.obj", "1.49628138542")</f>
        <v>1.49628138542</v>
      </c>
      <c r="E2220" s="80" t="str">
        <f>HYPERLINK(AB2 &amp; "/pencil/sn_e8cd878799bcad7b419a0d2ea1ae9704/rendering/02.obj", "1.09993910789")</f>
        <v>1.09993910789</v>
      </c>
      <c r="F2220" s="120" t="str">
        <f>HYPERLINK(AB2 &amp; "/pencil/sn_e8cd878799bcad7b419a0d2ea1ae9704/rendering/03.obj", "1.01689624786")</f>
        <v>1.01689624786</v>
      </c>
      <c r="G2220" s="47" t="str">
        <f>HYPERLINK(AB2 &amp; "/pencil/sn_e8cd878799bcad7b419a0d2ea1ae9704/rendering/04.obj", "1.30335235596")</f>
        <v>1.30335235596</v>
      </c>
      <c r="H2220" s="33" t="str">
        <f>HYPERLINK(AB2 &amp; "/pencil/sn_e8cd878799bcad7b419a0d2ea1ae9704/rendering/05.obj", "1.15397715569")</f>
        <v>1.15397715569</v>
      </c>
      <c r="I2220" s="41" t="str">
        <f>HYPERLINK(AB2 &amp; "/pencil/sn_e8cd878799bcad7b419a0d2ea1ae9704/rendering/06.obj", "1.20623207092")</f>
        <v>1.20623207092</v>
      </c>
      <c r="J2220" s="200" t="str">
        <f>HYPERLINK(AB2 &amp; "/pencil/sn_e8cd878799bcad7b419a0d2ea1ae9704/rendering/07.obj", "1.90974390507")</f>
        <v>1.90974390507</v>
      </c>
      <c r="K2220" s="47" t="str">
        <f>HYPERLINK(AB2 &amp; "/pencil/sn_e8cd878799bcad7b419a0d2ea1ae9704/rendering/08.obj", "1.28364181519")</f>
        <v>1.28364181519</v>
      </c>
      <c r="L2220" s="81" t="str">
        <f>HYPERLINK(AB2 &amp; "/pencil/sn_e8cd878799bcad7b419a0d2ea1ae9704/rendering/09.obj", "1.00915157795")</f>
        <v>1.00915157795</v>
      </c>
      <c r="M2220" s="63" t="str">
        <f>HYPERLINK(AB2 &amp; "/pencil/sn_e8cd878799bcad7b419a0d2ea1ae9704/rendering/10.obj", "1.44660365582")</f>
        <v>1.44660365582</v>
      </c>
      <c r="N2220" s="26" t="str">
        <f>HYPERLINK(AB2 &amp; "/pencil/sn_e8cd878799bcad7b419a0d2ea1ae9704/rendering/11.obj", "1.20919430256")</f>
        <v>1.20919430256</v>
      </c>
      <c r="O2220" s="49" t="str">
        <f>HYPERLINK(AB2 &amp; "/pencil/sn_e8cd878799bcad7b419a0d2ea1ae9704/rendering/12.obj", "1.0224660635")</f>
        <v>1.0224660635</v>
      </c>
      <c r="P2220" s="25" t="str">
        <f>HYPERLINK(AB2 &amp; "/pencil/sn_e8cd878799bcad7b419a0d2ea1ae9704/rendering/13.obj", "1.30413782597")</f>
        <v>1.30413782597</v>
      </c>
      <c r="Q2220" s="28" t="str">
        <f>HYPERLINK(AB2 &amp; "/pencil/sn_e8cd878799bcad7b419a0d2ea1ae9704/rendering/14.obj", "1.14809727669")</f>
        <v>1.14809727669</v>
      </c>
      <c r="R2220" s="93" t="str">
        <f>HYPERLINK(AB2 &amp; "/pencil/sn_e8cd878799bcad7b419a0d2ea1ae9704/rendering/15.obj", "1.47397065163")</f>
        <v>1.47397065163</v>
      </c>
      <c r="S2220" s="31" t="str">
        <f>HYPERLINK(AB2 &amp; "/pencil/sn_e8cd878799bcad7b419a0d2ea1ae9704/rendering/16.obj", "1.0895986557")</f>
        <v>1.0895986557</v>
      </c>
      <c r="T2220" s="213" t="str">
        <f>HYPERLINK(AB2 &amp; "/pencil/sn_e8cd878799bcad7b419a0d2ea1ae9704/rendering/17.obj", "1.93045580387")</f>
        <v>1.93045580387</v>
      </c>
      <c r="U2220" s="33" t="str">
        <f>HYPERLINK(AB2 &amp; "/pencil/sn_e8cd878799bcad7b419a0d2ea1ae9704/rendering/18.obj", "1.15322685242")</f>
        <v>1.15322685242</v>
      </c>
      <c r="V2220" s="80" t="str">
        <f>HYPERLINK(AB2 &amp; "/pencil/sn_e8cd878799bcad7b419a0d2ea1ae9704/rendering/19.obj", "1.0981760025")</f>
        <v>1.0981760025</v>
      </c>
      <c r="W2220" s="12" t="s">
        <v>32</v>
      </c>
      <c r="X2220" s="13">
        <v>1.2918576896190641</v>
      </c>
      <c r="Y2220" s="13">
        <v>0.25898013367430051</v>
      </c>
      <c r="Z2220" s="50">
        <v>0.2004711012330368</v>
      </c>
    </row>
    <row r="2221" spans="1:26" x14ac:dyDescent="0.2">
      <c r="A2221" s="1">
        <v>2219</v>
      </c>
      <c r="B2221" s="2" t="s">
        <v>476</v>
      </c>
      <c r="C2221" s="13" t="str">
        <f>HYPERLINK(AC2 &amp; "/pencil/sn_e8cd878799bcad7b419a0d2ea1ae9704/rendering/00.xyz", "0.0")</f>
        <v>0.0</v>
      </c>
      <c r="D2221" s="13" t="str">
        <f>HYPERLINK(AC2 &amp; "/pencil/sn_e8cd878799bcad7b419a0d2ea1ae9704/rendering/01.xyz", "0.0")</f>
        <v>0.0</v>
      </c>
      <c r="E2221" s="13" t="str">
        <f>HYPERLINK(AC2 &amp; "/pencil/sn_e8cd878799bcad7b419a0d2ea1ae9704/rendering/02.xyz", "0.0")</f>
        <v>0.0</v>
      </c>
      <c r="F2221" s="13" t="str">
        <f>HYPERLINK(AC2 &amp; "/pencil/sn_e8cd878799bcad7b419a0d2ea1ae9704/rendering/03.xyz", "0.0")</f>
        <v>0.0</v>
      </c>
      <c r="G2221" s="13" t="str">
        <f>HYPERLINK(AC2 &amp; "/pencil/sn_e8cd878799bcad7b419a0d2ea1ae9704/rendering/04.xyz", "0.0")</f>
        <v>0.0</v>
      </c>
      <c r="H2221" s="13" t="str">
        <f>HYPERLINK(AC2 &amp; "/pencil/sn_e8cd878799bcad7b419a0d2ea1ae9704/rendering/05.xyz", "0.0")</f>
        <v>0.0</v>
      </c>
      <c r="I2221" s="13" t="str">
        <f>HYPERLINK(AC2 &amp; "/pencil/sn_e8cd878799bcad7b419a0d2ea1ae9704/rendering/06.xyz", "0.0")</f>
        <v>0.0</v>
      </c>
      <c r="J2221" s="13" t="str">
        <f>HYPERLINK(AC2 &amp; "/pencil/sn_e8cd878799bcad7b419a0d2ea1ae9704/rendering/07.xyz", "0.0")</f>
        <v>0.0</v>
      </c>
      <c r="K2221" s="13" t="str">
        <f>HYPERLINK(AC2 &amp; "/pencil/sn_e8cd878799bcad7b419a0d2ea1ae9704/rendering/08.xyz", "0.0")</f>
        <v>0.0</v>
      </c>
      <c r="L2221" s="13" t="str">
        <f>HYPERLINK(AC2 &amp; "/pencil/sn_e8cd878799bcad7b419a0d2ea1ae9704/rendering/09.xyz", "0.0")</f>
        <v>0.0</v>
      </c>
      <c r="M2221" s="13" t="str">
        <f>HYPERLINK(AC2 &amp; "/pencil/sn_e8cd878799bcad7b419a0d2ea1ae9704/rendering/10.xyz", "0.0")</f>
        <v>0.0</v>
      </c>
      <c r="N2221" s="13" t="str">
        <f>HYPERLINK(AC2 &amp; "/pencil/sn_e8cd878799bcad7b419a0d2ea1ae9704/rendering/11.xyz", "0.0")</f>
        <v>0.0</v>
      </c>
      <c r="O2221" s="13" t="str">
        <f>HYPERLINK(AC2 &amp; "/pencil/sn_e8cd878799bcad7b419a0d2ea1ae9704/rendering/12.xyz", "0.0")</f>
        <v>0.0</v>
      </c>
      <c r="P2221" s="13" t="str">
        <f>HYPERLINK(AC2 &amp; "/pencil/sn_e8cd878799bcad7b419a0d2ea1ae9704/rendering/13.xyz", "0.0")</f>
        <v>0.0</v>
      </c>
      <c r="Q2221" s="13" t="str">
        <f>HYPERLINK(AC2 &amp; "/pencil/sn_e8cd878799bcad7b419a0d2ea1ae9704/rendering/14.xyz", "0.0")</f>
        <v>0.0</v>
      </c>
      <c r="R2221" s="13" t="str">
        <f>HYPERLINK(AC2 &amp; "/pencil/sn_e8cd878799bcad7b419a0d2ea1ae9704/rendering/15.xyz", "0.0")</f>
        <v>0.0</v>
      </c>
      <c r="S2221" s="13" t="str">
        <f>HYPERLINK(AC2 &amp; "/pencil/sn_e8cd878799bcad7b419a0d2ea1ae9704/rendering/16.xyz", "0.0")</f>
        <v>0.0</v>
      </c>
      <c r="T2221" s="13" t="str">
        <f>HYPERLINK(AC2 &amp; "/pencil/sn_e8cd878799bcad7b419a0d2ea1ae9704/rendering/17.xyz", "0.0")</f>
        <v>0.0</v>
      </c>
      <c r="U2221" s="13" t="str">
        <f>HYPERLINK(AC2 &amp; "/pencil/sn_e8cd878799bcad7b419a0d2ea1ae9704/rendering/18.xyz", "0.0")</f>
        <v>0.0</v>
      </c>
      <c r="V2221" s="13" t="str">
        <f>HYPERLINK(AC2 &amp; "/pencil/sn_e8cd878799bcad7b419a0d2ea1ae9704/rendering/19.xyz", "0.0")</f>
        <v>0.0</v>
      </c>
      <c r="W2221" s="12" t="s">
        <v>33</v>
      </c>
      <c r="X2221" s="13">
        <v>0</v>
      </c>
      <c r="Y2221" s="13">
        <v>0</v>
      </c>
      <c r="Z2221" s="13">
        <v>0</v>
      </c>
    </row>
    <row r="2222" spans="1:26" x14ac:dyDescent="0.2">
      <c r="A2222" s="1">
        <v>2220</v>
      </c>
      <c r="B2222" s="2" t="s">
        <v>477</v>
      </c>
      <c r="C2222" s="41" t="str">
        <f>HYPERLINK(AA2 &amp; "/pencil/sn_e999259d739f132de434567558a5bf71/rendering/00.obj", "3.67361877441")</f>
        <v>3.67361877441</v>
      </c>
      <c r="D2222" s="6" t="str">
        <f>HYPERLINK(AA2 &amp; "/pencil/sn_e999259d739f132de434567558a5bf71/rendering/01.obj", "3.28206726074")</f>
        <v>3.28206726074</v>
      </c>
      <c r="E2222" s="13" t="str">
        <f>HYPERLINK(AA2 &amp; "/pencil/sn_e999259d739f132de434567558a5bf71/rendering/02.obj", "3.44508636475")</f>
        <v>3.44508636475</v>
      </c>
      <c r="F2222" s="35" t="str">
        <f>HYPERLINK(AA2 &amp; "/pencil/sn_e999259d739f132de434567558a5bf71/rendering/03.obj", "3.24211608887")</f>
        <v>3.24211608887</v>
      </c>
      <c r="G2222" s="34" t="str">
        <f>HYPERLINK(AA2 &amp; "/pencil/sn_e999259d739f132de434567558a5bf71/rendering/04.obj", "3.60987670898")</f>
        <v>3.60987670898</v>
      </c>
      <c r="H2222" s="25" t="str">
        <f>HYPERLINK(AA2 &amp; "/pencil/sn_e999259d739f132de434567558a5bf71/rendering/05.obj", "3.40197631836")</f>
        <v>3.40197631836</v>
      </c>
      <c r="I2222" s="107" t="str">
        <f>HYPERLINK(AA2 &amp; "/pencil/sn_e999259d739f132de434567558a5bf71/rendering/06.obj", "3.72990356445")</f>
        <v>3.72990356445</v>
      </c>
      <c r="J2222" s="110" t="str">
        <f>HYPERLINK(AA2 &amp; "/pencil/sn_e999259d739f132de434567558a5bf71/rendering/07.obj", "3.10253997803")</f>
        <v>3.10253997803</v>
      </c>
      <c r="K2222" s="39" t="str">
        <f>HYPERLINK(AA2 &amp; "/pencil/sn_e999259d739f132de434567558a5bf71/rendering/08.obj", "3.14019683838")</f>
        <v>3.14019683838</v>
      </c>
      <c r="L2222" s="38" t="str">
        <f>HYPERLINK(AA2 &amp; "/pencil/sn_e999259d739f132de434567558a5bf71/rendering/09.obj", "3.13438720703")</f>
        <v>3.13438720703</v>
      </c>
      <c r="M2222" s="84" t="str">
        <f>HYPERLINK(AA2 &amp; "/pencil/sn_e999259d739f132de434567558a5bf71/rendering/10.obj", "2.94300231934")</f>
        <v>2.94300231934</v>
      </c>
      <c r="N2222" s="110" t="str">
        <f>HYPERLINK(AA2 &amp; "/pencil/sn_e999259d739f132de434567558a5bf71/rendering/11.obj", "3.78360534668")</f>
        <v>3.78360534668</v>
      </c>
      <c r="O2222" s="60" t="str">
        <f>HYPERLINK(AA2 &amp; "/pencil/sn_e999259d739f132de434567558a5bf71/rendering/12.obj", "3.2618536377")</f>
        <v>3.2618536377</v>
      </c>
      <c r="P2222" s="33" t="str">
        <f>HYPERLINK(AA2 &amp; "/pencil/sn_e999259d739f132de434567558a5bf71/rendering/13.obj", "3.81367370605")</f>
        <v>3.81367370605</v>
      </c>
      <c r="Q2222" s="27" t="str">
        <f>HYPERLINK(AA2 &amp; "/pencil/sn_e999259d739f132de434567558a5bf71/rendering/14.obj", "3.68007751465")</f>
        <v>3.68007751465</v>
      </c>
      <c r="R2222" s="6" t="str">
        <f>HYPERLINK(AA2 &amp; "/pencil/sn_e999259d739f132de434567558a5bf71/rendering/15.obj", "3.28883056641")</f>
        <v>3.28883056641</v>
      </c>
      <c r="S2222" s="46" t="str">
        <f>HYPERLINK(AA2 &amp; "/pencil/sn_e999259d739f132de434567558a5bf71/rendering/16.obj", "3.50594970703")</f>
        <v>3.50594970703</v>
      </c>
      <c r="T2222" s="32" t="str">
        <f>HYPERLINK(AA2 &amp; "/pencil/sn_e999259d739f132de434567558a5bf71/rendering/17.obj", "3.0753692627")</f>
        <v>3.0753692627</v>
      </c>
      <c r="U2222" s="90" t="str">
        <f>HYPERLINK(AA2 &amp; "/pencil/sn_e999259d739f132de434567558a5bf71/rendering/18.obj", "3.10731048584")</f>
        <v>3.10731048584</v>
      </c>
      <c r="V2222" s="185" t="str">
        <f>HYPERLINK(AA2 &amp; "/pencil/sn_e999259d739f132de434567558a5bf71/rendering/19.obj", "4.61654571533")</f>
        <v>4.61654571533</v>
      </c>
      <c r="W2222" s="12" t="s">
        <v>29</v>
      </c>
      <c r="X2222" s="13">
        <v>3.441899368286133</v>
      </c>
      <c r="Y2222" s="13">
        <v>0.37278120754987182</v>
      </c>
      <c r="Z2222" s="33">
        <v>0.10830682935843509</v>
      </c>
    </row>
    <row r="2223" spans="1:26" x14ac:dyDescent="0.2">
      <c r="A2223" s="1">
        <v>2221</v>
      </c>
      <c r="B2223" s="2" t="s">
        <v>477</v>
      </c>
      <c r="C2223" s="75" t="str">
        <f>HYPERLINK(AA2 &amp; "/pencil/sn_e999259d739f132de434567558a5bf71/rendering/00.obj", "1.00906038284")</f>
        <v>1.00906038284</v>
      </c>
      <c r="D2223" s="110" t="str">
        <f>HYPERLINK(AA2 &amp; "/pencil/sn_e999259d739f132de434567558a5bf71/rendering/01.obj", "1.16657173634")</f>
        <v>1.16657173634</v>
      </c>
      <c r="E2223" s="83" t="str">
        <f>HYPERLINK(AA2 &amp; "/pencil/sn_e999259d739f132de434567558a5bf71/rendering/02.obj", "1.09823286533")</f>
        <v>1.09823286533</v>
      </c>
      <c r="F2223" s="68" t="str">
        <f>HYPERLINK(AA2 &amp; "/pencil/sn_e999259d739f132de434567558a5bf71/rendering/03.obj", "1.34934651852")</f>
        <v>1.34934651852</v>
      </c>
      <c r="G2223" s="27" t="str">
        <f>HYPERLINK(AA2 &amp; "/pencil/sn_e999259d739f132de434567558a5bf71/rendering/04.obj", "1.38418984413")</f>
        <v>1.38418984413</v>
      </c>
      <c r="H2223" s="8" t="str">
        <f>HYPERLINK(AA2 &amp; "/pencil/sn_e999259d739f132de434567558a5bf71/rendering/05.obj", "1.11032176018")</f>
        <v>1.11032176018</v>
      </c>
      <c r="I2223" s="19" t="str">
        <f>HYPERLINK(AA2 &amp; "/pencil/sn_e999259d739f132de434567558a5bf71/rendering/06.obj", "1.63382053375")</f>
        <v>1.63382053375</v>
      </c>
      <c r="J2223" s="42" t="str">
        <f>HYPERLINK(AA2 &amp; "/pencil/sn_e999259d739f132de434567558a5bf71/rendering/07.obj", "1.11852252483")</f>
        <v>1.11852252483</v>
      </c>
      <c r="K2223" s="49" t="str">
        <f>HYPERLINK(AA2 &amp; "/pencil/sn_e999259d739f132de434567558a5bf71/rendering/08.obj", "1.02351856232")</f>
        <v>1.02351856232</v>
      </c>
      <c r="L2223" s="67" t="str">
        <f>HYPERLINK(AA2 &amp; "/pencil/sn_e999259d739f132de434567558a5bf71/rendering/09.obj", "1.17528522015")</f>
        <v>1.17528522015</v>
      </c>
      <c r="M2223" s="108" t="str">
        <f>HYPERLINK(AA2 &amp; "/pencil/sn_e999259d739f132de434567558a5bf71/rendering/10.obj", "0.975430369377")</f>
        <v>0.975430369377</v>
      </c>
      <c r="N2223" s="120" t="str">
        <f>HYPERLINK(AA2 &amp; "/pencil/sn_e999259d739f132de434567558a5bf71/rendering/11.obj", "1.56824350357")</f>
        <v>1.56824350357</v>
      </c>
      <c r="O2223" s="86" t="str">
        <f>HYPERLINK(AA2 &amp; "/pencil/sn_e999259d739f132de434567558a5bf71/rendering/12.obj", "0.947807192802")</f>
        <v>0.947807192802</v>
      </c>
      <c r="P2223" s="14" t="str">
        <f>HYPERLINK(AA2 &amp; "/pencil/sn_e999259d739f132de434567558a5bf71/rendering/13.obj", "1.66884350777")</f>
        <v>1.66884350777</v>
      </c>
      <c r="Q2223" s="25" t="str">
        <f>HYPERLINK(AA2 &amp; "/pencil/sn_e999259d739f132de434567558a5bf71/rendering/14.obj", "1.2789825201")</f>
        <v>1.2789825201</v>
      </c>
      <c r="R2223" s="25" t="str">
        <f>HYPERLINK(AA2 &amp; "/pencil/sn_e999259d739f132de434567558a5bf71/rendering/15.obj", "1.30969130993")</f>
        <v>1.30969130993</v>
      </c>
      <c r="S2223" s="84" t="str">
        <f>HYPERLINK(AA2 &amp; "/pencil/sn_e999259d739f132de434567558a5bf71/rendering/16.obj", "1.10523211956")</f>
        <v>1.10523211956</v>
      </c>
      <c r="T2223" s="113" t="str">
        <f>HYPERLINK(AA2 &amp; "/pencil/sn_e999259d739f132de434567558a5bf71/rendering/17.obj", "0.938182890415")</f>
        <v>0.938182890415</v>
      </c>
      <c r="U2223" s="11" t="str">
        <f>HYPERLINK(AA2 &amp; "/pencil/sn_e999259d739f132de434567558a5bf71/rendering/18.obj", "1.00369644165")</f>
        <v>1.00369644165</v>
      </c>
      <c r="V2223" s="20" t="str">
        <f>HYPERLINK(AA2 &amp; "/pencil/sn_e999259d739f132de434567558a5bf71/rendering/19.obj", "3.00850319862")</f>
        <v>3.00850319862</v>
      </c>
      <c r="W2223" s="12" t="s">
        <v>30</v>
      </c>
      <c r="X2223" s="13">
        <v>1.293674150109291</v>
      </c>
      <c r="Y2223" s="13">
        <v>0.44932012812150518</v>
      </c>
      <c r="Z2223" s="140">
        <v>0.34732094483262738</v>
      </c>
    </row>
    <row r="2224" spans="1:26" x14ac:dyDescent="0.2">
      <c r="A2224" s="1">
        <v>2222</v>
      </c>
      <c r="B2224" s="2" t="s">
        <v>477</v>
      </c>
      <c r="C2224" s="74" t="str">
        <f>HYPERLINK(AB2 &amp; "/pencil/sn_e999259d739f132de434567558a5bf71/rendering/00.obj", "3.14644378662")</f>
        <v>3.14644378662</v>
      </c>
      <c r="D2224" s="46" t="str">
        <f>HYPERLINK(AB2 &amp; "/pencil/sn_e999259d739f132de434567558a5bf71/rendering/01.obj", "3.13034301758")</f>
        <v>3.13034301758</v>
      </c>
      <c r="E2224" s="13" t="str">
        <f>HYPERLINK(AB2 &amp; "/pencil/sn_e999259d739f132de434567558a5bf71/rendering/02.obj", "3.19874816895")</f>
        <v>3.19874816895</v>
      </c>
      <c r="F2224" s="6" t="str">
        <f>HYPERLINK(AB2 &amp; "/pencil/sn_e999259d739f132de434567558a5bf71/rendering/03.obj", "3.04421142578")</f>
        <v>3.04421142578</v>
      </c>
      <c r="G2224" s="33" t="str">
        <f>HYPERLINK(AB2 &amp; "/pencil/sn_e999259d739f132de434567558a5bf71/rendering/04.obj", "3.53576202393")</f>
        <v>3.53576202393</v>
      </c>
      <c r="H2224" s="78" t="str">
        <f>HYPERLINK(AB2 &amp; "/pencil/sn_e999259d739f132de434567558a5bf71/rendering/05.obj", "2.9966192627")</f>
        <v>2.9966192627</v>
      </c>
      <c r="I2224" s="39" t="str">
        <f>HYPERLINK(AB2 &amp; "/pencil/sn_e999259d739f132de434567558a5bf71/rendering/06.obj", "2.91384643555")</f>
        <v>2.91384643555</v>
      </c>
      <c r="J2224" s="78" t="str">
        <f>HYPERLINK(AB2 &amp; "/pencil/sn_e999259d739f132de434567558a5bf71/rendering/07.obj", "2.99068115234")</f>
        <v>2.99068115234</v>
      </c>
      <c r="K2224" s="39" t="str">
        <f>HYPERLINK(AB2 &amp; "/pencil/sn_e999259d739f132de434567558a5bf71/rendering/08.obj", "3.46429168701")</f>
        <v>3.46429168701</v>
      </c>
      <c r="L2224" s="48" t="str">
        <f>HYPERLINK(AB2 &amp; "/pencil/sn_e999259d739f132de434567558a5bf71/rendering/09.obj", "3.11915649414")</f>
        <v>3.11915649414</v>
      </c>
      <c r="M2224" s="108" t="str">
        <f>HYPERLINK(AB2 &amp; "/pencil/sn_e999259d739f132de434567558a5bf71/rendering/10.obj", "3.97426116943")</f>
        <v>3.97426116943</v>
      </c>
      <c r="N2224" s="25" t="str">
        <f>HYPERLINK(AB2 &amp; "/pencil/sn_e999259d739f132de434567558a5bf71/rendering/11.obj", "3.15133758545")</f>
        <v>3.15133758545</v>
      </c>
      <c r="O2224" s="32" t="str">
        <f>HYPERLINK(AB2 &amp; "/pencil/sn_e999259d739f132de434567558a5bf71/rendering/12.obj", "3.52630310059")</f>
        <v>3.52630310059</v>
      </c>
      <c r="P2224" s="68" t="str">
        <f>HYPERLINK(AB2 &amp; "/pencil/sn_e999259d739f132de434567558a5bf71/rendering/13.obj", "3.05446899414")</f>
        <v>3.05446899414</v>
      </c>
      <c r="Q2224" s="10" t="str">
        <f>HYPERLINK(AB2 &amp; "/pencil/sn_e999259d739f132de434567558a5bf71/rendering/14.obj", "3.01776062012")</f>
        <v>3.01776062012</v>
      </c>
      <c r="R2224" s="39" t="str">
        <f>HYPERLINK(AB2 &amp; "/pencil/sn_e999259d739f132de434567558a5bf71/rendering/15.obj", "2.9120690918")</f>
        <v>2.9120690918</v>
      </c>
      <c r="S2224" s="46" t="str">
        <f>HYPERLINK(AB2 &amp; "/pencil/sn_e999259d739f132de434567558a5bf71/rendering/16.obj", "3.24631896973")</f>
        <v>3.24631896973</v>
      </c>
      <c r="T2224" s="51" t="str">
        <f>HYPERLINK(AB2 &amp; "/pencil/sn_e999259d739f132de434567558a5bf71/rendering/17.obj", "3.44121154785")</f>
        <v>3.44121154785</v>
      </c>
      <c r="U2224" s="73" t="str">
        <f>HYPERLINK(AB2 &amp; "/pencil/sn_e999259d739f132de434567558a5bf71/rendering/18.obj", "3.07583709717")</f>
        <v>3.07583709717</v>
      </c>
      <c r="V2224" s="32" t="str">
        <f>HYPERLINK(AB2 &amp; "/pencil/sn_e999259d739f132de434567558a5bf71/rendering/19.obj", "2.85570983887")</f>
        <v>2.85570983887</v>
      </c>
      <c r="W2224" s="12" t="s">
        <v>31</v>
      </c>
      <c r="X2224" s="13">
        <v>3.1897690734863291</v>
      </c>
      <c r="Y2224" s="13">
        <v>0.26701870904889519</v>
      </c>
      <c r="Z2224" s="107">
        <v>8.3710984368235528E-2</v>
      </c>
    </row>
    <row r="2225" spans="1:26" x14ac:dyDescent="0.2">
      <c r="A2225" s="1">
        <v>2223</v>
      </c>
      <c r="B2225" s="2" t="s">
        <v>477</v>
      </c>
      <c r="C2225" s="83" t="str">
        <f>HYPERLINK(AB2 &amp; "/pencil/sn_e999259d739f132de434567558a5bf71/rendering/00.obj", "1.30116343498")</f>
        <v>1.30116343498</v>
      </c>
      <c r="D2225" s="81" t="str">
        <f>HYPERLINK(AB2 &amp; "/pencil/sn_e999259d739f132de434567558a5bf71/rendering/01.obj", "0.882032096386")</f>
        <v>0.882032096386</v>
      </c>
      <c r="E2225" s="76" t="str">
        <f>HYPERLINK(AB2 &amp; "/pencil/sn_e999259d739f132de434567558a5bf71/rendering/02.obj", "1.33635222912")</f>
        <v>1.33635222912</v>
      </c>
      <c r="F2225" s="39" t="str">
        <f>HYPERLINK(AB2 &amp; "/pencil/sn_e999259d739f132de434567558a5bf71/rendering/03.obj", "1.03074479103")</f>
        <v>1.03074479103</v>
      </c>
      <c r="G2225" s="50" t="str">
        <f>HYPERLINK(AB2 &amp; "/pencil/sn_e999259d739f132de434567558a5bf71/rendering/04.obj", "1.35637676716")</f>
        <v>1.35637676716</v>
      </c>
      <c r="H2225" s="23" t="str">
        <f>HYPERLINK(AB2 &amp; "/pencil/sn_e999259d739f132de434567558a5bf71/rendering/05.obj", "1.08671689034")</f>
        <v>1.08671689034</v>
      </c>
      <c r="I2225" s="13" t="str">
        <f>HYPERLINK(AB2 &amp; "/pencil/sn_e999259d739f132de434567558a5bf71/rendering/06.obj", "1.13151037693")</f>
        <v>1.13151037693</v>
      </c>
      <c r="J2225" s="41" t="str">
        <f>HYPERLINK(AB2 &amp; "/pencil/sn_e999259d739f132de434567558a5bf71/rendering/07.obj", "1.05214583874")</f>
        <v>1.05214583874</v>
      </c>
      <c r="K2225" s="10" t="str">
        <f>HYPERLINK(AB2 &amp; "/pencil/sn_e999259d739f132de434567558a5bf71/rendering/08.obj", "1.19305706024")</f>
        <v>1.19305706024</v>
      </c>
      <c r="L2225" s="35" t="str">
        <f>HYPERLINK(AB2 &amp; "/pencil/sn_e999259d739f132de434567558a5bf71/rendering/09.obj", "1.06441807747")</f>
        <v>1.06441807747</v>
      </c>
      <c r="M2225" s="63" t="str">
        <f>HYPERLINK(AB2 &amp; "/pencil/sn_e999259d739f132de434567558a5bf71/rendering/10.obj", "1.26615011692")</f>
        <v>1.26615011692</v>
      </c>
      <c r="N2225" s="5" t="str">
        <f>HYPERLINK(AB2 &amp; "/pencil/sn_e999259d739f132de434567558a5bf71/rendering/11.obj", "1.0421731472")</f>
        <v>1.0421731472</v>
      </c>
      <c r="O2225" s="88" t="str">
        <f>HYPERLINK(AB2 &amp; "/pencil/sn_e999259d739f132de434567558a5bf71/rendering/12.obj", "1.35936176777")</f>
        <v>1.35936176777</v>
      </c>
      <c r="P2225" s="68" t="str">
        <f>HYPERLINK(AB2 &amp; "/pencil/sn_e999259d739f132de434567558a5bf71/rendering/13.obj", "1.08184945583")</f>
        <v>1.08184945583</v>
      </c>
      <c r="Q2225" s="37" t="str">
        <f>HYPERLINK(AB2 &amp; "/pencil/sn_e999259d739f132de434567558a5bf71/rendering/14.obj", "0.93237555027")</f>
        <v>0.93237555027</v>
      </c>
      <c r="R2225" s="107" t="str">
        <f>HYPERLINK(AB2 &amp; "/pencil/sn_e999259d739f132de434567558a5bf71/rendering/15.obj", "1.03536653519")</f>
        <v>1.03536653519</v>
      </c>
      <c r="S2225" s="82" t="str">
        <f>HYPERLINK(AB2 &amp; "/pencil/sn_e999259d739f132de434567558a5bf71/rendering/16.obj", "1.36208808422")</f>
        <v>1.36208808422</v>
      </c>
      <c r="T2225" s="41" t="str">
        <f>HYPERLINK(AB2 &amp; "/pencil/sn_e999259d739f132de434567558a5bf71/rendering/17.obj", "1.20628190041")</f>
        <v>1.20628190041</v>
      </c>
      <c r="U2225" s="109" t="str">
        <f>HYPERLINK(AB2 &amp; "/pencil/sn_e999259d739f132de434567558a5bf71/rendering/18.obj", "0.915433585644")</f>
        <v>0.915433585644</v>
      </c>
      <c r="V2225" s="80" t="str">
        <f>HYPERLINK(AB2 &amp; "/pencil/sn_e999259d739f132de434567558a5bf71/rendering/19.obj", "0.960151433945")</f>
        <v>0.960151433945</v>
      </c>
      <c r="W2225" s="12" t="s">
        <v>32</v>
      </c>
      <c r="X2225" s="13">
        <v>1.1297874569892881</v>
      </c>
      <c r="Y2225" s="13">
        <v>0.15401870826142619</v>
      </c>
      <c r="Z2225" s="42">
        <v>0.13632538342376599</v>
      </c>
    </row>
    <row r="2226" spans="1:26" x14ac:dyDescent="0.2">
      <c r="A2226" s="1">
        <v>2224</v>
      </c>
      <c r="B2226" s="2" t="s">
        <v>477</v>
      </c>
      <c r="C2226" s="13" t="str">
        <f>HYPERLINK(AC2 &amp; "/pencil/sn_e999259d739f132de434567558a5bf71/rendering/00.xyz", "0.0")</f>
        <v>0.0</v>
      </c>
      <c r="D2226" s="13" t="str">
        <f>HYPERLINK(AC2 &amp; "/pencil/sn_e999259d739f132de434567558a5bf71/rendering/01.xyz", "0.0")</f>
        <v>0.0</v>
      </c>
      <c r="E2226" s="13" t="str">
        <f>HYPERLINK(AC2 &amp; "/pencil/sn_e999259d739f132de434567558a5bf71/rendering/02.xyz", "0.0")</f>
        <v>0.0</v>
      </c>
      <c r="F2226" s="13" t="str">
        <f>HYPERLINK(AC2 &amp; "/pencil/sn_e999259d739f132de434567558a5bf71/rendering/03.xyz", "0.0")</f>
        <v>0.0</v>
      </c>
      <c r="G2226" s="13" t="str">
        <f>HYPERLINK(AC2 &amp; "/pencil/sn_e999259d739f132de434567558a5bf71/rendering/04.xyz", "0.0")</f>
        <v>0.0</v>
      </c>
      <c r="H2226" s="13" t="str">
        <f>HYPERLINK(AC2 &amp; "/pencil/sn_e999259d739f132de434567558a5bf71/rendering/05.xyz", "0.0")</f>
        <v>0.0</v>
      </c>
      <c r="I2226" s="13" t="str">
        <f>HYPERLINK(AC2 &amp; "/pencil/sn_e999259d739f132de434567558a5bf71/rendering/06.xyz", "0.0")</f>
        <v>0.0</v>
      </c>
      <c r="J2226" s="13" t="str">
        <f>HYPERLINK(AC2 &amp; "/pencil/sn_e999259d739f132de434567558a5bf71/rendering/07.xyz", "0.0")</f>
        <v>0.0</v>
      </c>
      <c r="K2226" s="13" t="str">
        <f>HYPERLINK(AC2 &amp; "/pencil/sn_e999259d739f132de434567558a5bf71/rendering/08.xyz", "0.0")</f>
        <v>0.0</v>
      </c>
      <c r="L2226" s="13" t="str">
        <f>HYPERLINK(AC2 &amp; "/pencil/sn_e999259d739f132de434567558a5bf71/rendering/09.xyz", "0.0")</f>
        <v>0.0</v>
      </c>
      <c r="M2226" s="13" t="str">
        <f>HYPERLINK(AC2 &amp; "/pencil/sn_e999259d739f132de434567558a5bf71/rendering/10.xyz", "0.0")</f>
        <v>0.0</v>
      </c>
      <c r="N2226" s="13" t="str">
        <f>HYPERLINK(AC2 &amp; "/pencil/sn_e999259d739f132de434567558a5bf71/rendering/11.xyz", "0.0")</f>
        <v>0.0</v>
      </c>
      <c r="O2226" s="13" t="str">
        <f>HYPERLINK(AC2 &amp; "/pencil/sn_e999259d739f132de434567558a5bf71/rendering/12.xyz", "0.0")</f>
        <v>0.0</v>
      </c>
      <c r="P2226" s="13" t="str">
        <f>HYPERLINK(AC2 &amp; "/pencil/sn_e999259d739f132de434567558a5bf71/rendering/13.xyz", "0.0")</f>
        <v>0.0</v>
      </c>
      <c r="Q2226" s="13" t="str">
        <f>HYPERLINK(AC2 &amp; "/pencil/sn_e999259d739f132de434567558a5bf71/rendering/14.xyz", "0.0")</f>
        <v>0.0</v>
      </c>
      <c r="R2226" s="13" t="str">
        <f>HYPERLINK(AC2 &amp; "/pencil/sn_e999259d739f132de434567558a5bf71/rendering/15.xyz", "0.0")</f>
        <v>0.0</v>
      </c>
      <c r="S2226" s="13" t="str">
        <f>HYPERLINK(AC2 &amp; "/pencil/sn_e999259d739f132de434567558a5bf71/rendering/16.xyz", "0.0")</f>
        <v>0.0</v>
      </c>
      <c r="T2226" s="13" t="str">
        <f>HYPERLINK(AC2 &amp; "/pencil/sn_e999259d739f132de434567558a5bf71/rendering/17.xyz", "0.0")</f>
        <v>0.0</v>
      </c>
      <c r="U2226" s="13" t="str">
        <f>HYPERLINK(AC2 &amp; "/pencil/sn_e999259d739f132de434567558a5bf71/rendering/18.xyz", "0.0")</f>
        <v>0.0</v>
      </c>
      <c r="V2226" s="13" t="str">
        <f>HYPERLINK(AC2 &amp; "/pencil/sn_e999259d739f132de434567558a5bf71/rendering/19.xyz", "0.0")</f>
        <v>0.0</v>
      </c>
      <c r="W2226" s="12" t="s">
        <v>33</v>
      </c>
      <c r="X2226" s="13">
        <v>0</v>
      </c>
      <c r="Y2226" s="13">
        <v>0</v>
      </c>
      <c r="Z2226" s="13">
        <v>0</v>
      </c>
    </row>
    <row r="2227" spans="1:26" x14ac:dyDescent="0.2">
      <c r="A2227" s="1">
        <v>2225</v>
      </c>
      <c r="B2227" s="2" t="s">
        <v>478</v>
      </c>
      <c r="C2227" s="136" t="str">
        <f>HYPERLINK(AA2 &amp; "/pencil/sn_ea024c9aac088109edf2c43a0d2763e3/rendering/00.obj", "4.99983428955")</f>
        <v>4.99983428955</v>
      </c>
      <c r="D2227" s="249" t="str">
        <f>HYPERLINK(AA2 &amp; "/pencil/sn_ea024c9aac088109edf2c43a0d2763e3/rendering/01.obj", "10.2915869141")</f>
        <v>10.2915869141</v>
      </c>
      <c r="E2227" s="20" t="str">
        <f>HYPERLINK(AA2 &amp; "/pencil/sn_ea024c9aac088109edf2c43a0d2763e3/rendering/02.obj", "20.2627734375")</f>
        <v>20.2627734375</v>
      </c>
      <c r="F2227" s="146" t="str">
        <f>HYPERLINK(AA2 &amp; "/pencil/sn_ea024c9aac088109edf2c43a0d2763e3/rendering/03.obj", "11.6190795898")</f>
        <v>11.6190795898</v>
      </c>
      <c r="G2227" s="89" t="str">
        <f>HYPERLINK(AA2 &amp; "/pencil/sn_ea024c9aac088109edf2c43a0d2763e3/rendering/04.obj", "4.84780059814")</f>
        <v>4.84780059814</v>
      </c>
      <c r="H2227" s="19" t="str">
        <f>HYPERLINK(AA2 &amp; "/pencil/sn_ea024c9aac088109edf2c43a0d2763e3/rendering/05.obj", "4.82327087402")</f>
        <v>4.82327087402</v>
      </c>
      <c r="I2227" s="42" t="str">
        <f>HYPERLINK(AA2 &amp; "/pencil/sn_ea024c9aac088109edf2c43a0d2763e3/rendering/06.obj", "5.65508666992")</f>
        <v>5.65508666992</v>
      </c>
      <c r="J2227" s="169" t="str">
        <f>HYPERLINK(AA2 &amp; "/pencil/sn_ea024c9aac088109edf2c43a0d2763e3/rendering/07.obj", "4.49341796875")</f>
        <v>4.49341796875</v>
      </c>
      <c r="K2227" s="129" t="str">
        <f>HYPERLINK(AA2 &amp; "/pencil/sn_ea024c9aac088109edf2c43a0d2763e3/rendering/08.obj", "4.91172149658")</f>
        <v>4.91172149658</v>
      </c>
      <c r="L2227" s="54" t="str">
        <f>HYPERLINK(AA2 &amp; "/pencil/sn_ea024c9aac088109edf2c43a0d2763e3/rendering/09.obj", "4.39547668457")</f>
        <v>4.39547668457</v>
      </c>
      <c r="M2227" s="98" t="str">
        <f>HYPERLINK(AA2 &amp; "/pencil/sn_ea024c9aac088109edf2c43a0d2763e3/rendering/10.obj", "8.04147155762")</f>
        <v>8.04147155762</v>
      </c>
      <c r="N2227" s="170" t="str">
        <f>HYPERLINK(AA2 &amp; "/pencil/sn_ea024c9aac088109edf2c43a0d2763e3/rendering/11.obj", "4.89629455566")</f>
        <v>4.89629455566</v>
      </c>
      <c r="O2227" s="171" t="str">
        <f>HYPERLINK(AA2 &amp; "/pencil/sn_ea024c9aac088109edf2c43a0d2763e3/rendering/12.obj", "4.54588562012")</f>
        <v>4.54588562012</v>
      </c>
      <c r="P2227" s="57" t="str">
        <f>HYPERLINK(AA2 &amp; "/pencil/sn_ea024c9aac088109edf2c43a0d2763e3/rendering/13.obj", "4.46974609375")</f>
        <v>4.46974609375</v>
      </c>
      <c r="Q2227" s="117" t="str">
        <f>HYPERLINK(AA2 &amp; "/pencil/sn_ea024c9aac088109edf2c43a0d2763e3/rendering/14.obj", "5.37375488281")</f>
        <v>5.37375488281</v>
      </c>
      <c r="R2227" s="81" t="str">
        <f>HYPERLINK(AA2 &amp; "/pencil/sn_ea024c9aac088109edf2c43a0d2763e3/rendering/15.obj", "5.1189276123")</f>
        <v>5.1189276123</v>
      </c>
      <c r="S2227" s="99" t="str">
        <f>HYPERLINK(AA2 &amp; "/pencil/sn_ea024c9aac088109edf2c43a0d2763e3/rendering/16.obj", "4.76007598877")</f>
        <v>4.76007598877</v>
      </c>
      <c r="T2227" s="166" t="str">
        <f>HYPERLINK(AA2 &amp; "/pencil/sn_ea024c9aac088109edf2c43a0d2763e3/rendering/17.obj", "8.42008850098")</f>
        <v>8.42008850098</v>
      </c>
      <c r="U2227" s="56" t="str">
        <f>HYPERLINK(AA2 &amp; "/pencil/sn_ea024c9aac088109edf2c43a0d2763e3/rendering/18.obj", "4.51701477051")</f>
        <v>4.51701477051</v>
      </c>
      <c r="V2227" s="193" t="str">
        <f>HYPERLINK(AA2 &amp; "/pencil/sn_ea024c9aac088109edf2c43a0d2763e3/rendering/19.obj", "4.37445373535")</f>
        <v>4.37445373535</v>
      </c>
      <c r="W2227" s="12" t="s">
        <v>29</v>
      </c>
      <c r="X2227" s="13">
        <v>6.5408880920410164</v>
      </c>
      <c r="Y2227" s="13">
        <v>3.7461561774340062</v>
      </c>
      <c r="Z2227" s="249">
        <v>0.57272898186292875</v>
      </c>
    </row>
    <row r="2228" spans="1:26" x14ac:dyDescent="0.2">
      <c r="A2228" s="1">
        <v>2226</v>
      </c>
      <c r="B2228" s="2" t="s">
        <v>478</v>
      </c>
      <c r="C2228" s="16" t="str">
        <f>HYPERLINK(AA2 &amp; "/pencil/sn_ea024c9aac088109edf2c43a0d2763e3/rendering/00.obj", "2.90429711342")</f>
        <v>2.90429711342</v>
      </c>
      <c r="D2228" s="208" t="str">
        <f>HYPERLINK(AA2 &amp; "/pencil/sn_ea024c9aac088109edf2c43a0d2763e3/rendering/01.obj", "11.2589836121")</f>
        <v>11.2589836121</v>
      </c>
      <c r="E2228" s="20" t="str">
        <f>HYPERLINK(AA2 &amp; "/pencil/sn_ea024c9aac088109edf2c43a0d2763e3/rendering/02.obj", "41.9704933167")</f>
        <v>41.9704933167</v>
      </c>
      <c r="F2228" s="20" t="str">
        <f>HYPERLINK(AA2 &amp; "/pencil/sn_ea024c9aac088109edf2c43a0d2763e3/rendering/03.obj", "11.9343223572")</f>
        <v>11.9343223572</v>
      </c>
      <c r="G2228" s="142" t="str">
        <f>HYPERLINK(AA2 &amp; "/pencil/sn_ea024c9aac088109edf2c43a0d2763e3/rendering/04.obj", "3.8740541935")</f>
        <v>3.8740541935</v>
      </c>
      <c r="H2228" s="22" t="str">
        <f>HYPERLINK(AA2 &amp; "/pencil/sn_ea024c9aac088109edf2c43a0d2763e3/rendering/05.obj", "3.04165101051")</f>
        <v>3.04165101051</v>
      </c>
      <c r="I2228" s="124" t="str">
        <f>HYPERLINK(AA2 &amp; "/pencil/sn_ea024c9aac088109edf2c43a0d2763e3/rendering/06.obj", "3.95403003693")</f>
        <v>3.95403003693</v>
      </c>
      <c r="J2228" s="189" t="str">
        <f>HYPERLINK(AA2 &amp; "/pencil/sn_ea024c9aac088109edf2c43a0d2763e3/rendering/07.obj", "2.38177251816")</f>
        <v>2.38177251816</v>
      </c>
      <c r="K2228" s="151" t="str">
        <f>HYPERLINK(AA2 &amp; "/pencil/sn_ea024c9aac088109edf2c43a0d2763e3/rendering/08.obj", "4.08211803436")</f>
        <v>4.08211803436</v>
      </c>
      <c r="L2228" s="194" t="str">
        <f>HYPERLINK(AA2 &amp; "/pencil/sn_ea024c9aac088109edf2c43a0d2763e3/rendering/09.obj", "2.41372084618")</f>
        <v>2.41372084618</v>
      </c>
      <c r="M2228" s="51" t="str">
        <f>HYPERLINK(AA2 &amp; "/pencil/sn_ea024c9aac088109edf2c43a0d2763e3/rendering/10.obj", "6.89210700989")</f>
        <v>6.89210700989</v>
      </c>
      <c r="N2228" s="201" t="str">
        <f>HYPERLINK(AA2 &amp; "/pencil/sn_ea024c9aac088109edf2c43a0d2763e3/rendering/11.obj", "2.6771235466")</f>
        <v>2.6771235466</v>
      </c>
      <c r="O2228" s="145" t="str">
        <f>HYPERLINK(AA2 &amp; "/pencil/sn_ea024c9aac088109edf2c43a0d2763e3/rendering/12.obj", "3.24332308769")</f>
        <v>3.24332308769</v>
      </c>
      <c r="P2228" s="167" t="str">
        <f>HYPERLINK(AA2 &amp; "/pencil/sn_ea024c9aac088109edf2c43a0d2763e3/rendering/13.obj", "2.52292752266")</f>
        <v>2.52292752266</v>
      </c>
      <c r="Q2228" s="230" t="str">
        <f>HYPERLINK(AA2 &amp; "/pencil/sn_ea024c9aac088109edf2c43a0d2763e3/rendering/14.obj", "3.46320199966")</f>
        <v>3.46320199966</v>
      </c>
      <c r="R2228" s="203" t="str">
        <f>HYPERLINK(AA2 &amp; "/pencil/sn_ea024c9aac088109edf2c43a0d2763e3/rendering/15.obj", "3.41844344139")</f>
        <v>3.41844344139</v>
      </c>
      <c r="S2228" s="18" t="str">
        <f>HYPERLINK(AA2 &amp; "/pencil/sn_ea024c9aac088109edf2c43a0d2763e3/rendering/16.obj", "2.69590902328")</f>
        <v>2.69590902328</v>
      </c>
      <c r="T2228" s="197" t="str">
        <f>HYPERLINK(AA2 &amp; "/pencil/sn_ea024c9aac088109edf2c43a0d2763e3/rendering/17.obj", "9.99753189087")</f>
        <v>9.99753189087</v>
      </c>
      <c r="U2228" s="256" t="str">
        <f>HYPERLINK(AA2 &amp; "/pencil/sn_ea024c9aac088109edf2c43a0d2763e3/rendering/18.obj", "2.43303465843")</f>
        <v>2.43303465843</v>
      </c>
      <c r="V2228" s="239" t="str">
        <f>HYPERLINK(AA2 &amp; "/pencil/sn_ea024c9aac088109edf2c43a0d2763e3/rendering/19.obj", "2.5007545948")</f>
        <v>2.5007545948</v>
      </c>
      <c r="W2228" s="12" t="s">
        <v>30</v>
      </c>
      <c r="X2228" s="13">
        <v>6.382989990711212</v>
      </c>
      <c r="Y2228" s="13">
        <v>8.6803790726648611</v>
      </c>
      <c r="Z2228" s="20">
        <v>1.3599236541647259</v>
      </c>
    </row>
    <row r="2229" spans="1:26" x14ac:dyDescent="0.2">
      <c r="A2229" s="1">
        <v>2227</v>
      </c>
      <c r="B2229" s="2" t="s">
        <v>478</v>
      </c>
      <c r="C2229" s="26" t="str">
        <f>HYPERLINK(AB2 &amp; "/pencil/sn_ea024c9aac088109edf2c43a0d2763e3/rendering/00.obj", "4.2259753418")</f>
        <v>4.2259753418</v>
      </c>
      <c r="D2229" s="26" t="str">
        <f>HYPERLINK(AB2 &amp; "/pencil/sn_ea024c9aac088109edf2c43a0d2763e3/rendering/01.obj", "4.8065524292")</f>
        <v>4.8065524292</v>
      </c>
      <c r="E2229" s="6" t="str">
        <f>HYPERLINK(AB2 &amp; "/pencil/sn_ea024c9aac088109edf2c43a0d2763e3/rendering/02.obj", "4.71269683838")</f>
        <v>4.71269683838</v>
      </c>
      <c r="F2229" s="28" t="str">
        <f>HYPERLINK(AB2 &amp; "/pencil/sn_ea024c9aac088109edf2c43a0d2763e3/rendering/03.obj", "5.01938964844")</f>
        <v>5.01938964844</v>
      </c>
      <c r="G2229" s="35" t="str">
        <f>HYPERLINK(AB2 &amp; "/pencil/sn_ea024c9aac088109edf2c43a0d2763e3/rendering/04.obj", "4.24661376953")</f>
        <v>4.24661376953</v>
      </c>
      <c r="H2229" s="78" t="str">
        <f>HYPERLINK(AB2 &amp; "/pencil/sn_ea024c9aac088109edf2c43a0d2763e3/rendering/05.obj", "4.78205108643")</f>
        <v>4.78205108643</v>
      </c>
      <c r="I2229" s="47" t="str">
        <f>HYPERLINK(AB2 &amp; "/pencil/sn_ea024c9aac088109edf2c43a0d2763e3/rendering/06.obj", "4.55251403809")</f>
        <v>4.55251403809</v>
      </c>
      <c r="J2229" s="47" t="str">
        <f>HYPERLINK(AB2 &amp; "/pencil/sn_ea024c9aac088109edf2c43a0d2763e3/rendering/07.obj", "4.4708770752")</f>
        <v>4.4708770752</v>
      </c>
      <c r="K2229" s="60" t="str">
        <f>HYPERLINK(AB2 &amp; "/pencil/sn_ea024c9aac088109edf2c43a0d2763e3/rendering/08.obj", "4.2744354248")</f>
        <v>4.2744354248</v>
      </c>
      <c r="L2229" s="46" t="str">
        <f>HYPERLINK(AB2 &amp; "/pencil/sn_ea024c9aac088109edf2c43a0d2763e3/rendering/09.obj", "4.4349810791")</f>
        <v>4.4349810791</v>
      </c>
      <c r="M2229" s="6" t="str">
        <f>HYPERLINK(AB2 &amp; "/pencil/sn_ea024c9aac088109edf2c43a0d2763e3/rendering/10.obj", "4.71495819092")</f>
        <v>4.71495819092</v>
      </c>
      <c r="N2229" s="69" t="str">
        <f>HYPERLINK(AB2 &amp; "/pencil/sn_ea024c9aac088109edf2c43a0d2763e3/rendering/11.obj", "4.37514770508")</f>
        <v>4.37514770508</v>
      </c>
      <c r="O2229" s="10" t="str">
        <f>HYPERLINK(AB2 &amp; "/pencil/sn_ea024c9aac088109edf2c43a0d2763e3/rendering/12.obj", "4.26389343262")</f>
        <v>4.26389343262</v>
      </c>
      <c r="P2229" s="5" t="str">
        <f>HYPERLINK(AB2 &amp; "/pencil/sn_ea024c9aac088109edf2c43a0d2763e3/rendering/13.obj", "4.17229125977")</f>
        <v>4.17229125977</v>
      </c>
      <c r="Q2229" s="74" t="str">
        <f>HYPERLINK(AB2 &amp; "/pencil/sn_ea024c9aac088109edf2c43a0d2763e3/rendering/14.obj", "4.44405334473")</f>
        <v>4.44405334473</v>
      </c>
      <c r="R2229" s="70" t="str">
        <f>HYPERLINK(AB2 &amp; "/pencil/sn_ea024c9aac088109edf2c43a0d2763e3/rendering/15.obj", "5.08917266846")</f>
        <v>5.08917266846</v>
      </c>
      <c r="S2229" s="94" t="str">
        <f>HYPERLINK(AB2 &amp; "/pencil/sn_ea024c9aac088109edf2c43a0d2763e3/rendering/16.obj", "4.83871276855")</f>
        <v>4.83871276855</v>
      </c>
      <c r="T2229" s="39" t="str">
        <f>HYPERLINK(AB2 &amp; "/pencil/sn_ea024c9aac088109edf2c43a0d2763e3/rendering/17.obj", "4.8997076416")</f>
        <v>4.8997076416</v>
      </c>
      <c r="U2229" s="93" t="str">
        <f>HYPERLINK(AB2 &amp; "/pencil/sn_ea024c9aac088109edf2c43a0d2763e3/rendering/18.obj", "3.87884643555")</f>
        <v>3.87884643555</v>
      </c>
      <c r="V2229" s="32" t="str">
        <f>HYPERLINK(AB2 &amp; "/pencil/sn_ea024c9aac088109edf2c43a0d2763e3/rendering/19.obj", "4.04086975098")</f>
        <v>4.04086975098</v>
      </c>
      <c r="W2229" s="12" t="s">
        <v>31</v>
      </c>
      <c r="X2229" s="13">
        <v>4.5121869964599606</v>
      </c>
      <c r="Y2229" s="13">
        <v>0.32633440580283463</v>
      </c>
      <c r="Z2229" s="94">
        <v>7.2322890442896179E-2</v>
      </c>
    </row>
    <row r="2230" spans="1:26" x14ac:dyDescent="0.2">
      <c r="A2230" s="1">
        <v>2228</v>
      </c>
      <c r="B2230" s="2" t="s">
        <v>478</v>
      </c>
      <c r="C2230" s="55" t="str">
        <f>HYPERLINK(AB2 &amp; "/pencil/sn_ea024c9aac088109edf2c43a0d2763e3/rendering/00.obj", "2.19445347786")</f>
        <v>2.19445347786</v>
      </c>
      <c r="D2230" s="90" t="str">
        <f>HYPERLINK(AB2 &amp; "/pencil/sn_ea024c9aac088109edf2c43a0d2763e3/rendering/01.obj", "2.97559070587")</f>
        <v>2.97559070587</v>
      </c>
      <c r="E2230" s="10" t="str">
        <f>HYPERLINK(AB2 &amp; "/pencil/sn_ea024c9aac088109edf2c43a0d2763e3/rendering/02.obj", "2.86937761307")</f>
        <v>2.86937761307</v>
      </c>
      <c r="F2230" s="28" t="str">
        <f>HYPERLINK(AB2 &amp; "/pencil/sn_ea024c9aac088109edf2c43a0d2763e3/rendering/03.obj", "3.01749300957")</f>
        <v>3.01749300957</v>
      </c>
      <c r="G2230" s="87" t="str">
        <f>HYPERLINK(AB2 &amp; "/pencil/sn_ea024c9aac088109edf2c43a0d2763e3/rendering/04.obj", "2.1009516716")</f>
        <v>2.1009516716</v>
      </c>
      <c r="H2230" s="109" t="str">
        <f>HYPERLINK(AB2 &amp; "/pencil/sn_ea024c9aac088109edf2c43a0d2763e3/rendering/05.obj", "3.22865557671")</f>
        <v>3.22865557671</v>
      </c>
      <c r="I2230" s="48" t="str">
        <f>HYPERLINK(AB2 &amp; "/pencil/sn_ea024c9aac088109edf2c43a0d2763e3/rendering/06.obj", "2.64977788925")</f>
        <v>2.64977788925</v>
      </c>
      <c r="J2230" s="69" t="str">
        <f>HYPERLINK(AB2 &amp; "/pencil/sn_ea024c9aac088109edf2c43a0d2763e3/rendering/07.obj", "2.63456368446")</f>
        <v>2.63456368446</v>
      </c>
      <c r="K2230" s="75" t="str">
        <f>HYPERLINK(AB2 &amp; "/pencil/sn_ea024c9aac088109edf2c43a0d2763e3/rendering/08.obj", "2.1124458313")</f>
        <v>2.1124458313</v>
      </c>
      <c r="L2230" s="72" t="str">
        <f>HYPERLINK(AB2 &amp; "/pencil/sn_ea024c9aac088109edf2c43a0d2763e3/rendering/09.obj", "2.63153958321")</f>
        <v>2.63153958321</v>
      </c>
      <c r="M2230" s="92" t="str">
        <f>HYPERLINK(AB2 &amp; "/pencil/sn_ea024c9aac088109edf2c43a0d2763e3/rendering/10.obj", "3.0576839447")</f>
        <v>3.0576839447</v>
      </c>
      <c r="N2230" s="10" t="str">
        <f>HYPERLINK(AB2 &amp; "/pencil/sn_ea024c9aac088109edf2c43a0d2763e3/rendering/11.obj", "2.57150888443")</f>
        <v>2.57150888443</v>
      </c>
      <c r="O2230" s="175" t="str">
        <f>HYPERLINK(AB2 &amp; "/pencil/sn_ea024c9aac088109edf2c43a0d2763e3/rendering/12.obj", "2.0824432373")</f>
        <v>2.0824432373</v>
      </c>
      <c r="P2230" s="134" t="str">
        <f>HYPERLINK(AB2 &amp; "/pencil/sn_ea024c9aac088109edf2c43a0d2763e3/rendering/13.obj", "2.22351145744")</f>
        <v>2.22351145744</v>
      </c>
      <c r="Q2230" s="106" t="str">
        <f>HYPERLINK(AB2 &amp; "/pencil/sn_ea024c9aac088109edf2c43a0d2763e3/rendering/14.obj", "3.0288438797")</f>
        <v>3.0288438797</v>
      </c>
      <c r="R2230" s="156" t="str">
        <f>HYPERLINK(AB2 &amp; "/pencil/sn_ea024c9aac088109edf2c43a0d2763e3/rendering/15.obj", "3.93093347549")</f>
        <v>3.93093347549</v>
      </c>
      <c r="S2230" s="80" t="str">
        <f>HYPERLINK(AB2 &amp; "/pencil/sn_ea024c9aac088109edf2c43a0d2763e3/rendering/16.obj", "3.11778974533")</f>
        <v>3.11778974533</v>
      </c>
      <c r="T2230" s="103" t="str">
        <f>HYPERLINK(AB2 &amp; "/pencil/sn_ea024c9aac088109edf2c43a0d2763e3/rendering/17.obj", "3.5976729393")</f>
        <v>3.5976729393</v>
      </c>
      <c r="U2230" s="75" t="str">
        <f>HYPERLINK(AB2 &amp; "/pencil/sn_ea024c9aac088109edf2c43a0d2763e3/rendering/18.obj", "2.11543750763")</f>
        <v>2.11543750763</v>
      </c>
      <c r="V2230" s="109" t="str">
        <f>HYPERLINK(AB2 &amp; "/pencil/sn_ea024c9aac088109edf2c43a0d2763e3/rendering/19.obj", "2.20176410675")</f>
        <v>2.20176410675</v>
      </c>
      <c r="W2230" s="12" t="s">
        <v>32</v>
      </c>
      <c r="X2230" s="13">
        <v>2.7171219110488889</v>
      </c>
      <c r="Y2230" s="13">
        <v>0.51945739475629249</v>
      </c>
      <c r="Z2230" s="109">
        <v>0.19117927415916591</v>
      </c>
    </row>
    <row r="2231" spans="1:26" x14ac:dyDescent="0.2">
      <c r="A2231" s="1">
        <v>2229</v>
      </c>
      <c r="B2231" s="2" t="s">
        <v>478</v>
      </c>
      <c r="C2231" s="13" t="str">
        <f>HYPERLINK(AC2 &amp; "/pencil/sn_ea024c9aac088109edf2c43a0d2763e3/rendering/00.xyz", "0.0")</f>
        <v>0.0</v>
      </c>
      <c r="D2231" s="13" t="str">
        <f>HYPERLINK(AC2 &amp; "/pencil/sn_ea024c9aac088109edf2c43a0d2763e3/rendering/01.xyz", "0.0")</f>
        <v>0.0</v>
      </c>
      <c r="E2231" s="13" t="str">
        <f>HYPERLINK(AC2 &amp; "/pencil/sn_ea024c9aac088109edf2c43a0d2763e3/rendering/02.xyz", "0.0")</f>
        <v>0.0</v>
      </c>
      <c r="F2231" s="13" t="str">
        <f>HYPERLINK(AC2 &amp; "/pencil/sn_ea024c9aac088109edf2c43a0d2763e3/rendering/03.xyz", "0.0")</f>
        <v>0.0</v>
      </c>
      <c r="G2231" s="13" t="str">
        <f>HYPERLINK(AC2 &amp; "/pencil/sn_ea024c9aac088109edf2c43a0d2763e3/rendering/04.xyz", "0.0")</f>
        <v>0.0</v>
      </c>
      <c r="H2231" s="13" t="str">
        <f>HYPERLINK(AC2 &amp; "/pencil/sn_ea024c9aac088109edf2c43a0d2763e3/rendering/05.xyz", "0.0")</f>
        <v>0.0</v>
      </c>
      <c r="I2231" s="13" t="str">
        <f>HYPERLINK(AC2 &amp; "/pencil/sn_ea024c9aac088109edf2c43a0d2763e3/rendering/06.xyz", "0.0")</f>
        <v>0.0</v>
      </c>
      <c r="J2231" s="13" t="str">
        <f>HYPERLINK(AC2 &amp; "/pencil/sn_ea024c9aac088109edf2c43a0d2763e3/rendering/07.xyz", "0.0")</f>
        <v>0.0</v>
      </c>
      <c r="K2231" s="13" t="str">
        <f>HYPERLINK(AC2 &amp; "/pencil/sn_ea024c9aac088109edf2c43a0d2763e3/rendering/08.xyz", "0.0")</f>
        <v>0.0</v>
      </c>
      <c r="L2231" s="13" t="str">
        <f>HYPERLINK(AC2 &amp; "/pencil/sn_ea024c9aac088109edf2c43a0d2763e3/rendering/09.xyz", "0.0")</f>
        <v>0.0</v>
      </c>
      <c r="M2231" s="13" t="str">
        <f>HYPERLINK(AC2 &amp; "/pencil/sn_ea024c9aac088109edf2c43a0d2763e3/rendering/10.xyz", "0.0")</f>
        <v>0.0</v>
      </c>
      <c r="N2231" s="13" t="str">
        <f>HYPERLINK(AC2 &amp; "/pencil/sn_ea024c9aac088109edf2c43a0d2763e3/rendering/11.xyz", "0.0")</f>
        <v>0.0</v>
      </c>
      <c r="O2231" s="13" t="str">
        <f>HYPERLINK(AC2 &amp; "/pencil/sn_ea024c9aac088109edf2c43a0d2763e3/rendering/12.xyz", "0.0")</f>
        <v>0.0</v>
      </c>
      <c r="P2231" s="13" t="str">
        <f>HYPERLINK(AC2 &amp; "/pencil/sn_ea024c9aac088109edf2c43a0d2763e3/rendering/13.xyz", "0.0")</f>
        <v>0.0</v>
      </c>
      <c r="Q2231" s="13" t="str">
        <f>HYPERLINK(AC2 &amp; "/pencil/sn_ea024c9aac088109edf2c43a0d2763e3/rendering/14.xyz", "0.0")</f>
        <v>0.0</v>
      </c>
      <c r="R2231" s="13" t="str">
        <f>HYPERLINK(AC2 &amp; "/pencil/sn_ea024c9aac088109edf2c43a0d2763e3/rendering/15.xyz", "0.0")</f>
        <v>0.0</v>
      </c>
      <c r="S2231" s="13" t="str">
        <f>HYPERLINK(AC2 &amp; "/pencil/sn_ea024c9aac088109edf2c43a0d2763e3/rendering/16.xyz", "0.0")</f>
        <v>0.0</v>
      </c>
      <c r="T2231" s="13" t="str">
        <f>HYPERLINK(AC2 &amp; "/pencil/sn_ea024c9aac088109edf2c43a0d2763e3/rendering/17.xyz", "0.0")</f>
        <v>0.0</v>
      </c>
      <c r="U2231" s="13" t="str">
        <f>HYPERLINK(AC2 &amp; "/pencil/sn_ea024c9aac088109edf2c43a0d2763e3/rendering/18.xyz", "0.0")</f>
        <v>0.0</v>
      </c>
      <c r="V2231" s="13" t="str">
        <f>HYPERLINK(AC2 &amp; "/pencil/sn_ea024c9aac088109edf2c43a0d2763e3/rendering/19.xyz", "0.0")</f>
        <v>0.0</v>
      </c>
      <c r="W2231" s="12" t="s">
        <v>33</v>
      </c>
      <c r="X2231" s="13">
        <v>0</v>
      </c>
      <c r="Y2231" s="13">
        <v>0</v>
      </c>
      <c r="Z2231" s="13">
        <v>0</v>
      </c>
    </row>
    <row r="2232" spans="1:26" x14ac:dyDescent="0.2">
      <c r="A2232" s="1">
        <v>2230</v>
      </c>
      <c r="B2232" s="2" t="s">
        <v>479</v>
      </c>
      <c r="C2232" s="76" t="str">
        <f>HYPERLINK(AA2 &amp; "/pencil/sn_ea2a5232937ac313cc4615437a5f2a66/rendering/00.obj", "3.2270199585")</f>
        <v>3.2270199585</v>
      </c>
      <c r="D2232" s="13" t="str">
        <f>HYPERLINK(AA2 &amp; "/pencil/sn_ea2a5232937ac313cc4615437a5f2a66/rendering/01.obj", "3.94313903809")</f>
        <v>3.94313903809</v>
      </c>
      <c r="E2232" s="171" t="str">
        <f>HYPERLINK(AA2 &amp; "/pencil/sn_ea2a5232937ac313cc4615437a5f2a66/rendering/02.obj", "5.14836669922")</f>
        <v>5.14836669922</v>
      </c>
      <c r="F2232" s="23" t="str">
        <f>HYPERLINK(AA2 &amp; "/pencil/sn_ea2a5232937ac313cc4615437a5f2a66/rendering/03.obj", "3.79615875244")</f>
        <v>3.79615875244</v>
      </c>
      <c r="G2232" s="37" t="str">
        <f>HYPERLINK(AA2 &amp; "/pencil/sn_ea2a5232937ac313cc4615437a5f2a66/rendering/04.obj", "3.26211791992")</f>
        <v>3.26211791992</v>
      </c>
      <c r="H2232" s="53" t="str">
        <f>HYPERLINK(AA2 &amp; "/pencil/sn_ea2a5232937ac313cc4615437a5f2a66/rendering/05.obj", "5.57486816406")</f>
        <v>5.57486816406</v>
      </c>
      <c r="I2232" s="81" t="str">
        <f>HYPERLINK(AA2 &amp; "/pencil/sn_ea2a5232937ac313cc4615437a5f2a66/rendering/06.obj", "3.08479553223")</f>
        <v>3.08479553223</v>
      </c>
      <c r="J2232" s="122" t="str">
        <f>HYPERLINK(AA2 &amp; "/pencil/sn_ea2a5232937ac313cc4615437a5f2a66/rendering/07.obj", "5.54190185547")</f>
        <v>5.54190185547</v>
      </c>
      <c r="K2232" s="107" t="str">
        <f>HYPERLINK(AA2 &amp; "/pencil/sn_ea2a5232937ac313cc4615437a5f2a66/rendering/08.obj", "4.26971313477")</f>
        <v>4.26971313477</v>
      </c>
      <c r="L2232" s="32" t="str">
        <f>HYPERLINK(AA2 &amp; "/pencil/sn_ea2a5232937ac313cc4615437a5f2a66/rendering/09.obj", "3.52717926025")</f>
        <v>3.52717926025</v>
      </c>
      <c r="M2232" s="42" t="str">
        <f>HYPERLINK(AA2 &amp; "/pencil/sn_ea2a5232937ac313cc4615437a5f2a66/rendering/10.obj", "3.41345092773")</f>
        <v>3.41345092773</v>
      </c>
      <c r="N2232" s="36" t="str">
        <f>HYPERLINK(AA2 &amp; "/pencil/sn_ea2a5232937ac313cc4615437a5f2a66/rendering/11.obj", "3.09388214111")</f>
        <v>3.09388214111</v>
      </c>
      <c r="O2232" s="36" t="str">
        <f>HYPERLINK(AA2 &amp; "/pencil/sn_ea2a5232937ac313cc4615437a5f2a66/rendering/12.obj", "3.09373718262")</f>
        <v>3.09373718262</v>
      </c>
      <c r="P2232" s="38" t="str">
        <f>HYPERLINK(AA2 &amp; "/pencil/sn_ea2a5232937ac313cc4615437a5f2a66/rendering/13.obj", "3.59687561035")</f>
        <v>3.59687561035</v>
      </c>
      <c r="Q2232" s="63" t="str">
        <f>HYPERLINK(AA2 &amp; "/pencil/sn_ea2a5232937ac313cc4615437a5f2a66/rendering/14.obj", "3.47430541992")</f>
        <v>3.47430541992</v>
      </c>
      <c r="R2232" s="31" t="str">
        <f>HYPERLINK(AA2 &amp; "/pencil/sn_ea2a5232937ac313cc4615437a5f2a66/rendering/15.obj", "3.33655151367")</f>
        <v>3.33655151367</v>
      </c>
      <c r="S2232" s="134" t="str">
        <f>HYPERLINK(AA2 &amp; "/pencil/sn_ea2a5232937ac313cc4615437a5f2a66/rendering/16.obj", "3.23512054443")</f>
        <v>3.23512054443</v>
      </c>
      <c r="T2232" s="258" t="str">
        <f>HYPERLINK(AA2 &amp; "/pencil/sn_ea2a5232937ac313cc4615437a5f2a66/rendering/17.obj", "6.94189331055")</f>
        <v>6.94189331055</v>
      </c>
      <c r="U2232" s="40" t="str">
        <f>HYPERLINK(AA2 &amp; "/pencil/sn_ea2a5232937ac313cc4615437a5f2a66/rendering/18.obj", "3.26877044678")</f>
        <v>3.26877044678</v>
      </c>
      <c r="V2232" s="73" t="str">
        <f>HYPERLINK(AA2 &amp; "/pencil/sn_ea2a5232937ac313cc4615437a5f2a66/rendering/19.obj", "4.08679718018")</f>
        <v>4.08679718018</v>
      </c>
      <c r="W2232" s="12" t="s">
        <v>29</v>
      </c>
      <c r="X2232" s="13">
        <v>3.9458322296142581</v>
      </c>
      <c r="Y2232" s="13">
        <v>1.0267869169271391</v>
      </c>
      <c r="Z2232" s="89">
        <v>0.26022062195673162</v>
      </c>
    </row>
    <row r="2233" spans="1:26" x14ac:dyDescent="0.2">
      <c r="A2233" s="1">
        <v>2231</v>
      </c>
      <c r="B2233" s="2" t="s">
        <v>479</v>
      </c>
      <c r="C2233" s="156" t="str">
        <f>HYPERLINK(AA2 &amp; "/pencil/sn_ea2a5232937ac313cc4615437a5f2a66/rendering/00.obj", "1.02182137966")</f>
        <v>1.02182137966</v>
      </c>
      <c r="D2233" s="94" t="str">
        <f>HYPERLINK(AA2 &amp; "/pencil/sn_ea2a5232937ac313cc4615437a5f2a66/rendering/01.obj", "1.7144844532")</f>
        <v>1.7144844532</v>
      </c>
      <c r="E2233" s="178" t="str">
        <f>HYPERLINK(AA2 &amp; "/pencil/sn_ea2a5232937ac313cc4615437a5f2a66/rendering/02.obj", "3.04591321945")</f>
        <v>3.04591321945</v>
      </c>
      <c r="F2233" s="14" t="str">
        <f>HYPERLINK(AA2 &amp; "/pencil/sn_ea2a5232937ac313cc4615437a5f2a66/rendering/03.obj", "1.31242108345")</f>
        <v>1.31242108345</v>
      </c>
      <c r="G2233" s="102" t="str">
        <f>HYPERLINK(AA2 &amp; "/pencil/sn_ea2a5232937ac313cc4615437a5f2a66/rendering/04.obj", "0.928033411503")</f>
        <v>0.928033411503</v>
      </c>
      <c r="H2233" s="20" t="str">
        <f>HYPERLINK(AA2 &amp; "/pencil/sn_ea2a5232937ac313cc4615437a5f2a66/rendering/05.obj", "3.93422198296")</f>
        <v>3.93422198296</v>
      </c>
      <c r="I2233" s="116" t="str">
        <f>HYPERLINK(AA2 &amp; "/pencil/sn_ea2a5232937ac313cc4615437a5f2a66/rendering/06.obj", "1.03839254379")</f>
        <v>1.03839254379</v>
      </c>
      <c r="J2233" s="245" t="str">
        <f>HYPERLINK(AA2 &amp; "/pencil/sn_ea2a5232937ac313cc4615437a5f2a66/rendering/07.obj", "3.17701911926")</f>
        <v>3.17701911926</v>
      </c>
      <c r="K2233" s="109" t="str">
        <f>HYPERLINK(AA2 &amp; "/pencil/sn_ea2a5232937ac313cc4615437a5f2a66/rendering/08.obj", "2.19660544395")</f>
        <v>2.19660544395</v>
      </c>
      <c r="L2233" s="230" t="str">
        <f>HYPERLINK(AA2 &amp; "/pencil/sn_ea2a5232937ac313cc4615437a5f2a66/rendering/09.obj", "1.00694870949")</f>
        <v>1.00694870949</v>
      </c>
      <c r="M2233" s="179" t="str">
        <f>HYPERLINK(AA2 &amp; "/pencil/sn_ea2a5232937ac313cc4615437a5f2a66/rendering/10.obj", "1.05629658699")</f>
        <v>1.05629658699</v>
      </c>
      <c r="N2233" s="192" t="str">
        <f>HYPERLINK(AA2 &amp; "/pencil/sn_ea2a5232937ac313cc4615437a5f2a66/rendering/11.obj", "1.1640021801")</f>
        <v>1.1640021801</v>
      </c>
      <c r="O2233" s="159" t="str">
        <f>HYPERLINK(AA2 &amp; "/pencil/sn_ea2a5232937ac313cc4615437a5f2a66/rendering/12.obj", "0.983078062534")</f>
        <v>0.983078062534</v>
      </c>
      <c r="P2233" s="137" t="str">
        <f>HYPERLINK(AA2 &amp; "/pencil/sn_ea2a5232937ac313cc4615437a5f2a66/rendering/13.obj", "1.17008173466")</f>
        <v>1.17008173466</v>
      </c>
      <c r="Q2233" s="157" t="str">
        <f>HYPERLINK(AA2 &amp; "/pencil/sn_ea2a5232937ac313cc4615437a5f2a66/rendering/14.obj", "1.08013510704")</f>
        <v>1.08013510704</v>
      </c>
      <c r="R2233" s="212" t="str">
        <f>HYPERLINK(AA2 &amp; "/pencil/sn_ea2a5232937ac313cc4615437a5f2a66/rendering/15.obj", "1.05074477196")</f>
        <v>1.05074477196</v>
      </c>
      <c r="S2233" s="158" t="str">
        <f>HYPERLINK(AA2 &amp; "/pencil/sn_ea2a5232937ac313cc4615437a5f2a66/rendering/16.obj", "1.09295892715")</f>
        <v>1.09295892715</v>
      </c>
      <c r="T2233" s="20" t="str">
        <f>HYPERLINK(AA2 &amp; "/pencil/sn_ea2a5232937ac313cc4615437a5f2a66/rendering/17.obj", "7.07491540909")</f>
        <v>7.07491540909</v>
      </c>
      <c r="U2233" s="52" t="str">
        <f>HYPERLINK(AA2 &amp; "/pencil/sn_ea2a5232937ac313cc4615437a5f2a66/rendering/18.obj", "1.11050665379")</f>
        <v>1.11050665379</v>
      </c>
      <c r="V2233" s="17" t="str">
        <f>HYPERLINK(AA2 &amp; "/pencil/sn_ea2a5232937ac313cc4615437a5f2a66/rendering/19.obj", "1.80776882172")</f>
        <v>1.80776882172</v>
      </c>
      <c r="W2233" s="12" t="s">
        <v>30</v>
      </c>
      <c r="X2233" s="13">
        <v>1.8483174800872799</v>
      </c>
      <c r="Y2233" s="13">
        <v>1.463477633212352</v>
      </c>
      <c r="Z2233" s="259">
        <v>0.79178909953459087</v>
      </c>
    </row>
    <row r="2234" spans="1:26" x14ac:dyDescent="0.2">
      <c r="A2234" s="1">
        <v>2232</v>
      </c>
      <c r="B2234" s="2" t="s">
        <v>479</v>
      </c>
      <c r="C2234" s="67" t="str">
        <f>HYPERLINK(AB2 &amp; "/pencil/sn_ea2a5232937ac313cc4615437a5f2a66/rendering/00.obj", "3.49249755859")</f>
        <v>3.49249755859</v>
      </c>
      <c r="D2234" s="42" t="str">
        <f>HYPERLINK(AB2 &amp; "/pencil/sn_ea2a5232937ac313cc4615437a5f2a66/rendering/01.obj", "3.63039001465")</f>
        <v>3.63039001465</v>
      </c>
      <c r="E2234" s="31" t="str">
        <f>HYPERLINK(AB2 &amp; "/pencil/sn_ea2a5232937ac313cc4615437a5f2a66/rendering/02.obj", "3.6977243042")</f>
        <v>3.6977243042</v>
      </c>
      <c r="F2234" s="6" t="str">
        <f>HYPERLINK(AB2 &amp; "/pencil/sn_ea2a5232937ac313cc4615437a5f2a66/rendering/03.obj", "3.05035919189")</f>
        <v>3.05035919189</v>
      </c>
      <c r="G2234" s="46" t="str">
        <f>HYPERLINK(AB2 &amp; "/pencil/sn_ea2a5232937ac313cc4615437a5f2a66/rendering/04.obj", "3.25703430176")</f>
        <v>3.25703430176</v>
      </c>
      <c r="H2234" s="68" t="str">
        <f>HYPERLINK(AB2 &amp; "/pencil/sn_ea2a5232937ac313cc4615437a5f2a66/rendering/05.obj", "3.06271240234")</f>
        <v>3.06271240234</v>
      </c>
      <c r="I2234" s="23" t="str">
        <f>HYPERLINK(AB2 &amp; "/pencil/sn_ea2a5232937ac313cc4615437a5f2a66/rendering/06.obj", "3.32147399902")</f>
        <v>3.32147399902</v>
      </c>
      <c r="J2234" s="6" t="str">
        <f>HYPERLINK(AB2 &amp; "/pencil/sn_ea2a5232937ac313cc4615437a5f2a66/rendering/07.obj", "3.05710601807")</f>
        <v>3.05710601807</v>
      </c>
      <c r="K2234" s="74" t="str">
        <f>HYPERLINK(AB2 &amp; "/pencil/sn_ea2a5232937ac313cc4615437a5f2a66/rendering/08.obj", "3.15606872559")</f>
        <v>3.15606872559</v>
      </c>
      <c r="L2234" s="107" t="str">
        <f>HYPERLINK(AB2 &amp; "/pencil/sn_ea2a5232937ac313cc4615437a5f2a66/rendering/09.obj", "2.93278198242")</f>
        <v>2.93278198242</v>
      </c>
      <c r="M2234" s="78" t="str">
        <f>HYPERLINK(AB2 &amp; "/pencil/sn_ea2a5232937ac313cc4615437a5f2a66/rendering/10.obj", "3.005262146")</f>
        <v>3.005262146</v>
      </c>
      <c r="N2234" s="23" t="str">
        <f>HYPERLINK(AB2 &amp; "/pencil/sn_ea2a5232937ac313cc4615437a5f2a66/rendering/11.obj", "3.07621520996")</f>
        <v>3.07621520996</v>
      </c>
      <c r="O2234" s="25" t="str">
        <f>HYPERLINK(AB2 &amp; "/pencil/sn_ea2a5232937ac313cc4615437a5f2a66/rendering/12.obj", "3.23286560059")</f>
        <v>3.23286560059</v>
      </c>
      <c r="P2234" s="69" t="str">
        <f>HYPERLINK(AB2 &amp; "/pencil/sn_ea2a5232937ac313cc4615437a5f2a66/rendering/13.obj", "3.10508117676")</f>
        <v>3.10508117676</v>
      </c>
      <c r="Q2234" s="34" t="str">
        <f>HYPERLINK(AB2 &amp; "/pencil/sn_ea2a5232937ac313cc4615437a5f2a66/rendering/14.obj", "3.35139007568")</f>
        <v>3.35139007568</v>
      </c>
      <c r="R2234" s="39" t="str">
        <f>HYPERLINK(AB2 &amp; "/pencil/sn_ea2a5232937ac313cc4615437a5f2a66/rendering/15.obj", "3.47430938721")</f>
        <v>3.47430938721</v>
      </c>
      <c r="S2234" s="25" t="str">
        <f>HYPERLINK(AB2 &amp; "/pencil/sn_ea2a5232937ac313cc4615437a5f2a66/rendering/16.obj", "3.1590032959")</f>
        <v>3.1590032959</v>
      </c>
      <c r="T2234" s="71" t="str">
        <f>HYPERLINK(AB2 &amp; "/pencil/sn_ea2a5232937ac313cc4615437a5f2a66/rendering/17.obj", "2.82283569336")</f>
        <v>2.82283569336</v>
      </c>
      <c r="U2234" s="110" t="str">
        <f>HYPERLINK(AB2 &amp; "/pencil/sn_ea2a5232937ac313cc4615437a5f2a66/rendering/18.obj", "2.88502227783")</f>
        <v>2.88502227783</v>
      </c>
      <c r="V2234" s="30" t="str">
        <f>HYPERLINK(AB2 &amp; "/pencil/sn_ea2a5232937ac313cc4615437a5f2a66/rendering/19.obj", "3.18106842041")</f>
        <v>3.18106842041</v>
      </c>
      <c r="W2234" s="12" t="s">
        <v>31</v>
      </c>
      <c r="X2234" s="13">
        <v>3.1975600891113278</v>
      </c>
      <c r="Y2234" s="13">
        <v>0.2319921192366419</v>
      </c>
      <c r="Z2234" s="94">
        <v>7.2552856794355844E-2</v>
      </c>
    </row>
    <row r="2235" spans="1:26" x14ac:dyDescent="0.2">
      <c r="A2235" s="1">
        <v>2233</v>
      </c>
      <c r="B2235" s="2" t="s">
        <v>479</v>
      </c>
      <c r="C2235" s="37" t="str">
        <f>HYPERLINK(AB2 &amp; "/pencil/sn_ea2a5232937ac313cc4615437a5f2a66/rendering/00.obj", "1.21286046505")</f>
        <v>1.21286046505</v>
      </c>
      <c r="D2235" s="58" t="str">
        <f>HYPERLINK(AB2 &amp; "/pencil/sn_ea2a5232937ac313cc4615437a5f2a66/rendering/01.obj", "1.28362894058")</f>
        <v>1.28362894058</v>
      </c>
      <c r="E2235" s="33" t="str">
        <f>HYPERLINK(AB2 &amp; "/pencil/sn_ea2a5232937ac313cc4615437a5f2a66/rendering/02.obj", "1.14564228058")</f>
        <v>1.14564228058</v>
      </c>
      <c r="F2235" s="33" t="str">
        <f>HYPERLINK(AB2 &amp; "/pencil/sn_ea2a5232937ac313cc4615437a5f2a66/rendering/03.obj", "0.921860456467")</f>
        <v>0.921860456467</v>
      </c>
      <c r="G2235" s="31" t="str">
        <f>HYPERLINK(AB2 &amp; "/pencil/sn_ea2a5232937ac313cc4615437a5f2a66/rendering/04.obj", "0.873244464397")</f>
        <v>0.873244464397</v>
      </c>
      <c r="H2235" s="51" t="str">
        <f>HYPERLINK(AB2 &amp; "/pencil/sn_ea2a5232937ac313cc4615437a5f2a66/rendering/05.obj", "0.949162900448")</f>
        <v>0.949162900448</v>
      </c>
      <c r="I2235" s="5" t="str">
        <f>HYPERLINK(AB2 &amp; "/pencil/sn_ea2a5232937ac313cc4615437a5f2a66/rendering/06.obj", "1.11354935169")</f>
        <v>1.11354935169</v>
      </c>
      <c r="J2235" s="65" t="str">
        <f>HYPERLINK(AB2 &amp; "/pencil/sn_ea2a5232937ac313cc4615437a5f2a66/rendering/07.obj", "1.1698050499")</f>
        <v>1.1698050499</v>
      </c>
      <c r="K2235" s="5" t="str">
        <f>HYPERLINK(AB2 &amp; "/pencil/sn_ea2a5232937ac313cc4615437a5f2a66/rendering/08.obj", "0.952036380768")</f>
        <v>0.952036380768</v>
      </c>
      <c r="L2235" s="33" t="str">
        <f>HYPERLINK(AB2 &amp; "/pencil/sn_ea2a5232937ac313cc4615437a5f2a66/rendering/09.obj", "1.14574944973")</f>
        <v>1.14574944973</v>
      </c>
      <c r="M2235" s="71" t="str">
        <f>HYPERLINK(AB2 &amp; "/pencil/sn_ea2a5232937ac313cc4615437a5f2a66/rendering/10.obj", "0.912233710289")</f>
        <v>0.912233710289</v>
      </c>
      <c r="N2235" s="46" t="str">
        <f>HYPERLINK(AB2 &amp; "/pencil/sn_ea2a5232937ac313cc4615437a5f2a66/rendering/11.obj", "1.0517077446")</f>
        <v>1.0517077446</v>
      </c>
      <c r="O2235" s="91" t="str">
        <f>HYPERLINK(AB2 &amp; "/pencil/sn_ea2a5232937ac313cc4615437a5f2a66/rendering/12.obj", "1.00662481785")</f>
        <v>1.00662481785</v>
      </c>
      <c r="P2235" s="63" t="str">
        <f>HYPERLINK(AB2 &amp; "/pencil/sn_ea2a5232937ac313cc4615437a5f2a66/rendering/13.obj", "0.908857345581")</f>
        <v>0.908857345581</v>
      </c>
      <c r="Q2235" s="23" t="str">
        <f>HYPERLINK(AB2 &amp; "/pencil/sn_ea2a5232937ac313cc4615437a5f2a66/rendering/14.obj", "0.991845071316")</f>
        <v>0.991845071316</v>
      </c>
      <c r="R2235" s="26" t="str">
        <f>HYPERLINK(AB2 &amp; "/pencil/sn_ea2a5232937ac313cc4615437a5f2a66/rendering/15.obj", "0.968005776405")</f>
        <v>0.968005776405</v>
      </c>
      <c r="S2235" s="133" t="str">
        <f>HYPERLINK(AB2 &amp; "/pencil/sn_ea2a5232937ac313cc4615437a5f2a66/rendering/16.obj", "0.926529347897")</f>
        <v>0.926529347897</v>
      </c>
      <c r="T2235" s="107" t="str">
        <f>HYPERLINK(AB2 &amp; "/pencil/sn_ea2a5232937ac313cc4615437a5f2a66/rendering/17.obj", "0.948778271675")</f>
        <v>0.948778271675</v>
      </c>
      <c r="U2235" s="23" t="str">
        <f>HYPERLINK(AB2 &amp; "/pencil/sn_ea2a5232937ac313cc4615437a5f2a66/rendering/18.obj", "0.992845833302")</f>
        <v>0.992845833302</v>
      </c>
      <c r="V2235" s="80" t="str">
        <f>HYPERLINK(AB2 &amp; "/pencil/sn_ea2a5232937ac313cc4615437a5f2a66/rendering/19.obj", "1.18593001366")</f>
        <v>1.18593001366</v>
      </c>
      <c r="W2235" s="12" t="s">
        <v>32</v>
      </c>
      <c r="X2235" s="13">
        <v>1.033044883608818</v>
      </c>
      <c r="Y2235" s="13">
        <v>0.117816700472922</v>
      </c>
      <c r="Z2235" s="106">
        <v>0.1140479976642869</v>
      </c>
    </row>
    <row r="2236" spans="1:26" x14ac:dyDescent="0.2">
      <c r="A2236" s="1">
        <v>2234</v>
      </c>
      <c r="B2236" s="2" t="s">
        <v>479</v>
      </c>
      <c r="C2236" s="13" t="str">
        <f>HYPERLINK(AC2 &amp; "/pencil/sn_ea2a5232937ac313cc4615437a5f2a66/rendering/00.xyz", "0.0")</f>
        <v>0.0</v>
      </c>
      <c r="D2236" s="13" t="str">
        <f>HYPERLINK(AC2 &amp; "/pencil/sn_ea2a5232937ac313cc4615437a5f2a66/rendering/01.xyz", "0.0")</f>
        <v>0.0</v>
      </c>
      <c r="E2236" s="13" t="str">
        <f>HYPERLINK(AC2 &amp; "/pencil/sn_ea2a5232937ac313cc4615437a5f2a66/rendering/02.xyz", "0.0")</f>
        <v>0.0</v>
      </c>
      <c r="F2236" s="13" t="str">
        <f>HYPERLINK(AC2 &amp; "/pencil/sn_ea2a5232937ac313cc4615437a5f2a66/rendering/03.xyz", "0.0")</f>
        <v>0.0</v>
      </c>
      <c r="G2236" s="13" t="str">
        <f>HYPERLINK(AC2 &amp; "/pencil/sn_ea2a5232937ac313cc4615437a5f2a66/rendering/04.xyz", "0.0")</f>
        <v>0.0</v>
      </c>
      <c r="H2236" s="13" t="str">
        <f>HYPERLINK(AC2 &amp; "/pencil/sn_ea2a5232937ac313cc4615437a5f2a66/rendering/05.xyz", "0.0")</f>
        <v>0.0</v>
      </c>
      <c r="I2236" s="13" t="str">
        <f>HYPERLINK(AC2 &amp; "/pencil/sn_ea2a5232937ac313cc4615437a5f2a66/rendering/06.xyz", "0.0")</f>
        <v>0.0</v>
      </c>
      <c r="J2236" s="13" t="str">
        <f>HYPERLINK(AC2 &amp; "/pencil/sn_ea2a5232937ac313cc4615437a5f2a66/rendering/07.xyz", "0.0")</f>
        <v>0.0</v>
      </c>
      <c r="K2236" s="13" t="str">
        <f>HYPERLINK(AC2 &amp; "/pencil/sn_ea2a5232937ac313cc4615437a5f2a66/rendering/08.xyz", "0.0")</f>
        <v>0.0</v>
      </c>
      <c r="L2236" s="13" t="str">
        <f>HYPERLINK(AC2 &amp; "/pencil/sn_ea2a5232937ac313cc4615437a5f2a66/rendering/09.xyz", "0.0")</f>
        <v>0.0</v>
      </c>
      <c r="M2236" s="13" t="str">
        <f>HYPERLINK(AC2 &amp; "/pencil/sn_ea2a5232937ac313cc4615437a5f2a66/rendering/10.xyz", "0.0")</f>
        <v>0.0</v>
      </c>
      <c r="N2236" s="13" t="str">
        <f>HYPERLINK(AC2 &amp; "/pencil/sn_ea2a5232937ac313cc4615437a5f2a66/rendering/11.xyz", "0.0")</f>
        <v>0.0</v>
      </c>
      <c r="O2236" s="13" t="str">
        <f>HYPERLINK(AC2 &amp; "/pencil/sn_ea2a5232937ac313cc4615437a5f2a66/rendering/12.xyz", "0.0")</f>
        <v>0.0</v>
      </c>
      <c r="P2236" s="13" t="str">
        <f>HYPERLINK(AC2 &amp; "/pencil/sn_ea2a5232937ac313cc4615437a5f2a66/rendering/13.xyz", "0.0")</f>
        <v>0.0</v>
      </c>
      <c r="Q2236" s="13" t="str">
        <f>HYPERLINK(AC2 &amp; "/pencil/sn_ea2a5232937ac313cc4615437a5f2a66/rendering/14.xyz", "0.0")</f>
        <v>0.0</v>
      </c>
      <c r="R2236" s="13" t="str">
        <f>HYPERLINK(AC2 &amp; "/pencil/sn_ea2a5232937ac313cc4615437a5f2a66/rendering/15.xyz", "0.0")</f>
        <v>0.0</v>
      </c>
      <c r="S2236" s="13" t="str">
        <f>HYPERLINK(AC2 &amp; "/pencil/sn_ea2a5232937ac313cc4615437a5f2a66/rendering/16.xyz", "0.0")</f>
        <v>0.0</v>
      </c>
      <c r="T2236" s="13" t="str">
        <f>HYPERLINK(AC2 &amp; "/pencil/sn_ea2a5232937ac313cc4615437a5f2a66/rendering/17.xyz", "0.0")</f>
        <v>0.0</v>
      </c>
      <c r="U2236" s="13" t="str">
        <f>HYPERLINK(AC2 &amp; "/pencil/sn_ea2a5232937ac313cc4615437a5f2a66/rendering/18.xyz", "0.0")</f>
        <v>0.0</v>
      </c>
      <c r="V2236" s="13" t="str">
        <f>HYPERLINK(AC2 &amp; "/pencil/sn_ea2a5232937ac313cc4615437a5f2a66/rendering/19.xyz", "0.0")</f>
        <v>0.0</v>
      </c>
      <c r="W2236" s="12" t="s">
        <v>33</v>
      </c>
      <c r="X2236" s="13">
        <v>0</v>
      </c>
      <c r="Y2236" s="13">
        <v>0</v>
      </c>
      <c r="Z2236" s="13">
        <v>0</v>
      </c>
    </row>
    <row r="2237" spans="1:26" x14ac:dyDescent="0.2">
      <c r="A2237" s="1">
        <v>2235</v>
      </c>
      <c r="B2237" s="2" t="s">
        <v>480</v>
      </c>
      <c r="C2237" s="110" t="str">
        <f>HYPERLINK(AA2 &amp; "/pencil/sn_eac6e52121db1c091173ca4e3f70e9fc/rendering/00.obj", "4.33179077148")</f>
        <v>4.33179077148</v>
      </c>
      <c r="D2237" s="73" t="str">
        <f>HYPERLINK(AA2 &amp; "/pencil/sn_eac6e52121db1c091173ca4e3f70e9fc/rendering/01.obj", "4.98546936035")</f>
        <v>4.98546936035</v>
      </c>
      <c r="E2237" s="32" t="str">
        <f>HYPERLINK(AA2 &amp; "/pencil/sn_eac6e52121db1c091173ca4e3f70e9fc/rendering/02.obj", "4.30867004395")</f>
        <v>4.30867004395</v>
      </c>
      <c r="F2237" s="11" t="str">
        <f>HYPERLINK(AA2 &amp; "/pencil/sn_eac6e52121db1c091173ca4e3f70e9fc/rendering/03.obj", "3.73163513184")</f>
        <v>3.73163513184</v>
      </c>
      <c r="G2237" s="106" t="str">
        <f>HYPERLINK(AA2 &amp; "/pencil/sn_eac6e52121db1c091173ca4e3f70e9fc/rendering/04.obj", "4.26465209961")</f>
        <v>4.26465209961</v>
      </c>
      <c r="H2237" s="41" t="str">
        <f>HYPERLINK(AA2 &amp; "/pencil/sn_eac6e52121db1c091173ca4e3f70e9fc/rendering/05.obj", "4.48718322754")</f>
        <v>4.48718322754</v>
      </c>
      <c r="I2237" s="20" t="str">
        <f>HYPERLINK(AA2 &amp; "/pencil/sn_eac6e52121db1c091173ca4e3f70e9fc/rendering/06.obj", "12.500135498")</f>
        <v>12.500135498</v>
      </c>
      <c r="J2237" s="48" t="str">
        <f>HYPERLINK(AA2 &amp; "/pencil/sn_eac6e52121db1c091173ca4e3f70e9fc/rendering/07.obj", "4.70118225098")</f>
        <v>4.70118225098</v>
      </c>
      <c r="K2237" s="6" t="str">
        <f>HYPERLINK(AA2 &amp; "/pencil/sn_eac6e52121db1c091173ca4e3f70e9fc/rendering/08.obj", "5.03231506348")</f>
        <v>5.03231506348</v>
      </c>
      <c r="L2237" s="68" t="str">
        <f>HYPERLINK(AA2 &amp; "/pencil/sn_eac6e52121db1c091173ca4e3f70e9fc/rendering/09.obj", "4.61413330078")</f>
        <v>4.61413330078</v>
      </c>
      <c r="M2237" s="110" t="str">
        <f>HYPERLINK(AA2 &amp; "/pencil/sn_eac6e52121db1c091173ca4e3f70e9fc/rendering/10.obj", "4.33801574707")</f>
        <v>4.33801574707</v>
      </c>
      <c r="N2237" s="66" t="str">
        <f>HYPERLINK(AA2 &amp; "/pencil/sn_eac6e52121db1c091173ca4e3f70e9fc/rendering/11.obj", "4.04278533936")</f>
        <v>4.04278533936</v>
      </c>
      <c r="O2237" s="47" t="str">
        <f>HYPERLINK(AA2 &amp; "/pencil/sn_eac6e52121db1c091173ca4e3f70e9fc/rendering/12.obj", "4.85581054688")</f>
        <v>4.85581054688</v>
      </c>
      <c r="P2237" s="79" t="str">
        <f>HYPERLINK(AA2 &amp; "/pencil/sn_eac6e52121db1c091173ca4e3f70e9fc/rendering/13.obj", "4.05029876709")</f>
        <v>4.05029876709</v>
      </c>
      <c r="Q2237" s="84" t="str">
        <f>HYPERLINK(AA2 &amp; "/pencil/sn_eac6e52121db1c091173ca4e3f70e9fc/rendering/14.obj", "4.10726196289")</f>
        <v>4.10726196289</v>
      </c>
      <c r="R2237" s="58" t="str">
        <f>HYPERLINK(AA2 &amp; "/pencil/sn_eac6e52121db1c091173ca4e3f70e9fc/rendering/15.obj", "3.64897094727")</f>
        <v>3.64897094727</v>
      </c>
      <c r="S2237" s="39" t="str">
        <f>HYPERLINK(AA2 &amp; "/pencil/sn_eac6e52121db1c091173ca4e3f70e9fc/rendering/16.obj", "4.40294372559")</f>
        <v>4.40294372559</v>
      </c>
      <c r="T2237" s="10" t="str">
        <f>HYPERLINK(AA2 &amp; "/pencil/sn_eac6e52121db1c091173ca4e3f70e9fc/rendering/17.obj", "4.54564178467")</f>
        <v>4.54564178467</v>
      </c>
      <c r="U2237" s="48" t="str">
        <f>HYPERLINK(AA2 &amp; "/pencil/sn_eac6e52121db1c091173ca4e3f70e9fc/rendering/18.obj", "4.93497711182")</f>
        <v>4.93497711182</v>
      </c>
      <c r="V2237" s="39" t="str">
        <f>HYPERLINK(AA2 &amp; "/pencil/sn_eac6e52121db1c091173ca4e3f70e9fc/rendering/19.obj", "4.40003601074")</f>
        <v>4.40003601074</v>
      </c>
      <c r="W2237" s="12" t="s">
        <v>29</v>
      </c>
      <c r="X2237" s="13">
        <v>4.8141954345703128</v>
      </c>
      <c r="Y2237" s="13">
        <v>1.802283040393009</v>
      </c>
      <c r="Z2237" s="43">
        <v>0.37436848272734702</v>
      </c>
    </row>
    <row r="2238" spans="1:26" x14ac:dyDescent="0.2">
      <c r="A2238" s="1">
        <v>2236</v>
      </c>
      <c r="B2238" s="2" t="s">
        <v>480</v>
      </c>
      <c r="C2238" s="216" t="str">
        <f>HYPERLINK(AA2 &amp; "/pencil/sn_eac6e52121db1c091173ca4e3f70e9fc/rendering/00.obj", "0.676185309887")</f>
        <v>0.676185309887</v>
      </c>
      <c r="D2238" s="10" t="str">
        <f>HYPERLINK(AA2 &amp; "/pencil/sn_eac6e52121db1c091173ca4e3f70e9fc/rendering/01.obj", "2.05176973343")</f>
        <v>2.05176973343</v>
      </c>
      <c r="E2238" s="201" t="str">
        <f>HYPERLINK(AA2 &amp; "/pencil/sn_eac6e52121db1c091173ca4e3f70e9fc/rendering/02.obj", "0.812156617641")</f>
        <v>0.812156617641</v>
      </c>
      <c r="F2238" s="256" t="str">
        <f>HYPERLINK(AA2 &amp; "/pencil/sn_eac6e52121db1c091173ca4e3f70e9fc/rendering/03.obj", "0.741152405739")</f>
        <v>0.741152405739</v>
      </c>
      <c r="G2238" s="187" t="str">
        <f>HYPERLINK(AA2 &amp; "/pencil/sn_eac6e52121db1c091173ca4e3f70e9fc/rendering/04.obj", "1.26529836655")</f>
        <v>1.26529836655</v>
      </c>
      <c r="H2238" s="35" t="str">
        <f>HYPERLINK(AA2 &amp; "/pencil/sn_eac6e52121db1c091173ca4e3f70e9fc/rendering/05.obj", "1.82966697216")</f>
        <v>1.82966697216</v>
      </c>
      <c r="I2238" s="20" t="str">
        <f>HYPERLINK(AA2 &amp; "/pencil/sn_eac6e52121db1c091173ca4e3f70e9fc/rendering/06.obj", "16.7631721497")</f>
        <v>16.7631721497</v>
      </c>
      <c r="J2238" s="7" t="str">
        <f>HYPERLINK(AA2 &amp; "/pencil/sn_eac6e52121db1c091173ca4e3f70e9fc/rendering/07.obj", "1.40387892723")</f>
        <v>1.40387892723</v>
      </c>
      <c r="K2238" s="51" t="str">
        <f>HYPERLINK(AA2 &amp; "/pencil/sn_eac6e52121db1c091173ca4e3f70e9fc/rendering/08.obj", "1.78908824921")</f>
        <v>1.78908824921</v>
      </c>
      <c r="L2238" s="103" t="str">
        <f>HYPERLINK(AA2 &amp; "/pencil/sn_eac6e52121db1c091173ca4e3f70e9fc/rendering/09.obj", "1.31118571758")</f>
        <v>1.31118571758</v>
      </c>
      <c r="M2238" s="241" t="str">
        <f>HYPERLINK(AA2 &amp; "/pencil/sn_eac6e52121db1c091173ca4e3f70e9fc/rendering/10.obj", "0.699080109596")</f>
        <v>0.699080109596</v>
      </c>
      <c r="N2238" s="201" t="str">
        <f>HYPERLINK(AA2 &amp; "/pencil/sn_eac6e52121db1c091173ca4e3f70e9fc/rendering/11.obj", "0.812164545059")</f>
        <v>0.812164545059</v>
      </c>
      <c r="O2238" s="26" t="str">
        <f>HYPERLINK(AA2 &amp; "/pencil/sn_eac6e52121db1c091173ca4e3f70e9fc/rendering/12.obj", "1.81784665585")</f>
        <v>1.81784665585</v>
      </c>
      <c r="P2238" s="239" t="str">
        <f>HYPERLINK(AA2 &amp; "/pencil/sn_eac6e52121db1c091173ca4e3f70e9fc/rendering/13.obj", "0.764016091824")</f>
        <v>0.764016091824</v>
      </c>
      <c r="Q2238" s="14" t="str">
        <f>HYPERLINK(AA2 &amp; "/pencil/sn_eac6e52121db1c091173ca4e3f70e9fc/rendering/14.obj", "1.38194775581")</f>
        <v>1.38194775581</v>
      </c>
      <c r="R2238" s="226" t="str">
        <f>HYPERLINK(AA2 &amp; "/pencil/sn_eac6e52121db1c091173ca4e3f70e9fc/rendering/15.obj", "0.85182929039")</f>
        <v>0.85182929039</v>
      </c>
      <c r="S2238" s="231" t="str">
        <f>HYPERLINK(AA2 &amp; "/pencil/sn_eac6e52121db1c091173ca4e3f70e9fc/rendering/16.obj", "0.825636982918")</f>
        <v>0.825636982918</v>
      </c>
      <c r="T2238" s="213" t="str">
        <f>HYPERLINK(AA2 &amp; "/pencil/sn_eac6e52121db1c091173ca4e3f70e9fc/rendering/17.obj", "0.983667492867")</f>
        <v>0.983667492867</v>
      </c>
      <c r="U2238" s="54" t="str">
        <f>HYPERLINK(AA2 &amp; "/pencil/sn_eac6e52121db1c091173ca4e3f70e9fc/rendering/18.obj", "1.30450987816")</f>
        <v>1.30450987816</v>
      </c>
      <c r="V2238" s="186" t="str">
        <f>HYPERLINK(AA2 &amp; "/pencil/sn_eac6e52121db1c091173ca4e3f70e9fc/rendering/19.obj", "0.77630764246")</f>
        <v>0.77630764246</v>
      </c>
      <c r="W2238" s="12" t="s">
        <v>30</v>
      </c>
      <c r="X2238" s="13">
        <v>1.943028044700623</v>
      </c>
      <c r="Y2238" s="13">
        <v>3.4266451195099998</v>
      </c>
      <c r="Z2238" s="20">
        <v>1.7635592696954461</v>
      </c>
    </row>
    <row r="2239" spans="1:26" x14ac:dyDescent="0.2">
      <c r="A2239" s="1">
        <v>2237</v>
      </c>
      <c r="B2239" s="2" t="s">
        <v>480</v>
      </c>
      <c r="C2239" s="23" t="str">
        <f>HYPERLINK(AB2 &amp; "/pencil/sn_eac6e52121db1c091173ca4e3f70e9fc/rendering/00.obj", "3.68553771973")</f>
        <v>3.68553771973</v>
      </c>
      <c r="D2239" s="6" t="str">
        <f>HYPERLINK(AB2 &amp; "/pencil/sn_eac6e52121db1c091173ca4e3f70e9fc/rendering/01.obj", "3.66065551758")</f>
        <v>3.66065551758</v>
      </c>
      <c r="E2239" s="78" t="str">
        <f>HYPERLINK(AB2 &amp; "/pencil/sn_eac6e52121db1c091173ca4e3f70e9fc/rendering/02.obj", "3.60268188477")</f>
        <v>3.60268188477</v>
      </c>
      <c r="F2239" s="72" t="str">
        <f>HYPERLINK(AB2 &amp; "/pencil/sn_eac6e52121db1c091173ca4e3f70e9fc/rendering/03.obj", "3.95733001709")</f>
        <v>3.95733001709</v>
      </c>
      <c r="G2239" s="41" t="str">
        <f>HYPERLINK(AB2 &amp; "/pencil/sn_eac6e52121db1c091173ca4e3f70e9fc/rendering/04.obj", "4.09787414551")</f>
        <v>4.09787414551</v>
      </c>
      <c r="H2239" s="72" t="str">
        <f>HYPERLINK(AB2 &amp; "/pencil/sn_eac6e52121db1c091173ca4e3f70e9fc/rendering/05.obj", "3.95513793945")</f>
        <v>3.95513793945</v>
      </c>
      <c r="I2239" s="30" t="str">
        <f>HYPERLINK(AB2 &amp; "/pencil/sn_eac6e52121db1c091173ca4e3f70e9fc/rendering/06.obj", "3.85478942871")</f>
        <v>3.85478942871</v>
      </c>
      <c r="J2239" s="71" t="str">
        <f>HYPERLINK(AB2 &amp; "/pencil/sn_eac6e52121db1c091173ca4e3f70e9fc/rendering/07.obj", "4.28175384521")</f>
        <v>4.28175384521</v>
      </c>
      <c r="K2239" s="47" t="str">
        <f>HYPERLINK(AB2 &amp; "/pencil/sn_eac6e52121db1c091173ca4e3f70e9fc/rendering/08.obj", "3.80921478271")</f>
        <v>3.80921478271</v>
      </c>
      <c r="L2239" s="32" t="str">
        <f>HYPERLINK(AB2 &amp; "/pencil/sn_eac6e52121db1c091173ca4e3f70e9fc/rendering/09.obj", "4.23616363525")</f>
        <v>4.23616363525</v>
      </c>
      <c r="M2239" s="23" t="str">
        <f>HYPERLINK(AB2 &amp; "/pencil/sn_eac6e52121db1c091173ca4e3f70e9fc/rendering/10.obj", "3.68639221191")</f>
        <v>3.68639221191</v>
      </c>
      <c r="N2239" s="38" t="str">
        <f>HYPERLINK(AB2 &amp; "/pencil/sn_eac6e52121db1c091173ca4e3f70e9fc/rendering/11.obj", "3.49020996094")</f>
        <v>3.49020996094</v>
      </c>
      <c r="O2239" s="74" t="str">
        <f>HYPERLINK(AB2 &amp; "/pencil/sn_eac6e52121db1c091173ca4e3f70e9fc/rendering/12.obj", "3.88464599609")</f>
        <v>3.88464599609</v>
      </c>
      <c r="P2239" s="68" t="str">
        <f>HYPERLINK(AB2 &amp; "/pencil/sn_eac6e52121db1c091173ca4e3f70e9fc/rendering/13.obj", "3.67313720703")</f>
        <v>3.67313720703</v>
      </c>
      <c r="Q2239" s="91" t="str">
        <f>HYPERLINK(AB2 &amp; "/pencil/sn_eac6e52121db1c091173ca4e3f70e9fc/rendering/14.obj", "3.93994934082")</f>
        <v>3.93994934082</v>
      </c>
      <c r="R2239" s="51" t="str">
        <f>HYPERLINK(AB2 &amp; "/pencil/sn_eac6e52121db1c091173ca4e3f70e9fc/rendering/15.obj", "4.14443634033")</f>
        <v>4.14443634033</v>
      </c>
      <c r="S2239" s="17" t="str">
        <f>HYPERLINK(AB2 &amp; "/pencil/sn_eac6e52121db1c091173ca4e3f70e9fc/rendering/16.obj", "3.91770599365")</f>
        <v>3.91770599365</v>
      </c>
      <c r="T2239" s="94" t="str">
        <f>HYPERLINK(AB2 &amp; "/pencil/sn_eac6e52121db1c091173ca4e3f70e9fc/rendering/17.obj", "4.11675231934")</f>
        <v>4.11675231934</v>
      </c>
      <c r="U2239" s="38" t="str">
        <f>HYPERLINK(AB2 &amp; "/pencil/sn_eac6e52121db1c091173ca4e3f70e9fc/rendering/18.obj", "3.49763305664")</f>
        <v>3.49763305664</v>
      </c>
      <c r="V2239" s="64" t="str">
        <f>HYPERLINK(AB2 &amp; "/pencil/sn_eac6e52121db1c091173ca4e3f70e9fc/rendering/19.obj", "3.20390808105")</f>
        <v>3.20390808105</v>
      </c>
      <c r="W2239" s="12" t="s">
        <v>31</v>
      </c>
      <c r="X2239" s="13">
        <v>3.834795471191407</v>
      </c>
      <c r="Y2239" s="13">
        <v>0.26846752483811032</v>
      </c>
      <c r="Z2239" s="27">
        <v>7.0008303403649816E-2</v>
      </c>
    </row>
    <row r="2240" spans="1:26" x14ac:dyDescent="0.2">
      <c r="A2240" s="1">
        <v>2238</v>
      </c>
      <c r="B2240" s="2" t="s">
        <v>480</v>
      </c>
      <c r="C2240" s="66" t="str">
        <f>HYPERLINK(AB2 &amp; "/pencil/sn_eac6e52121db1c091173ca4e3f70e9fc/rendering/00.obj", "0.66910982132")</f>
        <v>0.66910982132</v>
      </c>
      <c r="D2240" s="65" t="str">
        <f>HYPERLINK(AB2 &amp; "/pencil/sn_eac6e52121db1c091173ca4e3f70e9fc/rendering/01.obj", "0.6920170784")</f>
        <v>0.6920170784</v>
      </c>
      <c r="E2240" s="51" t="str">
        <f>HYPERLINK(AB2 &amp; "/pencil/sn_eac6e52121db1c091173ca4e3f70e9fc/rendering/02.obj", "0.735149025917")</f>
        <v>0.735149025917</v>
      </c>
      <c r="F2240" s="152" t="str">
        <f>HYPERLINK(AB2 &amp; "/pencil/sn_eac6e52121db1c091173ca4e3f70e9fc/rendering/03.obj", "1.12192296982")</f>
        <v>1.12192296982</v>
      </c>
      <c r="G2240" s="28" t="str">
        <f>HYPERLINK(AB2 &amp; "/pencil/sn_eac6e52121db1c091173ca4e3f70e9fc/rendering/04.obj", "0.888587832451")</f>
        <v>0.888587832451</v>
      </c>
      <c r="H2240" s="40" t="str">
        <f>HYPERLINK(AB2 &amp; "/pencil/sn_eac6e52121db1c091173ca4e3f70e9fc/rendering/05.obj", "0.660877943039")</f>
        <v>0.660877943039</v>
      </c>
      <c r="I2240" s="51" t="str">
        <f>HYPERLINK(AB2 &amp; "/pencil/sn_eac6e52121db1c091173ca4e3f70e9fc/rendering/06.obj", "0.862403035164")</f>
        <v>0.862403035164</v>
      </c>
      <c r="J2240" s="238" t="str">
        <f>HYPERLINK(AB2 &amp; "/pencil/sn_eac6e52121db1c091173ca4e3f70e9fc/rendering/07.obj", "1.36006951332")</f>
        <v>1.36006951332</v>
      </c>
      <c r="K2240" s="31" t="str">
        <f>HYPERLINK(AB2 &amp; "/pencil/sn_eac6e52121db1c091173ca4e3f70e9fc/rendering/08.obj", "0.674389839172")</f>
        <v>0.674389839172</v>
      </c>
      <c r="L2240" s="44" t="str">
        <f>HYPERLINK(AB2 &amp; "/pencil/sn_eac6e52121db1c091173ca4e3f70e9fc/rendering/09.obj", "0.955808639526")</f>
        <v>0.955808639526</v>
      </c>
      <c r="M2240" s="117" t="str">
        <f>HYPERLINK(AB2 &amp; "/pencil/sn_eac6e52121db1c091173ca4e3f70e9fc/rendering/10.obj", "0.656640410423")</f>
        <v>0.656640410423</v>
      </c>
      <c r="N2240" s="109" t="str">
        <f>HYPERLINK(AB2 &amp; "/pencil/sn_eac6e52121db1c091173ca4e3f70e9fc/rendering/11.obj", "0.646522939205")</f>
        <v>0.646522939205</v>
      </c>
      <c r="O2240" s="69" t="str">
        <f>HYPERLINK(AB2 &amp; "/pencil/sn_eac6e52121db1c091173ca4e3f70e9fc/rendering/12.obj", "0.774370729923")</f>
        <v>0.774370729923</v>
      </c>
      <c r="P2240" s="84" t="str">
        <f>HYPERLINK(AB2 &amp; "/pencil/sn_eac6e52121db1c091173ca4e3f70e9fc/rendering/13.obj", "0.683174729347")</f>
        <v>0.683174729347</v>
      </c>
      <c r="Q2240" s="67" t="str">
        <f>HYPERLINK(AB2 &amp; "/pencil/sn_eac6e52121db1c091173ca4e3f70e9fc/rendering/14.obj", "0.725863873959")</f>
        <v>0.725863873959</v>
      </c>
      <c r="R2240" s="79" t="str">
        <f>HYPERLINK(AB2 &amp; "/pencil/sn_eac6e52121db1c091173ca4e3f70e9fc/rendering/15.obj", "0.67291456461")</f>
        <v>0.67291456461</v>
      </c>
      <c r="S2240" s="133" t="str">
        <f>HYPERLINK(AB2 &amp; "/pencil/sn_eac6e52121db1c091173ca4e3f70e9fc/rendering/16.obj", "0.879220724106")</f>
        <v>0.879220724106</v>
      </c>
      <c r="T2240" s="94" t="str">
        <f>HYPERLINK(AB2 &amp; "/pencil/sn_eac6e52121db1c091173ca4e3f70e9fc/rendering/17.obj", "0.858454406261")</f>
        <v>0.858454406261</v>
      </c>
      <c r="U2240" s="30" t="str">
        <f>HYPERLINK(AB2 &amp; "/pencil/sn_eac6e52121db1c091173ca4e3f70e9fc/rendering/18.obj", "0.801606059074")</f>
        <v>0.801606059074</v>
      </c>
      <c r="V2240" s="134" t="str">
        <f>HYPERLINK(AB2 &amp; "/pencil/sn_eac6e52121db1c091173ca4e3f70e9fc/rendering/19.obj", "0.653486132622")</f>
        <v>0.653486132622</v>
      </c>
      <c r="W2240" s="12" t="s">
        <v>32</v>
      </c>
      <c r="X2240" s="13">
        <v>0.79862951338291166</v>
      </c>
      <c r="Y2240" s="13">
        <v>0.17785454969234521</v>
      </c>
      <c r="Z2240" s="75">
        <v>0.22269969580634669</v>
      </c>
    </row>
    <row r="2241" spans="1:26" x14ac:dyDescent="0.2">
      <c r="A2241" s="1">
        <v>2239</v>
      </c>
      <c r="B2241" s="2" t="s">
        <v>480</v>
      </c>
      <c r="C2241" s="13" t="str">
        <f>HYPERLINK(AC2 &amp; "/pencil/sn_eac6e52121db1c091173ca4e3f70e9fc/rendering/00.xyz", "0.0")</f>
        <v>0.0</v>
      </c>
      <c r="D2241" s="13" t="str">
        <f>HYPERLINK(AC2 &amp; "/pencil/sn_eac6e52121db1c091173ca4e3f70e9fc/rendering/01.xyz", "0.0")</f>
        <v>0.0</v>
      </c>
      <c r="E2241" s="13" t="str">
        <f>HYPERLINK(AC2 &amp; "/pencil/sn_eac6e52121db1c091173ca4e3f70e9fc/rendering/02.xyz", "0.0")</f>
        <v>0.0</v>
      </c>
      <c r="F2241" s="13" t="str">
        <f>HYPERLINK(AC2 &amp; "/pencil/sn_eac6e52121db1c091173ca4e3f70e9fc/rendering/03.xyz", "0.0")</f>
        <v>0.0</v>
      </c>
      <c r="G2241" s="13" t="str">
        <f>HYPERLINK(AC2 &amp; "/pencil/sn_eac6e52121db1c091173ca4e3f70e9fc/rendering/04.xyz", "0.0")</f>
        <v>0.0</v>
      </c>
      <c r="H2241" s="13" t="str">
        <f>HYPERLINK(AC2 &amp; "/pencil/sn_eac6e52121db1c091173ca4e3f70e9fc/rendering/05.xyz", "0.0")</f>
        <v>0.0</v>
      </c>
      <c r="I2241" s="13" t="str">
        <f>HYPERLINK(AC2 &amp; "/pencil/sn_eac6e52121db1c091173ca4e3f70e9fc/rendering/06.xyz", "0.0")</f>
        <v>0.0</v>
      </c>
      <c r="J2241" s="13" t="str">
        <f>HYPERLINK(AC2 &amp; "/pencil/sn_eac6e52121db1c091173ca4e3f70e9fc/rendering/07.xyz", "0.0")</f>
        <v>0.0</v>
      </c>
      <c r="K2241" s="13" t="str">
        <f>HYPERLINK(AC2 &amp; "/pencil/sn_eac6e52121db1c091173ca4e3f70e9fc/rendering/08.xyz", "0.0")</f>
        <v>0.0</v>
      </c>
      <c r="L2241" s="13" t="str">
        <f>HYPERLINK(AC2 &amp; "/pencil/sn_eac6e52121db1c091173ca4e3f70e9fc/rendering/09.xyz", "0.0")</f>
        <v>0.0</v>
      </c>
      <c r="M2241" s="13" t="str">
        <f>HYPERLINK(AC2 &amp; "/pencil/sn_eac6e52121db1c091173ca4e3f70e9fc/rendering/10.xyz", "0.0")</f>
        <v>0.0</v>
      </c>
      <c r="N2241" s="13" t="str">
        <f>HYPERLINK(AC2 &amp; "/pencil/sn_eac6e52121db1c091173ca4e3f70e9fc/rendering/11.xyz", "0.0")</f>
        <v>0.0</v>
      </c>
      <c r="O2241" s="13" t="str">
        <f>HYPERLINK(AC2 &amp; "/pencil/sn_eac6e52121db1c091173ca4e3f70e9fc/rendering/12.xyz", "0.0")</f>
        <v>0.0</v>
      </c>
      <c r="P2241" s="13" t="str">
        <f>HYPERLINK(AC2 &amp; "/pencil/sn_eac6e52121db1c091173ca4e3f70e9fc/rendering/13.xyz", "0.0")</f>
        <v>0.0</v>
      </c>
      <c r="Q2241" s="13" t="str">
        <f>HYPERLINK(AC2 &amp; "/pencil/sn_eac6e52121db1c091173ca4e3f70e9fc/rendering/14.xyz", "0.0")</f>
        <v>0.0</v>
      </c>
      <c r="R2241" s="13" t="str">
        <f>HYPERLINK(AC2 &amp; "/pencil/sn_eac6e52121db1c091173ca4e3f70e9fc/rendering/15.xyz", "0.0")</f>
        <v>0.0</v>
      </c>
      <c r="S2241" s="13" t="str">
        <f>HYPERLINK(AC2 &amp; "/pencil/sn_eac6e52121db1c091173ca4e3f70e9fc/rendering/16.xyz", "0.0")</f>
        <v>0.0</v>
      </c>
      <c r="T2241" s="13" t="str">
        <f>HYPERLINK(AC2 &amp; "/pencil/sn_eac6e52121db1c091173ca4e3f70e9fc/rendering/17.xyz", "0.0")</f>
        <v>0.0</v>
      </c>
      <c r="U2241" s="13" t="str">
        <f>HYPERLINK(AC2 &amp; "/pencil/sn_eac6e52121db1c091173ca4e3f70e9fc/rendering/18.xyz", "0.0")</f>
        <v>0.0</v>
      </c>
      <c r="V2241" s="13" t="str">
        <f>HYPERLINK(AC2 &amp; "/pencil/sn_eac6e52121db1c091173ca4e3f70e9fc/rendering/19.xyz", "0.0")</f>
        <v>0.0</v>
      </c>
      <c r="W2241" s="12" t="s">
        <v>33</v>
      </c>
      <c r="X2241" s="13">
        <v>0</v>
      </c>
      <c r="Y2241" s="13">
        <v>0</v>
      </c>
      <c r="Z2241" s="13">
        <v>0</v>
      </c>
    </row>
    <row r="2242" spans="1:26" x14ac:dyDescent="0.2">
      <c r="A2242" s="1">
        <v>2240</v>
      </c>
      <c r="B2242" s="2" t="s">
        <v>481</v>
      </c>
      <c r="C2242" s="157" t="str">
        <f>HYPERLINK(AA2 &amp; "/pencil/sn_eb4efa5574376393a5517442d05421cb/rendering/00.obj", "8.14919494629")</f>
        <v>8.14919494629</v>
      </c>
      <c r="D2242" s="20" t="str">
        <f>HYPERLINK(AA2 &amp; "/pencil/sn_eb4efa5574376393a5517442d05421cb/rendering/01.obj", "28.5314111328")</f>
        <v>28.5314111328</v>
      </c>
      <c r="E2242" s="20" t="str">
        <f>HYPERLINK(AA2 &amp; "/pencil/sn_eb4efa5574376393a5517442d05421cb/rendering/02.obj", "29.5859179687")</f>
        <v>29.5859179687</v>
      </c>
      <c r="F2242" s="149" t="str">
        <f>HYPERLINK(AA2 &amp; "/pencil/sn_eb4efa5574376393a5517442d05421cb/rendering/03.obj", "9.13457397461")</f>
        <v>9.13457397461</v>
      </c>
      <c r="G2242" s="112" t="str">
        <f>HYPERLINK(AA2 &amp; "/pencil/sn_eb4efa5574376393a5517442d05421cb/rendering/04.obj", "5.65130371094")</f>
        <v>5.65130371094</v>
      </c>
      <c r="H2242" s="196" t="str">
        <f>HYPERLINK(AA2 &amp; "/pencil/sn_eb4efa5574376393a5517442d05421cb/rendering/05.obj", "19.4844519043")</f>
        <v>19.4844519043</v>
      </c>
      <c r="I2242" s="123" t="str">
        <f>HYPERLINK(AA2 &amp; "/pencil/sn_eb4efa5574376393a5517442d05421cb/rendering/06.obj", "8.79691955566")</f>
        <v>8.79691955566</v>
      </c>
      <c r="J2242" s="20" t="str">
        <f>HYPERLINK(AA2 &amp; "/pencil/sn_eb4efa5574376393a5517442d05421cb/rendering/07.obj", "28.7971777344")</f>
        <v>28.7971777344</v>
      </c>
      <c r="K2242" s="228" t="str">
        <f>HYPERLINK(AA2 &amp; "/pencil/sn_eb4efa5574376393a5517442d05421cb/rendering/08.obj", "6.53582641602")</f>
        <v>6.53582641602</v>
      </c>
      <c r="L2242" s="162" t="str">
        <f>HYPERLINK(AA2 &amp; "/pencil/sn_eb4efa5574376393a5517442d05421cb/rendering/09.obj", "8.00830505371")</f>
        <v>8.00830505371</v>
      </c>
      <c r="M2242" s="159" t="str">
        <f>HYPERLINK(AA2 &amp; "/pencil/sn_eb4efa5574376393a5517442d05421cb/rendering/10.obj", "7.41842407227")</f>
        <v>7.41842407227</v>
      </c>
      <c r="N2242" s="98" t="str">
        <f>HYPERLINK(AA2 &amp; "/pencil/sn_eb4efa5574376393a5517442d05421cb/rendering/11.obj", "10.7056103516")</f>
        <v>10.7056103516</v>
      </c>
      <c r="O2242" s="191" t="str">
        <f>HYPERLINK(AA2 &amp; "/pencil/sn_eb4efa5574376393a5517442d05421cb/rendering/12.obj", "7.63778747559")</f>
        <v>7.63778747559</v>
      </c>
      <c r="P2242" s="127" t="str">
        <f>HYPERLINK(AA2 &amp; "/pencil/sn_eb4efa5574376393a5517442d05421cb/rendering/13.obj", "6.71089538574")</f>
        <v>6.71089538574</v>
      </c>
      <c r="Q2242" s="140" t="str">
        <f>HYPERLINK(AA2 &amp; "/pencil/sn_eb4efa5574376393a5517442d05421cb/rendering/14.obj", "9.12328369141")</f>
        <v>9.12328369141</v>
      </c>
      <c r="R2242" s="202" t="str">
        <f>HYPERLINK(AA2 &amp; "/pencil/sn_eb4efa5574376393a5517442d05421cb/rendering/15.obj", "5.18260742187")</f>
        <v>5.18260742187</v>
      </c>
      <c r="S2242" s="175" t="str">
        <f>HYPERLINK(AA2 &amp; "/pencil/sn_eb4efa5574376393a5517442d05421cb/rendering/16.obj", "10.6920092773")</f>
        <v>10.6920092773</v>
      </c>
      <c r="T2242" s="20" t="str">
        <f>HYPERLINK(AA2 &amp; "/pencil/sn_eb4efa5574376393a5517442d05421cb/rendering/17.obj", "26.9889501953")</f>
        <v>26.9889501953</v>
      </c>
      <c r="U2242" s="131" t="str">
        <f>HYPERLINK(AA2 &amp; "/pencil/sn_eb4efa5574376393a5517442d05421cb/rendering/18.obj", "7.50758300781")</f>
        <v>7.50758300781</v>
      </c>
      <c r="V2242" s="20" t="str">
        <f>HYPERLINK(AA2 &amp; "/pencil/sn_eb4efa5574376393a5517442d05421cb/rendering/19.obj", "34.0645288086")</f>
        <v>34.0645288086</v>
      </c>
      <c r="W2242" s="12" t="s">
        <v>29</v>
      </c>
      <c r="X2242" s="13">
        <v>13.93533810424805</v>
      </c>
      <c r="Y2242" s="13">
        <v>9.5473197964997922</v>
      </c>
      <c r="Z2242" s="250">
        <v>0.68511576289558329</v>
      </c>
    </row>
    <row r="2243" spans="1:26" x14ac:dyDescent="0.2">
      <c r="A2243" s="1">
        <v>2241</v>
      </c>
      <c r="B2243" s="2" t="s">
        <v>481</v>
      </c>
      <c r="C2243" s="211" t="str">
        <f>HYPERLINK(AA2 &amp; "/pencil/sn_eb4efa5574376393a5517442d05421cb/rendering/00.obj", "14.9882450104")</f>
        <v>14.9882450104</v>
      </c>
      <c r="D2243" s="20" t="str">
        <f>HYPERLINK(AA2 &amp; "/pencil/sn_eb4efa5574376393a5517442d05421cb/rendering/01.obj", "278.644348145")</f>
        <v>278.644348145</v>
      </c>
      <c r="E2243" s="20" t="str">
        <f>HYPERLINK(AA2 &amp; "/pencil/sn_eb4efa5574376393a5517442d05421cb/rendering/02.obj", "254.700546265")</f>
        <v>254.700546265</v>
      </c>
      <c r="F2243" s="20" t="str">
        <f>HYPERLINK(AA2 &amp; "/pencil/sn_eb4efa5574376393a5517442d05421cb/rendering/03.obj", "11.1429576874")</f>
        <v>11.1429576874</v>
      </c>
      <c r="G2243" s="20" t="str">
        <f>HYPERLINK(AA2 &amp; "/pencil/sn_eb4efa5574376393a5517442d05421cb/rendering/04.obj", "4.25087881088")</f>
        <v>4.25087881088</v>
      </c>
      <c r="H2243" s="20" t="str">
        <f>HYPERLINK(AA2 &amp; "/pencil/sn_eb4efa5574376393a5517442d05421cb/rendering/05.obj", "119.159812927")</f>
        <v>119.159812927</v>
      </c>
      <c r="I2243" s="237" t="str">
        <f>HYPERLINK(AA2 &amp; "/pencil/sn_eb4efa5574376393a5517442d05421cb/rendering/06.obj", "20.9408130646")</f>
        <v>20.9408130646</v>
      </c>
      <c r="J2243" s="20" t="str">
        <f>HYPERLINK(AA2 &amp; "/pencil/sn_eb4efa5574376393a5517442d05421cb/rendering/07.obj", "149.685958862")</f>
        <v>149.685958862</v>
      </c>
      <c r="K2243" s="20" t="str">
        <f>HYPERLINK(AA2 &amp; "/pencil/sn_eb4efa5574376393a5517442d05421cb/rendering/08.obj", "11.7936792374")</f>
        <v>11.7936792374</v>
      </c>
      <c r="L2243" s="20" t="str">
        <f>HYPERLINK(AA2 &amp; "/pencil/sn_eb4efa5574376393a5517442d05421cb/rendering/09.obj", "11.0896606445")</f>
        <v>11.0896606445</v>
      </c>
      <c r="M2243" s="20" t="str">
        <f>HYPERLINK(AA2 &amp; "/pencil/sn_eb4efa5574376393a5517442d05421cb/rendering/10.obj", "8.72731971741")</f>
        <v>8.72731971741</v>
      </c>
      <c r="N2243" s="250" t="str">
        <f>HYPERLINK(AA2 &amp; "/pencil/sn_eb4efa5574376393a5517442d05421cb/rendering/11.obj", "20.2591571808")</f>
        <v>20.2591571808</v>
      </c>
      <c r="O2243" s="204" t="str">
        <f>HYPERLINK(AA2 &amp; "/pencil/sn_eb4efa5574376393a5517442d05421cb/rendering/12.obj", "13.1790208817")</f>
        <v>13.1790208817</v>
      </c>
      <c r="P2243" s="20" t="str">
        <f>HYPERLINK(AA2 &amp; "/pencil/sn_eb4efa5574376393a5517442d05421cb/rendering/13.obj", "5.80631780624")</f>
        <v>5.80631780624</v>
      </c>
      <c r="Q2243" s="20" t="str">
        <f>HYPERLINK(AA2 &amp; "/pencil/sn_eb4efa5574376393a5517442d05421cb/rendering/14.obj", "9.38471031189")</f>
        <v>9.38471031189</v>
      </c>
      <c r="R2243" s="20" t="str">
        <f>HYPERLINK(AA2 &amp; "/pencil/sn_eb4efa5574376393a5517442d05421cb/rendering/15.obj", "3.1601266861")</f>
        <v>3.1601266861</v>
      </c>
      <c r="S2243" s="143" t="str">
        <f>HYPERLINK(AA2 &amp; "/pencil/sn_eb4efa5574376393a5517442d05421cb/rendering/16.obj", "33.8568992615")</f>
        <v>33.8568992615</v>
      </c>
      <c r="T2243" s="20" t="str">
        <f>HYPERLINK(AA2 &amp; "/pencil/sn_eb4efa5574376393a5517442d05421cb/rendering/17.obj", "120.419624329")</f>
        <v>120.419624329</v>
      </c>
      <c r="U2243" s="20" t="str">
        <f>HYPERLINK(AA2 &amp; "/pencil/sn_eb4efa5574376393a5517442d05421cb/rendering/18.obj", "12.8717670441")</f>
        <v>12.8717670441</v>
      </c>
      <c r="V2243" s="20" t="str">
        <f>HYPERLINK(AA2 &amp; "/pencil/sn_eb4efa5574376393a5517442d05421cb/rendering/19.obj", "180.307235718")</f>
        <v>180.307235718</v>
      </c>
      <c r="W2243" s="12" t="s">
        <v>30</v>
      </c>
      <c r="X2243" s="13">
        <v>64.218453979492182</v>
      </c>
      <c r="Y2243" s="13">
        <v>85.680476073309734</v>
      </c>
      <c r="Z2243" s="20">
        <v>1.3342033444260639</v>
      </c>
    </row>
    <row r="2244" spans="1:26" x14ac:dyDescent="0.2">
      <c r="A2244" s="1">
        <v>2242</v>
      </c>
      <c r="B2244" s="2" t="s">
        <v>481</v>
      </c>
      <c r="C2244" s="27" t="str">
        <f>HYPERLINK(AB2 &amp; "/pencil/sn_eb4efa5574376393a5517442d05421cb/rendering/00.obj", "3.77968383789")</f>
        <v>3.77968383789</v>
      </c>
      <c r="D2244" s="133" t="str">
        <f>HYPERLINK(AB2 &amp; "/pencil/sn_eb4efa5574376393a5517442d05421cb/rendering/01.obj", "4.47191345215")</f>
        <v>4.47191345215</v>
      </c>
      <c r="E2244" s="73" t="str">
        <f>HYPERLINK(AB2 &amp; "/pencil/sn_eb4efa5574376393a5517442d05421cb/rendering/02.obj", "3.9146081543")</f>
        <v>3.9146081543</v>
      </c>
      <c r="F2244" s="44" t="str">
        <f>HYPERLINK(AB2 &amp; "/pencil/sn_eb4efa5574376393a5517442d05421cb/rendering/03.obj", "3.27012939453")</f>
        <v>3.27012939453</v>
      </c>
      <c r="G2244" s="78" t="str">
        <f>HYPERLINK(AB2 &amp; "/pencil/sn_eb4efa5574376393a5517442d05421cb/rendering/04.obj", "4.31452697754")</f>
        <v>4.31452697754</v>
      </c>
      <c r="H2244" s="68" t="str">
        <f>HYPERLINK(AB2 &amp; "/pencil/sn_eb4efa5574376393a5517442d05421cb/rendering/05.obj", "4.23947692871")</f>
        <v>4.23947692871</v>
      </c>
      <c r="I2244" s="60" t="str">
        <f>HYPERLINK(AB2 &amp; "/pencil/sn_eb4efa5574376393a5517442d05421cb/rendering/06.obj", "3.85220001221")</f>
        <v>3.85220001221</v>
      </c>
      <c r="J2244" s="134" t="str">
        <f>HYPERLINK(AB2 &amp; "/pencil/sn_eb4efa5574376393a5517442d05421cb/rendering/07.obj", "4.80089172363")</f>
        <v>4.80089172363</v>
      </c>
      <c r="K2244" s="46" t="str">
        <f>HYPERLINK(AB2 &amp; "/pencil/sn_eb4efa5574376393a5517442d05421cb/rendering/08.obj", "4.12645446777")</f>
        <v>4.12645446777</v>
      </c>
      <c r="L2244" s="10" t="str">
        <f>HYPERLINK(AB2 &amp; "/pencil/sn_eb4efa5574376393a5517442d05421cb/rendering/09.obj", "3.84448974609")</f>
        <v>3.84448974609</v>
      </c>
      <c r="M2244" s="29" t="str">
        <f>HYPERLINK(AB2 &amp; "/pencil/sn_eb4efa5574376393a5517442d05421cb/rendering/10.obj", "3.53642089844")</f>
        <v>3.53642089844</v>
      </c>
      <c r="N2244" s="41" t="str">
        <f>HYPERLINK(AB2 &amp; "/pencil/sn_eb4efa5574376393a5517442d05421cb/rendering/11.obj", "3.78704772949")</f>
        <v>3.78704772949</v>
      </c>
      <c r="O2244" s="39" t="str">
        <f>HYPERLINK(AB2 &amp; "/pencil/sn_eb4efa5574376393a5517442d05421cb/rendering/12.obj", "3.7066229248")</f>
        <v>3.7066229248</v>
      </c>
      <c r="P2244" s="63" t="str">
        <f>HYPERLINK(AB2 &amp; "/pencil/sn_eb4efa5574376393a5517442d05421cb/rendering/13.obj", "3.56652038574")</f>
        <v>3.56652038574</v>
      </c>
      <c r="Q2244" s="26" t="str">
        <f>HYPERLINK(AB2 &amp; "/pencil/sn_eb4efa5574376393a5517442d05421cb/rendering/14.obj", "4.32374389648")</f>
        <v>4.32374389648</v>
      </c>
      <c r="R2244" s="47" t="str">
        <f>HYPERLINK(AB2 &amp; "/pencil/sn_eb4efa5574376393a5517442d05421cb/rendering/15.obj", "4.09537475586")</f>
        <v>4.09537475586</v>
      </c>
      <c r="S2244" s="69" t="str">
        <f>HYPERLINK(AB2 &amp; "/pencil/sn_eb4efa5574376393a5517442d05421cb/rendering/16.obj", "4.17845092773")</f>
        <v>4.17845092773</v>
      </c>
      <c r="T2244" s="8" t="str">
        <f>HYPERLINK(AB2 &amp; "/pencil/sn_eb4efa5574376393a5517442d05421cb/rendering/17.obj", "4.64509857178")</f>
        <v>4.64509857178</v>
      </c>
      <c r="U2244" s="23" t="str">
        <f>HYPERLINK(AB2 &amp; "/pencil/sn_eb4efa5574376393a5517442d05421cb/rendering/18.obj", "3.904609375")</f>
        <v>3.904609375</v>
      </c>
      <c r="V2244" s="82" t="str">
        <f>HYPERLINK(AB2 &amp; "/pencil/sn_eb4efa5574376393a5517442d05421cb/rendering/19.obj", "4.89190612793")</f>
        <v>4.89190612793</v>
      </c>
      <c r="W2244" s="12" t="s">
        <v>31</v>
      </c>
      <c r="X2244" s="13">
        <v>4.0625085144042972</v>
      </c>
      <c r="Y2244" s="13">
        <v>0.4179443314032591</v>
      </c>
      <c r="Z2244" s="133">
        <v>0.102878389035092</v>
      </c>
    </row>
    <row r="2245" spans="1:26" x14ac:dyDescent="0.2">
      <c r="A2245" s="1">
        <v>2243</v>
      </c>
      <c r="B2245" s="2" t="s">
        <v>481</v>
      </c>
      <c r="C2245" s="34" t="str">
        <f>HYPERLINK(AB2 &amp; "/pencil/sn_eb4efa5574376393a5517442d05421cb/rendering/00.obj", "2.40631961823")</f>
        <v>2.40631961823</v>
      </c>
      <c r="D2245" s="34" t="str">
        <f>HYPERLINK(AB2 &amp; "/pencil/sn_eb4efa5574376393a5517442d05421cb/rendering/01.obj", "2.40325903893")</f>
        <v>2.40325903893</v>
      </c>
      <c r="E2245" s="134" t="str">
        <f>HYPERLINK(AB2 &amp; "/pencil/sn_eb4efa5574376393a5517442d05421cb/rendering/02.obj", "1.88372468948")</f>
        <v>1.88372468948</v>
      </c>
      <c r="F2245" s="69" t="str">
        <f>HYPERLINK(AB2 &amp; "/pencil/sn_eb4efa5574376393a5517442d05421cb/rendering/03.obj", "2.22713899612")</f>
        <v>2.22713899612</v>
      </c>
      <c r="G2245" s="94" t="str">
        <f>HYPERLINK(AB2 &amp; "/pencil/sn_eb4efa5574376393a5517442d05421cb/rendering/04.obj", "2.12257099152")</f>
        <v>2.12257099152</v>
      </c>
      <c r="H2245" s="92" t="str">
        <f>HYPERLINK(AB2 &amp; "/pencil/sn_eb4efa5574376393a5517442d05421cb/rendering/05.obj", "2.58183526993")</f>
        <v>2.58183526993</v>
      </c>
      <c r="I2245" s="27" t="str">
        <f>HYPERLINK(AB2 &amp; "/pencil/sn_eb4efa5574376393a5517442d05421cb/rendering/06.obj", "2.12967658043")</f>
        <v>2.12967658043</v>
      </c>
      <c r="J2245" s="30" t="str">
        <f>HYPERLINK(AB2 &amp; "/pencil/sn_eb4efa5574376393a5517442d05421cb/rendering/07.obj", "2.30853748322")</f>
        <v>2.30853748322</v>
      </c>
      <c r="K2245" s="6" t="str">
        <f>HYPERLINK(AB2 &amp; "/pencil/sn_eb4efa5574376393a5517442d05421cb/rendering/08.obj", "2.19121932983")</f>
        <v>2.19121932983</v>
      </c>
      <c r="L2245" s="144" t="str">
        <f>HYPERLINK(AB2 &amp; "/pencil/sn_eb4efa5574376393a5517442d05421cb/rendering/09.obj", "3.45245170593")</f>
        <v>3.45245170593</v>
      </c>
      <c r="M2245" s="133" t="str">
        <f>HYPERLINK(AB2 &amp; "/pencil/sn_eb4efa5574376393a5517442d05421cb/rendering/10.obj", "2.0612680912")</f>
        <v>2.0612680912</v>
      </c>
      <c r="N2245" s="32" t="str">
        <f>HYPERLINK(AB2 &amp; "/pencil/sn_eb4efa5574376393a5517442d05421cb/rendering/11.obj", "2.05343031883")</f>
        <v>2.05343031883</v>
      </c>
      <c r="O2245" s="46" t="str">
        <f>HYPERLINK(AB2 &amp; "/pencil/sn_eb4efa5574376393a5517442d05421cb/rendering/12.obj", "2.33090591431")</f>
        <v>2.33090591431</v>
      </c>
      <c r="P2245" s="70" t="str">
        <f>HYPERLINK(AB2 &amp; "/pencil/sn_eb4efa5574376393a5517442d05421cb/rendering/13.obj", "2.00247716904")</f>
        <v>2.00247716904</v>
      </c>
      <c r="Q2245" s="110" t="str">
        <f>HYPERLINK(AB2 &amp; "/pencil/sn_eb4efa5574376393a5517442d05421cb/rendering/14.obj", "2.06514692307")</f>
        <v>2.06514692307</v>
      </c>
      <c r="R2245" s="34" t="str">
        <f>HYPERLINK(AB2 &amp; "/pencil/sn_eb4efa5574376393a5517442d05421cb/rendering/15.obj", "2.40373325348")</f>
        <v>2.40373325348</v>
      </c>
      <c r="S2245" s="51" t="str">
        <f>HYPERLINK(AB2 &amp; "/pencil/sn_eb4efa5574376393a5517442d05421cb/rendering/16.obj", "2.11243796349")</f>
        <v>2.11243796349</v>
      </c>
      <c r="T2245" s="39" t="str">
        <f>HYPERLINK(AB2 &amp; "/pencil/sn_eb4efa5574376393a5517442d05421cb/rendering/17.obj", "2.09315657616")</f>
        <v>2.09315657616</v>
      </c>
      <c r="U2245" s="91" t="str">
        <f>HYPERLINK(AB2 &amp; "/pencil/sn_eb4efa5574376393a5517442d05421cb/rendering/18.obj", "2.35606837273")</f>
        <v>2.35606837273</v>
      </c>
      <c r="V2245" s="134" t="str">
        <f>HYPERLINK(AB2 &amp; "/pencil/sn_eb4efa5574376393a5517442d05421cb/rendering/19.obj", "2.70664691925")</f>
        <v>2.70664691925</v>
      </c>
      <c r="W2245" s="12" t="s">
        <v>32</v>
      </c>
      <c r="X2245" s="13">
        <v>2.2946002602577211</v>
      </c>
      <c r="Y2245" s="13">
        <v>0.33163236426315362</v>
      </c>
      <c r="Z2245" s="84">
        <v>0.14452729305709469</v>
      </c>
    </row>
    <row r="2246" spans="1:26" x14ac:dyDescent="0.2">
      <c r="A2246" s="1">
        <v>2244</v>
      </c>
      <c r="B2246" s="2" t="s">
        <v>481</v>
      </c>
      <c r="C2246" s="13" t="str">
        <f>HYPERLINK(AC2 &amp; "/pencil/sn_eb4efa5574376393a5517442d05421cb/rendering/00.xyz", "0.0")</f>
        <v>0.0</v>
      </c>
      <c r="D2246" s="13" t="str">
        <f>HYPERLINK(AC2 &amp; "/pencil/sn_eb4efa5574376393a5517442d05421cb/rendering/01.xyz", "0.0")</f>
        <v>0.0</v>
      </c>
      <c r="E2246" s="13" t="str">
        <f>HYPERLINK(AC2 &amp; "/pencil/sn_eb4efa5574376393a5517442d05421cb/rendering/02.xyz", "0.0")</f>
        <v>0.0</v>
      </c>
      <c r="F2246" s="13" t="str">
        <f>HYPERLINK(AC2 &amp; "/pencil/sn_eb4efa5574376393a5517442d05421cb/rendering/03.xyz", "0.0")</f>
        <v>0.0</v>
      </c>
      <c r="G2246" s="13" t="str">
        <f>HYPERLINK(AC2 &amp; "/pencil/sn_eb4efa5574376393a5517442d05421cb/rendering/04.xyz", "0.0")</f>
        <v>0.0</v>
      </c>
      <c r="H2246" s="13" t="str">
        <f>HYPERLINK(AC2 &amp; "/pencil/sn_eb4efa5574376393a5517442d05421cb/rendering/05.xyz", "0.0")</f>
        <v>0.0</v>
      </c>
      <c r="I2246" s="13" t="str">
        <f>HYPERLINK(AC2 &amp; "/pencil/sn_eb4efa5574376393a5517442d05421cb/rendering/06.xyz", "0.0")</f>
        <v>0.0</v>
      </c>
      <c r="J2246" s="13" t="str">
        <f>HYPERLINK(AC2 &amp; "/pencil/sn_eb4efa5574376393a5517442d05421cb/rendering/07.xyz", "0.0")</f>
        <v>0.0</v>
      </c>
      <c r="K2246" s="13" t="str">
        <f>HYPERLINK(AC2 &amp; "/pencil/sn_eb4efa5574376393a5517442d05421cb/rendering/08.xyz", "0.0")</f>
        <v>0.0</v>
      </c>
      <c r="L2246" s="13" t="str">
        <f>HYPERLINK(AC2 &amp; "/pencil/sn_eb4efa5574376393a5517442d05421cb/rendering/09.xyz", "0.0")</f>
        <v>0.0</v>
      </c>
      <c r="M2246" s="13" t="str">
        <f>HYPERLINK(AC2 &amp; "/pencil/sn_eb4efa5574376393a5517442d05421cb/rendering/10.xyz", "0.0")</f>
        <v>0.0</v>
      </c>
      <c r="N2246" s="13" t="str">
        <f>HYPERLINK(AC2 &amp; "/pencil/sn_eb4efa5574376393a5517442d05421cb/rendering/11.xyz", "0.0")</f>
        <v>0.0</v>
      </c>
      <c r="O2246" s="13" t="str">
        <f>HYPERLINK(AC2 &amp; "/pencil/sn_eb4efa5574376393a5517442d05421cb/rendering/12.xyz", "0.0")</f>
        <v>0.0</v>
      </c>
      <c r="P2246" s="13" t="str">
        <f>HYPERLINK(AC2 &amp; "/pencil/sn_eb4efa5574376393a5517442d05421cb/rendering/13.xyz", "0.0")</f>
        <v>0.0</v>
      </c>
      <c r="Q2246" s="13" t="str">
        <f>HYPERLINK(AC2 &amp; "/pencil/sn_eb4efa5574376393a5517442d05421cb/rendering/14.xyz", "0.0")</f>
        <v>0.0</v>
      </c>
      <c r="R2246" s="13" t="str">
        <f>HYPERLINK(AC2 &amp; "/pencil/sn_eb4efa5574376393a5517442d05421cb/rendering/15.xyz", "0.0")</f>
        <v>0.0</v>
      </c>
      <c r="S2246" s="13" t="str">
        <f>HYPERLINK(AC2 &amp; "/pencil/sn_eb4efa5574376393a5517442d05421cb/rendering/16.xyz", "0.0")</f>
        <v>0.0</v>
      </c>
      <c r="T2246" s="13" t="str">
        <f>HYPERLINK(AC2 &amp; "/pencil/sn_eb4efa5574376393a5517442d05421cb/rendering/17.xyz", "0.0")</f>
        <v>0.0</v>
      </c>
      <c r="U2246" s="13" t="str">
        <f>HYPERLINK(AC2 &amp; "/pencil/sn_eb4efa5574376393a5517442d05421cb/rendering/18.xyz", "0.0")</f>
        <v>0.0</v>
      </c>
      <c r="V2246" s="13" t="str">
        <f>HYPERLINK(AC2 &amp; "/pencil/sn_eb4efa5574376393a5517442d05421cb/rendering/19.xyz", "0.0")</f>
        <v>0.0</v>
      </c>
      <c r="W2246" s="12" t="s">
        <v>33</v>
      </c>
      <c r="X2246" s="13">
        <v>0</v>
      </c>
      <c r="Y2246" s="13">
        <v>0</v>
      </c>
      <c r="Z2246" s="13">
        <v>0</v>
      </c>
    </row>
    <row r="2247" spans="1:26" x14ac:dyDescent="0.2">
      <c r="A2247" s="1">
        <v>2245</v>
      </c>
      <c r="B2247" s="2" t="s">
        <v>482</v>
      </c>
      <c r="C2247" s="47" t="str">
        <f>HYPERLINK(AA2 &amp; "/pencil/sn_ec30b2c80e1d1c5c886d41634f2118a2/rendering/00.obj", "3.70703063965")</f>
        <v>3.70703063965</v>
      </c>
      <c r="D2247" s="13" t="str">
        <f>HYPERLINK(AA2 &amp; "/pencil/sn_ec30b2c80e1d1c5c886d41634f2118a2/rendering/01.obj", "3.74315643311")</f>
        <v>3.74315643311</v>
      </c>
      <c r="E2247" s="27" t="str">
        <f>HYPERLINK(AA2 &amp; "/pencil/sn_ec30b2c80e1d1c5c886d41634f2118a2/rendering/02.obj", "3.4726159668")</f>
        <v>3.4726159668</v>
      </c>
      <c r="F2247" s="25" t="str">
        <f>HYPERLINK(AA2 &amp; "/pencil/sn_ec30b2c80e1d1c5c886d41634f2118a2/rendering/03.obj", "3.69219787598")</f>
        <v>3.69219787598</v>
      </c>
      <c r="G2247" s="91" t="str">
        <f>HYPERLINK(AA2 &amp; "/pencil/sn_ec30b2c80e1d1c5c886d41634f2118a2/rendering/04.obj", "3.64160705566")</f>
        <v>3.64160705566</v>
      </c>
      <c r="H2247" s="46" t="str">
        <f>HYPERLINK(AA2 &amp; "/pencil/sn_ec30b2c80e1d1c5c886d41634f2118a2/rendering/05.obj", "3.67828033447")</f>
        <v>3.67828033447</v>
      </c>
      <c r="I2247" s="25" t="str">
        <f>HYPERLINK(AA2 &amp; "/pencil/sn_ec30b2c80e1d1c5c886d41634f2118a2/rendering/06.obj", "3.77469665527")</f>
        <v>3.77469665527</v>
      </c>
      <c r="J2247" s="68" t="str">
        <f>HYPERLINK(AA2 &amp; "/pencil/sn_ec30b2c80e1d1c5c886d41634f2118a2/rendering/07.obj", "3.58031860352")</f>
        <v>3.58031860352</v>
      </c>
      <c r="K2247" s="13" t="str">
        <f>HYPERLINK(AA2 &amp; "/pencil/sn_ec30b2c80e1d1c5c886d41634f2118a2/rendering/08.obj", "3.74652099609")</f>
        <v>3.74652099609</v>
      </c>
      <c r="L2247" s="10" t="str">
        <f>HYPERLINK(AA2 &amp; "/pencil/sn_ec30b2c80e1d1c5c886d41634f2118a2/rendering/09.obj", "3.52875549316")</f>
        <v>3.52875549316</v>
      </c>
      <c r="M2247" s="46" t="str">
        <f>HYPERLINK(AA2 &amp; "/pencil/sn_ec30b2c80e1d1c5c886d41634f2118a2/rendering/10.obj", "3.79855224609")</f>
        <v>3.79855224609</v>
      </c>
      <c r="N2247" s="74" t="str">
        <f>HYPERLINK(AA2 &amp; "/pencil/sn_ec30b2c80e1d1c5c886d41634f2118a2/rendering/11.obj", "3.78908599854")</f>
        <v>3.78908599854</v>
      </c>
      <c r="O2247" s="73" t="str">
        <f>HYPERLINK(AA2 &amp; "/pencil/sn_ec30b2c80e1d1c5c886d41634f2118a2/rendering/12.obj", "3.86908294678")</f>
        <v>3.86908294678</v>
      </c>
      <c r="P2247" s="91" t="str">
        <f>HYPERLINK(AA2 &amp; "/pencil/sn_ec30b2c80e1d1c5c886d41634f2118a2/rendering/13.obj", "3.63669189453")</f>
        <v>3.63669189453</v>
      </c>
      <c r="Q2247" s="91" t="str">
        <f>HYPERLINK(AA2 &amp; "/pencil/sn_ec30b2c80e1d1c5c886d41634f2118a2/rendering/14.obj", "3.63516662598")</f>
        <v>3.63516662598</v>
      </c>
      <c r="R2247" s="69" t="str">
        <f>HYPERLINK(AA2 &amp; "/pencil/sn_ec30b2c80e1d1c5c886d41634f2118a2/rendering/15.obj", "3.85312744141")</f>
        <v>3.85312744141</v>
      </c>
      <c r="S2247" s="34" t="str">
        <f>HYPERLINK(AA2 &amp; "/pencil/sn_ec30b2c80e1d1c5c886d41634f2118a2/rendering/16.obj", "3.92479736328")</f>
        <v>3.92479736328</v>
      </c>
      <c r="T2247" s="72" t="str">
        <f>HYPERLINK(AA2 &amp; "/pencil/sn_ec30b2c80e1d1c5c886d41634f2118a2/rendering/17.obj", "3.616121521")</f>
        <v>3.616121521</v>
      </c>
      <c r="U2247" s="63" t="str">
        <f>HYPERLINK(AA2 &amp; "/pencil/sn_ec30b2c80e1d1c5c886d41634f2118a2/rendering/18.obj", "4.19203399658")</f>
        <v>4.19203399658</v>
      </c>
      <c r="V2247" s="68" t="str">
        <f>HYPERLINK(AA2 &amp; "/pencil/sn_ec30b2c80e1d1c5c886d41634f2118a2/rendering/19.obj", "3.89998413086")</f>
        <v>3.89998413086</v>
      </c>
      <c r="W2247" s="12" t="s">
        <v>29</v>
      </c>
      <c r="X2247" s="13">
        <v>3.7389912109374999</v>
      </c>
      <c r="Y2247" s="13">
        <v>0.1574962442425866</v>
      </c>
      <c r="Z2247" s="68">
        <v>4.2122656983485288E-2</v>
      </c>
    </row>
    <row r="2248" spans="1:26" x14ac:dyDescent="0.2">
      <c r="A2248" s="1">
        <v>2246</v>
      </c>
      <c r="B2248" s="2" t="s">
        <v>482</v>
      </c>
      <c r="C2248" s="41" t="str">
        <f>HYPERLINK(AA2 &amp; "/pencil/sn_ec30b2c80e1d1c5c886d41634f2118a2/rendering/00.obj", "0.700467228889")</f>
        <v>0.700467228889</v>
      </c>
      <c r="D2248" s="6" t="str">
        <f>HYPERLINK(AA2 &amp; "/pencil/sn_ec30b2c80e1d1c5c886d41634f2118a2/rendering/01.obj", "0.717229545116")</f>
        <v>0.717229545116</v>
      </c>
      <c r="E2248" s="133" t="str">
        <f>HYPERLINK(AA2 &amp; "/pencil/sn_ec30b2c80e1d1c5c886d41634f2118a2/rendering/02.obj", "0.674943208694")</f>
        <v>0.674943208694</v>
      </c>
      <c r="F2248" s="34" t="str">
        <f>HYPERLINK(AA2 &amp; "/pencil/sn_ec30b2c80e1d1c5c886d41634f2118a2/rendering/03.obj", "0.716547846794")</f>
        <v>0.716547846794</v>
      </c>
      <c r="G2248" s="23" t="str">
        <f>HYPERLINK(AA2 &amp; "/pencil/sn_ec30b2c80e1d1c5c886d41634f2118a2/rendering/04.obj", "0.723822832108")</f>
        <v>0.723822832108</v>
      </c>
      <c r="H2248" s="110" t="str">
        <f>HYPERLINK(AA2 &amp; "/pencil/sn_ec30b2c80e1d1c5c886d41634f2118a2/rendering/05.obj", "0.67730230093")</f>
        <v>0.67730230093</v>
      </c>
      <c r="I2248" s="106" t="str">
        <f>HYPERLINK(AA2 &amp; "/pencil/sn_ec30b2c80e1d1c5c886d41634f2118a2/rendering/06.obj", "0.839468896389")</f>
        <v>0.839468896389</v>
      </c>
      <c r="J2248" s="46" t="str">
        <f>HYPERLINK(AA2 &amp; "/pencil/sn_ec30b2c80e1d1c5c886d41634f2118a2/rendering/07.obj", "0.764996886253")</f>
        <v>0.764996886253</v>
      </c>
      <c r="K2248" s="32" t="str">
        <f>HYPERLINK(AA2 &amp; "/pencil/sn_ec30b2c80e1d1c5c886d41634f2118a2/rendering/08.obj", "0.673545658588")</f>
        <v>0.673545658588</v>
      </c>
      <c r="L2248" s="90" t="str">
        <f>HYPERLINK(AA2 &amp; "/pencil/sn_ec30b2c80e1d1c5c886d41634f2118a2/rendering/09.obj", "0.680116355419")</f>
        <v>0.680116355419</v>
      </c>
      <c r="M2248" s="27" t="str">
        <f>HYPERLINK(AA2 &amp; "/pencil/sn_ec30b2c80e1d1c5c886d41634f2118a2/rendering/10.obj", "0.804729044437")</f>
        <v>0.804729044437</v>
      </c>
      <c r="N2248" s="73" t="str">
        <f>HYPERLINK(AA2 &amp; "/pencil/sn_ec30b2c80e1d1c5c886d41634f2118a2/rendering/11.obj", "0.780360043049")</f>
        <v>0.780360043049</v>
      </c>
      <c r="O2248" s="34" t="str">
        <f>HYPERLINK(AA2 &amp; "/pencil/sn_ec30b2c80e1d1c5c886d41634f2118a2/rendering/12.obj", "0.78966397047")</f>
        <v>0.78966397047</v>
      </c>
      <c r="P2248" s="110" t="str">
        <f>HYPERLINK(AA2 &amp; "/pencil/sn_ec30b2c80e1d1c5c886d41634f2118a2/rendering/13.obj", "0.678733229637")</f>
        <v>0.678733229637</v>
      </c>
      <c r="Q2248" s="28" t="str">
        <f>HYPERLINK(AA2 &amp; "/pencil/sn_ec30b2c80e1d1c5c886d41634f2118a2/rendering/14.obj", "0.667920053005")</f>
        <v>0.667920053005</v>
      </c>
      <c r="R2248" s="47" t="str">
        <f>HYPERLINK(AA2 &amp; "/pencil/sn_ec30b2c80e1d1c5c886d41634f2118a2/rendering/15.obj", "0.745874881744")</f>
        <v>0.745874881744</v>
      </c>
      <c r="S2248" s="91" t="str">
        <f>HYPERLINK(AA2 &amp; "/pencil/sn_ec30b2c80e1d1c5c886d41634f2118a2/rendering/16.obj", "0.772245109081")</f>
        <v>0.772245109081</v>
      </c>
      <c r="T2248" s="30" t="str">
        <f>HYPERLINK(AA2 &amp; "/pencil/sn_ec30b2c80e1d1c5c886d41634f2118a2/rendering/17.obj", "0.749059081078")</f>
        <v>0.749059081078</v>
      </c>
      <c r="U2248" s="213" t="str">
        <f>HYPERLINK(AA2 &amp; "/pencil/sn_ec30b2c80e1d1c5c886d41634f2118a2/rendering/18.obj", "1.12474238873")</f>
        <v>1.12474238873</v>
      </c>
      <c r="V2248" s="74" t="str">
        <f>HYPERLINK(AA2 &amp; "/pencil/sn_ec30b2c80e1d1c5c886d41634f2118a2/rendering/19.obj", "0.763443529606")</f>
        <v>0.763443529606</v>
      </c>
      <c r="W2248" s="12" t="s">
        <v>30</v>
      </c>
      <c r="X2248" s="13">
        <v>0.75226060450077059</v>
      </c>
      <c r="Y2248" s="13">
        <v>9.8371279896114092E-2</v>
      </c>
      <c r="Z2248" s="29">
        <v>0.13076755489727809</v>
      </c>
    </row>
    <row r="2249" spans="1:26" x14ac:dyDescent="0.2">
      <c r="A2249" s="1">
        <v>2247</v>
      </c>
      <c r="B2249" s="2" t="s">
        <v>482</v>
      </c>
      <c r="C2249" s="91" t="str">
        <f>HYPERLINK(AB2 &amp; "/pencil/sn_ec30b2c80e1d1c5c886d41634f2118a2/rendering/00.obj", "5.75815307617")</f>
        <v>5.75815307617</v>
      </c>
      <c r="D2249" s="46" t="str">
        <f>HYPERLINK(AB2 &amp; "/pencil/sn_ec30b2c80e1d1c5c886d41634f2118a2/rendering/01.obj", "5.50556396484")</f>
        <v>5.50556396484</v>
      </c>
      <c r="E2249" s="72" t="str">
        <f>HYPERLINK(AB2 &amp; "/pencil/sn_ec30b2c80e1d1c5c886d41634f2118a2/rendering/02.obj", "5.42390991211")</f>
        <v>5.42390991211</v>
      </c>
      <c r="F2249" s="69" t="str">
        <f>HYPERLINK(AB2 &amp; "/pencil/sn_ec30b2c80e1d1c5c886d41634f2118a2/rendering/03.obj", "5.44492858887")</f>
        <v>5.44492858887</v>
      </c>
      <c r="G2249" s="74" t="str">
        <f>HYPERLINK(AB2 &amp; "/pencil/sn_ec30b2c80e1d1c5c886d41634f2118a2/rendering/04.obj", "5.68047607422")</f>
        <v>5.68047607422</v>
      </c>
      <c r="H2249" s="46" t="str">
        <f>HYPERLINK(AB2 &amp; "/pencil/sn_ec30b2c80e1d1c5c886d41634f2118a2/rendering/05.obj", "5.50566162109")</f>
        <v>5.50566162109</v>
      </c>
      <c r="I2249" s="13" t="str">
        <f>HYPERLINK(AB2 &amp; "/pencil/sn_ec30b2c80e1d1c5c886d41634f2118a2/rendering/06.obj", "5.59579956055")</f>
        <v>5.59579956055</v>
      </c>
      <c r="J2249" s="30" t="str">
        <f>HYPERLINK(AB2 &amp; "/pencil/sn_ec30b2c80e1d1c5c886d41634f2118a2/rendering/07.obj", "5.6261505127")</f>
        <v>5.6261505127</v>
      </c>
      <c r="K2249" s="13" t="str">
        <f>HYPERLINK(AB2 &amp; "/pencil/sn_ec30b2c80e1d1c5c886d41634f2118a2/rendering/08.obj", "5.59595458984")</f>
        <v>5.59595458984</v>
      </c>
      <c r="L2249" s="48" t="str">
        <f>HYPERLINK(AB2 &amp; "/pencil/sn_ec30b2c80e1d1c5c886d41634f2118a2/rendering/09.obj", "5.47915771484")</f>
        <v>5.47915771484</v>
      </c>
      <c r="M2249" s="91" t="str">
        <f>HYPERLINK(AB2 &amp; "/pencil/sn_ec30b2c80e1d1c5c886d41634f2118a2/rendering/10.obj", "5.74795715332")</f>
        <v>5.74795715332</v>
      </c>
      <c r="N2249" s="73" t="str">
        <f>HYPERLINK(AB2 &amp; "/pencil/sn_ec30b2c80e1d1c5c886d41634f2118a2/rendering/11.obj", "5.40073242188")</f>
        <v>5.40073242188</v>
      </c>
      <c r="O2249" s="46" t="str">
        <f>HYPERLINK(AB2 &amp; "/pencil/sn_ec30b2c80e1d1c5c886d41634f2118a2/rendering/12.obj", "5.69711669922")</f>
        <v>5.69711669922</v>
      </c>
      <c r="P2249" s="73" t="str">
        <f>HYPERLINK(AB2 &amp; "/pencil/sn_ec30b2c80e1d1c5c886d41634f2118a2/rendering/13.obj", "5.81472961426")</f>
        <v>5.81472961426</v>
      </c>
      <c r="Q2249" s="69" t="str">
        <f>HYPERLINK(AB2 &amp; "/pencil/sn_ec30b2c80e1d1c5c886d41634f2118a2/rendering/14.obj", "5.77952514648")</f>
        <v>5.77952514648</v>
      </c>
      <c r="R2249" s="69" t="str">
        <f>HYPERLINK(AB2 &amp; "/pencil/sn_ec30b2c80e1d1c5c886d41634f2118a2/rendering/15.obj", "5.77851074219")</f>
        <v>5.77851074219</v>
      </c>
      <c r="S2249" s="30" t="str">
        <f>HYPERLINK(AB2 &amp; "/pencil/sn_ec30b2c80e1d1c5c886d41634f2118a2/rendering/16.obj", "5.58556640625")</f>
        <v>5.58556640625</v>
      </c>
      <c r="T2249" s="48" t="str">
        <f>HYPERLINK(AB2 &amp; "/pencil/sn_ec30b2c80e1d1c5c886d41634f2118a2/rendering/17.obj", "5.47971801758")</f>
        <v>5.47971801758</v>
      </c>
      <c r="U2249" s="47" t="str">
        <f>HYPERLINK(AB2 &amp; "/pencil/sn_ec30b2c80e1d1c5c886d41634f2118a2/rendering/18.obj", "5.56437255859")</f>
        <v>5.56437255859</v>
      </c>
      <c r="V2249" s="30" t="str">
        <f>HYPERLINK(AB2 &amp; "/pencil/sn_ec30b2c80e1d1c5c886d41634f2118a2/rendering/19.obj", "5.63047302246")</f>
        <v>5.63047302246</v>
      </c>
      <c r="W2249" s="12" t="s">
        <v>31</v>
      </c>
      <c r="X2249" s="13">
        <v>5.6047228698730462</v>
      </c>
      <c r="Y2249" s="13">
        <v>0.12596524732036851</v>
      </c>
      <c r="Z2249" s="48">
        <v>2.247483956744176E-2</v>
      </c>
    </row>
    <row r="2250" spans="1:26" x14ac:dyDescent="0.2">
      <c r="A2250" s="1">
        <v>2248</v>
      </c>
      <c r="B2250" s="2" t="s">
        <v>482</v>
      </c>
      <c r="C2250" s="86" t="str">
        <f>HYPERLINK(AB2 &amp; "/pencil/sn_ec30b2c80e1d1c5c886d41634f2118a2/rendering/00.obj", "1.21327698231")</f>
        <v>1.21327698231</v>
      </c>
      <c r="D2250" s="72" t="str">
        <f>HYPERLINK(AB2 &amp; "/pencil/sn_ec30b2c80e1d1c5c886d41634f2118a2/rendering/01.obj", "0.986936926842")</f>
        <v>0.986936926842</v>
      </c>
      <c r="E2250" s="80" t="str">
        <f>HYPERLINK(AB2 &amp; "/pencil/sn_ec30b2c80e1d1c5c886d41634f2118a2/rendering/02.obj", "0.812920033932")</f>
        <v>0.812920033932</v>
      </c>
      <c r="F2250" s="109" t="str">
        <f>HYPERLINK(AB2 &amp; "/pencil/sn_ec30b2c80e1d1c5c886d41634f2118a2/rendering/03.obj", "0.773970842361")</f>
        <v>0.773970842361</v>
      </c>
      <c r="G2250" s="13" t="str">
        <f>HYPERLINK(AB2 &amp; "/pencil/sn_ec30b2c80e1d1c5c886d41634f2118a2/rendering/04.obj", "0.958850443363")</f>
        <v>0.958850443363</v>
      </c>
      <c r="H2250" s="46" t="str">
        <f>HYPERLINK(AB2 &amp; "/pencil/sn_ec30b2c80e1d1c5c886d41634f2118a2/rendering/05.obj", "0.940656125546")</f>
        <v>0.940656125546</v>
      </c>
      <c r="I2250" s="40" t="str">
        <f>HYPERLINK(AB2 &amp; "/pencil/sn_ec30b2c80e1d1c5c886d41634f2118a2/rendering/06.obj", "0.794353604317")</f>
        <v>0.794353604317</v>
      </c>
      <c r="J2250" s="30" t="str">
        <f>HYPERLINK(AB2 &amp; "/pencil/sn_ec30b2c80e1d1c5c886d41634f2118a2/rendering/07.obj", "0.960272789001")</f>
        <v>0.960272789001</v>
      </c>
      <c r="K2250" s="72" t="str">
        <f>HYPERLINK(AB2 &amp; "/pencil/sn_ec30b2c80e1d1c5c886d41634f2118a2/rendering/08.obj", "0.988014101982")</f>
        <v>0.988014101982</v>
      </c>
      <c r="L2250" s="41" t="str">
        <f>HYPERLINK(AB2 &amp; "/pencil/sn_ec30b2c80e1d1c5c886d41634f2118a2/rendering/09.obj", "0.891612350941")</f>
        <v>0.891612350941</v>
      </c>
      <c r="M2250" s="107" t="str">
        <f>HYPERLINK(AB2 &amp; "/pencil/sn_ec30b2c80e1d1c5c886d41634f2118a2/rendering/10.obj", "1.03692293167")</f>
        <v>1.03692293167</v>
      </c>
      <c r="N2250" s="34" t="str">
        <f>HYPERLINK(AB2 &amp; "/pencil/sn_ec30b2c80e1d1c5c886d41634f2118a2/rendering/11.obj", "1.00226259232")</f>
        <v>1.00226259232</v>
      </c>
      <c r="O2250" s="23" t="str">
        <f>HYPERLINK(AB2 &amp; "/pencil/sn_ec30b2c80e1d1c5c886d41634f2118a2/rendering/12.obj", "0.994114875793")</f>
        <v>0.994114875793</v>
      </c>
      <c r="P2250" s="10" t="str">
        <f>HYPERLINK(AB2 &amp; "/pencil/sn_ec30b2c80e1d1c5c886d41634f2118a2/rendering/13.obj", "1.00912690163")</f>
        <v>1.00912690163</v>
      </c>
      <c r="Q2250" s="17" t="str">
        <f>HYPERLINK(AB2 &amp; "/pencil/sn_ec30b2c80e1d1c5c886d41634f2118a2/rendering/14.obj", "0.97612798214")</f>
        <v>0.97612798214</v>
      </c>
      <c r="R2250" s="83" t="str">
        <f>HYPERLINK(AB2 &amp; "/pencil/sn_ec30b2c80e1d1c5c886d41634f2118a2/rendering/15.obj", "1.10069036484")</f>
        <v>1.10069036484</v>
      </c>
      <c r="S2250" s="73" t="str">
        <f>HYPERLINK(AB2 &amp; "/pencil/sn_ec30b2c80e1d1c5c886d41634f2118a2/rendering/16.obj", "0.989906966686")</f>
        <v>0.989906966686</v>
      </c>
      <c r="T2250" s="6" t="str">
        <f>HYPERLINK(AB2 &amp; "/pencil/sn_ec30b2c80e1d1c5c886d41634f2118a2/rendering/17.obj", "0.911513745785")</f>
        <v>0.911513745785</v>
      </c>
      <c r="U2250" s="27" t="str">
        <f>HYPERLINK(AB2 &amp; "/pencil/sn_ec30b2c80e1d1c5c886d41634f2118a2/rendering/18.obj", "0.887813866138")</f>
        <v>0.887813866138</v>
      </c>
      <c r="V2250" s="35" t="str">
        <f>HYPERLINK(AB2 &amp; "/pencil/sn_ec30b2c80e1d1c5c886d41634f2118a2/rendering/19.obj", "0.900060594082")</f>
        <v>0.900060594082</v>
      </c>
      <c r="W2250" s="12" t="s">
        <v>32</v>
      </c>
      <c r="X2250" s="13">
        <v>0.95647025108337402</v>
      </c>
      <c r="Y2250" s="13">
        <v>9.9379154026433006E-2</v>
      </c>
      <c r="Z2250" s="32">
        <v>0.1039019811790992</v>
      </c>
    </row>
    <row r="2251" spans="1:26" x14ac:dyDescent="0.2">
      <c r="A2251" s="1">
        <v>2249</v>
      </c>
      <c r="B2251" s="2" t="s">
        <v>482</v>
      </c>
      <c r="C2251" s="13" t="str">
        <f>HYPERLINK(AC2 &amp; "/pencil/sn_ec30b2c80e1d1c5c886d41634f2118a2/rendering/00.xyz", "0.0")</f>
        <v>0.0</v>
      </c>
      <c r="D2251" s="13" t="str">
        <f>HYPERLINK(AC2 &amp; "/pencil/sn_ec30b2c80e1d1c5c886d41634f2118a2/rendering/01.xyz", "0.0")</f>
        <v>0.0</v>
      </c>
      <c r="E2251" s="13" t="str">
        <f>HYPERLINK(AC2 &amp; "/pencil/sn_ec30b2c80e1d1c5c886d41634f2118a2/rendering/02.xyz", "0.0")</f>
        <v>0.0</v>
      </c>
      <c r="F2251" s="13" t="str">
        <f>HYPERLINK(AC2 &amp; "/pencil/sn_ec30b2c80e1d1c5c886d41634f2118a2/rendering/03.xyz", "0.0")</f>
        <v>0.0</v>
      </c>
      <c r="G2251" s="13" t="str">
        <f>HYPERLINK(AC2 &amp; "/pencil/sn_ec30b2c80e1d1c5c886d41634f2118a2/rendering/04.xyz", "0.0")</f>
        <v>0.0</v>
      </c>
      <c r="H2251" s="13" t="str">
        <f>HYPERLINK(AC2 &amp; "/pencil/sn_ec30b2c80e1d1c5c886d41634f2118a2/rendering/05.xyz", "0.0")</f>
        <v>0.0</v>
      </c>
      <c r="I2251" s="13" t="str">
        <f>HYPERLINK(AC2 &amp; "/pencil/sn_ec30b2c80e1d1c5c886d41634f2118a2/rendering/06.xyz", "0.0")</f>
        <v>0.0</v>
      </c>
      <c r="J2251" s="13" t="str">
        <f>HYPERLINK(AC2 &amp; "/pencil/sn_ec30b2c80e1d1c5c886d41634f2118a2/rendering/07.xyz", "0.0")</f>
        <v>0.0</v>
      </c>
      <c r="K2251" s="13" t="str">
        <f>HYPERLINK(AC2 &amp; "/pencil/sn_ec30b2c80e1d1c5c886d41634f2118a2/rendering/08.xyz", "0.0")</f>
        <v>0.0</v>
      </c>
      <c r="L2251" s="13" t="str">
        <f>HYPERLINK(AC2 &amp; "/pencil/sn_ec30b2c80e1d1c5c886d41634f2118a2/rendering/09.xyz", "0.0")</f>
        <v>0.0</v>
      </c>
      <c r="M2251" s="13" t="str">
        <f>HYPERLINK(AC2 &amp; "/pencil/sn_ec30b2c80e1d1c5c886d41634f2118a2/rendering/10.xyz", "0.0")</f>
        <v>0.0</v>
      </c>
      <c r="N2251" s="13" t="str">
        <f>HYPERLINK(AC2 &amp; "/pencil/sn_ec30b2c80e1d1c5c886d41634f2118a2/rendering/11.xyz", "0.0")</f>
        <v>0.0</v>
      </c>
      <c r="O2251" s="13" t="str">
        <f>HYPERLINK(AC2 &amp; "/pencil/sn_ec30b2c80e1d1c5c886d41634f2118a2/rendering/12.xyz", "0.0")</f>
        <v>0.0</v>
      </c>
      <c r="P2251" s="13" t="str">
        <f>HYPERLINK(AC2 &amp; "/pencil/sn_ec30b2c80e1d1c5c886d41634f2118a2/rendering/13.xyz", "0.0")</f>
        <v>0.0</v>
      </c>
      <c r="Q2251" s="13" t="str">
        <f>HYPERLINK(AC2 &amp; "/pencil/sn_ec30b2c80e1d1c5c886d41634f2118a2/rendering/14.xyz", "0.0")</f>
        <v>0.0</v>
      </c>
      <c r="R2251" s="13" t="str">
        <f>HYPERLINK(AC2 &amp; "/pencil/sn_ec30b2c80e1d1c5c886d41634f2118a2/rendering/15.xyz", "0.0")</f>
        <v>0.0</v>
      </c>
      <c r="S2251" s="13" t="str">
        <f>HYPERLINK(AC2 &amp; "/pencil/sn_ec30b2c80e1d1c5c886d41634f2118a2/rendering/16.xyz", "0.0")</f>
        <v>0.0</v>
      </c>
      <c r="T2251" s="13" t="str">
        <f>HYPERLINK(AC2 &amp; "/pencil/sn_ec30b2c80e1d1c5c886d41634f2118a2/rendering/17.xyz", "0.0")</f>
        <v>0.0</v>
      </c>
      <c r="U2251" s="13" t="str">
        <f>HYPERLINK(AC2 &amp; "/pencil/sn_ec30b2c80e1d1c5c886d41634f2118a2/rendering/18.xyz", "0.0")</f>
        <v>0.0</v>
      </c>
      <c r="V2251" s="13" t="str">
        <f>HYPERLINK(AC2 &amp; "/pencil/sn_ec30b2c80e1d1c5c886d41634f2118a2/rendering/19.xyz", "0.0")</f>
        <v>0.0</v>
      </c>
      <c r="W2251" s="12" t="s">
        <v>33</v>
      </c>
      <c r="X2251" s="13">
        <v>0</v>
      </c>
      <c r="Y2251" s="13">
        <v>0</v>
      </c>
      <c r="Z2251" s="13">
        <v>0</v>
      </c>
    </row>
    <row r="2252" spans="1:26" x14ac:dyDescent="0.2">
      <c r="A2252" s="1">
        <v>2250</v>
      </c>
      <c r="B2252" s="2" t="s">
        <v>483</v>
      </c>
      <c r="C2252" s="33" t="str">
        <f>HYPERLINK(AA2 &amp; "/pencil/sn_ec59f4fc9aa3753a43909a009b8afe7/rendering/00.obj", "3.41947906494")</f>
        <v>3.41947906494</v>
      </c>
      <c r="D2252" s="10" t="str">
        <f>HYPERLINK(AA2 &amp; "/pencil/sn_ec59f4fc9aa3753a43909a009b8afe7/rendering/01.obj", "2.91581817627")</f>
        <v>2.91581817627</v>
      </c>
      <c r="E2252" s="67" t="str">
        <f>HYPERLINK(AA2 &amp; "/pencil/sn_ec59f4fc9aa3753a43909a009b8afe7/rendering/02.obj", "2.80095947266")</f>
        <v>2.80095947266</v>
      </c>
      <c r="F2252" s="67" t="str">
        <f>HYPERLINK(AA2 &amp; "/pencil/sn_ec59f4fc9aa3753a43909a009b8afe7/rendering/03.obj", "3.36394714355")</f>
        <v>3.36394714355</v>
      </c>
      <c r="G2252" s="46" t="str">
        <f>HYPERLINK(AA2 &amp; "/pencil/sn_ec59f4fc9aa3753a43909a009b8afe7/rendering/04.obj", "3.02909942627")</f>
        <v>3.02909942627</v>
      </c>
      <c r="H2252" s="39" t="str">
        <f>HYPERLINK(AA2 &amp; "/pencil/sn_ec59f4fc9aa3753a43909a009b8afe7/rendering/05.obj", "3.34457580566")</f>
        <v>3.34457580566</v>
      </c>
      <c r="I2252" s="94" t="str">
        <f>HYPERLINK(AA2 &amp; "/pencil/sn_ec59f4fc9aa3753a43909a009b8afe7/rendering/06.obj", "2.85295776367")</f>
        <v>2.85295776367</v>
      </c>
      <c r="J2252" s="34" t="str">
        <f>HYPERLINK(AA2 &amp; "/pencil/sn_ec59f4fc9aa3753a43909a009b8afe7/rendering/07.obj", "2.92916656494")</f>
        <v>2.92916656494</v>
      </c>
      <c r="K2252" s="60" t="str">
        <f>HYPERLINK(AA2 &amp; "/pencil/sn_ec59f4fc9aa3753a43909a009b8afe7/rendering/08.obj", "3.2457321167")</f>
        <v>3.2457321167</v>
      </c>
      <c r="L2252" s="25" t="str">
        <f>HYPERLINK(AA2 &amp; "/pencil/sn_ec59f4fc9aa3753a43909a009b8afe7/rendering/09.obj", "3.05081085205")</f>
        <v>3.05081085205</v>
      </c>
      <c r="M2252" s="35" t="str">
        <f>HYPERLINK(AA2 &amp; "/pencil/sn_ec59f4fc9aa3753a43909a009b8afe7/rendering/10.obj", "2.90454528809")</f>
        <v>2.90454528809</v>
      </c>
      <c r="N2252" s="63" t="str">
        <f>HYPERLINK(AA2 &amp; "/pencil/sn_ec59f4fc9aa3753a43909a009b8afe7/rendering/11.obj", "2.70973449707")</f>
        <v>2.70973449707</v>
      </c>
      <c r="O2252" s="34" t="str">
        <f>HYPERLINK(AA2 &amp; "/pencil/sn_ec59f4fc9aa3753a43909a009b8afe7/rendering/12.obj", "3.2286517334")</f>
        <v>3.2286517334</v>
      </c>
      <c r="P2252" s="34" t="str">
        <f>HYPERLINK(AA2 &amp; "/pencil/sn_ec59f4fc9aa3753a43909a009b8afe7/rendering/13.obj", "3.23316314697")</f>
        <v>3.23316314697</v>
      </c>
      <c r="Q2252" s="72" t="str">
        <f>HYPERLINK(AA2 &amp; "/pencil/sn_ec59f4fc9aa3753a43909a009b8afe7/rendering/14.obj", "3.18159790039")</f>
        <v>3.18159790039</v>
      </c>
      <c r="R2252" s="74" t="str">
        <f>HYPERLINK(AA2 &amp; "/pencil/sn_ec59f4fc9aa3753a43909a009b8afe7/rendering/15.obj", "3.03375305176")</f>
        <v>3.03375305176</v>
      </c>
      <c r="S2252" s="91" t="str">
        <f>HYPERLINK(AA2 &amp; "/pencil/sn_ec59f4fc9aa3753a43909a009b8afe7/rendering/16.obj", "3.1650793457")</f>
        <v>3.1650793457</v>
      </c>
      <c r="T2252" s="133" t="str">
        <f>HYPERLINK(AA2 &amp; "/pencil/sn_ec59f4fc9aa3753a43909a009b8afe7/rendering/17.obj", "3.39444519043")</f>
        <v>3.39444519043</v>
      </c>
      <c r="U2252" s="90" t="str">
        <f>HYPERLINK(AA2 &amp; "/pencil/sn_ec59f4fc9aa3753a43909a009b8afe7/rendering/18.obj", "2.78932739258")</f>
        <v>2.78932739258</v>
      </c>
      <c r="V2252" s="74" t="str">
        <f>HYPERLINK(AA2 &amp; "/pencil/sn_ec59f4fc9aa3753a43909a009b8afe7/rendering/19.obj", "3.03777862549")</f>
        <v>3.03777862549</v>
      </c>
      <c r="W2252" s="12" t="s">
        <v>29</v>
      </c>
      <c r="X2252" s="13">
        <v>3.0815311279296869</v>
      </c>
      <c r="Y2252" s="13">
        <v>0.21144021211775971</v>
      </c>
      <c r="Z2252" s="41">
        <v>6.8615309513298625E-2</v>
      </c>
    </row>
    <row r="2253" spans="1:26" x14ac:dyDescent="0.2">
      <c r="A2253" s="1">
        <v>2251</v>
      </c>
      <c r="B2253" s="2" t="s">
        <v>483</v>
      </c>
      <c r="C2253" s="33" t="str">
        <f>HYPERLINK(AA2 &amp; "/pencil/sn_ec59f4fc9aa3753a43909a009b8afe7/rendering/00.obj", "0.995053708553")</f>
        <v>0.995053708553</v>
      </c>
      <c r="D2253" s="34" t="str">
        <f>HYPERLINK(AA2 &amp; "/pencil/sn_ec59f4fc9aa3753a43909a009b8afe7/rendering/01.obj", "0.942789673805")</f>
        <v>0.942789673805</v>
      </c>
      <c r="E2253" s="10" t="str">
        <f>HYPERLINK(AA2 &amp; "/pencil/sn_ec59f4fc9aa3753a43909a009b8afe7/rendering/02.obj", "0.84885764122")</f>
        <v>0.84885764122</v>
      </c>
      <c r="F2253" s="8" t="str">
        <f>HYPERLINK(AA2 &amp; "/pencil/sn_ec59f4fc9aa3753a43909a009b8afe7/rendering/03.obj", "1.02684962749")</f>
        <v>1.02684962749</v>
      </c>
      <c r="G2253" s="94" t="str">
        <f>HYPERLINK(AA2 &amp; "/pencil/sn_ec59f4fc9aa3753a43909a009b8afe7/rendering/04.obj", "0.8332285285")</f>
        <v>0.8332285285</v>
      </c>
      <c r="H2253" s="50" t="str">
        <f>HYPERLINK(AA2 &amp; "/pencil/sn_ec59f4fc9aa3753a43909a009b8afe7/rendering/05.obj", "1.07850301266")</f>
        <v>1.07850301266</v>
      </c>
      <c r="I2253" s="110" t="str">
        <f>HYPERLINK(AA2 &amp; "/pencil/sn_ec59f4fc9aa3753a43909a009b8afe7/rendering/06.obj", "0.80951076746")</f>
        <v>0.80951076746</v>
      </c>
      <c r="J2253" s="46" t="str">
        <f>HYPERLINK(AA2 &amp; "/pencil/sn_ec59f4fc9aa3753a43909a009b8afe7/rendering/07.obj", "0.882926166058")</f>
        <v>0.882926166058</v>
      </c>
      <c r="K2253" s="5" t="str">
        <f>HYPERLINK(AA2 &amp; "/pencil/sn_ec59f4fc9aa3753a43909a009b8afe7/rendering/08.obj", "0.830241858959")</f>
        <v>0.830241858959</v>
      </c>
      <c r="L2253" s="72" t="str">
        <f>HYPERLINK(AA2 &amp; "/pencil/sn_ec59f4fc9aa3753a43909a009b8afe7/rendering/09.obj", "0.868561267853")</f>
        <v>0.868561267853</v>
      </c>
      <c r="M2253" s="106" t="str">
        <f>HYPERLINK(AA2 &amp; "/pencil/sn_ec59f4fc9aa3753a43909a009b8afe7/rendering/10.obj", "0.797320306301")</f>
        <v>0.797320306301</v>
      </c>
      <c r="N2253" s="83" t="str">
        <f>HYPERLINK(AA2 &amp; "/pencil/sn_ec59f4fc9aa3753a43909a009b8afe7/rendering/11.obj", "0.760890305042")</f>
        <v>0.760890305042</v>
      </c>
      <c r="O2253" s="39" t="str">
        <f>HYPERLINK(AA2 &amp; "/pencil/sn_ec59f4fc9aa3753a43909a009b8afe7/rendering/12.obj", "0.822288691998")</f>
        <v>0.822288691998</v>
      </c>
      <c r="P2253" s="27" t="str">
        <f>HYPERLINK(AA2 &amp; "/pencil/sn_ec59f4fc9aa3753a43909a009b8afe7/rendering/13.obj", "0.836383402348")</f>
        <v>0.836383402348</v>
      </c>
      <c r="Q2253" s="23" t="str">
        <f>HYPERLINK(AA2 &amp; "/pencil/sn_ec59f4fc9aa3753a43909a009b8afe7/rendering/14.obj", "0.862621963024")</f>
        <v>0.862621963024</v>
      </c>
      <c r="R2253" s="35" t="str">
        <f>HYPERLINK(AA2 &amp; "/pencil/sn_ec59f4fc9aa3753a43909a009b8afe7/rendering/15.obj", "0.847373425961")</f>
        <v>0.847373425961</v>
      </c>
      <c r="S2253" s="8" t="str">
        <f>HYPERLINK(AA2 &amp; "/pencil/sn_ec59f4fc9aa3753a43909a009b8afe7/rendering/16.obj", "0.771524488926")</f>
        <v>0.771524488926</v>
      </c>
      <c r="T2253" s="103" t="str">
        <f>HYPERLINK(AA2 &amp; "/pencil/sn_ec59f4fc9aa3753a43909a009b8afe7/rendering/17.obj", "1.19108915329")</f>
        <v>1.19108915329</v>
      </c>
      <c r="U2253" s="60" t="str">
        <f>HYPERLINK(AA2 &amp; "/pencil/sn_ec59f4fc9aa3753a43909a009b8afe7/rendering/18.obj", "0.851040244102")</f>
        <v>0.851040244102</v>
      </c>
      <c r="V2253" s="108" t="str">
        <f>HYPERLINK(AA2 &amp; "/pencil/sn_ec59f4fc9aa3753a43909a009b8afe7/rendering/19.obj", "1.12096989155")</f>
        <v>1.12096989155</v>
      </c>
      <c r="W2253" s="12" t="s">
        <v>30</v>
      </c>
      <c r="X2253" s="13">
        <v>0.89890120625495906</v>
      </c>
      <c r="Y2253" s="13">
        <v>0.11764683846178731</v>
      </c>
      <c r="Z2253" s="29">
        <v>0.13087849659467321</v>
      </c>
    </row>
    <row r="2254" spans="1:26" x14ac:dyDescent="0.2">
      <c r="A2254" s="1">
        <v>2252</v>
      </c>
      <c r="B2254" s="2" t="s">
        <v>483</v>
      </c>
      <c r="C2254" s="13" t="str">
        <f>HYPERLINK(AB2 &amp; "/pencil/sn_ec59f4fc9aa3753a43909a009b8afe7/rendering/00.obj", "4.80467895508")</f>
        <v>4.80467895508</v>
      </c>
      <c r="D2254" s="91" t="str">
        <f>HYPERLINK(AB2 &amp; "/pencil/sn_ec59f4fc9aa3753a43909a009b8afe7/rendering/01.obj", "4.93037628174")</f>
        <v>4.93037628174</v>
      </c>
      <c r="E2254" s="26" t="str">
        <f>HYPERLINK(AB2 &amp; "/pencil/sn_ec59f4fc9aa3753a43909a009b8afe7/rendering/02.obj", "4.49653198242")</f>
        <v>4.49653198242</v>
      </c>
      <c r="F2254" s="13" t="str">
        <f>HYPERLINK(AB2 &amp; "/pencil/sn_ec59f4fc9aa3753a43909a009b8afe7/rendering/03.obj", "4.79983062744")</f>
        <v>4.79983062744</v>
      </c>
      <c r="G2254" s="17" t="str">
        <f>HYPERLINK(AB2 &amp; "/pencil/sn_ec59f4fc9aa3753a43909a009b8afe7/rendering/04.obj", "4.90187805176")</f>
        <v>4.90187805176</v>
      </c>
      <c r="H2254" s="30" t="str">
        <f>HYPERLINK(AB2 &amp; "/pencil/sn_ec59f4fc9aa3753a43909a009b8afe7/rendering/05.obj", "4.82928741455")</f>
        <v>4.82928741455</v>
      </c>
      <c r="I2254" s="72" t="str">
        <f>HYPERLINK(AB2 &amp; "/pencil/sn_ec59f4fc9aa3753a43909a009b8afe7/rendering/06.obj", "4.95684692383")</f>
        <v>4.95684692383</v>
      </c>
      <c r="J2254" s="35" t="str">
        <f>HYPERLINK(AB2 &amp; "/pencil/sn_ec59f4fc9aa3753a43909a009b8afe7/rendering/07.obj", "5.08196166992")</f>
        <v>5.08196166992</v>
      </c>
      <c r="K2254" s="13" t="str">
        <f>HYPERLINK(AB2 &amp; "/pencil/sn_ec59f4fc9aa3753a43909a009b8afe7/rendering/08.obj", "4.78886230469")</f>
        <v>4.78886230469</v>
      </c>
      <c r="L2254" s="30" t="str">
        <f>HYPERLINK(AB2 &amp; "/pencil/sn_ec59f4fc9aa3753a43909a009b8afe7/rendering/09.obj", "4.776746521")</f>
        <v>4.776746521</v>
      </c>
      <c r="M2254" s="74" t="str">
        <f>HYPERLINK(AB2 &amp; "/pencil/sn_ec59f4fc9aa3753a43909a009b8afe7/rendering/10.obj", "4.74026062012")</f>
        <v>4.74026062012</v>
      </c>
      <c r="N2254" s="48" t="str">
        <f>HYPERLINK(AB2 &amp; "/pencil/sn_ec59f4fc9aa3753a43909a009b8afe7/rendering/11.obj", "4.91481201172")</f>
        <v>4.91481201172</v>
      </c>
      <c r="O2254" s="25" t="str">
        <f>HYPERLINK(AB2 &amp; "/pencil/sn_ec59f4fc9aa3753a43909a009b8afe7/rendering/12.obj", "4.74904449463")</f>
        <v>4.74904449463</v>
      </c>
      <c r="P2254" s="47" t="str">
        <f>HYPERLINK(AB2 &amp; "/pencil/sn_ec59f4fc9aa3753a43909a009b8afe7/rendering/13.obj", "4.84435791016")</f>
        <v>4.84435791016</v>
      </c>
      <c r="Q2254" s="74" t="str">
        <f>HYPERLINK(AB2 &amp; "/pencil/sn_ec59f4fc9aa3753a43909a009b8afe7/rendering/14.obj", "4.73896118164")</f>
        <v>4.73896118164</v>
      </c>
      <c r="R2254" s="72" t="str">
        <f>HYPERLINK(AB2 &amp; "/pencil/sn_ec59f4fc9aa3753a43909a009b8afe7/rendering/15.obj", "4.95592041016")</f>
        <v>4.95592041016</v>
      </c>
      <c r="S2254" s="47" t="str">
        <f>HYPERLINK(AB2 &amp; "/pencil/sn_ec59f4fc9aa3753a43909a009b8afe7/rendering/16.obj", "4.76984680176")</f>
        <v>4.76984680176</v>
      </c>
      <c r="T2254" s="46" t="str">
        <f>HYPERLINK(AB2 &amp; "/pencil/sn_ec59f4fc9aa3753a43909a009b8afe7/rendering/17.obj", "4.88938903809")</f>
        <v>4.88938903809</v>
      </c>
      <c r="U2254" s="78" t="str">
        <f>HYPERLINK(AB2 &amp; "/pencil/sn_ec59f4fc9aa3753a43909a009b8afe7/rendering/18.obj", "4.50955383301")</f>
        <v>4.50955383301</v>
      </c>
      <c r="V2254" s="6" t="str">
        <f>HYPERLINK(AB2 &amp; "/pencil/sn_ec59f4fc9aa3753a43909a009b8afe7/rendering/19.obj", "4.58272735596")</f>
        <v>4.58272735596</v>
      </c>
      <c r="W2254" s="12" t="s">
        <v>31</v>
      </c>
      <c r="X2254" s="13">
        <v>4.8030937194824217</v>
      </c>
      <c r="Y2254" s="13">
        <v>0.1440041491516168</v>
      </c>
      <c r="Z2254" s="69">
        <v>2.998154055739196E-2</v>
      </c>
    </row>
    <row r="2255" spans="1:26" x14ac:dyDescent="0.2">
      <c r="A2255" s="1">
        <v>2253</v>
      </c>
      <c r="B2255" s="2" t="s">
        <v>483</v>
      </c>
      <c r="C2255" s="66" t="str">
        <f>HYPERLINK(AB2 &amp; "/pencil/sn_ec59f4fc9aa3753a43909a009b8afe7/rendering/00.obj", "1.29052114487")</f>
        <v>1.29052114487</v>
      </c>
      <c r="D2255" s="67" t="str">
        <f>HYPERLINK(AB2 &amp; "/pencil/sn_ec59f4fc9aa3753a43909a009b8afe7/rendering/01.obj", "1.21401762962")</f>
        <v>1.21401762962</v>
      </c>
      <c r="E2255" s="87" t="str">
        <f>HYPERLINK(AB2 &amp; "/pencil/sn_ec59f4fc9aa3753a43909a009b8afe7/rendering/02.obj", "0.858466565609")</f>
        <v>0.858466565609</v>
      </c>
      <c r="F2255" s="51" t="str">
        <f>HYPERLINK(AB2 &amp; "/pencil/sn_ec59f4fc9aa3753a43909a009b8afe7/rendering/03.obj", "1.20023179054")</f>
        <v>1.20023179054</v>
      </c>
      <c r="G2255" s="10" t="str">
        <f>HYPERLINK(AB2 &amp; "/pencil/sn_ec59f4fc9aa3753a43909a009b8afe7/rendering/04.obj", "1.04835319519")</f>
        <v>1.04835319519</v>
      </c>
      <c r="H2255" s="47" t="str">
        <f>HYPERLINK(AB2 &amp; "/pencil/sn_ec59f4fc9aa3753a43909a009b8afe7/rendering/05.obj", "1.1006090641")</f>
        <v>1.1006090641</v>
      </c>
      <c r="I2255" s="27" t="str">
        <f>HYPERLINK(AB2 &amp; "/pencil/sn_ec59f4fc9aa3753a43909a009b8afe7/rendering/06.obj", "1.18645656109")</f>
        <v>1.18645656109</v>
      </c>
      <c r="J2255" s="31" t="str">
        <f>HYPERLINK(AB2 &amp; "/pencil/sn_ec59f4fc9aa3753a43909a009b8afe7/rendering/07.obj", "1.28138661385")</f>
        <v>1.28138661385</v>
      </c>
      <c r="K2255" s="51" t="str">
        <f>HYPERLINK(AB2 &amp; "/pencil/sn_ec59f4fc9aa3753a43909a009b8afe7/rendering/08.obj", "1.1997859478")</f>
        <v>1.1997859478</v>
      </c>
      <c r="L2255" s="66" t="str">
        <f>HYPERLINK(AB2 &amp; "/pencil/sn_ec59f4fc9aa3753a43909a009b8afe7/rendering/09.obj", "0.930392146111")</f>
        <v>0.930392146111</v>
      </c>
      <c r="M2255" s="41" t="str">
        <f>HYPERLINK(AB2 &amp; "/pencil/sn_ec59f4fc9aa3753a43909a009b8afe7/rendering/10.obj", "1.0339641571")</f>
        <v>1.0339641571</v>
      </c>
      <c r="N2255" s="175" t="str">
        <f>HYPERLINK(AB2 &amp; "/pencil/sn_ec59f4fc9aa3753a43909a009b8afe7/rendering/11.obj", "1.36956715584")</f>
        <v>1.36956715584</v>
      </c>
      <c r="O2255" s="34" t="str">
        <f>HYPERLINK(AB2 &amp; "/pencil/sn_ec59f4fc9aa3753a43909a009b8afe7/rendering/12.obj", "1.05747675896")</f>
        <v>1.05747675896</v>
      </c>
      <c r="P2255" s="17" t="str">
        <f>HYPERLINK(AB2 &amp; "/pencil/sn_ec59f4fc9aa3753a43909a009b8afe7/rendering/13.obj", "1.13162147999")</f>
        <v>1.13162147999</v>
      </c>
      <c r="Q2255" s="25" t="str">
        <f>HYPERLINK(AB2 &amp; "/pencil/sn_ec59f4fc9aa3753a43909a009b8afe7/rendering/14.obj", "1.09916353226")</f>
        <v>1.09916353226</v>
      </c>
      <c r="R2255" s="91" t="str">
        <f>HYPERLINK(AB2 &amp; "/pencil/sn_ec59f4fc9aa3753a43909a009b8afe7/rendering/15.obj", "1.07981610298")</f>
        <v>1.07981610298</v>
      </c>
      <c r="S2255" s="33" t="str">
        <f>HYPERLINK(AB2 &amp; "/pencil/sn_ec59f4fc9aa3753a43909a009b8afe7/rendering/16.obj", "1.23027932644")</f>
        <v>1.23027932644</v>
      </c>
      <c r="T2255" s="33" t="str">
        <f>HYPERLINK(AB2 &amp; "/pencil/sn_ec59f4fc9aa3753a43909a009b8afe7/rendering/17.obj", "0.988925814629")</f>
        <v>0.988925814629</v>
      </c>
      <c r="U2255" s="49" t="str">
        <f>HYPERLINK(AB2 &amp; "/pencil/sn_ec59f4fc9aa3753a43909a009b8afe7/rendering/18.obj", "0.877535402775")</f>
        <v>0.877535402775</v>
      </c>
      <c r="V2255" s="107" t="str">
        <f>HYPERLINK(AB2 &amp; "/pencil/sn_ec59f4fc9aa3753a43909a009b8afe7/rendering/19.obj", "1.01587867737")</f>
        <v>1.01587867737</v>
      </c>
      <c r="W2255" s="12" t="s">
        <v>32</v>
      </c>
      <c r="X2255" s="13">
        <v>1.109722453355789</v>
      </c>
      <c r="Y2255" s="13">
        <v>0.13484820517117241</v>
      </c>
      <c r="Z2255" s="63">
        <v>0.12151525344323071</v>
      </c>
    </row>
    <row r="2256" spans="1:26" x14ac:dyDescent="0.2">
      <c r="A2256" s="1">
        <v>2254</v>
      </c>
      <c r="B2256" s="2" t="s">
        <v>483</v>
      </c>
      <c r="C2256" s="13" t="str">
        <f>HYPERLINK(AC2 &amp; "/pencil/sn_ec59f4fc9aa3753a43909a009b8afe7/rendering/00.xyz", "0.0")</f>
        <v>0.0</v>
      </c>
      <c r="D2256" s="13" t="str">
        <f>HYPERLINK(AC2 &amp; "/pencil/sn_ec59f4fc9aa3753a43909a009b8afe7/rendering/01.xyz", "0.0")</f>
        <v>0.0</v>
      </c>
      <c r="E2256" s="13" t="str">
        <f>HYPERLINK(AC2 &amp; "/pencil/sn_ec59f4fc9aa3753a43909a009b8afe7/rendering/02.xyz", "0.0")</f>
        <v>0.0</v>
      </c>
      <c r="F2256" s="13" t="str">
        <f>HYPERLINK(AC2 &amp; "/pencil/sn_ec59f4fc9aa3753a43909a009b8afe7/rendering/03.xyz", "0.0")</f>
        <v>0.0</v>
      </c>
      <c r="G2256" s="13" t="str">
        <f>HYPERLINK(AC2 &amp; "/pencil/sn_ec59f4fc9aa3753a43909a009b8afe7/rendering/04.xyz", "0.0")</f>
        <v>0.0</v>
      </c>
      <c r="H2256" s="13" t="str">
        <f>HYPERLINK(AC2 &amp; "/pencil/sn_ec59f4fc9aa3753a43909a009b8afe7/rendering/05.xyz", "0.0")</f>
        <v>0.0</v>
      </c>
      <c r="I2256" s="13" t="str">
        <f>HYPERLINK(AC2 &amp; "/pencil/sn_ec59f4fc9aa3753a43909a009b8afe7/rendering/06.xyz", "0.0")</f>
        <v>0.0</v>
      </c>
      <c r="J2256" s="13" t="str">
        <f>HYPERLINK(AC2 &amp; "/pencil/sn_ec59f4fc9aa3753a43909a009b8afe7/rendering/07.xyz", "0.0")</f>
        <v>0.0</v>
      </c>
      <c r="K2256" s="13" t="str">
        <f>HYPERLINK(AC2 &amp; "/pencil/sn_ec59f4fc9aa3753a43909a009b8afe7/rendering/08.xyz", "0.0")</f>
        <v>0.0</v>
      </c>
      <c r="L2256" s="13" t="str">
        <f>HYPERLINK(AC2 &amp; "/pencil/sn_ec59f4fc9aa3753a43909a009b8afe7/rendering/09.xyz", "0.0")</f>
        <v>0.0</v>
      </c>
      <c r="M2256" s="13" t="str">
        <f>HYPERLINK(AC2 &amp; "/pencil/sn_ec59f4fc9aa3753a43909a009b8afe7/rendering/10.xyz", "0.0")</f>
        <v>0.0</v>
      </c>
      <c r="N2256" s="13" t="str">
        <f>HYPERLINK(AC2 &amp; "/pencil/sn_ec59f4fc9aa3753a43909a009b8afe7/rendering/11.xyz", "0.0")</f>
        <v>0.0</v>
      </c>
      <c r="O2256" s="13" t="str">
        <f>HYPERLINK(AC2 &amp; "/pencil/sn_ec59f4fc9aa3753a43909a009b8afe7/rendering/12.xyz", "0.0")</f>
        <v>0.0</v>
      </c>
      <c r="P2256" s="13" t="str">
        <f>HYPERLINK(AC2 &amp; "/pencil/sn_ec59f4fc9aa3753a43909a009b8afe7/rendering/13.xyz", "0.0")</f>
        <v>0.0</v>
      </c>
      <c r="Q2256" s="13" t="str">
        <f>HYPERLINK(AC2 &amp; "/pencil/sn_ec59f4fc9aa3753a43909a009b8afe7/rendering/14.xyz", "0.0")</f>
        <v>0.0</v>
      </c>
      <c r="R2256" s="13" t="str">
        <f>HYPERLINK(AC2 &amp; "/pencil/sn_ec59f4fc9aa3753a43909a009b8afe7/rendering/15.xyz", "0.0")</f>
        <v>0.0</v>
      </c>
      <c r="S2256" s="13" t="str">
        <f>HYPERLINK(AC2 &amp; "/pencil/sn_ec59f4fc9aa3753a43909a009b8afe7/rendering/16.xyz", "0.0")</f>
        <v>0.0</v>
      </c>
      <c r="T2256" s="13" t="str">
        <f>HYPERLINK(AC2 &amp; "/pencil/sn_ec59f4fc9aa3753a43909a009b8afe7/rendering/17.xyz", "0.0")</f>
        <v>0.0</v>
      </c>
      <c r="U2256" s="13" t="str">
        <f>HYPERLINK(AC2 &amp; "/pencil/sn_ec59f4fc9aa3753a43909a009b8afe7/rendering/18.xyz", "0.0")</f>
        <v>0.0</v>
      </c>
      <c r="V2256" s="13" t="str">
        <f>HYPERLINK(AC2 &amp; "/pencil/sn_ec59f4fc9aa3753a43909a009b8afe7/rendering/19.xyz", "0.0")</f>
        <v>0.0</v>
      </c>
      <c r="W2256" s="12" t="s">
        <v>33</v>
      </c>
      <c r="X2256" s="13">
        <v>0</v>
      </c>
      <c r="Y2256" s="13">
        <v>0</v>
      </c>
      <c r="Z2256" s="13">
        <v>0</v>
      </c>
    </row>
    <row r="2257" spans="1:26" x14ac:dyDescent="0.2">
      <c r="A2257" s="1">
        <v>2255</v>
      </c>
      <c r="B2257" s="2" t="s">
        <v>484</v>
      </c>
      <c r="C2257" s="63" t="str">
        <f>HYPERLINK(AA2 &amp; "/pencil/sn_ed997f61a0799dd87fe535b855d2aa2c/rendering/00.obj", "5.08166473389")</f>
        <v>5.08166473389</v>
      </c>
      <c r="D2257" s="72" t="str">
        <f>HYPERLINK(AA2 &amp; "/pencil/sn_ed997f61a0799dd87fe535b855d2aa2c/rendering/01.obj", "4.3797857666")</f>
        <v>4.3797857666</v>
      </c>
      <c r="E2257" s="46" t="str">
        <f>HYPERLINK(AA2 &amp; "/pencil/sn_ed997f61a0799dd87fe535b855d2aa2c/rendering/02.obj", "4.45181793213")</f>
        <v>4.45181793213</v>
      </c>
      <c r="F2257" s="46" t="str">
        <f>HYPERLINK(AA2 &amp; "/pencil/sn_ed997f61a0799dd87fe535b855d2aa2c/rendering/03.obj", "4.61967712402")</f>
        <v>4.61967712402</v>
      </c>
      <c r="G2257" s="5" t="str">
        <f>HYPERLINK(AA2 &amp; "/pencil/sn_ed997f61a0799dd87fe535b855d2aa2c/rendering/04.obj", "4.1913583374")</f>
        <v>4.1913583374</v>
      </c>
      <c r="H2257" s="46" t="str">
        <f>HYPERLINK(AA2 &amp; "/pencil/sn_ed997f61a0799dd87fe535b855d2aa2c/rendering/05.obj", "4.46151062012")</f>
        <v>4.46151062012</v>
      </c>
      <c r="I2257" s="133" t="str">
        <f>HYPERLINK(AA2 &amp; "/pencil/sn_ed997f61a0799dd87fe535b855d2aa2c/rendering/06.obj", "4.99299499512")</f>
        <v>4.99299499512</v>
      </c>
      <c r="J2257" s="69" t="str">
        <f>HYPERLINK(AA2 &amp; "/pencil/sn_ed997f61a0799dd87fe535b855d2aa2c/rendering/07.obj", "4.39533477783")</f>
        <v>4.39533477783</v>
      </c>
      <c r="K2257" s="33" t="str">
        <f>HYPERLINK(AA2 &amp; "/pencil/sn_ed997f61a0799dd87fe535b855d2aa2c/rendering/08.obj", "4.0398840332")</f>
        <v>4.0398840332</v>
      </c>
      <c r="L2257" s="84" t="str">
        <f>HYPERLINK(AA2 &amp; "/pencil/sn_ed997f61a0799dd87fe535b855d2aa2c/rendering/09.obj", "5.19463256836")</f>
        <v>5.19463256836</v>
      </c>
      <c r="M2257" s="23" t="str">
        <f>HYPERLINK(AA2 &amp; "/pencil/sn_ed997f61a0799dd87fe535b855d2aa2c/rendering/10.obj", "4.35614532471")</f>
        <v>4.35614532471</v>
      </c>
      <c r="N2257" s="71" t="str">
        <f>HYPERLINK(AA2 &amp; "/pencil/sn_ed997f61a0799dd87fe535b855d2aa2c/rendering/11.obj", "5.06305419922")</f>
        <v>5.06305419922</v>
      </c>
      <c r="O2257" s="94" t="str">
        <f>HYPERLINK(AA2 &amp; "/pencil/sn_ed997f61a0799dd87fe535b855d2aa2c/rendering/12.obj", "4.87309448242")</f>
        <v>4.87309448242</v>
      </c>
      <c r="P2257" s="107" t="str">
        <f>HYPERLINK(AA2 &amp; "/pencil/sn_ed997f61a0799dd87fe535b855d2aa2c/rendering/13.obj", "4.15475006104")</f>
        <v>4.15475006104</v>
      </c>
      <c r="Q2257" s="17" t="str">
        <f>HYPERLINK(AA2 &amp; "/pencil/sn_ed997f61a0799dd87fe535b855d2aa2c/rendering/14.obj", "4.44783569336")</f>
        <v>4.44783569336</v>
      </c>
      <c r="R2257" s="26" t="str">
        <f>HYPERLINK(AA2 &amp; "/pencil/sn_ed997f61a0799dd87fe535b855d2aa2c/rendering/15.obj", "4.2440423584")</f>
        <v>4.2440423584</v>
      </c>
      <c r="S2257" s="60" t="str">
        <f>HYPERLINK(AA2 &amp; "/pencil/sn_ed997f61a0799dd87fe535b855d2aa2c/rendering/16.obj", "4.30255065918")</f>
        <v>4.30255065918</v>
      </c>
      <c r="T2257" s="51" t="str">
        <f>HYPERLINK(AA2 &amp; "/pencil/sn_ed997f61a0799dd87fe535b855d2aa2c/rendering/17.obj", "4.89879760742")</f>
        <v>4.89879760742</v>
      </c>
      <c r="U2257" s="17" t="str">
        <f>HYPERLINK(AA2 &amp; "/pencil/sn_ed997f61a0799dd87fe535b855d2aa2c/rendering/18.obj", "4.44038848877")</f>
        <v>4.44038848877</v>
      </c>
      <c r="V2257" s="38" t="str">
        <f>HYPERLINK(AA2 &amp; "/pencil/sn_ed997f61a0799dd87fe535b855d2aa2c/rendering/19.obj", "4.13445770264")</f>
        <v>4.13445770264</v>
      </c>
      <c r="W2257" s="12" t="s">
        <v>29</v>
      </c>
      <c r="X2257" s="13">
        <v>4.5361888732910156</v>
      </c>
      <c r="Y2257" s="13">
        <v>0.34552532236298011</v>
      </c>
      <c r="Z2257" s="5">
        <v>7.6170841209330126E-2</v>
      </c>
    </row>
    <row r="2258" spans="1:26" x14ac:dyDescent="0.2">
      <c r="A2258" s="1">
        <v>2256</v>
      </c>
      <c r="B2258" s="2" t="s">
        <v>484</v>
      </c>
      <c r="C2258" s="103" t="str">
        <f>HYPERLINK(AA2 &amp; "/pencil/sn_ed997f61a0799dd87fe535b855d2aa2c/rendering/00.obj", "1.62253844738")</f>
        <v>1.62253844738</v>
      </c>
      <c r="D2258" s="129" t="str">
        <f>HYPERLINK(AA2 &amp; "/pencil/sn_ed997f61a0799dd87fe535b855d2aa2c/rendering/01.obj", "0.92011988163")</f>
        <v>0.92011988163</v>
      </c>
      <c r="E2258" s="51" t="str">
        <f>HYPERLINK(AA2 &amp; "/pencil/sn_ed997f61a0799dd87fe535b855d2aa2c/rendering/02.obj", "1.12627017498")</f>
        <v>1.12627017498</v>
      </c>
      <c r="F2258" s="17" t="str">
        <f>HYPERLINK(AA2 &amp; "/pencil/sn_ed997f61a0799dd87fe535b855d2aa2c/rendering/03.obj", "1.20112216473")</f>
        <v>1.20112216473</v>
      </c>
      <c r="G2258" s="175" t="str">
        <f>HYPERLINK(AA2 &amp; "/pencil/sn_ed997f61a0799dd87fe535b855d2aa2c/rendering/04.obj", "0.939412176609")</f>
        <v>0.939412176609</v>
      </c>
      <c r="H2258" s="107" t="str">
        <f>HYPERLINK(AA2 &amp; "/pencil/sn_ed997f61a0799dd87fe535b855d2aa2c/rendering/05.obj", "1.12445378304")</f>
        <v>1.12445378304</v>
      </c>
      <c r="I2258" s="27" t="str">
        <f>HYPERLINK(AA2 &amp; "/pencil/sn_ed997f61a0799dd87fe535b855d2aa2c/rendering/06.obj", "1.13764798641")</f>
        <v>1.13764798641</v>
      </c>
      <c r="J2258" s="106" t="str">
        <f>HYPERLINK(AA2 &amp; "/pencil/sn_ed997f61a0799dd87fe535b855d2aa2c/rendering/07.obj", "1.08526730537")</f>
        <v>1.08526730537</v>
      </c>
      <c r="K2258" s="6" t="str">
        <f>HYPERLINK(AA2 &amp; "/pencil/sn_ed997f61a0799dd87fe535b855d2aa2c/rendering/08.obj", "1.16958022118")</f>
        <v>1.16958022118</v>
      </c>
      <c r="L2258" s="212" t="str">
        <f>HYPERLINK(AA2 &amp; "/pencil/sn_ed997f61a0799dd87fe535b855d2aa2c/rendering/09.obj", "1.75171875954")</f>
        <v>1.75171875954</v>
      </c>
      <c r="M2258" s="23" t="str">
        <f>HYPERLINK(AA2 &amp; "/pencil/sn_ed997f61a0799dd87fe535b855d2aa2c/rendering/10.obj", "1.1774238348")</f>
        <v>1.1774238348</v>
      </c>
      <c r="N2258" s="20" t="str">
        <f>HYPERLINK(AA2 &amp; "/pencil/sn_ed997f61a0799dd87fe535b855d2aa2c/rendering/11.obj", "2.28480434418")</f>
        <v>2.28480434418</v>
      </c>
      <c r="O2258" s="169" t="str">
        <f>HYPERLINK(AA2 &amp; "/pencil/sn_ed997f61a0799dd87fe535b855d2aa2c/rendering/12.obj", "1.60677587986")</f>
        <v>1.60677587986</v>
      </c>
      <c r="P2258" s="175" t="str">
        <f>HYPERLINK(AA2 &amp; "/pencil/sn_ed997f61a0799dd87fe535b855d2aa2c/rendering/13.obj", "0.939270436764")</f>
        <v>0.939270436764</v>
      </c>
      <c r="Q2258" s="19" t="str">
        <f>HYPERLINK(AA2 &amp; "/pencil/sn_ed997f61a0799dd87fe535b855d2aa2c/rendering/14.obj", "0.904852032661")</f>
        <v>0.904852032661</v>
      </c>
      <c r="R2258" s="59" t="str">
        <f>HYPERLINK(AA2 &amp; "/pencil/sn_ed997f61a0799dd87fe535b855d2aa2c/rendering/15.obj", "0.929303109646")</f>
        <v>0.929303109646</v>
      </c>
      <c r="S2258" s="72" t="str">
        <f>HYPERLINK(AA2 &amp; "/pencil/sn_ed997f61a0799dd87fe535b855d2aa2c/rendering/16.obj", "1.26426172256")</f>
        <v>1.26426172256</v>
      </c>
      <c r="T2258" s="91" t="str">
        <f>HYPERLINK(AA2 &amp; "/pencil/sn_ed997f61a0799dd87fe535b855d2aa2c/rendering/17.obj", "1.25920248032")</f>
        <v>1.25920248032</v>
      </c>
      <c r="U2258" s="117" t="str">
        <f>HYPERLINK(AA2 &amp; "/pencil/sn_ed997f61a0799dd87fe535b855d2aa2c/rendering/18.obj", "1.00737535954")</f>
        <v>1.00737535954</v>
      </c>
      <c r="V2258" s="80" t="str">
        <f>HYPERLINK(AA2 &amp; "/pencil/sn_ed997f61a0799dd87fe535b855d2aa2c/rendering/19.obj", "1.04153394699")</f>
        <v>1.04153394699</v>
      </c>
      <c r="W2258" s="12" t="s">
        <v>30</v>
      </c>
      <c r="X2258" s="13">
        <v>1.224646702408791</v>
      </c>
      <c r="Y2258" s="13">
        <v>0.33816707213142022</v>
      </c>
      <c r="Z2258" s="7">
        <v>0.27613439163006792</v>
      </c>
    </row>
    <row r="2259" spans="1:26" x14ac:dyDescent="0.2">
      <c r="A2259" s="1">
        <v>2257</v>
      </c>
      <c r="B2259" s="2" t="s">
        <v>484</v>
      </c>
      <c r="C2259" s="91" t="str">
        <f>HYPERLINK(AB2 &amp; "/pencil/sn_ed997f61a0799dd87fe535b855d2aa2c/rendering/00.obj", "4.08077331543")</f>
        <v>4.08077331543</v>
      </c>
      <c r="D2259" s="47" t="str">
        <f>HYPERLINK(AB2 &amp; "/pencil/sn_ed997f61a0799dd87fe535b855d2aa2c/rendering/01.obj", "4.01473083496")</f>
        <v>4.01473083496</v>
      </c>
      <c r="E2259" s="47" t="str">
        <f>HYPERLINK(AB2 &amp; "/pencil/sn_ed997f61a0799dd87fe535b855d2aa2c/rendering/02.obj", "3.94982635498")</f>
        <v>3.94982635498</v>
      </c>
      <c r="F2259" s="78" t="str">
        <f>HYPERLINK(AB2 &amp; "/pencil/sn_ed997f61a0799dd87fe535b855d2aa2c/rendering/03.obj", "3.7330078125")</f>
        <v>3.7330078125</v>
      </c>
      <c r="G2259" s="47" t="str">
        <f>HYPERLINK(AB2 &amp; "/pencil/sn_ed997f61a0799dd87fe535b855d2aa2c/rendering/04.obj", "4.00875976563")</f>
        <v>4.00875976563</v>
      </c>
      <c r="H2259" s="47" t="str">
        <f>HYPERLINK(AB2 &amp; "/pencil/sn_ed997f61a0799dd87fe535b855d2aa2c/rendering/05.obj", "4.01061157227")</f>
        <v>4.01061157227</v>
      </c>
      <c r="I2259" s="74" t="str">
        <f>HYPERLINK(AB2 &amp; "/pencil/sn_ed997f61a0799dd87fe535b855d2aa2c/rendering/06.obj", "3.92746337891")</f>
        <v>3.92746337891</v>
      </c>
      <c r="J2259" s="17" t="str">
        <f>HYPERLINK(AB2 &amp; "/pencil/sn_ed997f61a0799dd87fe535b855d2aa2c/rendering/07.obj", "4.05278320313")</f>
        <v>4.05278320313</v>
      </c>
      <c r="K2259" s="25" t="str">
        <f>HYPERLINK(AB2 &amp; "/pencil/sn_ed997f61a0799dd87fe535b855d2aa2c/rendering/08.obj", "4.01526062012")</f>
        <v>4.01526062012</v>
      </c>
      <c r="L2259" s="47" t="str">
        <f>HYPERLINK(AB2 &amp; "/pencil/sn_ed997f61a0799dd87fe535b855d2aa2c/rendering/09.obj", "4.00400085449")</f>
        <v>4.00400085449</v>
      </c>
      <c r="M2259" s="30" t="str">
        <f>HYPERLINK(AB2 &amp; "/pencil/sn_ed997f61a0799dd87fe535b855d2aa2c/rendering/10.obj", "3.95721374512")</f>
        <v>3.95721374512</v>
      </c>
      <c r="N2259" s="69" t="str">
        <f>HYPERLINK(AB2 &amp; "/pencil/sn_ed997f61a0799dd87fe535b855d2aa2c/rendering/11.obj", "3.85359741211")</f>
        <v>3.85359741211</v>
      </c>
      <c r="O2259" s="68" t="str">
        <f>HYPERLINK(AB2 &amp; "/pencil/sn_ed997f61a0799dd87fe535b855d2aa2c/rendering/12.obj", "4.1430065918")</f>
        <v>4.1430065918</v>
      </c>
      <c r="P2259" s="17" t="str">
        <f>HYPERLINK(AB2 &amp; "/pencil/sn_ed997f61a0799dd87fe535b855d2aa2c/rendering/13.obj", "3.90190155029")</f>
        <v>3.90190155029</v>
      </c>
      <c r="Q2259" s="28" t="str">
        <f>HYPERLINK(AB2 &amp; "/pencil/sn_ed997f61a0799dd87fe535b855d2aa2c/rendering/14.obj", "4.41767211914")</f>
        <v>4.41767211914</v>
      </c>
      <c r="R2259" s="10" t="str">
        <f>HYPERLINK(AB2 &amp; "/pencil/sn_ed997f61a0799dd87fe535b855d2aa2c/rendering/15.obj", "3.76172271729")</f>
        <v>3.76172271729</v>
      </c>
      <c r="S2259" s="30" t="str">
        <f>HYPERLINK(AB2 &amp; "/pencil/sn_ed997f61a0799dd87fe535b855d2aa2c/rendering/16.obj", "4.00135070801")</f>
        <v>4.00135070801</v>
      </c>
      <c r="T2259" s="47" t="str">
        <f>HYPERLINK(AB2 &amp; "/pencil/sn_ed997f61a0799dd87fe535b855d2aa2c/rendering/17.obj", "3.94602233887")</f>
        <v>3.94602233887</v>
      </c>
      <c r="U2259" s="13" t="str">
        <f>HYPERLINK(AB2 &amp; "/pencil/sn_ed997f61a0799dd87fe535b855d2aa2c/rendering/18.obj", "3.97641540527")</f>
        <v>3.97641540527</v>
      </c>
      <c r="V2259" s="6" t="str">
        <f>HYPERLINK(AB2 &amp; "/pencil/sn_ed997f61a0799dd87fe535b855d2aa2c/rendering/19.obj", "3.79588317871")</f>
        <v>3.79588317871</v>
      </c>
      <c r="W2259" s="12" t="s">
        <v>31</v>
      </c>
      <c r="X2259" s="13">
        <v>3.9776001739501958</v>
      </c>
      <c r="Y2259" s="13">
        <v>0.14295004759334909</v>
      </c>
      <c r="Z2259" s="73">
        <v>3.5938767433073573E-2</v>
      </c>
    </row>
    <row r="2260" spans="1:26" x14ac:dyDescent="0.2">
      <c r="A2260" s="1">
        <v>2258</v>
      </c>
      <c r="B2260" s="2" t="s">
        <v>484</v>
      </c>
      <c r="C2260" s="17" t="str">
        <f>HYPERLINK(AB2 &amp; "/pencil/sn_ed997f61a0799dd87fe535b855d2aa2c/rendering/00.obj", "0.886826813221")</f>
        <v>0.886826813221</v>
      </c>
      <c r="D2260" s="91" t="str">
        <f>HYPERLINK(AB2 &amp; "/pencil/sn_ed997f61a0799dd87fe535b855d2aa2c/rendering/01.obj", "0.881007194519")</f>
        <v>0.881007194519</v>
      </c>
      <c r="E2260" s="48" t="str">
        <f>HYPERLINK(AB2 &amp; "/pencil/sn_ed997f61a0799dd87fe535b855d2aa2c/rendering/02.obj", "0.884174227715")</f>
        <v>0.884174227715</v>
      </c>
      <c r="F2260" s="73" t="str">
        <f>HYPERLINK(AB2 &amp; "/pencil/sn_ed997f61a0799dd87fe535b855d2aa2c/rendering/03.obj", "0.871913015842")</f>
        <v>0.871913015842</v>
      </c>
      <c r="G2260" s="63" t="str">
        <f>HYPERLINK(AB2 &amp; "/pencil/sn_ed997f61a0799dd87fe535b855d2aa2c/rendering/04.obj", "0.794612765312")</f>
        <v>0.794612765312</v>
      </c>
      <c r="H2260" s="42" t="str">
        <f>HYPERLINK(AB2 &amp; "/pencil/sn_ed997f61a0799dd87fe535b855d2aa2c/rendering/05.obj", "0.780344128609")</f>
        <v>0.780344128609</v>
      </c>
      <c r="I2260" s="26" t="str">
        <f>HYPERLINK(AB2 &amp; "/pencil/sn_ed997f61a0799dd87fe535b855d2aa2c/rendering/06.obj", "0.845369100571")</f>
        <v>0.845369100571</v>
      </c>
      <c r="J2260" s="71" t="str">
        <f>HYPERLINK(AB2 &amp; "/pencil/sn_ed997f61a0799dd87fe535b855d2aa2c/rendering/07.obj", "0.799181818962")</f>
        <v>0.799181818962</v>
      </c>
      <c r="K2260" s="17" t="str">
        <f>HYPERLINK(AB2 &amp; "/pencil/sn_ed997f61a0799dd87fe535b855d2aa2c/rendering/08.obj", "0.885671555996")</f>
        <v>0.885671555996</v>
      </c>
      <c r="L2260" s="16" t="str">
        <f>HYPERLINK(AB2 &amp; "/pencil/sn_ed997f61a0799dd87fe535b855d2aa2c/rendering/09.obj", "1.39658284187")</f>
        <v>1.39658284187</v>
      </c>
      <c r="M2260" s="26" t="str">
        <f>HYPERLINK(AB2 &amp; "/pencil/sn_ed997f61a0799dd87fe535b855d2aa2c/rendering/10.obj", "0.845607221127")</f>
        <v>0.845607221127</v>
      </c>
      <c r="N2260" s="41" t="str">
        <f>HYPERLINK(AB2 &amp; "/pencil/sn_ed997f61a0799dd87fe535b855d2aa2c/rendering/11.obj", "0.843276202679")</f>
        <v>0.843276202679</v>
      </c>
      <c r="O2260" s="38" t="str">
        <f>HYPERLINK(AB2 &amp; "/pencil/sn_ed997f61a0799dd87fe535b855d2aa2c/rendering/12.obj", "0.823768436909")</f>
        <v>0.823768436909</v>
      </c>
      <c r="P2260" s="71" t="str">
        <f>HYPERLINK(AB2 &amp; "/pencil/sn_ed997f61a0799dd87fe535b855d2aa2c/rendering/13.obj", "0.797415316105")</f>
        <v>0.797415316105</v>
      </c>
      <c r="Q2260" s="166" t="str">
        <f>HYPERLINK(AB2 &amp; "/pencil/sn_ed997f61a0799dd87fe535b855d2aa2c/rendering/14.obj", "1.16409373283")</f>
        <v>1.16409373283</v>
      </c>
      <c r="R2260" s="47" t="str">
        <f>HYPERLINK(AB2 &amp; "/pencil/sn_ed997f61a0799dd87fe535b855d2aa2c/rendering/15.obj", "0.91219073534")</f>
        <v>0.91219073534</v>
      </c>
      <c r="S2260" s="74" t="str">
        <f>HYPERLINK(AB2 &amp; "/pencil/sn_ed997f61a0799dd87fe535b855d2aa2c/rendering/16.obj", "0.890658915043")</f>
        <v>0.890658915043</v>
      </c>
      <c r="T2260" s="23" t="str">
        <f>HYPERLINK(AB2 &amp; "/pencil/sn_ed997f61a0799dd87fe535b855d2aa2c/rendering/17.obj", "0.939000606537")</f>
        <v>0.939000606537</v>
      </c>
      <c r="U2260" s="33" t="str">
        <f>HYPERLINK(AB2 &amp; "/pencil/sn_ed997f61a0799dd87fe535b855d2aa2c/rendering/18.obj", "0.805662035942")</f>
        <v>0.805662035942</v>
      </c>
      <c r="V2260" s="80" t="str">
        <f>HYPERLINK(AB2 &amp; "/pencil/sn_ed997f61a0799dd87fe535b855d2aa2c/rendering/19.obj", "1.03836798668")</f>
        <v>1.03836798668</v>
      </c>
      <c r="W2260" s="12" t="s">
        <v>32</v>
      </c>
      <c r="X2260" s="13">
        <v>0.90428623259067531</v>
      </c>
      <c r="Y2260" s="13">
        <v>0.1429401305602192</v>
      </c>
      <c r="Z2260" s="79">
        <v>0.15806956404800321</v>
      </c>
    </row>
    <row r="2261" spans="1:26" x14ac:dyDescent="0.2">
      <c r="A2261" s="1">
        <v>2259</v>
      </c>
      <c r="B2261" s="2" t="s">
        <v>484</v>
      </c>
      <c r="C2261" s="13" t="str">
        <f>HYPERLINK(AC2 &amp; "/pencil/sn_ed997f61a0799dd87fe535b855d2aa2c/rendering/00.xyz", "0.0")</f>
        <v>0.0</v>
      </c>
      <c r="D2261" s="13" t="str">
        <f>HYPERLINK(AC2 &amp; "/pencil/sn_ed997f61a0799dd87fe535b855d2aa2c/rendering/01.xyz", "0.0")</f>
        <v>0.0</v>
      </c>
      <c r="E2261" s="13" t="str">
        <f>HYPERLINK(AC2 &amp; "/pencil/sn_ed997f61a0799dd87fe535b855d2aa2c/rendering/02.xyz", "0.0")</f>
        <v>0.0</v>
      </c>
      <c r="F2261" s="13" t="str">
        <f>HYPERLINK(AC2 &amp; "/pencil/sn_ed997f61a0799dd87fe535b855d2aa2c/rendering/03.xyz", "0.0")</f>
        <v>0.0</v>
      </c>
      <c r="G2261" s="13" t="str">
        <f>HYPERLINK(AC2 &amp; "/pencil/sn_ed997f61a0799dd87fe535b855d2aa2c/rendering/04.xyz", "0.0")</f>
        <v>0.0</v>
      </c>
      <c r="H2261" s="13" t="str">
        <f>HYPERLINK(AC2 &amp; "/pencil/sn_ed997f61a0799dd87fe535b855d2aa2c/rendering/05.xyz", "0.0")</f>
        <v>0.0</v>
      </c>
      <c r="I2261" s="13" t="str">
        <f>HYPERLINK(AC2 &amp; "/pencil/sn_ed997f61a0799dd87fe535b855d2aa2c/rendering/06.xyz", "0.0")</f>
        <v>0.0</v>
      </c>
      <c r="J2261" s="13" t="str">
        <f>HYPERLINK(AC2 &amp; "/pencil/sn_ed997f61a0799dd87fe535b855d2aa2c/rendering/07.xyz", "0.0")</f>
        <v>0.0</v>
      </c>
      <c r="K2261" s="13" t="str">
        <f>HYPERLINK(AC2 &amp; "/pencil/sn_ed997f61a0799dd87fe535b855d2aa2c/rendering/08.xyz", "0.0")</f>
        <v>0.0</v>
      </c>
      <c r="L2261" s="13" t="str">
        <f>HYPERLINK(AC2 &amp; "/pencil/sn_ed997f61a0799dd87fe535b855d2aa2c/rendering/09.xyz", "0.0")</f>
        <v>0.0</v>
      </c>
      <c r="M2261" s="13" t="str">
        <f>HYPERLINK(AC2 &amp; "/pencil/sn_ed997f61a0799dd87fe535b855d2aa2c/rendering/10.xyz", "0.0")</f>
        <v>0.0</v>
      </c>
      <c r="N2261" s="13" t="str">
        <f>HYPERLINK(AC2 &amp; "/pencil/sn_ed997f61a0799dd87fe535b855d2aa2c/rendering/11.xyz", "0.0")</f>
        <v>0.0</v>
      </c>
      <c r="O2261" s="13" t="str">
        <f>HYPERLINK(AC2 &amp; "/pencil/sn_ed997f61a0799dd87fe535b855d2aa2c/rendering/12.xyz", "0.0")</f>
        <v>0.0</v>
      </c>
      <c r="P2261" s="13" t="str">
        <f>HYPERLINK(AC2 &amp; "/pencil/sn_ed997f61a0799dd87fe535b855d2aa2c/rendering/13.xyz", "0.0")</f>
        <v>0.0</v>
      </c>
      <c r="Q2261" s="13" t="str">
        <f>HYPERLINK(AC2 &amp; "/pencil/sn_ed997f61a0799dd87fe535b855d2aa2c/rendering/14.xyz", "0.0")</f>
        <v>0.0</v>
      </c>
      <c r="R2261" s="13" t="str">
        <f>HYPERLINK(AC2 &amp; "/pencil/sn_ed997f61a0799dd87fe535b855d2aa2c/rendering/15.xyz", "0.0")</f>
        <v>0.0</v>
      </c>
      <c r="S2261" s="13" t="str">
        <f>HYPERLINK(AC2 &amp; "/pencil/sn_ed997f61a0799dd87fe535b855d2aa2c/rendering/16.xyz", "0.0")</f>
        <v>0.0</v>
      </c>
      <c r="T2261" s="13" t="str">
        <f>HYPERLINK(AC2 &amp; "/pencil/sn_ed997f61a0799dd87fe535b855d2aa2c/rendering/17.xyz", "0.0")</f>
        <v>0.0</v>
      </c>
      <c r="U2261" s="13" t="str">
        <f>HYPERLINK(AC2 &amp; "/pencil/sn_ed997f61a0799dd87fe535b855d2aa2c/rendering/18.xyz", "0.0")</f>
        <v>0.0</v>
      </c>
      <c r="V2261" s="13" t="str">
        <f>HYPERLINK(AC2 &amp; "/pencil/sn_ed997f61a0799dd87fe535b855d2aa2c/rendering/19.xyz", "0.0")</f>
        <v>0.0</v>
      </c>
      <c r="W2261" s="12" t="s">
        <v>33</v>
      </c>
      <c r="X2261" s="13">
        <v>0</v>
      </c>
      <c r="Y2261" s="13">
        <v>0</v>
      </c>
      <c r="Z2261" s="13">
        <v>0</v>
      </c>
    </row>
    <row r="2262" spans="1:26" x14ac:dyDescent="0.2">
      <c r="A2262" s="1">
        <v>2260</v>
      </c>
      <c r="B2262" s="2" t="s">
        <v>485</v>
      </c>
      <c r="C2262" s="255" t="str">
        <f>HYPERLINK(AA2 &amp; "/pencil/sn_ee00826e5a3c9e7bd2abb7048975c9da/rendering/00.obj", "24.0116162109")</f>
        <v>24.0116162109</v>
      </c>
      <c r="D2262" s="65" t="str">
        <f>HYPERLINK(AA2 &amp; "/pencil/sn_ee00826e5a3c9e7bd2abb7048975c9da/rendering/01.obj", "15.7904321289")</f>
        <v>15.7904321289</v>
      </c>
      <c r="E2262" s="162" t="str">
        <f>HYPERLINK(AA2 &amp; "/pencil/sn_ee00826e5a3c9e7bd2abb7048975c9da/rendering/02.obj", "8.02430725098")</f>
        <v>8.02430725098</v>
      </c>
      <c r="F2262" s="72" t="str">
        <f>HYPERLINK(AA2 &amp; "/pencil/sn_ee00826e5a3c9e7bd2abb7048975c9da/rendering/03.obj", "14.3613867187")</f>
        <v>14.3613867187</v>
      </c>
      <c r="G2262" s="35" t="str">
        <f>HYPERLINK(AA2 &amp; "/pencil/sn_ee00826e5a3c9e7bd2abb7048975c9da/rendering/04.obj", "14.7339770508")</f>
        <v>14.7339770508</v>
      </c>
      <c r="H2262" s="27" t="str">
        <f>HYPERLINK(AA2 &amp; "/pencil/sn_ee00826e5a3c9e7bd2abb7048975c9da/rendering/05.obj", "12.9369775391")</f>
        <v>12.9369775391</v>
      </c>
      <c r="I2262" s="85" t="str">
        <f>HYPERLINK(AA2 &amp; "/pencil/sn_ee00826e5a3c9e7bd2abb7048975c9da/rendering/06.obj", "9.77891967773")</f>
        <v>9.77891967773</v>
      </c>
      <c r="J2262" s="227" t="str">
        <f>HYPERLINK(AA2 &amp; "/pencil/sn_ee00826e5a3c9e7bd2abb7048975c9da/rendering/07.obj", "6.80695251465")</f>
        <v>6.80695251465</v>
      </c>
      <c r="K2262" s="196" t="str">
        <f>HYPERLINK(AA2 &amp; "/pencil/sn_ee00826e5a3c9e7bd2abb7048975c9da/rendering/08.obj", "19.4296240234")</f>
        <v>19.4296240234</v>
      </c>
      <c r="L2262" s="109" t="str">
        <f>HYPERLINK(AA2 &amp; "/pencil/sn_ee00826e5a3c9e7bd2abb7048975c9da/rendering/09.obj", "16.5608081055")</f>
        <v>16.5608081055</v>
      </c>
      <c r="M2262" s="29" t="str">
        <f>HYPERLINK(AA2 &amp; "/pencil/sn_ee00826e5a3c9e7bd2abb7048975c9da/rendering/10.obj", "15.7350634766")</f>
        <v>15.7350634766</v>
      </c>
      <c r="N2262" s="61" t="str">
        <f>HYPERLINK(AA2 &amp; "/pencil/sn_ee00826e5a3c9e7bd2abb7048975c9da/rendering/11.obj", "9.71082214355")</f>
        <v>9.71082214355</v>
      </c>
      <c r="O2262" s="178" t="str">
        <f>HYPERLINK(AA2 &amp; "/pencil/sn_ee00826e5a3c9e7bd2abb7048975c9da/rendering/12.obj", "4.88933959961")</f>
        <v>4.88933959961</v>
      </c>
      <c r="P2262" s="59" t="str">
        <f>HYPERLINK(AA2 &amp; "/pencil/sn_ee00826e5a3c9e7bd2abb7048975c9da/rendering/13.obj", "17.2503796387")</f>
        <v>17.2503796387</v>
      </c>
      <c r="Q2262" s="198" t="str">
        <f>HYPERLINK(AA2 &amp; "/pencil/sn_ee00826e5a3c9e7bd2abb7048975c9da/rendering/14.obj", "19.3204394531")</f>
        <v>19.3204394531</v>
      </c>
      <c r="R2262" s="42" t="str">
        <f>HYPERLINK(AA2 &amp; "/pencil/sn_ee00826e5a3c9e7bd2abb7048975c9da/rendering/15.obj", "12.043638916")</f>
        <v>12.043638916</v>
      </c>
      <c r="S2262" s="134" t="str">
        <f>HYPERLINK(AA2 &amp; "/pencil/sn_ee00826e5a3c9e7bd2abb7048975c9da/rendering/16.obj", "11.4203222656")</f>
        <v>11.4203222656</v>
      </c>
      <c r="T2262" s="176" t="str">
        <f>HYPERLINK(AA2 &amp; "/pencil/sn_ee00826e5a3c9e7bd2abb7048975c9da/rendering/17.obj", "18.3497814941")</f>
        <v>18.3497814941</v>
      </c>
      <c r="U2262" s="65" t="str">
        <f>HYPERLINK(AA2 &amp; "/pencil/sn_ee00826e5a3c9e7bd2abb7048975c9da/rendering/18.obj", "15.7809094238")</f>
        <v>15.7809094238</v>
      </c>
      <c r="V2262" s="37" t="str">
        <f>HYPERLINK(AA2 &amp; "/pencil/sn_ee00826e5a3c9e7bd2abb7048975c9da/rendering/19.obj", "11.5170068359")</f>
        <v>11.5170068359</v>
      </c>
      <c r="W2262" s="12" t="s">
        <v>29</v>
      </c>
      <c r="X2262" s="13">
        <v>13.922635223388671</v>
      </c>
      <c r="Y2262" s="13">
        <v>4.6284225005932491</v>
      </c>
      <c r="Z2262" s="193">
        <v>0.33243868178187641</v>
      </c>
    </row>
    <row r="2263" spans="1:26" x14ac:dyDescent="0.2">
      <c r="A2263" s="1">
        <v>2261</v>
      </c>
      <c r="B2263" s="2" t="s">
        <v>485</v>
      </c>
      <c r="C2263" s="20" t="str">
        <f>HYPERLINK(AA2 &amp; "/pencil/sn_ee00826e5a3c9e7bd2abb7048975c9da/rendering/00.obj", "158.476257324")</f>
        <v>158.476257324</v>
      </c>
      <c r="D2263" s="220" t="str">
        <f>HYPERLINK(AA2 &amp; "/pencil/sn_ee00826e5a3c9e7bd2abb7048975c9da/rendering/01.obj", "94.2742004395")</f>
        <v>94.2742004395</v>
      </c>
      <c r="E2263" s="20" t="str">
        <f>HYPERLINK(AA2 &amp; "/pencil/sn_ee00826e5a3c9e7bd2abb7048975c9da/rendering/02.obj", "9.61284255981")</f>
        <v>9.61284255981</v>
      </c>
      <c r="F2263" s="99" t="str">
        <f>HYPERLINK(AA2 &amp; "/pencil/sn_ee00826e5a3c9e7bd2abb7048975c9da/rendering/03.obj", "71.4188156128")</f>
        <v>71.4188156128</v>
      </c>
      <c r="G2263" s="169" t="str">
        <f>HYPERLINK(AA2 &amp; "/pencil/sn_ee00826e5a3c9e7bd2abb7048975c9da/rendering/04.obj", "73.7360305786")</f>
        <v>73.7360305786</v>
      </c>
      <c r="H2263" s="41" t="str">
        <f>HYPERLINK(AA2 &amp; "/pencil/sn_ee00826e5a3c9e7bd2abb7048975c9da/rendering/05.obj", "52.3278274536")</f>
        <v>52.3278274536</v>
      </c>
      <c r="I2263" s="190" t="str">
        <f>HYPERLINK(AA2 &amp; "/pencil/sn_ee00826e5a3c9e7bd2abb7048975c9da/rendering/06.obj", "17.2070045471")</f>
        <v>17.2070045471</v>
      </c>
      <c r="J2263" s="20" t="str">
        <f>HYPERLINK(AA2 &amp; "/pencil/sn_ee00826e5a3c9e7bd2abb7048975c9da/rendering/07.obj", "5.53146219254")</f>
        <v>5.53146219254</v>
      </c>
      <c r="K2263" s="75" t="str">
        <f>HYPERLINK(AA2 &amp; "/pencil/sn_ee00826e5a3c9e7bd2abb7048975c9da/rendering/08.obj", "43.8436965942")</f>
        <v>43.8436965942</v>
      </c>
      <c r="L2263" s="20" t="str">
        <f>HYPERLINK(AA2 &amp; "/pencil/sn_ee00826e5a3c9e7bd2abb7048975c9da/rendering/09.obj", "106.537185669")</f>
        <v>106.537185669</v>
      </c>
      <c r="M2263" s="250" t="str">
        <f>HYPERLINK(AA2 &amp; "/pencil/sn_ee00826e5a3c9e7bd2abb7048975c9da/rendering/10.obj", "94.7850646973")</f>
        <v>94.7850646973</v>
      </c>
      <c r="N2263" s="248" t="str">
        <f>HYPERLINK(AA2 &amp; "/pencil/sn_ee00826e5a3c9e7bd2abb7048975c9da/rendering/11.obj", "19.0192642212")</f>
        <v>19.0192642212</v>
      </c>
      <c r="O2263" s="20" t="str">
        <f>HYPERLINK(AA2 &amp; "/pencil/sn_ee00826e5a3c9e7bd2abb7048975c9da/rendering/12.obj", "1.97818231583")</f>
        <v>1.97818231583</v>
      </c>
      <c r="P2263" s="67" t="str">
        <f>HYPERLINK(AA2 &amp; "/pencil/sn_ee00826e5a3c9e7bd2abb7048975c9da/rendering/13.obj", "51.0778617859")</f>
        <v>51.0778617859</v>
      </c>
      <c r="Q2263" s="49" t="str">
        <f>HYPERLINK(AA2 &amp; "/pencil/sn_ee00826e5a3c9e7bd2abb7048975c9da/rendering/14.obj", "67.9591217041")</f>
        <v>67.9591217041</v>
      </c>
      <c r="R2263" s="140" t="str">
        <f>HYPERLINK(AA2 &amp; "/pencil/sn_ee00826e5a3c9e7bd2abb7048975c9da/rendering/15.obj", "36.7369880676")</f>
        <v>36.7369880676</v>
      </c>
      <c r="S2263" s="102" t="str">
        <f>HYPERLINK(AA2 &amp; "/pencil/sn_ee00826e5a3c9e7bd2abb7048975c9da/rendering/16.obj", "28.3290672302")</f>
        <v>28.3290672302</v>
      </c>
      <c r="T2263" s="20" t="str">
        <f>HYPERLINK(AA2 &amp; "/pencil/sn_ee00826e5a3c9e7bd2abb7048975c9da/rendering/17.obj", "124.715110779")</f>
        <v>124.715110779</v>
      </c>
      <c r="U2263" s="157" t="str">
        <f>HYPERLINK(AA2 &amp; "/pencil/sn_ee00826e5a3c9e7bd2abb7048975c9da/rendering/18.obj", "32.7489929199")</f>
        <v>32.7489929199</v>
      </c>
      <c r="V2263" s="122" t="str">
        <f>HYPERLINK(AA2 &amp; "/pencil/sn_ee00826e5a3c9e7bd2abb7048975c9da/rendering/19.obj", "33.5620880127")</f>
        <v>33.5620880127</v>
      </c>
      <c r="W2263" s="12" t="s">
        <v>30</v>
      </c>
      <c r="X2263" s="13">
        <v>56.193853235244752</v>
      </c>
      <c r="Y2263" s="13">
        <v>41.410686661354148</v>
      </c>
      <c r="Z2263" s="184">
        <v>0.73692555817441951</v>
      </c>
    </row>
    <row r="2264" spans="1:26" x14ac:dyDescent="0.2">
      <c r="A2264" s="1">
        <v>2262</v>
      </c>
      <c r="B2264" s="2" t="s">
        <v>485</v>
      </c>
      <c r="C2264" s="93" t="str">
        <f>HYPERLINK(AB2 &amp; "/pencil/sn_ee00826e5a3c9e7bd2abb7048975c9da/rendering/00.obj", "4.16512176514")</f>
        <v>4.16512176514</v>
      </c>
      <c r="D2264" s="91" t="str">
        <f>HYPERLINK(AB2 &amp; "/pencil/sn_ee00826e5a3c9e7bd2abb7048975c9da/rendering/01.obj", "3.74779876709")</f>
        <v>3.74779876709</v>
      </c>
      <c r="E2264" s="34" t="str">
        <f>HYPERLINK(AB2 &amp; "/pencil/sn_ee00826e5a3c9e7bd2abb7048975c9da/rendering/02.obj", "3.47047515869")</f>
        <v>3.47047515869</v>
      </c>
      <c r="F2264" s="46" t="str">
        <f>HYPERLINK(AB2 &amp; "/pencil/sn_ee00826e5a3c9e7bd2abb7048975c9da/rendering/03.obj", "3.71980224609")</f>
        <v>3.71980224609</v>
      </c>
      <c r="G2264" s="17" t="str">
        <f>HYPERLINK(AB2 &amp; "/pencil/sn_ee00826e5a3c9e7bd2abb7048975c9da/rendering/04.obj", "3.57530059814")</f>
        <v>3.57530059814</v>
      </c>
      <c r="H2264" s="90" t="str">
        <f>HYPERLINK(AB2 &amp; "/pencil/sn_ee00826e5a3c9e7bd2abb7048975c9da/rendering/05.obj", "3.30246337891")</f>
        <v>3.30246337891</v>
      </c>
      <c r="I2264" s="79" t="str">
        <f>HYPERLINK(AB2 &amp; "/pencil/sn_ee00826e5a3c9e7bd2abb7048975c9da/rendering/06.obj", "3.06813446045")</f>
        <v>3.06813446045</v>
      </c>
      <c r="J2264" s="17" t="str">
        <f>HYPERLINK(AB2 &amp; "/pencil/sn_ee00826e5a3c9e7bd2abb7048975c9da/rendering/07.obj", "3.57750213623")</f>
        <v>3.57750213623</v>
      </c>
      <c r="K2264" s="58" t="str">
        <f>HYPERLINK(AB2 &amp; "/pencil/sn_ee00826e5a3c9e7bd2abb7048975c9da/rendering/08.obj", "4.542578125")</f>
        <v>4.542578125</v>
      </c>
      <c r="L2264" s="69" t="str">
        <f>HYPERLINK(AB2 &amp; "/pencil/sn_ee00826e5a3c9e7bd2abb7048975c9da/rendering/09.obj", "3.54504394531")</f>
        <v>3.54504394531</v>
      </c>
      <c r="M2264" s="27" t="str">
        <f>HYPERLINK(AB2 &amp; "/pencil/sn_ee00826e5a3c9e7bd2abb7048975c9da/rendering/10.obj", "3.91494903564")</f>
        <v>3.91494903564</v>
      </c>
      <c r="N2264" s="46" t="str">
        <f>HYPERLINK(AB2 &amp; "/pencil/sn_ee00826e5a3c9e7bd2abb7048975c9da/rendering/11.obj", "3.59226989746")</f>
        <v>3.59226989746</v>
      </c>
      <c r="O2264" s="51" t="str">
        <f>HYPERLINK(AB2 &amp; "/pencil/sn_ee00826e5a3c9e7bd2abb7048975c9da/rendering/12.obj", "3.3578012085")</f>
        <v>3.3578012085</v>
      </c>
      <c r="P2264" s="69" t="str">
        <f>HYPERLINK(AB2 &amp; "/pencil/sn_ee00826e5a3c9e7bd2abb7048975c9da/rendering/13.obj", "3.76253875732")</f>
        <v>3.76253875732</v>
      </c>
      <c r="Q2264" s="79" t="str">
        <f>HYPERLINK(AB2 &amp; "/pencil/sn_ee00826e5a3c9e7bd2abb7048975c9da/rendering/14.obj", "4.23517333984")</f>
        <v>4.23517333984</v>
      </c>
      <c r="R2264" s="91" t="str">
        <f>HYPERLINK(AB2 &amp; "/pencil/sn_ee00826e5a3c9e7bd2abb7048975c9da/rendering/15.obj", "3.55741271973")</f>
        <v>3.55741271973</v>
      </c>
      <c r="S2264" s="65" t="str">
        <f>HYPERLINK(AB2 &amp; "/pencil/sn_ee00826e5a3c9e7bd2abb7048975c9da/rendering/16.obj", "3.16452056885")</f>
        <v>3.16452056885</v>
      </c>
      <c r="T2264" s="34" t="str">
        <f>HYPERLINK(AB2 &amp; "/pencil/sn_ee00826e5a3c9e7bd2abb7048975c9da/rendering/17.obj", "3.8329473877")</f>
        <v>3.8329473877</v>
      </c>
      <c r="U2264" s="30" t="str">
        <f>HYPERLINK(AB2 &amp; "/pencil/sn_ee00826e5a3c9e7bd2abb7048975c9da/rendering/18.obj", "3.67022460937")</f>
        <v>3.67022460937</v>
      </c>
      <c r="V2264" s="106" t="str">
        <f>HYPERLINK(AB2 &amp; "/pencil/sn_ee00826e5a3c9e7bd2abb7048975c9da/rendering/19.obj", "3.23856811523")</f>
        <v>3.23856811523</v>
      </c>
      <c r="W2264" s="12" t="s">
        <v>31</v>
      </c>
      <c r="X2264" s="13">
        <v>3.6520313110351559</v>
      </c>
      <c r="Y2264" s="13">
        <v>0.35715906970903061</v>
      </c>
      <c r="Z2264" s="110">
        <v>9.7797373376789315E-2</v>
      </c>
    </row>
    <row r="2265" spans="1:26" x14ac:dyDescent="0.2">
      <c r="A2265" s="1">
        <v>2263</v>
      </c>
      <c r="B2265" s="2" t="s">
        <v>485</v>
      </c>
      <c r="C2265" s="72" t="str">
        <f>HYPERLINK(AB2 &amp; "/pencil/sn_ee00826e5a3c9e7bd2abb7048975c9da/rendering/00.obj", "1.01402437687")</f>
        <v>1.01402437687</v>
      </c>
      <c r="D2265" s="25" t="str">
        <f>HYPERLINK(AB2 &amp; "/pencil/sn_ee00826e5a3c9e7bd2abb7048975c9da/rendering/01.obj", "1.03749012947")</f>
        <v>1.03749012947</v>
      </c>
      <c r="E2265" s="47" t="str">
        <f>HYPERLINK(AB2 &amp; "/pencil/sn_ee00826e5a3c9e7bd2abb7048975c9da/rendering/02.obj", "1.0569562912")</f>
        <v>1.0569562912</v>
      </c>
      <c r="F2265" s="13" t="str">
        <f>HYPERLINK(AB2 &amp; "/pencil/sn_ee00826e5a3c9e7bd2abb7048975c9da/rendering/03.obj", "1.0459536314")</f>
        <v>1.0459536314</v>
      </c>
      <c r="G2265" s="92" t="str">
        <f>HYPERLINK(AB2 &amp; "/pencil/sn_ee00826e5a3c9e7bd2abb7048975c9da/rendering/04.obj", "1.17795670033")</f>
        <v>1.17795670033</v>
      </c>
      <c r="H2265" s="67" t="str">
        <f>HYPERLINK(AB2 &amp; "/pencil/sn_ee00826e5a3c9e7bd2abb7048975c9da/rendering/05.obj", "0.953144609928")</f>
        <v>0.953144609928</v>
      </c>
      <c r="I2265" s="68" t="str">
        <f>HYPERLINK(AB2 &amp; "/pencil/sn_ee00826e5a3c9e7bd2abb7048975c9da/rendering/06.obj", "1.00393295288")</f>
        <v>1.00393295288</v>
      </c>
      <c r="J2265" s="73" t="str">
        <f>HYPERLINK(AB2 &amp; "/pencil/sn_ee00826e5a3c9e7bd2abb7048975c9da/rendering/07.obj", "1.08758604527")</f>
        <v>1.08758604527</v>
      </c>
      <c r="K2265" s="81" t="str">
        <f>HYPERLINK(AB2 &amp; "/pencil/sn_ee00826e5a3c9e7bd2abb7048975c9da/rendering/08.obj", "1.27695012093")</f>
        <v>1.27695012093</v>
      </c>
      <c r="L2265" s="94" t="str">
        <f>HYPERLINK(AB2 &amp; "/pencil/sn_ee00826e5a3c9e7bd2abb7048975c9da/rendering/09.obj", "0.972241342068")</f>
        <v>0.972241342068</v>
      </c>
      <c r="M2265" s="30" t="str">
        <f>HYPERLINK(AB2 &amp; "/pencil/sn_ee00826e5a3c9e7bd2abb7048975c9da/rendering/10.obj", "1.04341745377")</f>
        <v>1.04341745377</v>
      </c>
      <c r="N2265" s="46" t="str">
        <f>HYPERLINK(AB2 &amp; "/pencil/sn_ee00826e5a3c9e7bd2abb7048975c9da/rendering/11.obj", "1.03216397762")</f>
        <v>1.03216397762</v>
      </c>
      <c r="O2265" s="48" t="str">
        <f>HYPERLINK(AB2 &amp; "/pencil/sn_ee00826e5a3c9e7bd2abb7048975c9da/rendering/12.obj", "1.07295274734")</f>
        <v>1.07295274734</v>
      </c>
      <c r="P2265" s="47" t="str">
        <f>HYPERLINK(AB2 &amp; "/pencil/sn_ee00826e5a3c9e7bd2abb7048975c9da/rendering/13.obj", "1.04197263718")</f>
        <v>1.04197263718</v>
      </c>
      <c r="Q2265" s="5" t="str">
        <f>HYPERLINK(AB2 &amp; "/pencil/sn_ee00826e5a3c9e7bd2abb7048975c9da/rendering/14.obj", "1.12970328331")</f>
        <v>1.12970328331</v>
      </c>
      <c r="R2265" s="78" t="str">
        <f>HYPERLINK(AB2 &amp; "/pencil/sn_ee00826e5a3c9e7bd2abb7048975c9da/rendering/15.obj", "0.98643219471")</f>
        <v>0.98643219471</v>
      </c>
      <c r="S2265" s="106" t="str">
        <f>HYPERLINK(AB2 &amp; "/pencil/sn_ee00826e5a3c9e7bd2abb7048975c9da/rendering/16.obj", "0.92754560709")</f>
        <v>0.92754560709</v>
      </c>
      <c r="T2265" s="63" t="str">
        <f>HYPERLINK(AB2 &amp; "/pencil/sn_ee00826e5a3c9e7bd2abb7048975c9da/rendering/17.obj", "0.923602044582")</f>
        <v>0.923602044582</v>
      </c>
      <c r="U2265" s="38" t="str">
        <f>HYPERLINK(AB2 &amp; "/pencil/sn_ee00826e5a3c9e7bd2abb7048975c9da/rendering/18.obj", "1.14251542091")</f>
        <v>1.14251542091</v>
      </c>
      <c r="V2265" s="47" t="str">
        <f>HYPERLINK(AB2 &amp; "/pencil/sn_ee00826e5a3c9e7bd2abb7048975c9da/rendering/19.obj", "1.05818283558")</f>
        <v>1.05818283558</v>
      </c>
      <c r="W2265" s="12" t="s">
        <v>32</v>
      </c>
      <c r="X2265" s="13">
        <v>1.0492362201213841</v>
      </c>
      <c r="Y2265" s="13">
        <v>8.3453326851670936E-2</v>
      </c>
      <c r="Z2265" s="51">
        <v>7.9537215024864868E-2</v>
      </c>
    </row>
    <row r="2266" spans="1:26" x14ac:dyDescent="0.2">
      <c r="A2266" s="1">
        <v>2264</v>
      </c>
      <c r="B2266" s="2" t="s">
        <v>485</v>
      </c>
      <c r="C2266" s="13" t="str">
        <f>HYPERLINK(AC2 &amp; "/pencil/sn_ee00826e5a3c9e7bd2abb7048975c9da/rendering/00.xyz", "0.0")</f>
        <v>0.0</v>
      </c>
      <c r="D2266" s="13" t="str">
        <f>HYPERLINK(AC2 &amp; "/pencil/sn_ee00826e5a3c9e7bd2abb7048975c9da/rendering/01.xyz", "0.0")</f>
        <v>0.0</v>
      </c>
      <c r="E2266" s="13" t="str">
        <f>HYPERLINK(AC2 &amp; "/pencil/sn_ee00826e5a3c9e7bd2abb7048975c9da/rendering/02.xyz", "0.0")</f>
        <v>0.0</v>
      </c>
      <c r="F2266" s="13" t="str">
        <f>HYPERLINK(AC2 &amp; "/pencil/sn_ee00826e5a3c9e7bd2abb7048975c9da/rendering/03.xyz", "0.0")</f>
        <v>0.0</v>
      </c>
      <c r="G2266" s="13" t="str">
        <f>HYPERLINK(AC2 &amp; "/pencil/sn_ee00826e5a3c9e7bd2abb7048975c9da/rendering/04.xyz", "0.0")</f>
        <v>0.0</v>
      </c>
      <c r="H2266" s="13" t="str">
        <f>HYPERLINK(AC2 &amp; "/pencil/sn_ee00826e5a3c9e7bd2abb7048975c9da/rendering/05.xyz", "0.0")</f>
        <v>0.0</v>
      </c>
      <c r="I2266" s="13" t="str">
        <f>HYPERLINK(AC2 &amp; "/pencil/sn_ee00826e5a3c9e7bd2abb7048975c9da/rendering/06.xyz", "0.0")</f>
        <v>0.0</v>
      </c>
      <c r="J2266" s="13" t="str">
        <f>HYPERLINK(AC2 &amp; "/pencil/sn_ee00826e5a3c9e7bd2abb7048975c9da/rendering/07.xyz", "0.0")</f>
        <v>0.0</v>
      </c>
      <c r="K2266" s="13" t="str">
        <f>HYPERLINK(AC2 &amp; "/pencil/sn_ee00826e5a3c9e7bd2abb7048975c9da/rendering/08.xyz", "0.0")</f>
        <v>0.0</v>
      </c>
      <c r="L2266" s="13" t="str">
        <f>HYPERLINK(AC2 &amp; "/pencil/sn_ee00826e5a3c9e7bd2abb7048975c9da/rendering/09.xyz", "0.0")</f>
        <v>0.0</v>
      </c>
      <c r="M2266" s="13" t="str">
        <f>HYPERLINK(AC2 &amp; "/pencil/sn_ee00826e5a3c9e7bd2abb7048975c9da/rendering/10.xyz", "0.0")</f>
        <v>0.0</v>
      </c>
      <c r="N2266" s="13" t="str">
        <f>HYPERLINK(AC2 &amp; "/pencil/sn_ee00826e5a3c9e7bd2abb7048975c9da/rendering/11.xyz", "0.0")</f>
        <v>0.0</v>
      </c>
      <c r="O2266" s="13" t="str">
        <f>HYPERLINK(AC2 &amp; "/pencil/sn_ee00826e5a3c9e7bd2abb7048975c9da/rendering/12.xyz", "0.0")</f>
        <v>0.0</v>
      </c>
      <c r="P2266" s="13" t="str">
        <f>HYPERLINK(AC2 &amp; "/pencil/sn_ee00826e5a3c9e7bd2abb7048975c9da/rendering/13.xyz", "0.0")</f>
        <v>0.0</v>
      </c>
      <c r="Q2266" s="13" t="str">
        <f>HYPERLINK(AC2 &amp; "/pencil/sn_ee00826e5a3c9e7bd2abb7048975c9da/rendering/14.xyz", "0.0")</f>
        <v>0.0</v>
      </c>
      <c r="R2266" s="13" t="str">
        <f>HYPERLINK(AC2 &amp; "/pencil/sn_ee00826e5a3c9e7bd2abb7048975c9da/rendering/15.xyz", "0.0")</f>
        <v>0.0</v>
      </c>
      <c r="S2266" s="13" t="str">
        <f>HYPERLINK(AC2 &amp; "/pencil/sn_ee00826e5a3c9e7bd2abb7048975c9da/rendering/16.xyz", "0.0")</f>
        <v>0.0</v>
      </c>
      <c r="T2266" s="13" t="str">
        <f>HYPERLINK(AC2 &amp; "/pencil/sn_ee00826e5a3c9e7bd2abb7048975c9da/rendering/17.xyz", "0.0")</f>
        <v>0.0</v>
      </c>
      <c r="U2266" s="13" t="str">
        <f>HYPERLINK(AC2 &amp; "/pencil/sn_ee00826e5a3c9e7bd2abb7048975c9da/rendering/18.xyz", "0.0")</f>
        <v>0.0</v>
      </c>
      <c r="V2266" s="13" t="str">
        <f>HYPERLINK(AC2 &amp; "/pencil/sn_ee00826e5a3c9e7bd2abb7048975c9da/rendering/19.xyz", "0.0")</f>
        <v>0.0</v>
      </c>
      <c r="W2266" s="12" t="s">
        <v>33</v>
      </c>
      <c r="X2266" s="13">
        <v>0</v>
      </c>
      <c r="Y2266" s="13">
        <v>0</v>
      </c>
      <c r="Z2266" s="13">
        <v>0</v>
      </c>
    </row>
    <row r="2267" spans="1:26" x14ac:dyDescent="0.2">
      <c r="A2267" s="1">
        <v>2265</v>
      </c>
      <c r="B2267" s="2" t="s">
        <v>486</v>
      </c>
      <c r="C2267" s="80" t="str">
        <f>HYPERLINK(AA2 &amp; "/pencil/sn_ee11b1c9d602d7577548281e465c9303/rendering/00.obj", "5.15004577637")</f>
        <v>5.15004577637</v>
      </c>
      <c r="D2267" s="88" t="str">
        <f>HYPERLINK(AA2 &amp; "/pencil/sn_ee11b1c9d602d7577548281e465c9303/rendering/01.obj", "4.82866516113")</f>
        <v>4.82866516113</v>
      </c>
      <c r="E2267" s="88" t="str">
        <f>HYPERLINK(AA2 &amp; "/pencil/sn_ee11b1c9d602d7577548281e465c9303/rendering/02.obj", "4.82556213379")</f>
        <v>4.82556213379</v>
      </c>
      <c r="F2267" s="64" t="str">
        <f>HYPERLINK(AA2 &amp; "/pencil/sn_ee11b1c9d602d7577548281e465c9303/rendering/03.obj", "5.0478112793")</f>
        <v>5.0478112793</v>
      </c>
      <c r="G2267" s="135" t="str">
        <f>HYPERLINK(AA2 &amp; "/pencil/sn_ee11b1c9d602d7577548281e465c9303/rendering/04.obj", "4.50934509277")</f>
        <v>4.50934509277</v>
      </c>
      <c r="H2267" s="49" t="str">
        <f>HYPERLINK(AA2 &amp; "/pencil/sn_ee11b1c9d602d7577548281e465c9303/rendering/05.obj", "7.3130078125")</f>
        <v>7.3130078125</v>
      </c>
      <c r="I2267" s="174" t="str">
        <f>HYPERLINK(AA2 &amp; "/pencil/sn_ee11b1c9d602d7577548281e465c9303/rendering/06.obj", "9.22934020996")</f>
        <v>9.22934020996</v>
      </c>
      <c r="J2267" s="175" t="str">
        <f>HYPERLINK(AA2 &amp; "/pencil/sn_ee11b1c9d602d7577548281e465c9303/rendering/07.obj", "4.6363369751")</f>
        <v>4.6363369751</v>
      </c>
      <c r="K2267" s="150" t="str">
        <f>HYPERLINK(AA2 &amp; "/pencil/sn_ee11b1c9d602d7577548281e465c9303/rendering/08.obj", "9.29938598633")</f>
        <v>9.29938598633</v>
      </c>
      <c r="L2267" s="129" t="str">
        <f>HYPERLINK(AA2 &amp; "/pencil/sn_ee11b1c9d602d7577548281e465c9303/rendering/09.obj", "4.53345367432")</f>
        <v>4.53345367432</v>
      </c>
      <c r="M2267" s="50" t="str">
        <f>HYPERLINK(AA2 &amp; "/pencil/sn_ee11b1c9d602d7577548281e465c9303/rendering/10.obj", "4.83632354736")</f>
        <v>4.83632354736</v>
      </c>
      <c r="N2267" s="111" t="str">
        <f>HYPERLINK(AA2 &amp; "/pencil/sn_ee11b1c9d602d7577548281e465c9303/rendering/11.obj", "8.60694946289")</f>
        <v>8.60694946289</v>
      </c>
      <c r="O2267" s="38" t="str">
        <f>HYPERLINK(AA2 &amp; "/pencil/sn_ee11b1c9d602d7577548281e465c9303/rendering/12.obj", "5.50605529785")</f>
        <v>5.50605529785</v>
      </c>
      <c r="P2267" s="5" t="str">
        <f>HYPERLINK(AA2 &amp; "/pencil/sn_ee11b1c9d602d7577548281e465c9303/rendering/13.obj", "6.50828979492")</f>
        <v>6.50828979492</v>
      </c>
      <c r="Q2267" s="77" t="str">
        <f>HYPERLINK(AA2 &amp; "/pencil/sn_ee11b1c9d602d7577548281e465c9303/rendering/14.obj", "4.91241363525")</f>
        <v>4.91241363525</v>
      </c>
      <c r="R2267" s="99" t="str">
        <f>HYPERLINK(AA2 &amp; "/pencil/sn_ee11b1c9d602d7577548281e465c9303/rendering/15.obj", "4.41752716064")</f>
        <v>4.41752716064</v>
      </c>
      <c r="S2267" s="78" t="str">
        <f>HYPERLINK(AA2 &amp; "/pencil/sn_ee11b1c9d602d7577548281e465c9303/rendering/16.obj", "6.42358398438")</f>
        <v>6.42358398438</v>
      </c>
      <c r="T2267" s="85" t="str">
        <f>HYPERLINK(AA2 &amp; "/pencil/sn_ee11b1c9d602d7577548281e465c9303/rendering/17.obj", "4.26081359863")</f>
        <v>4.26081359863</v>
      </c>
      <c r="U2267" s="31" t="str">
        <f>HYPERLINK(AA2 &amp; "/pencil/sn_ee11b1c9d602d7577548281e465c9303/rendering/18.obj", "5.10515197754")</f>
        <v>5.10515197754</v>
      </c>
      <c r="V2267" s="20" t="str">
        <f>HYPERLINK(AA2 &amp; "/pencil/sn_ee11b1c9d602d7577548281e465c9303/rendering/19.obj", "11.0697436523")</f>
        <v>11.0697436523</v>
      </c>
      <c r="W2267" s="12" t="s">
        <v>29</v>
      </c>
      <c r="X2267" s="13">
        <v>6.0509903106689453</v>
      </c>
      <c r="Y2267" s="13">
        <v>1.944818199800471</v>
      </c>
      <c r="Z2267" s="168">
        <v>0.32140494364557459</v>
      </c>
    </row>
    <row r="2268" spans="1:26" x14ac:dyDescent="0.2">
      <c r="A2268" s="1">
        <v>2266</v>
      </c>
      <c r="B2268" s="2" t="s">
        <v>486</v>
      </c>
      <c r="C2268" s="238" t="str">
        <f>HYPERLINK(AA2 &amp; "/pencil/sn_ee11b1c9d602d7577548281e465c9303/rendering/00.obj", "1.34992551804")</f>
        <v>1.34992551804</v>
      </c>
      <c r="D2268" s="199" t="str">
        <f>HYPERLINK(AA2 &amp; "/pencil/sn_ee11b1c9d602d7577548281e465c9303/rendering/01.obj", "0.971297740936")</f>
        <v>0.971297740936</v>
      </c>
      <c r="E2268" s="199" t="str">
        <f>HYPERLINK(AA2 &amp; "/pencil/sn_ee11b1c9d602d7577548281e465c9303/rendering/02.obj", "0.980713963509")</f>
        <v>0.980713963509</v>
      </c>
      <c r="F2268" s="20" t="str">
        <f>HYPERLINK(AA2 &amp; "/pencil/sn_ee11b1c9d602d7577548281e465c9303/rendering/03.obj", "0.895222485065")</f>
        <v>0.895222485065</v>
      </c>
      <c r="G2268" s="232" t="str">
        <f>HYPERLINK(AA2 &amp; "/pencil/sn_ee11b1c9d602d7577548281e465c9303/rendering/04.obj", "0.989280164242")</f>
        <v>0.989280164242</v>
      </c>
      <c r="H2268" s="35" t="str">
        <f>HYPERLINK(AA2 &amp; "/pencil/sn_ee11b1c9d602d7577548281e465c9303/rendering/05.obj", "4.83891439438")</f>
        <v>4.83891439438</v>
      </c>
      <c r="I2268" s="20" t="str">
        <f>HYPERLINK(AA2 &amp; "/pencil/sn_ee11b1c9d602d7577548281e465c9303/rendering/06.obj", "25.6966133118")</f>
        <v>25.6966133118</v>
      </c>
      <c r="J2268" s="20" t="str">
        <f>HYPERLINK(AA2 &amp; "/pencil/sn_ee11b1c9d602d7577548281e465c9303/rendering/07.obj", "0.744139254093")</f>
        <v>0.744139254093</v>
      </c>
      <c r="K2268" s="220" t="str">
        <f>HYPERLINK(AA2 &amp; "/pencil/sn_ee11b1c9d602d7577548281e465c9303/rendering/08.obj", "7.66372108459")</f>
        <v>7.66372108459</v>
      </c>
      <c r="L2268" s="259" t="str">
        <f>HYPERLINK(AA2 &amp; "/pencil/sn_ee11b1c9d602d7577548281e465c9303/rendering/09.obj", "0.951017379761")</f>
        <v>0.951017379761</v>
      </c>
      <c r="M2268" s="20" t="str">
        <f>HYPERLINK(AA2 &amp; "/pencil/sn_ee11b1c9d602d7577548281e465c9303/rendering/10.obj", "0.831939578056")</f>
        <v>0.831939578056</v>
      </c>
      <c r="N2268" s="20" t="str">
        <f>HYPERLINK(AA2 &amp; "/pencil/sn_ee11b1c9d602d7577548281e465c9303/rendering/11.obj", "12.1557188034")</f>
        <v>12.1557188034</v>
      </c>
      <c r="O2268" s="241" t="str">
        <f>HYPERLINK(AA2 &amp; "/pencil/sn_ee11b1c9d602d7577548281e465c9303/rendering/12.obj", "1.63248062134")</f>
        <v>1.63248062134</v>
      </c>
      <c r="P2268" s="52" t="str">
        <f>HYPERLINK(AA2 &amp; "/pencil/sn_ee11b1c9d602d7577548281e465c9303/rendering/13.obj", "6.39349031448")</f>
        <v>6.39349031448</v>
      </c>
      <c r="Q2268" s="241" t="str">
        <f>HYPERLINK(AA2 &amp; "/pencil/sn_ee11b1c9d602d7577548281e465c9303/rendering/14.obj", "1.63523101807")</f>
        <v>1.63523101807</v>
      </c>
      <c r="R2268" s="20" t="str">
        <f>HYPERLINK(AA2 &amp; "/pencil/sn_ee11b1c9d602d7577548281e465c9303/rendering/15.obj", "0.665033757687")</f>
        <v>0.665033757687</v>
      </c>
      <c r="S2268" s="32" t="str">
        <f>HYPERLINK(AA2 &amp; "/pencil/sn_ee11b1c9d602d7577548281e465c9303/rendering/16.obj", "5.05306768417")</f>
        <v>5.05306768417</v>
      </c>
      <c r="T2268" s="20" t="str">
        <f>HYPERLINK(AA2 &amp; "/pencil/sn_ee11b1c9d602d7577548281e465c9303/rendering/17.obj", "0.718453884125")</f>
        <v>0.718453884125</v>
      </c>
      <c r="U2268" s="257" t="str">
        <f>HYPERLINK(AA2 &amp; "/pencil/sn_ee11b1c9d602d7577548281e465c9303/rendering/18.obj", "1.31476068497")</f>
        <v>1.31476068497</v>
      </c>
      <c r="V2268" s="20" t="str">
        <f>HYPERLINK(AA2 &amp; "/pencil/sn_ee11b1c9d602d7577548281e465c9303/rendering/19.obj", "15.87591362")</f>
        <v>15.87591362</v>
      </c>
      <c r="W2268" s="12" t="s">
        <v>30</v>
      </c>
      <c r="X2268" s="13">
        <v>4.5678467631340034</v>
      </c>
      <c r="Y2268" s="13">
        <v>6.3523989355925456</v>
      </c>
      <c r="Z2268" s="20">
        <v>1.3906768911035361</v>
      </c>
    </row>
    <row r="2269" spans="1:26" x14ac:dyDescent="0.2">
      <c r="A2269" s="1">
        <v>2267</v>
      </c>
      <c r="B2269" s="2" t="s">
        <v>486</v>
      </c>
      <c r="C2269" s="38" t="str">
        <f>HYPERLINK(AB2 &amp; "/pencil/sn_ee11b1c9d602d7577548281e465c9303/rendering/00.obj", "3.89429321289")</f>
        <v>3.89429321289</v>
      </c>
      <c r="D2269" s="94" t="str">
        <f>HYPERLINK(AB2 &amp; "/pencil/sn_ee11b1c9d602d7577548281e465c9303/rendering/01.obj", "4.58162841797")</f>
        <v>4.58162841797</v>
      </c>
      <c r="E2269" s="17" t="str">
        <f>HYPERLINK(AB2 &amp; "/pencil/sn_ee11b1c9d602d7577548281e465c9303/rendering/02.obj", "4.18770019531")</f>
        <v>4.18770019531</v>
      </c>
      <c r="F2269" s="27" t="str">
        <f>HYPERLINK(AB2 &amp; "/pencil/sn_ee11b1c9d602d7577548281e465c9303/rendering/03.obj", "3.96529907227")</f>
        <v>3.96529907227</v>
      </c>
      <c r="G2269" s="25" t="str">
        <f>HYPERLINK(AB2 &amp; "/pencil/sn_ee11b1c9d602d7577548281e465c9303/rendering/04.obj", "4.31646026611")</f>
        <v>4.31646026611</v>
      </c>
      <c r="H2269" s="72" t="str">
        <f>HYPERLINK(AB2 &amp; "/pencil/sn_ee11b1c9d602d7577548281e465c9303/rendering/05.obj", "4.12344360352")</f>
        <v>4.12344360352</v>
      </c>
      <c r="I2269" s="79" t="str">
        <f>HYPERLINK(AB2 &amp; "/pencil/sn_ee11b1c9d602d7577548281e465c9303/rendering/06.obj", "4.94300415039")</f>
        <v>4.94300415039</v>
      </c>
      <c r="J2269" s="23" t="str">
        <f>HYPERLINK(AB2 &amp; "/pencil/sn_ee11b1c9d602d7577548281e465c9303/rendering/07.obj", "4.44322265625")</f>
        <v>4.44322265625</v>
      </c>
      <c r="K2269" s="26" t="str">
        <f>HYPERLINK(AB2 &amp; "/pencil/sn_ee11b1c9d602d7577548281e465c9303/rendering/08.obj", "4.54514556885")</f>
        <v>4.54514556885</v>
      </c>
      <c r="L2269" s="48" t="str">
        <f>HYPERLINK(AB2 &amp; "/pencil/sn_ee11b1c9d602d7577548281e465c9303/rendering/09.obj", "4.1759197998")</f>
        <v>4.1759197998</v>
      </c>
      <c r="M2269" s="5" t="str">
        <f>HYPERLINK(AB2 &amp; "/pencil/sn_ee11b1c9d602d7577548281e465c9303/rendering/10.obj", "4.59812011719")</f>
        <v>4.59812011719</v>
      </c>
      <c r="N2269" s="13" t="str">
        <f>HYPERLINK(AB2 &amp; "/pencil/sn_ee11b1c9d602d7577548281e465c9303/rendering/11.obj", "4.26721008301")</f>
        <v>4.26721008301</v>
      </c>
      <c r="O2269" s="38" t="str">
        <f>HYPERLINK(AB2 &amp; "/pencil/sn_ee11b1c9d602d7577548281e465c9303/rendering/12.obj", "3.89188171387")</f>
        <v>3.89188171387</v>
      </c>
      <c r="P2269" s="69" t="str">
        <f>HYPERLINK(AB2 &amp; "/pencil/sn_ee11b1c9d602d7577548281e465c9303/rendering/13.obj", "4.39198913574")</f>
        <v>4.39198913574</v>
      </c>
      <c r="Q2269" s="8" t="str">
        <f>HYPERLINK(AB2 &amp; "/pencil/sn_ee11b1c9d602d7577548281e465c9303/rendering/14.obj", "3.65524780273")</f>
        <v>3.65524780273</v>
      </c>
      <c r="R2269" s="78" t="str">
        <f>HYPERLINK(AB2 &amp; "/pencil/sn_ee11b1c9d602d7577548281e465c9303/rendering/15.obj", "4.00686767578")</f>
        <v>4.00686767578</v>
      </c>
      <c r="S2269" s="44" t="str">
        <f>HYPERLINK(AB2 &amp; "/pencil/sn_ee11b1c9d602d7577548281e465c9303/rendering/16.obj", "5.11189208984")</f>
        <v>5.11189208984</v>
      </c>
      <c r="T2269" s="68" t="str">
        <f>HYPERLINK(AB2 &amp; "/pencil/sn_ee11b1c9d602d7577548281e465c9303/rendering/17.obj", "4.09037628174")</f>
        <v>4.09037628174</v>
      </c>
      <c r="U2269" s="74" t="str">
        <f>HYPERLINK(AB2 &amp; "/pencil/sn_ee11b1c9d602d7577548281e465c9303/rendering/18.obj", "4.32802307129")</f>
        <v>4.32802307129</v>
      </c>
      <c r="V2269" s="38" t="str">
        <f>HYPERLINK(AB2 &amp; "/pencil/sn_ee11b1c9d602d7577548281e465c9303/rendering/19.obj", "3.8862298584")</f>
        <v>3.8862298584</v>
      </c>
      <c r="W2269" s="12" t="s">
        <v>31</v>
      </c>
      <c r="X2269" s="13">
        <v>4.2701977386474619</v>
      </c>
      <c r="Y2269" s="13">
        <v>0.35590691233253802</v>
      </c>
      <c r="Z2269" s="107">
        <v>8.3346705261772625E-2</v>
      </c>
    </row>
    <row r="2270" spans="1:26" x14ac:dyDescent="0.2">
      <c r="A2270" s="1">
        <v>2268</v>
      </c>
      <c r="B2270" s="2" t="s">
        <v>486</v>
      </c>
      <c r="C2270" s="55" t="str">
        <f>HYPERLINK(AB2 &amp; "/pencil/sn_ee11b1c9d602d7577548281e465c9303/rendering/00.obj", "0.753491401672")</f>
        <v>0.753491401672</v>
      </c>
      <c r="D2270" s="93" t="str">
        <f>HYPERLINK(AB2 &amp; "/pencil/sn_ee11b1c9d602d7577548281e465c9303/rendering/01.obj", "0.800582766533")</f>
        <v>0.800582766533</v>
      </c>
      <c r="E2270" s="14" t="str">
        <f>HYPERLINK(AB2 &amp; "/pencil/sn_ee11b1c9d602d7577548281e465c9303/rendering/02.obj", "0.660446822643")</f>
        <v>0.660446822643</v>
      </c>
      <c r="F2270" s="33" t="str">
        <f>HYPERLINK(AB2 &amp; "/pencil/sn_ee11b1c9d602d7577548281e465c9303/rendering/03.obj", "0.830044090748")</f>
        <v>0.830044090748</v>
      </c>
      <c r="G2270" s="43" t="str">
        <f>HYPERLINK(AB2 &amp; "/pencil/sn_ee11b1c9d602d7577548281e465c9303/rendering/04.obj", "0.581868350506")</f>
        <v>0.581868350506</v>
      </c>
      <c r="H2270" s="87" t="str">
        <f>HYPERLINK(AB2 &amp; "/pencil/sn_ee11b1c9d602d7577548281e465c9303/rendering/05.obj", "0.721170902252")</f>
        <v>0.721170902252</v>
      </c>
      <c r="I2270" s="254" t="str">
        <f>HYPERLINK(AB2 &amp; "/pencil/sn_ee11b1c9d602d7577548281e465c9303/rendering/06.obj", "1.65228593349")</f>
        <v>1.65228593349</v>
      </c>
      <c r="J2270" s="76" t="str">
        <f>HYPERLINK(AB2 &amp; "/pencil/sn_ee11b1c9d602d7577548281e465c9303/rendering/07.obj", "0.761915683746")</f>
        <v>0.761915683746</v>
      </c>
      <c r="K2270" s="22" t="str">
        <f>HYPERLINK(AB2 &amp; "/pencil/sn_ee11b1c9d602d7577548281e465c9303/rendering/08.obj", "1.4187887907")</f>
        <v>1.4187887907</v>
      </c>
      <c r="L2270" s="104" t="str">
        <f>HYPERLINK(AB2 &amp; "/pencil/sn_ee11b1c9d602d7577548281e465c9303/rendering/09.obj", "1.37519609928")</f>
        <v>1.37519609928</v>
      </c>
      <c r="M2270" s="48" t="str">
        <f>HYPERLINK(AB2 &amp; "/pencil/sn_ee11b1c9d602d7577548281e465c9303/rendering/10.obj", "0.908660769463")</f>
        <v>0.908660769463</v>
      </c>
      <c r="N2270" s="39" t="str">
        <f>HYPERLINK(AB2 &amp; "/pencil/sn_ee11b1c9d602d7577548281e465c9303/rendering/11.obj", "0.851869404316")</f>
        <v>0.851869404316</v>
      </c>
      <c r="O2270" s="35" t="str">
        <f>HYPERLINK(AB2 &amp; "/pencil/sn_ee11b1c9d602d7577548281e465c9303/rendering/12.obj", "0.98710423708")</f>
        <v>0.98710423708</v>
      </c>
      <c r="P2270" s="171" t="str">
        <f>HYPERLINK(AB2 &amp; "/pencil/sn_ee11b1c9d602d7577548281e465c9303/rendering/13.obj", "0.645723104477")</f>
        <v>0.645723104477</v>
      </c>
      <c r="Q2270" s="47" t="str">
        <f>HYPERLINK(AB2 &amp; "/pencil/sn_ee11b1c9d602d7577548281e465c9303/rendering/14.obj", "0.924529731274")</f>
        <v>0.924529731274</v>
      </c>
      <c r="R2270" s="73" t="str">
        <f>HYPERLINK(AB2 &amp; "/pencil/sn_ee11b1c9d602d7577548281e465c9303/rendering/15.obj", "0.898829340935")</f>
        <v>0.898829340935</v>
      </c>
      <c r="S2270" s="250" t="str">
        <f>HYPERLINK(AB2 &amp; "/pencil/sn_ee11b1c9d602d7577548281e465c9303/rendering/16.obj", "1.57034170628")</f>
        <v>1.57034170628</v>
      </c>
      <c r="T2270" s="168" t="str">
        <f>HYPERLINK(AB2 &amp; "/pencil/sn_ee11b1c9d602d7577548281e465c9303/rendering/17.obj", "0.631465733051")</f>
        <v>0.631465733051</v>
      </c>
      <c r="U2270" s="29" t="str">
        <f>HYPERLINK(AB2 &amp; "/pencil/sn_ee11b1c9d602d7577548281e465c9303/rendering/18.obj", "0.810650229454")</f>
        <v>0.810650229454</v>
      </c>
      <c r="V2270" s="107" t="str">
        <f>HYPERLINK(AB2 &amp; "/pencil/sn_ee11b1c9d602d7577548281e465c9303/rendering/19.obj", "0.853606045246")</f>
        <v>0.853606045246</v>
      </c>
      <c r="W2270" s="12" t="s">
        <v>32</v>
      </c>
      <c r="X2270" s="13">
        <v>0.93192855715751644</v>
      </c>
      <c r="Y2270" s="13">
        <v>0.30767064847153031</v>
      </c>
      <c r="Z2270" s="193">
        <v>0.3301440288619969</v>
      </c>
    </row>
    <row r="2271" spans="1:26" x14ac:dyDescent="0.2">
      <c r="A2271" s="1">
        <v>2269</v>
      </c>
      <c r="B2271" s="2" t="s">
        <v>486</v>
      </c>
      <c r="C2271" s="13" t="str">
        <f>HYPERLINK(AC2 &amp; "/pencil/sn_ee11b1c9d602d7577548281e465c9303/rendering/00.xyz", "0.0")</f>
        <v>0.0</v>
      </c>
      <c r="D2271" s="13" t="str">
        <f>HYPERLINK(AC2 &amp; "/pencil/sn_ee11b1c9d602d7577548281e465c9303/rendering/01.xyz", "0.0")</f>
        <v>0.0</v>
      </c>
      <c r="E2271" s="13" t="str">
        <f>HYPERLINK(AC2 &amp; "/pencil/sn_ee11b1c9d602d7577548281e465c9303/rendering/02.xyz", "0.0")</f>
        <v>0.0</v>
      </c>
      <c r="F2271" s="13" t="str">
        <f>HYPERLINK(AC2 &amp; "/pencil/sn_ee11b1c9d602d7577548281e465c9303/rendering/03.xyz", "0.0")</f>
        <v>0.0</v>
      </c>
      <c r="G2271" s="13" t="str">
        <f>HYPERLINK(AC2 &amp; "/pencil/sn_ee11b1c9d602d7577548281e465c9303/rendering/04.xyz", "0.0")</f>
        <v>0.0</v>
      </c>
      <c r="H2271" s="13" t="str">
        <f>HYPERLINK(AC2 &amp; "/pencil/sn_ee11b1c9d602d7577548281e465c9303/rendering/05.xyz", "0.0")</f>
        <v>0.0</v>
      </c>
      <c r="I2271" s="13" t="str">
        <f>HYPERLINK(AC2 &amp; "/pencil/sn_ee11b1c9d602d7577548281e465c9303/rendering/06.xyz", "0.0")</f>
        <v>0.0</v>
      </c>
      <c r="J2271" s="13" t="str">
        <f>HYPERLINK(AC2 &amp; "/pencil/sn_ee11b1c9d602d7577548281e465c9303/rendering/07.xyz", "0.0")</f>
        <v>0.0</v>
      </c>
      <c r="K2271" s="13" t="str">
        <f>HYPERLINK(AC2 &amp; "/pencil/sn_ee11b1c9d602d7577548281e465c9303/rendering/08.xyz", "0.0")</f>
        <v>0.0</v>
      </c>
      <c r="L2271" s="13" t="str">
        <f>HYPERLINK(AC2 &amp; "/pencil/sn_ee11b1c9d602d7577548281e465c9303/rendering/09.xyz", "0.0")</f>
        <v>0.0</v>
      </c>
      <c r="M2271" s="13" t="str">
        <f>HYPERLINK(AC2 &amp; "/pencil/sn_ee11b1c9d602d7577548281e465c9303/rendering/10.xyz", "0.0")</f>
        <v>0.0</v>
      </c>
      <c r="N2271" s="13" t="str">
        <f>HYPERLINK(AC2 &amp; "/pencil/sn_ee11b1c9d602d7577548281e465c9303/rendering/11.xyz", "0.0")</f>
        <v>0.0</v>
      </c>
      <c r="O2271" s="13" t="str">
        <f>HYPERLINK(AC2 &amp; "/pencil/sn_ee11b1c9d602d7577548281e465c9303/rendering/12.xyz", "0.0")</f>
        <v>0.0</v>
      </c>
      <c r="P2271" s="13" t="str">
        <f>HYPERLINK(AC2 &amp; "/pencil/sn_ee11b1c9d602d7577548281e465c9303/rendering/13.xyz", "0.0")</f>
        <v>0.0</v>
      </c>
      <c r="Q2271" s="13" t="str">
        <f>HYPERLINK(AC2 &amp; "/pencil/sn_ee11b1c9d602d7577548281e465c9303/rendering/14.xyz", "0.0")</f>
        <v>0.0</v>
      </c>
      <c r="R2271" s="13" t="str">
        <f>HYPERLINK(AC2 &amp; "/pencil/sn_ee11b1c9d602d7577548281e465c9303/rendering/15.xyz", "0.0")</f>
        <v>0.0</v>
      </c>
      <c r="S2271" s="13" t="str">
        <f>HYPERLINK(AC2 &amp; "/pencil/sn_ee11b1c9d602d7577548281e465c9303/rendering/16.xyz", "0.0")</f>
        <v>0.0</v>
      </c>
      <c r="T2271" s="13" t="str">
        <f>HYPERLINK(AC2 &amp; "/pencil/sn_ee11b1c9d602d7577548281e465c9303/rendering/17.xyz", "0.0")</f>
        <v>0.0</v>
      </c>
      <c r="U2271" s="13" t="str">
        <f>HYPERLINK(AC2 &amp; "/pencil/sn_ee11b1c9d602d7577548281e465c9303/rendering/18.xyz", "0.0")</f>
        <v>0.0</v>
      </c>
      <c r="V2271" s="13" t="str">
        <f>HYPERLINK(AC2 &amp; "/pencil/sn_ee11b1c9d602d7577548281e465c9303/rendering/19.xyz", "0.0")</f>
        <v>0.0</v>
      </c>
      <c r="W2271" s="12" t="s">
        <v>33</v>
      </c>
      <c r="X2271" s="13">
        <v>0</v>
      </c>
      <c r="Y2271" s="13">
        <v>0</v>
      </c>
      <c r="Z2271" s="13">
        <v>0</v>
      </c>
    </row>
    <row r="2272" spans="1:26" x14ac:dyDescent="0.2">
      <c r="A2272" s="1">
        <v>2270</v>
      </c>
      <c r="B2272" s="2" t="s">
        <v>487</v>
      </c>
      <c r="C2272" s="69" t="str">
        <f>HYPERLINK(AA2 &amp; "/pencil/sn_ee2d65c374a70d2e9568a5aadd53bb7a/rendering/00.obj", "3.9725579834")</f>
        <v>3.9725579834</v>
      </c>
      <c r="D2272" s="74" t="str">
        <f>HYPERLINK(AA2 &amp; "/pencil/sn_ee2d65c374a70d2e9568a5aadd53bb7a/rendering/01.obj", "3.91915008545")</f>
        <v>3.91915008545</v>
      </c>
      <c r="E2272" s="74" t="str">
        <f>HYPERLINK(AA2 &amp; "/pencil/sn_ee2d65c374a70d2e9568a5aadd53bb7a/rendering/02.obj", "3.92221374512")</f>
        <v>3.92221374512</v>
      </c>
      <c r="F2272" s="30" t="str">
        <f>HYPERLINK(AA2 &amp; "/pencil/sn_ee2d65c374a70d2e9568a5aadd53bb7a/rendering/03.obj", "3.83889099121")</f>
        <v>3.83889099121</v>
      </c>
      <c r="G2272" s="46" t="str">
        <f>HYPERLINK(AA2 &amp; "/pencil/sn_ee2d65c374a70d2e9568a5aadd53bb7a/rendering/04.obj", "3.79635375977")</f>
        <v>3.79635375977</v>
      </c>
      <c r="H2272" s="91" t="str">
        <f>HYPERLINK(AA2 &amp; "/pencil/sn_ee2d65c374a70d2e9568a5aadd53bb7a/rendering/05.obj", "3.97065124512")</f>
        <v>3.97065124512</v>
      </c>
      <c r="I2272" s="46" t="str">
        <f>HYPERLINK(AA2 &amp; "/pencil/sn_ee2d65c374a70d2e9568a5aadd53bb7a/rendering/06.obj", "3.79678894043")</f>
        <v>3.79678894043</v>
      </c>
      <c r="J2272" s="13" t="str">
        <f>HYPERLINK(AA2 &amp; "/pencil/sn_ee2d65c374a70d2e9568a5aadd53bb7a/rendering/07.obj", "3.8727331543")</f>
        <v>3.8727331543</v>
      </c>
      <c r="K2272" s="74" t="str">
        <f>HYPERLINK(AA2 &amp; "/pencil/sn_ee2d65c374a70d2e9568a5aadd53bb7a/rendering/08.obj", "3.91782073975")</f>
        <v>3.91782073975</v>
      </c>
      <c r="L2272" s="69" t="str">
        <f>HYPERLINK(AA2 &amp; "/pencil/sn_ee2d65c374a70d2e9568a5aadd53bb7a/rendering/09.obj", "3.74701293945")</f>
        <v>3.74701293945</v>
      </c>
      <c r="M2272" s="25" t="str">
        <f>HYPERLINK(AA2 &amp; "/pencil/sn_ee2d65c374a70d2e9568a5aadd53bb7a/rendering/10.obj", "3.90888244629")</f>
        <v>3.90888244629</v>
      </c>
      <c r="N2272" s="74" t="str">
        <f>HYPERLINK(AA2 &amp; "/pencil/sn_ee2d65c374a70d2e9568a5aadd53bb7a/rendering/11.obj", "3.80503845215")</f>
        <v>3.80503845215</v>
      </c>
      <c r="O2272" s="47" t="str">
        <f>HYPERLINK(AA2 &amp; "/pencil/sn_ee2d65c374a70d2e9568a5aadd53bb7a/rendering/12.obj", "3.83500183105")</f>
        <v>3.83500183105</v>
      </c>
      <c r="P2272" s="48" t="str">
        <f>HYPERLINK(AA2 &amp; "/pencil/sn_ee2d65c374a70d2e9568a5aadd53bb7a/rendering/13.obj", "3.95331329346")</f>
        <v>3.95331329346</v>
      </c>
      <c r="Q2272" s="60" t="str">
        <f>HYPERLINK(AA2 &amp; "/pencil/sn_ee2d65c374a70d2e9568a5aadd53bb7a/rendering/14.obj", "3.6663873291")</f>
        <v>3.6663873291</v>
      </c>
      <c r="R2272" s="25" t="str">
        <f>HYPERLINK(AA2 &amp; "/pencil/sn_ee2d65c374a70d2e9568a5aadd53bb7a/rendering/15.obj", "3.81808929443")</f>
        <v>3.81808929443</v>
      </c>
      <c r="S2272" s="74" t="str">
        <f>HYPERLINK(AA2 &amp; "/pencil/sn_ee2d65c374a70d2e9568a5aadd53bb7a/rendering/16.obj", "3.91184448242")</f>
        <v>3.91184448242</v>
      </c>
      <c r="T2272" s="25" t="str">
        <f>HYPERLINK(AA2 &amp; "/pencil/sn_ee2d65c374a70d2e9568a5aadd53bb7a/rendering/17.obj", "3.91030700684")</f>
        <v>3.91030700684</v>
      </c>
      <c r="U2272" s="47" t="str">
        <f>HYPERLINK(AA2 &amp; "/pencil/sn_ee2d65c374a70d2e9568a5aadd53bb7a/rendering/18.obj", "3.89033721924")</f>
        <v>3.89033721924</v>
      </c>
      <c r="V2272" s="46" t="str">
        <f>HYPERLINK(AA2 &amp; "/pencil/sn_ee2d65c374a70d2e9568a5aadd53bb7a/rendering/19.obj", "3.8007611084")</f>
        <v>3.8007611084</v>
      </c>
      <c r="W2272" s="12" t="s">
        <v>29</v>
      </c>
      <c r="X2272" s="13">
        <v>3.8627068023681632</v>
      </c>
      <c r="Y2272" s="13">
        <v>7.7631314717992547E-2</v>
      </c>
      <c r="Z2272" s="17">
        <v>2.0097646207679561E-2</v>
      </c>
    </row>
    <row r="2273" spans="1:26" x14ac:dyDescent="0.2">
      <c r="A2273" s="1">
        <v>2271</v>
      </c>
      <c r="B2273" s="2" t="s">
        <v>487</v>
      </c>
      <c r="C2273" s="26" t="str">
        <f>HYPERLINK(AA2 &amp; "/pencil/sn_ee2d65c374a70d2e9568a5aadd53bb7a/rendering/00.obj", "1.01111841202")</f>
        <v>1.01111841202</v>
      </c>
      <c r="D2273" s="63" t="str">
        <f>HYPERLINK(AA2 &amp; "/pencil/sn_ee2d65c374a70d2e9568a5aadd53bb7a/rendering/01.obj", "1.06695699692")</f>
        <v>1.06695699692</v>
      </c>
      <c r="E2273" s="30" t="str">
        <f>HYPERLINK(AA2 &amp; "/pencil/sn_ee2d65c374a70d2e9568a5aadd53bb7a/rendering/02.obj", "0.955679655075")</f>
        <v>0.955679655075</v>
      </c>
      <c r="F2273" s="46" t="str">
        <f>HYPERLINK(AA2 &amp; "/pencil/sn_ee2d65c374a70d2e9568a5aadd53bb7a/rendering/03.obj", "0.933050394058")</f>
        <v>0.933050394058</v>
      </c>
      <c r="G2273" s="60" t="str">
        <f>HYPERLINK(AA2 &amp; "/pencil/sn_ee2d65c374a70d2e9568a5aadd53bb7a/rendering/04.obj", "0.902504205704")</f>
        <v>0.902504205704</v>
      </c>
      <c r="H2273" s="6" t="str">
        <f>HYPERLINK(AA2 &amp; "/pencil/sn_ee2d65c374a70d2e9568a5aadd53bb7a/rendering/05.obj", "0.908703625202")</f>
        <v>0.908703625202</v>
      </c>
      <c r="I2273" s="46" t="str">
        <f>HYPERLINK(AA2 &amp; "/pencil/sn_ee2d65c374a70d2e9568a5aadd53bb7a/rendering/06.obj", "0.933681428432")</f>
        <v>0.933681428432</v>
      </c>
      <c r="J2273" s="13" t="str">
        <f>HYPERLINK(AA2 &amp; "/pencil/sn_ee2d65c374a70d2e9568a5aadd53bb7a/rendering/07.obj", "0.94816917181")</f>
        <v>0.94816917181</v>
      </c>
      <c r="K2273" s="69" t="str">
        <f>HYPERLINK(AA2 &amp; "/pencil/sn_ee2d65c374a70d2e9568a5aadd53bb7a/rendering/08.obj", "0.921401917934")</f>
        <v>0.921401917934</v>
      </c>
      <c r="L2273" s="26" t="str">
        <f>HYPERLINK(AA2 &amp; "/pencil/sn_ee2d65c374a70d2e9568a5aadd53bb7a/rendering/09.obj", "0.889271616936")</f>
        <v>0.889271616936</v>
      </c>
      <c r="M2273" s="133" t="str">
        <f>HYPERLINK(AA2 &amp; "/pencil/sn_ee2d65c374a70d2e9568a5aadd53bb7a/rendering/10.obj", "1.04857409")</f>
        <v>1.04857409</v>
      </c>
      <c r="N2273" s="46" t="str">
        <f>HYPERLINK(AA2 &amp; "/pencil/sn_ee2d65c374a70d2e9568a5aadd53bb7a/rendering/11.obj", "0.967480361462")</f>
        <v>0.967480361462</v>
      </c>
      <c r="O2273" s="30" t="str">
        <f>HYPERLINK(AA2 &amp; "/pencil/sn_ee2d65c374a70d2e9568a5aadd53bb7a/rendering/12.obj", "0.955952227116")</f>
        <v>0.955952227116</v>
      </c>
      <c r="P2273" s="27" t="str">
        <f>HYPERLINK(AA2 &amp; "/pencil/sn_ee2d65c374a70d2e9568a5aadd53bb7a/rendering/13.obj", "1.01805603504")</f>
        <v>1.01805603504</v>
      </c>
      <c r="Q2273" s="17" t="str">
        <f>HYPERLINK(AA2 &amp; "/pencil/sn_ee2d65c374a70d2e9568a5aadd53bb7a/rendering/14.obj", "0.932170033455")</f>
        <v>0.932170033455</v>
      </c>
      <c r="R2273" s="73" t="str">
        <f>HYPERLINK(AA2 &amp; "/pencil/sn_ee2d65c374a70d2e9568a5aadd53bb7a/rendering/15.obj", "0.916342020035")</f>
        <v>0.916342020035</v>
      </c>
      <c r="S2273" s="34" t="str">
        <f>HYPERLINK(AA2 &amp; "/pencil/sn_ee2d65c374a70d2e9568a5aadd53bb7a/rendering/16.obj", "0.903727591038")</f>
        <v>0.903727591038</v>
      </c>
      <c r="T2273" s="6" t="str">
        <f>HYPERLINK(AA2 &amp; "/pencil/sn_ee2d65c374a70d2e9568a5aadd53bb7a/rendering/17.obj", "0.993386745453")</f>
        <v>0.993386745453</v>
      </c>
      <c r="U2273" s="23" t="str">
        <f>HYPERLINK(AA2 &amp; "/pencil/sn_ee2d65c374a70d2e9568a5aadd53bb7a/rendering/18.obj", "0.914828360081")</f>
        <v>0.914828360081</v>
      </c>
      <c r="V2273" s="35" t="str">
        <f>HYPERLINK(AA2 &amp; "/pencil/sn_ee2d65c374a70d2e9568a5aadd53bb7a/rendering/19.obj", "0.895627975464")</f>
        <v>0.895627975464</v>
      </c>
      <c r="W2273" s="12" t="s">
        <v>30</v>
      </c>
      <c r="X2273" s="13">
        <v>0.95083414316177373</v>
      </c>
      <c r="Y2273" s="13">
        <v>5.0405281478575557E-2</v>
      </c>
      <c r="Z2273" s="60">
        <v>5.3011644397796577E-2</v>
      </c>
    </row>
    <row r="2274" spans="1:26" x14ac:dyDescent="0.2">
      <c r="A2274" s="1">
        <v>2272</v>
      </c>
      <c r="B2274" s="2" t="s">
        <v>487</v>
      </c>
      <c r="C2274" s="72" t="str">
        <f>HYPERLINK(AB2 &amp; "/pencil/sn_ee2d65c374a70d2e9568a5aadd53bb7a/rendering/00.obj", "5.52703735352")</f>
        <v>5.52703735352</v>
      </c>
      <c r="D2274" s="74" t="str">
        <f>HYPERLINK(AB2 &amp; "/pencil/sn_ee2d65c374a70d2e9568a5aadd53bb7a/rendering/01.obj", "5.63524658203")</f>
        <v>5.63524658203</v>
      </c>
      <c r="E2274" s="25" t="str">
        <f>HYPERLINK(AB2 &amp; "/pencil/sn_ee2d65c374a70d2e9568a5aadd53bb7a/rendering/02.obj", "5.77705444336")</f>
        <v>5.77705444336</v>
      </c>
      <c r="F2274" s="69" t="str">
        <f>HYPERLINK(AB2 &amp; "/pencil/sn_ee2d65c374a70d2e9568a5aadd53bb7a/rendering/03.obj", "5.88787780762")</f>
        <v>5.88787780762</v>
      </c>
      <c r="G2274" s="46" t="str">
        <f>HYPERLINK(AB2 &amp; "/pencil/sn_ee2d65c374a70d2e9568a5aadd53bb7a/rendering/04.obj", "5.61380432129")</f>
        <v>5.61380432129</v>
      </c>
      <c r="H2274" s="74" t="str">
        <f>HYPERLINK(AB2 &amp; "/pencil/sn_ee2d65c374a70d2e9568a5aadd53bb7a/rendering/05.obj", "5.80100280762")</f>
        <v>5.80100280762</v>
      </c>
      <c r="I2274" s="25" t="str">
        <f>HYPERLINK(AB2 &amp; "/pencil/sn_ee2d65c374a70d2e9568a5aadd53bb7a/rendering/06.obj", "5.76947265625")</f>
        <v>5.76947265625</v>
      </c>
      <c r="J2274" s="69" t="str">
        <f>HYPERLINK(AB2 &amp; "/pencil/sn_ee2d65c374a70d2e9568a5aadd53bb7a/rendering/07.obj", "5.54620727539")</f>
        <v>5.54620727539</v>
      </c>
      <c r="K2274" s="25" t="str">
        <f>HYPERLINK(AB2 &amp; "/pencil/sn_ee2d65c374a70d2e9568a5aadd53bb7a/rendering/08.obj", "5.77243408203")</f>
        <v>5.77243408203</v>
      </c>
      <c r="L2274" s="30" t="str">
        <f>HYPERLINK(AB2 &amp; "/pencil/sn_ee2d65c374a70d2e9568a5aadd53bb7a/rendering/09.obj", "5.69129394531")</f>
        <v>5.69129394531</v>
      </c>
      <c r="M2274" s="47" t="str">
        <f>HYPERLINK(AB2 &amp; "/pencil/sn_ee2d65c374a70d2e9568a5aadd53bb7a/rendering/10.obj", "5.75048034668")</f>
        <v>5.75048034668</v>
      </c>
      <c r="N2274" s="72" t="str">
        <f>HYPERLINK(AB2 &amp; "/pencil/sn_ee2d65c374a70d2e9568a5aadd53bb7a/rendering/11.obj", "5.52253051758")</f>
        <v>5.52253051758</v>
      </c>
      <c r="O2274" s="13" t="str">
        <f>HYPERLINK(AB2 &amp; "/pencil/sn_ee2d65c374a70d2e9568a5aadd53bb7a/rendering/12.obj", "5.70551025391")</f>
        <v>5.70551025391</v>
      </c>
      <c r="P2274" s="74" t="str">
        <f>HYPERLINK(AB2 &amp; "/pencil/sn_ee2d65c374a70d2e9568a5aadd53bb7a/rendering/13.obj", "5.78977966309")</f>
        <v>5.78977966309</v>
      </c>
      <c r="Q2274" s="69" t="str">
        <f>HYPERLINK(AB2 &amp; "/pencil/sn_ee2d65c374a70d2e9568a5aadd53bb7a/rendering/14.obj", "5.54583129883")</f>
        <v>5.54583129883</v>
      </c>
      <c r="R2274" s="74" t="str">
        <f>HYPERLINK(AB2 &amp; "/pencil/sn_ee2d65c374a70d2e9568a5aadd53bb7a/rendering/15.obj", "5.79454589844")</f>
        <v>5.79454589844</v>
      </c>
      <c r="S2274" s="13" t="str">
        <f>HYPERLINK(AB2 &amp; "/pencil/sn_ee2d65c374a70d2e9568a5aadd53bb7a/rendering/16.obj", "5.71921630859")</f>
        <v>5.71921630859</v>
      </c>
      <c r="T2274" s="74" t="str">
        <f>HYPERLINK(AB2 &amp; "/pencil/sn_ee2d65c374a70d2e9568a5aadd53bb7a/rendering/17.obj", "5.79938110352")</f>
        <v>5.79938110352</v>
      </c>
      <c r="U2274" s="74" t="str">
        <f>HYPERLINK(AB2 &amp; "/pencil/sn_ee2d65c374a70d2e9568a5aadd53bb7a/rendering/18.obj", "5.78587158203")</f>
        <v>5.78587158203</v>
      </c>
      <c r="V2274" s="46" t="str">
        <f>HYPERLINK(AB2 &amp; "/pencil/sn_ee2d65c374a70d2e9568a5aadd53bb7a/rendering/19.obj", "5.80734619141")</f>
        <v>5.80734619141</v>
      </c>
      <c r="W2274" s="12" t="s">
        <v>31</v>
      </c>
      <c r="X2274" s="13">
        <v>5.7120962219238276</v>
      </c>
      <c r="Y2274" s="13">
        <v>0.1067321241842709</v>
      </c>
      <c r="Z2274" s="46">
        <v>1.8685281206331571E-2</v>
      </c>
    </row>
    <row r="2275" spans="1:26" x14ac:dyDescent="0.2">
      <c r="A2275" s="1">
        <v>2273</v>
      </c>
      <c r="B2275" s="2" t="s">
        <v>487</v>
      </c>
      <c r="C2275" s="46" t="str">
        <f>HYPERLINK(AB2 &amp; "/pencil/sn_ee2d65c374a70d2e9568a5aadd53bb7a/rendering/00.obj", "1.24703645706")</f>
        <v>1.24703645706</v>
      </c>
      <c r="D2275" s="51" t="str">
        <f>HYPERLINK(AB2 &amp; "/pencil/sn_ee2d65c374a70d2e9568a5aadd53bb7a/rendering/01.obj", "1.12769496441")</f>
        <v>1.12769496441</v>
      </c>
      <c r="E2275" s="78" t="str">
        <f>HYPERLINK(AB2 &amp; "/pencil/sn_ee2d65c374a70d2e9568a5aadd53bb7a/rendering/02.obj", "1.30030882359")</f>
        <v>1.30030882359</v>
      </c>
      <c r="F2275" s="66" t="str">
        <f>HYPERLINK(AB2 &amp; "/pencil/sn_ee2d65c374a70d2e9568a5aadd53bb7a/rendering/03.obj", "1.42567563057")</f>
        <v>1.42567563057</v>
      </c>
      <c r="G2275" s="26" t="str">
        <f>HYPERLINK(AB2 &amp; "/pencil/sn_ee2d65c374a70d2e9568a5aadd53bb7a/rendering/04.obj", "1.1462829113")</f>
        <v>1.1462829113</v>
      </c>
      <c r="H2275" s="106" t="str">
        <f>HYPERLINK(AB2 &amp; "/pencil/sn_ee2d65c374a70d2e9568a5aadd53bb7a/rendering/05.obj", "1.3661557436")</f>
        <v>1.3661557436</v>
      </c>
      <c r="I2275" s="73" t="str">
        <f>HYPERLINK(AB2 &amp; "/pencil/sn_ee2d65c374a70d2e9568a5aadd53bb7a/rendering/06.obj", "1.18403160572")</f>
        <v>1.18403160572</v>
      </c>
      <c r="J2275" s="63" t="str">
        <f>HYPERLINK(AB2 &amp; "/pencil/sn_ee2d65c374a70d2e9568a5aadd53bb7a/rendering/07.obj", "1.07720398903")</f>
        <v>1.07720398903</v>
      </c>
      <c r="K2275" s="35" t="str">
        <f>HYPERLINK(AB2 &amp; "/pencil/sn_ee2d65c374a70d2e9568a5aadd53bb7a/rendering/08.obj", "1.15375638008")</f>
        <v>1.15375638008</v>
      </c>
      <c r="L2275" s="60" t="str">
        <f>HYPERLINK(AB2 &amp; "/pencil/sn_ee2d65c374a70d2e9568a5aadd53bb7a/rendering/09.obj", "1.16386580467")</f>
        <v>1.16386580467</v>
      </c>
      <c r="M2275" s="24" t="str">
        <f>HYPERLINK(AB2 &amp; "/pencil/sn_ee2d65c374a70d2e9568a5aadd53bb7a/rendering/10.obj", "1.4315237999")</f>
        <v>1.4315237999</v>
      </c>
      <c r="N2275" s="39" t="str">
        <f>HYPERLINK(AB2 &amp; "/pencil/sn_ee2d65c374a70d2e9568a5aadd53bb7a/rendering/11.obj", "1.12257313728")</f>
        <v>1.12257313728</v>
      </c>
      <c r="O2275" s="91" t="str">
        <f>HYPERLINK(AB2 &amp; "/pencil/sn_ee2d65c374a70d2e9568a5aadd53bb7a/rendering/12.obj", "1.19269990921")</f>
        <v>1.19269990921</v>
      </c>
      <c r="P2275" s="73" t="str">
        <f>HYPERLINK(AB2 &amp; "/pencil/sn_ee2d65c374a70d2e9568a5aadd53bb7a/rendering/13.obj", "1.27229118347")</f>
        <v>1.27229118347</v>
      </c>
      <c r="Q2275" s="83" t="str">
        <f>HYPERLINK(AB2 &amp; "/pencil/sn_ee2d65c374a70d2e9568a5aadd53bb7a/rendering/14.obj", "1.04138469696")</f>
        <v>1.04138469696</v>
      </c>
      <c r="R2275" s="32" t="str">
        <f>HYPERLINK(AB2 &amp; "/pencil/sn_ee2d65c374a70d2e9568a5aadd53bb7a/rendering/15.obj", "1.35437059402")</f>
        <v>1.35437059402</v>
      </c>
      <c r="S2275" s="34" t="str">
        <f>HYPERLINK(AB2 &amp; "/pencil/sn_ee2d65c374a70d2e9568a5aadd53bb7a/rendering/16.obj", "1.28489458561")</f>
        <v>1.28489458561</v>
      </c>
      <c r="T2275" s="78" t="str">
        <f>HYPERLINK(AB2 &amp; "/pencil/sn_ee2d65c374a70d2e9568a5aadd53bb7a/rendering/17.obj", "1.1533472538")</f>
        <v>1.1533472538</v>
      </c>
      <c r="U2275" s="72" t="str">
        <f>HYPERLINK(AB2 &amp; "/pencil/sn_ee2d65c374a70d2e9568a5aadd53bb7a/rendering/18.obj", "1.18576097488")</f>
        <v>1.18576097488</v>
      </c>
      <c r="V2275" s="78" t="str">
        <f>HYPERLINK(AB2 &amp; "/pencil/sn_ee2d65c374a70d2e9568a5aadd53bb7a/rendering/19.obj", "1.30365538597")</f>
        <v>1.30365538597</v>
      </c>
      <c r="W2275" s="12" t="s">
        <v>32</v>
      </c>
      <c r="X2275" s="13">
        <v>1.22672569155693</v>
      </c>
      <c r="Y2275" s="13">
        <v>0.1089988882017047</v>
      </c>
      <c r="Z2275" s="38">
        <v>8.8853513831087971E-2</v>
      </c>
    </row>
    <row r="2276" spans="1:26" x14ac:dyDescent="0.2">
      <c r="A2276" s="1">
        <v>2274</v>
      </c>
      <c r="B2276" s="2" t="s">
        <v>487</v>
      </c>
      <c r="C2276" s="13" t="str">
        <f>HYPERLINK(AC2 &amp; "/pencil/sn_ee2d65c374a70d2e9568a5aadd53bb7a/rendering/00.xyz", "0.0")</f>
        <v>0.0</v>
      </c>
      <c r="D2276" s="13" t="str">
        <f>HYPERLINK(AC2 &amp; "/pencil/sn_ee2d65c374a70d2e9568a5aadd53bb7a/rendering/01.xyz", "0.0")</f>
        <v>0.0</v>
      </c>
      <c r="E2276" s="13" t="str">
        <f>HYPERLINK(AC2 &amp; "/pencil/sn_ee2d65c374a70d2e9568a5aadd53bb7a/rendering/02.xyz", "0.0")</f>
        <v>0.0</v>
      </c>
      <c r="F2276" s="13" t="str">
        <f>HYPERLINK(AC2 &amp; "/pencil/sn_ee2d65c374a70d2e9568a5aadd53bb7a/rendering/03.xyz", "0.0")</f>
        <v>0.0</v>
      </c>
      <c r="G2276" s="13" t="str">
        <f>HYPERLINK(AC2 &amp; "/pencil/sn_ee2d65c374a70d2e9568a5aadd53bb7a/rendering/04.xyz", "0.0")</f>
        <v>0.0</v>
      </c>
      <c r="H2276" s="13" t="str">
        <f>HYPERLINK(AC2 &amp; "/pencil/sn_ee2d65c374a70d2e9568a5aadd53bb7a/rendering/05.xyz", "0.0")</f>
        <v>0.0</v>
      </c>
      <c r="I2276" s="13" t="str">
        <f>HYPERLINK(AC2 &amp; "/pencil/sn_ee2d65c374a70d2e9568a5aadd53bb7a/rendering/06.xyz", "0.0")</f>
        <v>0.0</v>
      </c>
      <c r="J2276" s="13" t="str">
        <f>HYPERLINK(AC2 &amp; "/pencil/sn_ee2d65c374a70d2e9568a5aadd53bb7a/rendering/07.xyz", "0.0")</f>
        <v>0.0</v>
      </c>
      <c r="K2276" s="13" t="str">
        <f>HYPERLINK(AC2 &amp; "/pencil/sn_ee2d65c374a70d2e9568a5aadd53bb7a/rendering/08.xyz", "0.0")</f>
        <v>0.0</v>
      </c>
      <c r="L2276" s="13" t="str">
        <f>HYPERLINK(AC2 &amp; "/pencil/sn_ee2d65c374a70d2e9568a5aadd53bb7a/rendering/09.xyz", "0.0")</f>
        <v>0.0</v>
      </c>
      <c r="M2276" s="13" t="str">
        <f>HYPERLINK(AC2 &amp; "/pencil/sn_ee2d65c374a70d2e9568a5aadd53bb7a/rendering/10.xyz", "0.0")</f>
        <v>0.0</v>
      </c>
      <c r="N2276" s="13" t="str">
        <f>HYPERLINK(AC2 &amp; "/pencil/sn_ee2d65c374a70d2e9568a5aadd53bb7a/rendering/11.xyz", "0.0")</f>
        <v>0.0</v>
      </c>
      <c r="O2276" s="13" t="str">
        <f>HYPERLINK(AC2 &amp; "/pencil/sn_ee2d65c374a70d2e9568a5aadd53bb7a/rendering/12.xyz", "0.0")</f>
        <v>0.0</v>
      </c>
      <c r="P2276" s="13" t="str">
        <f>HYPERLINK(AC2 &amp; "/pencil/sn_ee2d65c374a70d2e9568a5aadd53bb7a/rendering/13.xyz", "0.0")</f>
        <v>0.0</v>
      </c>
      <c r="Q2276" s="13" t="str">
        <f>HYPERLINK(AC2 &amp; "/pencil/sn_ee2d65c374a70d2e9568a5aadd53bb7a/rendering/14.xyz", "0.0")</f>
        <v>0.0</v>
      </c>
      <c r="R2276" s="13" t="str">
        <f>HYPERLINK(AC2 &amp; "/pencil/sn_ee2d65c374a70d2e9568a5aadd53bb7a/rendering/15.xyz", "0.0")</f>
        <v>0.0</v>
      </c>
      <c r="S2276" s="13" t="str">
        <f>HYPERLINK(AC2 &amp; "/pencil/sn_ee2d65c374a70d2e9568a5aadd53bb7a/rendering/16.xyz", "0.0")</f>
        <v>0.0</v>
      </c>
      <c r="T2276" s="13" t="str">
        <f>HYPERLINK(AC2 &amp; "/pencil/sn_ee2d65c374a70d2e9568a5aadd53bb7a/rendering/17.xyz", "0.0")</f>
        <v>0.0</v>
      </c>
      <c r="U2276" s="13" t="str">
        <f>HYPERLINK(AC2 &amp; "/pencil/sn_ee2d65c374a70d2e9568a5aadd53bb7a/rendering/18.xyz", "0.0")</f>
        <v>0.0</v>
      </c>
      <c r="V2276" s="13" t="str">
        <f>HYPERLINK(AC2 &amp; "/pencil/sn_ee2d65c374a70d2e9568a5aadd53bb7a/rendering/19.xyz", "0.0")</f>
        <v>0.0</v>
      </c>
      <c r="W2276" s="12" t="s">
        <v>33</v>
      </c>
      <c r="X2276" s="13">
        <v>0</v>
      </c>
      <c r="Y2276" s="13">
        <v>0</v>
      </c>
      <c r="Z2276" s="13">
        <v>0</v>
      </c>
    </row>
    <row r="2277" spans="1:26" x14ac:dyDescent="0.2">
      <c r="A2277" s="1">
        <v>2275</v>
      </c>
      <c r="B2277" s="2" t="s">
        <v>488</v>
      </c>
      <c r="C2277" s="23" t="str">
        <f>HYPERLINK(AA2 &amp; "/pencil/sn_ee4174ac91cc8b90a75110d33156fc49/rendering/00.obj", "3.78876281738")</f>
        <v>3.78876281738</v>
      </c>
      <c r="D2277" s="35" t="str">
        <f>HYPERLINK(AA2 &amp; "/pencil/sn_ee4174ac91cc8b90a75110d33156fc49/rendering/01.obj", "3.43123504639")</f>
        <v>3.43123504639</v>
      </c>
      <c r="E2277" s="91" t="str">
        <f>HYPERLINK(AA2 &amp; "/pencil/sn_ee4174ac91cc8b90a75110d33156fc49/rendering/02.obj", "3.53998565674")</f>
        <v>3.53998565674</v>
      </c>
      <c r="F2277" s="48" t="str">
        <f>HYPERLINK(AA2 &amp; "/pencil/sn_ee4174ac91cc8b90a75110d33156fc49/rendering/03.obj", "3.5585559082")</f>
        <v>3.5585559082</v>
      </c>
      <c r="G2277" s="23" t="str">
        <f>HYPERLINK(AA2 &amp; "/pencil/sn_ee4174ac91cc8b90a75110d33156fc49/rendering/04.obj", "3.50108642578")</f>
        <v>3.50108642578</v>
      </c>
      <c r="H2277" s="51" t="str">
        <f>HYPERLINK(AA2 &amp; "/pencil/sn_ee4174ac91cc8b90a75110d33156fc49/rendering/05.obj", "3.9375994873")</f>
        <v>3.9375994873</v>
      </c>
      <c r="I2277" s="35" t="str">
        <f>HYPERLINK(AA2 &amp; "/pencil/sn_ee4174ac91cc8b90a75110d33156fc49/rendering/06.obj", "3.42912475586")</f>
        <v>3.42912475586</v>
      </c>
      <c r="J2277" s="10" t="str">
        <f>HYPERLINK(AA2 &amp; "/pencil/sn_ee4174ac91cc8b90a75110d33156fc49/rendering/07.obj", "3.8405758667")</f>
        <v>3.8405758667</v>
      </c>
      <c r="K2277" s="69" t="str">
        <f>HYPERLINK(AA2 &amp; "/pencil/sn_ee4174ac91cc8b90a75110d33156fc49/rendering/08.obj", "3.53845458984")</f>
        <v>3.53845458984</v>
      </c>
      <c r="L2277" s="38" t="str">
        <f>HYPERLINK(AA2 &amp; "/pencil/sn_ee4174ac91cc8b90a75110d33156fc49/rendering/09.obj", "3.97182983398")</f>
        <v>3.97182983398</v>
      </c>
      <c r="M2277" s="74" t="str">
        <f>HYPERLINK(AA2 &amp; "/pencil/sn_ee4174ac91cc8b90a75110d33156fc49/rendering/10.obj", "3.6935357666")</f>
        <v>3.6935357666</v>
      </c>
      <c r="N2277" s="91" t="str">
        <f>HYPERLINK(AA2 &amp; "/pencil/sn_ee4174ac91cc8b90a75110d33156fc49/rendering/11.obj", "3.54162353516")</f>
        <v>3.54162353516</v>
      </c>
      <c r="O2277" s="27" t="str">
        <f>HYPERLINK(AA2 &amp; "/pencil/sn_ee4174ac91cc8b90a75110d33156fc49/rendering/12.obj", "3.3830480957")</f>
        <v>3.3830480957</v>
      </c>
      <c r="P2277" s="94" t="str">
        <f>HYPERLINK(AA2 &amp; "/pencil/sn_ee4174ac91cc8b90a75110d33156fc49/rendering/13.obj", "3.36864624023")</f>
        <v>3.36864624023</v>
      </c>
      <c r="Q2277" s="78" t="str">
        <f>HYPERLINK(AA2 &amp; "/pencil/sn_ee4174ac91cc8b90a75110d33156fc49/rendering/14.obj", "3.86000213623")</f>
        <v>3.86000213623</v>
      </c>
      <c r="R2277" s="23" t="str">
        <f>HYPERLINK(AA2 &amp; "/pencil/sn_ee4174ac91cc8b90a75110d33156fc49/rendering/15.obj", "3.49867431641")</f>
        <v>3.49867431641</v>
      </c>
      <c r="S2277" s="94" t="str">
        <f>HYPERLINK(AA2 &amp; "/pencil/sn_ee4174ac91cc8b90a75110d33156fc49/rendering/16.obj", "3.91101715088")</f>
        <v>3.91101715088</v>
      </c>
      <c r="T2277" s="60" t="str">
        <f>HYPERLINK(AA2 &amp; "/pencil/sn_ee4174ac91cc8b90a75110d33156fc49/rendering/17.obj", "3.45342010498")</f>
        <v>3.45342010498</v>
      </c>
      <c r="U2277" s="10" t="str">
        <f>HYPERLINK(AA2 &amp; "/pencil/sn_ee4174ac91cc8b90a75110d33156fc49/rendering/18.obj", "3.44085113525")</f>
        <v>3.44085113525</v>
      </c>
      <c r="V2277" s="42" t="str">
        <f>HYPERLINK(AA2 &amp; "/pencil/sn_ee4174ac91cc8b90a75110d33156fc49/rendering/19.obj", "4.14154724121")</f>
        <v>4.14154724121</v>
      </c>
      <c r="W2277" s="12" t="s">
        <v>29</v>
      </c>
      <c r="X2277" s="13">
        <v>3.641478805541992</v>
      </c>
      <c r="Y2277" s="13">
        <v>0.22531497331416309</v>
      </c>
      <c r="Z2277" s="78">
        <v>6.187458045101199E-2</v>
      </c>
    </row>
    <row r="2278" spans="1:26" x14ac:dyDescent="0.2">
      <c r="A2278" s="1">
        <v>2276</v>
      </c>
      <c r="B2278" s="2" t="s">
        <v>488</v>
      </c>
      <c r="C2278" s="50" t="str">
        <f>HYPERLINK(AA2 &amp; "/pencil/sn_ee4174ac91cc8b90a75110d33156fc49/rendering/00.obj", "1.23176836967")</f>
        <v>1.23176836967</v>
      </c>
      <c r="D2278" s="51" t="str">
        <f>HYPERLINK(AA2 &amp; "/pencil/sn_ee4174ac91cc8b90a75110d33156fc49/rendering/01.obj", "0.946357250214")</f>
        <v>0.946357250214</v>
      </c>
      <c r="E2278" s="40" t="str">
        <f>HYPERLINK(AA2 &amp; "/pencil/sn_ee4174ac91cc8b90a75110d33156fc49/rendering/02.obj", "0.853291094303")</f>
        <v>0.853291094303</v>
      </c>
      <c r="F2278" s="60" t="str">
        <f>HYPERLINK(AA2 &amp; "/pencil/sn_ee4174ac91cc8b90a75110d33156fc49/rendering/03.obj", "1.0817759037")</f>
        <v>1.0817759037</v>
      </c>
      <c r="G2278" s="74" t="str">
        <f>HYPERLINK(AA2 &amp; "/pencil/sn_ee4174ac91cc8b90a75110d33156fc49/rendering/04.obj", "1.01152932644")</f>
        <v>1.01152932644</v>
      </c>
      <c r="H2278" s="192" t="str">
        <f>HYPERLINK(AA2 &amp; "/pencil/sn_ee4174ac91cc8b90a75110d33156fc49/rendering/05.obj", "1.40870451927")</f>
        <v>1.40870451927</v>
      </c>
      <c r="I2278" s="117" t="str">
        <f>HYPERLINK(AA2 &amp; "/pencil/sn_ee4174ac91cc8b90a75110d33156fc49/rendering/06.obj", "0.843919098377")</f>
        <v>0.843919098377</v>
      </c>
      <c r="J2278" s="91" t="str">
        <f>HYPERLINK(AA2 &amp; "/pencil/sn_ee4174ac91cc8b90a75110d33156fc49/rendering/07.obj", "1.05382978916")</f>
        <v>1.05382978916</v>
      </c>
      <c r="K2278" s="73" t="str">
        <f>HYPERLINK(AA2 &amp; "/pencil/sn_ee4174ac91cc8b90a75110d33156fc49/rendering/08.obj", "1.06385469437")</f>
        <v>1.06385469437</v>
      </c>
      <c r="L2278" s="174" t="str">
        <f>HYPERLINK(AA2 &amp; "/pencil/sn_ee4174ac91cc8b90a75110d33156fc49/rendering/09.obj", "1.56618964672")</f>
        <v>1.56618964672</v>
      </c>
      <c r="M2278" s="92" t="str">
        <f>HYPERLINK(AA2 &amp; "/pencil/sn_ee4174ac91cc8b90a75110d33156fc49/rendering/10.obj", "0.900729775429")</f>
        <v>0.900729775429</v>
      </c>
      <c r="N2278" s="84" t="str">
        <f>HYPERLINK(AA2 &amp; "/pencil/sn_ee4174ac91cc8b90a75110d33156fc49/rendering/11.obj", "0.876688420773")</f>
        <v>0.876688420773</v>
      </c>
      <c r="O2278" s="50" t="str">
        <f>HYPERLINK(AA2 &amp; "/pencil/sn_ee4174ac91cc8b90a75110d33156fc49/rendering/12.obj", "0.821600079536")</f>
        <v>0.821600079536</v>
      </c>
      <c r="P2278" s="170" t="str">
        <f>HYPERLINK(AA2 &amp; "/pencil/sn_ee4174ac91cc8b90a75110d33156fc49/rendering/13.obj", "0.768770754337")</f>
        <v>0.768770754337</v>
      </c>
      <c r="Q2278" s="69" t="str">
        <f>HYPERLINK(AA2 &amp; "/pencil/sn_ee4174ac91cc8b90a75110d33156fc49/rendering/14.obj", "1.05822205544")</f>
        <v>1.05822205544</v>
      </c>
      <c r="R2278" s="55" t="str">
        <f>HYPERLINK(AA2 &amp; "/pencil/sn_ee4174ac91cc8b90a75110d33156fc49/rendering/15.obj", "0.829142212868")</f>
        <v>0.829142212868</v>
      </c>
      <c r="S2278" s="44" t="str">
        <f>HYPERLINK(AA2 &amp; "/pencil/sn_ee4174ac91cc8b90a75110d33156fc49/rendering/16.obj", "1.22746992111")</f>
        <v>1.22746992111</v>
      </c>
      <c r="T2278" s="108" t="str">
        <f>HYPERLINK(AA2 &amp; "/pencil/sn_ee4174ac91cc8b90a75110d33156fc49/rendering/17.obj", "0.775629043579")</f>
        <v>0.775629043579</v>
      </c>
      <c r="U2278" s="98" t="str">
        <f>HYPERLINK(AA2 &amp; "/pencil/sn_ee4174ac91cc8b90a75110d33156fc49/rendering/18.obj", "0.790287196636")</f>
        <v>0.790287196636</v>
      </c>
      <c r="V2278" s="122" t="str">
        <f>HYPERLINK(AA2 &amp; "/pencil/sn_ee4174ac91cc8b90a75110d33156fc49/rendering/19.obj", "1.4420375824")</f>
        <v>1.4420375824</v>
      </c>
      <c r="W2278" s="12" t="s">
        <v>30</v>
      </c>
      <c r="X2278" s="13">
        <v>1.027589836716652</v>
      </c>
      <c r="Y2278" s="13">
        <v>0.23163094224403569</v>
      </c>
      <c r="Z2278" s="11">
        <v>0.22541186567603799</v>
      </c>
    </row>
    <row r="2279" spans="1:26" x14ac:dyDescent="0.2">
      <c r="A2279" s="1">
        <v>2277</v>
      </c>
      <c r="B2279" s="2" t="s">
        <v>488</v>
      </c>
      <c r="C2279" s="13" t="str">
        <f>HYPERLINK(AB2 &amp; "/pencil/sn_ee4174ac91cc8b90a75110d33156fc49/rendering/00.obj", "5.36337524414")</f>
        <v>5.36337524414</v>
      </c>
      <c r="D2279" s="17" t="str">
        <f>HYPERLINK(AB2 &amp; "/pencil/sn_ee4174ac91cc8b90a75110d33156fc49/rendering/01.obj", "5.25748596191")</f>
        <v>5.25748596191</v>
      </c>
      <c r="E2279" s="25" t="str">
        <f>HYPERLINK(AB2 &amp; "/pencil/sn_ee4174ac91cc8b90a75110d33156fc49/rendering/02.obj", "5.31365112305")</f>
        <v>5.31365112305</v>
      </c>
      <c r="F2279" s="46" t="str">
        <f>HYPERLINK(AB2 &amp; "/pencil/sn_ee4174ac91cc8b90a75110d33156fc49/rendering/03.obj", "5.45827941895")</f>
        <v>5.45827941895</v>
      </c>
      <c r="G2279" s="91" t="str">
        <f>HYPERLINK(AB2 &amp; "/pencil/sn_ee4174ac91cc8b90a75110d33156fc49/rendering/04.obj", "5.23191345215")</f>
        <v>5.23191345215</v>
      </c>
      <c r="H2279" s="46" t="str">
        <f>HYPERLINK(AB2 &amp; "/pencil/sn_ee4174ac91cc8b90a75110d33156fc49/rendering/05.obj", "5.46504272461")</f>
        <v>5.46504272461</v>
      </c>
      <c r="I2279" s="17" t="str">
        <f>HYPERLINK(AB2 &amp; "/pencil/sn_ee4174ac91cc8b90a75110d33156fc49/rendering/06.obj", "5.47530883789")</f>
        <v>5.47530883789</v>
      </c>
      <c r="J2279" s="69" t="str">
        <f>HYPERLINK(AB2 &amp; "/pencil/sn_ee4174ac91cc8b90a75110d33156fc49/rendering/07.obj", "5.53317260742")</f>
        <v>5.53317260742</v>
      </c>
      <c r="K2279" s="47" t="str">
        <f>HYPERLINK(AB2 &amp; "/pencil/sn_ee4174ac91cc8b90a75110d33156fc49/rendering/08.obj", "5.41860473633")</f>
        <v>5.41860473633</v>
      </c>
      <c r="L2279" s="23" t="str">
        <f>HYPERLINK(AB2 &amp; "/pencil/sn_ee4174ac91cc8b90a75110d33156fc49/rendering/09.obj", "5.58338317871")</f>
        <v>5.58338317871</v>
      </c>
      <c r="M2279" s="6" t="str">
        <f>HYPERLINK(AB2 &amp; "/pencil/sn_ee4174ac91cc8b90a75110d33156fc49/rendering/10.obj", "5.6206652832")</f>
        <v>5.6206652832</v>
      </c>
      <c r="N2279" s="26" t="str">
        <f>HYPERLINK(AB2 &amp; "/pencil/sn_ee4174ac91cc8b90a75110d33156fc49/rendering/11.obj", "5.0308190918")</f>
        <v>5.0308190918</v>
      </c>
      <c r="O2279" s="25" t="str">
        <f>HYPERLINK(AB2 &amp; "/pencil/sn_ee4174ac91cc8b90a75110d33156fc49/rendering/12.obj", "5.426328125")</f>
        <v>5.426328125</v>
      </c>
      <c r="P2279" s="46" t="str">
        <f>HYPERLINK(AB2 &amp; "/pencil/sn_ee4174ac91cc8b90a75110d33156fc49/rendering/13.obj", "5.46673950195")</f>
        <v>5.46673950195</v>
      </c>
      <c r="Q2279" s="25" t="str">
        <f>HYPERLINK(AB2 &amp; "/pencil/sn_ee4174ac91cc8b90a75110d33156fc49/rendering/14.obj", "5.43246704102")</f>
        <v>5.43246704102</v>
      </c>
      <c r="R2279" s="26" t="str">
        <f>HYPERLINK(AB2 &amp; "/pencil/sn_ee4174ac91cc8b90a75110d33156fc49/rendering/15.obj", "5.02248474121")</f>
        <v>5.02248474121</v>
      </c>
      <c r="S2279" s="46" t="str">
        <f>HYPERLINK(AB2 &amp; "/pencil/sn_ee4174ac91cc8b90a75110d33156fc49/rendering/16.obj", "5.46223815918")</f>
        <v>5.46223815918</v>
      </c>
      <c r="T2279" s="17" t="str">
        <f>HYPERLINK(AB2 &amp; "/pencil/sn_ee4174ac91cc8b90a75110d33156fc49/rendering/17.obj", "5.25540649414")</f>
        <v>5.25540649414</v>
      </c>
      <c r="U2279" s="34" t="str">
        <f>HYPERLINK(AB2 &amp; "/pencil/sn_ee4174ac91cc8b90a75110d33156fc49/rendering/18.obj", "5.11805236816")</f>
        <v>5.11805236816</v>
      </c>
      <c r="V2279" s="48" t="str">
        <f>HYPERLINK(AB2 &amp; "/pencil/sn_ee4174ac91cc8b90a75110d33156fc49/rendering/19.obj", "5.50566894531")</f>
        <v>5.50566894531</v>
      </c>
      <c r="W2279" s="12" t="s">
        <v>31</v>
      </c>
      <c r="X2279" s="13">
        <v>5.372054351806641</v>
      </c>
      <c r="Y2279" s="13">
        <v>0.16671814190093989</v>
      </c>
      <c r="Z2279" s="69">
        <v>3.1034336397745488E-2</v>
      </c>
    </row>
    <row r="2280" spans="1:26" x14ac:dyDescent="0.2">
      <c r="A2280" s="1">
        <v>2278</v>
      </c>
      <c r="B2280" s="2" t="s">
        <v>488</v>
      </c>
      <c r="C2280" s="8" t="str">
        <f>HYPERLINK(AB2 &amp; "/pencil/sn_ee4174ac91cc8b90a75110d33156fc49/rendering/00.obj", "0.904628038406")</f>
        <v>0.904628038406</v>
      </c>
      <c r="D2280" s="5" t="str">
        <f>HYPERLINK(AB2 &amp; "/pencil/sn_ee4174ac91cc8b90a75110d33156fc49/rendering/01.obj", "0.974716067314")</f>
        <v>0.974716067314</v>
      </c>
      <c r="E2280" s="24" t="str">
        <f>HYPERLINK(AB2 &amp; "/pencil/sn_ee4174ac91cc8b90a75110d33156fc49/rendering/02.obj", "0.879044473171")</f>
        <v>0.879044473171</v>
      </c>
      <c r="F2280" s="47" t="str">
        <f>HYPERLINK(AB2 &amp; "/pencil/sn_ee4174ac91cc8b90a75110d33156fc49/rendering/03.obj", "1.06520438194")</f>
        <v>1.06520438194</v>
      </c>
      <c r="G2280" s="38" t="str">
        <f>HYPERLINK(AB2 &amp; "/pencil/sn_ee4174ac91cc8b90a75110d33156fc49/rendering/04.obj", "0.962023794651")</f>
        <v>0.962023794651</v>
      </c>
      <c r="H2280" s="77" t="str">
        <f>HYPERLINK(AB2 &amp; "/pencil/sn_ee4174ac91cc8b90a75110d33156fc49/rendering/05.obj", "1.25429773331")</f>
        <v>1.25429773331</v>
      </c>
      <c r="I2280" s="171" t="str">
        <f>HYPERLINK(AB2 &amp; "/pencil/sn_ee4174ac91cc8b90a75110d33156fc49/rendering/06.obj", "1.38045251369")</f>
        <v>1.38045251369</v>
      </c>
      <c r="J2280" s="32" t="str">
        <f>HYPERLINK(AB2 &amp; "/pencil/sn_ee4174ac91cc8b90a75110d33156fc49/rendering/07.obj", "1.16604375839")</f>
        <v>1.16604375839</v>
      </c>
      <c r="K2280" s="48" t="str">
        <f>HYPERLINK(AB2 &amp; "/pencil/sn_ee4174ac91cc8b90a75110d33156fc49/rendering/08.obj", "1.03286957741")</f>
        <v>1.03286957741</v>
      </c>
      <c r="L2280" s="87" t="str">
        <f>HYPERLINK(AB2 &amp; "/pencil/sn_ee4174ac91cc8b90a75110d33156fc49/rendering/09.obj", "1.29484534264")</f>
        <v>1.29484534264</v>
      </c>
      <c r="M2280" s="98" t="str">
        <f>HYPERLINK(AB2 &amp; "/pencil/sn_ee4174ac91cc8b90a75110d33156fc49/rendering/10.obj", "1.29904508591")</f>
        <v>1.29904508591</v>
      </c>
      <c r="N2280" s="44" t="str">
        <f>HYPERLINK(AB2 &amp; "/pencil/sn_ee4174ac91cc8b90a75110d33156fc49/rendering/11.obj", "0.849090874195")</f>
        <v>0.849090874195</v>
      </c>
      <c r="O2280" s="68" t="str">
        <f>HYPERLINK(AB2 &amp; "/pencil/sn_ee4174ac91cc8b90a75110d33156fc49/rendering/12.obj", "1.01214659214")</f>
        <v>1.01214659214</v>
      </c>
      <c r="P2280" s="27" t="str">
        <f>HYPERLINK(AB2 &amp; "/pencil/sn_ee4174ac91cc8b90a75110d33156fc49/rendering/13.obj", "1.1318295002")</f>
        <v>1.1318295002</v>
      </c>
      <c r="Q2280" s="110" t="str">
        <f>HYPERLINK(AB2 &amp; "/pencil/sn_ee4174ac91cc8b90a75110d33156fc49/rendering/14.obj", "1.15929353237")</f>
        <v>1.15929353237</v>
      </c>
      <c r="R2280" s="11" t="str">
        <f>HYPERLINK(AB2 &amp; "/pencil/sn_ee4174ac91cc8b90a75110d33156fc49/rendering/15.obj", "0.818098306656")</f>
        <v>0.818098306656</v>
      </c>
      <c r="S2280" s="26" t="str">
        <f>HYPERLINK(AB2 &amp; "/pencil/sn_ee4174ac91cc8b90a75110d33156fc49/rendering/16.obj", "0.98758071661")</f>
        <v>0.98758071661</v>
      </c>
      <c r="T2280" s="65" t="str">
        <f>HYPERLINK(AB2 &amp; "/pencil/sn_ee4174ac91cc8b90a75110d33156fc49/rendering/17.obj", "0.916992723942")</f>
        <v>0.916992723942</v>
      </c>
      <c r="U2280" s="108" t="str">
        <f>HYPERLINK(AB2 &amp; "/pencil/sn_ee4174ac91cc8b90a75110d33156fc49/rendering/18.obj", "0.795233726501")</f>
        <v>0.795233726501</v>
      </c>
      <c r="V2280" s="37" t="str">
        <f>HYPERLINK(AB2 &amp; "/pencil/sn_ee4174ac91cc8b90a75110d33156fc49/rendering/19.obj", "1.24061334133")</f>
        <v>1.24061334133</v>
      </c>
      <c r="W2280" s="12" t="s">
        <v>32</v>
      </c>
      <c r="X2280" s="13">
        <v>1.056202504038811</v>
      </c>
      <c r="Y2280" s="13">
        <v>0.17130967028356051</v>
      </c>
      <c r="Z2280" s="66">
        <v>0.16219396340047459</v>
      </c>
    </row>
    <row r="2281" spans="1:26" x14ac:dyDescent="0.2">
      <c r="A2281" s="1">
        <v>2279</v>
      </c>
      <c r="B2281" s="2" t="s">
        <v>488</v>
      </c>
      <c r="C2281" s="13" t="str">
        <f>HYPERLINK(AC2 &amp; "/pencil/sn_ee4174ac91cc8b90a75110d33156fc49/rendering/00.xyz", "0.0")</f>
        <v>0.0</v>
      </c>
      <c r="D2281" s="13" t="str">
        <f>HYPERLINK(AC2 &amp; "/pencil/sn_ee4174ac91cc8b90a75110d33156fc49/rendering/01.xyz", "0.0")</f>
        <v>0.0</v>
      </c>
      <c r="E2281" s="13" t="str">
        <f>HYPERLINK(AC2 &amp; "/pencil/sn_ee4174ac91cc8b90a75110d33156fc49/rendering/02.xyz", "0.0")</f>
        <v>0.0</v>
      </c>
      <c r="F2281" s="13" t="str">
        <f>HYPERLINK(AC2 &amp; "/pencil/sn_ee4174ac91cc8b90a75110d33156fc49/rendering/03.xyz", "0.0")</f>
        <v>0.0</v>
      </c>
      <c r="G2281" s="13" t="str">
        <f>HYPERLINK(AC2 &amp; "/pencil/sn_ee4174ac91cc8b90a75110d33156fc49/rendering/04.xyz", "0.0")</f>
        <v>0.0</v>
      </c>
      <c r="H2281" s="13" t="str">
        <f>HYPERLINK(AC2 &amp; "/pencil/sn_ee4174ac91cc8b90a75110d33156fc49/rendering/05.xyz", "0.0")</f>
        <v>0.0</v>
      </c>
      <c r="I2281" s="13" t="str">
        <f>HYPERLINK(AC2 &amp; "/pencil/sn_ee4174ac91cc8b90a75110d33156fc49/rendering/06.xyz", "0.0")</f>
        <v>0.0</v>
      </c>
      <c r="J2281" s="13" t="str">
        <f>HYPERLINK(AC2 &amp; "/pencil/sn_ee4174ac91cc8b90a75110d33156fc49/rendering/07.xyz", "0.0")</f>
        <v>0.0</v>
      </c>
      <c r="K2281" s="13" t="str">
        <f>HYPERLINK(AC2 &amp; "/pencil/sn_ee4174ac91cc8b90a75110d33156fc49/rendering/08.xyz", "0.0")</f>
        <v>0.0</v>
      </c>
      <c r="L2281" s="13" t="str">
        <f>HYPERLINK(AC2 &amp; "/pencil/sn_ee4174ac91cc8b90a75110d33156fc49/rendering/09.xyz", "0.0")</f>
        <v>0.0</v>
      </c>
      <c r="M2281" s="13" t="str">
        <f>HYPERLINK(AC2 &amp; "/pencil/sn_ee4174ac91cc8b90a75110d33156fc49/rendering/10.xyz", "0.0")</f>
        <v>0.0</v>
      </c>
      <c r="N2281" s="13" t="str">
        <f>HYPERLINK(AC2 &amp; "/pencil/sn_ee4174ac91cc8b90a75110d33156fc49/rendering/11.xyz", "0.0")</f>
        <v>0.0</v>
      </c>
      <c r="O2281" s="13" t="str">
        <f>HYPERLINK(AC2 &amp; "/pencil/sn_ee4174ac91cc8b90a75110d33156fc49/rendering/12.xyz", "0.0")</f>
        <v>0.0</v>
      </c>
      <c r="P2281" s="13" t="str">
        <f>HYPERLINK(AC2 &amp; "/pencil/sn_ee4174ac91cc8b90a75110d33156fc49/rendering/13.xyz", "0.0")</f>
        <v>0.0</v>
      </c>
      <c r="Q2281" s="13" t="str">
        <f>HYPERLINK(AC2 &amp; "/pencil/sn_ee4174ac91cc8b90a75110d33156fc49/rendering/14.xyz", "0.0")</f>
        <v>0.0</v>
      </c>
      <c r="R2281" s="13" t="str">
        <f>HYPERLINK(AC2 &amp; "/pencil/sn_ee4174ac91cc8b90a75110d33156fc49/rendering/15.xyz", "0.0")</f>
        <v>0.0</v>
      </c>
      <c r="S2281" s="13" t="str">
        <f>HYPERLINK(AC2 &amp; "/pencil/sn_ee4174ac91cc8b90a75110d33156fc49/rendering/16.xyz", "0.0")</f>
        <v>0.0</v>
      </c>
      <c r="T2281" s="13" t="str">
        <f>HYPERLINK(AC2 &amp; "/pencil/sn_ee4174ac91cc8b90a75110d33156fc49/rendering/17.xyz", "0.0")</f>
        <v>0.0</v>
      </c>
      <c r="U2281" s="13" t="str">
        <f>HYPERLINK(AC2 &amp; "/pencil/sn_ee4174ac91cc8b90a75110d33156fc49/rendering/18.xyz", "0.0")</f>
        <v>0.0</v>
      </c>
      <c r="V2281" s="13" t="str">
        <f>HYPERLINK(AC2 &amp; "/pencil/sn_ee4174ac91cc8b90a75110d33156fc49/rendering/19.xyz", "0.0")</f>
        <v>0.0</v>
      </c>
      <c r="W2281" s="12" t="s">
        <v>33</v>
      </c>
      <c r="X2281" s="13">
        <v>0</v>
      </c>
      <c r="Y2281" s="13">
        <v>0</v>
      </c>
      <c r="Z2281" s="13">
        <v>0</v>
      </c>
    </row>
    <row r="2282" spans="1:26" x14ac:dyDescent="0.2">
      <c r="A2282" s="1">
        <v>2280</v>
      </c>
      <c r="B2282" s="2" t="s">
        <v>489</v>
      </c>
      <c r="C2282" s="90" t="str">
        <f>HYPERLINK(AA2 &amp; "/pencil/sn_ee7126008911102f189d4101cf70819a/rendering/00.obj", "4.2352154541")</f>
        <v>4.2352154541</v>
      </c>
      <c r="D2282" s="70" t="str">
        <f>HYPERLINK(AA2 &amp; "/pencil/sn_ee7126008911102f189d4101cf70819a/rendering/01.obj", "4.08474456787")</f>
        <v>4.08474456787</v>
      </c>
      <c r="E2282" s="51" t="str">
        <f>HYPERLINK(AA2 &amp; "/pencil/sn_ee7126008911102f189d4101cf70819a/rendering/02.obj", "4.31049682617")</f>
        <v>4.31049682617</v>
      </c>
      <c r="F2282" s="187" t="str">
        <f>HYPERLINK(AA2 &amp; "/pencil/sn_ee7126008911102f189d4101cf70819a/rendering/03.obj", "6.32290039063")</f>
        <v>6.32290039063</v>
      </c>
      <c r="G2282" s="35" t="str">
        <f>HYPERLINK(AA2 &amp; "/pencil/sn_ee7126008911102f189d4101cf70819a/rendering/04.obj", "4.40548095703")</f>
        <v>4.40548095703</v>
      </c>
      <c r="H2282" s="133" t="str">
        <f>HYPERLINK(AA2 &amp; "/pencil/sn_ee7126008911102f189d4101cf70819a/rendering/05.obj", "4.2110369873")</f>
        <v>4.2110369873</v>
      </c>
      <c r="I2282" s="170" t="str">
        <f>HYPERLINK(AA2 &amp; "/pencil/sn_ee7126008911102f189d4101cf70819a/rendering/06.obj", "3.49567504883")</f>
        <v>3.49567504883</v>
      </c>
      <c r="J2282" s="92" t="str">
        <f>HYPERLINK(AA2 &amp; "/pencil/sn_ee7126008911102f189d4101cf70819a/rendering/07.obj", "4.10527770996")</f>
        <v>4.10527770996</v>
      </c>
      <c r="K2282" s="63" t="str">
        <f>HYPERLINK(AA2 &amp; "/pencil/sn_ee7126008911102f189d4101cf70819a/rendering/08.obj", "4.11495697021")</f>
        <v>4.11495697021</v>
      </c>
      <c r="L2282" s="51" t="str">
        <f>HYPERLINK(AA2 &amp; "/pencil/sn_ee7126008911102f189d4101cf70819a/rendering/09.obj", "4.30989776611")</f>
        <v>4.30989776611</v>
      </c>
      <c r="M2282" s="5" t="str">
        <f>HYPERLINK(AA2 &amp; "/pencil/sn_ee7126008911102f189d4101cf70819a/rendering/10.obj", "4.32518859863")</f>
        <v>4.32518859863</v>
      </c>
      <c r="N2282" s="6" t="str">
        <f>HYPERLINK(AA2 &amp; "/pencil/sn_ee7126008911102f189d4101cf70819a/rendering/11.obj", "4.89700286865")</f>
        <v>4.89700286865</v>
      </c>
      <c r="O2282" s="6" t="str">
        <f>HYPERLINK(AA2 &amp; "/pencil/sn_ee7126008911102f189d4101cf70819a/rendering/12.obj", "4.89844360352")</f>
        <v>4.89844360352</v>
      </c>
      <c r="P2282" s="74" t="str">
        <f>HYPERLINK(AA2 &amp; "/pencil/sn_ee7126008911102f189d4101cf70819a/rendering/13.obj", "4.61952972412")</f>
        <v>4.61952972412</v>
      </c>
      <c r="Q2282" s="5" t="str">
        <f>HYPERLINK(AA2 &amp; "/pencil/sn_ee7126008911102f189d4101cf70819a/rendering/14.obj", "4.3263885498")</f>
        <v>4.3263885498</v>
      </c>
      <c r="R2282" s="63" t="str">
        <f>HYPERLINK(AA2 &amp; "/pencil/sn_ee7126008911102f189d4101cf70819a/rendering/15.obj", "4.11141540527")</f>
        <v>4.11141540527</v>
      </c>
      <c r="S2282" s="47" t="str">
        <f>HYPERLINK(AA2 &amp; "/pencil/sn_ee7126008911102f189d4101cf70819a/rendering/16.obj", "4.64300170898")</f>
        <v>4.64300170898</v>
      </c>
      <c r="T2282" s="51" t="str">
        <f>HYPERLINK(AA2 &amp; "/pencil/sn_ee7126008911102f189d4101cf70819a/rendering/17.obj", "5.06266967773")</f>
        <v>5.06266967773</v>
      </c>
      <c r="U2282" s="20" t="str">
        <f>HYPERLINK(AA2 &amp; "/pencil/sn_ee7126008911102f189d4101cf70819a/rendering/18.obj", "8.8182019043")</f>
        <v>8.8182019043</v>
      </c>
      <c r="V2282" s="78" t="str">
        <f>HYPERLINK(AA2 &amp; "/pencil/sn_ee7126008911102f189d4101cf70819a/rendering/19.obj", "4.39405517578")</f>
        <v>4.39405517578</v>
      </c>
      <c r="W2282" s="12" t="s">
        <v>29</v>
      </c>
      <c r="X2282" s="13">
        <v>4.6845789947509759</v>
      </c>
      <c r="Y2282" s="13">
        <v>1.0931338985822101</v>
      </c>
      <c r="Z2282" s="175">
        <v>0.23334730822279989</v>
      </c>
    </row>
    <row r="2283" spans="1:26" x14ac:dyDescent="0.2">
      <c r="A2283" s="1">
        <v>2281</v>
      </c>
      <c r="B2283" s="2" t="s">
        <v>489</v>
      </c>
      <c r="C2283" s="97" t="str">
        <f>HYPERLINK(AA2 &amp; "/pencil/sn_ee7126008911102f189d4101cf70819a/rendering/00.obj", "0.791005432606")</f>
        <v>0.791005432606</v>
      </c>
      <c r="D2283" s="132" t="str">
        <f>HYPERLINK(AA2 &amp; "/pencil/sn_ee7126008911102f189d4101cf70819a/rendering/01.obj", "0.812793672085")</f>
        <v>0.812793672085</v>
      </c>
      <c r="E2283" s="179" t="str">
        <f>HYPERLINK(AA2 &amp; "/pencil/sn_ee7126008911102f189d4101cf70819a/rendering/02.obj", "0.799966096878")</f>
        <v>0.799966096878</v>
      </c>
      <c r="F2283" s="20" t="str">
        <f>HYPERLINK(AA2 &amp; "/pencil/sn_ee7126008911102f189d4101cf70819a/rendering/03.obj", "3.84829211235")</f>
        <v>3.84829211235</v>
      </c>
      <c r="G2283" s="93" t="str">
        <f>HYPERLINK(AA2 &amp; "/pencil/sn_ee7126008911102f189d4101cf70819a/rendering/04.obj", "1.20147204399")</f>
        <v>1.20147204399</v>
      </c>
      <c r="H2283" s="111" t="str">
        <f>HYPERLINK(AA2 &amp; "/pencil/sn_ee7126008911102f189d4101cf70819a/rendering/05.obj", "0.80807954073")</f>
        <v>0.80807954073</v>
      </c>
      <c r="I2283" s="158" t="str">
        <f>HYPERLINK(AA2 &amp; "/pencil/sn_ee7126008911102f189d4101cf70819a/rendering/06.obj", "0.823003530502")</f>
        <v>0.823003530502</v>
      </c>
      <c r="J2283" s="149" t="str">
        <f>HYPERLINK(AA2 &amp; "/pencil/sn_ee7126008911102f189d4101cf70819a/rendering/07.obj", "0.916716456413")</f>
        <v>0.916716456413</v>
      </c>
      <c r="K2283" s="120" t="str">
        <f>HYPERLINK(AA2 &amp; "/pencil/sn_ee7126008911102f189d4101cf70819a/rendering/08.obj", "1.10059070587")</f>
        <v>1.10059070587</v>
      </c>
      <c r="L2283" s="176" t="str">
        <f>HYPERLINK(AA2 &amp; "/pencil/sn_ee7126008911102f189d4101cf70819a/rendering/09.obj", "0.951952695847")</f>
        <v>0.951952695847</v>
      </c>
      <c r="M2283" s="149" t="str">
        <f>HYPERLINK(AA2 &amp; "/pencil/sn_ee7126008911102f189d4101cf70819a/rendering/10.obj", "0.915819585323")</f>
        <v>0.915819585323</v>
      </c>
      <c r="N2283" s="25" t="str">
        <f>HYPERLINK(AA2 &amp; "/pencil/sn_ee7126008911102f189d4101cf70819a/rendering/11.obj", "1.38272976875")</f>
        <v>1.38272976875</v>
      </c>
      <c r="O2283" s="11" t="str">
        <f>HYPERLINK(AA2 &amp; "/pencil/sn_ee7126008911102f189d4101cf70819a/rendering/12.obj", "1.70892345905")</f>
        <v>1.70892345905</v>
      </c>
      <c r="P2283" s="142" t="str">
        <f>HYPERLINK(AA2 &amp; "/pencil/sn_ee7126008911102f189d4101cf70819a/rendering/13.obj", "0.845974385738")</f>
        <v>0.845974385738</v>
      </c>
      <c r="Q2283" s="99" t="str">
        <f>HYPERLINK(AA2 &amp; "/pencil/sn_ee7126008911102f189d4101cf70819a/rendering/14.obj", "1.01821911335")</f>
        <v>1.01821911335</v>
      </c>
      <c r="R2283" s="52" t="str">
        <f>HYPERLINK(AA2 &amp; "/pencil/sn_ee7126008911102f189d4101cf70819a/rendering/15.obj", "0.838852107525")</f>
        <v>0.838852107525</v>
      </c>
      <c r="S2283" s="98" t="str">
        <f>HYPERLINK(AA2 &amp; "/pencil/sn_ee7126008911102f189d4101cf70819a/rendering/16.obj", "1.0739171505")</f>
        <v>1.0739171505</v>
      </c>
      <c r="T2283" s="106" t="str">
        <f>HYPERLINK(AA2 &amp; "/pencil/sn_ee7126008911102f189d4101cf70819a/rendering/17.obj", "1.55576860905")</f>
        <v>1.55576860905</v>
      </c>
      <c r="U2283" s="20" t="str">
        <f>HYPERLINK(AA2 &amp; "/pencil/sn_ee7126008911102f189d4101cf70819a/rendering/18.obj", "5.4881811142")</f>
        <v>5.4881811142</v>
      </c>
      <c r="V2283" s="108" t="str">
        <f>HYPERLINK(AA2 &amp; "/pencil/sn_ee7126008911102f189d4101cf70819a/rendering/19.obj", "1.05165946484")</f>
        <v>1.05165946484</v>
      </c>
      <c r="W2283" s="12" t="s">
        <v>30</v>
      </c>
      <c r="X2283" s="13">
        <v>1.3966958522796631</v>
      </c>
      <c r="Y2283" s="13">
        <v>1.1484601890689761</v>
      </c>
      <c r="Z2283" s="20">
        <v>0.82226934890261083</v>
      </c>
    </row>
    <row r="2284" spans="1:26" x14ac:dyDescent="0.2">
      <c r="A2284" s="1">
        <v>2282</v>
      </c>
      <c r="B2284" s="2" t="s">
        <v>489</v>
      </c>
      <c r="C2284" s="46" t="str">
        <f>HYPERLINK(AB2 &amp; "/pencil/sn_ee7126008911102f189d4101cf70819a/rendering/00.obj", "3.97667358398")</f>
        <v>3.97667358398</v>
      </c>
      <c r="D2284" s="72" t="str">
        <f>HYPERLINK(AB2 &amp; "/pencil/sn_ee7126008911102f189d4101cf70819a/rendering/01.obj", "3.78675079346")</f>
        <v>3.78675079346</v>
      </c>
      <c r="E2284" s="5" t="str">
        <f>HYPERLINK(AB2 &amp; "/pencil/sn_ee7126008911102f189d4101cf70819a/rendering/02.obj", "4.21549804688")</f>
        <v>4.21549804688</v>
      </c>
      <c r="F2284" s="27" t="str">
        <f>HYPERLINK(AB2 &amp; "/pencil/sn_ee7126008911102f189d4101cf70819a/rendering/03.obj", "3.63486328125")</f>
        <v>3.63486328125</v>
      </c>
      <c r="G2284" s="13" t="str">
        <f>HYPERLINK(AB2 &amp; "/pencil/sn_ee7126008911102f189d4101cf70819a/rendering/04.obj", "3.91990814209")</f>
        <v>3.91990814209</v>
      </c>
      <c r="H2284" s="60" t="str">
        <f>HYPERLINK(AB2 &amp; "/pencil/sn_ee7126008911102f189d4101cf70819a/rendering/05.obj", "3.71618835449")</f>
        <v>3.71618835449</v>
      </c>
      <c r="I2284" s="71" t="str">
        <f>HYPERLINK(AB2 &amp; "/pencil/sn_ee7126008911102f189d4101cf70819a/rendering/06.obj", "4.37224243164")</f>
        <v>4.37224243164</v>
      </c>
      <c r="J2284" s="48" t="str">
        <f>HYPERLINK(AB2 &amp; "/pencil/sn_ee7126008911102f189d4101cf70819a/rendering/07.obj", "3.82270568848")</f>
        <v>3.82270568848</v>
      </c>
      <c r="K2284" s="69" t="str">
        <f>HYPERLINK(AB2 &amp; "/pencil/sn_ee7126008911102f189d4101cf70819a/rendering/08.obj", "3.79374481201")</f>
        <v>3.79374481201</v>
      </c>
      <c r="L2284" s="91" t="str">
        <f>HYPERLINK(AB2 &amp; "/pencil/sn_ee7126008911102f189d4101cf70819a/rendering/09.obj", "4.01953918457")</f>
        <v>4.01953918457</v>
      </c>
      <c r="M2284" s="69" t="str">
        <f>HYPERLINK(AB2 &amp; "/pencil/sn_ee7126008911102f189d4101cf70819a/rendering/10.obj", "3.79859527588")</f>
        <v>3.79859527588</v>
      </c>
      <c r="N2284" s="47" t="str">
        <f>HYPERLINK(AB2 &amp; "/pencil/sn_ee7126008911102f189d4101cf70819a/rendering/11.obj", "3.87816955566")</f>
        <v>3.87816955566</v>
      </c>
      <c r="O2284" s="38" t="str">
        <f>HYPERLINK(AB2 &amp; "/pencil/sn_ee7126008911102f189d4101cf70819a/rendering/12.obj", "4.26147766113")</f>
        <v>4.26147766113</v>
      </c>
      <c r="P2284" s="91" t="str">
        <f>HYPERLINK(AB2 &amp; "/pencil/sn_ee7126008911102f189d4101cf70819a/rendering/13.obj", "3.80412078857")</f>
        <v>3.80412078857</v>
      </c>
      <c r="Q2284" s="34" t="str">
        <f>HYPERLINK(AB2 &amp; "/pencil/sn_ee7126008911102f189d4101cf70819a/rendering/14.obj", "3.72142578125")</f>
        <v>3.72142578125</v>
      </c>
      <c r="R2284" s="17" t="str">
        <f>HYPERLINK(AB2 &amp; "/pencil/sn_ee7126008911102f189d4101cf70819a/rendering/15.obj", "3.99448242187")</f>
        <v>3.99448242187</v>
      </c>
      <c r="S2284" s="91" t="str">
        <f>HYPERLINK(AB2 &amp; "/pencil/sn_ee7126008911102f189d4101cf70819a/rendering/16.obj", "3.80453979492")</f>
        <v>3.80453979492</v>
      </c>
      <c r="T2284" s="94" t="str">
        <f>HYPERLINK(AB2 &amp; "/pencil/sn_ee7126008911102f189d4101cf70819a/rendering/17.obj", "3.62570007324")</f>
        <v>3.62570007324</v>
      </c>
      <c r="U2284" s="39" t="str">
        <f>HYPERLINK(AB2 &amp; "/pencil/sn_ee7126008911102f189d4101cf70819a/rendering/18.obj", "4.25307922363")</f>
        <v>4.25307922363</v>
      </c>
      <c r="V2284" s="74" t="str">
        <f>HYPERLINK(AB2 &amp; "/pencil/sn_ee7126008911102f189d4101cf70819a/rendering/19.obj", "3.8594329834")</f>
        <v>3.8594329834</v>
      </c>
      <c r="W2284" s="12" t="s">
        <v>31</v>
      </c>
      <c r="X2284" s="13">
        <v>3.9129568939208981</v>
      </c>
      <c r="Y2284" s="13">
        <v>0.20928820658942751</v>
      </c>
      <c r="Z2284" s="10">
        <v>5.348594739558056E-2</v>
      </c>
    </row>
    <row r="2285" spans="1:26" x14ac:dyDescent="0.2">
      <c r="A2285" s="1">
        <v>2283</v>
      </c>
      <c r="B2285" s="2" t="s">
        <v>489</v>
      </c>
      <c r="C2285" s="79" t="str">
        <f>HYPERLINK(AB2 &amp; "/pencil/sn_ee7126008911102f189d4101cf70819a/rendering/00.obj", "1.10752344131")</f>
        <v>1.10752344131</v>
      </c>
      <c r="D2285" s="35" t="str">
        <f>HYPERLINK(AB2 &amp; "/pencil/sn_ee7126008911102f189d4101cf70819a/rendering/01.obj", "0.901331245899")</f>
        <v>0.901331245899</v>
      </c>
      <c r="E2285" s="133" t="str">
        <f>HYPERLINK(AB2 &amp; "/pencil/sn_ee7126008911102f189d4101cf70819a/rendering/02.obj", "1.05178713799")</f>
        <v>1.05178713799</v>
      </c>
      <c r="F2285" s="107" t="str">
        <f>HYPERLINK(AB2 &amp; "/pencil/sn_ee7126008911102f189d4101cf70819a/rendering/03.obj", "0.877053201199")</f>
        <v>0.877053201199</v>
      </c>
      <c r="G2285" s="93" t="str">
        <f>HYPERLINK(AB2 &amp; "/pencil/sn_ee7126008911102f189d4101cf70819a/rendering/04.obj", "0.823711931705")</f>
        <v>0.823711931705</v>
      </c>
      <c r="H2285" s="47" t="str">
        <f>HYPERLINK(AB2 &amp; "/pencil/sn_ee7126008911102f189d4101cf70819a/rendering/05.obj", "0.962844610214")</f>
        <v>0.962844610214</v>
      </c>
      <c r="I2285" s="44" t="str">
        <f>HYPERLINK(AB2 &amp; "/pencil/sn_ee7126008911102f189d4101cf70819a/rendering/06.obj", "1.14306640625")</f>
        <v>1.14306640625</v>
      </c>
      <c r="J2285" s="98" t="str">
        <f>HYPERLINK(AB2 &amp; "/pencil/sn_ee7126008911102f189d4101cf70819a/rendering/07.obj", "0.734525024891")</f>
        <v>0.734525024891</v>
      </c>
      <c r="K2285" s="70" t="str">
        <f>HYPERLINK(AB2 &amp; "/pencil/sn_ee7126008911102f189d4101cf70819a/rendering/08.obj", "1.07667863369")</f>
        <v>1.07667863369</v>
      </c>
      <c r="L2285" s="129" t="str">
        <f>HYPERLINK(AB2 &amp; "/pencil/sn_ee7126008911102f189d4101cf70819a/rendering/09.obj", "0.717029809952")</f>
        <v>0.717029809952</v>
      </c>
      <c r="M2285" s="42" t="str">
        <f>HYPERLINK(AB2 &amp; "/pencil/sn_ee7126008911102f189d4101cf70819a/rendering/10.obj", "0.826557934284")</f>
        <v>0.826557934284</v>
      </c>
      <c r="N2285" s="37" t="str">
        <f>HYPERLINK(AB2 &amp; "/pencil/sn_ee7126008911102f189d4101cf70819a/rendering/11.obj", "0.790299236774")</f>
        <v>0.790299236774</v>
      </c>
      <c r="O2285" s="5" t="str">
        <f>HYPERLINK(AB2 &amp; "/pencil/sn_ee7126008911102f189d4101cf70819a/rendering/12.obj", "0.882514059544")</f>
        <v>0.882514059544</v>
      </c>
      <c r="P2285" s="58" t="str">
        <f>HYPERLINK(AB2 &amp; "/pencil/sn_ee7126008911102f189d4101cf70819a/rendering/13.obj", "1.18763744831")</f>
        <v>1.18763744831</v>
      </c>
      <c r="Q2285" s="77" t="str">
        <f>HYPERLINK(AB2 &amp; "/pencil/sn_ee7126008911102f189d4101cf70819a/rendering/14.obj", "0.778562963009")</f>
        <v>0.778562963009</v>
      </c>
      <c r="R2285" s="175" t="str">
        <f>HYPERLINK(AB2 &amp; "/pencil/sn_ee7126008911102f189d4101cf70819a/rendering/15.obj", "0.731201410294")</f>
        <v>0.731201410294</v>
      </c>
      <c r="S2285" s="46" t="str">
        <f>HYPERLINK(AB2 &amp; "/pencil/sn_ee7126008911102f189d4101cf70819a/rendering/16.obj", "0.972268342972")</f>
        <v>0.972268342972</v>
      </c>
      <c r="T2285" s="17" t="str">
        <f>HYPERLINK(AB2 &amp; "/pencil/sn_ee7126008911102f189d4101cf70819a/rendering/17.obj", "0.976720154285")</f>
        <v>0.976720154285</v>
      </c>
      <c r="U2285" s="131" t="str">
        <f>HYPERLINK(AB2 &amp; "/pencil/sn_ee7126008911102f189d4101cf70819a/rendering/18.obj", "1.39938259125")</f>
        <v>1.39938259125</v>
      </c>
      <c r="V2285" s="87" t="str">
        <f>HYPERLINK(AB2 &amp; "/pencil/sn_ee7126008911102f189d4101cf70819a/rendering/19.obj", "1.17447018623")</f>
        <v>1.17447018623</v>
      </c>
      <c r="W2285" s="12" t="s">
        <v>32</v>
      </c>
      <c r="X2285" s="13">
        <v>0.95575828850269318</v>
      </c>
      <c r="Y2285" s="13">
        <v>0.17957093581984271</v>
      </c>
      <c r="Z2285" s="77">
        <v>0.18788321061924709</v>
      </c>
    </row>
    <row r="2286" spans="1:26" x14ac:dyDescent="0.2">
      <c r="A2286" s="1">
        <v>2284</v>
      </c>
      <c r="B2286" s="2" t="s">
        <v>489</v>
      </c>
      <c r="C2286" s="13" t="str">
        <f>HYPERLINK(AC2 &amp; "/pencil/sn_ee7126008911102f189d4101cf70819a/rendering/00.xyz", "0.0")</f>
        <v>0.0</v>
      </c>
      <c r="D2286" s="13" t="str">
        <f>HYPERLINK(AC2 &amp; "/pencil/sn_ee7126008911102f189d4101cf70819a/rendering/01.xyz", "0.0")</f>
        <v>0.0</v>
      </c>
      <c r="E2286" s="13" t="str">
        <f>HYPERLINK(AC2 &amp; "/pencil/sn_ee7126008911102f189d4101cf70819a/rendering/02.xyz", "0.0")</f>
        <v>0.0</v>
      </c>
      <c r="F2286" s="13" t="str">
        <f>HYPERLINK(AC2 &amp; "/pencil/sn_ee7126008911102f189d4101cf70819a/rendering/03.xyz", "0.0")</f>
        <v>0.0</v>
      </c>
      <c r="G2286" s="13" t="str">
        <f>HYPERLINK(AC2 &amp; "/pencil/sn_ee7126008911102f189d4101cf70819a/rendering/04.xyz", "0.0")</f>
        <v>0.0</v>
      </c>
      <c r="H2286" s="13" t="str">
        <f>HYPERLINK(AC2 &amp; "/pencil/sn_ee7126008911102f189d4101cf70819a/rendering/05.xyz", "0.0")</f>
        <v>0.0</v>
      </c>
      <c r="I2286" s="13" t="str">
        <f>HYPERLINK(AC2 &amp; "/pencil/sn_ee7126008911102f189d4101cf70819a/rendering/06.xyz", "0.0")</f>
        <v>0.0</v>
      </c>
      <c r="J2286" s="13" t="str">
        <f>HYPERLINK(AC2 &amp; "/pencil/sn_ee7126008911102f189d4101cf70819a/rendering/07.xyz", "0.0")</f>
        <v>0.0</v>
      </c>
      <c r="K2286" s="13" t="str">
        <f>HYPERLINK(AC2 &amp; "/pencil/sn_ee7126008911102f189d4101cf70819a/rendering/08.xyz", "0.0")</f>
        <v>0.0</v>
      </c>
      <c r="L2286" s="13" t="str">
        <f>HYPERLINK(AC2 &amp; "/pencil/sn_ee7126008911102f189d4101cf70819a/rendering/09.xyz", "0.0")</f>
        <v>0.0</v>
      </c>
      <c r="M2286" s="13" t="str">
        <f>HYPERLINK(AC2 &amp; "/pencil/sn_ee7126008911102f189d4101cf70819a/rendering/10.xyz", "0.0")</f>
        <v>0.0</v>
      </c>
      <c r="N2286" s="13" t="str">
        <f>HYPERLINK(AC2 &amp; "/pencil/sn_ee7126008911102f189d4101cf70819a/rendering/11.xyz", "0.0")</f>
        <v>0.0</v>
      </c>
      <c r="O2286" s="13" t="str">
        <f>HYPERLINK(AC2 &amp; "/pencil/sn_ee7126008911102f189d4101cf70819a/rendering/12.xyz", "0.0")</f>
        <v>0.0</v>
      </c>
      <c r="P2286" s="13" t="str">
        <f>HYPERLINK(AC2 &amp; "/pencil/sn_ee7126008911102f189d4101cf70819a/rendering/13.xyz", "0.0")</f>
        <v>0.0</v>
      </c>
      <c r="Q2286" s="13" t="str">
        <f>HYPERLINK(AC2 &amp; "/pencil/sn_ee7126008911102f189d4101cf70819a/rendering/14.xyz", "0.0")</f>
        <v>0.0</v>
      </c>
      <c r="R2286" s="13" t="str">
        <f>HYPERLINK(AC2 &amp; "/pencil/sn_ee7126008911102f189d4101cf70819a/rendering/15.xyz", "0.0")</f>
        <v>0.0</v>
      </c>
      <c r="S2286" s="13" t="str">
        <f>HYPERLINK(AC2 &amp; "/pencil/sn_ee7126008911102f189d4101cf70819a/rendering/16.xyz", "0.0")</f>
        <v>0.0</v>
      </c>
      <c r="T2286" s="13" t="str">
        <f>HYPERLINK(AC2 &amp; "/pencil/sn_ee7126008911102f189d4101cf70819a/rendering/17.xyz", "0.0")</f>
        <v>0.0</v>
      </c>
      <c r="U2286" s="13" t="str">
        <f>HYPERLINK(AC2 &amp; "/pencil/sn_ee7126008911102f189d4101cf70819a/rendering/18.xyz", "0.0")</f>
        <v>0.0</v>
      </c>
      <c r="V2286" s="13" t="str">
        <f>HYPERLINK(AC2 &amp; "/pencil/sn_ee7126008911102f189d4101cf70819a/rendering/19.xyz", "0.0")</f>
        <v>0.0</v>
      </c>
      <c r="W2286" s="12" t="s">
        <v>33</v>
      </c>
      <c r="X2286" s="13">
        <v>0</v>
      </c>
      <c r="Y2286" s="13">
        <v>0</v>
      </c>
      <c r="Z2286" s="13">
        <v>0</v>
      </c>
    </row>
    <row r="2287" spans="1:26" x14ac:dyDescent="0.2">
      <c r="A2287" s="1">
        <v>2285</v>
      </c>
      <c r="B2287" s="2" t="s">
        <v>490</v>
      </c>
      <c r="C2287" s="70" t="str">
        <f>HYPERLINK(AA2 &amp; "/pencil/sn_f1154175a5edbd892056b3104914123/rendering/00.obj", "5.12811584473")</f>
        <v>5.12811584473</v>
      </c>
      <c r="D2287" s="68" t="str">
        <f>HYPERLINK(AA2 &amp; "/pencil/sn_f1154175a5edbd892056b3104914123/rendering/01.obj", "4.34899108887")</f>
        <v>4.34899108887</v>
      </c>
      <c r="E2287" s="92" t="str">
        <f>HYPERLINK(AA2 &amp; "/pencil/sn_f1154175a5edbd892056b3104914123/rendering/02.obj", "3.97867218018")</f>
        <v>3.97867218018</v>
      </c>
      <c r="F2287" s="72" t="str">
        <f>HYPERLINK(AA2 &amp; "/pencil/sn_f1154175a5edbd892056b3104914123/rendering/03.obj", "4.39036590576")</f>
        <v>4.39036590576</v>
      </c>
      <c r="G2287" s="58" t="str">
        <f>HYPERLINK(AA2 &amp; "/pencil/sn_f1154175a5edbd892056b3104914123/rendering/04.obj", "3.43883880615")</f>
        <v>3.43883880615</v>
      </c>
      <c r="H2287" s="28" t="str">
        <f>HYPERLINK(AA2 &amp; "/pencil/sn_f1154175a5edbd892056b3104914123/rendering/05.obj", "4.04000823975")</f>
        <v>4.04000823975</v>
      </c>
      <c r="I2287" s="71" t="str">
        <f>HYPERLINK(AA2 &amp; "/pencil/sn_f1154175a5edbd892056b3104914123/rendering/06.obj", "4.00534057617")</f>
        <v>4.00534057617</v>
      </c>
      <c r="J2287" s="20" t="str">
        <f>HYPERLINK(AA2 &amp; "/pencil/sn_f1154175a5edbd892056b3104914123/rendering/07.obj", "10.0436895752")</f>
        <v>10.0436895752</v>
      </c>
      <c r="K2287" s="48" t="str">
        <f>HYPERLINK(AA2 &amp; "/pencil/sn_f1154175a5edbd892056b3104914123/rendering/08.obj", "4.43669219971")</f>
        <v>4.43669219971</v>
      </c>
      <c r="L2287" s="11" t="str">
        <f>HYPERLINK(AA2 &amp; "/pencil/sn_f1154175a5edbd892056b3104914123/rendering/09.obj", "3.53012359619")</f>
        <v>3.53012359619</v>
      </c>
      <c r="M2287" s="67" t="str">
        <f>HYPERLINK(AA2 &amp; "/pencil/sn_f1154175a5edbd892056b3104914123/rendering/10.obj", "4.13006500244")</f>
        <v>4.13006500244</v>
      </c>
      <c r="N2287" s="71" t="str">
        <f>HYPERLINK(AA2 &amp; "/pencil/sn_f1154175a5edbd892056b3104914123/rendering/11.obj", "4.00503997803")</f>
        <v>4.00503997803</v>
      </c>
      <c r="O2287" s="58" t="str">
        <f>HYPERLINK(AA2 &amp; "/pencil/sn_f1154175a5edbd892056b3104914123/rendering/12.obj", "3.43842102051")</f>
        <v>3.43842102051</v>
      </c>
      <c r="P2287" s="83" t="str">
        <f>HYPERLINK(AA2 &amp; "/pencil/sn_f1154175a5edbd892056b3104914123/rendering/13.obj", "5.23743408203")</f>
        <v>5.23743408203</v>
      </c>
      <c r="Q2287" s="39" t="str">
        <f>HYPERLINK(AA2 &amp; "/pencil/sn_f1154175a5edbd892056b3104914123/rendering/14.obj", "4.93956787109")</f>
        <v>4.93956787109</v>
      </c>
      <c r="R2287" s="134" t="str">
        <f>HYPERLINK(AA2 &amp; "/pencil/sn_f1154175a5edbd892056b3104914123/rendering/15.obj", "3.7326763916")</f>
        <v>3.7326763916</v>
      </c>
      <c r="S2287" s="82" t="str">
        <f>HYPERLINK(AA2 &amp; "/pencil/sn_f1154175a5edbd892056b3104914123/rendering/16.obj", "5.48085754395")</f>
        <v>5.48085754395</v>
      </c>
      <c r="T2287" s="134" t="str">
        <f>HYPERLINK(AA2 &amp; "/pencil/sn_f1154175a5edbd892056b3104914123/rendering/17.obj", "3.72347229004")</f>
        <v>3.72347229004</v>
      </c>
      <c r="U2287" s="84" t="str">
        <f>HYPERLINK(AA2 &amp; "/pencil/sn_f1154175a5edbd892056b3104914123/rendering/18.obj", "3.88769805908")</f>
        <v>3.88769805908</v>
      </c>
      <c r="V2287" s="133" t="str">
        <f>HYPERLINK(AA2 &amp; "/pencil/sn_f1154175a5edbd892056b3104914123/rendering/19.obj", "5.01478393555")</f>
        <v>5.01478393555</v>
      </c>
      <c r="W2287" s="12" t="s">
        <v>29</v>
      </c>
      <c r="X2287" s="13">
        <v>4.5465427093505859</v>
      </c>
      <c r="Y2287" s="13">
        <v>1.3956523817556561</v>
      </c>
      <c r="Z2287" s="171">
        <v>0.30697003656983279</v>
      </c>
    </row>
    <row r="2288" spans="1:26" x14ac:dyDescent="0.2">
      <c r="A2288" s="1">
        <v>2286</v>
      </c>
      <c r="B2288" s="2" t="s">
        <v>490</v>
      </c>
      <c r="C2288" s="109" t="str">
        <f>HYPERLINK(AA2 &amp; "/pencil/sn_f1154175a5edbd892056b3104914123/rendering/00.obj", "2.02124619484")</f>
        <v>2.02124619484</v>
      </c>
      <c r="D2288" s="147" t="str">
        <f>HYPERLINK(AA2 &amp; "/pencil/sn_f1154175a5edbd892056b3104914123/rendering/01.obj", "0.871735572815")</f>
        <v>0.871735572815</v>
      </c>
      <c r="E2288" s="177" t="str">
        <f>HYPERLINK(AA2 &amp; "/pencil/sn_f1154175a5edbd892056b3104914123/rendering/02.obj", "0.791629195213")</f>
        <v>0.791629195213</v>
      </c>
      <c r="F2288" s="92" t="str">
        <f>HYPERLINK(AA2 &amp; "/pencil/sn_f1154175a5edbd892056b3104914123/rendering/03.obj", "1.48937153816")</f>
        <v>1.48937153816</v>
      </c>
      <c r="G2288" s="105" t="str">
        <f>HYPERLINK(AA2 &amp; "/pencil/sn_f1154175a5edbd892056b3104914123/rendering/04.obj", "0.825419843197")</f>
        <v>0.825419843197</v>
      </c>
      <c r="H2288" s="132" t="str">
        <f>HYPERLINK(AA2 &amp; "/pencil/sn_f1154175a5edbd892056b3104914123/rendering/05.obj", "0.984873950481")</f>
        <v>0.984873950481</v>
      </c>
      <c r="I2288" s="177" t="str">
        <f>HYPERLINK(AA2 &amp; "/pencil/sn_f1154175a5edbd892056b3104914123/rendering/06.obj", "0.792137444019")</f>
        <v>0.792137444019</v>
      </c>
      <c r="J2288" s="20" t="str">
        <f>HYPERLINK(AA2 &amp; "/pencil/sn_f1154175a5edbd892056b3104914123/rendering/07.obj", "10.4041252136")</f>
        <v>10.4041252136</v>
      </c>
      <c r="K2288" s="96" t="str">
        <f>HYPERLINK(AA2 &amp; "/pencil/sn_f1154175a5edbd892056b3104914123/rendering/08.obj", "1.08444309235")</f>
        <v>1.08444309235</v>
      </c>
      <c r="L2288" s="223" t="str">
        <f>HYPERLINK(AA2 &amp; "/pencil/sn_f1154175a5edbd892056b3104914123/rendering/09.obj", "0.745441496372")</f>
        <v>0.745441496372</v>
      </c>
      <c r="M2288" s="177" t="str">
        <f>HYPERLINK(AA2 &amp; "/pencil/sn_f1154175a5edbd892056b3104914123/rendering/10.obj", "0.788382053375")</f>
        <v>0.788382053375</v>
      </c>
      <c r="N2288" s="102" t="str">
        <f>HYPERLINK(AA2 &amp; "/pencil/sn_f1154175a5edbd892056b3104914123/rendering/11.obj", "0.854339361191")</f>
        <v>0.854339361191</v>
      </c>
      <c r="O2288" s="235" t="str">
        <f>HYPERLINK(AA2 &amp; "/pencil/sn_f1154175a5edbd892056b3104914123/rendering/12.obj", "0.778960049152")</f>
        <v>0.778960049152</v>
      </c>
      <c r="P2288" s="158" t="str">
        <f>HYPERLINK(AA2 &amp; "/pencil/sn_f1154175a5edbd892056b3104914123/rendering/13.obj", "2.39056944847")</f>
        <v>2.39056944847</v>
      </c>
      <c r="Q2288" s="110" t="str">
        <f>HYPERLINK(AA2 &amp; "/pencil/sn_f1154175a5edbd892056b3104914123/rendering/14.obj", "1.53004825115")</f>
        <v>1.53004825115</v>
      </c>
      <c r="R2288" s="174" t="str">
        <f>HYPERLINK(AA2 &amp; "/pencil/sn_f1154175a5edbd892056b3104914123/rendering/15.obj", "0.806103408337")</f>
        <v>0.806103408337</v>
      </c>
      <c r="S2288" s="218" t="str">
        <f>HYPERLINK(AA2 &amp; "/pencil/sn_f1154175a5edbd892056b3104914123/rendering/16.obj", "2.57496666908")</f>
        <v>2.57496666908</v>
      </c>
      <c r="T2288" s="57" t="str">
        <f>HYPERLINK(AA2 &amp; "/pencil/sn_f1154175a5edbd892056b3104914123/rendering/17.obj", "1.16316854954")</f>
        <v>1.16316854954</v>
      </c>
      <c r="U2288" s="15" t="str">
        <f>HYPERLINK(AA2 &amp; "/pencil/sn_f1154175a5edbd892056b3104914123/rendering/18.obj", "0.839942574501")</f>
        <v>0.839942574501</v>
      </c>
      <c r="V2288" s="171" t="str">
        <f>HYPERLINK(AA2 &amp; "/pencil/sn_f1154175a5edbd892056b3104914123/rendering/19.obj", "2.21648693085")</f>
        <v>2.21648693085</v>
      </c>
      <c r="W2288" s="12" t="s">
        <v>30</v>
      </c>
      <c r="X2288" s="13">
        <v>1.697669541835785</v>
      </c>
      <c r="Y2288" s="13">
        <v>2.0805113471152552</v>
      </c>
      <c r="Z2288" s="20">
        <v>1.225510204338992</v>
      </c>
    </row>
    <row r="2289" spans="1:26" x14ac:dyDescent="0.2">
      <c r="A2289" s="1">
        <v>2287</v>
      </c>
      <c r="B2289" s="2" t="s">
        <v>490</v>
      </c>
      <c r="C2289" s="47" t="str">
        <f>HYPERLINK(AB2 &amp; "/pencil/sn_f1154175a5edbd892056b3104914123/rendering/00.obj", "3.42771484375")</f>
        <v>3.42771484375</v>
      </c>
      <c r="D2289" s="47" t="str">
        <f>HYPERLINK(AB2 &amp; "/pencil/sn_f1154175a5edbd892056b3104914123/rendering/01.obj", "3.38042724609")</f>
        <v>3.38042724609</v>
      </c>
      <c r="E2289" s="13" t="str">
        <f>HYPERLINK(AB2 &amp; "/pencil/sn_f1154175a5edbd892056b3104914123/rendering/02.obj", "3.41064025879")</f>
        <v>3.41064025879</v>
      </c>
      <c r="F2289" s="30" t="str">
        <f>HYPERLINK(AB2 &amp; "/pencil/sn_f1154175a5edbd892056b3104914123/rendering/03.obj", "3.38627471924")</f>
        <v>3.38627471924</v>
      </c>
      <c r="G2289" s="60" t="str">
        <f>HYPERLINK(AB2 &amp; "/pencil/sn_f1154175a5edbd892056b3104914123/rendering/04.obj", "3.23045776367")</f>
        <v>3.23045776367</v>
      </c>
      <c r="H2289" s="17" t="str">
        <f>HYPERLINK(AB2 &amp; "/pencil/sn_f1154175a5edbd892056b3104914123/rendering/05.obj", "3.46701721191")</f>
        <v>3.46701721191</v>
      </c>
      <c r="I2289" s="74" t="str">
        <f>HYPERLINK(AB2 &amp; "/pencil/sn_f1154175a5edbd892056b3104914123/rendering/06.obj", "3.44629547119")</f>
        <v>3.44629547119</v>
      </c>
      <c r="J2289" s="70" t="str">
        <f>HYPERLINK(AB2 &amp; "/pencil/sn_f1154175a5edbd892056b3104914123/rendering/07.obj", "3.83184448242")</f>
        <v>3.83184448242</v>
      </c>
      <c r="K2289" s="51" t="str">
        <f>HYPERLINK(AB2 &amp; "/pencil/sn_f1154175a5edbd892056b3104914123/rendering/08.obj", "3.6706237793")</f>
        <v>3.6706237793</v>
      </c>
      <c r="L2289" s="73" t="str">
        <f>HYPERLINK(AB2 &amp; "/pencil/sn_f1154175a5edbd892056b3104914123/rendering/09.obj", "3.27547576904")</f>
        <v>3.27547576904</v>
      </c>
      <c r="M2289" s="39" t="str">
        <f>HYPERLINK(AB2 &amp; "/pencil/sn_f1154175a5edbd892056b3104914123/rendering/10.obj", "3.11237365723")</f>
        <v>3.11237365723</v>
      </c>
      <c r="N2289" s="91" t="str">
        <f>HYPERLINK(AB2 &amp; "/pencil/sn_f1154175a5edbd892056b3104914123/rendering/11.obj", "3.4902911377")</f>
        <v>3.4902911377</v>
      </c>
      <c r="O2289" s="34" t="str">
        <f>HYPERLINK(AB2 &amp; "/pencil/sn_f1154175a5edbd892056b3104914123/rendering/12.obj", "3.23476989746")</f>
        <v>3.23476989746</v>
      </c>
      <c r="P2289" s="27" t="str">
        <f>HYPERLINK(AB2 &amp; "/pencil/sn_f1154175a5edbd892056b3104914123/rendering/13.obj", "3.64012207031")</f>
        <v>3.64012207031</v>
      </c>
      <c r="Q2289" s="10" t="str">
        <f>HYPERLINK(AB2 &amp; "/pencil/sn_f1154175a5edbd892056b3104914123/rendering/14.obj", "3.59159301758")</f>
        <v>3.59159301758</v>
      </c>
      <c r="R2289" s="25" t="str">
        <f>HYPERLINK(AB2 &amp; "/pencil/sn_f1154175a5edbd892056b3104914123/rendering/15.obj", "3.37020996094")</f>
        <v>3.37020996094</v>
      </c>
      <c r="S2289" s="13" t="str">
        <f>HYPERLINK(AB2 &amp; "/pencil/sn_f1154175a5edbd892056b3104914123/rendering/16.obj", "3.39780334473")</f>
        <v>3.39780334473</v>
      </c>
      <c r="T2289" s="68" t="str">
        <f>HYPERLINK(AB2 &amp; "/pencil/sn_f1154175a5edbd892056b3104914123/rendering/17.obj", "3.26239990234")</f>
        <v>3.26239990234</v>
      </c>
      <c r="U2289" s="60" t="str">
        <f>HYPERLINK(AB2 &amp; "/pencil/sn_f1154175a5edbd892056b3104914123/rendering/18.obj", "3.22845855713")</f>
        <v>3.22845855713</v>
      </c>
      <c r="V2289" s="78" t="str">
        <f>HYPERLINK(AB2 &amp; "/pencil/sn_f1154175a5edbd892056b3104914123/rendering/19.obj", "3.19083557129")</f>
        <v>3.19083557129</v>
      </c>
      <c r="W2289" s="12" t="s">
        <v>31</v>
      </c>
      <c r="X2289" s="13">
        <v>3.4022814331054678</v>
      </c>
      <c r="Y2289" s="13">
        <v>0.17571456813524569</v>
      </c>
      <c r="Z2289" s="60">
        <v>5.1646100297722979E-2</v>
      </c>
    </row>
    <row r="2290" spans="1:26" x14ac:dyDescent="0.2">
      <c r="A2290" s="1">
        <v>2288</v>
      </c>
      <c r="B2290" s="2" t="s">
        <v>490</v>
      </c>
      <c r="C2290" s="33" t="str">
        <f>HYPERLINK(AB2 &amp; "/pencil/sn_f1154175a5edbd892056b3104914123/rendering/00.obj", "0.985580503941")</f>
        <v>0.985580503941</v>
      </c>
      <c r="D2290" s="46" t="str">
        <f>HYPERLINK(AB2 &amp; "/pencil/sn_f1154175a5edbd892056b3104914123/rendering/01.obj", "0.906381249428")</f>
        <v>0.906381249428</v>
      </c>
      <c r="E2290" s="36" t="str">
        <f>HYPERLINK(AB2 &amp; "/pencil/sn_f1154175a5edbd892056b3104914123/rendering/02.obj", "0.697943687439")</f>
        <v>0.697943687439</v>
      </c>
      <c r="F2290" s="44" t="str">
        <f>HYPERLINK(AB2 &amp; "/pencil/sn_f1154175a5edbd892056b3104914123/rendering/03.obj", "1.06426990032")</f>
        <v>1.06426990032</v>
      </c>
      <c r="G2290" s="23" t="str">
        <f>HYPERLINK(AB2 &amp; "/pencil/sn_f1154175a5edbd892056b3104914123/rendering/04.obj", "0.855263531208")</f>
        <v>0.855263531208</v>
      </c>
      <c r="H2290" s="98" t="str">
        <f>HYPERLINK(AB2 &amp; "/pencil/sn_f1154175a5edbd892056b3104914123/rendering/05.obj", "0.684649288654")</f>
        <v>0.684649288654</v>
      </c>
      <c r="I2290" s="31" t="str">
        <f>HYPERLINK(AB2 &amp; "/pencil/sn_f1154175a5edbd892056b3104914123/rendering/06.obj", "0.752597272396")</f>
        <v>0.752597272396</v>
      </c>
      <c r="J2290" s="174" t="str">
        <f>HYPERLINK(AB2 &amp; "/pencil/sn_f1154175a5edbd892056b3104914123/rendering/07.obj", "1.35756742954")</f>
        <v>1.35756742954</v>
      </c>
      <c r="K2290" s="19" t="str">
        <f>HYPERLINK(AB2 &amp; "/pencil/sn_f1154175a5edbd892056b3104914123/rendering/08.obj", "1.12389421463")</f>
        <v>1.12389421463</v>
      </c>
      <c r="L2290" s="88" t="str">
        <f>HYPERLINK(AB2 &amp; "/pencil/sn_f1154175a5edbd892056b3104914123/rendering/09.obj", "0.711453855038")</f>
        <v>0.711453855038</v>
      </c>
      <c r="M2290" s="74" t="str">
        <f>HYPERLINK(AB2 &amp; "/pencil/sn_f1154175a5edbd892056b3104914123/rendering/10.obj", "0.903195559978")</f>
        <v>0.903195559978</v>
      </c>
      <c r="N2290" s="44" t="str">
        <f>HYPERLINK(AB2 &amp; "/pencil/sn_f1154175a5edbd892056b3104914123/rendering/11.obj", "0.715371549129")</f>
        <v>0.715371549129</v>
      </c>
      <c r="O2290" s="88" t="str">
        <f>HYPERLINK(AB2 &amp; "/pencil/sn_f1154175a5edbd892056b3104914123/rendering/12.obj", "0.710866928101")</f>
        <v>0.710866928101</v>
      </c>
      <c r="P2290" s="66" t="str">
        <f>HYPERLINK(AB2 &amp; "/pencil/sn_f1154175a5edbd892056b3104914123/rendering/13.obj", "1.0337164402")</f>
        <v>1.0337164402</v>
      </c>
      <c r="Q2290" s="106" t="str">
        <f>HYPERLINK(AB2 &amp; "/pencil/sn_f1154175a5edbd892056b3104914123/rendering/14.obj", "0.993256628513")</f>
        <v>0.993256628513</v>
      </c>
      <c r="R2290" s="98" t="str">
        <f>HYPERLINK(AB2 &amp; "/pencil/sn_f1154175a5edbd892056b3104914123/rendering/15.obj", "0.685548841953")</f>
        <v>0.685548841953</v>
      </c>
      <c r="S2290" s="51" t="str">
        <f>HYPERLINK(AB2 &amp; "/pencil/sn_f1154175a5edbd892056b3104914123/rendering/16.obj", "0.960496246815")</f>
        <v>0.960496246815</v>
      </c>
      <c r="T2290" s="133" t="str">
        <f>HYPERLINK(AB2 &amp; "/pencil/sn_f1154175a5edbd892056b3104914123/rendering/17.obj", "0.799830794334")</f>
        <v>0.799830794334</v>
      </c>
      <c r="U2290" s="38" t="str">
        <f>HYPERLINK(AB2 &amp; "/pencil/sn_f1154175a5edbd892056b3104914123/rendering/18.obj", "0.969371259212")</f>
        <v>0.969371259212</v>
      </c>
      <c r="V2290" s="13" t="str">
        <f>HYPERLINK(AB2 &amp; "/pencil/sn_f1154175a5edbd892056b3104914123/rendering/19.obj", "0.892574429512")</f>
        <v>0.892574429512</v>
      </c>
      <c r="W2290" s="12" t="s">
        <v>32</v>
      </c>
      <c r="X2290" s="13">
        <v>0.89019148051738739</v>
      </c>
      <c r="Y2290" s="13">
        <v>0.1731183954504712</v>
      </c>
      <c r="Z2290" s="55">
        <v>0.1944732108083681</v>
      </c>
    </row>
    <row r="2291" spans="1:26" x14ac:dyDescent="0.2">
      <c r="A2291" s="1">
        <v>2289</v>
      </c>
      <c r="B2291" s="2" t="s">
        <v>490</v>
      </c>
      <c r="C2291" s="13" t="str">
        <f>HYPERLINK(AC2 &amp; "/pencil/sn_f1154175a5edbd892056b3104914123/rendering/00.xyz", "0.0")</f>
        <v>0.0</v>
      </c>
      <c r="D2291" s="13" t="str">
        <f>HYPERLINK(AC2 &amp; "/pencil/sn_f1154175a5edbd892056b3104914123/rendering/01.xyz", "0.0")</f>
        <v>0.0</v>
      </c>
      <c r="E2291" s="13" t="str">
        <f>HYPERLINK(AC2 &amp; "/pencil/sn_f1154175a5edbd892056b3104914123/rendering/02.xyz", "0.0")</f>
        <v>0.0</v>
      </c>
      <c r="F2291" s="13" t="str">
        <f>HYPERLINK(AC2 &amp; "/pencil/sn_f1154175a5edbd892056b3104914123/rendering/03.xyz", "0.0")</f>
        <v>0.0</v>
      </c>
      <c r="G2291" s="13" t="str">
        <f>HYPERLINK(AC2 &amp; "/pencil/sn_f1154175a5edbd892056b3104914123/rendering/04.xyz", "0.0")</f>
        <v>0.0</v>
      </c>
      <c r="H2291" s="13" t="str">
        <f>HYPERLINK(AC2 &amp; "/pencil/sn_f1154175a5edbd892056b3104914123/rendering/05.xyz", "0.0")</f>
        <v>0.0</v>
      </c>
      <c r="I2291" s="13" t="str">
        <f>HYPERLINK(AC2 &amp; "/pencil/sn_f1154175a5edbd892056b3104914123/rendering/06.xyz", "0.0")</f>
        <v>0.0</v>
      </c>
      <c r="J2291" s="13" t="str">
        <f>HYPERLINK(AC2 &amp; "/pencil/sn_f1154175a5edbd892056b3104914123/rendering/07.xyz", "0.0")</f>
        <v>0.0</v>
      </c>
      <c r="K2291" s="13" t="str">
        <f>HYPERLINK(AC2 &amp; "/pencil/sn_f1154175a5edbd892056b3104914123/rendering/08.xyz", "0.0")</f>
        <v>0.0</v>
      </c>
      <c r="L2291" s="13" t="str">
        <f>HYPERLINK(AC2 &amp; "/pencil/sn_f1154175a5edbd892056b3104914123/rendering/09.xyz", "0.0")</f>
        <v>0.0</v>
      </c>
      <c r="M2291" s="13" t="str">
        <f>HYPERLINK(AC2 &amp; "/pencil/sn_f1154175a5edbd892056b3104914123/rendering/10.xyz", "0.0")</f>
        <v>0.0</v>
      </c>
      <c r="N2291" s="13" t="str">
        <f>HYPERLINK(AC2 &amp; "/pencil/sn_f1154175a5edbd892056b3104914123/rendering/11.xyz", "0.0")</f>
        <v>0.0</v>
      </c>
      <c r="O2291" s="13" t="str">
        <f>HYPERLINK(AC2 &amp; "/pencil/sn_f1154175a5edbd892056b3104914123/rendering/12.xyz", "0.0")</f>
        <v>0.0</v>
      </c>
      <c r="P2291" s="13" t="str">
        <f>HYPERLINK(AC2 &amp; "/pencil/sn_f1154175a5edbd892056b3104914123/rendering/13.xyz", "0.0")</f>
        <v>0.0</v>
      </c>
      <c r="Q2291" s="13" t="str">
        <f>HYPERLINK(AC2 &amp; "/pencil/sn_f1154175a5edbd892056b3104914123/rendering/14.xyz", "0.0")</f>
        <v>0.0</v>
      </c>
      <c r="R2291" s="13" t="str">
        <f>HYPERLINK(AC2 &amp; "/pencil/sn_f1154175a5edbd892056b3104914123/rendering/15.xyz", "0.0")</f>
        <v>0.0</v>
      </c>
      <c r="S2291" s="13" t="str">
        <f>HYPERLINK(AC2 &amp; "/pencil/sn_f1154175a5edbd892056b3104914123/rendering/16.xyz", "0.0")</f>
        <v>0.0</v>
      </c>
      <c r="T2291" s="13" t="str">
        <f>HYPERLINK(AC2 &amp; "/pencil/sn_f1154175a5edbd892056b3104914123/rendering/17.xyz", "0.0")</f>
        <v>0.0</v>
      </c>
      <c r="U2291" s="13" t="str">
        <f>HYPERLINK(AC2 &amp; "/pencil/sn_f1154175a5edbd892056b3104914123/rendering/18.xyz", "0.0")</f>
        <v>0.0</v>
      </c>
      <c r="V2291" s="13" t="str">
        <f>HYPERLINK(AC2 &amp; "/pencil/sn_f1154175a5edbd892056b3104914123/rendering/19.xyz", "0.0")</f>
        <v>0.0</v>
      </c>
      <c r="W2291" s="12" t="s">
        <v>33</v>
      </c>
      <c r="X2291" s="13">
        <v>0</v>
      </c>
      <c r="Y2291" s="13">
        <v>0</v>
      </c>
      <c r="Z2291" s="13">
        <v>0</v>
      </c>
    </row>
    <row r="2292" spans="1:26" x14ac:dyDescent="0.2">
      <c r="A2292" s="1">
        <v>2290</v>
      </c>
      <c r="B2292" s="2" t="s">
        <v>491</v>
      </c>
      <c r="C2292" s="64" t="str">
        <f>HYPERLINK(AA2 &amp; "/pencil/sn_f1b1c59859761721ed1c1c47436c7974/rendering/00.obj", "3.92908782959")</f>
        <v>3.92908782959</v>
      </c>
      <c r="D2292" s="20" t="str">
        <f>HYPERLINK(AA2 &amp; "/pencil/sn_f1b1c59859761721ed1c1c47436c7974/rendering/01.obj", "14.0495629883")</f>
        <v>14.0495629883</v>
      </c>
      <c r="E2292" s="84" t="str">
        <f>HYPERLINK(AA2 &amp; "/pencil/sn_f1b1c59859761721ed1c1c47436c7974/rendering/02.obj", "4.01677429199")</f>
        <v>4.01677429199</v>
      </c>
      <c r="F2292" s="83" t="str">
        <f>HYPERLINK(AA2 &amp; "/pencil/sn_f1b1c59859761721ed1c1c47436c7974/rendering/03.obj", "5.42664672852")</f>
        <v>5.42664672852</v>
      </c>
      <c r="G2292" s="107" t="str">
        <f>HYPERLINK(AA2 &amp; "/pencil/sn_f1b1c59859761721ed1c1c47436c7974/rendering/04.obj", "4.3172088623")</f>
        <v>4.3172088623</v>
      </c>
      <c r="H2292" s="82" t="str">
        <f>HYPERLINK(AA2 &amp; "/pencil/sn_f1b1c59859761721ed1c1c47436c7974/rendering/05.obj", "3.73366333008")</f>
        <v>3.73366333008</v>
      </c>
      <c r="I2292" s="25" t="str">
        <f>HYPERLINK(AA2 &amp; "/pencil/sn_f1b1c59859761721ed1c1c47436c7974/rendering/06.obj", "4.75564697266")</f>
        <v>4.75564697266</v>
      </c>
      <c r="J2292" s="28" t="str">
        <f>HYPERLINK(AA2 &amp; "/pencil/sn_f1b1c59859761721ed1c1c47436c7974/rendering/07.obj", "4.1841015625")</f>
        <v>4.1841015625</v>
      </c>
      <c r="K2292" s="81" t="str">
        <f>HYPERLINK(AA2 &amp; "/pencil/sn_f1b1c59859761721ed1c1c47436c7974/rendering/08.obj", "3.67371520996")</f>
        <v>3.67371520996</v>
      </c>
      <c r="L2292" s="40" t="str">
        <f>HYPERLINK(AA2 &amp; "/pencil/sn_f1b1c59859761721ed1c1c47436c7974/rendering/09.obj", "3.89702545166")</f>
        <v>3.89702545166</v>
      </c>
      <c r="M2292" s="64" t="str">
        <f>HYPERLINK(AA2 &amp; "/pencil/sn_f1b1c59859761721ed1c1c47436c7974/rendering/10.obj", "3.9255380249")</f>
        <v>3.9255380249</v>
      </c>
      <c r="N2292" s="46" t="str">
        <f>HYPERLINK(AA2 &amp; "/pencil/sn_f1b1c59859761721ed1c1c47436c7974/rendering/11.obj", "4.78499938965")</f>
        <v>4.78499938965</v>
      </c>
      <c r="O2292" s="82" t="str">
        <f>HYPERLINK(AA2 &amp; "/pencil/sn_f1b1c59859761721ed1c1c47436c7974/rendering/12.obj", "3.73533935547")</f>
        <v>3.73533935547</v>
      </c>
      <c r="P2292" s="8" t="str">
        <f>HYPERLINK(AA2 &amp; "/pencil/sn_f1b1c59859761721ed1c1c47436c7974/rendering/13.obj", "4.02839477539")</f>
        <v>4.02839477539</v>
      </c>
      <c r="Q2292" s="109" t="str">
        <f>HYPERLINK(AA2 &amp; "/pencil/sn_f1b1c59859761721ed1c1c47436c7974/rendering/14.obj", "3.8108996582")</f>
        <v>3.8108996582</v>
      </c>
      <c r="R2292" s="64" t="str">
        <f>HYPERLINK(AA2 &amp; "/pencil/sn_f1b1c59859761721ed1c1c47436c7974/rendering/15.obj", "3.93381317139")</f>
        <v>3.93381317139</v>
      </c>
      <c r="S2292" s="124" t="str">
        <f>HYPERLINK(AA2 &amp; "/pencil/sn_f1b1c59859761721ed1c1c47436c7974/rendering/16.obj", "6.49620605469")</f>
        <v>6.49620605469</v>
      </c>
      <c r="T2292" s="66" t="str">
        <f>HYPERLINK(AA2 &amp; "/pencil/sn_f1b1c59859761721ed1c1c47436c7974/rendering/17.obj", "3.94528625488")</f>
        <v>3.94528625488</v>
      </c>
      <c r="U2292" s="64" t="str">
        <f>HYPERLINK(AA2 &amp; "/pencil/sn_f1b1c59859761721ed1c1c47436c7974/rendering/18.obj", "3.93701507568")</f>
        <v>3.93701507568</v>
      </c>
      <c r="V2292" s="129" t="str">
        <f>HYPERLINK(AA2 &amp; "/pencil/sn_f1b1c59859761721ed1c1c47436c7974/rendering/19.obj", "3.5269708252")</f>
        <v>3.5269708252</v>
      </c>
      <c r="W2292" s="12" t="s">
        <v>29</v>
      </c>
      <c r="X2292" s="13">
        <v>4.7053947906494136</v>
      </c>
      <c r="Y2292" s="13">
        <v>2.2491192779232221</v>
      </c>
      <c r="Z2292" s="200">
        <v>0.47798736938985092</v>
      </c>
    </row>
    <row r="2293" spans="1:26" x14ac:dyDescent="0.2">
      <c r="A2293" s="1">
        <v>2291</v>
      </c>
      <c r="B2293" s="2" t="s">
        <v>491</v>
      </c>
      <c r="C2293" s="246" t="str">
        <f>HYPERLINK(AA2 &amp; "/pencil/sn_f1b1c59859761721ed1c1c47436c7974/rendering/00.obj", "0.97607254982")</f>
        <v>0.97607254982</v>
      </c>
      <c r="D2293" s="20" t="str">
        <f>HYPERLINK(AA2 &amp; "/pencil/sn_f1b1c59859761721ed1c1c47436c7974/rendering/01.obj", "24.2513237")</f>
        <v>24.2513237</v>
      </c>
      <c r="E2293" s="225" t="str">
        <f>HYPERLINK(AA2 &amp; "/pencil/sn_f1b1c59859761721ed1c1c47436c7974/rendering/02.obj", "1.0770791769")</f>
        <v>1.0770791769</v>
      </c>
      <c r="F2293" s="192" t="str">
        <f>HYPERLINK(AA2 &amp; "/pencil/sn_f1b1c59859761721ed1c1c47436c7974/rendering/03.obj", "3.43649458885")</f>
        <v>3.43649458885</v>
      </c>
      <c r="G2293" s="16" t="str">
        <f>HYPERLINK(AA2 &amp; "/pencil/sn_f1b1c59859761721ed1c1c47436c7974/rendering/04.obj", "1.14523279667")</f>
        <v>1.14523279667</v>
      </c>
      <c r="H2293" s="251" t="str">
        <f>HYPERLINK(AA2 &amp; "/pencil/sn_f1b1c59859761721ed1c1c47436c7974/rendering/05.obj", "1.02989137173")</f>
        <v>1.02989137173</v>
      </c>
      <c r="I2293" s="196" t="str">
        <f>HYPERLINK(AA2 &amp; "/pencil/sn_f1b1c59859761721ed1c1c47436c7974/rendering/06.obj", "1.51416623592")</f>
        <v>1.51416623592</v>
      </c>
      <c r="J2293" s="187" t="str">
        <f>HYPERLINK(AA2 &amp; "/pencil/sn_f1b1c59859761721ed1c1c47436c7974/rendering/07.obj", "1.63157844543")</f>
        <v>1.63157844543</v>
      </c>
      <c r="K2293" s="244" t="str">
        <f>HYPERLINK(AA2 &amp; "/pencil/sn_f1b1c59859761721ed1c1c47436c7974/rendering/08.obj", "0.967688202858")</f>
        <v>0.967688202858</v>
      </c>
      <c r="L2293" s="240" t="str">
        <f>HYPERLINK(AA2 &amp; "/pencil/sn_f1b1c59859761721ed1c1c47436c7974/rendering/09.obj", "0.863201260567")</f>
        <v>0.863201260567</v>
      </c>
      <c r="M2293" s="164" t="str">
        <f>HYPERLINK(AA2 &amp; "/pencil/sn_f1b1c59859761721ed1c1c47436c7974/rendering/10.obj", "0.91433608532")</f>
        <v>0.91433608532</v>
      </c>
      <c r="N2293" s="75" t="str">
        <f>HYPERLINK(AA2 &amp; "/pencil/sn_f1b1c59859761721ed1c1c47436c7974/rendering/11.obj", "1.95063114166")</f>
        <v>1.95063114166</v>
      </c>
      <c r="O2293" s="217" t="str">
        <f>HYPERLINK(AA2 &amp; "/pencil/sn_f1b1c59859761721ed1c1c47436c7974/rendering/12.obj", "0.920736014843")</f>
        <v>0.920736014843</v>
      </c>
      <c r="P2293" s="197" t="str">
        <f>HYPERLINK(AA2 &amp; "/pencil/sn_f1b1c59859761721ed1c1c47436c7974/rendering/13.obj", "1.08565402031")</f>
        <v>1.08565402031</v>
      </c>
      <c r="Q2293" s="197" t="str">
        <f>HYPERLINK(AA2 &amp; "/pencil/sn_f1b1c59859761721ed1c1c47436c7974/rendering/14.obj", "1.08845186234")</f>
        <v>1.08845186234</v>
      </c>
      <c r="R2293" s="244" t="str">
        <f>HYPERLINK(AA2 &amp; "/pencil/sn_f1b1c59859761721ed1c1c47436c7974/rendering/15.obj", "0.968496978283")</f>
        <v>0.968496978283</v>
      </c>
      <c r="S2293" s="159" t="str">
        <f>HYPERLINK(AA2 &amp; "/pencil/sn_f1b1c59859761721ed1c1c47436c7974/rendering/16.obj", "3.67795443535")</f>
        <v>3.67795443535</v>
      </c>
      <c r="T2293" s="164" t="str">
        <f>HYPERLINK(AA2 &amp; "/pencil/sn_f1b1c59859761721ed1c1c47436c7974/rendering/17.obj", "0.914379656315")</f>
        <v>0.914379656315</v>
      </c>
      <c r="U2293" s="252" t="str">
        <f>HYPERLINK(AA2 &amp; "/pencil/sn_f1b1c59859761721ed1c1c47436c7974/rendering/18.obj", "0.887832641602")</f>
        <v>0.887832641602</v>
      </c>
      <c r="V2293" s="215" t="str">
        <f>HYPERLINK(AA2 &amp; "/pencil/sn_f1b1c59859761721ed1c1c47436c7974/rendering/19.obj", "0.825057685375")</f>
        <v>0.825057685375</v>
      </c>
      <c r="W2293" s="12" t="s">
        <v>30</v>
      </c>
      <c r="X2293" s="13">
        <v>2.5063129425048829</v>
      </c>
      <c r="Y2293" s="13">
        <v>5.0499897654037831</v>
      </c>
      <c r="Z2293" s="20">
        <v>2.0149079070535678</v>
      </c>
    </row>
    <row r="2294" spans="1:26" x14ac:dyDescent="0.2">
      <c r="A2294" s="1">
        <v>2292</v>
      </c>
      <c r="B2294" s="2" t="s">
        <v>491</v>
      </c>
      <c r="C2294" s="10" t="str">
        <f>HYPERLINK(AB2 &amp; "/pencil/sn_f1b1c59859761721ed1c1c47436c7974/rendering/00.obj", "3.70628723145")</f>
        <v>3.70628723145</v>
      </c>
      <c r="D2294" s="134" t="str">
        <f>HYPERLINK(AB2 &amp; "/pencil/sn_f1b1c59859761721ed1c1c47436c7974/rendering/01.obj", "4.15347229004")</f>
        <v>4.15347229004</v>
      </c>
      <c r="E2294" s="17" t="str">
        <f>HYPERLINK(AB2 &amp; "/pencil/sn_f1b1c59859761721ed1c1c47436c7974/rendering/02.obj", "3.5886151123")</f>
        <v>3.5886151123</v>
      </c>
      <c r="F2294" s="70" t="str">
        <f>HYPERLINK(AB2 &amp; "/pencil/sn_f1b1c59859761721ed1c1c47436c7974/rendering/03.obj", "3.06510314941")</f>
        <v>3.06510314941</v>
      </c>
      <c r="G2294" s="26" t="str">
        <f>HYPERLINK(AB2 &amp; "/pencil/sn_f1b1c59859761721ed1c1c47436c7974/rendering/04.obj", "3.74647399902")</f>
        <v>3.74647399902</v>
      </c>
      <c r="H2294" s="77" t="str">
        <f>HYPERLINK(AB2 &amp; "/pencil/sn_f1b1c59859761721ed1c1c47436c7974/rendering/05.obj", "2.85930419922")</f>
        <v>2.85930419922</v>
      </c>
      <c r="I2294" s="67" t="str">
        <f>HYPERLINK(AB2 &amp; "/pencil/sn_f1b1c59859761721ed1c1c47436c7974/rendering/06.obj", "3.19491394043")</f>
        <v>3.19491394043</v>
      </c>
      <c r="J2294" s="72" t="str">
        <f>HYPERLINK(AB2 &amp; "/pencil/sn_f1b1c59859761721ed1c1c47436c7974/rendering/07.obj", "3.39561157227")</f>
        <v>3.39561157227</v>
      </c>
      <c r="K2294" s="34" t="str">
        <f>HYPERLINK(AB2 &amp; "/pencil/sn_f1b1c59859761721ed1c1c47436c7974/rendering/08.obj", "3.34029052734")</f>
        <v>3.34029052734</v>
      </c>
      <c r="L2294" s="17" t="str">
        <f>HYPERLINK(AB2 &amp; "/pencil/sn_f1b1c59859761721ed1c1c47436c7974/rendering/09.obj", "3.44127075195")</f>
        <v>3.44127075195</v>
      </c>
      <c r="M2294" s="74" t="str">
        <f>HYPERLINK(AB2 &amp; "/pencil/sn_f1b1c59859761721ed1c1c47436c7974/rendering/10.obj", "3.46075195312")</f>
        <v>3.46075195312</v>
      </c>
      <c r="N2294" s="106" t="str">
        <f>HYPERLINK(AB2 &amp; "/pencil/sn_f1b1c59859761721ed1c1c47436c7974/rendering/11.obj", "3.91368255615")</f>
        <v>3.91368255615</v>
      </c>
      <c r="O2294" s="5" t="str">
        <f>HYPERLINK(AB2 &amp; "/pencil/sn_f1b1c59859761721ed1c1c47436c7974/rendering/12.obj", "3.24938201904")</f>
        <v>3.24938201904</v>
      </c>
      <c r="P2294" s="13" t="str">
        <f>HYPERLINK(AB2 &amp; "/pencil/sn_f1b1c59859761721ed1c1c47436c7974/rendering/13.obj", "3.51204956055")</f>
        <v>3.51204956055</v>
      </c>
      <c r="Q2294" s="47" t="str">
        <f>HYPERLINK(AB2 &amp; "/pencil/sn_f1b1c59859761721ed1c1c47436c7974/rendering/14.obj", "3.53758666992")</f>
        <v>3.53758666992</v>
      </c>
      <c r="R2294" s="17" t="str">
        <f>HYPERLINK(AB2 &amp; "/pencil/sn_f1b1c59859761721ed1c1c47436c7974/rendering/15.obj", "3.58187164307")</f>
        <v>3.58187164307</v>
      </c>
      <c r="S2294" s="175" t="str">
        <f>HYPERLINK(AB2 &amp; "/pencil/sn_f1b1c59859761721ed1c1c47436c7974/rendering/16.obj", "4.3342300415")</f>
        <v>4.3342300415</v>
      </c>
      <c r="T2294" s="17" t="str">
        <f>HYPERLINK(AB2 &amp; "/pencil/sn_f1b1c59859761721ed1c1c47436c7974/rendering/17.obj", "3.58268920898")</f>
        <v>3.58268920898</v>
      </c>
      <c r="U2294" s="17" t="str">
        <f>HYPERLINK(AB2 &amp; "/pencil/sn_f1b1c59859761721ed1c1c47436c7974/rendering/18.obj", "3.44710571289")</f>
        <v>3.44710571289</v>
      </c>
      <c r="V2294" s="38" t="str">
        <f>HYPERLINK(AB2 &amp; "/pencil/sn_f1b1c59859761721ed1c1c47436c7974/rendering/19.obj", "3.19910308838")</f>
        <v>3.19910308838</v>
      </c>
      <c r="W2294" s="12" t="s">
        <v>31</v>
      </c>
      <c r="X2294" s="13">
        <v>3.5154897613525389</v>
      </c>
      <c r="Y2294" s="13">
        <v>0.33954373196959808</v>
      </c>
      <c r="Z2294" s="90">
        <v>9.6585043626741501E-2</v>
      </c>
    </row>
    <row r="2295" spans="1:26" x14ac:dyDescent="0.2">
      <c r="A2295" s="1">
        <v>2293</v>
      </c>
      <c r="B2295" s="2" t="s">
        <v>491</v>
      </c>
      <c r="C2295" s="117" t="str">
        <f>HYPERLINK(AB2 &amp; "/pencil/sn_f1b1c59859761721ed1c1c47436c7974/rendering/00.obj", "0.79164659977")</f>
        <v>0.79164659977</v>
      </c>
      <c r="D2295" s="230" t="str">
        <f>HYPERLINK(AB2 &amp; "/pencil/sn_f1b1c59859761721ed1c1c47436c7974/rendering/01.obj", "1.39889156818")</f>
        <v>1.39889156818</v>
      </c>
      <c r="E2295" s="133" t="str">
        <f>HYPERLINK(AB2 &amp; "/pencil/sn_f1b1c59859761721ed1c1c47436c7974/rendering/02.obj", "0.862561583519")</f>
        <v>0.862561583519</v>
      </c>
      <c r="F2295" s="71" t="str">
        <f>HYPERLINK(AB2 &amp; "/pencil/sn_f1b1c59859761721ed1c1c47436c7974/rendering/03.obj", "0.846302568913")</f>
        <v>0.846302568913</v>
      </c>
      <c r="G2295" s="63" t="str">
        <f>HYPERLINK(AB2 &amp; "/pencil/sn_f1b1c59859761721ed1c1c47436c7974/rendering/04.obj", "0.844012856483")</f>
        <v>0.844012856483</v>
      </c>
      <c r="H2295" s="29" t="str">
        <f>HYPERLINK(AB2 &amp; "/pencil/sn_f1b1c59859761721ed1c1c47436c7974/rendering/05.obj", "0.835146248341")</f>
        <v>0.835146248341</v>
      </c>
      <c r="I2295" s="93" t="str">
        <f>HYPERLINK(AB2 &amp; "/pencil/sn_f1b1c59859761721ed1c1c47436c7974/rendering/06.obj", "1.09506845474")</f>
        <v>1.09506845474</v>
      </c>
      <c r="J2295" s="80" t="str">
        <f>HYPERLINK(AB2 &amp; "/pencil/sn_f1b1c59859761721ed1c1c47436c7974/rendering/07.obj", "0.816776931286")</f>
        <v>0.816776931286</v>
      </c>
      <c r="K2295" s="66" t="str">
        <f>HYPERLINK(AB2 &amp; "/pencil/sn_f1b1c59859761721ed1c1c47436c7974/rendering/08.obj", "0.805314540863")</f>
        <v>0.805314540863</v>
      </c>
      <c r="L2295" s="72" t="str">
        <f>HYPERLINK(AB2 &amp; "/pencil/sn_f1b1c59859761721ed1c1c47436c7974/rendering/09.obj", "0.928251624107")</f>
        <v>0.928251624107</v>
      </c>
      <c r="M2295" s="26" t="str">
        <f>HYPERLINK(AB2 &amp; "/pencil/sn_f1b1c59859761721ed1c1c47436c7974/rendering/10.obj", "1.02347660065")</f>
        <v>1.02347660065</v>
      </c>
      <c r="N2295" s="79" t="str">
        <f>HYPERLINK(AB2 &amp; "/pencil/sn_f1b1c59859761721ed1c1c47436c7974/rendering/11.obj", "1.1137752533")</f>
        <v>1.1137752533</v>
      </c>
      <c r="O2295" s="33" t="str">
        <f>HYPERLINK(AB2 &amp; "/pencil/sn_f1b1c59859761721ed1c1c47436c7974/rendering/12.obj", "0.855974674225")</f>
        <v>0.855974674225</v>
      </c>
      <c r="P2295" s="40" t="str">
        <f>HYPERLINK(AB2 &amp; "/pencil/sn_f1b1c59859761721ed1c1c47436c7974/rendering/13.obj", "0.797154009342")</f>
        <v>0.797154009342</v>
      </c>
      <c r="Q2295" s="31" t="str">
        <f>HYPERLINK(AB2 &amp; "/pencil/sn_f1b1c59859761721ed1c1c47436c7974/rendering/14.obj", "0.809906363487")</f>
        <v>0.809906363487</v>
      </c>
      <c r="R2295" s="94" t="str">
        <f>HYPERLINK(AB2 &amp; "/pencil/sn_f1b1c59859761721ed1c1c47436c7974/rendering/15.obj", "0.888872742653")</f>
        <v>0.888872742653</v>
      </c>
      <c r="S2295" s="188" t="str">
        <f>HYPERLINK(AB2 &amp; "/pencil/sn_f1b1c59859761721ed1c1c47436c7974/rendering/16.obj", "1.64798891544")</f>
        <v>1.64798891544</v>
      </c>
      <c r="T2295" s="76" t="str">
        <f>HYPERLINK(AB2 &amp; "/pencil/sn_f1b1c59859761721ed1c1c47436c7974/rendering/17.obj", "1.13567042351")</f>
        <v>1.13567042351</v>
      </c>
      <c r="U2295" s="5" t="str">
        <f>HYPERLINK(AB2 &amp; "/pencil/sn_f1b1c59859761721ed1c1c47436c7974/rendering/18.obj", "0.887830197811")</f>
        <v>0.887830197811</v>
      </c>
      <c r="V2295" s="8" t="str">
        <f>HYPERLINK(AB2 &amp; "/pencil/sn_f1b1c59859761721ed1c1c47436c7974/rendering/19.obj", "0.824291825294")</f>
        <v>0.824291825294</v>
      </c>
      <c r="W2295" s="12" t="s">
        <v>32</v>
      </c>
      <c r="X2295" s="13">
        <v>0.96044569909572597</v>
      </c>
      <c r="Y2295" s="13">
        <v>0.21869348750628911</v>
      </c>
      <c r="Z2295" s="87">
        <v>0.2277000018972361</v>
      </c>
    </row>
    <row r="2296" spans="1:26" x14ac:dyDescent="0.2">
      <c r="A2296" s="1">
        <v>2294</v>
      </c>
      <c r="B2296" s="2" t="s">
        <v>491</v>
      </c>
      <c r="C2296" s="13" t="str">
        <f>HYPERLINK(AC2 &amp; "/pencil/sn_f1b1c59859761721ed1c1c47436c7974/rendering/00.xyz", "0.0")</f>
        <v>0.0</v>
      </c>
      <c r="D2296" s="13" t="str">
        <f>HYPERLINK(AC2 &amp; "/pencil/sn_f1b1c59859761721ed1c1c47436c7974/rendering/01.xyz", "0.0")</f>
        <v>0.0</v>
      </c>
      <c r="E2296" s="13" t="str">
        <f>HYPERLINK(AC2 &amp; "/pencil/sn_f1b1c59859761721ed1c1c47436c7974/rendering/02.xyz", "0.0")</f>
        <v>0.0</v>
      </c>
      <c r="F2296" s="13" t="str">
        <f>HYPERLINK(AC2 &amp; "/pencil/sn_f1b1c59859761721ed1c1c47436c7974/rendering/03.xyz", "0.0")</f>
        <v>0.0</v>
      </c>
      <c r="G2296" s="13" t="str">
        <f>HYPERLINK(AC2 &amp; "/pencil/sn_f1b1c59859761721ed1c1c47436c7974/rendering/04.xyz", "0.0")</f>
        <v>0.0</v>
      </c>
      <c r="H2296" s="13" t="str">
        <f>HYPERLINK(AC2 &amp; "/pencil/sn_f1b1c59859761721ed1c1c47436c7974/rendering/05.xyz", "0.0")</f>
        <v>0.0</v>
      </c>
      <c r="I2296" s="13" t="str">
        <f>HYPERLINK(AC2 &amp; "/pencil/sn_f1b1c59859761721ed1c1c47436c7974/rendering/06.xyz", "0.0")</f>
        <v>0.0</v>
      </c>
      <c r="J2296" s="13" t="str">
        <f>HYPERLINK(AC2 &amp; "/pencil/sn_f1b1c59859761721ed1c1c47436c7974/rendering/07.xyz", "0.0")</f>
        <v>0.0</v>
      </c>
      <c r="K2296" s="13" t="str">
        <f>HYPERLINK(AC2 &amp; "/pencil/sn_f1b1c59859761721ed1c1c47436c7974/rendering/08.xyz", "0.0")</f>
        <v>0.0</v>
      </c>
      <c r="L2296" s="13" t="str">
        <f>HYPERLINK(AC2 &amp; "/pencil/sn_f1b1c59859761721ed1c1c47436c7974/rendering/09.xyz", "0.0")</f>
        <v>0.0</v>
      </c>
      <c r="M2296" s="13" t="str">
        <f>HYPERLINK(AC2 &amp; "/pencil/sn_f1b1c59859761721ed1c1c47436c7974/rendering/10.xyz", "0.0")</f>
        <v>0.0</v>
      </c>
      <c r="N2296" s="13" t="str">
        <f>HYPERLINK(AC2 &amp; "/pencil/sn_f1b1c59859761721ed1c1c47436c7974/rendering/11.xyz", "0.0")</f>
        <v>0.0</v>
      </c>
      <c r="O2296" s="13" t="str">
        <f>HYPERLINK(AC2 &amp; "/pencil/sn_f1b1c59859761721ed1c1c47436c7974/rendering/12.xyz", "0.0")</f>
        <v>0.0</v>
      </c>
      <c r="P2296" s="13" t="str">
        <f>HYPERLINK(AC2 &amp; "/pencil/sn_f1b1c59859761721ed1c1c47436c7974/rendering/13.xyz", "0.0")</f>
        <v>0.0</v>
      </c>
      <c r="Q2296" s="13" t="str">
        <f>HYPERLINK(AC2 &amp; "/pencil/sn_f1b1c59859761721ed1c1c47436c7974/rendering/14.xyz", "0.0")</f>
        <v>0.0</v>
      </c>
      <c r="R2296" s="13" t="str">
        <f>HYPERLINK(AC2 &amp; "/pencil/sn_f1b1c59859761721ed1c1c47436c7974/rendering/15.xyz", "0.0")</f>
        <v>0.0</v>
      </c>
      <c r="S2296" s="13" t="str">
        <f>HYPERLINK(AC2 &amp; "/pencil/sn_f1b1c59859761721ed1c1c47436c7974/rendering/16.xyz", "0.0")</f>
        <v>0.0</v>
      </c>
      <c r="T2296" s="13" t="str">
        <f>HYPERLINK(AC2 &amp; "/pencil/sn_f1b1c59859761721ed1c1c47436c7974/rendering/17.xyz", "0.0")</f>
        <v>0.0</v>
      </c>
      <c r="U2296" s="13" t="str">
        <f>HYPERLINK(AC2 &amp; "/pencil/sn_f1b1c59859761721ed1c1c47436c7974/rendering/18.xyz", "0.0")</f>
        <v>0.0</v>
      </c>
      <c r="V2296" s="13" t="str">
        <f>HYPERLINK(AC2 &amp; "/pencil/sn_f1b1c59859761721ed1c1c47436c7974/rendering/19.xyz", "0.0")</f>
        <v>0.0</v>
      </c>
      <c r="W2296" s="12" t="s">
        <v>33</v>
      </c>
      <c r="X2296" s="13">
        <v>0</v>
      </c>
      <c r="Y2296" s="13">
        <v>0</v>
      </c>
      <c r="Z2296" s="13">
        <v>0</v>
      </c>
    </row>
    <row r="2297" spans="1:26" x14ac:dyDescent="0.2">
      <c r="A2297" s="1">
        <v>2295</v>
      </c>
      <c r="B2297" s="2" t="s">
        <v>492</v>
      </c>
      <c r="C2297" s="87" t="str">
        <f>HYPERLINK(AA2 &amp; "/pencil/sn_f37a5d6c26fc86efbc839f4509518424/rendering/00.obj", "7.68213928223")</f>
        <v>7.68213928223</v>
      </c>
      <c r="D2297" s="81" t="str">
        <f>HYPERLINK(AA2 &amp; "/pencil/sn_f37a5d6c26fc86efbc839f4509518424/rendering/01.obj", "7.76073425293")</f>
        <v>7.76073425293</v>
      </c>
      <c r="E2297" s="153" t="str">
        <f>HYPERLINK(AA2 &amp; "/pencil/sn_f37a5d6c26fc86efbc839f4509518424/rendering/02.obj", "6.386171875")</f>
        <v>6.386171875</v>
      </c>
      <c r="F2297" s="101" t="str">
        <f>HYPERLINK(AA2 &amp; "/pencil/sn_f37a5d6c26fc86efbc839f4509518424/rendering/03.obj", "13.6925695801")</f>
        <v>13.6925695801</v>
      </c>
      <c r="G2297" s="80" t="str">
        <f>HYPERLINK(AA2 &amp; "/pencil/sn_f37a5d6c26fc86efbc839f4509518424/rendering/04.obj", "11.4113549805")</f>
        <v>11.4113549805</v>
      </c>
      <c r="H2297" s="223" t="str">
        <f>HYPERLINK(AA2 &amp; "/pencil/sn_f37a5d6c26fc86efbc839f4509518424/rendering/05.obj", "4.37465332031")</f>
        <v>4.37465332031</v>
      </c>
      <c r="I2297" s="121" t="str">
        <f>HYPERLINK(AA2 &amp; "/pencil/sn_f37a5d6c26fc86efbc839f4509518424/rendering/06.obj", "6.42213806152")</f>
        <v>6.42213806152</v>
      </c>
      <c r="J2297" s="44" t="str">
        <f>HYPERLINK(AA2 &amp; "/pencil/sn_f37a5d6c26fc86efbc839f4509518424/rendering/07.obj", "11.86859375")</f>
        <v>11.86859375</v>
      </c>
      <c r="K2297" s="10" t="str">
        <f>HYPERLINK(AA2 &amp; "/pencil/sn_f37a5d6c26fc86efbc839f4509518424/rendering/08.obj", "10.4918237305")</f>
        <v>10.4918237305</v>
      </c>
      <c r="L2297" s="19" t="str">
        <f>HYPERLINK(AA2 &amp; "/pencil/sn_f37a5d6c26fc86efbc839f4509518424/rendering/09.obj", "12.5437280273")</f>
        <v>12.5437280273</v>
      </c>
      <c r="M2297" s="84" t="str">
        <f>HYPERLINK(AA2 &amp; "/pencil/sn_f37a5d6c26fc86efbc839f4509518424/rendering/10.obj", "11.3826245117")</f>
        <v>11.3826245117</v>
      </c>
      <c r="N2297" s="112" t="str">
        <f>HYPERLINK(AA2 &amp; "/pencil/sn_f37a5d6c26fc86efbc839f4509518424/rendering/11.obj", "4.03286376953")</f>
        <v>4.03286376953</v>
      </c>
      <c r="O2297" s="175" t="str">
        <f>HYPERLINK(AA2 &amp; "/pencil/sn_f37a5d6c26fc86efbc839f4509518424/rendering/12.obj", "12.266385498")</f>
        <v>12.266385498</v>
      </c>
      <c r="P2297" s="63" t="str">
        <f>HYPERLINK(AA2 &amp; "/pencil/sn_f37a5d6c26fc86efbc839f4509518424/rendering/13.obj", "11.1459448242")</f>
        <v>11.1459448242</v>
      </c>
      <c r="Q2297" s="20" t="str">
        <f>HYPERLINK(AA2 &amp; "/pencil/sn_f37a5d6c26fc86efbc839f4509518424/rendering/14.obj", "21.0652783203")</f>
        <v>21.0652783203</v>
      </c>
      <c r="R2297" s="230" t="str">
        <f>HYPERLINK(AA2 &amp; "/pencil/sn_f37a5d6c26fc86efbc839f4509518424/rendering/15.obj", "14.4600671387")</f>
        <v>14.4600671387</v>
      </c>
      <c r="S2297" s="49" t="str">
        <f>HYPERLINK(AA2 &amp; "/pencil/sn_f37a5d6c26fc86efbc839f4509518424/rendering/16.obj", "7.87590026855")</f>
        <v>7.87590026855</v>
      </c>
      <c r="T2297" s="74" t="str">
        <f>HYPERLINK(AA2 &amp; "/pencil/sn_f37a5d6c26fc86efbc839f4509518424/rendering/17.obj", "10.0879333496")</f>
        <v>10.0879333496</v>
      </c>
      <c r="U2297" s="5" t="str">
        <f>HYPERLINK(AA2 &amp; "/pencil/sn_f37a5d6c26fc86efbc839f4509518424/rendering/18.obj", "9.16846923828")</f>
        <v>9.16846923828</v>
      </c>
      <c r="V2297" s="235" t="str">
        <f>HYPERLINK(AA2 &amp; "/pencil/sn_f37a5d6c26fc86efbc839f4509518424/rendering/19.obj", "4.55800689697")</f>
        <v>4.55800689697</v>
      </c>
      <c r="W2297" s="12" t="s">
        <v>29</v>
      </c>
      <c r="X2297" s="13">
        <v>9.9338690338134761</v>
      </c>
      <c r="Y2297" s="13">
        <v>3.9671317242482802</v>
      </c>
      <c r="Z2297" s="52">
        <v>0.39935413993729207</v>
      </c>
    </row>
    <row r="2298" spans="1:26" x14ac:dyDescent="0.2">
      <c r="A2298" s="1">
        <v>2296</v>
      </c>
      <c r="B2298" s="2" t="s">
        <v>492</v>
      </c>
      <c r="C2298" s="154" t="str">
        <f>HYPERLINK(AA2 &amp; "/pencil/sn_f37a5d6c26fc86efbc839f4509518424/rendering/00.obj", "5.98474836349")</f>
        <v>5.98474836349</v>
      </c>
      <c r="D2298" s="216" t="str">
        <f>HYPERLINK(AA2 &amp; "/pencil/sn_f37a5d6c26fc86efbc839f4509518424/rendering/01.obj", "8.22467803955")</f>
        <v>8.22467803955</v>
      </c>
      <c r="E2298" s="20" t="str">
        <f>HYPERLINK(AA2 &amp; "/pencil/sn_f37a5d6c26fc86efbc839f4509518424/rendering/02.obj", "3.86946177483")</f>
        <v>3.86946177483</v>
      </c>
      <c r="F2298" s="20" t="str">
        <f>HYPERLINK(AA2 &amp; "/pencil/sn_f37a5d6c26fc86efbc839f4509518424/rendering/03.obj", "46.506729126")</f>
        <v>46.506729126</v>
      </c>
      <c r="G2298" s="201" t="str">
        <f>HYPERLINK(AA2 &amp; "/pencil/sn_f37a5d6c26fc86efbc839f4509518424/rendering/04.obj", "9.81746101379")</f>
        <v>9.81746101379</v>
      </c>
      <c r="H2298" s="20" t="str">
        <f>HYPERLINK(AA2 &amp; "/pencil/sn_f37a5d6c26fc86efbc839f4509518424/rendering/05.obj", "2.23980951309")</f>
        <v>2.23980951309</v>
      </c>
      <c r="I2298" s="222" t="str">
        <f>HYPERLINK(AA2 &amp; "/pencil/sn_f37a5d6c26fc86efbc839f4509518424/rendering/06.obj", "5.9214553833")</f>
        <v>5.9214553833</v>
      </c>
      <c r="J2298" s="88" t="str">
        <f>HYPERLINK(AA2 &amp; "/pencil/sn_f37a5d6c26fc86efbc839f4509518424/rendering/07.obj", "28.2101688385")</f>
        <v>28.2101688385</v>
      </c>
      <c r="K2298" s="68" t="str">
        <f>HYPERLINK(AA2 &amp; "/pencil/sn_f37a5d6c26fc86efbc839f4509518424/rendering/08.obj", "22.4558753967")</f>
        <v>22.4558753967</v>
      </c>
      <c r="L2298" s="43" t="str">
        <f>HYPERLINK(AA2 &amp; "/pencil/sn_f37a5d6c26fc86efbc839f4509518424/rendering/09.obj", "32.2803153992")</f>
        <v>32.2803153992</v>
      </c>
      <c r="M2298" s="26" t="str">
        <f>HYPERLINK(AA2 &amp; "/pencil/sn_f37a5d6c26fc86efbc839f4509518424/rendering/10.obj", "25.0079154968")</f>
        <v>25.0079154968</v>
      </c>
      <c r="N2298" s="20" t="str">
        <f>HYPERLINK(AA2 &amp; "/pencil/sn_f37a5d6c26fc86efbc839f4509518424/rendering/11.obj", "2.09161973")</f>
        <v>2.09161973</v>
      </c>
      <c r="O2298" s="135" t="str">
        <f>HYPERLINK(AA2 &amp; "/pencil/sn_f37a5d6c26fc86efbc839f4509518424/rendering/12.obj", "29.4655170441")</f>
        <v>29.4655170441</v>
      </c>
      <c r="P2298" s="47" t="str">
        <f>HYPERLINK(AA2 &amp; "/pencil/sn_f37a5d6c26fc86efbc839f4509518424/rendering/13.obj", "23.6148147583")</f>
        <v>23.6148147583</v>
      </c>
      <c r="Q2298" s="20" t="str">
        <f>HYPERLINK(AA2 &amp; "/pencil/sn_f37a5d6c26fc86efbc839f4509518424/rendering/14.obj", "142.526687622")</f>
        <v>142.526687622</v>
      </c>
      <c r="R2298" s="20" t="str">
        <f>HYPERLINK(AA2 &amp; "/pencil/sn_f37a5d6c26fc86efbc839f4509518424/rendering/15.obj", "53.2275085449")</f>
        <v>53.2275085449</v>
      </c>
      <c r="S2298" s="194" t="str">
        <f>HYPERLINK(AA2 &amp; "/pencil/sn_f37a5d6c26fc86efbc839f4509518424/rendering/16.obj", "8.84497833252")</f>
        <v>8.84497833252</v>
      </c>
      <c r="T2298" s="16" t="str">
        <f>HYPERLINK(AA2 &amp; "/pencil/sn_f37a5d6c26fc86efbc839f4509518424/rendering/17.obj", "10.6983318329")</f>
        <v>10.6983318329</v>
      </c>
      <c r="U2298" s="243" t="str">
        <f>HYPERLINK(AA2 &amp; "/pencil/sn_f37a5d6c26fc86efbc839f4509518424/rendering/18.obj", "5.19580125809")</f>
        <v>5.19580125809</v>
      </c>
      <c r="V2298" s="20" t="str">
        <f>HYPERLINK(AA2 &amp; "/pencil/sn_f37a5d6c26fc86efbc839f4509518424/rendering/19.obj", "3.10093736649")</f>
        <v>3.10093736649</v>
      </c>
      <c r="W2298" s="12" t="s">
        <v>30</v>
      </c>
      <c r="X2298" s="13">
        <v>23.464240741729739</v>
      </c>
      <c r="Y2298" s="13">
        <v>30.968074083264511</v>
      </c>
      <c r="Z2298" s="20">
        <v>1.319798685332684</v>
      </c>
    </row>
    <row r="2299" spans="1:26" x14ac:dyDescent="0.2">
      <c r="A2299" s="1">
        <v>2297</v>
      </c>
      <c r="B2299" s="2" t="s">
        <v>492</v>
      </c>
      <c r="C2299" s="38" t="str">
        <f>HYPERLINK(AB2 &amp; "/pencil/sn_f37a5d6c26fc86efbc839f4509518424/rendering/00.obj", "4.21999084473")</f>
        <v>4.21999084473</v>
      </c>
      <c r="D2299" s="135" t="str">
        <f>HYPERLINK(AB2 &amp; "/pencil/sn_f37a5d6c26fc86efbc839f4509518424/rendering/01.obj", "5.82319702148")</f>
        <v>5.82319702148</v>
      </c>
      <c r="E2299" s="26" t="str">
        <f>HYPERLINK(AB2 &amp; "/pencil/sn_f37a5d6c26fc86efbc839f4509518424/rendering/02.obj", "4.9376739502")</f>
        <v>4.9376739502</v>
      </c>
      <c r="F2299" s="13" t="str">
        <f>HYPERLINK(AB2 &amp; "/pencil/sn_f37a5d6c26fc86efbc839f4509518424/rendering/03.obj", "4.62527191162")</f>
        <v>4.62527191162</v>
      </c>
      <c r="G2299" s="29" t="str">
        <f>HYPERLINK(AB2 &amp; "/pencil/sn_f37a5d6c26fc86efbc839f4509518424/rendering/04.obj", "5.23468811035")</f>
        <v>5.23468811035</v>
      </c>
      <c r="H2299" s="41" t="str">
        <f>HYPERLINK(AB2 &amp; "/pencil/sn_f37a5d6c26fc86efbc839f4509518424/rendering/05.obj", "4.32696472168")</f>
        <v>4.32696472168</v>
      </c>
      <c r="I2299" s="78" t="str">
        <f>HYPERLINK(AB2 &amp; "/pencil/sn_f37a5d6c26fc86efbc839f4509518424/rendering/06.obj", "4.3585534668")</f>
        <v>4.3585534668</v>
      </c>
      <c r="J2299" s="25" t="str">
        <f>HYPERLINK(AB2 &amp; "/pencil/sn_f37a5d6c26fc86efbc839f4509518424/rendering/07.obj", "4.68921386719")</f>
        <v>4.68921386719</v>
      </c>
      <c r="K2299" s="73" t="str">
        <f>HYPERLINK(AB2 &amp; "/pencil/sn_f37a5d6c26fc86efbc839f4509518424/rendering/08.obj", "4.81043884277")</f>
        <v>4.81043884277</v>
      </c>
      <c r="L2299" s="6" t="str">
        <f>HYPERLINK(AB2 &amp; "/pencil/sn_f37a5d6c26fc86efbc839f4509518424/rendering/09.obj", "4.43067352295")</f>
        <v>4.43067352295</v>
      </c>
      <c r="M2299" s="25" t="str">
        <f>HYPERLINK(AB2 &amp; "/pencil/sn_f37a5d6c26fc86efbc839f4509518424/rendering/10.obj", "4.58461975098")</f>
        <v>4.58461975098</v>
      </c>
      <c r="N2299" s="110" t="str">
        <f>HYPERLINK(AB2 &amp; "/pencil/sn_f37a5d6c26fc86efbc839f4509518424/rendering/11.obj", "4.18125854492")</f>
        <v>4.18125854492</v>
      </c>
      <c r="O2299" s="110" t="str">
        <f>HYPERLINK(AB2 &amp; "/pencil/sn_f37a5d6c26fc86efbc839f4509518424/rendering/12.obj", "5.08802246094")</f>
        <v>5.08802246094</v>
      </c>
      <c r="P2299" s="68" t="str">
        <f>HYPERLINK(AB2 &amp; "/pencil/sn_f37a5d6c26fc86efbc839f4509518424/rendering/13.obj", "4.82932525635")</f>
        <v>4.82932525635</v>
      </c>
      <c r="Q2299" s="133" t="str">
        <f>HYPERLINK(AB2 &amp; "/pencil/sn_f37a5d6c26fc86efbc839f4509518424/rendering/14.obj", "5.10564880371")</f>
        <v>5.10564880371</v>
      </c>
      <c r="R2299" s="83" t="str">
        <f>HYPERLINK(AB2 &amp; "/pencil/sn_f37a5d6c26fc86efbc839f4509518424/rendering/15.obj", "5.34831054688")</f>
        <v>5.34831054688</v>
      </c>
      <c r="S2299" s="38" t="str">
        <f>HYPERLINK(AB2 &amp; "/pencil/sn_f37a5d6c26fc86efbc839f4509518424/rendering/16.obj", "4.2269152832")</f>
        <v>4.2269152832</v>
      </c>
      <c r="T2299" s="74" t="str">
        <f>HYPERLINK(AB2 &amp; "/pencil/sn_f37a5d6c26fc86efbc839f4509518424/rendering/17.obj", "4.57252624512")</f>
        <v>4.57252624512</v>
      </c>
      <c r="U2299" s="88" t="str">
        <f>HYPERLINK(AB2 &amp; "/pencil/sn_f37a5d6c26fc86efbc839f4509518424/rendering/18.obj", "3.69529907227")</f>
        <v>3.69529907227</v>
      </c>
      <c r="V2299" s="36" t="str">
        <f>HYPERLINK(AB2 &amp; "/pencil/sn_f37a5d6c26fc86efbc839f4509518424/rendering/19.obj", "3.64429260254")</f>
        <v>3.64429260254</v>
      </c>
      <c r="W2299" s="12" t="s">
        <v>31</v>
      </c>
      <c r="X2299" s="13">
        <v>4.6366442413330082</v>
      </c>
      <c r="Y2299" s="13">
        <v>0.52434753680547774</v>
      </c>
      <c r="Z2299" s="106">
        <v>0.11308772239440371</v>
      </c>
    </row>
    <row r="2300" spans="1:26" x14ac:dyDescent="0.2">
      <c r="A2300" s="1">
        <v>2298</v>
      </c>
      <c r="B2300" s="2" t="s">
        <v>492</v>
      </c>
      <c r="C2300" s="69" t="str">
        <f>HYPERLINK(AB2 &amp; "/pencil/sn_f37a5d6c26fc86efbc839f4509518424/rendering/00.obj", "1.96170818806")</f>
        <v>1.96170818806</v>
      </c>
      <c r="D2300" s="69" t="str">
        <f>HYPERLINK(AB2 &amp; "/pencil/sn_f37a5d6c26fc86efbc839f4509518424/rendering/01.obj", "1.96174192429")</f>
        <v>1.96174192429</v>
      </c>
      <c r="E2300" s="91" t="str">
        <f>HYPERLINK(AB2 &amp; "/pencil/sn_f37a5d6c26fc86efbc839f4509518424/rendering/02.obj", "2.07354140282")</f>
        <v>2.07354140282</v>
      </c>
      <c r="F2300" s="68" t="str">
        <f>HYPERLINK(AB2 &amp; "/pencil/sn_f37a5d6c26fc86efbc839f4509518424/rendering/03.obj", "1.93153393269")</f>
        <v>1.93153393269</v>
      </c>
      <c r="G2300" s="74" t="str">
        <f>HYPERLINK(AB2 &amp; "/pencil/sn_f37a5d6c26fc86efbc839f4509518424/rendering/04.obj", "2.04626393318")</f>
        <v>2.04626393318</v>
      </c>
      <c r="H2300" s="68" t="str">
        <f>HYPERLINK(AB2 &amp; "/pencil/sn_f37a5d6c26fc86efbc839f4509518424/rendering/05.obj", "1.93135714531")</f>
        <v>1.93135714531</v>
      </c>
      <c r="I2300" s="8" t="str">
        <f>HYPERLINK(AB2 &amp; "/pencil/sn_f37a5d6c26fc86efbc839f4509518424/rendering/06.obj", "1.72935175896")</f>
        <v>1.72935175896</v>
      </c>
      <c r="J2300" s="41" t="str">
        <f>HYPERLINK(AB2 &amp; "/pencil/sn_f37a5d6c26fc86efbc839f4509518424/rendering/07.obj", "1.88535261154")</f>
        <v>1.88535261154</v>
      </c>
      <c r="K2300" s="67" t="str">
        <f>HYPERLINK(AB2 &amp; "/pencil/sn_f37a5d6c26fc86efbc839f4509518424/rendering/08.obj", "1.83148825169")</f>
        <v>1.83148825169</v>
      </c>
      <c r="L2300" s="65" t="str">
        <f>HYPERLINK(AB2 &amp; "/pencil/sn_f37a5d6c26fc86efbc839f4509518424/rendering/09.obj", "2.29101800919")</f>
        <v>2.29101800919</v>
      </c>
      <c r="M2300" s="38" t="str">
        <f>HYPERLINK(AB2 &amp; "/pencil/sn_f37a5d6c26fc86efbc839f4509518424/rendering/10.obj", "1.8370718956")</f>
        <v>1.8370718956</v>
      </c>
      <c r="N2300" s="110" t="str">
        <f>HYPERLINK(AB2 &amp; "/pencil/sn_f37a5d6c26fc86efbc839f4509518424/rendering/11.obj", "1.81630325317")</f>
        <v>1.81630325317</v>
      </c>
      <c r="O2300" s="23" t="str">
        <f>HYPERLINK(AB2 &amp; "/pencil/sn_f37a5d6c26fc86efbc839f4509518424/rendering/12.obj", "1.94264388084")</f>
        <v>1.94264388084</v>
      </c>
      <c r="P2300" s="59" t="str">
        <f>HYPERLINK(AB2 &amp; "/pencil/sn_f37a5d6c26fc86efbc839f4509518424/rendering/13.obj", "2.50575065613")</f>
        <v>2.50575065613</v>
      </c>
      <c r="Q2300" s="13" t="str">
        <f>HYPERLINK(AB2 &amp; "/pencil/sn_f37a5d6c26fc86efbc839f4509518424/rendering/14.obj", "2.02430200577")</f>
        <v>2.02430200577</v>
      </c>
      <c r="R2300" s="119" t="str">
        <f>HYPERLINK(AB2 &amp; "/pencil/sn_f37a5d6c26fc86efbc839f4509518424/rendering/15.obj", "2.55219531059")</f>
        <v>2.55219531059</v>
      </c>
      <c r="S2300" s="120" t="str">
        <f>HYPERLINK(AB2 &amp; "/pencil/sn_f37a5d6c26fc86efbc839f4509518424/rendering/16.obj", "1.59029865265")</f>
        <v>1.59029865265</v>
      </c>
      <c r="T2300" s="25" t="str">
        <f>HYPERLINK(AB2 &amp; "/pencil/sn_f37a5d6c26fc86efbc839f4509518424/rendering/17.obj", "1.99495863914")</f>
        <v>1.99495863914</v>
      </c>
      <c r="U2300" s="72" t="str">
        <f>HYPERLINK(AB2 &amp; "/pencil/sn_f37a5d6c26fc86efbc839f4509518424/rendering/18.obj", "2.08613276482")</f>
        <v>2.08613276482</v>
      </c>
      <c r="V2300" s="134" t="str">
        <f>HYPERLINK(AB2 &amp; "/pencil/sn_f37a5d6c26fc86efbc839f4509518424/rendering/19.obj", "2.3860502243")</f>
        <v>2.3860502243</v>
      </c>
      <c r="W2300" s="12" t="s">
        <v>32</v>
      </c>
      <c r="X2300" s="13">
        <v>2.018953222036362</v>
      </c>
      <c r="Y2300" s="13">
        <v>0.24097549339878421</v>
      </c>
      <c r="Z2300" s="63">
        <v>0.1193566501534547</v>
      </c>
    </row>
    <row r="2301" spans="1:26" x14ac:dyDescent="0.2">
      <c r="A2301" s="1">
        <v>2299</v>
      </c>
      <c r="B2301" s="2" t="s">
        <v>492</v>
      </c>
      <c r="C2301" s="13" t="str">
        <f>HYPERLINK(AC2 &amp; "/pencil/sn_f37a5d6c26fc86efbc839f4509518424/rendering/00.xyz", "0.0")</f>
        <v>0.0</v>
      </c>
      <c r="D2301" s="13" t="str">
        <f>HYPERLINK(AC2 &amp; "/pencil/sn_f37a5d6c26fc86efbc839f4509518424/rendering/01.xyz", "0.0")</f>
        <v>0.0</v>
      </c>
      <c r="E2301" s="13" t="str">
        <f>HYPERLINK(AC2 &amp; "/pencil/sn_f37a5d6c26fc86efbc839f4509518424/rendering/02.xyz", "0.0")</f>
        <v>0.0</v>
      </c>
      <c r="F2301" s="13" t="str">
        <f>HYPERLINK(AC2 &amp; "/pencil/sn_f37a5d6c26fc86efbc839f4509518424/rendering/03.xyz", "0.0")</f>
        <v>0.0</v>
      </c>
      <c r="G2301" s="13" t="str">
        <f>HYPERLINK(AC2 &amp; "/pencil/sn_f37a5d6c26fc86efbc839f4509518424/rendering/04.xyz", "0.0")</f>
        <v>0.0</v>
      </c>
      <c r="H2301" s="13" t="str">
        <f>HYPERLINK(AC2 &amp; "/pencil/sn_f37a5d6c26fc86efbc839f4509518424/rendering/05.xyz", "0.0")</f>
        <v>0.0</v>
      </c>
      <c r="I2301" s="13" t="str">
        <f>HYPERLINK(AC2 &amp; "/pencil/sn_f37a5d6c26fc86efbc839f4509518424/rendering/06.xyz", "0.0")</f>
        <v>0.0</v>
      </c>
      <c r="J2301" s="13" t="str">
        <f>HYPERLINK(AC2 &amp; "/pencil/sn_f37a5d6c26fc86efbc839f4509518424/rendering/07.xyz", "0.0")</f>
        <v>0.0</v>
      </c>
      <c r="K2301" s="13" t="str">
        <f>HYPERLINK(AC2 &amp; "/pencil/sn_f37a5d6c26fc86efbc839f4509518424/rendering/08.xyz", "0.0")</f>
        <v>0.0</v>
      </c>
      <c r="L2301" s="13" t="str">
        <f>HYPERLINK(AC2 &amp; "/pencil/sn_f37a5d6c26fc86efbc839f4509518424/rendering/09.xyz", "0.0")</f>
        <v>0.0</v>
      </c>
      <c r="M2301" s="13" t="str">
        <f>HYPERLINK(AC2 &amp; "/pencil/sn_f37a5d6c26fc86efbc839f4509518424/rendering/10.xyz", "0.0")</f>
        <v>0.0</v>
      </c>
      <c r="N2301" s="13" t="str">
        <f>HYPERLINK(AC2 &amp; "/pencil/sn_f37a5d6c26fc86efbc839f4509518424/rendering/11.xyz", "0.0")</f>
        <v>0.0</v>
      </c>
      <c r="O2301" s="13" t="str">
        <f>HYPERLINK(AC2 &amp; "/pencil/sn_f37a5d6c26fc86efbc839f4509518424/rendering/12.xyz", "0.0")</f>
        <v>0.0</v>
      </c>
      <c r="P2301" s="13" t="str">
        <f>HYPERLINK(AC2 &amp; "/pencil/sn_f37a5d6c26fc86efbc839f4509518424/rendering/13.xyz", "0.0")</f>
        <v>0.0</v>
      </c>
      <c r="Q2301" s="13" t="str">
        <f>HYPERLINK(AC2 &amp; "/pencil/sn_f37a5d6c26fc86efbc839f4509518424/rendering/14.xyz", "0.0")</f>
        <v>0.0</v>
      </c>
      <c r="R2301" s="13" t="str">
        <f>HYPERLINK(AC2 &amp; "/pencil/sn_f37a5d6c26fc86efbc839f4509518424/rendering/15.xyz", "0.0")</f>
        <v>0.0</v>
      </c>
      <c r="S2301" s="13" t="str">
        <f>HYPERLINK(AC2 &amp; "/pencil/sn_f37a5d6c26fc86efbc839f4509518424/rendering/16.xyz", "0.0")</f>
        <v>0.0</v>
      </c>
      <c r="T2301" s="13" t="str">
        <f>HYPERLINK(AC2 &amp; "/pencil/sn_f37a5d6c26fc86efbc839f4509518424/rendering/17.xyz", "0.0")</f>
        <v>0.0</v>
      </c>
      <c r="U2301" s="13" t="str">
        <f>HYPERLINK(AC2 &amp; "/pencil/sn_f37a5d6c26fc86efbc839f4509518424/rendering/18.xyz", "0.0")</f>
        <v>0.0</v>
      </c>
      <c r="V2301" s="13" t="str">
        <f>HYPERLINK(AC2 &amp; "/pencil/sn_f37a5d6c26fc86efbc839f4509518424/rendering/19.xyz", "0.0")</f>
        <v>0.0</v>
      </c>
      <c r="W2301" s="12" t="s">
        <v>33</v>
      </c>
      <c r="X2301" s="13">
        <v>0</v>
      </c>
      <c r="Y2301" s="13">
        <v>0</v>
      </c>
      <c r="Z2301" s="13">
        <v>0</v>
      </c>
    </row>
    <row r="2302" spans="1:26" x14ac:dyDescent="0.2">
      <c r="A2302" s="1">
        <v>2300</v>
      </c>
      <c r="B2302" s="2" t="s">
        <v>493</v>
      </c>
      <c r="C2302" s="84" t="str">
        <f>HYPERLINK(AA2 &amp; "/pencil/sn_f392c4df0784ffc07f5b653d43c48f1e/rendering/00.obj", "4.17730651855")</f>
        <v>4.17730651855</v>
      </c>
      <c r="D2302" s="147" t="str">
        <f>HYPERLINK(AA2 &amp; "/pencil/sn_f392c4df0784ffc07f5b653d43c48f1e/rendering/01.obj", "7.27114379883")</f>
        <v>7.27114379883</v>
      </c>
      <c r="E2302" s="97" t="str">
        <f>HYPERLINK(AA2 &amp; "/pencil/sn_f392c4df0784ffc07f5b653d43c48f1e/rendering/02.obj", "7.01271850586")</f>
        <v>7.01271850586</v>
      </c>
      <c r="F2302" s="151" t="str">
        <f>HYPERLINK(AA2 &amp; "/pencil/sn_f392c4df0784ffc07f5b653d43c48f1e/rendering/03.obj", "6.6558581543")</f>
        <v>6.6558581543</v>
      </c>
      <c r="G2302" s="73" t="str">
        <f>HYPERLINK(AA2 &amp; "/pencil/sn_f392c4df0784ffc07f5b653d43c48f1e/rendering/04.obj", "5.07491424561")</f>
        <v>5.07491424561</v>
      </c>
      <c r="H2302" s="8" t="str">
        <f>HYPERLINK(AA2 &amp; "/pencil/sn_f392c4df0784ffc07f5b653d43c48f1e/rendering/05.obj", "4.20109130859")</f>
        <v>4.20109130859</v>
      </c>
      <c r="I2302" s="92" t="str">
        <f>HYPERLINK(AA2 &amp; "/pencil/sn_f392c4df0784ffc07f5b653d43c48f1e/rendering/06.obj", "4.29129760742")</f>
        <v>4.29129760742</v>
      </c>
      <c r="J2302" s="77" t="str">
        <f>HYPERLINK(AA2 &amp; "/pencil/sn_f392c4df0784ffc07f5b653d43c48f1e/rendering/07.obj", "3.97206359863")</f>
        <v>3.97206359863</v>
      </c>
      <c r="K2302" s="94" t="str">
        <f>HYPERLINK(AA2 &amp; "/pencil/sn_f392c4df0784ffc07f5b653d43c48f1e/rendering/08.obj", "5.25717895508")</f>
        <v>5.25717895508</v>
      </c>
      <c r="L2302" s="23" t="str">
        <f>HYPERLINK(AA2 &amp; "/pencil/sn_f392c4df0784ffc07f5b653d43c48f1e/rendering/09.obj", "4.69316772461")</f>
        <v>4.69316772461</v>
      </c>
      <c r="M2302" s="31" t="str">
        <f>HYPERLINK(AA2 &amp; "/pencil/sn_f392c4df0784ffc07f5b653d43c48f1e/rendering/10.obj", "4.13790100098")</f>
        <v>4.13790100098</v>
      </c>
      <c r="N2302" s="69" t="str">
        <f>HYPERLINK(AA2 &amp; "/pencil/sn_f392c4df0784ffc07f5b653d43c48f1e/rendering/11.obj", "4.74467102051")</f>
        <v>4.74467102051</v>
      </c>
      <c r="O2302" s="49" t="str">
        <f>HYPERLINK(AA2 &amp; "/pencil/sn_f392c4df0784ffc07f5b653d43c48f1e/rendering/12.obj", "3.86766174316")</f>
        <v>3.86766174316</v>
      </c>
      <c r="P2302" s="136" t="str">
        <f>HYPERLINK(AA2 &amp; "/pencil/sn_f392c4df0784ffc07f5b653d43c48f1e/rendering/13.obj", "3.73627746582")</f>
        <v>3.73627746582</v>
      </c>
      <c r="Q2302" s="41" t="str">
        <f>HYPERLINK(AA2 &amp; "/pencil/sn_f392c4df0784ffc07f5b653d43c48f1e/rendering/14.obj", "4.55455810547")</f>
        <v>4.55455810547</v>
      </c>
      <c r="R2302" s="94" t="str">
        <f>HYPERLINK(AA2 &amp; "/pencil/sn_f392c4df0784ffc07f5b653d43c48f1e/rendering/15.obj", "4.52614044189")</f>
        <v>4.52614044189</v>
      </c>
      <c r="S2302" s="67" t="str">
        <f>HYPERLINK(AA2 &amp; "/pencil/sn_f392c4df0784ffc07f5b653d43c48f1e/rendering/16.obj", "4.43362304687")</f>
        <v>4.43362304687</v>
      </c>
      <c r="T2302" s="68" t="str">
        <f>HYPERLINK(AA2 &amp; "/pencil/sn_f392c4df0784ffc07f5b653d43c48f1e/rendering/17.obj", "4.69234191895")</f>
        <v>4.69234191895</v>
      </c>
      <c r="U2302" s="64" t="str">
        <f>HYPERLINK(AA2 &amp; "/pencil/sn_f392c4df0784ffc07f5b653d43c48f1e/rendering/18.obj", "5.69537963867")</f>
        <v>5.69537963867</v>
      </c>
      <c r="V2302" s="47" t="str">
        <f>HYPERLINK(AA2 &amp; "/pencil/sn_f392c4df0784ffc07f5b653d43c48f1e/rendering/19.obj", "4.84628692627")</f>
        <v>4.84628692627</v>
      </c>
      <c r="W2302" s="12" t="s">
        <v>29</v>
      </c>
      <c r="X2302" s="13">
        <v>4.8920790863037116</v>
      </c>
      <c r="Y2302" s="13">
        <v>0.99476427585419003</v>
      </c>
      <c r="Z2302" s="88">
        <v>0.2033418222201718</v>
      </c>
    </row>
    <row r="2303" spans="1:26" x14ac:dyDescent="0.2">
      <c r="A2303" s="1">
        <v>2301</v>
      </c>
      <c r="B2303" s="2" t="s">
        <v>493</v>
      </c>
      <c r="C2303" s="53" t="str">
        <f>HYPERLINK(AA2 &amp; "/pencil/sn_f392c4df0784ffc07f5b653d43c48f1e/rendering/00.obj", "1.73324859142")</f>
        <v>1.73324859142</v>
      </c>
      <c r="D2303" s="20" t="str">
        <f>HYPERLINK(AA2 &amp; "/pencil/sn_f392c4df0784ffc07f5b653d43c48f1e/rendering/01.obj", "7.44950914383")</f>
        <v>7.44950914383</v>
      </c>
      <c r="E2303" s="20" t="str">
        <f>HYPERLINK(AA2 &amp; "/pencil/sn_f392c4df0784ffc07f5b653d43c48f1e/rendering/02.obj", "6.48377370834")</f>
        <v>6.48377370834</v>
      </c>
      <c r="F2303" s="20" t="str">
        <f>HYPERLINK(AA2 &amp; "/pencil/sn_f392c4df0784ffc07f5b653d43c48f1e/rendering/03.obj", "6.03857040405")</f>
        <v>6.03857040405</v>
      </c>
      <c r="G2303" s="72" t="str">
        <f>HYPERLINK(AA2 &amp; "/pencil/sn_f392c4df0784ffc07f5b653d43c48f1e/rendering/04.obj", "2.85637116432")</f>
        <v>2.85637116432</v>
      </c>
      <c r="H2303" s="103" t="str">
        <f>HYPERLINK(AA2 &amp; "/pencil/sn_f392c4df0784ffc07f5b653d43c48f1e/rendering/05.obj", "1.99370801449")</f>
        <v>1.99370801449</v>
      </c>
      <c r="I2303" s="170" t="str">
        <f>HYPERLINK(AA2 &amp; "/pencil/sn_f392c4df0784ffc07f5b653d43c48f1e/rendering/06.obj", "2.20871853828")</f>
        <v>2.20871853828</v>
      </c>
      <c r="J2303" s="218" t="str">
        <f>HYPERLINK(AA2 &amp; "/pencil/sn_f392c4df0784ffc07f5b653d43c48f1e/rendering/07.obj", "1.43099153042")</f>
        <v>1.43099153042</v>
      </c>
      <c r="K2303" s="110" t="str">
        <f>HYPERLINK(AA2 &amp; "/pencil/sn_f392c4df0784ffc07f5b653d43c48f1e/rendering/08.obj", "2.66648864746")</f>
        <v>2.66648864746</v>
      </c>
      <c r="L2303" s="109" t="str">
        <f>HYPERLINK(AA2 &amp; "/pencil/sn_f392c4df0784ffc07f5b653d43c48f1e/rendering/09.obj", "2.39570569992")</f>
        <v>2.39570569992</v>
      </c>
      <c r="M2303" s="213" t="str">
        <f>HYPERLINK(AA2 &amp; "/pencil/sn_f392c4df0784ffc07f5b653d43c48f1e/rendering/10.obj", "1.49866211414")</f>
        <v>1.49866211414</v>
      </c>
      <c r="N2303" s="63" t="str">
        <f>HYPERLINK(AA2 &amp; "/pencil/sn_f392c4df0784ffc07f5b653d43c48f1e/rendering/11.obj", "2.59320855141")</f>
        <v>2.59320855141</v>
      </c>
      <c r="O2303" s="171" t="str">
        <f>HYPERLINK(AA2 &amp; "/pencil/sn_f392c4df0784ffc07f5b653d43c48f1e/rendering/12.obj", "2.0526471138")</f>
        <v>2.0526471138</v>
      </c>
      <c r="P2303" s="141" t="str">
        <f>HYPERLINK(AA2 &amp; "/pencil/sn_f392c4df0784ffc07f5b653d43c48f1e/rendering/13.obj", "1.32477676868")</f>
        <v>1.32477676868</v>
      </c>
      <c r="Q2303" s="59" t="str">
        <f>HYPERLINK(AA2 &amp; "/pencil/sn_f392c4df0784ffc07f5b653d43c48f1e/rendering/14.obj", "2.24634075165")</f>
        <v>2.24634075165</v>
      </c>
      <c r="R2303" s="168" t="str">
        <f>HYPERLINK(AA2 &amp; "/pencil/sn_f392c4df0784ffc07f5b653d43c48f1e/rendering/15.obj", "2.00125861168")</f>
        <v>2.00125861168</v>
      </c>
      <c r="S2303" s="49" t="str">
        <f>HYPERLINK(AA2 &amp; "/pencil/sn_f392c4df0784ffc07f5b653d43c48f1e/rendering/16.obj", "2.3346157074")</f>
        <v>2.3346157074</v>
      </c>
      <c r="T2303" s="121" t="str">
        <f>HYPERLINK(AA2 &amp; "/pencil/sn_f392c4df0784ffc07f5b653d43c48f1e/rendering/17.obj", "3.99509930611")</f>
        <v>3.99509930611</v>
      </c>
      <c r="U2303" s="63" t="str">
        <f>HYPERLINK(AA2 &amp; "/pencil/sn_f392c4df0784ffc07f5b653d43c48f1e/rendering/18.obj", "3.31137800217")</f>
        <v>3.31137800217</v>
      </c>
      <c r="V2303" s="66" t="str">
        <f>HYPERLINK(AA2 &amp; "/pencil/sn_f392c4df0784ffc07f5b653d43c48f1e/rendering/19.obj", "2.47579741478")</f>
        <v>2.47579741478</v>
      </c>
      <c r="W2303" s="12" t="s">
        <v>30</v>
      </c>
      <c r="X2303" s="13">
        <v>2.954543489217758</v>
      </c>
      <c r="Y2303" s="13">
        <v>1.685558625306935</v>
      </c>
      <c r="Z2303" s="225">
        <v>0.57049714497626236</v>
      </c>
    </row>
    <row r="2304" spans="1:26" x14ac:dyDescent="0.2">
      <c r="A2304" s="1">
        <v>2302</v>
      </c>
      <c r="B2304" s="2" t="s">
        <v>493</v>
      </c>
      <c r="C2304" s="17" t="str">
        <f>HYPERLINK(AB2 &amp; "/pencil/sn_f392c4df0784ffc07f5b653d43c48f1e/rendering/00.obj", "3.81903259277")</f>
        <v>3.81903259277</v>
      </c>
      <c r="D2304" s="90" t="str">
        <f>HYPERLINK(AB2 &amp; "/pencil/sn_f392c4df0784ffc07f5b653d43c48f1e/rendering/01.obj", "4.10774230957")</f>
        <v>4.10774230957</v>
      </c>
      <c r="E2304" s="65" t="str">
        <f>HYPERLINK(AB2 &amp; "/pencil/sn_f392c4df0784ffc07f5b653d43c48f1e/rendering/02.obj", "3.24421020508")</f>
        <v>3.24421020508</v>
      </c>
      <c r="F2304" s="60" t="str">
        <f>HYPERLINK(AB2 &amp; "/pencil/sn_f392c4df0784ffc07f5b653d43c48f1e/rendering/03.obj", "3.54564697266")</f>
        <v>3.54564697266</v>
      </c>
      <c r="G2304" s="72" t="str">
        <f>HYPERLINK(AB2 &amp; "/pencil/sn_f392c4df0784ffc07f5b653d43c48f1e/rendering/04.obj", "3.61495849609")</f>
        <v>3.61495849609</v>
      </c>
      <c r="H2304" s="60" t="str">
        <f>HYPERLINK(AB2 &amp; "/pencil/sn_f392c4df0784ffc07f5b653d43c48f1e/rendering/05.obj", "3.93291229248")</f>
        <v>3.93291229248</v>
      </c>
      <c r="I2304" s="39" t="str">
        <f>HYPERLINK(AB2 &amp; "/pencil/sn_f392c4df0784ffc07f5b653d43c48f1e/rendering/06.obj", "3.41545288086")</f>
        <v>3.41545288086</v>
      </c>
      <c r="J2304" s="34" t="str">
        <f>HYPERLINK(AB2 &amp; "/pencil/sn_f392c4df0784ffc07f5b653d43c48f1e/rendering/07.obj", "3.56153625488")</f>
        <v>3.56153625488</v>
      </c>
      <c r="K2304" s="185" t="str">
        <f>HYPERLINK(AB2 &amp; "/pencil/sn_f392c4df0784ffc07f5b653d43c48f1e/rendering/08.obj", "5.01678833008")</f>
        <v>5.01678833008</v>
      </c>
      <c r="L2304" s="38" t="str">
        <f>HYPERLINK(AB2 &amp; "/pencil/sn_f392c4df0784ffc07f5b653d43c48f1e/rendering/09.obj", "4.08355407715")</f>
        <v>4.08355407715</v>
      </c>
      <c r="M2304" s="6" t="str">
        <f>HYPERLINK(AB2 &amp; "/pencil/sn_f392c4df0784ffc07f5b653d43c48f1e/rendering/10.obj", "3.57279418945")</f>
        <v>3.57279418945</v>
      </c>
      <c r="N2304" s="29" t="str">
        <f>HYPERLINK(AB2 &amp; "/pencil/sn_f392c4df0784ffc07f5b653d43c48f1e/rendering/11.obj", "4.22589508057")</f>
        <v>4.22589508057</v>
      </c>
      <c r="O2304" s="72" t="str">
        <f>HYPERLINK(AB2 &amp; "/pencil/sn_f392c4df0784ffc07f5b653d43c48f1e/rendering/12.obj", "3.86907897949")</f>
        <v>3.86907897949</v>
      </c>
      <c r="P2304" s="34" t="str">
        <f>HYPERLINK(AB2 &amp; "/pencil/sn_f392c4df0784ffc07f5b653d43c48f1e/rendering/13.obj", "3.56484283447")</f>
        <v>3.56484283447</v>
      </c>
      <c r="Q2304" s="69" t="str">
        <f>HYPERLINK(AB2 &amp; "/pencil/sn_f392c4df0784ffc07f5b653d43c48f1e/rendering/14.obj", "3.63585540771")</f>
        <v>3.63585540771</v>
      </c>
      <c r="R2304" s="106" t="str">
        <f>HYPERLINK(AB2 &amp; "/pencil/sn_f392c4df0784ffc07f5b653d43c48f1e/rendering/15.obj", "3.3195703125")</f>
        <v>3.3195703125</v>
      </c>
      <c r="S2304" s="31" t="str">
        <f>HYPERLINK(AB2 &amp; "/pencil/sn_f392c4df0784ffc07f5b653d43c48f1e/rendering/16.obj", "3.16302368164")</f>
        <v>3.16302368164</v>
      </c>
      <c r="T2304" s="39" t="str">
        <f>HYPERLINK(AB2 &amp; "/pencil/sn_f392c4df0784ffc07f5b653d43c48f1e/rendering/17.obj", "4.06319763184")</f>
        <v>4.06319763184</v>
      </c>
      <c r="U2304" s="32" t="str">
        <f>HYPERLINK(AB2 &amp; "/pencil/sn_f392c4df0784ffc07f5b653d43c48f1e/rendering/18.obj", "3.35408630371")</f>
        <v>3.35408630371</v>
      </c>
      <c r="V2304" s="47" t="str">
        <f>HYPERLINK(AB2 &amp; "/pencil/sn_f392c4df0784ffc07f5b653d43c48f1e/rendering/19.obj", "3.76900878906")</f>
        <v>3.76900878906</v>
      </c>
      <c r="W2304" s="12" t="s">
        <v>31</v>
      </c>
      <c r="X2304" s="13">
        <v>3.7439593811035161</v>
      </c>
      <c r="Y2304" s="13">
        <v>0.41527857373670701</v>
      </c>
      <c r="Z2304" s="28">
        <v>0.1109196258465564</v>
      </c>
    </row>
    <row r="2305" spans="1:26" x14ac:dyDescent="0.2">
      <c r="A2305" s="1">
        <v>2303</v>
      </c>
      <c r="B2305" s="2" t="s">
        <v>493</v>
      </c>
      <c r="C2305" s="110" t="str">
        <f>HYPERLINK(AB2 &amp; "/pencil/sn_f392c4df0784ffc07f5b653d43c48f1e/rendering/00.obj", "1.23253464699")</f>
        <v>1.23253464699</v>
      </c>
      <c r="D2305" s="66" t="str">
        <f>HYPERLINK(AB2 &amp; "/pencil/sn_f392c4df0784ffc07f5b653d43c48f1e/rendering/01.obj", "1.59060192108")</f>
        <v>1.59060192108</v>
      </c>
      <c r="E2305" s="91" t="str">
        <f>HYPERLINK(AB2 &amp; "/pencil/sn_f392c4df0784ffc07f5b653d43c48f1e/rendering/02.obj", "1.33247184753")</f>
        <v>1.33247184753</v>
      </c>
      <c r="F2305" s="25" t="str">
        <f>HYPERLINK(AB2 &amp; "/pencil/sn_f392c4df0784ffc07f5b653d43c48f1e/rendering/03.obj", "1.35267603397")</f>
        <v>1.35267603397</v>
      </c>
      <c r="G2305" s="67" t="str">
        <f>HYPERLINK(AB2 &amp; "/pencil/sn_f392c4df0784ffc07f5b653d43c48f1e/rendering/04.obj", "1.24478960037")</f>
        <v>1.24478960037</v>
      </c>
      <c r="H2305" s="13" t="str">
        <f>HYPERLINK(AB2 &amp; "/pencil/sn_f392c4df0784ffc07f5b653d43c48f1e/rendering/05.obj", "1.37098109722")</f>
        <v>1.37098109722</v>
      </c>
      <c r="I2305" s="84" t="str">
        <f>HYPERLINK(AB2 &amp; "/pencil/sn_f392c4df0784ffc07f5b653d43c48f1e/rendering/06.obj", "1.17102277279")</f>
        <v>1.17102277279</v>
      </c>
      <c r="J2305" s="34" t="str">
        <f>HYPERLINK(AB2 &amp; "/pencil/sn_f392c4df0784ffc07f5b653d43c48f1e/rendering/07.obj", "1.30379962921")</f>
        <v>1.30379962921</v>
      </c>
      <c r="K2305" s="185" t="str">
        <f>HYPERLINK(AB2 &amp; "/pencil/sn_f392c4df0784ffc07f5b653d43c48f1e/rendering/08.obj", "1.83471047878")</f>
        <v>1.83471047878</v>
      </c>
      <c r="L2305" s="65" t="str">
        <f>HYPERLINK(AB2 &amp; "/pencil/sn_f392c4df0784ffc07f5b653d43c48f1e/rendering/09.obj", "1.55432033539")</f>
        <v>1.55432033539</v>
      </c>
      <c r="M2305" s="39" t="str">
        <f>HYPERLINK(AB2 &amp; "/pencil/sn_f392c4df0784ffc07f5b653d43c48f1e/rendering/10.obj", "1.24973750114")</f>
        <v>1.24973750114</v>
      </c>
      <c r="N2305" s="51" t="str">
        <f>HYPERLINK(AB2 &amp; "/pencil/sn_f392c4df0784ffc07f5b653d43c48f1e/rendering/11.obj", "1.48096644878")</f>
        <v>1.48096644878</v>
      </c>
      <c r="O2305" s="26" t="str">
        <f>HYPERLINK(AB2 &amp; "/pencil/sn_f392c4df0784ffc07f5b653d43c48f1e/rendering/12.obj", "1.4560521841")</f>
        <v>1.4560521841</v>
      </c>
      <c r="P2305" s="8" t="str">
        <f>HYPERLINK(AB2 &amp; "/pencil/sn_f392c4df0784ffc07f5b653d43c48f1e/rendering/13.obj", "1.17537868023")</f>
        <v>1.17537868023</v>
      </c>
      <c r="Q2305" s="39" t="str">
        <f>HYPERLINK(AB2 &amp; "/pencil/sn_f392c4df0784ffc07f5b653d43c48f1e/rendering/14.obj", "1.48742616177")</f>
        <v>1.48742616177</v>
      </c>
      <c r="R2305" s="23" t="str">
        <f>HYPERLINK(AB2 &amp; "/pencil/sn_f392c4df0784ffc07f5b653d43c48f1e/rendering/15.obj", "1.31464099884")</f>
        <v>1.31464099884</v>
      </c>
      <c r="S2305" s="8" t="str">
        <f>HYPERLINK(AB2 &amp; "/pencil/sn_f392c4df0784ffc07f5b653d43c48f1e/rendering/16.obj", "1.17560112476")</f>
        <v>1.17560112476</v>
      </c>
      <c r="T2305" s="6" t="str">
        <f>HYPERLINK(AB2 &amp; "/pencil/sn_f392c4df0784ffc07f5b653d43c48f1e/rendering/17.obj", "1.43096125126")</f>
        <v>1.43096125126</v>
      </c>
      <c r="U2305" s="90" t="str">
        <f>HYPERLINK(AB2 &amp; "/pencil/sn_f392c4df0784ffc07f5b653d43c48f1e/rendering/18.obj", "1.24021172523")</f>
        <v>1.24021172523</v>
      </c>
      <c r="V2305" s="17" t="str">
        <f>HYPERLINK(AB2 &amp; "/pencil/sn_f392c4df0784ffc07f5b653d43c48f1e/rendering/19.obj", "1.39752781391")</f>
        <v>1.39752781391</v>
      </c>
      <c r="W2305" s="12" t="s">
        <v>32</v>
      </c>
      <c r="X2305" s="13">
        <v>1.3698206126689909</v>
      </c>
      <c r="Y2305" s="13">
        <v>0.1623076047517118</v>
      </c>
      <c r="Z2305" s="71">
        <v>0.11848821900516431</v>
      </c>
    </row>
    <row r="2306" spans="1:26" x14ac:dyDescent="0.2">
      <c r="A2306" s="1">
        <v>2304</v>
      </c>
      <c r="B2306" s="2" t="s">
        <v>493</v>
      </c>
      <c r="C2306" s="13" t="str">
        <f>HYPERLINK(AC2 &amp; "/pencil/sn_f392c4df0784ffc07f5b653d43c48f1e/rendering/00.xyz", "0.0")</f>
        <v>0.0</v>
      </c>
      <c r="D2306" s="13" t="str">
        <f>HYPERLINK(AC2 &amp; "/pencil/sn_f392c4df0784ffc07f5b653d43c48f1e/rendering/01.xyz", "0.0")</f>
        <v>0.0</v>
      </c>
      <c r="E2306" s="13" t="str">
        <f>HYPERLINK(AC2 &amp; "/pencil/sn_f392c4df0784ffc07f5b653d43c48f1e/rendering/02.xyz", "0.0")</f>
        <v>0.0</v>
      </c>
      <c r="F2306" s="13" t="str">
        <f>HYPERLINK(AC2 &amp; "/pencil/sn_f392c4df0784ffc07f5b653d43c48f1e/rendering/03.xyz", "0.0")</f>
        <v>0.0</v>
      </c>
      <c r="G2306" s="13" t="str">
        <f>HYPERLINK(AC2 &amp; "/pencil/sn_f392c4df0784ffc07f5b653d43c48f1e/rendering/04.xyz", "0.0")</f>
        <v>0.0</v>
      </c>
      <c r="H2306" s="13" t="str">
        <f>HYPERLINK(AC2 &amp; "/pencil/sn_f392c4df0784ffc07f5b653d43c48f1e/rendering/05.xyz", "0.0")</f>
        <v>0.0</v>
      </c>
      <c r="I2306" s="13" t="str">
        <f>HYPERLINK(AC2 &amp; "/pencil/sn_f392c4df0784ffc07f5b653d43c48f1e/rendering/06.xyz", "0.0")</f>
        <v>0.0</v>
      </c>
      <c r="J2306" s="13" t="str">
        <f>HYPERLINK(AC2 &amp; "/pencil/sn_f392c4df0784ffc07f5b653d43c48f1e/rendering/07.xyz", "0.0")</f>
        <v>0.0</v>
      </c>
      <c r="K2306" s="13" t="str">
        <f>HYPERLINK(AC2 &amp; "/pencil/sn_f392c4df0784ffc07f5b653d43c48f1e/rendering/08.xyz", "0.0")</f>
        <v>0.0</v>
      </c>
      <c r="L2306" s="13" t="str">
        <f>HYPERLINK(AC2 &amp; "/pencil/sn_f392c4df0784ffc07f5b653d43c48f1e/rendering/09.xyz", "0.0")</f>
        <v>0.0</v>
      </c>
      <c r="M2306" s="13" t="str">
        <f>HYPERLINK(AC2 &amp; "/pencil/sn_f392c4df0784ffc07f5b653d43c48f1e/rendering/10.xyz", "0.0")</f>
        <v>0.0</v>
      </c>
      <c r="N2306" s="13" t="str">
        <f>HYPERLINK(AC2 &amp; "/pencil/sn_f392c4df0784ffc07f5b653d43c48f1e/rendering/11.xyz", "0.0")</f>
        <v>0.0</v>
      </c>
      <c r="O2306" s="13" t="str">
        <f>HYPERLINK(AC2 &amp; "/pencil/sn_f392c4df0784ffc07f5b653d43c48f1e/rendering/12.xyz", "0.0")</f>
        <v>0.0</v>
      </c>
      <c r="P2306" s="13" t="str">
        <f>HYPERLINK(AC2 &amp; "/pencil/sn_f392c4df0784ffc07f5b653d43c48f1e/rendering/13.xyz", "0.0")</f>
        <v>0.0</v>
      </c>
      <c r="Q2306" s="13" t="str">
        <f>HYPERLINK(AC2 &amp; "/pencil/sn_f392c4df0784ffc07f5b653d43c48f1e/rendering/14.xyz", "0.0")</f>
        <v>0.0</v>
      </c>
      <c r="R2306" s="13" t="str">
        <f>HYPERLINK(AC2 &amp; "/pencil/sn_f392c4df0784ffc07f5b653d43c48f1e/rendering/15.xyz", "0.0")</f>
        <v>0.0</v>
      </c>
      <c r="S2306" s="13" t="str">
        <f>HYPERLINK(AC2 &amp; "/pencil/sn_f392c4df0784ffc07f5b653d43c48f1e/rendering/16.xyz", "0.0")</f>
        <v>0.0</v>
      </c>
      <c r="T2306" s="13" t="str">
        <f>HYPERLINK(AC2 &amp; "/pencil/sn_f392c4df0784ffc07f5b653d43c48f1e/rendering/17.xyz", "0.0")</f>
        <v>0.0</v>
      </c>
      <c r="U2306" s="13" t="str">
        <f>HYPERLINK(AC2 &amp; "/pencil/sn_f392c4df0784ffc07f5b653d43c48f1e/rendering/18.xyz", "0.0")</f>
        <v>0.0</v>
      </c>
      <c r="V2306" s="13" t="str">
        <f>HYPERLINK(AC2 &amp; "/pencil/sn_f392c4df0784ffc07f5b653d43c48f1e/rendering/19.xyz", "0.0")</f>
        <v>0.0</v>
      </c>
      <c r="W2306" s="12" t="s">
        <v>33</v>
      </c>
      <c r="X2306" s="13">
        <v>0</v>
      </c>
      <c r="Y2306" s="13">
        <v>0</v>
      </c>
      <c r="Z2306" s="13">
        <v>0</v>
      </c>
    </row>
    <row r="2307" spans="1:26" x14ac:dyDescent="0.2">
      <c r="A2307" s="1">
        <v>2305</v>
      </c>
      <c r="B2307" s="2" t="s">
        <v>494</v>
      </c>
      <c r="C2307" s="20" t="str">
        <f>HYPERLINK(AA2 &amp; "/pencil/sn_f466705d7bc17c6e77b2ee6a0f4a89c6/rendering/00.obj", "18.8886877441")</f>
        <v>18.8886877441</v>
      </c>
      <c r="D2307" s="184" t="str">
        <f>HYPERLINK(AA2 &amp; "/pencil/sn_f466705d7bc17c6e77b2ee6a0f4a89c6/rendering/01.obj", "2.63715545654")</f>
        <v>2.63715545654</v>
      </c>
      <c r="E2307" s="219" t="str">
        <f>HYPERLINK(AA2 &amp; "/pencil/sn_f466705d7bc17c6e77b2ee6a0f4a89c6/rendering/02.obj", "3.01579101563")</f>
        <v>3.01579101563</v>
      </c>
      <c r="F2307" s="24" t="str">
        <f>HYPERLINK(AA2 &amp; "/pencil/sn_f466705d7bc17c6e77b2ee6a0f4a89c6/rendering/03.obj", "8.34187438965")</f>
        <v>8.34187438965</v>
      </c>
      <c r="G2307" s="20" t="str">
        <f>HYPERLINK(AA2 &amp; "/pencil/sn_f466705d7bc17c6e77b2ee6a0f4a89c6/rendering/04.obj", "26.2292236328")</f>
        <v>26.2292236328</v>
      </c>
      <c r="H2307" s="46" t="str">
        <f>HYPERLINK(AA2 &amp; "/pencil/sn_f466705d7bc17c6e77b2ee6a0f4a89c6/rendering/05.obj", "9.8338470459")</f>
        <v>9.8338470459</v>
      </c>
      <c r="I2307" s="190" t="str">
        <f>HYPERLINK(AA2 &amp; "/pencil/sn_f466705d7bc17c6e77b2ee6a0f4a89c6/rendering/06.obj", "3.06693572998")</f>
        <v>3.06693572998</v>
      </c>
      <c r="J2307" s="20" t="str">
        <f>HYPERLINK(AA2 &amp; "/pencil/sn_f466705d7bc17c6e77b2ee6a0f4a89c6/rendering/07.obj", "31.657109375")</f>
        <v>31.657109375</v>
      </c>
      <c r="K2307" s="20" t="str">
        <f>HYPERLINK(AA2 &amp; "/pencil/sn_f466705d7bc17c6e77b2ee6a0f4a89c6/rendering/08.obj", "23.1841210938")</f>
        <v>23.1841210938</v>
      </c>
      <c r="L2307" s="214" t="str">
        <f>HYPERLINK(AA2 &amp; "/pencil/sn_f466705d7bc17c6e77b2ee6a0f4a89c6/rendering/09.obj", "16.1815136719")</f>
        <v>16.1815136719</v>
      </c>
      <c r="M2307" s="233" t="str">
        <f>HYPERLINK(AA2 &amp; "/pencil/sn_f466705d7bc17c6e77b2ee6a0f4a89c6/rendering/10.obj", "2.99814758301")</f>
        <v>2.99814758301</v>
      </c>
      <c r="N2307" s="174" t="str">
        <f>HYPERLINK(AA2 &amp; "/pencil/sn_f466705d7bc17c6e77b2ee6a0f4a89c6/rendering/11.obj", "15.2535498047")</f>
        <v>15.2535498047</v>
      </c>
      <c r="O2307" s="238" t="str">
        <f>HYPERLINK(AA2 &amp; "/pencil/sn_f466705d7bc17c6e77b2ee6a0f4a89c6/rendering/12.obj", "2.96506744385")</f>
        <v>2.96506744385</v>
      </c>
      <c r="P2307" s="105" t="str">
        <f>HYPERLINK(AA2 &amp; "/pencil/sn_f466705d7bc17c6e77b2ee6a0f4a89c6/rendering/13.obj", "15.1305810547")</f>
        <v>15.1305810547</v>
      </c>
      <c r="Q2307" s="199" t="str">
        <f>HYPERLINK(AA2 &amp; "/pencil/sn_f466705d7bc17c6e77b2ee6a0f4a89c6/rendering/14.obj", "2.14816757202")</f>
        <v>2.14816757202</v>
      </c>
      <c r="R2307" s="255" t="str">
        <f>HYPERLINK(AA2 &amp; "/pencil/sn_f466705d7bc17c6e77b2ee6a0f4a89c6/rendering/15.obj", "2.7805847168")</f>
        <v>2.7805847168</v>
      </c>
      <c r="S2307" s="190" t="str">
        <f>HYPERLINK(AA2 &amp; "/pencil/sn_f466705d7bc17c6e77b2ee6a0f4a89c6/rendering/16.obj", "3.06780151367")</f>
        <v>3.06780151367</v>
      </c>
      <c r="T2307" s="45" t="str">
        <f>HYPERLINK(AA2 &amp; "/pencil/sn_f466705d7bc17c6e77b2ee6a0f4a89c6/rendering/17.obj", "3.36256469727")</f>
        <v>3.36256469727</v>
      </c>
      <c r="U2307" s="138" t="str">
        <f>HYPERLINK(AA2 &amp; "/pencil/sn_f466705d7bc17c6e77b2ee6a0f4a89c6/rendering/18.obj", "6.61841491699")</f>
        <v>6.61841491699</v>
      </c>
      <c r="V2307" s="245" t="str">
        <f>HYPERLINK(AA2 &amp; "/pencil/sn_f466705d7bc17c6e77b2ee6a0f4a89c6/rendering/19.obj", "2.79055175781")</f>
        <v>2.79055175781</v>
      </c>
      <c r="W2307" s="12" t="s">
        <v>29</v>
      </c>
      <c r="X2307" s="13">
        <v>10.00758451080322</v>
      </c>
      <c r="Y2307" s="13">
        <v>8.9415467439219043</v>
      </c>
      <c r="Z2307" s="20">
        <v>0.89347701578432581</v>
      </c>
    </row>
    <row r="2308" spans="1:26" x14ac:dyDescent="0.2">
      <c r="A2308" s="1">
        <v>2306</v>
      </c>
      <c r="B2308" s="2" t="s">
        <v>494</v>
      </c>
      <c r="C2308" s="20" t="str">
        <f>HYPERLINK(AA2 &amp; "/pencil/sn_f466705d7bc17c6e77b2ee6a0f4a89c6/rendering/00.obj", "93.006072998")</f>
        <v>93.006072998</v>
      </c>
      <c r="D2308" s="20" t="str">
        <f>HYPERLINK(AA2 &amp; "/pencil/sn_f466705d7bc17c6e77b2ee6a0f4a89c6/rendering/01.obj", "2.0273501873")</f>
        <v>2.0273501873</v>
      </c>
      <c r="E2308" s="20" t="str">
        <f>HYPERLINK(AA2 &amp; "/pencil/sn_f466705d7bc17c6e77b2ee6a0f4a89c6/rendering/02.obj", "2.30353403091")</f>
        <v>2.30353403091</v>
      </c>
      <c r="F2308" s="184" t="str">
        <f>HYPERLINK(AA2 &amp; "/pencil/sn_f466705d7bc17c6e77b2ee6a0f4a89c6/rendering/03.obj", "8.99725151062")</f>
        <v>8.99725151062</v>
      </c>
      <c r="G2308" s="20" t="str">
        <f>HYPERLINK(AA2 &amp; "/pencil/sn_f466705d7bc17c6e77b2ee6a0f4a89c6/rendering/04.obj", "153.19833374")</f>
        <v>153.19833374</v>
      </c>
      <c r="H2308" s="212" t="str">
        <f>HYPERLINK(AA2 &amp; "/pencil/sn_f466705d7bc17c6e77b2ee6a0f4a89c6/rendering/05.obj", "19.2758407593")</f>
        <v>19.2758407593</v>
      </c>
      <c r="I2308" s="20" t="str">
        <f>HYPERLINK(AA2 &amp; "/pencil/sn_f466705d7bc17c6e77b2ee6a0f4a89c6/rendering/06.obj", "2.43041920662")</f>
        <v>2.43041920662</v>
      </c>
      <c r="J2308" s="20" t="str">
        <f>HYPERLINK(AA2 &amp; "/pencil/sn_f466705d7bc17c6e77b2ee6a0f4a89c6/rendering/07.obj", "132.38520813")</f>
        <v>132.38520813</v>
      </c>
      <c r="K2308" s="20" t="str">
        <f>HYPERLINK(AA2 &amp; "/pencil/sn_f466705d7bc17c6e77b2ee6a0f4a89c6/rendering/08.obj", "92.8203964233")</f>
        <v>92.8203964233</v>
      </c>
      <c r="L2308" s="20" t="str">
        <f>HYPERLINK(AA2 &amp; "/pencil/sn_f466705d7bc17c6e77b2ee6a0f4a89c6/rendering/09.obj", "67.6125335693")</f>
        <v>67.6125335693</v>
      </c>
      <c r="M2308" s="20" t="str">
        <f>HYPERLINK(AA2 &amp; "/pencil/sn_f466705d7bc17c6e77b2ee6a0f4a89c6/rendering/10.obj", "2.08520436287")</f>
        <v>2.08520436287</v>
      </c>
      <c r="N2308" s="121" t="str">
        <f>HYPERLINK(AA2 &amp; "/pencil/sn_f466705d7bc17c6e77b2ee6a0f4a89c6/rendering/11.obj", "21.9912319183")</f>
        <v>21.9912319183</v>
      </c>
      <c r="O2308" s="20" t="str">
        <f>HYPERLINK(AA2 &amp; "/pencil/sn_f466705d7bc17c6e77b2ee6a0f4a89c6/rendering/12.obj", "2.32396221161")</f>
        <v>2.32396221161</v>
      </c>
      <c r="P2308" s="125" t="str">
        <f>HYPERLINK(AA2 &amp; "/pencil/sn_f466705d7bc17c6e77b2ee6a0f4a89c6/rendering/13.obj", "58.0348434448")</f>
        <v>58.0348434448</v>
      </c>
      <c r="Q2308" s="20" t="str">
        <f>HYPERLINK(AA2 &amp; "/pencil/sn_f466705d7bc17c6e77b2ee6a0f4a89c6/rendering/14.obj", "1.37133705616")</f>
        <v>1.37133705616</v>
      </c>
      <c r="R2308" s="20" t="str">
        <f>HYPERLINK(AA2 &amp; "/pencil/sn_f466705d7bc17c6e77b2ee6a0f4a89c6/rendering/15.obj", "2.39173603058")</f>
        <v>2.39173603058</v>
      </c>
      <c r="S2308" s="20" t="str">
        <f>HYPERLINK(AA2 &amp; "/pencil/sn_f466705d7bc17c6e77b2ee6a0f4a89c6/rendering/16.obj", "2.34947776794")</f>
        <v>2.34947776794</v>
      </c>
      <c r="T2308" s="20" t="str">
        <f>HYPERLINK(AA2 &amp; "/pencil/sn_f466705d7bc17c6e77b2ee6a0f4a89c6/rendering/17.obj", "2.64748620987")</f>
        <v>2.64748620987</v>
      </c>
      <c r="U2308" s="184" t="str">
        <f>HYPERLINK(AA2 &amp; "/pencil/sn_f466705d7bc17c6e77b2ee6a0f4a89c6/rendering/18.obj", "8.95280170441")</f>
        <v>8.95280170441</v>
      </c>
      <c r="V2308" s="20" t="str">
        <f>HYPERLINK(AA2 &amp; "/pencil/sn_f466705d7bc17c6e77b2ee6a0f4a89c6/rendering/19.obj", "2.07100820541")</f>
        <v>2.07100820541</v>
      </c>
      <c r="W2308" s="12" t="s">
        <v>30</v>
      </c>
      <c r="X2308" s="13">
        <v>33.913801473379138</v>
      </c>
      <c r="Y2308" s="13">
        <v>47.044486688534029</v>
      </c>
      <c r="Z2308" s="20">
        <v>1.3871782178551091</v>
      </c>
    </row>
    <row r="2309" spans="1:26" x14ac:dyDescent="0.2">
      <c r="A2309" s="1">
        <v>2307</v>
      </c>
      <c r="B2309" s="2" t="s">
        <v>494</v>
      </c>
      <c r="C2309" s="83" t="str">
        <f>HYPERLINK(AB2 &amp; "/pencil/sn_f466705d7bc17c6e77b2ee6a0f4a89c6/rendering/00.obj", "2.37426177979")</f>
        <v>2.37426177979</v>
      </c>
      <c r="D2309" s="14" t="str">
        <f>HYPERLINK(AB2 &amp; "/pencil/sn_f466705d7bc17c6e77b2ee6a0f4a89c6/rendering/01.obj", "1.98106033325")</f>
        <v>1.98106033325</v>
      </c>
      <c r="E2309" s="53" t="str">
        <f>HYPERLINK(AB2 &amp; "/pencil/sn_f466705d7bc17c6e77b2ee6a0f4a89c6/rendering/02.obj", "1.6438885498")</f>
        <v>1.6438885498</v>
      </c>
      <c r="F2309" s="113" t="str">
        <f>HYPERLINK(AB2 &amp; "/pencil/sn_f466705d7bc17c6e77b2ee6a0f4a89c6/rendering/03.obj", "2.02923065186")</f>
        <v>2.02923065186</v>
      </c>
      <c r="G2309" s="141" t="str">
        <f>HYPERLINK(AB2 &amp; "/pencil/sn_f466705d7bc17c6e77b2ee6a0f4a89c6/rendering/04.obj", "4.33368164063")</f>
        <v>4.33368164063</v>
      </c>
      <c r="H2309" s="139" t="str">
        <f>HYPERLINK(AB2 &amp; "/pencil/sn_f466705d7bc17c6e77b2ee6a0f4a89c6/rendering/05.obj", "4.14372314453")</f>
        <v>4.14372314453</v>
      </c>
      <c r="I2309" s="185" t="str">
        <f>HYPERLINK(AB2 &amp; "/pencil/sn_f466705d7bc17c6e77b2ee6a0f4a89c6/rendering/06.obj", "1.8481854248")</f>
        <v>1.8481854248</v>
      </c>
      <c r="J2309" s="20" t="str">
        <f>HYPERLINK(AB2 &amp; "/pencil/sn_f466705d7bc17c6e77b2ee6a0f4a89c6/rendering/07.obj", "6.29165100098")</f>
        <v>6.29165100098</v>
      </c>
      <c r="K2309" s="79" t="str">
        <f>HYPERLINK(AB2 &amp; "/pencil/sn_f466705d7bc17c6e77b2ee6a0f4a89c6/rendering/08.obj", "2.34920333862")</f>
        <v>2.34920333862</v>
      </c>
      <c r="L2309" s="20" t="str">
        <f>HYPERLINK(AB2 &amp; "/pencil/sn_f466705d7bc17c6e77b2ee6a0f4a89c6/rendering/09.obj", "6.60543945313")</f>
        <v>6.60543945313</v>
      </c>
      <c r="M2309" s="171" t="str">
        <f>HYPERLINK(AB2 &amp; "/pencil/sn_f466705d7bc17c6e77b2ee6a0f4a89c6/rendering/10.obj", "1.9445223999")</f>
        <v>1.9445223999</v>
      </c>
      <c r="N2309" s="47" t="str">
        <f>HYPERLINK(AB2 &amp; "/pencil/sn_f466705d7bc17c6e77b2ee6a0f4a89c6/rendering/11.obj", "2.77130187988")</f>
        <v>2.77130187988</v>
      </c>
      <c r="O2309" s="140" t="str">
        <f>HYPERLINK(AB2 &amp; "/pencil/sn_f466705d7bc17c6e77b2ee6a0f4a89c6/rendering/12.obj", "1.82331237793")</f>
        <v>1.82331237793</v>
      </c>
      <c r="P2309" s="39" t="str">
        <f>HYPERLINK(AB2 &amp; "/pencil/sn_f466705d7bc17c6e77b2ee6a0f4a89c6/rendering/13.obj", "2.55214431763")</f>
        <v>2.55214431763</v>
      </c>
      <c r="Q2309" s="136" t="str">
        <f>HYPERLINK(AB2 &amp; "/pencil/sn_f466705d7bc17c6e77b2ee6a0f4a89c6/rendering/14.obj", "2.13424545288")</f>
        <v>2.13424545288</v>
      </c>
      <c r="R2309" s="60" t="str">
        <f>HYPERLINK(AB2 &amp; "/pencil/sn_f466705d7bc17c6e77b2ee6a0f4a89c6/rendering/15.obj", "2.64760070801")</f>
        <v>2.64760070801</v>
      </c>
      <c r="S2309" s="64" t="str">
        <f>HYPERLINK(AB2 &amp; "/pencil/sn_f466705d7bc17c6e77b2ee6a0f4a89c6/rendering/16.obj", "2.3326763916")</f>
        <v>2.3326763916</v>
      </c>
      <c r="T2309" s="57" t="str">
        <f>HYPERLINK(AB2 &amp; "/pencil/sn_f466705d7bc17c6e77b2ee6a0f4a89c6/rendering/17.obj", "1.91842559814")</f>
        <v>1.91842559814</v>
      </c>
      <c r="U2309" s="98" t="str">
        <f>HYPERLINK(AB2 &amp; "/pencil/sn_f466705d7bc17c6e77b2ee6a0f4a89c6/rendering/18.obj", "2.15210906982")</f>
        <v>2.15210906982</v>
      </c>
      <c r="V2309" s="86" t="str">
        <f>HYPERLINK(AB2 &amp; "/pencil/sn_f466705d7bc17c6e77b2ee6a0f4a89c6/rendering/19.obj", "2.0432069397")</f>
        <v>2.0432069397</v>
      </c>
      <c r="W2309" s="12" t="s">
        <v>31</v>
      </c>
      <c r="X2309" s="13">
        <v>2.7959935226440429</v>
      </c>
      <c r="Y2309" s="13">
        <v>1.3950760510077971</v>
      </c>
      <c r="Z2309" s="126">
        <v>0.49895539446333831</v>
      </c>
    </row>
    <row r="2310" spans="1:26" x14ac:dyDescent="0.2">
      <c r="A2310" s="1">
        <v>2308</v>
      </c>
      <c r="B2310" s="2" t="s">
        <v>494</v>
      </c>
      <c r="C2310" s="166" t="str">
        <f>HYPERLINK(AB2 &amp; "/pencil/sn_f466705d7bc17c6e77b2ee6a0f4a89c6/rendering/00.obj", "1.55157279968")</f>
        <v>1.55157279968</v>
      </c>
      <c r="D2310" s="203" t="str">
        <f>HYPERLINK(AB2 &amp; "/pencil/sn_f466705d7bc17c6e77b2ee6a0f4a89c6/rendering/01.obj", "1.16333627701")</f>
        <v>1.16333627701</v>
      </c>
      <c r="E2310" s="126" t="str">
        <f>HYPERLINK(AB2 &amp; "/pencil/sn_f466705d7bc17c6e77b2ee6a0f4a89c6/rendering/02.obj", "1.09103989601")</f>
        <v>1.09103989601</v>
      </c>
      <c r="F2310" s="85" t="str">
        <f>HYPERLINK(AB2 &amp; "/pencil/sn_f466705d7bc17c6e77b2ee6a0f4a89c6/rendering/03.obj", "1.5336022377")</f>
        <v>1.5336022377</v>
      </c>
      <c r="G2310" s="20" t="str">
        <f>HYPERLINK(AB2 &amp; "/pencil/sn_f466705d7bc17c6e77b2ee6a0f4a89c6/rendering/04.obj", "4.72676372528")</f>
        <v>4.72676372528</v>
      </c>
      <c r="H2310" s="20" t="str">
        <f>HYPERLINK(AB2 &amp; "/pencil/sn_f466705d7bc17c6e77b2ee6a0f4a89c6/rendering/05.obj", "4.11767339706")</f>
        <v>4.11767339706</v>
      </c>
      <c r="I2310" s="147" t="str">
        <f>HYPERLINK(AB2 &amp; "/pencil/sn_f466705d7bc17c6e77b2ee6a0f4a89c6/rendering/06.obj", "1.11774849892")</f>
        <v>1.11774849892</v>
      </c>
      <c r="J2310" s="20" t="str">
        <f>HYPERLINK(AB2 &amp; "/pencil/sn_f466705d7bc17c6e77b2ee6a0f4a89c6/rendering/07.obj", "3.99029588699")</f>
        <v>3.99029588699</v>
      </c>
      <c r="K2310" s="98" t="str">
        <f>HYPERLINK(AB2 &amp; "/pencil/sn_f466705d7bc17c6e77b2ee6a0f4a89c6/rendering/08.obj", "1.67436504364")</f>
        <v>1.67436504364</v>
      </c>
      <c r="L2310" s="20" t="str">
        <f>HYPERLINK(AB2 &amp; "/pencil/sn_f466705d7bc17c6e77b2ee6a0f4a89c6/rendering/09.obj", "8.24216747284")</f>
        <v>8.24216747284</v>
      </c>
      <c r="M2310" s="147" t="str">
        <f>HYPERLINK(AB2 &amp; "/pencil/sn_f466705d7bc17c6e77b2ee6a0f4a89c6/rendering/10.obj", "1.11641299725")</f>
        <v>1.11641299725</v>
      </c>
      <c r="N2310" s="80" t="str">
        <f>HYPERLINK(AB2 &amp; "/pencil/sn_f466705d7bc17c6e77b2ee6a0f4a89c6/rendering/11.obj", "1.85085165501")</f>
        <v>1.85085165501</v>
      </c>
      <c r="O2310" s="145" t="str">
        <f>HYPERLINK(AB2 &amp; "/pencil/sn_f466705d7bc17c6e77b2ee6a0f4a89c6/rendering/12.obj", "1.10581243038")</f>
        <v>1.10581243038</v>
      </c>
      <c r="P2310" s="28" t="str">
        <f>HYPERLINK(AB2 &amp; "/pencil/sn_f466705d7bc17c6e77b2ee6a0f4a89c6/rendering/13.obj", "1.93787193298")</f>
        <v>1.93787193298</v>
      </c>
      <c r="Q2310" s="130" t="str">
        <f>HYPERLINK(AB2 &amp; "/pencil/sn_f466705d7bc17c6e77b2ee6a0f4a89c6/rendering/14.obj", "1.20010912418")</f>
        <v>1.20010912418</v>
      </c>
      <c r="R2310" s="175" t="str">
        <f>HYPERLINK(AB2 &amp; "/pencil/sn_f466705d7bc17c6e77b2ee6a0f4a89c6/rendering/15.obj", "1.66861748695")</f>
        <v>1.66861748695</v>
      </c>
      <c r="S2310" s="187" t="str">
        <f>HYPERLINK(AB2 &amp; "/pencil/sn_f466705d7bc17c6e77b2ee6a0f4a89c6/rendering/16.obj", "1.41344451904")</f>
        <v>1.41344451904</v>
      </c>
      <c r="T2310" s="162" t="str">
        <f>HYPERLINK(AB2 &amp; "/pencil/sn_f466705d7bc17c6e77b2ee6a0f4a89c6/rendering/17.obj", "1.2519364357")</f>
        <v>1.2519364357</v>
      </c>
      <c r="U2310" s="58" t="str">
        <f>HYPERLINK(AB2 &amp; "/pencil/sn_f466705d7bc17c6e77b2ee6a0f4a89c6/rendering/18.obj", "1.64641690254")</f>
        <v>1.64641690254</v>
      </c>
      <c r="V2310" s="114" t="str">
        <f>HYPERLINK(AB2 &amp; "/pencil/sn_f466705d7bc17c6e77b2ee6a0f4a89c6/rendering/19.obj", "1.1776778698")</f>
        <v>1.1776778698</v>
      </c>
      <c r="W2310" s="12" t="s">
        <v>32</v>
      </c>
      <c r="X2310" s="13">
        <v>2.1788858294487001</v>
      </c>
      <c r="Y2310" s="13">
        <v>1.747796733846388</v>
      </c>
      <c r="Z2310" s="20">
        <v>0.80215159060840469</v>
      </c>
    </row>
    <row r="2311" spans="1:26" x14ac:dyDescent="0.2">
      <c r="A2311" s="1">
        <v>2309</v>
      </c>
      <c r="B2311" s="2" t="s">
        <v>494</v>
      </c>
      <c r="C2311" s="13" t="str">
        <f>HYPERLINK(AC2 &amp; "/pencil/sn_f466705d7bc17c6e77b2ee6a0f4a89c6/rendering/00.xyz", "0.0")</f>
        <v>0.0</v>
      </c>
      <c r="D2311" s="13" t="str">
        <f>HYPERLINK(AC2 &amp; "/pencil/sn_f466705d7bc17c6e77b2ee6a0f4a89c6/rendering/01.xyz", "0.0")</f>
        <v>0.0</v>
      </c>
      <c r="E2311" s="13" t="str">
        <f>HYPERLINK(AC2 &amp; "/pencil/sn_f466705d7bc17c6e77b2ee6a0f4a89c6/rendering/02.xyz", "0.0")</f>
        <v>0.0</v>
      </c>
      <c r="F2311" s="13" t="str">
        <f>HYPERLINK(AC2 &amp; "/pencil/sn_f466705d7bc17c6e77b2ee6a0f4a89c6/rendering/03.xyz", "0.0")</f>
        <v>0.0</v>
      </c>
      <c r="G2311" s="13" t="str">
        <f>HYPERLINK(AC2 &amp; "/pencil/sn_f466705d7bc17c6e77b2ee6a0f4a89c6/rendering/04.xyz", "0.0")</f>
        <v>0.0</v>
      </c>
      <c r="H2311" s="13" t="str">
        <f>HYPERLINK(AC2 &amp; "/pencil/sn_f466705d7bc17c6e77b2ee6a0f4a89c6/rendering/05.xyz", "0.0")</f>
        <v>0.0</v>
      </c>
      <c r="I2311" s="13" t="str">
        <f>HYPERLINK(AC2 &amp; "/pencil/sn_f466705d7bc17c6e77b2ee6a0f4a89c6/rendering/06.xyz", "0.0")</f>
        <v>0.0</v>
      </c>
      <c r="J2311" s="13" t="str">
        <f>HYPERLINK(AC2 &amp; "/pencil/sn_f466705d7bc17c6e77b2ee6a0f4a89c6/rendering/07.xyz", "0.0")</f>
        <v>0.0</v>
      </c>
      <c r="K2311" s="13" t="str">
        <f>HYPERLINK(AC2 &amp; "/pencil/sn_f466705d7bc17c6e77b2ee6a0f4a89c6/rendering/08.xyz", "0.0")</f>
        <v>0.0</v>
      </c>
      <c r="L2311" s="13" t="str">
        <f>HYPERLINK(AC2 &amp; "/pencil/sn_f466705d7bc17c6e77b2ee6a0f4a89c6/rendering/09.xyz", "0.0")</f>
        <v>0.0</v>
      </c>
      <c r="M2311" s="13" t="str">
        <f>HYPERLINK(AC2 &amp; "/pencil/sn_f466705d7bc17c6e77b2ee6a0f4a89c6/rendering/10.xyz", "0.0")</f>
        <v>0.0</v>
      </c>
      <c r="N2311" s="13" t="str">
        <f>HYPERLINK(AC2 &amp; "/pencil/sn_f466705d7bc17c6e77b2ee6a0f4a89c6/rendering/11.xyz", "0.0")</f>
        <v>0.0</v>
      </c>
      <c r="O2311" s="13" t="str">
        <f>HYPERLINK(AC2 &amp; "/pencil/sn_f466705d7bc17c6e77b2ee6a0f4a89c6/rendering/12.xyz", "0.0")</f>
        <v>0.0</v>
      </c>
      <c r="P2311" s="13" t="str">
        <f>HYPERLINK(AC2 &amp; "/pencil/sn_f466705d7bc17c6e77b2ee6a0f4a89c6/rendering/13.xyz", "0.0")</f>
        <v>0.0</v>
      </c>
      <c r="Q2311" s="13" t="str">
        <f>HYPERLINK(AC2 &amp; "/pencil/sn_f466705d7bc17c6e77b2ee6a0f4a89c6/rendering/14.xyz", "0.0")</f>
        <v>0.0</v>
      </c>
      <c r="R2311" s="13" t="str">
        <f>HYPERLINK(AC2 &amp; "/pencil/sn_f466705d7bc17c6e77b2ee6a0f4a89c6/rendering/15.xyz", "0.0")</f>
        <v>0.0</v>
      </c>
      <c r="S2311" s="13" t="str">
        <f>HYPERLINK(AC2 &amp; "/pencil/sn_f466705d7bc17c6e77b2ee6a0f4a89c6/rendering/16.xyz", "0.0")</f>
        <v>0.0</v>
      </c>
      <c r="T2311" s="13" t="str">
        <f>HYPERLINK(AC2 &amp; "/pencil/sn_f466705d7bc17c6e77b2ee6a0f4a89c6/rendering/17.xyz", "0.0")</f>
        <v>0.0</v>
      </c>
      <c r="U2311" s="13" t="str">
        <f>HYPERLINK(AC2 &amp; "/pencil/sn_f466705d7bc17c6e77b2ee6a0f4a89c6/rendering/18.xyz", "0.0")</f>
        <v>0.0</v>
      </c>
      <c r="V2311" s="13" t="str">
        <f>HYPERLINK(AC2 &amp; "/pencil/sn_f466705d7bc17c6e77b2ee6a0f4a89c6/rendering/19.xyz", "0.0")</f>
        <v>0.0</v>
      </c>
      <c r="W2311" s="12" t="s">
        <v>33</v>
      </c>
      <c r="X2311" s="13">
        <v>0</v>
      </c>
      <c r="Y2311" s="13">
        <v>0</v>
      </c>
      <c r="Z2311" s="13">
        <v>0</v>
      </c>
    </row>
    <row r="2312" spans="1:26" x14ac:dyDescent="0.2">
      <c r="A2312" s="1">
        <v>2310</v>
      </c>
      <c r="B2312" s="2" t="s">
        <v>495</v>
      </c>
      <c r="C2312" s="86" t="str">
        <f>HYPERLINK(AA2 &amp; "/pencil/sn_f587b73fc6cf19835530ed1c645f0338/rendering/00.obj", "2.93135742188")</f>
        <v>2.93135742188</v>
      </c>
      <c r="D2312" s="209" t="str">
        <f>HYPERLINK(AA2 &amp; "/pencil/sn_f587b73fc6cf19835530ed1c645f0338/rendering/01.obj", "7.04668212891")</f>
        <v>7.04668212891</v>
      </c>
      <c r="E2312" s="135" t="str">
        <f>HYPERLINK(AA2 &amp; "/pencil/sn_f587b73fc6cf19835530ed1c645f0338/rendering/02.obj", "2.98317840576")</f>
        <v>2.98317840576</v>
      </c>
      <c r="F2312" s="40" t="str">
        <f>HYPERLINK(AA2 &amp; "/pencil/sn_f587b73fc6cf19835530ed1c645f0338/rendering/03.obj", "3.32762145996")</f>
        <v>3.32762145996</v>
      </c>
      <c r="G2312" s="98" t="str">
        <f>HYPERLINK(AA2 &amp; "/pencil/sn_f587b73fc6cf19835530ed1c645f0338/rendering/04.obj", "3.08511047363")</f>
        <v>3.08511047363</v>
      </c>
      <c r="H2312" s="40" t="str">
        <f>HYPERLINK(AA2 &amp; "/pencil/sn_f587b73fc6cf19835530ed1c645f0338/rendering/05.obj", "3.32175231934")</f>
        <v>3.32175231934</v>
      </c>
      <c r="I2312" s="20" t="str">
        <f>HYPERLINK(AA2 &amp; "/pencil/sn_f587b73fc6cf19835530ed1c645f0338/rendering/06.obj", "11.0914794922")</f>
        <v>11.0914794922</v>
      </c>
      <c r="J2312" s="135" t="str">
        <f>HYPERLINK(AA2 &amp; "/pencil/sn_f587b73fc6cf19835530ed1c645f0338/rendering/07.obj", "2.98425231934")</f>
        <v>2.98425231934</v>
      </c>
      <c r="K2312" s="47" t="str">
        <f>HYPERLINK(AA2 &amp; "/pencil/sn_f587b73fc6cf19835530ed1c645f0338/rendering/08.obj", "3.9754473877")</f>
        <v>3.9754473877</v>
      </c>
      <c r="L2312" s="30" t="str">
        <f>HYPERLINK(AA2 &amp; "/pencil/sn_f587b73fc6cf19835530ed1c645f0338/rendering/09.obj", "3.99248413086")</f>
        <v>3.99248413086</v>
      </c>
      <c r="M2312" s="49" t="str">
        <f>HYPERLINK(AA2 &amp; "/pencil/sn_f587b73fc6cf19835530ed1c645f0338/rendering/10.obj", "3.17490356445")</f>
        <v>3.17490356445</v>
      </c>
      <c r="N2312" s="11" t="str">
        <f>HYPERLINK(AA2 &amp; "/pencil/sn_f587b73fc6cf19835530ed1c645f0338/rendering/11.obj", "3.10866485596")</f>
        <v>3.10866485596</v>
      </c>
      <c r="O2312" s="59" t="str">
        <f>HYPERLINK(AA2 &amp; "/pencil/sn_f587b73fc6cf19835530ed1c645f0338/rendering/12.obj", "3.04106567383")</f>
        <v>3.04106567383</v>
      </c>
      <c r="P2312" s="50" t="str">
        <f>HYPERLINK(AA2 &amp; "/pencil/sn_f587b73fc6cf19835530ed1c645f0338/rendering/13.obj", "4.801378479")</f>
        <v>4.801378479</v>
      </c>
      <c r="Q2312" s="51" t="str">
        <f>HYPERLINK(AA2 &amp; "/pencil/sn_f587b73fc6cf19835530ed1c645f0338/rendering/14.obj", "3.69356658936")</f>
        <v>3.69356658936</v>
      </c>
      <c r="R2312" s="76" t="str">
        <f>HYPERLINK(AA2 &amp; "/pencil/sn_f587b73fc6cf19835530ed1c645f0338/rendering/15.obj", "4.74782592773")</f>
        <v>4.74782592773</v>
      </c>
      <c r="S2312" s="94" t="str">
        <f>HYPERLINK(AA2 &amp; "/pencil/sn_f587b73fc6cf19835530ed1c645f0338/rendering/16.obj", "3.71819824219")</f>
        <v>3.71819824219</v>
      </c>
      <c r="T2312" s="129" t="str">
        <f>HYPERLINK(AA2 &amp; "/pencil/sn_f587b73fc6cf19835530ed1c645f0338/rendering/17.obj", "3.00750427246")</f>
        <v>3.00750427246</v>
      </c>
      <c r="U2312" s="120" t="str">
        <f>HYPERLINK(AA2 &amp; "/pencil/sn_f587b73fc6cf19835530ed1c645f0338/rendering/18.obj", "3.16039550781")</f>
        <v>3.16039550781</v>
      </c>
      <c r="V2312" s="89" t="str">
        <f>HYPERLINK(AA2 &amp; "/pencil/sn_f587b73fc6cf19835530ed1c645f0338/rendering/19.obj", "2.9664276123")</f>
        <v>2.9664276123</v>
      </c>
      <c r="W2312" s="12" t="s">
        <v>29</v>
      </c>
      <c r="X2312" s="13">
        <v>4.0079648132324213</v>
      </c>
      <c r="Y2312" s="13">
        <v>1.884879089986367</v>
      </c>
      <c r="Z2312" s="159">
        <v>0.47028334274876349</v>
      </c>
    </row>
    <row r="2313" spans="1:26" x14ac:dyDescent="0.2">
      <c r="A2313" s="1">
        <v>2311</v>
      </c>
      <c r="B2313" s="2" t="s">
        <v>495</v>
      </c>
      <c r="C2313" s="16" t="str">
        <f>HYPERLINK(AA2 &amp; "/pencil/sn_f587b73fc6cf19835530ed1c645f0338/rendering/00.obj", "1.06872451305")</f>
        <v>1.06872451305</v>
      </c>
      <c r="D2313" s="243" t="str">
        <f>HYPERLINK(AA2 &amp; "/pencil/sn_f587b73fc6cf19835530ed1c645f0338/rendering/01.obj", "4.1569314003")</f>
        <v>4.1569314003</v>
      </c>
      <c r="E2313" s="186" t="str">
        <f>HYPERLINK(AA2 &amp; "/pencil/sn_f587b73fc6cf19835530ed1c645f0338/rendering/02.obj", "0.934391736984")</f>
        <v>0.934391736984</v>
      </c>
      <c r="F2313" s="130" t="str">
        <f>HYPERLINK(AA2 &amp; "/pencil/sn_f587b73fc6cf19835530ed1c645f0338/rendering/03.obj", "1.2878459692")</f>
        <v>1.2878459692</v>
      </c>
      <c r="G2313" s="231" t="str">
        <f>HYPERLINK(AA2 &amp; "/pencil/sn_f587b73fc6cf19835530ed1c645f0338/rendering/04.obj", "0.993280410767")</f>
        <v>0.993280410767</v>
      </c>
      <c r="H2313" s="212" t="str">
        <f>HYPERLINK(AA2 &amp; "/pencil/sn_f587b73fc6cf19835530ed1c645f0338/rendering/05.obj", "1.32728004456")</f>
        <v>1.32728004456</v>
      </c>
      <c r="I2313" s="20" t="str">
        <f>HYPERLINK(AA2 &amp; "/pencil/sn_f587b73fc6cf19835530ed1c645f0338/rendering/06.obj", "19.4131336212")</f>
        <v>19.4131336212</v>
      </c>
      <c r="J2313" s="256" t="str">
        <f>HYPERLINK(AA2 &amp; "/pencil/sn_f587b73fc6cf19835530ed1c645f0338/rendering/07.obj", "0.88683795929")</f>
        <v>0.88683795929</v>
      </c>
      <c r="K2313" s="55" t="str">
        <f>HYPERLINK(AA2 &amp; "/pencil/sn_f587b73fc6cf19835530ed1c645f0338/rendering/08.obj", "1.8882997036")</f>
        <v>1.8882997036</v>
      </c>
      <c r="L2313" s="124" t="str">
        <f>HYPERLINK(AA2 &amp; "/pencil/sn_f587b73fc6cf19835530ed1c645f0338/rendering/09.obj", "1.44501125813")</f>
        <v>1.44501125813</v>
      </c>
      <c r="M2313" s="231" t="str">
        <f>HYPERLINK(AA2 &amp; "/pencil/sn_f587b73fc6cf19835530ed1c645f0338/rendering/10.obj", "0.992554843426")</f>
        <v>0.992554843426</v>
      </c>
      <c r="N2313" s="161" t="str">
        <f>HYPERLINK(AA2 &amp; "/pencil/sn_f587b73fc6cf19835530ed1c645f0338/rendering/11.obj", "0.973284065723")</f>
        <v>0.973284065723</v>
      </c>
      <c r="O2313" s="228" t="str">
        <f>HYPERLINK(AA2 &amp; "/pencil/sn_f587b73fc6cf19835530ed1c645f0338/rendering/12.obj", "1.09135019779")</f>
        <v>1.09135019779</v>
      </c>
      <c r="P2313" s="142" t="str">
        <f>HYPERLINK(AA2 &amp; "/pencil/sn_f587b73fc6cf19835530ed1c645f0338/rendering/13.obj", "3.25943303108")</f>
        <v>3.25943303108</v>
      </c>
      <c r="Q2313" s="137" t="str">
        <f>HYPERLINK(AA2 &amp; "/pencil/sn_f587b73fc6cf19835530ed1c645f0338/rendering/14.obj", "1.48085641861")</f>
        <v>1.48085641861</v>
      </c>
      <c r="R2313" s="182" t="str">
        <f>HYPERLINK(AA2 &amp; "/pencil/sn_f587b73fc6cf19835530ed1c645f0338/rendering/15.obj", "1.55792975426")</f>
        <v>1.55792975426</v>
      </c>
      <c r="S2313" s="126" t="str">
        <f>HYPERLINK(AA2 &amp; "/pencil/sn_f587b73fc6cf19835530ed1c645f0338/rendering/16.obj", "1.16743838787")</f>
        <v>1.16743838787</v>
      </c>
      <c r="T2313" s="239" t="str">
        <f>HYPERLINK(AA2 &amp; "/pencil/sn_f587b73fc6cf19835530ed1c645f0338/rendering/17.obj", "0.92193287611")</f>
        <v>0.92193287611</v>
      </c>
      <c r="U2313" s="141" t="str">
        <f>HYPERLINK(AA2 &amp; "/pencil/sn_f587b73fc6cf19835530ed1c645f0338/rendering/18.obj", "1.05406045914")</f>
        <v>1.05406045914</v>
      </c>
      <c r="V2313" s="115" t="str">
        <f>HYPERLINK(AA2 &amp; "/pencil/sn_f587b73fc6cf19835530ed1c645f0338/rendering/19.obj", "0.848267555237")</f>
        <v>0.848267555237</v>
      </c>
      <c r="W2313" s="12" t="s">
        <v>30</v>
      </c>
      <c r="X2313" s="13">
        <v>2.3374422103166581</v>
      </c>
      <c r="Y2313" s="13">
        <v>4.0009396710768028</v>
      </c>
      <c r="Z2313" s="20">
        <v>1.711674262327447</v>
      </c>
    </row>
    <row r="2314" spans="1:26" x14ac:dyDescent="0.2">
      <c r="A2314" s="1">
        <v>2312</v>
      </c>
      <c r="B2314" s="2" t="s">
        <v>495</v>
      </c>
      <c r="C2314" s="92" t="str">
        <f>HYPERLINK(AB2 &amp; "/pencil/sn_f587b73fc6cf19835530ed1c645f0338/rendering/00.obj", "3.3831842041")</f>
        <v>3.3831842041</v>
      </c>
      <c r="D2314" s="72" t="str">
        <f>HYPERLINK(AB2 &amp; "/pencil/sn_f587b73fc6cf19835530ed1c645f0338/rendering/01.obj", "2.91248901367")</f>
        <v>2.91248901367</v>
      </c>
      <c r="E2314" s="133" t="str">
        <f>HYPERLINK(AB2 &amp; "/pencil/sn_f587b73fc6cf19835530ed1c645f0338/rendering/02.obj", "2.71097473145")</f>
        <v>2.71097473145</v>
      </c>
      <c r="F2314" s="83" t="str">
        <f>HYPERLINK(AB2 &amp; "/pencil/sn_f587b73fc6cf19835530ed1c645f0338/rendering/03.obj", "2.55387969971")</f>
        <v>2.55387969971</v>
      </c>
      <c r="G2314" s="25" t="str">
        <f>HYPERLINK(AB2 &amp; "/pencil/sn_f587b73fc6cf19835530ed1c645f0338/rendering/04.obj", "3.04787658691")</f>
        <v>3.04787658691</v>
      </c>
      <c r="H2314" s="5" t="str">
        <f>HYPERLINK(AB2 &amp; "/pencil/sn_f587b73fc6cf19835530ed1c645f0338/rendering/05.obj", "2.78317687988")</f>
        <v>2.78317687988</v>
      </c>
      <c r="I2314" s="136" t="str">
        <f>HYPERLINK(AB2 &amp; "/pencil/sn_f587b73fc6cf19835530ed1c645f0338/rendering/06.obj", "3.7308190918")</f>
        <v>3.7308190918</v>
      </c>
      <c r="J2314" s="33" t="str">
        <f>HYPERLINK(AB2 &amp; "/pencil/sn_f587b73fc6cf19835530ed1c645f0338/rendering/07.obj", "2.68609649658")</f>
        <v>2.68609649658</v>
      </c>
      <c r="K2314" s="55" t="str">
        <f>HYPERLINK(AB2 &amp; "/pencil/sn_f587b73fc6cf19835530ed1c645f0338/rendering/08.obj", "2.43396087646")</f>
        <v>2.43396087646</v>
      </c>
      <c r="L2314" s="67" t="str">
        <f>HYPERLINK(AB2 &amp; "/pencil/sn_f587b73fc6cf19835530ed1c645f0338/rendering/09.obj", "3.29563446045")</f>
        <v>3.29563446045</v>
      </c>
      <c r="M2314" s="33" t="str">
        <f>HYPERLINK(AB2 &amp; "/pencil/sn_f587b73fc6cf19835530ed1c645f0338/rendering/10.obj", "2.68960693359")</f>
        <v>2.68960693359</v>
      </c>
      <c r="N2314" s="67" t="str">
        <f>HYPERLINK(AB2 &amp; "/pencil/sn_f587b73fc6cf19835530ed1c645f0338/rendering/11.obj", "2.73478088379")</f>
        <v>2.73478088379</v>
      </c>
      <c r="O2314" s="90" t="str">
        <f>HYPERLINK(AB2 &amp; "/pencil/sn_f587b73fc6cf19835530ed1c645f0338/rendering/12.obj", "2.72217590332")</f>
        <v>2.72217590332</v>
      </c>
      <c r="P2314" s="29" t="str">
        <f>HYPERLINK(AB2 &amp; "/pencil/sn_f587b73fc6cf19835530ed1c645f0338/rendering/13.obj", "2.62324707031")</f>
        <v>2.62324707031</v>
      </c>
      <c r="Q2314" s="92" t="str">
        <f>HYPERLINK(AB2 &amp; "/pencil/sn_f587b73fc6cf19835530ed1c645f0338/rendering/14.obj", "3.39009368896")</f>
        <v>3.39009368896</v>
      </c>
      <c r="R2314" s="173" t="str">
        <f>HYPERLINK(AB2 &amp; "/pencil/sn_f587b73fc6cf19835530ed1c645f0338/rendering/15.obj", "5.09228729248")</f>
        <v>5.09228729248</v>
      </c>
      <c r="S2314" s="40" t="str">
        <f>HYPERLINK(AB2 &amp; "/pencil/sn_f587b73fc6cf19835530ed1c645f0338/rendering/16.obj", "2.50215240479")</f>
        <v>2.50215240479</v>
      </c>
      <c r="T2314" s="69" t="str">
        <f>HYPERLINK(AB2 &amp; "/pencil/sn_f587b73fc6cf19835530ed1c645f0338/rendering/17.obj", "3.09991973877")</f>
        <v>3.09991973877</v>
      </c>
      <c r="U2314" s="35" t="str">
        <f>HYPERLINK(AB2 &amp; "/pencil/sn_f587b73fc6cf19835530ed1c645f0338/rendering/18.obj", "2.84286743164")</f>
        <v>2.84286743164</v>
      </c>
      <c r="V2314" s="47" t="str">
        <f>HYPERLINK(AB2 &amp; "/pencil/sn_f587b73fc6cf19835530ed1c645f0338/rendering/19.obj", "3.03883239746")</f>
        <v>3.03883239746</v>
      </c>
      <c r="W2314" s="12" t="s">
        <v>31</v>
      </c>
      <c r="X2314" s="13">
        <v>3.0137027893066408</v>
      </c>
      <c r="Y2314" s="13">
        <v>0.57977221101478016</v>
      </c>
      <c r="Z2314" s="55">
        <v>0.19237869542808089</v>
      </c>
    </row>
    <row r="2315" spans="1:26" x14ac:dyDescent="0.2">
      <c r="A2315" s="1">
        <v>2313</v>
      </c>
      <c r="B2315" s="2" t="s">
        <v>495</v>
      </c>
      <c r="C2315" s="63" t="str">
        <f>HYPERLINK(AB2 &amp; "/pencil/sn_f587b73fc6cf19835530ed1c645f0338/rendering/00.obj", "0.894083559513")</f>
        <v>0.894083559513</v>
      </c>
      <c r="D2315" s="170" t="str">
        <f>HYPERLINK(AB2 &amp; "/pencil/sn_f587b73fc6cf19835530ed1c645f0338/rendering/01.obj", "1.27307629585")</f>
        <v>1.27307629585</v>
      </c>
      <c r="E2315" s="63" t="str">
        <f>HYPERLINK(AB2 &amp; "/pencil/sn_f587b73fc6cf19835530ed1c645f0338/rendering/02.obj", "0.893833696842")</f>
        <v>0.893833696842</v>
      </c>
      <c r="F2315" s="6" t="str">
        <f>HYPERLINK(AB2 &amp; "/pencil/sn_f587b73fc6cf19835530ed1c645f0338/rendering/03.obj", "1.06361627579")</f>
        <v>1.06361627579</v>
      </c>
      <c r="G2315" s="47" t="str">
        <f>HYPERLINK(AB2 &amp; "/pencil/sn_f587b73fc6cf19835530ed1c645f0338/rendering/04.obj", "1.0077354908")</f>
        <v>1.0077354908</v>
      </c>
      <c r="H2315" s="44" t="str">
        <f>HYPERLINK(AB2 &amp; "/pencil/sn_f587b73fc6cf19835530ed1c645f0338/rendering/05.obj", "0.817232549191")</f>
        <v>0.817232549191</v>
      </c>
      <c r="I2315" s="201" t="str">
        <f>HYPERLINK(AB2 &amp; "/pencil/sn_f587b73fc6cf19835530ed1c645f0338/rendering/06.obj", "1.6068379879")</f>
        <v>1.6068379879</v>
      </c>
      <c r="J2315" s="41" t="str">
        <f>HYPERLINK(AB2 &amp; "/pencil/sn_f587b73fc6cf19835530ed1c645f0338/rendering/07.obj", "0.946929812431")</f>
        <v>0.946929812431</v>
      </c>
      <c r="K2315" s="33" t="str">
        <f>HYPERLINK(AB2 &amp; "/pencil/sn_f587b73fc6cf19835530ed1c645f0338/rendering/08.obj", "0.90766620636")</f>
        <v>0.90766620636</v>
      </c>
      <c r="L2315" s="6" t="str">
        <f>HYPERLINK(AB2 &amp; "/pencil/sn_f587b73fc6cf19835530ed1c645f0338/rendering/09.obj", "1.06378424168")</f>
        <v>1.06378424168</v>
      </c>
      <c r="M2315" s="6" t="str">
        <f>HYPERLINK(AB2 &amp; "/pencil/sn_f587b73fc6cf19835530ed1c645f0338/rendering/10.obj", "0.97114109993")</f>
        <v>0.97114109993</v>
      </c>
      <c r="N2315" s="51" t="str">
        <f>HYPERLINK(AB2 &amp; "/pencil/sn_f587b73fc6cf19835530ed1c645f0338/rendering/11.obj", "0.935192704201")</f>
        <v>0.935192704201</v>
      </c>
      <c r="O2315" s="82" t="str">
        <f>HYPERLINK(AB2 &amp; "/pencil/sn_f587b73fc6cf19835530ed1c645f0338/rendering/12.obj", "0.806937992573")</f>
        <v>0.806937992573</v>
      </c>
      <c r="P2315" s="5" t="str">
        <f>HYPERLINK(AB2 &amp; "/pencil/sn_f587b73fc6cf19835530ed1c645f0338/rendering/13.obj", "0.939731657505")</f>
        <v>0.939731657505</v>
      </c>
      <c r="Q2315" s="34" t="str">
        <f>HYPERLINK(AB2 &amp; "/pencil/sn_f587b73fc6cf19835530ed1c645f0338/rendering/14.obj", "1.06638479233")</f>
        <v>1.06638479233</v>
      </c>
      <c r="R2315" s="140" t="str">
        <f>HYPERLINK(AB2 &amp; "/pencil/sn_f587b73fc6cf19835530ed1c645f0338/rendering/15.obj", "1.36745691299")</f>
        <v>1.36745691299</v>
      </c>
      <c r="S2315" s="5" t="str">
        <f>HYPERLINK(AB2 &amp; "/pencil/sn_f587b73fc6cf19835530ed1c645f0338/rendering/16.obj", "0.93885165453")</f>
        <v>0.93885165453</v>
      </c>
      <c r="T2315" s="8" t="str">
        <f>HYPERLINK(AB2 &amp; "/pencil/sn_f587b73fc6cf19835530ed1c645f0338/rendering/17.obj", "0.872860491276")</f>
        <v>0.872860491276</v>
      </c>
      <c r="U2315" s="27" t="str">
        <f>HYPERLINK(AB2 &amp; "/pencil/sn_f587b73fc6cf19835530ed1c645f0338/rendering/18.obj", "1.08870327473")</f>
        <v>1.08870327473</v>
      </c>
      <c r="V2315" s="80" t="str">
        <f>HYPERLINK(AB2 &amp; "/pencil/sn_f587b73fc6cf19835530ed1c645f0338/rendering/19.obj", "0.866247057915")</f>
        <v>0.866247057915</v>
      </c>
      <c r="W2315" s="12" t="s">
        <v>32</v>
      </c>
      <c r="X2315" s="13">
        <v>1.016415187716484</v>
      </c>
      <c r="Y2315" s="13">
        <v>0.192856926374082</v>
      </c>
      <c r="Z2315" s="109">
        <v>0.1897422713717625</v>
      </c>
    </row>
    <row r="2316" spans="1:26" x14ac:dyDescent="0.2">
      <c r="A2316" s="1">
        <v>2314</v>
      </c>
      <c r="B2316" s="2" t="s">
        <v>495</v>
      </c>
      <c r="C2316" s="13" t="str">
        <f>HYPERLINK(AC2 &amp; "/pencil/sn_f587b73fc6cf19835530ed1c645f0338/rendering/00.xyz", "0.0")</f>
        <v>0.0</v>
      </c>
      <c r="D2316" s="13" t="str">
        <f>HYPERLINK(AC2 &amp; "/pencil/sn_f587b73fc6cf19835530ed1c645f0338/rendering/01.xyz", "0.0")</f>
        <v>0.0</v>
      </c>
      <c r="E2316" s="13" t="str">
        <f>HYPERLINK(AC2 &amp; "/pencil/sn_f587b73fc6cf19835530ed1c645f0338/rendering/02.xyz", "0.0")</f>
        <v>0.0</v>
      </c>
      <c r="F2316" s="13" t="str">
        <f>HYPERLINK(AC2 &amp; "/pencil/sn_f587b73fc6cf19835530ed1c645f0338/rendering/03.xyz", "0.0")</f>
        <v>0.0</v>
      </c>
      <c r="G2316" s="13" t="str">
        <f>HYPERLINK(AC2 &amp; "/pencil/sn_f587b73fc6cf19835530ed1c645f0338/rendering/04.xyz", "0.0")</f>
        <v>0.0</v>
      </c>
      <c r="H2316" s="13" t="str">
        <f>HYPERLINK(AC2 &amp; "/pencil/sn_f587b73fc6cf19835530ed1c645f0338/rendering/05.xyz", "0.0")</f>
        <v>0.0</v>
      </c>
      <c r="I2316" s="13" t="str">
        <f>HYPERLINK(AC2 &amp; "/pencil/sn_f587b73fc6cf19835530ed1c645f0338/rendering/06.xyz", "0.0")</f>
        <v>0.0</v>
      </c>
      <c r="J2316" s="13" t="str">
        <f>HYPERLINK(AC2 &amp; "/pencil/sn_f587b73fc6cf19835530ed1c645f0338/rendering/07.xyz", "0.0")</f>
        <v>0.0</v>
      </c>
      <c r="K2316" s="13" t="str">
        <f>HYPERLINK(AC2 &amp; "/pencil/sn_f587b73fc6cf19835530ed1c645f0338/rendering/08.xyz", "0.0")</f>
        <v>0.0</v>
      </c>
      <c r="L2316" s="13" t="str">
        <f>HYPERLINK(AC2 &amp; "/pencil/sn_f587b73fc6cf19835530ed1c645f0338/rendering/09.xyz", "0.0")</f>
        <v>0.0</v>
      </c>
      <c r="M2316" s="13" t="str">
        <f>HYPERLINK(AC2 &amp; "/pencil/sn_f587b73fc6cf19835530ed1c645f0338/rendering/10.xyz", "0.0")</f>
        <v>0.0</v>
      </c>
      <c r="N2316" s="13" t="str">
        <f>HYPERLINK(AC2 &amp; "/pencil/sn_f587b73fc6cf19835530ed1c645f0338/rendering/11.xyz", "0.0")</f>
        <v>0.0</v>
      </c>
      <c r="O2316" s="13" t="str">
        <f>HYPERLINK(AC2 &amp; "/pencil/sn_f587b73fc6cf19835530ed1c645f0338/rendering/12.xyz", "0.0")</f>
        <v>0.0</v>
      </c>
      <c r="P2316" s="13" t="str">
        <f>HYPERLINK(AC2 &amp; "/pencil/sn_f587b73fc6cf19835530ed1c645f0338/rendering/13.xyz", "0.0")</f>
        <v>0.0</v>
      </c>
      <c r="Q2316" s="13" t="str">
        <f>HYPERLINK(AC2 &amp; "/pencil/sn_f587b73fc6cf19835530ed1c645f0338/rendering/14.xyz", "0.0")</f>
        <v>0.0</v>
      </c>
      <c r="R2316" s="13" t="str">
        <f>HYPERLINK(AC2 &amp; "/pencil/sn_f587b73fc6cf19835530ed1c645f0338/rendering/15.xyz", "0.0")</f>
        <v>0.0</v>
      </c>
      <c r="S2316" s="13" t="str">
        <f>HYPERLINK(AC2 &amp; "/pencil/sn_f587b73fc6cf19835530ed1c645f0338/rendering/16.xyz", "0.0")</f>
        <v>0.0</v>
      </c>
      <c r="T2316" s="13" t="str">
        <f>HYPERLINK(AC2 &amp; "/pencil/sn_f587b73fc6cf19835530ed1c645f0338/rendering/17.xyz", "0.0")</f>
        <v>0.0</v>
      </c>
      <c r="U2316" s="13" t="str">
        <f>HYPERLINK(AC2 &amp; "/pencil/sn_f587b73fc6cf19835530ed1c645f0338/rendering/18.xyz", "0.0")</f>
        <v>0.0</v>
      </c>
      <c r="V2316" s="13" t="str">
        <f>HYPERLINK(AC2 &amp; "/pencil/sn_f587b73fc6cf19835530ed1c645f0338/rendering/19.xyz", "0.0")</f>
        <v>0.0</v>
      </c>
      <c r="W2316" s="12" t="s">
        <v>33</v>
      </c>
      <c r="X2316" s="13">
        <v>0</v>
      </c>
      <c r="Y2316" s="13">
        <v>0</v>
      </c>
      <c r="Z2316" s="13">
        <v>0</v>
      </c>
    </row>
    <row r="2317" spans="1:26" x14ac:dyDescent="0.2">
      <c r="A2317" s="1">
        <v>2315</v>
      </c>
      <c r="B2317" s="2" t="s">
        <v>496</v>
      </c>
      <c r="C2317" s="20" t="str">
        <f>HYPERLINK(AA2 &amp; "/pencil/sn_f61680462022668445a424b9e725cb9b/rendering/00.obj", "9.39917297363")</f>
        <v>9.39917297363</v>
      </c>
      <c r="D2317" s="106" t="str">
        <f>HYPERLINK(AA2 &amp; "/pencil/sn_f61680462022668445a424b9e725cb9b/rendering/01.obj", "4.75567169189")</f>
        <v>4.75567169189</v>
      </c>
      <c r="E2317" s="43" t="str">
        <f>HYPERLINK(AA2 &amp; "/pencil/sn_f61680462022668445a424b9e725cb9b/rendering/02.obj", "5.86896606445")</f>
        <v>5.86896606445</v>
      </c>
      <c r="F2317" s="82" t="str">
        <f>HYPERLINK(AA2 &amp; "/pencil/sn_f61680462022668445a424b9e725cb9b/rendering/03.obj", "3.3832421875")</f>
        <v>3.3832421875</v>
      </c>
      <c r="G2317" s="46" t="str">
        <f>HYPERLINK(AA2 &amp; "/pencil/sn_f61680462022668445a424b9e725cb9b/rendering/04.obj", "4.18812316895")</f>
        <v>4.18812316895</v>
      </c>
      <c r="H2317" s="88" t="str">
        <f>HYPERLINK(AA2 &amp; "/pencil/sn_f61680462022668445a424b9e725cb9b/rendering/05.obj", "3.40220275879")</f>
        <v>3.40220275879</v>
      </c>
      <c r="I2317" s="107" t="str">
        <f>HYPERLINK(AA2 &amp; "/pencil/sn_f61680462022668445a424b9e725cb9b/rendering/06.obj", "3.91385681152")</f>
        <v>3.91385681152</v>
      </c>
      <c r="J2317" s="10" t="str">
        <f>HYPERLINK(AA2 &amp; "/pencil/sn_f61680462022668445a424b9e725cb9b/rendering/07.obj", "4.03337158203")</f>
        <v>4.03337158203</v>
      </c>
      <c r="K2317" s="24" t="str">
        <f>HYPERLINK(AA2 &amp; "/pencil/sn_f61680462022668445a424b9e725cb9b/rendering/08.obj", "3.5450869751")</f>
        <v>3.5450869751</v>
      </c>
      <c r="L2317" s="39" t="str">
        <f>HYPERLINK(AA2 &amp; "/pencil/sn_f61680462022668445a424b9e725cb9b/rendering/09.obj", "3.89289703369")</f>
        <v>3.89289703369</v>
      </c>
      <c r="M2317" s="73" t="str">
        <f>HYPERLINK(AA2 &amp; "/pencil/sn_f61680462022668445a424b9e725cb9b/rendering/10.obj", "4.1138293457")</f>
        <v>4.1138293457</v>
      </c>
      <c r="N2317" s="82" t="str">
        <f>HYPERLINK(AA2 &amp; "/pencil/sn_f61680462022668445a424b9e725cb9b/rendering/11.obj", "3.38663299561")</f>
        <v>3.38663299561</v>
      </c>
      <c r="O2317" s="42" t="str">
        <f>HYPERLINK(AA2 &amp; "/pencil/sn_f61680462022668445a424b9e725cb9b/rendering/12.obj", "3.68285614014")</f>
        <v>3.68285614014</v>
      </c>
      <c r="P2317" s="8" t="str">
        <f>HYPERLINK(AA2 &amp; "/pencil/sn_f61680462022668445a424b9e725cb9b/rendering/13.obj", "3.65895446777")</f>
        <v>3.65895446777</v>
      </c>
      <c r="Q2317" s="42" t="str">
        <f>HYPERLINK(AA2 &amp; "/pencil/sn_f61680462022668445a424b9e725cb9b/rendering/14.obj", "4.85174957275")</f>
        <v>4.85174957275</v>
      </c>
      <c r="R2317" s="35" t="str">
        <f>HYPERLINK(AA2 &amp; "/pencil/sn_f61680462022668445a424b9e725cb9b/rendering/15.obj", "4.01809936523")</f>
        <v>4.01809936523</v>
      </c>
      <c r="S2317" s="66" t="str">
        <f>HYPERLINK(AA2 &amp; "/pencil/sn_f61680462022668445a424b9e725cb9b/rendering/16.obj", "3.58117340088")</f>
        <v>3.58117340088</v>
      </c>
      <c r="T2317" s="40" t="str">
        <f>HYPERLINK(AA2 &amp; "/pencil/sn_f61680462022668445a424b9e725cb9b/rendering/17.obj", "3.5404888916")</f>
        <v>3.5404888916</v>
      </c>
      <c r="U2317" s="133" t="str">
        <f>HYPERLINK(AA2 &amp; "/pencil/sn_f61680462022668445a424b9e725cb9b/rendering/18.obj", "3.83445892334")</f>
        <v>3.83445892334</v>
      </c>
      <c r="V2317" s="13" t="str">
        <f>HYPERLINK(AA2 &amp; "/pencil/sn_f61680462022668445a424b9e725cb9b/rendering/19.obj", "4.25292053223")</f>
        <v>4.25292053223</v>
      </c>
      <c r="W2317" s="12" t="s">
        <v>29</v>
      </c>
      <c r="X2317" s="13">
        <v>4.2651877441406256</v>
      </c>
      <c r="Y2317" s="13">
        <v>1.3156473193100651</v>
      </c>
      <c r="Z2317" s="56">
        <v>0.30846176023961852</v>
      </c>
    </row>
    <row r="2318" spans="1:26" x14ac:dyDescent="0.2">
      <c r="A2318" s="1">
        <v>2316</v>
      </c>
      <c r="B2318" s="2" t="s">
        <v>496</v>
      </c>
      <c r="C2318" s="20" t="str">
        <f>HYPERLINK(AA2 &amp; "/pencil/sn_f61680462022668445a424b9e725cb9b/rendering/00.obj", "6.50354337692")</f>
        <v>6.50354337692</v>
      </c>
      <c r="D2318" s="151" t="str">
        <f>HYPERLINK(AA2 &amp; "/pencil/sn_f61680462022668445a424b9e725cb9b/rendering/01.obj", "2.42297387123")</f>
        <v>2.42297387123</v>
      </c>
      <c r="E2318" s="20" t="str">
        <f>HYPERLINK(AA2 &amp; "/pencil/sn_f61680462022668445a424b9e725cb9b/rendering/02.obj", "3.86244320869")</f>
        <v>3.86244320869</v>
      </c>
      <c r="F2318" s="203" t="str">
        <f>HYPERLINK(AA2 &amp; "/pencil/sn_f61680462022668445a424b9e725cb9b/rendering/03.obj", "0.951214849949")</f>
        <v>0.951214849949</v>
      </c>
      <c r="G2318" s="77" t="str">
        <f>HYPERLINK(AA2 &amp; "/pencil/sn_f61680462022668445a424b9e725cb9b/rendering/04.obj", "2.11401772499")</f>
        <v>2.11401772499</v>
      </c>
      <c r="H2318" s="97" t="str">
        <f>HYPERLINK(AA2 &amp; "/pencil/sn_f61680462022668445a424b9e725cb9b/rendering/05.obj", "1.0098143816")</f>
        <v>1.0098143816</v>
      </c>
      <c r="I2318" s="121" t="str">
        <f>HYPERLINK(AA2 &amp; "/pencil/sn_f61680462022668445a424b9e725cb9b/rendering/06.obj", "1.15515804291")</f>
        <v>1.15515804291</v>
      </c>
      <c r="J2318" s="49" t="str">
        <f>HYPERLINK(AA2 &amp; "/pencil/sn_f61680462022668445a424b9e725cb9b/rendering/07.obj", "1.40838491917")</f>
        <v>1.40838491917</v>
      </c>
      <c r="K2318" s="168" t="str">
        <f>HYPERLINK(AA2 &amp; "/pencil/sn_f61680462022668445a424b9e725cb9b/rendering/08.obj", "1.20859718323")</f>
        <v>1.20859718323</v>
      </c>
      <c r="L2318" s="175" t="str">
        <f>HYPERLINK(AA2 &amp; "/pencil/sn_f61680462022668445a424b9e725cb9b/rendering/09.obj", "1.36408865452")</f>
        <v>1.36408865452</v>
      </c>
      <c r="M2318" s="68" t="str">
        <f>HYPERLINK(AA2 &amp; "/pencil/sn_f61680462022668445a424b9e725cb9b/rendering/10.obj", "1.86090099812")</f>
        <v>1.86090099812</v>
      </c>
      <c r="N2318" s="92" t="str">
        <f>HYPERLINK(AA2 &amp; "/pencil/sn_f61680462022668445a424b9e725cb9b/rendering/11.obj", "1.56022000313")</f>
        <v>1.56022000313</v>
      </c>
      <c r="O2318" s="151" t="str">
        <f>HYPERLINK(AA2 &amp; "/pencil/sn_f61680462022668445a424b9e725cb9b/rendering/12.obj", "1.1416465044")</f>
        <v>1.1416465044</v>
      </c>
      <c r="P2318" s="158" t="str">
        <f>HYPERLINK(AA2 &amp; "/pencil/sn_f61680462022668445a424b9e725cb9b/rendering/13.obj", "1.05278563499")</f>
        <v>1.05278563499</v>
      </c>
      <c r="Q2318" s="100" t="str">
        <f>HYPERLINK(AA2 &amp; "/pencil/sn_f61680462022668445a424b9e725cb9b/rendering/14.obj", "2.31930160522")</f>
        <v>2.31930160522</v>
      </c>
      <c r="R2318" s="119" t="str">
        <f>HYPERLINK(AA2 &amp; "/pencil/sn_f61680462022668445a424b9e725cb9b/rendering/15.obj", "1.3106842041")</f>
        <v>1.3106842041</v>
      </c>
      <c r="S2318" s="101" t="str">
        <f>HYPERLINK(AA2 &amp; "/pencil/sn_f61680462022668445a424b9e725cb9b/rendering/16.obj", "1.11125028133")</f>
        <v>1.11125028133</v>
      </c>
      <c r="T2318" s="181" t="str">
        <f>HYPERLINK(AA2 &amp; "/pencil/sn_f61680462022668445a424b9e725cb9b/rendering/17.obj", "0.990330576897")</f>
        <v>0.990330576897</v>
      </c>
      <c r="U2318" s="111" t="str">
        <f>HYPERLINK(AA2 &amp; "/pencil/sn_f61680462022668445a424b9e725cb9b/rendering/18.obj", "1.03258144855")</f>
        <v>1.03258144855</v>
      </c>
      <c r="V2318" s="4" t="str">
        <f>HYPERLINK(AA2 &amp; "/pencil/sn_f61680462022668445a424b9e725cb9b/rendering/19.obj", "1.27903211117")</f>
        <v>1.27903211117</v>
      </c>
      <c r="W2318" s="12" t="s">
        <v>30</v>
      </c>
      <c r="X2318" s="13">
        <v>1.7829484790563579</v>
      </c>
      <c r="Y2318" s="13">
        <v>1.2818739304787481</v>
      </c>
      <c r="Z2318" s="245">
        <v>0.71896296810393046</v>
      </c>
    </row>
    <row r="2319" spans="1:26" x14ac:dyDescent="0.2">
      <c r="A2319" s="1">
        <v>2317</v>
      </c>
      <c r="B2319" s="2" t="s">
        <v>496</v>
      </c>
      <c r="C2319" s="5" t="str">
        <f>HYPERLINK(AB2 &amp; "/pencil/sn_f61680462022668445a424b9e725cb9b/rendering/00.obj", "3.68731964111")</f>
        <v>3.68731964111</v>
      </c>
      <c r="D2319" s="74" t="str">
        <f>HYPERLINK(AB2 &amp; "/pencil/sn_f61680462022668445a424b9e725cb9b/rendering/01.obj", "3.47845336914")</f>
        <v>3.47845336914</v>
      </c>
      <c r="E2319" s="94" t="str">
        <f>HYPERLINK(AB2 &amp; "/pencil/sn_f61680462022668445a424b9e725cb9b/rendering/02.obj", "3.68109558105")</f>
        <v>3.68109558105</v>
      </c>
      <c r="F2319" s="91" t="str">
        <f>HYPERLINK(AB2 &amp; "/pencil/sn_f61680462022668445a424b9e725cb9b/rendering/03.obj", "3.51507873535")</f>
        <v>3.51507873535</v>
      </c>
      <c r="G2319" s="133" t="str">
        <f>HYPERLINK(AB2 &amp; "/pencil/sn_f61680462022668445a424b9e725cb9b/rendering/04.obj", "3.77696594238")</f>
        <v>3.77696594238</v>
      </c>
      <c r="H2319" s="25" t="str">
        <f>HYPERLINK(AB2 &amp; "/pencil/sn_f61680462022668445a424b9e725cb9b/rendering/05.obj", "3.38891296387")</f>
        <v>3.38891296387</v>
      </c>
      <c r="I2319" s="69" t="str">
        <f>HYPERLINK(AB2 &amp; "/pencil/sn_f61680462022668445a424b9e725cb9b/rendering/06.obj", "3.53054382324")</f>
        <v>3.53054382324</v>
      </c>
      <c r="J2319" s="79" t="str">
        <f>HYPERLINK(AB2 &amp; "/pencil/sn_f61680462022668445a424b9e725cb9b/rendering/07.obj", "2.88038024902")</f>
        <v>2.88038024902</v>
      </c>
      <c r="K2319" s="25" t="str">
        <f>HYPERLINK(AB2 &amp; "/pencil/sn_f61680462022668445a424b9e725cb9b/rendering/08.obj", "3.38929382324")</f>
        <v>3.38929382324</v>
      </c>
      <c r="L2319" s="91" t="str">
        <f>HYPERLINK(AB2 &amp; "/pencil/sn_f61680462022668445a424b9e725cb9b/rendering/09.obj", "3.3405368042")</f>
        <v>3.3405368042</v>
      </c>
      <c r="M2319" s="29" t="str">
        <f>HYPERLINK(AB2 &amp; "/pencil/sn_f61680462022668445a424b9e725cb9b/rendering/10.obj", "2.97757019043")</f>
        <v>2.97757019043</v>
      </c>
      <c r="N2319" s="63" t="str">
        <f>HYPERLINK(AB2 &amp; "/pencil/sn_f61680462022668445a424b9e725cb9b/rendering/11.obj", "3.84184356689")</f>
        <v>3.84184356689</v>
      </c>
      <c r="O2319" s="72" t="str">
        <f>HYPERLINK(AB2 &amp; "/pencil/sn_f61680462022668445a424b9e725cb9b/rendering/12.obj", "3.53884674072")</f>
        <v>3.53884674072</v>
      </c>
      <c r="P2319" s="91" t="str">
        <f>HYPERLINK(AB2 &amp; "/pencil/sn_f61680462022668445a424b9e725cb9b/rendering/13.obj", "3.33668640137")</f>
        <v>3.33668640137</v>
      </c>
      <c r="Q2319" s="32" t="str">
        <f>HYPERLINK(AB2 &amp; "/pencil/sn_f61680462022668445a424b9e725cb9b/rendering/14.obj", "3.07147827148")</f>
        <v>3.07147827148</v>
      </c>
      <c r="R2319" s="70" t="str">
        <f>HYPERLINK(AB2 &amp; "/pencil/sn_f61680462022668445a424b9e725cb9b/rendering/15.obj", "2.99625915527")</f>
        <v>2.99625915527</v>
      </c>
      <c r="S2319" s="39" t="str">
        <f>HYPERLINK(AB2 &amp; "/pencil/sn_f61680462022668445a424b9e725cb9b/rendering/16.obj", "3.71814819336")</f>
        <v>3.71814819336</v>
      </c>
      <c r="T2319" s="48" t="str">
        <f>HYPERLINK(AB2 &amp; "/pencil/sn_f61680462022668445a424b9e725cb9b/rendering/17.obj", "3.50824035645")</f>
        <v>3.50824035645</v>
      </c>
      <c r="U2319" s="48" t="str">
        <f>HYPERLINK(AB2 &amp; "/pencil/sn_f61680462022668445a424b9e725cb9b/rendering/18.obj", "3.5060925293")</f>
        <v>3.5060925293</v>
      </c>
      <c r="V2319" s="74" t="str">
        <f>HYPERLINK(AB2 &amp; "/pencil/sn_f61680462022668445a424b9e725cb9b/rendering/19.obj", "3.38129516602")</f>
        <v>3.38129516602</v>
      </c>
      <c r="W2319" s="12" t="s">
        <v>31</v>
      </c>
      <c r="X2319" s="13">
        <v>3.4272520751953119</v>
      </c>
      <c r="Y2319" s="13">
        <v>0.26376766287009518</v>
      </c>
      <c r="Z2319" s="5">
        <v>7.6961850801436471E-2</v>
      </c>
    </row>
    <row r="2320" spans="1:26" x14ac:dyDescent="0.2">
      <c r="A2320" s="1">
        <v>2318</v>
      </c>
      <c r="B2320" s="2" t="s">
        <v>496</v>
      </c>
      <c r="C2320" s="86" t="str">
        <f>HYPERLINK(AB2 &amp; "/pencil/sn_f61680462022668445a424b9e725cb9b/rendering/00.obj", "1.31409144402")</f>
        <v>1.31409144402</v>
      </c>
      <c r="D2320" s="46" t="str">
        <f>HYPERLINK(AB2 &amp; "/pencil/sn_f61680462022668445a424b9e725cb9b/rendering/01.obj", "1.01751494408")</f>
        <v>1.01751494408</v>
      </c>
      <c r="E2320" s="17" t="str">
        <f>HYPERLINK(AB2 &amp; "/pencil/sn_f61680462022668445a424b9e725cb9b/rendering/02.obj", "1.05883455276")</f>
        <v>1.05883455276</v>
      </c>
      <c r="F2320" s="25" t="str">
        <f>HYPERLINK(AB2 &amp; "/pencil/sn_f61680462022668445a424b9e725cb9b/rendering/03.obj", "1.04819774628")</f>
        <v>1.04819774628</v>
      </c>
      <c r="G2320" s="10" t="str">
        <f>HYPERLINK(AB2 &amp; "/pencil/sn_f61680462022668445a424b9e725cb9b/rendering/04.obj", "1.09437072277")</f>
        <v>1.09437072277</v>
      </c>
      <c r="H2320" s="10" t="str">
        <f>HYPERLINK(AB2 &amp; "/pencil/sn_f61680462022668445a424b9e725cb9b/rendering/05.obj", "0.980320751667")</f>
        <v>0.980320751667</v>
      </c>
      <c r="I2320" s="78" t="str">
        <f>HYPERLINK(AB2 &amp; "/pencil/sn_f61680462022668445a424b9e725cb9b/rendering/06.obj", "1.10132658482")</f>
        <v>1.10132658482</v>
      </c>
      <c r="J2320" s="23" t="str">
        <f>HYPERLINK(AB2 &amp; "/pencil/sn_f61680462022668445a424b9e725cb9b/rendering/07.obj", "0.996611356735")</f>
        <v>0.996611356735</v>
      </c>
      <c r="K2320" s="91" t="str">
        <f>HYPERLINK(AB2 &amp; "/pencil/sn_f61680462022668445a424b9e725cb9b/rendering/08.obj", "1.00832808018")</f>
        <v>1.00832808018</v>
      </c>
      <c r="L2320" s="67" t="str">
        <f>HYPERLINK(AB2 &amp; "/pencil/sn_f61680462022668445a424b9e725cb9b/rendering/09.obj", "0.940809190273")</f>
        <v>0.940809190273</v>
      </c>
      <c r="M2320" s="38" t="str">
        <f>HYPERLINK(AB2 &amp; "/pencil/sn_f61680462022668445a424b9e725cb9b/rendering/10.obj", "0.944710612297")</f>
        <v>0.944710612297</v>
      </c>
      <c r="N2320" s="25" t="str">
        <f>HYPERLINK(AB2 &amp; "/pencil/sn_f61680462022668445a424b9e725cb9b/rendering/11.obj", "1.04743742943")</f>
        <v>1.04743742943</v>
      </c>
      <c r="O2320" s="133" t="str">
        <f>HYPERLINK(AB2 &amp; "/pencil/sn_f61680462022668445a424b9e725cb9b/rendering/12.obj", "0.93123871088")</f>
        <v>0.93123871088</v>
      </c>
      <c r="P2320" s="27" t="str">
        <f>HYPERLINK(AB2 &amp; "/pencil/sn_f61680462022668445a424b9e725cb9b/rendering/13.obj", "0.964101135731")</f>
        <v>0.964101135731</v>
      </c>
      <c r="Q2320" s="40" t="str">
        <f>HYPERLINK(AB2 &amp; "/pencil/sn_f61680462022668445a424b9e725cb9b/rendering/14.obj", "1.2123926878")</f>
        <v>1.2123926878</v>
      </c>
      <c r="R2320" s="6" t="str">
        <f>HYPERLINK(AB2 &amp; "/pencil/sn_f61680462022668445a424b9e725cb9b/rendering/15.obj", "0.990573167801")</f>
        <v>0.990573167801</v>
      </c>
      <c r="S2320" s="73" t="str">
        <f>HYPERLINK(AB2 &amp; "/pencil/sn_f61680462022668445a424b9e725cb9b/rendering/16.obj", "1.0725799799")</f>
        <v>1.0725799799</v>
      </c>
      <c r="T2320" s="42" t="str">
        <f>HYPERLINK(AB2 &amp; "/pencil/sn_f61680462022668445a424b9e725cb9b/rendering/17.obj", "0.896403491497")</f>
        <v>0.896403491497</v>
      </c>
      <c r="U2320" s="72" t="str">
        <f>HYPERLINK(AB2 &amp; "/pencil/sn_f61680462022668445a424b9e725cb9b/rendering/18.obj", "1.00328099728")</f>
        <v>1.00328099728</v>
      </c>
      <c r="V2320" s="27" t="str">
        <f>HYPERLINK(AB2 &amp; "/pencil/sn_f61680462022668445a424b9e725cb9b/rendering/19.obj", "1.10990071297")</f>
        <v>1.10990071297</v>
      </c>
      <c r="W2320" s="12" t="s">
        <v>32</v>
      </c>
      <c r="X2320" s="13">
        <v>1.0366512149572371</v>
      </c>
      <c r="Y2320" s="13">
        <v>9.6342018222528303E-2</v>
      </c>
      <c r="Z2320" s="67">
        <v>9.2935807948194504E-2</v>
      </c>
    </row>
    <row r="2321" spans="1:26" x14ac:dyDescent="0.2">
      <c r="A2321" s="1">
        <v>2319</v>
      </c>
      <c r="B2321" s="2" t="s">
        <v>496</v>
      </c>
      <c r="C2321" s="13" t="str">
        <f>HYPERLINK(AC2 &amp; "/pencil/sn_f61680462022668445a424b9e725cb9b/rendering/00.xyz", "0.0")</f>
        <v>0.0</v>
      </c>
      <c r="D2321" s="13" t="str">
        <f>HYPERLINK(AC2 &amp; "/pencil/sn_f61680462022668445a424b9e725cb9b/rendering/01.xyz", "0.0")</f>
        <v>0.0</v>
      </c>
      <c r="E2321" s="13" t="str">
        <f>HYPERLINK(AC2 &amp; "/pencil/sn_f61680462022668445a424b9e725cb9b/rendering/02.xyz", "0.0")</f>
        <v>0.0</v>
      </c>
      <c r="F2321" s="13" t="str">
        <f>HYPERLINK(AC2 &amp; "/pencil/sn_f61680462022668445a424b9e725cb9b/rendering/03.xyz", "0.0")</f>
        <v>0.0</v>
      </c>
      <c r="G2321" s="13" t="str">
        <f>HYPERLINK(AC2 &amp; "/pencil/sn_f61680462022668445a424b9e725cb9b/rendering/04.xyz", "0.0")</f>
        <v>0.0</v>
      </c>
      <c r="H2321" s="13" t="str">
        <f>HYPERLINK(AC2 &amp; "/pencil/sn_f61680462022668445a424b9e725cb9b/rendering/05.xyz", "0.0")</f>
        <v>0.0</v>
      </c>
      <c r="I2321" s="13" t="str">
        <f>HYPERLINK(AC2 &amp; "/pencil/sn_f61680462022668445a424b9e725cb9b/rendering/06.xyz", "0.0")</f>
        <v>0.0</v>
      </c>
      <c r="J2321" s="13" t="str">
        <f>HYPERLINK(AC2 &amp; "/pencil/sn_f61680462022668445a424b9e725cb9b/rendering/07.xyz", "0.0")</f>
        <v>0.0</v>
      </c>
      <c r="K2321" s="13" t="str">
        <f>HYPERLINK(AC2 &amp; "/pencil/sn_f61680462022668445a424b9e725cb9b/rendering/08.xyz", "0.0")</f>
        <v>0.0</v>
      </c>
      <c r="L2321" s="13" t="str">
        <f>HYPERLINK(AC2 &amp; "/pencil/sn_f61680462022668445a424b9e725cb9b/rendering/09.xyz", "0.0")</f>
        <v>0.0</v>
      </c>
      <c r="M2321" s="13" t="str">
        <f>HYPERLINK(AC2 &amp; "/pencil/sn_f61680462022668445a424b9e725cb9b/rendering/10.xyz", "0.0")</f>
        <v>0.0</v>
      </c>
      <c r="N2321" s="13" t="str">
        <f>HYPERLINK(AC2 &amp; "/pencil/sn_f61680462022668445a424b9e725cb9b/rendering/11.xyz", "0.0")</f>
        <v>0.0</v>
      </c>
      <c r="O2321" s="13" t="str">
        <f>HYPERLINK(AC2 &amp; "/pencil/sn_f61680462022668445a424b9e725cb9b/rendering/12.xyz", "0.0")</f>
        <v>0.0</v>
      </c>
      <c r="P2321" s="13" t="str">
        <f>HYPERLINK(AC2 &amp; "/pencil/sn_f61680462022668445a424b9e725cb9b/rendering/13.xyz", "0.0")</f>
        <v>0.0</v>
      </c>
      <c r="Q2321" s="13" t="str">
        <f>HYPERLINK(AC2 &amp; "/pencil/sn_f61680462022668445a424b9e725cb9b/rendering/14.xyz", "0.0")</f>
        <v>0.0</v>
      </c>
      <c r="R2321" s="13" t="str">
        <f>HYPERLINK(AC2 &amp; "/pencil/sn_f61680462022668445a424b9e725cb9b/rendering/15.xyz", "0.0")</f>
        <v>0.0</v>
      </c>
      <c r="S2321" s="13" t="str">
        <f>HYPERLINK(AC2 &amp; "/pencil/sn_f61680462022668445a424b9e725cb9b/rendering/16.xyz", "0.0")</f>
        <v>0.0</v>
      </c>
      <c r="T2321" s="13" t="str">
        <f>HYPERLINK(AC2 &amp; "/pencil/sn_f61680462022668445a424b9e725cb9b/rendering/17.xyz", "0.0")</f>
        <v>0.0</v>
      </c>
      <c r="U2321" s="13" t="str">
        <f>HYPERLINK(AC2 &amp; "/pencil/sn_f61680462022668445a424b9e725cb9b/rendering/18.xyz", "0.0")</f>
        <v>0.0</v>
      </c>
      <c r="V2321" s="13" t="str">
        <f>HYPERLINK(AC2 &amp; "/pencil/sn_f61680462022668445a424b9e725cb9b/rendering/19.xyz", "0.0")</f>
        <v>0.0</v>
      </c>
      <c r="W2321" s="12" t="s">
        <v>33</v>
      </c>
      <c r="X2321" s="13">
        <v>0</v>
      </c>
      <c r="Y2321" s="13">
        <v>0</v>
      </c>
      <c r="Z2321" s="13">
        <v>0</v>
      </c>
    </row>
    <row r="2322" spans="1:26" x14ac:dyDescent="0.2">
      <c r="A2322" s="1">
        <v>2320</v>
      </c>
      <c r="B2322" s="2" t="s">
        <v>497</v>
      </c>
      <c r="C2322" s="77" t="str">
        <f>HYPERLINK(AA2 &amp; "/pencil/sn_f62518f98cfbb1dd96a1288d1bba75/rendering/00.obj", "4.04147399902")</f>
        <v>4.04147399902</v>
      </c>
      <c r="D2322" s="24" t="str">
        <f>HYPERLINK(AA2 &amp; "/pencil/sn_f62518f98cfbb1dd96a1288d1bba75/rendering/01.obj", "4.13572021484")</f>
        <v>4.13572021484</v>
      </c>
      <c r="E2322" s="101" t="str">
        <f>HYPERLINK(AA2 &amp; "/pencil/sn_f62518f98cfbb1dd96a1288d1bba75/rendering/02.obj", "3.09060699463")</f>
        <v>3.09060699463</v>
      </c>
      <c r="F2322" s="119" t="str">
        <f>HYPERLINK(AA2 &amp; "/pencil/sn_f62518f98cfbb1dd96a1288d1bba75/rendering/03.obj", "3.65862030029")</f>
        <v>3.65862030029</v>
      </c>
      <c r="G2322" s="145" t="str">
        <f>HYPERLINK(AA2 &amp; "/pencil/sn_f62518f98cfbb1dd96a1288d1bba75/rendering/04.obj", "7.41930297852")</f>
        <v>7.41930297852</v>
      </c>
      <c r="H2322" s="58" t="str">
        <f>HYPERLINK(AA2 &amp; "/pencil/sn_f62518f98cfbb1dd96a1288d1bba75/rendering/05.obj", "3.76061401367")</f>
        <v>3.76061401367</v>
      </c>
      <c r="I2322" s="187" t="str">
        <f>HYPERLINK(AA2 &amp; "/pencil/sn_f62518f98cfbb1dd96a1288d1bba75/rendering/06.obj", "3.23070861816")</f>
        <v>3.23070861816</v>
      </c>
      <c r="J2322" s="20" t="str">
        <f>HYPERLINK(AA2 &amp; "/pencil/sn_f62518f98cfbb1dd96a1288d1bba75/rendering/07.obj", "14.6520056152")</f>
        <v>14.6520056152</v>
      </c>
      <c r="K2322" s="97" t="str">
        <f>HYPERLINK(AA2 &amp; "/pencil/sn_f62518f98cfbb1dd96a1288d1bba75/rendering/08.obj", "2.81064025879")</f>
        <v>2.81064025879</v>
      </c>
      <c r="L2322" s="185" t="str">
        <f>HYPERLINK(AA2 &amp; "/pencil/sn_f62518f98cfbb1dd96a1288d1bba75/rendering/09.obj", "3.28170196533")</f>
        <v>3.28170196533</v>
      </c>
      <c r="M2322" s="14" t="str">
        <f>HYPERLINK(AA2 &amp; "/pencil/sn_f62518f98cfbb1dd96a1288d1bba75/rendering/10.obj", "3.53405609131")</f>
        <v>3.53405609131</v>
      </c>
      <c r="N2322" s="49" t="str">
        <f>HYPERLINK(AA2 &amp; "/pencil/sn_f62518f98cfbb1dd96a1288d1bba75/rendering/11.obj", "3.94554229736")</f>
        <v>3.94554229736</v>
      </c>
      <c r="O2322" s="163" t="str">
        <f>HYPERLINK(AA2 &amp; "/pencil/sn_f62518f98cfbb1dd96a1288d1bba75/rendering/12.obj", "7.16623840332")</f>
        <v>7.16623840332</v>
      </c>
      <c r="P2322" s="130" t="str">
        <f>HYPERLINK(AA2 &amp; "/pencil/sn_f62518f98cfbb1dd96a1288d1bba75/rendering/13.obj", "7.22080810547")</f>
        <v>7.22080810547</v>
      </c>
      <c r="Q2322" s="198" t="str">
        <f>HYPERLINK(AA2 &amp; "/pencil/sn_f62518f98cfbb1dd96a1288d1bba75/rendering/14.obj", "3.04542175293")</f>
        <v>3.04542175293</v>
      </c>
      <c r="R2322" s="159" t="str">
        <f>HYPERLINK(AA2 &amp; "/pencil/sn_f62518f98cfbb1dd96a1288d1bba75/rendering/15.obj", "2.64611663818")</f>
        <v>2.64611663818</v>
      </c>
      <c r="S2322" s="212" t="str">
        <f>HYPERLINK(AA2 &amp; "/pencil/sn_f62518f98cfbb1dd96a1288d1bba75/rendering/16.obj", "2.823387146")</f>
        <v>2.823387146</v>
      </c>
      <c r="T2322" s="6" t="str">
        <f>HYPERLINK(AA2 &amp; "/pencil/sn_f62518f98cfbb1dd96a1288d1bba75/rendering/17.obj", "4.74328979492")</f>
        <v>4.74328979492</v>
      </c>
      <c r="U2322" s="67" t="str">
        <f>HYPERLINK(AA2 &amp; "/pencil/sn_f62518f98cfbb1dd96a1288d1bba75/rendering/18.obj", "4.51619018555")</f>
        <v>4.51619018555</v>
      </c>
      <c r="V2322" s="20" t="str">
        <f>HYPERLINK(AA2 &amp; "/pencil/sn_f62518f98cfbb1dd96a1288d1bba75/rendering/19.obj", "9.82025146484")</f>
        <v>9.82025146484</v>
      </c>
      <c r="W2322" s="12" t="s">
        <v>29</v>
      </c>
      <c r="X2322" s="13">
        <v>4.9771348419189456</v>
      </c>
      <c r="Y2322" s="13">
        <v>2.9072836327988769</v>
      </c>
      <c r="Z2322" s="161">
        <v>0.58412796219882346</v>
      </c>
    </row>
    <row r="2323" spans="1:26" x14ac:dyDescent="0.2">
      <c r="A2323" s="1">
        <v>2321</v>
      </c>
      <c r="B2323" s="2" t="s">
        <v>497</v>
      </c>
      <c r="C2323" s="111" t="str">
        <f>HYPERLINK(AA2 &amp; "/pencil/sn_f62518f98cfbb1dd96a1288d1bba75/rendering/00.obj", "2.54543113708")</f>
        <v>2.54543113708</v>
      </c>
      <c r="D2323" s="14" t="str">
        <f>HYPERLINK(AA2 &amp; "/pencil/sn_f62518f98cfbb1dd96a1288d1bba75/rendering/01.obj", "3.12752437592")</f>
        <v>3.12752437592</v>
      </c>
      <c r="E2323" s="248" t="str">
        <f>HYPERLINK(AA2 &amp; "/pencil/sn_f62518f98cfbb1dd96a1288d1bba75/rendering/02.obj", "1.49980974197")</f>
        <v>1.49980974197</v>
      </c>
      <c r="F2323" s="143" t="str">
        <f>HYPERLINK(AA2 &amp; "/pencil/sn_f62518f98cfbb1dd96a1288d1bba75/rendering/03.obj", "2.33146572113")</f>
        <v>2.33146572113</v>
      </c>
      <c r="G2323" s="20" t="str">
        <f>HYPERLINK(AA2 &amp; "/pencil/sn_f62518f98cfbb1dd96a1288d1bba75/rendering/04.obj", "8.03509807587")</f>
        <v>8.03509807587</v>
      </c>
      <c r="H2323" s="157" t="str">
        <f>HYPERLINK(AA2 &amp; "/pencil/sn_f62518f98cfbb1dd96a1288d1bba75/rendering/05.obj", "2.56987667084")</f>
        <v>2.56987667084</v>
      </c>
      <c r="I2323" s="228" t="str">
        <f>HYPERLINK(AA2 &amp; "/pencil/sn_f62518f98cfbb1dd96a1288d1bba75/rendering/06.obj", "2.07105350494")</f>
        <v>2.07105350494</v>
      </c>
      <c r="J2323" s="20" t="str">
        <f>HYPERLINK(AA2 &amp; "/pencil/sn_f62518f98cfbb1dd96a1288d1bba75/rendering/07.obj", "21.6218242645")</f>
        <v>21.6218242645</v>
      </c>
      <c r="K2323" s="201" t="str">
        <f>HYPERLINK(AA2 &amp; "/pencil/sn_f62518f98cfbb1dd96a1288d1bba75/rendering/08.obj", "1.83810794353")</f>
        <v>1.83810794353</v>
      </c>
      <c r="L2323" s="130" t="str">
        <f>HYPERLINK(AA2 &amp; "/pencil/sn_f62518f98cfbb1dd96a1288d1bba75/rendering/09.obj", "2.4278023243")</f>
        <v>2.4278023243</v>
      </c>
      <c r="M2323" s="150" t="str">
        <f>HYPERLINK(AA2 &amp; "/pencil/sn_f62518f98cfbb1dd96a1288d1bba75/rendering/10.obj", "2.04341840744")</f>
        <v>2.04341840744</v>
      </c>
      <c r="N2323" s="59" t="str">
        <f>HYPERLINK(AA2 &amp; "/pencil/sn_f62518f98cfbb1dd96a1288d1bba75/rendering/11.obj", "3.34904408455")</f>
        <v>3.34904408455</v>
      </c>
      <c r="O2323" s="218" t="str">
        <f>HYPERLINK(AA2 &amp; "/pencil/sn_f62518f98cfbb1dd96a1288d1bba75/rendering/12.obj", "6.68341016769")</f>
        <v>6.68341016769</v>
      </c>
      <c r="P2323" s="135" t="str">
        <f>HYPERLINK(AA2 &amp; "/pencil/sn_f62518f98cfbb1dd96a1288d1bba75/rendering/13.obj", "5.5414056778")</f>
        <v>5.5414056778</v>
      </c>
      <c r="Q2323" s="177" t="str">
        <f>HYPERLINK(AA2 &amp; "/pencil/sn_f62518f98cfbb1dd96a1288d1bba75/rendering/14.obj", "2.04845666885")</f>
        <v>2.04845666885</v>
      </c>
      <c r="R2323" s="202" t="str">
        <f>HYPERLINK(AA2 &amp; "/pencil/sn_f62518f98cfbb1dd96a1288d1bba75/rendering/15.obj", "1.63785362244")</f>
        <v>1.63785362244</v>
      </c>
      <c r="S2323" s="228" t="str">
        <f>HYPERLINK(AA2 &amp; "/pencil/sn_f62518f98cfbb1dd96a1288d1bba75/rendering/16.obj", "2.07032346725")</f>
        <v>2.07032346725</v>
      </c>
      <c r="T2323" s="56" t="str">
        <f>HYPERLINK(AA2 &amp; "/pencil/sn_f62518f98cfbb1dd96a1288d1bba75/rendering/17.obj", "3.04892492294")</f>
        <v>3.04892492294</v>
      </c>
      <c r="U2323" s="109" t="str">
        <f>HYPERLINK(AA2 &amp; "/pencil/sn_f62518f98cfbb1dd96a1288d1bba75/rendering/18.obj", "3.57095074654")</f>
        <v>3.57095074654</v>
      </c>
      <c r="V2323" s="20" t="str">
        <f>HYPERLINK(AA2 &amp; "/pencil/sn_f62518f98cfbb1dd96a1288d1bba75/rendering/19.obj", "10.1156644821")</f>
        <v>10.1156644821</v>
      </c>
      <c r="W2323" s="12" t="s">
        <v>30</v>
      </c>
      <c r="X2323" s="13">
        <v>4.4088723003864292</v>
      </c>
      <c r="Y2323" s="13">
        <v>4.5481933355497386</v>
      </c>
      <c r="Z2323" s="20">
        <v>1.0316001520731499</v>
      </c>
    </row>
    <row r="2324" spans="1:26" x14ac:dyDescent="0.2">
      <c r="A2324" s="1">
        <v>2322</v>
      </c>
      <c r="B2324" s="2" t="s">
        <v>497</v>
      </c>
      <c r="C2324" s="41" t="str">
        <f>HYPERLINK(AB2 &amp; "/pencil/sn_f62518f98cfbb1dd96a1288d1bba75/rendering/00.obj", "2.92164428711")</f>
        <v>2.92164428711</v>
      </c>
      <c r="D2324" s="42" t="str">
        <f>HYPERLINK(AB2 &amp; "/pencil/sn_f62518f98cfbb1dd96a1288d1bba75/rendering/01.obj", "2.36151977539")</f>
        <v>2.36151977539</v>
      </c>
      <c r="E2324" s="72" t="str">
        <f>HYPERLINK(AB2 &amp; "/pencil/sn_f62518f98cfbb1dd96a1288d1bba75/rendering/02.obj", "2.8221081543")</f>
        <v>2.8221081543</v>
      </c>
      <c r="F2324" s="46" t="str">
        <f>HYPERLINK(AB2 &amp; "/pencil/sn_f62518f98cfbb1dd96a1288d1bba75/rendering/03.obj", "2.68935058594")</f>
        <v>2.68935058594</v>
      </c>
      <c r="G2324" s="34" t="str">
        <f>HYPERLINK(AB2 &amp; "/pencil/sn_f62518f98cfbb1dd96a1288d1bba75/rendering/04.obj", "2.60001495361")</f>
        <v>2.60001495361</v>
      </c>
      <c r="H2324" s="5" t="str">
        <f>HYPERLINK(AB2 &amp; "/pencil/sn_f62518f98cfbb1dd96a1288d1bba75/rendering/05.obj", "2.93995666504")</f>
        <v>2.93995666504</v>
      </c>
      <c r="I2324" s="23" t="str">
        <f>HYPERLINK(AB2 &amp; "/pencil/sn_f62518f98cfbb1dd96a1288d1bba75/rendering/06.obj", "2.84183288574")</f>
        <v>2.84183288574</v>
      </c>
      <c r="J2324" s="26" t="str">
        <f>HYPERLINK(AB2 &amp; "/pencil/sn_f62518f98cfbb1dd96a1288d1bba75/rendering/07.obj", "2.56124359131")</f>
        <v>2.56124359131</v>
      </c>
      <c r="K2324" s="83" t="str">
        <f>HYPERLINK(AB2 &amp; "/pencil/sn_f62518f98cfbb1dd96a1288d1bba75/rendering/08.obj", "3.15225982666")</f>
        <v>3.15225982666</v>
      </c>
      <c r="L2324" s="24" t="str">
        <f>HYPERLINK(AB2 &amp; "/pencil/sn_f62518f98cfbb1dd96a1288d1bba75/rendering/09.obj", "3.19393127441")</f>
        <v>3.19393127441</v>
      </c>
      <c r="M2324" s="74" t="str">
        <f>HYPERLINK(AB2 &amp; "/pencil/sn_f62518f98cfbb1dd96a1288d1bba75/rendering/10.obj", "2.76892913818")</f>
        <v>2.76892913818</v>
      </c>
      <c r="N2324" s="28" t="str">
        <f>HYPERLINK(AB2 &amp; "/pencil/sn_f62518f98cfbb1dd96a1288d1bba75/rendering/11.obj", "3.0347052002")</f>
        <v>3.0347052002</v>
      </c>
      <c r="O2324" s="107" t="str">
        <f>HYPERLINK(AB2 &amp; "/pencil/sn_f62518f98cfbb1dd96a1288d1bba75/rendering/12.obj", "2.50410690308")</f>
        <v>2.50410690308</v>
      </c>
      <c r="P2324" s="60" t="str">
        <f>HYPERLINK(AB2 &amp; "/pencil/sn_f62518f98cfbb1dd96a1288d1bba75/rendering/13.obj", "2.59457702637")</f>
        <v>2.59457702637</v>
      </c>
      <c r="Q2324" s="27" t="str">
        <f>HYPERLINK(AB2 &amp; "/pencil/sn_f62518f98cfbb1dd96a1288d1bba75/rendering/14.obj", "2.53673126221")</f>
        <v>2.53673126221</v>
      </c>
      <c r="R2324" s="133" t="str">
        <f>HYPERLINK(AB2 &amp; "/pencil/sn_f62518f98cfbb1dd96a1288d1bba75/rendering/15.obj", "2.45101119995")</f>
        <v>2.45101119995</v>
      </c>
      <c r="S2324" s="110" t="str">
        <f>HYPERLINK(AB2 &amp; "/pencil/sn_f62518f98cfbb1dd96a1288d1bba75/rendering/16.obj", "2.46179992676")</f>
        <v>2.46179992676</v>
      </c>
      <c r="T2324" s="106" t="str">
        <f>HYPERLINK(AB2 &amp; "/pencil/sn_f62518f98cfbb1dd96a1288d1bba75/rendering/17.obj", "2.42091262817")</f>
        <v>2.42091262817</v>
      </c>
      <c r="U2324" s="64" t="str">
        <f>HYPERLINK(AB2 &amp; "/pencil/sn_f62518f98cfbb1dd96a1288d1bba75/rendering/18.obj", "3.18483856201")</f>
        <v>3.18483856201</v>
      </c>
      <c r="V2324" s="23" t="str">
        <f>HYPERLINK(AB2 &amp; "/pencil/sn_f62518f98cfbb1dd96a1288d1bba75/rendering/19.obj", "2.62904663086")</f>
        <v>2.62904663086</v>
      </c>
      <c r="W2324" s="12" t="s">
        <v>31</v>
      </c>
      <c r="X2324" s="13">
        <v>2.733526023864747</v>
      </c>
      <c r="Y2324" s="13">
        <v>0.25897326203756982</v>
      </c>
      <c r="Z2324" s="90">
        <v>9.4739636563410168E-2</v>
      </c>
    </row>
    <row r="2325" spans="1:26" x14ac:dyDescent="0.2">
      <c r="A2325" s="1">
        <v>2323</v>
      </c>
      <c r="B2325" s="2" t="s">
        <v>497</v>
      </c>
      <c r="C2325" s="44" t="str">
        <f>HYPERLINK(AB2 &amp; "/pencil/sn_f62518f98cfbb1dd96a1288d1bba75/rendering/00.obj", "1.2659175396")</f>
        <v>1.2659175396</v>
      </c>
      <c r="D2325" s="84" t="str">
        <f>HYPERLINK(AB2 &amp; "/pencil/sn_f62518f98cfbb1dd96a1288d1bba75/rendering/01.obj", "1.34256279469")</f>
        <v>1.34256279469</v>
      </c>
      <c r="E2325" s="172" t="str">
        <f>HYPERLINK(AB2 &amp; "/pencil/sn_f62518f98cfbb1dd96a1288d1bba75/rendering/02.obj", "2.17992544174")</f>
        <v>2.17992544174</v>
      </c>
      <c r="F2325" s="79" t="str">
        <f>HYPERLINK(AB2 &amp; "/pencil/sn_f62518f98cfbb1dd96a1288d1bba75/rendering/03.obj", "1.32669794559")</f>
        <v>1.32669794559</v>
      </c>
      <c r="G2325" s="83" t="str">
        <f>HYPERLINK(AB2 &amp; "/pencil/sn_f62518f98cfbb1dd96a1288d1bba75/rendering/04.obj", "1.33414065838")</f>
        <v>1.33414065838</v>
      </c>
      <c r="H2325" s="90" t="str">
        <f>HYPERLINK(AB2 &amp; "/pencil/sn_f62518f98cfbb1dd96a1288d1bba75/rendering/05.obj", "1.4232172966")</f>
        <v>1.4232172966</v>
      </c>
      <c r="I2325" s="138" t="str">
        <f>HYPERLINK(AB2 &amp; "/pencil/sn_f62518f98cfbb1dd96a1288d1bba75/rendering/06.obj", "2.10526680946")</f>
        <v>2.10526680946</v>
      </c>
      <c r="J2325" s="80" t="str">
        <f>HYPERLINK(AB2 &amp; "/pencil/sn_f62518f98cfbb1dd96a1288d1bba75/rendering/07.obj", "1.33912992477")</f>
        <v>1.33912992477</v>
      </c>
      <c r="K2325" s="11" t="str">
        <f>HYPERLINK(AB2 &amp; "/pencil/sn_f62518f98cfbb1dd96a1288d1bba75/rendering/08.obj", "1.92604017258")</f>
        <v>1.92604017258</v>
      </c>
      <c r="L2325" s="121" t="str">
        <f>HYPERLINK(AB2 &amp; "/pencil/sn_f62518f98cfbb1dd96a1288d1bba75/rendering/09.obj", "2.13155126572")</f>
        <v>2.13155126572</v>
      </c>
      <c r="M2325" s="67" t="str">
        <f>HYPERLINK(AB2 &amp; "/pencil/sn_f62518f98cfbb1dd96a1288d1bba75/rendering/10.obj", "1.71827995777")</f>
        <v>1.71827995777</v>
      </c>
      <c r="N2325" s="84" t="str">
        <f>HYPERLINK(AB2 &amp; "/pencil/sn_f62518f98cfbb1dd96a1288d1bba75/rendering/11.obj", "1.80251145363")</f>
        <v>1.80251145363</v>
      </c>
      <c r="O2325" s="8" t="str">
        <f>HYPERLINK(AB2 &amp; "/pencil/sn_f62518f98cfbb1dd96a1288d1bba75/rendering/12.obj", "1.34832656384")</f>
        <v>1.34832656384</v>
      </c>
      <c r="P2325" s="41" t="str">
        <f>HYPERLINK(AB2 &amp; "/pencil/sn_f62518f98cfbb1dd96a1288d1bba75/rendering/13.obj", "1.46639025211")</f>
        <v>1.46639025211</v>
      </c>
      <c r="Q2325" s="26" t="str">
        <f>HYPERLINK(AB2 &amp; "/pencil/sn_f62518f98cfbb1dd96a1288d1bba75/rendering/14.obj", "1.47478640079")</f>
        <v>1.47478640079</v>
      </c>
      <c r="R2325" s="14" t="str">
        <f>HYPERLINK(AB2 &amp; "/pencil/sn_f62518f98cfbb1dd96a1288d1bba75/rendering/15.obj", "1.11989092827")</f>
        <v>1.11989092827</v>
      </c>
      <c r="S2325" s="42" t="str">
        <f>HYPERLINK(AB2 &amp; "/pencil/sn_f62518f98cfbb1dd96a1288d1bba75/rendering/16.obj", "1.35889840126")</f>
        <v>1.35889840126</v>
      </c>
      <c r="T2325" s="35" t="str">
        <f>HYPERLINK(AB2 &amp; "/pencil/sn_f62518f98cfbb1dd96a1288d1bba75/rendering/17.obj", "1.48327541351")</f>
        <v>1.48327541351</v>
      </c>
      <c r="U2325" s="192" t="str">
        <f>HYPERLINK(AB2 &amp; "/pencil/sn_f62518f98cfbb1dd96a1288d1bba75/rendering/18.obj", "2.15940999985")</f>
        <v>2.15940999985</v>
      </c>
      <c r="V2325" s="129" t="str">
        <f>HYPERLINK(AB2 &amp; "/pencil/sn_f62518f98cfbb1dd96a1288d1bba75/rendering/19.obj", "1.17930161953")</f>
        <v>1.17930161953</v>
      </c>
      <c r="W2325" s="12" t="s">
        <v>32</v>
      </c>
      <c r="X2325" s="13">
        <v>1.5742760419845581</v>
      </c>
      <c r="Y2325" s="13">
        <v>0.34160244937683082</v>
      </c>
      <c r="Z2325" s="81">
        <v>0.21699018486376831</v>
      </c>
    </row>
    <row r="2326" spans="1:26" x14ac:dyDescent="0.2">
      <c r="A2326" s="1">
        <v>2324</v>
      </c>
      <c r="B2326" s="2" t="s">
        <v>497</v>
      </c>
      <c r="C2326" s="13" t="str">
        <f>HYPERLINK(AC2 &amp; "/pencil/sn_f62518f98cfbb1dd96a1288d1bba75/rendering/00.xyz", "0.0")</f>
        <v>0.0</v>
      </c>
      <c r="D2326" s="13" t="str">
        <f>HYPERLINK(AC2 &amp; "/pencil/sn_f62518f98cfbb1dd96a1288d1bba75/rendering/01.xyz", "0.0")</f>
        <v>0.0</v>
      </c>
      <c r="E2326" s="13" t="str">
        <f>HYPERLINK(AC2 &amp; "/pencil/sn_f62518f98cfbb1dd96a1288d1bba75/rendering/02.xyz", "0.0")</f>
        <v>0.0</v>
      </c>
      <c r="F2326" s="13" t="str">
        <f>HYPERLINK(AC2 &amp; "/pencil/sn_f62518f98cfbb1dd96a1288d1bba75/rendering/03.xyz", "0.0")</f>
        <v>0.0</v>
      </c>
      <c r="G2326" s="13" t="str">
        <f>HYPERLINK(AC2 &amp; "/pencil/sn_f62518f98cfbb1dd96a1288d1bba75/rendering/04.xyz", "0.0")</f>
        <v>0.0</v>
      </c>
      <c r="H2326" s="13" t="str">
        <f>HYPERLINK(AC2 &amp; "/pencil/sn_f62518f98cfbb1dd96a1288d1bba75/rendering/05.xyz", "0.0")</f>
        <v>0.0</v>
      </c>
      <c r="I2326" s="13" t="str">
        <f>HYPERLINK(AC2 &amp; "/pencil/sn_f62518f98cfbb1dd96a1288d1bba75/rendering/06.xyz", "0.0")</f>
        <v>0.0</v>
      </c>
      <c r="J2326" s="13" t="str">
        <f>HYPERLINK(AC2 &amp; "/pencil/sn_f62518f98cfbb1dd96a1288d1bba75/rendering/07.xyz", "0.0")</f>
        <v>0.0</v>
      </c>
      <c r="K2326" s="13" t="str">
        <f>HYPERLINK(AC2 &amp; "/pencil/sn_f62518f98cfbb1dd96a1288d1bba75/rendering/08.xyz", "0.0")</f>
        <v>0.0</v>
      </c>
      <c r="L2326" s="13" t="str">
        <f>HYPERLINK(AC2 &amp; "/pencil/sn_f62518f98cfbb1dd96a1288d1bba75/rendering/09.xyz", "0.0")</f>
        <v>0.0</v>
      </c>
      <c r="M2326" s="13" t="str">
        <f>HYPERLINK(AC2 &amp; "/pencil/sn_f62518f98cfbb1dd96a1288d1bba75/rendering/10.xyz", "0.0")</f>
        <v>0.0</v>
      </c>
      <c r="N2326" s="13" t="str">
        <f>HYPERLINK(AC2 &amp; "/pencil/sn_f62518f98cfbb1dd96a1288d1bba75/rendering/11.xyz", "0.0")</f>
        <v>0.0</v>
      </c>
      <c r="O2326" s="13" t="str">
        <f>HYPERLINK(AC2 &amp; "/pencil/sn_f62518f98cfbb1dd96a1288d1bba75/rendering/12.xyz", "0.0")</f>
        <v>0.0</v>
      </c>
      <c r="P2326" s="13" t="str">
        <f>HYPERLINK(AC2 &amp; "/pencil/sn_f62518f98cfbb1dd96a1288d1bba75/rendering/13.xyz", "0.0")</f>
        <v>0.0</v>
      </c>
      <c r="Q2326" s="13" t="str">
        <f>HYPERLINK(AC2 &amp; "/pencil/sn_f62518f98cfbb1dd96a1288d1bba75/rendering/14.xyz", "0.0")</f>
        <v>0.0</v>
      </c>
      <c r="R2326" s="13" t="str">
        <f>HYPERLINK(AC2 &amp; "/pencil/sn_f62518f98cfbb1dd96a1288d1bba75/rendering/15.xyz", "0.0")</f>
        <v>0.0</v>
      </c>
      <c r="S2326" s="13" t="str">
        <f>HYPERLINK(AC2 &amp; "/pencil/sn_f62518f98cfbb1dd96a1288d1bba75/rendering/16.xyz", "0.0")</f>
        <v>0.0</v>
      </c>
      <c r="T2326" s="13" t="str">
        <f>HYPERLINK(AC2 &amp; "/pencil/sn_f62518f98cfbb1dd96a1288d1bba75/rendering/17.xyz", "0.0")</f>
        <v>0.0</v>
      </c>
      <c r="U2326" s="13" t="str">
        <f>HYPERLINK(AC2 &amp; "/pencil/sn_f62518f98cfbb1dd96a1288d1bba75/rendering/18.xyz", "0.0")</f>
        <v>0.0</v>
      </c>
      <c r="V2326" s="13" t="str">
        <f>HYPERLINK(AC2 &amp; "/pencil/sn_f62518f98cfbb1dd96a1288d1bba75/rendering/19.xyz", "0.0")</f>
        <v>0.0</v>
      </c>
      <c r="W2326" s="12" t="s">
        <v>33</v>
      </c>
      <c r="X2326" s="13">
        <v>0</v>
      </c>
      <c r="Y2326" s="13">
        <v>0</v>
      </c>
      <c r="Z2326" s="13">
        <v>0</v>
      </c>
    </row>
    <row r="2327" spans="1:26" x14ac:dyDescent="0.2">
      <c r="A2327" s="1">
        <v>2325</v>
      </c>
      <c r="B2327" s="2" t="s">
        <v>498</v>
      </c>
      <c r="C2327" s="46" t="str">
        <f>HYPERLINK(AA2 &amp; "/pencil/sn_f63b7a27e8adbe1ba29ae24f6cae3d6c/rendering/00.obj", "3.18185394287")</f>
        <v>3.18185394287</v>
      </c>
      <c r="D2327" s="38" t="str">
        <f>HYPERLINK(AA2 &amp; "/pencil/sn_f63b7a27e8adbe1ba29ae24f6cae3d6c/rendering/01.obj", "3.51975189209")</f>
        <v>3.51975189209</v>
      </c>
      <c r="E2327" s="72" t="str">
        <f>HYPERLINK(AA2 &amp; "/pencil/sn_f63b7a27e8adbe1ba29ae24f6cae3d6c/rendering/02.obj", "3.33678833008")</f>
        <v>3.33678833008</v>
      </c>
      <c r="F2327" s="6" t="str">
        <f>HYPERLINK(AA2 &amp; "/pencil/sn_f63b7a27e8adbe1ba29ae24f6cae3d6c/rendering/03.obj", "3.08265808105")</f>
        <v>3.08265808105</v>
      </c>
      <c r="G2327" s="30" t="str">
        <f>HYPERLINK(AA2 &amp; "/pencil/sn_f63b7a27e8adbe1ba29ae24f6cae3d6c/rendering/04.obj", "3.22027404785")</f>
        <v>3.22027404785</v>
      </c>
      <c r="H2327" s="23" t="str">
        <f>HYPERLINK(AA2 &amp; "/pencil/sn_f63b7a27e8adbe1ba29ae24f6cae3d6c/rendering/05.obj", "3.11186187744")</f>
        <v>3.11186187744</v>
      </c>
      <c r="I2327" s="46" t="str">
        <f>HYPERLINK(AA2 &amp; "/pencil/sn_f63b7a27e8adbe1ba29ae24f6cae3d6c/rendering/06.obj", "3.17448242188")</f>
        <v>3.17448242188</v>
      </c>
      <c r="J2327" s="74" t="str">
        <f>HYPERLINK(AA2 &amp; "/pencil/sn_f63b7a27e8adbe1ba29ae24f6cae3d6c/rendering/07.obj", "3.28444946289")</f>
        <v>3.28444946289</v>
      </c>
      <c r="K2327" s="74" t="str">
        <f>HYPERLINK(AA2 &amp; "/pencil/sn_f63b7a27e8adbe1ba29ae24f6cae3d6c/rendering/08.obj", "3.18431091309")</f>
        <v>3.18431091309</v>
      </c>
      <c r="L2327" s="51" t="str">
        <f>HYPERLINK(AA2 &amp; "/pencil/sn_f63b7a27e8adbe1ba29ae24f6cae3d6c/rendering/09.obj", "3.49144348145")</f>
        <v>3.49144348145</v>
      </c>
      <c r="M2327" s="34" t="str">
        <f>HYPERLINK(AA2 &amp; "/pencil/sn_f63b7a27e8adbe1ba29ae24f6cae3d6c/rendering/10.obj", "3.39165435791")</f>
        <v>3.39165435791</v>
      </c>
      <c r="N2327" s="28" t="str">
        <f>HYPERLINK(AA2 &amp; "/pencil/sn_f63b7a27e8adbe1ba29ae24f6cae3d6c/rendering/11.obj", "2.87306427002")</f>
        <v>2.87306427002</v>
      </c>
      <c r="O2327" s="23" t="str">
        <f>HYPERLINK(AA2 &amp; "/pencil/sn_f63b7a27e8adbe1ba29ae24f6cae3d6c/rendering/12.obj", "3.36235473633")</f>
        <v>3.36235473633</v>
      </c>
      <c r="P2327" s="67" t="str">
        <f>HYPERLINK(AA2 &amp; "/pencil/sn_f63b7a27e8adbe1ba29ae24f6cae3d6c/rendering/13.obj", "2.93667205811")</f>
        <v>2.93667205811</v>
      </c>
      <c r="Q2327" s="30" t="str">
        <f>HYPERLINK(AA2 &amp; "/pencil/sn_f63b7a27e8adbe1ba29ae24f6cae3d6c/rendering/14.obj", "3.21827453613")</f>
        <v>3.21827453613</v>
      </c>
      <c r="R2327" s="35" t="str">
        <f>HYPERLINK(AA2 &amp; "/pencil/sn_f63b7a27e8adbe1ba29ae24f6cae3d6c/rendering/15.obj", "3.04645019531")</f>
        <v>3.04645019531</v>
      </c>
      <c r="S2327" s="17" t="str">
        <f>HYPERLINK(AA2 &amp; "/pencil/sn_f63b7a27e8adbe1ba29ae24f6cae3d6c/rendering/16.obj", "3.30148986816")</f>
        <v>3.30148986816</v>
      </c>
      <c r="T2327" s="83" t="str">
        <f>HYPERLINK(AA2 &amp; "/pencil/sn_f63b7a27e8adbe1ba29ae24f6cae3d6c/rendering/17.obj", "3.72185150146")</f>
        <v>3.72185150146</v>
      </c>
      <c r="U2327" s="68" t="str">
        <f>HYPERLINK(AA2 &amp; "/pencil/sn_f63b7a27e8adbe1ba29ae24f6cae3d6c/rendering/18.obj", "3.09918518066")</f>
        <v>3.09918518066</v>
      </c>
      <c r="V2327" s="48" t="str">
        <f>HYPERLINK(AA2 &amp; "/pencil/sn_f63b7a27e8adbe1ba29ae24f6cae3d6c/rendering/19.obj", "3.15413024902")</f>
        <v>3.15413024902</v>
      </c>
      <c r="W2327" s="12" t="s">
        <v>29</v>
      </c>
      <c r="X2327" s="13">
        <v>3.2346500701904302</v>
      </c>
      <c r="Y2327" s="13">
        <v>0.19625407360758651</v>
      </c>
      <c r="Z2327" s="78">
        <v>6.0672428036715777E-2</v>
      </c>
    </row>
    <row r="2328" spans="1:26" x14ac:dyDescent="0.2">
      <c r="A2328" s="1">
        <v>2326</v>
      </c>
      <c r="B2328" s="2" t="s">
        <v>498</v>
      </c>
      <c r="C2328" s="69" t="str">
        <f>HYPERLINK(AA2 &amp; "/pencil/sn_f63b7a27e8adbe1ba29ae24f6cae3d6c/rendering/00.obj", "0.858613431454")</f>
        <v>0.858613431454</v>
      </c>
      <c r="D2328" s="40" t="str">
        <f>HYPERLINK(AA2 &amp; "/pencil/sn_f63b7a27e8adbe1ba29ae24f6cae3d6c/rendering/01.obj", "0.97616904974")</f>
        <v>0.97616904974</v>
      </c>
      <c r="E2328" s="69" t="str">
        <f>HYPERLINK(AA2 &amp; "/pencil/sn_f63b7a27e8adbe1ba29ae24f6cae3d6c/rendering/02.obj", "0.807900071144")</f>
        <v>0.807900071144</v>
      </c>
      <c r="F2328" s="94" t="str">
        <f>HYPERLINK(AA2 &amp; "/pencil/sn_f63b7a27e8adbe1ba29ae24f6cae3d6c/rendering/03.obj", "0.770816802979")</f>
        <v>0.770816802979</v>
      </c>
      <c r="G2328" s="30" t="str">
        <f>HYPERLINK(AA2 &amp; "/pencil/sn_f63b7a27e8adbe1ba29ae24f6cae3d6c/rendering/04.obj", "0.836230635643")</f>
        <v>0.836230635643</v>
      </c>
      <c r="H2328" s="39" t="str">
        <f>HYPERLINK(AA2 &amp; "/pencil/sn_f63b7a27e8adbe1ba29ae24f6cae3d6c/rendering/05.obj", "0.761920154095")</f>
        <v>0.761920154095</v>
      </c>
      <c r="I2328" s="51" t="str">
        <f>HYPERLINK(AA2 &amp; "/pencil/sn_f63b7a27e8adbe1ba29ae24f6cae3d6c/rendering/06.obj", "0.766652524471")</f>
        <v>0.766652524471</v>
      </c>
      <c r="J2328" s="94" t="str">
        <f>HYPERLINK(AA2 &amp; "/pencil/sn_f63b7a27e8adbe1ba29ae24f6cae3d6c/rendering/07.obj", "0.77057081461")</f>
        <v>0.77057081461</v>
      </c>
      <c r="K2328" s="10" t="str">
        <f>HYPERLINK(AA2 &amp; "/pencil/sn_f63b7a27e8adbe1ba29ae24f6cae3d6c/rendering/08.obj", "0.78612434864")</f>
        <v>0.78612434864</v>
      </c>
      <c r="L2328" s="67" t="str">
        <f>HYPERLINK(AA2 &amp; "/pencil/sn_f63b7a27e8adbe1ba29ae24f6cae3d6c/rendering/09.obj", "0.910966098309")</f>
        <v>0.910966098309</v>
      </c>
      <c r="M2328" s="6" t="str">
        <f>HYPERLINK(AA2 &amp; "/pencil/sn_f63b7a27e8adbe1ba29ae24f6cae3d6c/rendering/10.obj", "0.79628944397")</f>
        <v>0.79628944397</v>
      </c>
      <c r="N2328" s="39" t="str">
        <f>HYPERLINK(AA2 &amp; "/pencil/sn_f63b7a27e8adbe1ba29ae24f6cae3d6c/rendering/11.obj", "0.760986804962")</f>
        <v>0.760986804962</v>
      </c>
      <c r="O2328" s="38" t="str">
        <f>HYPERLINK(AA2 &amp; "/pencil/sn_f63b7a27e8adbe1ba29ae24f6cae3d6c/rendering/12.obj", "0.908199965954")</f>
        <v>0.908199965954</v>
      </c>
      <c r="P2328" s="28" t="str">
        <f>HYPERLINK(AA2 &amp; "/pencil/sn_f63b7a27e8adbe1ba29ae24f6cae3d6c/rendering/13.obj", "0.740856349468")</f>
        <v>0.740856349468</v>
      </c>
      <c r="Q2328" s="44" t="str">
        <f>HYPERLINK(AA2 &amp; "/pencil/sn_f63b7a27e8adbe1ba29ae24f6cae3d6c/rendering/14.obj", "0.99626237154")</f>
        <v>0.99626237154</v>
      </c>
      <c r="R2328" s="78" t="str">
        <f>HYPERLINK(AA2 &amp; "/pencil/sn_f63b7a27e8adbe1ba29ae24f6cae3d6c/rendering/15.obj", "0.782771945")</f>
        <v>0.782771945</v>
      </c>
      <c r="S2328" s="30" t="str">
        <f>HYPERLINK(AA2 &amp; "/pencil/sn_f63b7a27e8adbe1ba29ae24f6cae3d6c/rendering/16.obj", "0.836573660374")</f>
        <v>0.836573660374</v>
      </c>
      <c r="T2328" s="79" t="str">
        <f>HYPERLINK(AA2 &amp; "/pencil/sn_f63b7a27e8adbe1ba29ae24f6cae3d6c/rendering/17.obj", "0.965548455715")</f>
        <v>0.965548455715</v>
      </c>
      <c r="U2328" s="26" t="str">
        <f>HYPERLINK(AA2 &amp; "/pencil/sn_f63b7a27e8adbe1ba29ae24f6cae3d6c/rendering/18.obj", "0.779791414738")</f>
        <v>0.779791414738</v>
      </c>
      <c r="V2328" s="46" t="str">
        <f>HYPERLINK(AA2 &amp; "/pencil/sn_f63b7a27e8adbe1ba29ae24f6cae3d6c/rendering/19.obj", "0.848471045494")</f>
        <v>0.848471045494</v>
      </c>
      <c r="W2328" s="12" t="s">
        <v>30</v>
      </c>
      <c r="X2328" s="13">
        <v>0.83308576941490176</v>
      </c>
      <c r="Y2328" s="13">
        <v>7.6745399915036941E-2</v>
      </c>
      <c r="Z2328" s="67">
        <v>9.2121847152589434E-2</v>
      </c>
    </row>
    <row r="2329" spans="1:26" x14ac:dyDescent="0.2">
      <c r="A2329" s="1">
        <v>2327</v>
      </c>
      <c r="B2329" s="2" t="s">
        <v>498</v>
      </c>
      <c r="C2329" s="69" t="str">
        <f>HYPERLINK(AB2 &amp; "/pencil/sn_f63b7a27e8adbe1ba29ae24f6cae3d6c/rendering/00.obj", "5.16725402832")</f>
        <v>5.16725402832</v>
      </c>
      <c r="D2329" s="25" t="str">
        <f>HYPERLINK(AB2 &amp; "/pencil/sn_f63b7a27e8adbe1ba29ae24f6cae3d6c/rendering/01.obj", "5.08316894531")</f>
        <v>5.08316894531</v>
      </c>
      <c r="E2329" s="94" t="str">
        <f>HYPERLINK(AB2 &amp; "/pencil/sn_f63b7a27e8adbe1ba29ae24f6cae3d6c/rendering/02.obj", "5.39322692871")</f>
        <v>5.39322692871</v>
      </c>
      <c r="F2329" s="10" t="str">
        <f>HYPERLINK(AB2 &amp; "/pencil/sn_f63b7a27e8adbe1ba29ae24f6cae3d6c/rendering/03.obj", "4.74736999512")</f>
        <v>4.74736999512</v>
      </c>
      <c r="G2329" s="91" t="str">
        <f>HYPERLINK(AB2 &amp; "/pencil/sn_f63b7a27e8adbe1ba29ae24f6cae3d6c/rendering/04.obj", "5.15163696289")</f>
        <v>5.15163696289</v>
      </c>
      <c r="H2329" s="30" t="str">
        <f>HYPERLINK(AB2 &amp; "/pencil/sn_f63b7a27e8adbe1ba29ae24f6cae3d6c/rendering/05.obj", "5.05223144531")</f>
        <v>5.05223144531</v>
      </c>
      <c r="I2329" s="47" t="str">
        <f>HYPERLINK(AB2 &amp; "/pencil/sn_f63b7a27e8adbe1ba29ae24f6cae3d6c/rendering/06.obj", "5.06423370361")</f>
        <v>5.06423370361</v>
      </c>
      <c r="J2329" s="13" t="str">
        <f>HYPERLINK(AB2 &amp; "/pencil/sn_f63b7a27e8adbe1ba29ae24f6cae3d6c/rendering/07.obj", "5.01739746094")</f>
        <v>5.01739746094</v>
      </c>
      <c r="K2329" s="17" t="str">
        <f>HYPERLINK(AB2 &amp; "/pencil/sn_f63b7a27e8adbe1ba29ae24f6cae3d6c/rendering/08.obj", "5.1230090332")</f>
        <v>5.1230090332</v>
      </c>
      <c r="L2329" s="48" t="str">
        <f>HYPERLINK(AB2 &amp; "/pencil/sn_f63b7a27e8adbe1ba29ae24f6cae3d6c/rendering/09.obj", "4.90136657715")</f>
        <v>4.90136657715</v>
      </c>
      <c r="M2329" s="91" t="str">
        <f>HYPERLINK(AB2 &amp; "/pencil/sn_f63b7a27e8adbe1ba29ae24f6cae3d6c/rendering/10.obj", "5.16074035645")</f>
        <v>5.16074035645</v>
      </c>
      <c r="N2329" s="35" t="str">
        <f>HYPERLINK(AB2 &amp; "/pencil/sn_f63b7a27e8adbe1ba29ae24f6cae3d6c/rendering/11.obj", "4.72971008301")</f>
        <v>4.72971008301</v>
      </c>
      <c r="O2329" s="13" t="str">
        <f>HYPERLINK(AB2 &amp; "/pencil/sn_f63b7a27e8adbe1ba29ae24f6cae3d6c/rendering/12.obj", "5.03428222656")</f>
        <v>5.03428222656</v>
      </c>
      <c r="P2329" s="23" t="str">
        <f>HYPERLINK(AB2 &amp; "/pencil/sn_f63b7a27e8adbe1ba29ae24f6cae3d6c/rendering/13.obj", "5.22713806152")</f>
        <v>5.22713806152</v>
      </c>
      <c r="Q2329" s="48" t="str">
        <f>HYPERLINK(AB2 &amp; "/pencil/sn_f63b7a27e8adbe1ba29ae24f6cae3d6c/rendering/14.obj", "5.14368164063")</f>
        <v>5.14368164063</v>
      </c>
      <c r="R2329" s="6" t="str">
        <f>HYPERLINK(AB2 &amp; "/pencil/sn_f63b7a27e8adbe1ba29ae24f6cae3d6c/rendering/15.obj", "5.24921508789")</f>
        <v>5.24921508789</v>
      </c>
      <c r="S2329" s="34" t="str">
        <f>HYPERLINK(AB2 &amp; "/pencil/sn_f63b7a27e8adbe1ba29ae24f6cae3d6c/rendering/16.obj", "4.78155212402")</f>
        <v>4.78155212402</v>
      </c>
      <c r="T2329" s="74" t="str">
        <f>HYPERLINK(AB2 &amp; "/pencil/sn_f63b7a27e8adbe1ba29ae24f6cae3d6c/rendering/17.obj", "4.95867919922")</f>
        <v>4.95867919922</v>
      </c>
      <c r="U2329" s="27" t="str">
        <f>HYPERLINK(AB2 &amp; "/pencil/sn_f63b7a27e8adbe1ba29ae24f6cae3d6c/rendering/18.obj", "4.67452880859")</f>
        <v>4.67452880859</v>
      </c>
      <c r="V2329" s="68" t="str">
        <f>HYPERLINK(AB2 &amp; "/pencil/sn_f63b7a27e8adbe1ba29ae24f6cae3d6c/rendering/19.obj", "4.8169921875")</f>
        <v>4.8169921875</v>
      </c>
      <c r="W2329" s="12" t="s">
        <v>31</v>
      </c>
      <c r="X2329" s="13">
        <v>5.0238707427978522</v>
      </c>
      <c r="Y2329" s="13">
        <v>0.1897654162966454</v>
      </c>
      <c r="Z2329" s="23">
        <v>3.7772750536762982E-2</v>
      </c>
    </row>
    <row r="2330" spans="1:26" x14ac:dyDescent="0.2">
      <c r="A2330" s="1">
        <v>2328</v>
      </c>
      <c r="B2330" s="2" t="s">
        <v>498</v>
      </c>
      <c r="C2330" s="68" t="str">
        <f>HYPERLINK(AB2 &amp; "/pencil/sn_f63b7a27e8adbe1ba29ae24f6cae3d6c/rendering/00.obj", "1.04024505615")</f>
        <v>1.04024505615</v>
      </c>
      <c r="D2330" s="110" t="str">
        <f>HYPERLINK(AB2 &amp; "/pencil/sn_f63b7a27e8adbe1ba29ae24f6cae3d6c/rendering/01.obj", "0.897153258324")</f>
        <v>0.897153258324</v>
      </c>
      <c r="E2330" s="101" t="str">
        <f>HYPERLINK(AB2 &amp; "/pencil/sn_f63b7a27e8adbe1ba29ae24f6cae3d6c/rendering/02.obj", "1.37376356125")</f>
        <v>1.37376356125</v>
      </c>
      <c r="F2330" s="83" t="str">
        <f>HYPERLINK(AB2 &amp; "/pencil/sn_f63b7a27e8adbe1ba29ae24f6cae3d6c/rendering/03.obj", "0.846692621708")</f>
        <v>0.846692621708</v>
      </c>
      <c r="G2330" s="5" t="str">
        <f>HYPERLINK(AB2 &amp; "/pencil/sn_f63b7a27e8adbe1ba29ae24f6cae3d6c/rendering/04.obj", "1.07368254662")</f>
        <v>1.07368254662</v>
      </c>
      <c r="H2330" s="68" t="str">
        <f>HYPERLINK(AB2 &amp; "/pencil/sn_f63b7a27e8adbe1ba29ae24f6cae3d6c/rendering/05.obj", "0.953764796257")</f>
        <v>0.953764796257</v>
      </c>
      <c r="I2330" s="13" t="str">
        <f>HYPERLINK(AB2 &amp; "/pencil/sn_f63b7a27e8adbe1ba29ae24f6cae3d6c/rendering/06.obj", "0.99919885397")</f>
        <v>0.99919885397</v>
      </c>
      <c r="J2330" s="110" t="str">
        <f>HYPERLINK(AB2 &amp; "/pencil/sn_f63b7a27e8adbe1ba29ae24f6cae3d6c/rendering/07.obj", "0.898908674717")</f>
        <v>0.898908674717</v>
      </c>
      <c r="K2330" s="55" t="str">
        <f>HYPERLINK(AB2 &amp; "/pencil/sn_f63b7a27e8adbe1ba29ae24f6cae3d6c/rendering/08.obj", "1.19081676006")</f>
        <v>1.19081676006</v>
      </c>
      <c r="L2330" s="117" t="str">
        <f>HYPERLINK(AB2 &amp; "/pencil/sn_f63b7a27e8adbe1ba29ae24f6cae3d6c/rendering/09.obj", "0.819421470165")</f>
        <v>0.819421470165</v>
      </c>
      <c r="M2330" s="106" t="str">
        <f>HYPERLINK(AB2 &amp; "/pencil/sn_f63b7a27e8adbe1ba29ae24f6cae3d6c/rendering/10.obj", "0.882285058498")</f>
        <v>0.882285058498</v>
      </c>
      <c r="N2330" s="5" t="str">
        <f>HYPERLINK(AB2 &amp; "/pencil/sn_f63b7a27e8adbe1ba29ae24f6cae3d6c/rendering/11.obj", "0.921412050724")</f>
        <v>0.921412050724</v>
      </c>
      <c r="O2330" s="91" t="str">
        <f>HYPERLINK(AB2 &amp; "/pencil/sn_f63b7a27e8adbe1ba29ae24f6cae3d6c/rendering/12.obj", "1.02216506004")</f>
        <v>1.02216506004</v>
      </c>
      <c r="P2330" s="28" t="str">
        <f>HYPERLINK(AB2 &amp; "/pencil/sn_f63b7a27e8adbe1ba29ae24f6cae3d6c/rendering/13.obj", "1.10826683044")</f>
        <v>1.10826683044</v>
      </c>
      <c r="Q2330" s="24" t="str">
        <f>HYPERLINK(AB2 &amp; "/pencil/sn_f63b7a27e8adbe1ba29ae24f6cae3d6c/rendering/14.obj", "1.16363453865")</f>
        <v>1.16363453865</v>
      </c>
      <c r="R2330" s="77" t="str">
        <f>HYPERLINK(AB2 &amp; "/pencil/sn_f63b7a27e8adbe1ba29ae24f6cae3d6c/rendering/15.obj", "1.18414020538")</f>
        <v>1.18414020538</v>
      </c>
      <c r="S2330" s="5" t="str">
        <f>HYPERLINK(AB2 &amp; "/pencil/sn_f63b7a27e8adbe1ba29ae24f6cae3d6c/rendering/16.obj", "0.919992506504")</f>
        <v>0.919992506504</v>
      </c>
      <c r="T2330" s="10" t="str">
        <f>HYPERLINK(AB2 &amp; "/pencil/sn_f63b7a27e8adbe1ba29ae24f6cae3d6c/rendering/17.obj", "0.943344414234")</f>
        <v>0.943344414234</v>
      </c>
      <c r="U2330" s="83" t="str">
        <f>HYPERLINK(AB2 &amp; "/pencil/sn_f63b7a27e8adbe1ba29ae24f6cae3d6c/rendering/18.obj", "0.843864262104")</f>
        <v>0.843864262104</v>
      </c>
      <c r="V2330" s="8" t="str">
        <f>HYPERLINK(AB2 &amp; "/pencil/sn_f63b7a27e8adbe1ba29ae24f6cae3d6c/rendering/19.obj", "0.855876386166")</f>
        <v>0.855876386166</v>
      </c>
      <c r="W2330" s="12" t="s">
        <v>32</v>
      </c>
      <c r="X2330" s="13">
        <v>0.99693144559860225</v>
      </c>
      <c r="Y2330" s="13">
        <v>0.14312730094638229</v>
      </c>
      <c r="Z2330" s="8">
        <v>0.14356784669425521</v>
      </c>
    </row>
    <row r="2331" spans="1:26" x14ac:dyDescent="0.2">
      <c r="A2331" s="1">
        <v>2329</v>
      </c>
      <c r="B2331" s="2" t="s">
        <v>498</v>
      </c>
      <c r="C2331" s="13" t="str">
        <f>HYPERLINK(AC2 &amp; "/pencil/sn_f63b7a27e8adbe1ba29ae24f6cae3d6c/rendering/00.xyz", "0.0")</f>
        <v>0.0</v>
      </c>
      <c r="D2331" s="13" t="str">
        <f>HYPERLINK(AC2 &amp; "/pencil/sn_f63b7a27e8adbe1ba29ae24f6cae3d6c/rendering/01.xyz", "0.0")</f>
        <v>0.0</v>
      </c>
      <c r="E2331" s="13" t="str">
        <f>HYPERLINK(AC2 &amp; "/pencil/sn_f63b7a27e8adbe1ba29ae24f6cae3d6c/rendering/02.xyz", "0.0")</f>
        <v>0.0</v>
      </c>
      <c r="F2331" s="13" t="str">
        <f>HYPERLINK(AC2 &amp; "/pencil/sn_f63b7a27e8adbe1ba29ae24f6cae3d6c/rendering/03.xyz", "0.0")</f>
        <v>0.0</v>
      </c>
      <c r="G2331" s="13" t="str">
        <f>HYPERLINK(AC2 &amp; "/pencil/sn_f63b7a27e8adbe1ba29ae24f6cae3d6c/rendering/04.xyz", "0.0")</f>
        <v>0.0</v>
      </c>
      <c r="H2331" s="13" t="str">
        <f>HYPERLINK(AC2 &amp; "/pencil/sn_f63b7a27e8adbe1ba29ae24f6cae3d6c/rendering/05.xyz", "0.0")</f>
        <v>0.0</v>
      </c>
      <c r="I2331" s="13" t="str">
        <f>HYPERLINK(AC2 &amp; "/pencil/sn_f63b7a27e8adbe1ba29ae24f6cae3d6c/rendering/06.xyz", "0.0")</f>
        <v>0.0</v>
      </c>
      <c r="J2331" s="13" t="str">
        <f>HYPERLINK(AC2 &amp; "/pencil/sn_f63b7a27e8adbe1ba29ae24f6cae3d6c/rendering/07.xyz", "0.0")</f>
        <v>0.0</v>
      </c>
      <c r="K2331" s="13" t="str">
        <f>HYPERLINK(AC2 &amp; "/pencil/sn_f63b7a27e8adbe1ba29ae24f6cae3d6c/rendering/08.xyz", "0.0")</f>
        <v>0.0</v>
      </c>
      <c r="L2331" s="13" t="str">
        <f>HYPERLINK(AC2 &amp; "/pencil/sn_f63b7a27e8adbe1ba29ae24f6cae3d6c/rendering/09.xyz", "0.0")</f>
        <v>0.0</v>
      </c>
      <c r="M2331" s="13" t="str">
        <f>HYPERLINK(AC2 &amp; "/pencil/sn_f63b7a27e8adbe1ba29ae24f6cae3d6c/rendering/10.xyz", "0.0")</f>
        <v>0.0</v>
      </c>
      <c r="N2331" s="13" t="str">
        <f>HYPERLINK(AC2 &amp; "/pencil/sn_f63b7a27e8adbe1ba29ae24f6cae3d6c/rendering/11.xyz", "0.0")</f>
        <v>0.0</v>
      </c>
      <c r="O2331" s="13" t="str">
        <f>HYPERLINK(AC2 &amp; "/pencil/sn_f63b7a27e8adbe1ba29ae24f6cae3d6c/rendering/12.xyz", "0.0")</f>
        <v>0.0</v>
      </c>
      <c r="P2331" s="13" t="str">
        <f>HYPERLINK(AC2 &amp; "/pencil/sn_f63b7a27e8adbe1ba29ae24f6cae3d6c/rendering/13.xyz", "0.0")</f>
        <v>0.0</v>
      </c>
      <c r="Q2331" s="13" t="str">
        <f>HYPERLINK(AC2 &amp; "/pencil/sn_f63b7a27e8adbe1ba29ae24f6cae3d6c/rendering/14.xyz", "0.0")</f>
        <v>0.0</v>
      </c>
      <c r="R2331" s="13" t="str">
        <f>HYPERLINK(AC2 &amp; "/pencil/sn_f63b7a27e8adbe1ba29ae24f6cae3d6c/rendering/15.xyz", "0.0")</f>
        <v>0.0</v>
      </c>
      <c r="S2331" s="13" t="str">
        <f>HYPERLINK(AC2 &amp; "/pencil/sn_f63b7a27e8adbe1ba29ae24f6cae3d6c/rendering/16.xyz", "0.0")</f>
        <v>0.0</v>
      </c>
      <c r="T2331" s="13" t="str">
        <f>HYPERLINK(AC2 &amp; "/pencil/sn_f63b7a27e8adbe1ba29ae24f6cae3d6c/rendering/17.xyz", "0.0")</f>
        <v>0.0</v>
      </c>
      <c r="U2331" s="13" t="str">
        <f>HYPERLINK(AC2 &amp; "/pencil/sn_f63b7a27e8adbe1ba29ae24f6cae3d6c/rendering/18.xyz", "0.0")</f>
        <v>0.0</v>
      </c>
      <c r="V2331" s="13" t="str">
        <f>HYPERLINK(AC2 &amp; "/pencil/sn_f63b7a27e8adbe1ba29ae24f6cae3d6c/rendering/19.xyz", "0.0")</f>
        <v>0.0</v>
      </c>
      <c r="W2331" s="12" t="s">
        <v>33</v>
      </c>
      <c r="X2331" s="13">
        <v>0</v>
      </c>
      <c r="Y2331" s="13">
        <v>0</v>
      </c>
      <c r="Z2331" s="13">
        <v>0</v>
      </c>
    </row>
    <row r="2332" spans="1:26" x14ac:dyDescent="0.2">
      <c r="A2332" s="1">
        <v>2330</v>
      </c>
      <c r="B2332" s="2" t="s">
        <v>499</v>
      </c>
      <c r="C2332" s="78" t="str">
        <f>HYPERLINK(AA2 &amp; "/pencil/sn_f6c8e6cfad3a1f67b30737dd4756ef8d/rendering/00.obj", "3.73241455078")</f>
        <v>3.73241455078</v>
      </c>
      <c r="D2332" s="92" t="str">
        <f>HYPERLINK(AA2 &amp; "/pencil/sn_f6c8e6cfad3a1f67b30737dd4756ef8d/rendering/01.obj", "3.48814819336")</f>
        <v>3.48814819336</v>
      </c>
      <c r="E2332" s="23" t="str">
        <f>HYPERLINK(AA2 &amp; "/pencil/sn_f6c8e6cfad3a1f67b30737dd4756ef8d/rendering/02.obj", "4.13553497314")</f>
        <v>4.13553497314</v>
      </c>
      <c r="F2332" s="83" t="str">
        <f>HYPERLINK(AA2 &amp; "/pencil/sn_f6c8e6cfad3a1f67b30737dd4756ef8d/rendering/03.obj", "4.57970825195")</f>
        <v>4.57970825195</v>
      </c>
      <c r="G2332" s="67" t="str">
        <f>HYPERLINK(AA2 &amp; "/pencil/sn_f6c8e6cfad3a1f67b30737dd4756ef8d/rendering/04.obj", "4.34801544189")</f>
        <v>4.34801544189</v>
      </c>
      <c r="H2332" s="42" t="str">
        <f>HYPERLINK(AA2 &amp; "/pencil/sn_f6c8e6cfad3a1f67b30737dd4756ef8d/rendering/05.obj", "3.43579162598")</f>
        <v>3.43579162598</v>
      </c>
      <c r="I2332" s="29" t="str">
        <f>HYPERLINK(AA2 &amp; "/pencil/sn_f6c8e6cfad3a1f67b30737dd4756ef8d/rendering/06.obj", "4.49584716797")</f>
        <v>4.49584716797</v>
      </c>
      <c r="J2332" s="23" t="str">
        <f>HYPERLINK(AA2 &amp; "/pencil/sn_f6c8e6cfad3a1f67b30737dd4756ef8d/rendering/07.obj", "4.13184204102")</f>
        <v>4.13184204102</v>
      </c>
      <c r="K2332" s="90" t="str">
        <f>HYPERLINK(AA2 &amp; "/pencil/sn_f6c8e6cfad3a1f67b30737dd4756ef8d/rendering/08.obj", "3.59211486816")</f>
        <v>3.59211486816</v>
      </c>
      <c r="L2332" s="29" t="str">
        <f>HYPERLINK(AA2 &amp; "/pencil/sn_f6c8e6cfad3a1f67b30737dd4756ef8d/rendering/09.obj", "3.45234313965")</f>
        <v>3.45234313965</v>
      </c>
      <c r="M2332" s="48" t="str">
        <f>HYPERLINK(AA2 &amp; "/pencil/sn_f6c8e6cfad3a1f67b30737dd4756ef8d/rendering/10.obj", "4.06877868652")</f>
        <v>4.06877868652</v>
      </c>
      <c r="N2332" s="30" t="str">
        <f>HYPERLINK(AA2 &amp; "/pencil/sn_f6c8e6cfad3a1f67b30737dd4756ef8d/rendering/11.obj", "3.98770202637")</f>
        <v>3.98770202637</v>
      </c>
      <c r="O2332" s="71" t="str">
        <f>HYPERLINK(AA2 &amp; "/pencil/sn_f6c8e6cfad3a1f67b30737dd4756ef8d/rendering/12.obj", "3.50653686523")</f>
        <v>3.50653686523</v>
      </c>
      <c r="P2332" s="23" t="str">
        <f>HYPERLINK(AA2 &amp; "/pencil/sn_f6c8e6cfad3a1f67b30737dd4756ef8d/rendering/13.obj", "4.12755493164")</f>
        <v>4.12755493164</v>
      </c>
      <c r="Q2332" s="28" t="str">
        <f>HYPERLINK(AA2 &amp; "/pencil/sn_f6c8e6cfad3a1f67b30737dd4756ef8d/rendering/14.obj", "4.42067321777")</f>
        <v>4.42067321777</v>
      </c>
      <c r="R2332" s="38" t="str">
        <f>HYPERLINK(AA2 &amp; "/pencil/sn_f6c8e6cfad3a1f67b30737dd4756ef8d/rendering/15.obj", "4.33444244385")</f>
        <v>4.33444244385</v>
      </c>
      <c r="S2332" s="68" t="str">
        <f>HYPERLINK(AA2 &amp; "/pencil/sn_f6c8e6cfad3a1f67b30737dd4756ef8d/rendering/16.obj", "4.13884643555")</f>
        <v>4.13884643555</v>
      </c>
      <c r="T2332" s="42" t="str">
        <f>HYPERLINK(AA2 &amp; "/pencil/sn_f6c8e6cfad3a1f67b30737dd4756ef8d/rendering/17.obj", "4.51211517334")</f>
        <v>4.51211517334</v>
      </c>
      <c r="U2332" s="28" t="str">
        <f>HYPERLINK(AA2 &amp; "/pencil/sn_f6c8e6cfad3a1f67b30737dd4756ef8d/rendering/18.obj", "3.5282598877")</f>
        <v>3.5282598877</v>
      </c>
      <c r="V2332" s="92" t="str">
        <f>HYPERLINK(AA2 &amp; "/pencil/sn_f6c8e6cfad3a1f67b30737dd4756ef8d/rendering/19.obj", "3.47736022949")</f>
        <v>3.47736022949</v>
      </c>
      <c r="W2332" s="12" t="s">
        <v>29</v>
      </c>
      <c r="X2332" s="13">
        <v>3.9747015075683589</v>
      </c>
      <c r="Y2332" s="13">
        <v>0.3984296157297823</v>
      </c>
      <c r="Z2332" s="110">
        <v>0.10024139296274689</v>
      </c>
    </row>
    <row r="2333" spans="1:26" x14ac:dyDescent="0.2">
      <c r="A2333" s="1">
        <v>2331</v>
      </c>
      <c r="B2333" s="2" t="s">
        <v>499</v>
      </c>
      <c r="C2333" s="4" t="str">
        <f>HYPERLINK(AA2 &amp; "/pencil/sn_f6c8e6cfad3a1f67b30737dd4756ef8d/rendering/00.obj", "1.15467357635")</f>
        <v>1.15467357635</v>
      </c>
      <c r="D2333" s="175" t="str">
        <f>HYPERLINK(AA2 &amp; "/pencil/sn_f6c8e6cfad3a1f67b30737dd4756ef8d/rendering/01.obj", "1.98912644386")</f>
        <v>1.98912644386</v>
      </c>
      <c r="E2333" s="77" t="str">
        <f>HYPERLINK(AA2 &amp; "/pencil/sn_f6c8e6cfad3a1f67b30737dd4756ef8d/rendering/02.obj", "1.31179177761")</f>
        <v>1.31179177761</v>
      </c>
      <c r="F2333" s="171" t="str">
        <f>HYPERLINK(AA2 &amp; "/pencil/sn_f6c8e6cfad3a1f67b30737dd4756ef8d/rendering/03.obj", "2.10411071777")</f>
        <v>2.10411071777</v>
      </c>
      <c r="G2333" s="57" t="str">
        <f>HYPERLINK(AA2 &amp; "/pencil/sn_f6c8e6cfad3a1f67b30737dd4756ef8d/rendering/04.obj", "2.11780571938")</f>
        <v>2.11780571938</v>
      </c>
      <c r="H2333" s="49" t="str">
        <f>HYPERLINK(AA2 &amp; "/pencil/sn_f6c8e6cfad3a1f67b30737dd4756ef8d/rendering/05.obj", "1.27267193794")</f>
        <v>1.27267193794</v>
      </c>
      <c r="I2333" s="77" t="str">
        <f>HYPERLINK(AA2 &amp; "/pencil/sn_f6c8e6cfad3a1f67b30737dd4756ef8d/rendering/06.obj", "1.91341102123")</f>
        <v>1.91341102123</v>
      </c>
      <c r="J2333" s="175" t="str">
        <f>HYPERLINK(AA2 &amp; "/pencil/sn_f6c8e6cfad3a1f67b30737dd4756ef8d/rendering/07.obj", "1.98702228069")</f>
        <v>1.98702228069</v>
      </c>
      <c r="K2333" s="149" t="str">
        <f>HYPERLINK(AA2 &amp; "/pencil/sn_f6c8e6cfad3a1f67b30737dd4756ef8d/rendering/08.obj", "1.05758726597")</f>
        <v>1.05758726597</v>
      </c>
      <c r="L2333" s="99" t="str">
        <f>HYPERLINK(AA2 &amp; "/pencil/sn_f6c8e6cfad3a1f67b30737dd4756ef8d/rendering/09.obj", "1.17391967773")</f>
        <v>1.17391967773</v>
      </c>
      <c r="M2333" s="134" t="str">
        <f>HYPERLINK(AA2 &amp; "/pencil/sn_f6c8e6cfad3a1f67b30737dd4756ef8d/rendering/10.obj", "1.31871211529")</f>
        <v>1.31871211529</v>
      </c>
      <c r="N2333" s="71" t="str">
        <f>HYPERLINK(AA2 &amp; "/pencil/sn_f6c8e6cfad3a1f67b30737dd4756ef8d/rendering/11.obj", "1.42388701439")</f>
        <v>1.42388701439</v>
      </c>
      <c r="O2333" s="169" t="str">
        <f>HYPERLINK(AA2 &amp; "/pencil/sn_f6c8e6cfad3a1f67b30737dd4756ef8d/rendering/12.obj", "1.10918271542")</f>
        <v>1.10918271542</v>
      </c>
      <c r="P2333" s="55" t="str">
        <f>HYPERLINK(AA2 &amp; "/pencil/sn_f6c8e6cfad3a1f67b30737dd4756ef8d/rendering/13.obj", "1.91991269588")</f>
        <v>1.91991269588</v>
      </c>
      <c r="Q2333" s="26" t="str">
        <f>HYPERLINK(AA2 &amp; "/pencil/sn_f6c8e6cfad3a1f67b30737dd4756ef8d/rendering/14.obj", "1.71276342869")</f>
        <v>1.71276342869</v>
      </c>
      <c r="R2333" s="116" t="str">
        <f>HYPERLINK(AA2 &amp; "/pencil/sn_f6c8e6cfad3a1f67b30737dd4756ef8d/rendering/15.obj", "2.31589746475")</f>
        <v>2.31589746475</v>
      </c>
      <c r="S2333" s="35" t="str">
        <f>HYPERLINK(AA2 &amp; "/pencil/sn_f6c8e6cfad3a1f67b30737dd4756ef8d/rendering/16.obj", "1.51929354668")</f>
        <v>1.51929354668</v>
      </c>
      <c r="T2333" s="223" t="str">
        <f>HYPERLINK(AA2 &amp; "/pencil/sn_f6c8e6cfad3a1f67b30737dd4756ef8d/rendering/17.obj", "2.51527047157")</f>
        <v>2.51527047157</v>
      </c>
      <c r="U2333" s="103" t="str">
        <f>HYPERLINK(AA2 &amp; "/pencil/sn_f6c8e6cfad3a1f67b30737dd4756ef8d/rendering/18.obj", "1.08896160126")</f>
        <v>1.08896160126</v>
      </c>
      <c r="V2333" s="58" t="str">
        <f>HYPERLINK(AA2 &amp; "/pencil/sn_f6c8e6cfad3a1f67b30737dd4756ef8d/rendering/19.obj", "1.21737766266")</f>
        <v>1.21737766266</v>
      </c>
      <c r="W2333" s="12" t="s">
        <v>30</v>
      </c>
      <c r="X2333" s="13">
        <v>1.6111689567565921</v>
      </c>
      <c r="Y2333" s="13">
        <v>0.4479882633943561</v>
      </c>
      <c r="Z2333" s="7">
        <v>0.27805169750551262</v>
      </c>
    </row>
    <row r="2334" spans="1:26" x14ac:dyDescent="0.2">
      <c r="A2334" s="1">
        <v>2332</v>
      </c>
      <c r="B2334" s="2" t="s">
        <v>499</v>
      </c>
      <c r="C2334" s="74" t="str">
        <f>HYPERLINK(AB2 &amp; "/pencil/sn_f6c8e6cfad3a1f67b30737dd4756ef8d/rendering/00.obj", "5.27621582031")</f>
        <v>5.27621582031</v>
      </c>
      <c r="D2334" s="17" t="str">
        <f>HYPERLINK(AB2 &amp; "/pencil/sn_f6c8e6cfad3a1f67b30737dd4756ef8d/rendering/01.obj", "5.23900634766")</f>
        <v>5.23900634766</v>
      </c>
      <c r="E2334" s="94" t="str">
        <f>HYPERLINK(AB2 &amp; "/pencil/sn_f6c8e6cfad3a1f67b30737dd4756ef8d/rendering/02.obj", "5.7471472168")</f>
        <v>5.7471472168</v>
      </c>
      <c r="F2334" s="110" t="str">
        <f>HYPERLINK(AB2 &amp; "/pencil/sn_f6c8e6cfad3a1f67b30737dd4756ef8d/rendering/03.obj", "5.88227050781")</f>
        <v>5.88227050781</v>
      </c>
      <c r="G2334" s="72" t="str">
        <f>HYPERLINK(AB2 &amp; "/pencil/sn_f6c8e6cfad3a1f67b30737dd4756ef8d/rendering/04.obj", "5.17049072266")</f>
        <v>5.17049072266</v>
      </c>
      <c r="H2334" s="26" t="str">
        <f>HYPERLINK(AB2 &amp; "/pencil/sn_f6c8e6cfad3a1f67b30737dd4756ef8d/rendering/05.obj", "5.01168060303")</f>
        <v>5.01168060303</v>
      </c>
      <c r="I2334" s="46" t="str">
        <f>HYPERLINK(AB2 &amp; "/pencil/sn_f6c8e6cfad3a1f67b30737dd4756ef8d/rendering/06.obj", "5.25786621094")</f>
        <v>5.25786621094</v>
      </c>
      <c r="J2334" s="47" t="str">
        <f>HYPERLINK(AB2 &amp; "/pencil/sn_f6c8e6cfad3a1f67b30737dd4756ef8d/rendering/07.obj", "5.39196594238")</f>
        <v>5.39196594238</v>
      </c>
      <c r="K2334" s="13" t="str">
        <f>HYPERLINK(AB2 &amp; "/pencil/sn_f6c8e6cfad3a1f67b30737dd4756ef8d/rendering/08.obj", "5.36252441406")</f>
        <v>5.36252441406</v>
      </c>
      <c r="L2334" s="30" t="str">
        <f>HYPERLINK(AB2 &amp; "/pencil/sn_f6c8e6cfad3a1f67b30737dd4756ef8d/rendering/09.obj", "5.38058898926")</f>
        <v>5.38058898926</v>
      </c>
      <c r="M2334" s="13" t="str">
        <f>HYPERLINK(AB2 &amp; "/pencil/sn_f6c8e6cfad3a1f67b30737dd4756ef8d/rendering/10.obj", "5.3454284668")</f>
        <v>5.3454284668</v>
      </c>
      <c r="N2334" s="17" t="str">
        <f>HYPERLINK(AB2 &amp; "/pencil/sn_f6c8e6cfad3a1f67b30737dd4756ef8d/rendering/11.obj", "5.2374395752")</f>
        <v>5.2374395752</v>
      </c>
      <c r="O2334" s="46" t="str">
        <f>HYPERLINK(AB2 &amp; "/pencil/sn_f6c8e6cfad3a1f67b30737dd4756ef8d/rendering/12.obj", "5.25218261719")</f>
        <v>5.25218261719</v>
      </c>
      <c r="P2334" s="17" t="str">
        <f>HYPERLINK(AB2 &amp; "/pencil/sn_f6c8e6cfad3a1f67b30737dd4756ef8d/rendering/13.obj", "5.4510949707")</f>
        <v>5.4510949707</v>
      </c>
      <c r="Q2334" s="60" t="str">
        <f>HYPERLINK(AB2 &amp; "/pencil/sn_f6c8e6cfad3a1f67b30737dd4756ef8d/rendering/14.obj", "5.63056762695")</f>
        <v>5.63056762695</v>
      </c>
      <c r="R2334" s="72" t="str">
        <f>HYPERLINK(AB2 &amp; "/pencil/sn_f6c8e6cfad3a1f67b30737dd4756ef8d/rendering/15.obj", "5.17729736328")</f>
        <v>5.17729736328</v>
      </c>
      <c r="S2334" s="69" t="str">
        <f>HYPERLINK(AB2 &amp; "/pencil/sn_f6c8e6cfad3a1f67b30737dd4756ef8d/rendering/16.obj", "5.1850958252")</f>
        <v>5.1850958252</v>
      </c>
      <c r="T2334" s="72" t="str">
        <f>HYPERLINK(AB2 &amp; "/pencil/sn_f6c8e6cfad3a1f67b30737dd4756ef8d/rendering/17.obj", "5.52248474121")</f>
        <v>5.52248474121</v>
      </c>
      <c r="U2334" s="74" t="str">
        <f>HYPERLINK(AB2 &amp; "/pencil/sn_f6c8e6cfad3a1f67b30737dd4756ef8d/rendering/18.obj", "5.27881835938")</f>
        <v>5.27881835938</v>
      </c>
      <c r="V2334" s="72" t="str">
        <f>HYPERLINK(AB2 &amp; "/pencil/sn_f6c8e6cfad3a1f67b30737dd4756ef8d/rendering/19.obj", "5.17112426758")</f>
        <v>5.17112426758</v>
      </c>
      <c r="W2334" s="12" t="s">
        <v>31</v>
      </c>
      <c r="X2334" s="13">
        <v>5.3485645294189457</v>
      </c>
      <c r="Y2334" s="13">
        <v>0.20637556899207429</v>
      </c>
      <c r="Z2334" s="23">
        <v>3.8585225597809969E-2</v>
      </c>
    </row>
    <row r="2335" spans="1:26" x14ac:dyDescent="0.2">
      <c r="A2335" s="1">
        <v>2333</v>
      </c>
      <c r="B2335" s="2" t="s">
        <v>499</v>
      </c>
      <c r="C2335" s="28" t="str">
        <f>HYPERLINK(AB2 &amp; "/pencil/sn_f6c8e6cfad3a1f67b30737dd4756ef8d/rendering/00.obj", "1.1571586132")</f>
        <v>1.1571586132</v>
      </c>
      <c r="D2335" s="13" t="str">
        <f>HYPERLINK(AB2 &amp; "/pencil/sn_f6c8e6cfad3a1f67b30737dd4756ef8d/rendering/01.obj", "1.30039286613")</f>
        <v>1.30039286613</v>
      </c>
      <c r="E2335" s="58" t="str">
        <f>HYPERLINK(AB2 &amp; "/pencil/sn_f6c8e6cfad3a1f67b30737dd4756ef8d/rendering/02.obj", "1.62125515938")</f>
        <v>1.62125515938</v>
      </c>
      <c r="F2335" s="54" t="str">
        <f>HYPERLINK(AB2 &amp; "/pencil/sn_f6c8e6cfad3a1f67b30737dd4756ef8d/rendering/03.obj", "1.73225307465")</f>
        <v>1.73225307465</v>
      </c>
      <c r="G2335" s="38" t="str">
        <f>HYPERLINK(AB2 &amp; "/pencil/sn_f6c8e6cfad3a1f67b30737dd4756ef8d/rendering/04.obj", "1.18605005741")</f>
        <v>1.18605005741</v>
      </c>
      <c r="H2335" s="65" t="str">
        <f>HYPERLINK(AB2 &amp; "/pencil/sn_f6c8e6cfad3a1f67b30737dd4756ef8d/rendering/05.obj", "1.12835633755")</f>
        <v>1.12835633755</v>
      </c>
      <c r="I2335" s="117" t="str">
        <f>HYPERLINK(AB2 &amp; "/pencil/sn_f6c8e6cfad3a1f67b30737dd4756ef8d/rendering/06.obj", "1.07122337818")</f>
        <v>1.07122337818</v>
      </c>
      <c r="J2335" s="46" t="str">
        <f>HYPERLINK(AB2 &amp; "/pencil/sn_f6c8e6cfad3a1f67b30737dd4756ef8d/rendering/07.obj", "1.32670331001")</f>
        <v>1.32670331001</v>
      </c>
      <c r="K2335" s="17" t="str">
        <f>HYPERLINK(AB2 &amp; "/pencil/sn_f6c8e6cfad3a1f67b30737dd4756ef8d/rendering/08.obj", "1.2781573534")</f>
        <v>1.2781573534</v>
      </c>
      <c r="L2335" s="39" t="str">
        <f>HYPERLINK(AB2 &amp; "/pencil/sn_f6c8e6cfad3a1f67b30737dd4756ef8d/rendering/09.obj", "1.19141769409")</f>
        <v>1.19141769409</v>
      </c>
      <c r="M2335" s="6" t="str">
        <f>HYPERLINK(AB2 &amp; "/pencil/sn_f6c8e6cfad3a1f67b30737dd4756ef8d/rendering/10.obj", "1.24529969692")</f>
        <v>1.24529969692</v>
      </c>
      <c r="N2335" s="67" t="str">
        <f>HYPERLINK(AB2 &amp; "/pencil/sn_f6c8e6cfad3a1f67b30737dd4756ef8d/rendering/11.obj", "1.18471157551")</f>
        <v>1.18471157551</v>
      </c>
      <c r="O2335" s="5" t="str">
        <f>HYPERLINK(AB2 &amp; "/pencil/sn_f6c8e6cfad3a1f67b30737dd4756ef8d/rendering/12.obj", "1.40577483177")</f>
        <v>1.40577483177</v>
      </c>
      <c r="P2335" s="76" t="str">
        <f>HYPERLINK(AB2 &amp; "/pencil/sn_f6c8e6cfad3a1f67b30737dd4756ef8d/rendering/13.obj", "1.54201245308")</f>
        <v>1.54201245308</v>
      </c>
      <c r="Q2335" s="94" t="str">
        <f>HYPERLINK(AB2 &amp; "/pencil/sn_f6c8e6cfad3a1f67b30737dd4756ef8d/rendering/14.obj", "1.39816665649")</f>
        <v>1.39816665649</v>
      </c>
      <c r="R2335" s="29" t="str">
        <f>HYPERLINK(AB2 &amp; "/pencil/sn_f6c8e6cfad3a1f67b30737dd4756ef8d/rendering/15.obj", "1.13546717167")</f>
        <v>1.13546717167</v>
      </c>
      <c r="S2335" s="83" t="str">
        <f>HYPERLINK(AB2 &amp; "/pencil/sn_f6c8e6cfad3a1f67b30737dd4756ef8d/rendering/16.obj", "1.1064286232")</f>
        <v>1.1064286232</v>
      </c>
      <c r="T2335" s="84" t="str">
        <f>HYPERLINK(AB2 &amp; "/pencil/sn_f6c8e6cfad3a1f67b30737dd4756ef8d/rendering/17.obj", "1.49530172348")</f>
        <v>1.49530172348</v>
      </c>
      <c r="U2335" s="27" t="str">
        <f>HYPERLINK(AB2 &amp; "/pencil/sn_f6c8e6cfad3a1f67b30737dd4756ef8d/rendering/18.obj", "1.39550352097")</f>
        <v>1.39550352097</v>
      </c>
      <c r="V2335" s="133" t="str">
        <f>HYPERLINK(AB2 &amp; "/pencil/sn_f6c8e6cfad3a1f67b30737dd4756ef8d/rendering/19.obj", "1.17185282707")</f>
        <v>1.17185282707</v>
      </c>
      <c r="W2335" s="12" t="s">
        <v>32</v>
      </c>
      <c r="X2335" s="13">
        <v>1.303674346208572</v>
      </c>
      <c r="Y2335" s="13">
        <v>0.17914399987923299</v>
      </c>
      <c r="Z2335" s="42">
        <v>0.13741468519360739</v>
      </c>
    </row>
    <row r="2336" spans="1:26" x14ac:dyDescent="0.2">
      <c r="A2336" s="1">
        <v>2334</v>
      </c>
      <c r="B2336" s="2" t="s">
        <v>499</v>
      </c>
      <c r="C2336" s="13" t="str">
        <f>HYPERLINK(AC2 &amp; "/pencil/sn_f6c8e6cfad3a1f67b30737dd4756ef8d/rendering/00.xyz", "0.0")</f>
        <v>0.0</v>
      </c>
      <c r="D2336" s="13" t="str">
        <f>HYPERLINK(AC2 &amp; "/pencil/sn_f6c8e6cfad3a1f67b30737dd4756ef8d/rendering/01.xyz", "0.0")</f>
        <v>0.0</v>
      </c>
      <c r="E2336" s="13" t="str">
        <f>HYPERLINK(AC2 &amp; "/pencil/sn_f6c8e6cfad3a1f67b30737dd4756ef8d/rendering/02.xyz", "0.0")</f>
        <v>0.0</v>
      </c>
      <c r="F2336" s="13" t="str">
        <f>HYPERLINK(AC2 &amp; "/pencil/sn_f6c8e6cfad3a1f67b30737dd4756ef8d/rendering/03.xyz", "0.0")</f>
        <v>0.0</v>
      </c>
      <c r="G2336" s="13" t="str">
        <f>HYPERLINK(AC2 &amp; "/pencil/sn_f6c8e6cfad3a1f67b30737dd4756ef8d/rendering/04.xyz", "0.0")</f>
        <v>0.0</v>
      </c>
      <c r="H2336" s="13" t="str">
        <f>HYPERLINK(AC2 &amp; "/pencil/sn_f6c8e6cfad3a1f67b30737dd4756ef8d/rendering/05.xyz", "0.0")</f>
        <v>0.0</v>
      </c>
      <c r="I2336" s="13" t="str">
        <f>HYPERLINK(AC2 &amp; "/pencil/sn_f6c8e6cfad3a1f67b30737dd4756ef8d/rendering/06.xyz", "0.0")</f>
        <v>0.0</v>
      </c>
      <c r="J2336" s="13" t="str">
        <f>HYPERLINK(AC2 &amp; "/pencil/sn_f6c8e6cfad3a1f67b30737dd4756ef8d/rendering/07.xyz", "0.0")</f>
        <v>0.0</v>
      </c>
      <c r="K2336" s="13" t="str">
        <f>HYPERLINK(AC2 &amp; "/pencil/sn_f6c8e6cfad3a1f67b30737dd4756ef8d/rendering/08.xyz", "0.0")</f>
        <v>0.0</v>
      </c>
      <c r="L2336" s="13" t="str">
        <f>HYPERLINK(AC2 &amp; "/pencil/sn_f6c8e6cfad3a1f67b30737dd4756ef8d/rendering/09.xyz", "0.0")</f>
        <v>0.0</v>
      </c>
      <c r="M2336" s="13" t="str">
        <f>HYPERLINK(AC2 &amp; "/pencil/sn_f6c8e6cfad3a1f67b30737dd4756ef8d/rendering/10.xyz", "0.0")</f>
        <v>0.0</v>
      </c>
      <c r="N2336" s="13" t="str">
        <f>HYPERLINK(AC2 &amp; "/pencil/sn_f6c8e6cfad3a1f67b30737dd4756ef8d/rendering/11.xyz", "0.0")</f>
        <v>0.0</v>
      </c>
      <c r="O2336" s="13" t="str">
        <f>HYPERLINK(AC2 &amp; "/pencil/sn_f6c8e6cfad3a1f67b30737dd4756ef8d/rendering/12.xyz", "0.0")</f>
        <v>0.0</v>
      </c>
      <c r="P2336" s="13" t="str">
        <f>HYPERLINK(AC2 &amp; "/pencil/sn_f6c8e6cfad3a1f67b30737dd4756ef8d/rendering/13.xyz", "0.0")</f>
        <v>0.0</v>
      </c>
      <c r="Q2336" s="13" t="str">
        <f>HYPERLINK(AC2 &amp; "/pencil/sn_f6c8e6cfad3a1f67b30737dd4756ef8d/rendering/14.xyz", "0.0")</f>
        <v>0.0</v>
      </c>
      <c r="R2336" s="13" t="str">
        <f>HYPERLINK(AC2 &amp; "/pencil/sn_f6c8e6cfad3a1f67b30737dd4756ef8d/rendering/15.xyz", "0.0")</f>
        <v>0.0</v>
      </c>
      <c r="S2336" s="13" t="str">
        <f>HYPERLINK(AC2 &amp; "/pencil/sn_f6c8e6cfad3a1f67b30737dd4756ef8d/rendering/16.xyz", "0.0")</f>
        <v>0.0</v>
      </c>
      <c r="T2336" s="13" t="str">
        <f>HYPERLINK(AC2 &amp; "/pencil/sn_f6c8e6cfad3a1f67b30737dd4756ef8d/rendering/17.xyz", "0.0")</f>
        <v>0.0</v>
      </c>
      <c r="U2336" s="13" t="str">
        <f>HYPERLINK(AC2 &amp; "/pencil/sn_f6c8e6cfad3a1f67b30737dd4756ef8d/rendering/18.xyz", "0.0")</f>
        <v>0.0</v>
      </c>
      <c r="V2336" s="13" t="str">
        <f>HYPERLINK(AC2 &amp; "/pencil/sn_f6c8e6cfad3a1f67b30737dd4756ef8d/rendering/19.xyz", "0.0")</f>
        <v>0.0</v>
      </c>
      <c r="W2336" s="12" t="s">
        <v>33</v>
      </c>
      <c r="X2336" s="13">
        <v>0</v>
      </c>
      <c r="Y2336" s="13">
        <v>0</v>
      </c>
      <c r="Z2336" s="13">
        <v>0</v>
      </c>
    </row>
    <row r="2337" spans="1:26" x14ac:dyDescent="0.2">
      <c r="A2337" s="1">
        <v>2335</v>
      </c>
      <c r="B2337" s="2" t="s">
        <v>500</v>
      </c>
      <c r="C2337" s="134" t="str">
        <f>HYPERLINK(AA2 &amp; "/pencil/sn_f8ab30574170e878fa2e328741dade59/rendering/00.obj", "5.18098937988")</f>
        <v>5.18098937988</v>
      </c>
      <c r="D2337" s="69" t="str">
        <f>HYPERLINK(AA2 &amp; "/pencil/sn_f8ab30574170e878fa2e328741dade59/rendering/01.obj", "4.26481506348")</f>
        <v>4.26481506348</v>
      </c>
      <c r="E2337" s="47" t="str">
        <f>HYPERLINK(AA2 &amp; "/pencil/sn_f8ab30574170e878fa2e328741dade59/rendering/02.obj", "4.36389892578")</f>
        <v>4.36389892578</v>
      </c>
      <c r="F2337" s="30" t="str">
        <f>HYPERLINK(AA2 &amp; "/pencil/sn_f8ab30574170e878fa2e328741dade59/rendering/03.obj", "4.40830932617")</f>
        <v>4.40830932617</v>
      </c>
      <c r="G2337" s="106" t="str">
        <f>HYPERLINK(AA2 &amp; "/pencil/sn_f8ab30574170e878fa2e328741dade59/rendering/04.obj", "3.89580627441")</f>
        <v>3.89580627441</v>
      </c>
      <c r="H2337" s="73" t="str">
        <f>HYPERLINK(AA2 &amp; "/pencil/sn_f8ab30574170e878fa2e328741dade59/rendering/05.obj", "4.55347076416")</f>
        <v>4.55347076416</v>
      </c>
      <c r="I2337" s="175" t="str">
        <f>HYPERLINK(AA2 &amp; "/pencil/sn_f8ab30574170e878fa2e328741dade59/rendering/06.obj", "5.42401123047")</f>
        <v>5.42401123047</v>
      </c>
      <c r="J2337" s="97" t="str">
        <f>HYPERLINK(AA2 &amp; "/pencil/sn_f8ab30574170e878fa2e328741dade59/rendering/07.obj", "6.29451599121")</f>
        <v>6.29451599121</v>
      </c>
      <c r="K2337" s="6" t="str">
        <f>HYPERLINK(AA2 &amp; "/pencil/sn_f8ab30574170e878fa2e328741dade59/rendering/08.obj", "4.59652709961")</f>
        <v>4.59652709961</v>
      </c>
      <c r="L2337" s="67" t="str">
        <f>HYPERLINK(AA2 &amp; "/pencil/sn_f8ab30574170e878fa2e328741dade59/rendering/09.obj", "3.98768493652")</f>
        <v>3.98768493652</v>
      </c>
      <c r="M2337" s="92" t="str">
        <f>HYPERLINK(AA2 &amp; "/pencil/sn_f8ab30574170e878fa2e328741dade59/rendering/10.obj", "3.8479888916")</f>
        <v>3.8479888916</v>
      </c>
      <c r="N2337" s="91" t="str">
        <f>HYPERLINK(AA2 &amp; "/pencil/sn_f8ab30574170e878fa2e328741dade59/rendering/11.obj", "4.27024658203")</f>
        <v>4.27024658203</v>
      </c>
      <c r="O2337" s="78" t="str">
        <f>HYPERLINK(AA2 &amp; "/pencil/sn_f8ab30574170e878fa2e328741dade59/rendering/12.obj", "4.65553100586")</f>
        <v>4.65553100586</v>
      </c>
      <c r="P2337" s="91" t="str">
        <f>HYPERLINK(AA2 &amp; "/pencil/sn_f8ab30574170e878fa2e328741dade59/rendering/13.obj", "4.26871765137")</f>
        <v>4.26871765137</v>
      </c>
      <c r="Q2337" s="51" t="str">
        <f>HYPERLINK(AA2 &amp; "/pencil/sn_f8ab30574170e878fa2e328741dade59/rendering/14.obj", "4.74085845947")</f>
        <v>4.74085845947</v>
      </c>
      <c r="R2337" s="107" t="str">
        <f>HYPERLINK(AA2 &amp; "/pencil/sn_f8ab30574170e878fa2e328741dade59/rendering/15.obj", "4.02246307373")</f>
        <v>4.02246307373</v>
      </c>
      <c r="S2337" s="109" t="str">
        <f>HYPERLINK(AA2 &amp; "/pencil/sn_f8ab30574170e878fa2e328741dade59/rendering/16.obj", "3.55528320313")</f>
        <v>3.55528320313</v>
      </c>
      <c r="T2337" s="46" t="str">
        <f>HYPERLINK(AA2 &amp; "/pencil/sn_f8ab30574170e878fa2e328741dade59/rendering/17.obj", "4.32147796631")</f>
        <v>4.32147796631</v>
      </c>
      <c r="U2337" s="63" t="str">
        <f>HYPERLINK(AA2 &amp; "/pencil/sn_f8ab30574170e878fa2e328741dade59/rendering/18.obj", "3.86145111084")</f>
        <v>3.86145111084</v>
      </c>
      <c r="V2337" s="59" t="str">
        <f>HYPERLINK(AA2 &amp; "/pencil/sn_f8ab30574170e878fa2e328741dade59/rendering/19.obj", "3.34000915527")</f>
        <v>3.34000915527</v>
      </c>
      <c r="W2337" s="12" t="s">
        <v>29</v>
      </c>
      <c r="X2337" s="13">
        <v>4.3927028045654293</v>
      </c>
      <c r="Y2337" s="13">
        <v>0.65379038799484146</v>
      </c>
      <c r="Z2337" s="80">
        <v>0.1488355614031851</v>
      </c>
    </row>
    <row r="2338" spans="1:26" x14ac:dyDescent="0.2">
      <c r="A2338" s="1">
        <v>2336</v>
      </c>
      <c r="B2338" s="2" t="s">
        <v>500</v>
      </c>
      <c r="C2338" s="22" t="str">
        <f>HYPERLINK(AA2 &amp; "/pencil/sn_f8ab30574170e878fa2e328741dade59/rendering/00.obj", "2.23814034462")</f>
        <v>2.23814034462</v>
      </c>
      <c r="D2338" s="118" t="str">
        <f>HYPERLINK(AA2 &amp; "/pencil/sn_f8ab30574170e878fa2e328741dade59/rendering/01.obj", "1.90076124668")</f>
        <v>1.90076124668</v>
      </c>
      <c r="E2338" s="158" t="str">
        <f>HYPERLINK(AA2 &amp; "/pencil/sn_f8ab30574170e878fa2e328741dade59/rendering/02.obj", "0.869863450527")</f>
        <v>0.869863450527</v>
      </c>
      <c r="F2338" s="192" t="str">
        <f>HYPERLINK(AA2 &amp; "/pencil/sn_f8ab30574170e878fa2e328741dade59/rendering/03.obj", "0.921354591846")</f>
        <v>0.921354591846</v>
      </c>
      <c r="G2338" s="28" t="str">
        <f>HYPERLINK(AA2 &amp; "/pencil/sn_f8ab30574170e878fa2e328741dade59/rendering/04.obj", "1.30647730827")</f>
        <v>1.30647730827</v>
      </c>
      <c r="H2338" s="100" t="str">
        <f>HYPERLINK(AA2 &amp; "/pencil/sn_f8ab30574170e878fa2e328741dade59/rendering/05.obj", "1.03036105633")</f>
        <v>1.03036105633</v>
      </c>
      <c r="I2338" s="70" t="str">
        <f>HYPERLINK(AA2 &amp; "/pencil/sn_f8ab30574170e878fa2e328741dade59/rendering/06.obj", "1.6559022665")</f>
        <v>1.6559022665</v>
      </c>
      <c r="J2338" s="20" t="str">
        <f>HYPERLINK(AA2 &amp; "/pencil/sn_f8ab30574170e878fa2e328741dade59/rendering/07.obj", "4.31975698471")</f>
        <v>4.31975698471</v>
      </c>
      <c r="K2338" s="96" t="str">
        <f>HYPERLINK(AA2 &amp; "/pencil/sn_f8ab30574170e878fa2e328741dade59/rendering/08.obj", "2.00041246414")</f>
        <v>2.00041246414</v>
      </c>
      <c r="L2338" s="121" t="str">
        <f>HYPERLINK(AA2 &amp; "/pencil/sn_f8ab30574170e878fa2e328741dade59/rendering/09.obj", "0.950496077538")</f>
        <v>0.950496077538</v>
      </c>
      <c r="M2338" s="37" t="str">
        <f>HYPERLINK(AA2 &amp; "/pencil/sn_f8ab30574170e878fa2e328741dade59/rendering/10.obj", "1.21523427963")</f>
        <v>1.21523427963</v>
      </c>
      <c r="N2338" s="135" t="str">
        <f>HYPERLINK(AA2 &amp; "/pencil/sn_f8ab30574170e878fa2e328741dade59/rendering/11.obj", "1.84592700005")</f>
        <v>1.84592700005</v>
      </c>
      <c r="O2338" s="81" t="str">
        <f>HYPERLINK(AA2 &amp; "/pencil/sn_f8ab30574170e878fa2e328741dade59/rendering/12.obj", "1.14786720276")</f>
        <v>1.14786720276</v>
      </c>
      <c r="P2338" s="59" t="str">
        <f>HYPERLINK(AA2 &amp; "/pencil/sn_f8ab30574170e878fa2e328741dade59/rendering/13.obj", "1.11767435074")</f>
        <v>1.11767435074</v>
      </c>
      <c r="Q2338" s="59" t="str">
        <f>HYPERLINK(AA2 &amp; "/pencil/sn_f8ab30574170e878fa2e328741dade59/rendering/14.obj", "1.82050681114")</f>
        <v>1.82050681114</v>
      </c>
      <c r="R2338" s="53" t="str">
        <f>HYPERLINK(AA2 &amp; "/pencil/sn_f8ab30574170e878fa2e328741dade59/rendering/15.obj", "0.865097403526")</f>
        <v>0.865097403526</v>
      </c>
      <c r="S2338" s="101" t="str">
        <f>HYPERLINK(AA2 &amp; "/pencil/sn_f8ab30574170e878fa2e328741dade59/rendering/16.obj", "0.911382317543")</f>
        <v>0.911382317543</v>
      </c>
      <c r="T2338" s="30" t="str">
        <f>HYPERLINK(AA2 &amp; "/pencil/sn_f8ab30574170e878fa2e328741dade59/rendering/17.obj", "1.46027374268")</f>
        <v>1.46027374268</v>
      </c>
      <c r="U2338" s="139" t="str">
        <f>HYPERLINK(AA2 &amp; "/pencil/sn_f8ab30574170e878fa2e328741dade59/rendering/18.obj", "0.763285577297")</f>
        <v>0.763285577297</v>
      </c>
      <c r="V2338" s="118" t="str">
        <f>HYPERLINK(AA2 &amp; "/pencil/sn_f8ab30574170e878fa2e328741dade59/rendering/19.obj", "1.03994619846")</f>
        <v>1.03994619846</v>
      </c>
      <c r="W2338" s="12" t="s">
        <v>30</v>
      </c>
      <c r="X2338" s="13">
        <v>1.46903603374958</v>
      </c>
      <c r="Y2338" s="13">
        <v>0.7836804783850897</v>
      </c>
      <c r="Z2338" s="177">
        <v>0.53346579687689266</v>
      </c>
    </row>
    <row r="2339" spans="1:26" x14ac:dyDescent="0.2">
      <c r="A2339" s="1">
        <v>2337</v>
      </c>
      <c r="B2339" s="2" t="s">
        <v>500</v>
      </c>
      <c r="C2339" s="46" t="str">
        <f>HYPERLINK(AB2 &amp; "/pencil/sn_f8ab30574170e878fa2e328741dade59/rendering/00.obj", "3.67664428711")</f>
        <v>3.67664428711</v>
      </c>
      <c r="D2339" s="84" t="str">
        <f>HYPERLINK(AB2 &amp; "/pencil/sn_f8ab30574170e878fa2e328741dade59/rendering/01.obj", "3.19567993164")</f>
        <v>3.19567993164</v>
      </c>
      <c r="E2339" s="23" t="str">
        <f>HYPERLINK(AB2 &amp; "/pencil/sn_f8ab30574170e878fa2e328741dade59/rendering/02.obj", "3.88154846191")</f>
        <v>3.88154846191</v>
      </c>
      <c r="F2339" s="67" t="str">
        <f>HYPERLINK(AB2 &amp; "/pencil/sn_f8ab30574170e878fa2e328741dade59/rendering/03.obj", "4.08213562012")</f>
        <v>4.08213562012</v>
      </c>
      <c r="G2339" s="29" t="str">
        <f>HYPERLINK(AB2 &amp; "/pencil/sn_f8ab30574170e878fa2e328741dade59/rendering/04.obj", "4.2221105957")</f>
        <v>4.2221105957</v>
      </c>
      <c r="H2339" s="13" t="str">
        <f>HYPERLINK(AB2 &amp; "/pencil/sn_f8ab30574170e878fa2e328741dade59/rendering/05.obj", "3.74491210937")</f>
        <v>3.74491210937</v>
      </c>
      <c r="I2339" s="38" t="str">
        <f>HYPERLINK(AB2 &amp; "/pencil/sn_f8ab30574170e878fa2e328741dade59/rendering/06.obj", "4.07519256592")</f>
        <v>4.07519256592</v>
      </c>
      <c r="J2339" s="25" t="str">
        <f>HYPERLINK(AB2 &amp; "/pencil/sn_f8ab30574170e878fa2e328741dade59/rendering/07.obj", "3.70075714111")</f>
        <v>3.70075714111</v>
      </c>
      <c r="K2339" s="83" t="str">
        <f>HYPERLINK(AB2 &amp; "/pencil/sn_f8ab30574170e878fa2e328741dade59/rendering/08.obj", "3.16906463623")</f>
        <v>3.16906463623</v>
      </c>
      <c r="L2339" s="72" t="str">
        <f>HYPERLINK(AB2 &amp; "/pencil/sn_f8ab30574170e878fa2e328741dade59/rendering/09.obj", "3.61007751465")</f>
        <v>3.61007751465</v>
      </c>
      <c r="M2339" s="106" t="str">
        <f>HYPERLINK(AB2 &amp; "/pencil/sn_f8ab30574170e878fa2e328741dade59/rendering/10.obj", "4.16938415527")</f>
        <v>4.16938415527</v>
      </c>
      <c r="N2339" s="67" t="str">
        <f>HYPERLINK(AB2 &amp; "/pencil/sn_f8ab30574170e878fa2e328741dade59/rendering/11.obj", "4.08441253662")</f>
        <v>4.08441253662</v>
      </c>
      <c r="O2339" s="67" t="str">
        <f>HYPERLINK(AB2 &amp; "/pencil/sn_f8ab30574170e878fa2e328741dade59/rendering/12.obj", "3.39116149902")</f>
        <v>3.39116149902</v>
      </c>
      <c r="P2339" s="41" t="str">
        <f>HYPERLINK(AB2 &amp; "/pencil/sn_f8ab30574170e878fa2e328741dade59/rendering/13.obj", "3.48765838623")</f>
        <v>3.48765838623</v>
      </c>
      <c r="Q2339" s="38" t="str">
        <f>HYPERLINK(AB2 &amp; "/pencil/sn_f8ab30574170e878fa2e328741dade59/rendering/14.obj", "4.07116760254")</f>
        <v>4.07116760254</v>
      </c>
      <c r="R2339" s="48" t="str">
        <f>HYPERLINK(AB2 &amp; "/pencil/sn_f8ab30574170e878fa2e328741dade59/rendering/15.obj", "3.64527770996")</f>
        <v>3.64527770996</v>
      </c>
      <c r="S2339" s="26" t="str">
        <f>HYPERLINK(AB2 &amp; "/pencil/sn_f8ab30574170e878fa2e328741dade59/rendering/16.obj", "3.49685821533")</f>
        <v>3.49685821533</v>
      </c>
      <c r="T2339" s="110" t="str">
        <f>HYPERLINK(AB2 &amp; "/pencil/sn_f8ab30574170e878fa2e328741dade59/rendering/17.obj", "3.36700744629")</f>
        <v>3.36700744629</v>
      </c>
      <c r="U2339" s="71" t="str">
        <f>HYPERLINK(AB2 &amp; "/pencil/sn_f8ab30574170e878fa2e328741dade59/rendering/18.obj", "4.17747131348")</f>
        <v>4.17747131348</v>
      </c>
      <c r="V2339" s="26" t="str">
        <f>HYPERLINK(AB2 &amp; "/pencil/sn_f8ab30574170e878fa2e328741dade59/rendering/19.obj", "3.4938494873")</f>
        <v>3.4938494873</v>
      </c>
      <c r="W2339" s="12" t="s">
        <v>31</v>
      </c>
      <c r="X2339" s="13">
        <v>3.737118560791016</v>
      </c>
      <c r="Y2339" s="13">
        <v>0.33042647162926359</v>
      </c>
      <c r="Z2339" s="38">
        <v>8.84174441496242E-2</v>
      </c>
    </row>
    <row r="2340" spans="1:26" x14ac:dyDescent="0.2">
      <c r="A2340" s="1">
        <v>2338</v>
      </c>
      <c r="B2340" s="2" t="s">
        <v>500</v>
      </c>
      <c r="C2340" s="13" t="str">
        <f>HYPERLINK(AB2 &amp; "/pencil/sn_f8ab30574170e878fa2e328741dade59/rendering/00.obj", "1.01254165173")</f>
        <v>1.01254165173</v>
      </c>
      <c r="D2340" s="51" t="str">
        <f>HYPERLINK(AB2 &amp; "/pencil/sn_f8ab30574170e878fa2e328741dade59/rendering/01.obj", "0.927866280079")</f>
        <v>0.927866280079</v>
      </c>
      <c r="E2340" s="117" t="str">
        <f>HYPERLINK(AB2 &amp; "/pencil/sn_f8ab30574170e878fa2e328741dade59/rendering/02.obj", "0.831396639347")</f>
        <v>0.831396639347</v>
      </c>
      <c r="F2340" s="5" t="str">
        <f>HYPERLINK(AB2 &amp; "/pencil/sn_f8ab30574170e878fa2e328741dade59/rendering/03.obj", "1.08740115166")</f>
        <v>1.08740115166</v>
      </c>
      <c r="G2340" s="80" t="str">
        <f>HYPERLINK(AB2 &amp; "/pencil/sn_f8ab30574170e878fa2e328741dade59/rendering/04.obj", "0.860253036022")</f>
        <v>0.860253036022</v>
      </c>
      <c r="H2340" s="82" t="str">
        <f>HYPERLINK(AB2 &amp; "/pencil/sn_f8ab30574170e878fa2e328741dade59/rendering/05.obj", "0.802596032619")</f>
        <v>0.802596032619</v>
      </c>
      <c r="I2340" s="47" t="str">
        <f>HYPERLINK(AB2 &amp; "/pencil/sn_f8ab30574170e878fa2e328741dade59/rendering/06.obj", "1.00133466721")</f>
        <v>1.00133466721</v>
      </c>
      <c r="J2340" s="46" t="str">
        <f>HYPERLINK(AB2 &amp; "/pencil/sn_f8ab30574170e878fa2e328741dade59/rendering/07.obj", "1.02754878998")</f>
        <v>1.02754878998</v>
      </c>
      <c r="K2340" s="50" t="str">
        <f>HYPERLINK(AB2 &amp; "/pencil/sn_f8ab30574170e878fa2e328741dade59/rendering/08.obj", "0.810102283955")</f>
        <v>0.810102283955</v>
      </c>
      <c r="L2340" s="149" t="str">
        <f>HYPERLINK(AB2 &amp; "/pencil/sn_f8ab30574170e878fa2e328741dade59/rendering/09.obj", "0.662348985672")</f>
        <v>0.662348985672</v>
      </c>
      <c r="M2340" s="139" t="str">
        <f>HYPERLINK(AB2 &amp; "/pencil/sn_f8ab30574170e878fa2e328741dade59/rendering/10.obj", "1.49769461155")</f>
        <v>1.49769461155</v>
      </c>
      <c r="N2340" s="126" t="str">
        <f>HYPERLINK(AB2 &amp; "/pencil/sn_f8ab30574170e878fa2e328741dade59/rendering/11.obj", "1.51359677315")</f>
        <v>1.51359677315</v>
      </c>
      <c r="O2340" s="17" t="str">
        <f>HYPERLINK(AB2 &amp; "/pencil/sn_f8ab30574170e878fa2e328741dade59/rendering/12.obj", "0.989210367203")</f>
        <v>0.989210367203</v>
      </c>
      <c r="P2340" s="82" t="str">
        <f>HYPERLINK(AB2 &amp; "/pencil/sn_f8ab30574170e878fa2e328741dade59/rendering/13.obj", "0.80370849371")</f>
        <v>0.80370849371</v>
      </c>
      <c r="Q2340" s="195" t="str">
        <f>HYPERLINK(AB2 &amp; "/pencil/sn_f8ab30574170e878fa2e328741dade59/rendering/14.obj", "1.56296730042")</f>
        <v>1.56296730042</v>
      </c>
      <c r="R2340" s="29" t="str">
        <f>HYPERLINK(AB2 &amp; "/pencil/sn_f8ab30574170e878fa2e328741dade59/rendering/15.obj", "0.878008544445")</f>
        <v>0.878008544445</v>
      </c>
      <c r="S2340" s="38" t="str">
        <f>HYPERLINK(AB2 &amp; "/pencil/sn_f8ab30574170e878fa2e328741dade59/rendering/16.obj", "0.918885946274")</f>
        <v>0.918885946274</v>
      </c>
      <c r="T2340" s="88" t="str">
        <f>HYPERLINK(AB2 &amp; "/pencil/sn_f8ab30574170e878fa2e328741dade59/rendering/17.obj", "0.804693818092")</f>
        <v>0.804693818092</v>
      </c>
      <c r="U2340" s="182" t="str">
        <f>HYPERLINK(AB2 &amp; "/pencil/sn_f8ab30574170e878fa2e328741dade59/rendering/18.obj", "1.34828066826")</f>
        <v>1.34828066826</v>
      </c>
      <c r="V2340" s="83" t="str">
        <f>HYPERLINK(AB2 &amp; "/pencil/sn_f8ab30574170e878fa2e328741dade59/rendering/19.obj", "0.856458365917")</f>
        <v>0.856458365917</v>
      </c>
      <c r="W2340" s="12" t="s">
        <v>32</v>
      </c>
      <c r="X2340" s="13">
        <v>1.0098447203636169</v>
      </c>
      <c r="Y2340" s="13">
        <v>0.25665014291330662</v>
      </c>
      <c r="Z2340" s="135">
        <v>0.25414812568500039</v>
      </c>
    </row>
    <row r="2341" spans="1:26" x14ac:dyDescent="0.2">
      <c r="A2341" s="1">
        <v>2339</v>
      </c>
      <c r="B2341" s="2" t="s">
        <v>500</v>
      </c>
      <c r="C2341" s="13" t="str">
        <f>HYPERLINK(AC2 &amp; "/pencil/sn_f8ab30574170e878fa2e328741dade59/rendering/00.xyz", "0.0")</f>
        <v>0.0</v>
      </c>
      <c r="D2341" s="13" t="str">
        <f>HYPERLINK(AC2 &amp; "/pencil/sn_f8ab30574170e878fa2e328741dade59/rendering/01.xyz", "0.0")</f>
        <v>0.0</v>
      </c>
      <c r="E2341" s="13" t="str">
        <f>HYPERLINK(AC2 &amp; "/pencil/sn_f8ab30574170e878fa2e328741dade59/rendering/02.xyz", "0.0")</f>
        <v>0.0</v>
      </c>
      <c r="F2341" s="13" t="str">
        <f>HYPERLINK(AC2 &amp; "/pencil/sn_f8ab30574170e878fa2e328741dade59/rendering/03.xyz", "0.0")</f>
        <v>0.0</v>
      </c>
      <c r="G2341" s="13" t="str">
        <f>HYPERLINK(AC2 &amp; "/pencil/sn_f8ab30574170e878fa2e328741dade59/rendering/04.xyz", "0.0")</f>
        <v>0.0</v>
      </c>
      <c r="H2341" s="13" t="str">
        <f>HYPERLINK(AC2 &amp; "/pencil/sn_f8ab30574170e878fa2e328741dade59/rendering/05.xyz", "0.0")</f>
        <v>0.0</v>
      </c>
      <c r="I2341" s="13" t="str">
        <f>HYPERLINK(AC2 &amp; "/pencil/sn_f8ab30574170e878fa2e328741dade59/rendering/06.xyz", "0.0")</f>
        <v>0.0</v>
      </c>
      <c r="J2341" s="13" t="str">
        <f>HYPERLINK(AC2 &amp; "/pencil/sn_f8ab30574170e878fa2e328741dade59/rendering/07.xyz", "0.0")</f>
        <v>0.0</v>
      </c>
      <c r="K2341" s="13" t="str">
        <f>HYPERLINK(AC2 &amp; "/pencil/sn_f8ab30574170e878fa2e328741dade59/rendering/08.xyz", "0.0")</f>
        <v>0.0</v>
      </c>
      <c r="L2341" s="13" t="str">
        <f>HYPERLINK(AC2 &amp; "/pencil/sn_f8ab30574170e878fa2e328741dade59/rendering/09.xyz", "0.0")</f>
        <v>0.0</v>
      </c>
      <c r="M2341" s="13" t="str">
        <f>HYPERLINK(AC2 &amp; "/pencil/sn_f8ab30574170e878fa2e328741dade59/rendering/10.xyz", "0.0")</f>
        <v>0.0</v>
      </c>
      <c r="N2341" s="13" t="str">
        <f>HYPERLINK(AC2 &amp; "/pencil/sn_f8ab30574170e878fa2e328741dade59/rendering/11.xyz", "0.0")</f>
        <v>0.0</v>
      </c>
      <c r="O2341" s="13" t="str">
        <f>HYPERLINK(AC2 &amp; "/pencil/sn_f8ab30574170e878fa2e328741dade59/rendering/12.xyz", "0.0")</f>
        <v>0.0</v>
      </c>
      <c r="P2341" s="13" t="str">
        <f>HYPERLINK(AC2 &amp; "/pencil/sn_f8ab30574170e878fa2e328741dade59/rendering/13.xyz", "0.0")</f>
        <v>0.0</v>
      </c>
      <c r="Q2341" s="13" t="str">
        <f>HYPERLINK(AC2 &amp; "/pencil/sn_f8ab30574170e878fa2e328741dade59/rendering/14.xyz", "0.0")</f>
        <v>0.0</v>
      </c>
      <c r="R2341" s="13" t="str">
        <f>HYPERLINK(AC2 &amp; "/pencil/sn_f8ab30574170e878fa2e328741dade59/rendering/15.xyz", "0.0")</f>
        <v>0.0</v>
      </c>
      <c r="S2341" s="13" t="str">
        <f>HYPERLINK(AC2 &amp; "/pencil/sn_f8ab30574170e878fa2e328741dade59/rendering/16.xyz", "0.0")</f>
        <v>0.0</v>
      </c>
      <c r="T2341" s="13" t="str">
        <f>HYPERLINK(AC2 &amp; "/pencil/sn_f8ab30574170e878fa2e328741dade59/rendering/17.xyz", "0.0")</f>
        <v>0.0</v>
      </c>
      <c r="U2341" s="13" t="str">
        <f>HYPERLINK(AC2 &amp; "/pencil/sn_f8ab30574170e878fa2e328741dade59/rendering/18.xyz", "0.0")</f>
        <v>0.0</v>
      </c>
      <c r="V2341" s="13" t="str">
        <f>HYPERLINK(AC2 &amp; "/pencil/sn_f8ab30574170e878fa2e328741dade59/rendering/19.xyz", "0.0")</f>
        <v>0.0</v>
      </c>
      <c r="W2341" s="12" t="s">
        <v>33</v>
      </c>
      <c r="X2341" s="13">
        <v>0</v>
      </c>
      <c r="Y2341" s="13">
        <v>0</v>
      </c>
      <c r="Z2341" s="13">
        <v>0</v>
      </c>
    </row>
    <row r="2342" spans="1:26" x14ac:dyDescent="0.2">
      <c r="A2342" s="1">
        <v>2340</v>
      </c>
      <c r="B2342" s="2" t="s">
        <v>501</v>
      </c>
      <c r="C2342" s="26" t="str">
        <f>HYPERLINK(AA2 &amp; "/pencil/sn_f8ff6608ff4fbd76c9814f4b5433acb4/rendering/00.obj", "3.38508575439")</f>
        <v>3.38508575439</v>
      </c>
      <c r="D2342" s="25" t="str">
        <f>HYPERLINK(AA2 &amp; "/pencil/sn_f8ff6608ff4fbd76c9814f4b5433acb4/rendering/01.obj", "3.66436553955")</f>
        <v>3.66436553955</v>
      </c>
      <c r="E2342" s="30" t="str">
        <f>HYPERLINK(AA2 &amp; "/pencil/sn_f8ff6608ff4fbd76c9814f4b5433acb4/rendering/02.obj", "3.60420288086")</f>
        <v>3.60420288086</v>
      </c>
      <c r="F2342" s="73" t="str">
        <f>HYPERLINK(AA2 &amp; "/pencil/sn_f8ff6608ff4fbd76c9814f4b5433acb4/rendering/03.obj", "3.74666687012")</f>
        <v>3.74666687012</v>
      </c>
      <c r="G2342" s="35" t="str">
        <f>HYPERLINK(AA2 &amp; "/pencil/sn_f8ff6608ff4fbd76c9814f4b5433acb4/rendering/04.obj", "3.82760314941")</f>
        <v>3.82760314941</v>
      </c>
      <c r="H2342" s="72" t="str">
        <f>HYPERLINK(AA2 &amp; "/pencil/sn_f8ff6608ff4fbd76c9814f4b5433acb4/rendering/05.obj", "3.73759246826")</f>
        <v>3.73759246826</v>
      </c>
      <c r="I2342" s="74" t="str">
        <f>HYPERLINK(AA2 &amp; "/pencil/sn_f8ff6608ff4fbd76c9814f4b5433acb4/rendering/06.obj", "3.67308135986")</f>
        <v>3.67308135986</v>
      </c>
      <c r="J2342" s="17" t="str">
        <f>HYPERLINK(AA2 &amp; "/pencil/sn_f8ff6608ff4fbd76c9814f4b5433acb4/rendering/07.obj", "3.54561096191")</f>
        <v>3.54561096191</v>
      </c>
      <c r="K2342" s="38" t="str">
        <f>HYPERLINK(AA2 &amp; "/pencil/sn_f8ff6608ff4fbd76c9814f4b5433acb4/rendering/08.obj", "3.94340759277")</f>
        <v>3.94340759277</v>
      </c>
      <c r="L2342" s="46" t="str">
        <f>HYPERLINK(AA2 &amp; "/pencil/sn_f8ff6608ff4fbd76c9814f4b5433acb4/rendering/09.obj", "3.55611572266")</f>
        <v>3.55611572266</v>
      </c>
      <c r="M2342" s="46" t="str">
        <f>HYPERLINK(AA2 &amp; "/pencil/sn_f8ff6608ff4fbd76c9814f4b5433acb4/rendering/10.obj", "3.55172668457")</f>
        <v>3.55172668457</v>
      </c>
      <c r="N2342" s="35" t="str">
        <f>HYPERLINK(AA2 &amp; "/pencil/sn_f8ff6608ff4fbd76c9814f4b5433acb4/rendering/11.obj", "3.40582641602")</f>
        <v>3.40582641602</v>
      </c>
      <c r="O2342" s="30" t="str">
        <f>HYPERLINK(AA2 &amp; "/pencil/sn_f8ff6608ff4fbd76c9814f4b5433acb4/rendering/12.obj", "3.6077822876")</f>
        <v>3.6077822876</v>
      </c>
      <c r="P2342" s="17" t="str">
        <f>HYPERLINK(AA2 &amp; "/pencil/sn_f8ff6608ff4fbd76c9814f4b5433acb4/rendering/13.obj", "3.55044525146")</f>
        <v>3.55044525146</v>
      </c>
      <c r="Q2342" s="73" t="str">
        <f>HYPERLINK(AA2 &amp; "/pencil/sn_f8ff6608ff4fbd76c9814f4b5433acb4/rendering/14.obj", "3.48660644531")</f>
        <v>3.48660644531</v>
      </c>
      <c r="R2342" s="73" t="str">
        <f>HYPERLINK(AA2 &amp; "/pencil/sn_f8ff6608ff4fbd76c9814f4b5433acb4/rendering/15.obj", "3.74860595703")</f>
        <v>3.74860595703</v>
      </c>
      <c r="S2342" s="35" t="str">
        <f>HYPERLINK(AA2 &amp; "/pencil/sn_f8ff6608ff4fbd76c9814f4b5433acb4/rendering/16.obj", "3.41242614746")</f>
        <v>3.41242614746</v>
      </c>
      <c r="T2342" s="72" t="str">
        <f>HYPERLINK(AA2 &amp; "/pencil/sn_f8ff6608ff4fbd76c9814f4b5433acb4/rendering/17.obj", "3.50507507324")</f>
        <v>3.50507507324</v>
      </c>
      <c r="U2342" s="94" t="str">
        <f>HYPERLINK(AA2 &amp; "/pencil/sn_f8ff6608ff4fbd76c9814f4b5433acb4/rendering/18.obj", "3.88460235596")</f>
        <v>3.88460235596</v>
      </c>
      <c r="V2342" s="17" t="str">
        <f>HYPERLINK(AA2 &amp; "/pencil/sn_f8ff6608ff4fbd76c9814f4b5433acb4/rendering/19.obj", "3.54841674805")</f>
        <v>3.54841674805</v>
      </c>
      <c r="W2342" s="12" t="s">
        <v>29</v>
      </c>
      <c r="X2342" s="13">
        <v>3.6192622833251948</v>
      </c>
      <c r="Y2342" s="13">
        <v>0.15308061632580119</v>
      </c>
      <c r="Z2342" s="68">
        <v>4.2296082555574967E-2</v>
      </c>
    </row>
    <row r="2343" spans="1:26" x14ac:dyDescent="0.2">
      <c r="A2343" s="1">
        <v>2341</v>
      </c>
      <c r="B2343" s="2" t="s">
        <v>501</v>
      </c>
      <c r="C2343" s="48" t="str">
        <f>HYPERLINK(AA2 &amp; "/pencil/sn_f8ff6608ff4fbd76c9814f4b5433acb4/rendering/00.obj", "1.60867989063")</f>
        <v>1.60867989063</v>
      </c>
      <c r="D2343" s="35" t="str">
        <f>HYPERLINK(AA2 &amp; "/pencil/sn_f8ff6608ff4fbd76c9814f4b5433acb4/rendering/01.obj", "1.54972243309")</f>
        <v>1.54972243309</v>
      </c>
      <c r="E2343" s="13" t="str">
        <f>HYPERLINK(AA2 &amp; "/pencil/sn_f8ff6608ff4fbd76c9814f4b5433acb4/rendering/02.obj", "1.64422333241")</f>
        <v>1.64422333241</v>
      </c>
      <c r="F2343" s="48" t="str">
        <f>HYPERLINK(AA2 &amp; "/pencil/sn_f8ff6608ff4fbd76c9814f4b5433acb4/rendering/03.obj", "1.6856610775")</f>
        <v>1.6856610775</v>
      </c>
      <c r="G2343" s="91" t="str">
        <f>HYPERLINK(AA2 &amp; "/pencil/sn_f8ff6608ff4fbd76c9814f4b5433acb4/rendering/04.obj", "1.60007739067")</f>
        <v>1.60007739067</v>
      </c>
      <c r="H2343" s="26" t="str">
        <f>HYPERLINK(AA2 &amp; "/pencil/sn_f8ff6608ff4fbd76c9814f4b5433acb4/rendering/05.obj", "1.53841400146")</f>
        <v>1.53841400146</v>
      </c>
      <c r="I2343" s="17" t="str">
        <f>HYPERLINK(AA2 &amp; "/pencil/sn_f8ff6608ff4fbd76c9814f4b5433acb4/rendering/06.obj", "1.6150611639")</f>
        <v>1.6150611639</v>
      </c>
      <c r="J2343" s="47" t="str">
        <f>HYPERLINK(AA2 &amp; "/pencil/sn_f8ff6608ff4fbd76c9814f4b5433acb4/rendering/07.obj", "1.65831840038")</f>
        <v>1.65831840038</v>
      </c>
      <c r="K2343" s="67" t="str">
        <f>HYPERLINK(AA2 &amp; "/pencil/sn_f8ff6608ff4fbd76c9814f4b5433acb4/rendering/08.obj", "1.79829883575")</f>
        <v>1.79829883575</v>
      </c>
      <c r="L2343" s="23" t="str">
        <f>HYPERLINK(AA2 &amp; "/pencil/sn_f8ff6608ff4fbd76c9814f4b5433acb4/rendering/09.obj", "1.58136200905")</f>
        <v>1.58136200905</v>
      </c>
      <c r="M2343" s="13" t="str">
        <f>HYPERLINK(AA2 &amp; "/pencil/sn_f8ff6608ff4fbd76c9814f4b5433acb4/rendering/10.obj", "1.6470066309")</f>
        <v>1.6470066309</v>
      </c>
      <c r="N2343" s="73" t="str">
        <f>HYPERLINK(AA2 &amp; "/pencil/sn_f8ff6608ff4fbd76c9814f4b5433acb4/rendering/11.obj", "1.58642375469")</f>
        <v>1.58642375469</v>
      </c>
      <c r="O2343" s="27" t="str">
        <f>HYPERLINK(AA2 &amp; "/pencil/sn_f8ff6608ff4fbd76c9814f4b5433acb4/rendering/12.obj", "1.53010773659")</f>
        <v>1.53010773659</v>
      </c>
      <c r="P2343" s="30" t="str">
        <f>HYPERLINK(AA2 &amp; "/pencil/sn_f8ff6608ff4fbd76c9814f4b5433acb4/rendering/13.obj", "1.64059066772")</f>
        <v>1.64059066772</v>
      </c>
      <c r="Q2343" s="13" t="str">
        <f>HYPERLINK(AA2 &amp; "/pencil/sn_f8ff6608ff4fbd76c9814f4b5433acb4/rendering/14.obj", "1.64871227741")</f>
        <v>1.64871227741</v>
      </c>
      <c r="R2343" s="17" t="str">
        <f>HYPERLINK(AA2 &amp; "/pencil/sn_f8ff6608ff4fbd76c9814f4b5433acb4/rendering/15.obj", "1.67906975746")</f>
        <v>1.67906975746</v>
      </c>
      <c r="S2343" s="27" t="str">
        <f>HYPERLINK(AA2 &amp; "/pencil/sn_f8ff6608ff4fbd76c9814f4b5433acb4/rendering/16.obj", "1.5301399231")</f>
        <v>1.5301399231</v>
      </c>
      <c r="T2343" s="74" t="str">
        <f>HYPERLINK(AA2 &amp; "/pencil/sn_f8ff6608ff4fbd76c9814f4b5433acb4/rendering/17.obj", "1.67197465897")</f>
        <v>1.67197465897</v>
      </c>
      <c r="U2343" s="88" t="str">
        <f>HYPERLINK(AA2 &amp; "/pencil/sn_f8ff6608ff4fbd76c9814f4b5433acb4/rendering/18.obj", "1.98020982742")</f>
        <v>1.98020982742</v>
      </c>
      <c r="V2343" s="60" t="str">
        <f>HYPERLINK(AA2 &amp; "/pencil/sn_f8ff6608ff4fbd76c9814f4b5433acb4/rendering/19.obj", "1.73300659657")</f>
        <v>1.73300659657</v>
      </c>
      <c r="W2343" s="12" t="s">
        <v>30</v>
      </c>
      <c r="X2343" s="13">
        <v>1.6463530182838439</v>
      </c>
      <c r="Y2343" s="13">
        <v>0.1014587602690017</v>
      </c>
      <c r="Z2343" s="78">
        <v>6.1626370008275727E-2</v>
      </c>
    </row>
    <row r="2344" spans="1:26" x14ac:dyDescent="0.2">
      <c r="A2344" s="1">
        <v>2342</v>
      </c>
      <c r="B2344" s="2" t="s">
        <v>501</v>
      </c>
      <c r="C2344" s="47" t="str">
        <f>HYPERLINK(AB2 &amp; "/pencil/sn_f8ff6608ff4fbd76c9814f4b5433acb4/rendering/00.obj", "4.90036224365")</f>
        <v>4.90036224365</v>
      </c>
      <c r="D2344" s="13" t="str">
        <f>HYPERLINK(AB2 &amp; "/pencil/sn_f8ff6608ff4fbd76c9814f4b5433acb4/rendering/01.obj", "4.85280517578")</f>
        <v>4.85280517578</v>
      </c>
      <c r="E2344" s="69" t="str">
        <f>HYPERLINK(AB2 &amp; "/pencil/sn_f8ff6608ff4fbd76c9814f4b5433acb4/rendering/02.obj", "5.01144042969")</f>
        <v>5.01144042969</v>
      </c>
      <c r="F2344" s="46" t="str">
        <f>HYPERLINK(AB2 &amp; "/pencil/sn_f8ff6608ff4fbd76c9814f4b5433acb4/rendering/03.obj", "4.95049560547")</f>
        <v>4.95049560547</v>
      </c>
      <c r="G2344" s="13" t="str">
        <f>HYPERLINK(AB2 &amp; "/pencil/sn_f8ff6608ff4fbd76c9814f4b5433acb4/rendering/04.obj", "4.86937530518")</f>
        <v>4.86937530518</v>
      </c>
      <c r="H2344" s="13" t="str">
        <f>HYPERLINK(AB2 &amp; "/pencil/sn_f8ff6608ff4fbd76c9814f4b5433acb4/rendering/05.obj", "4.87157836914")</f>
        <v>4.87157836914</v>
      </c>
      <c r="I2344" s="13" t="str">
        <f>HYPERLINK(AB2 &amp; "/pencil/sn_f8ff6608ff4fbd76c9814f4b5433acb4/rendering/06.obj", "4.85596069336")</f>
        <v>4.85596069336</v>
      </c>
      <c r="J2344" s="30" t="str">
        <f>HYPERLINK(AB2 &amp; "/pencil/sn_f8ff6608ff4fbd76c9814f4b5433acb4/rendering/07.obj", "4.84775634766")</f>
        <v>4.84775634766</v>
      </c>
      <c r="K2344" s="74" t="str">
        <f>HYPERLINK(AB2 &amp; "/pencil/sn_f8ff6608ff4fbd76c9814f4b5433acb4/rendering/08.obj", "4.93304382324")</f>
        <v>4.93304382324</v>
      </c>
      <c r="L2344" s="13" t="str">
        <f>HYPERLINK(AB2 &amp; "/pencil/sn_f8ff6608ff4fbd76c9814f4b5433acb4/rendering/09.obj", "4.85385314941")</f>
        <v>4.85385314941</v>
      </c>
      <c r="M2344" s="25" t="str">
        <f>HYPERLINK(AB2 &amp; "/pencil/sn_f8ff6608ff4fbd76c9814f4b5433acb4/rendering/10.obj", "4.91813812256")</f>
        <v>4.91813812256</v>
      </c>
      <c r="N2344" s="13" t="str">
        <f>HYPERLINK(AB2 &amp; "/pencil/sn_f8ff6608ff4fbd76c9814f4b5433acb4/rendering/11.obj", "4.87335388184")</f>
        <v>4.87335388184</v>
      </c>
      <c r="O2344" s="13" t="str">
        <f>HYPERLINK(AB2 &amp; "/pencil/sn_f8ff6608ff4fbd76c9814f4b5433acb4/rendering/12.obj", "4.86980224609")</f>
        <v>4.86980224609</v>
      </c>
      <c r="P2344" s="46" t="str">
        <f>HYPERLINK(AB2 &amp; "/pencil/sn_f8ff6608ff4fbd76c9814f4b5433acb4/rendering/13.obj", "4.78356872559")</f>
        <v>4.78356872559</v>
      </c>
      <c r="Q2344" s="13" t="str">
        <f>HYPERLINK(AB2 &amp; "/pencil/sn_f8ff6608ff4fbd76c9814f4b5433acb4/rendering/14.obj", "4.85630187988")</f>
        <v>4.85630187988</v>
      </c>
      <c r="R2344" s="74" t="str">
        <f>HYPERLINK(AB2 &amp; "/pencil/sn_f8ff6608ff4fbd76c9814f4b5433acb4/rendering/15.obj", "4.79825744629")</f>
        <v>4.79825744629</v>
      </c>
      <c r="S2344" s="47" t="str">
        <f>HYPERLINK(AB2 &amp; "/pencil/sn_f8ff6608ff4fbd76c9814f4b5433acb4/rendering/16.obj", "4.82604705811")</f>
        <v>4.82604705811</v>
      </c>
      <c r="T2344" s="13" t="str">
        <f>HYPERLINK(AB2 &amp; "/pencil/sn_f8ff6608ff4fbd76c9814f4b5433acb4/rendering/17.obj", "4.85392333984")</f>
        <v>4.85392333984</v>
      </c>
      <c r="U2344" s="13" t="str">
        <f>HYPERLINK(AB2 &amp; "/pencil/sn_f8ff6608ff4fbd76c9814f4b5433acb4/rendering/18.obj", "4.87156005859")</f>
        <v>4.87156005859</v>
      </c>
      <c r="V2344" s="69" t="str">
        <f>HYPERLINK(AB2 &amp; "/pencil/sn_f8ff6608ff4fbd76c9814f4b5433acb4/rendering/19.obj", "4.71976623535")</f>
        <v>4.71976623535</v>
      </c>
      <c r="W2344" s="12" t="s">
        <v>31</v>
      </c>
      <c r="X2344" s="13">
        <v>4.8658695068359368</v>
      </c>
      <c r="Y2344" s="13">
        <v>6.0078180824769678E-2</v>
      </c>
      <c r="Z2344" s="25">
        <v>1.2346854090593129E-2</v>
      </c>
    </row>
    <row r="2345" spans="1:26" x14ac:dyDescent="0.2">
      <c r="A2345" s="1">
        <v>2343</v>
      </c>
      <c r="B2345" s="2" t="s">
        <v>501</v>
      </c>
      <c r="C2345" s="107" t="str">
        <f>HYPERLINK(AB2 &amp; "/pencil/sn_f8ff6608ff4fbd76c9814f4b5433acb4/rendering/00.obj", "1.6993688345")</f>
        <v>1.6993688345</v>
      </c>
      <c r="D2345" s="94" t="str">
        <f>HYPERLINK(AB2 &amp; "/pencil/sn_f8ff6608ff4fbd76c9814f4b5433acb4/rendering/01.obj", "1.45579683781")</f>
        <v>1.45579683781</v>
      </c>
      <c r="E2345" s="28" t="str">
        <f>HYPERLINK(AB2 &amp; "/pencil/sn_f8ff6608ff4fbd76c9814f4b5433acb4/rendering/02.obj", "1.74534618855")</f>
        <v>1.74534618855</v>
      </c>
      <c r="F2345" s="25" t="str">
        <f>HYPERLINK(AB2 &amp; "/pencil/sn_f8ff6608ff4fbd76c9814f4b5433acb4/rendering/03.obj", "1.58580470085")</f>
        <v>1.58580470085</v>
      </c>
      <c r="G2345" s="91" t="str">
        <f>HYPERLINK(AB2 &amp; "/pencil/sn_f8ff6608ff4fbd76c9814f4b5433acb4/rendering/04.obj", "1.6133646965")</f>
        <v>1.6133646965</v>
      </c>
      <c r="H2345" s="10" t="str">
        <f>HYPERLINK(AB2 &amp; "/pencil/sn_f8ff6608ff4fbd76c9814f4b5433acb4/rendering/05.obj", "1.48108780384")</f>
        <v>1.48108780384</v>
      </c>
      <c r="I2345" s="34" t="str">
        <f>HYPERLINK(AB2 &amp; "/pencil/sn_f8ff6608ff4fbd76c9814f4b5433acb4/rendering/06.obj", "1.64450621605")</f>
        <v>1.64450621605</v>
      </c>
      <c r="J2345" s="60" t="str">
        <f>HYPERLINK(AB2 &amp; "/pencil/sn_f8ff6608ff4fbd76c9814f4b5433acb4/rendering/07.obj", "1.65219449997")</f>
        <v>1.65219449997</v>
      </c>
      <c r="K2345" s="91" t="str">
        <f>HYPERLINK(AB2 &amp; "/pencil/sn_f8ff6608ff4fbd76c9814f4b5433acb4/rendering/08.obj", "1.52964222431")</f>
        <v>1.52964222431</v>
      </c>
      <c r="L2345" s="34" t="str">
        <f>HYPERLINK(AB2 &amp; "/pencil/sn_f8ff6608ff4fbd76c9814f4b5433acb4/rendering/09.obj", "1.64662587643")</f>
        <v>1.64662587643</v>
      </c>
      <c r="M2345" s="41" t="str">
        <f>HYPERLINK(AB2 &amp; "/pencil/sn_f8ff6608ff4fbd76c9814f4b5433acb4/rendering/10.obj", "1.465239048")</f>
        <v>1.465239048</v>
      </c>
      <c r="N2345" s="34" t="str">
        <f>HYPERLINK(AB2 &amp; "/pencil/sn_f8ff6608ff4fbd76c9814f4b5433acb4/rendering/11.obj", "1.64751124382")</f>
        <v>1.64751124382</v>
      </c>
      <c r="O2345" s="26" t="str">
        <f>HYPERLINK(AB2 &amp; "/pencil/sn_f8ff6608ff4fbd76c9814f4b5433acb4/rendering/12.obj", "1.46829974651")</f>
        <v>1.46829974651</v>
      </c>
      <c r="P2345" s="68" t="str">
        <f>HYPERLINK(AB2 &amp; "/pencil/sn_f8ff6608ff4fbd76c9814f4b5433acb4/rendering/13.obj", "1.50181865692")</f>
        <v>1.50181865692</v>
      </c>
      <c r="Q2345" s="25" t="str">
        <f>HYPERLINK(AB2 &amp; "/pencil/sn_f8ff6608ff4fbd76c9814f4b5433acb4/rendering/14.obj", "1.58713364601")</f>
        <v>1.58713364601</v>
      </c>
      <c r="R2345" s="35" t="str">
        <f>HYPERLINK(AB2 &amp; "/pencil/sn_f8ff6608ff4fbd76c9814f4b5433acb4/rendering/15.obj", "1.65931630135")</f>
        <v>1.65931630135</v>
      </c>
      <c r="S2345" s="13" t="str">
        <f>HYPERLINK(AB2 &amp; "/pencil/sn_f8ff6608ff4fbd76c9814f4b5433acb4/rendering/16.obj", "1.56818914413")</f>
        <v>1.56818914413</v>
      </c>
      <c r="T2345" s="5" t="str">
        <f>HYPERLINK(AB2 &amp; "/pencil/sn_f8ff6608ff4fbd76c9814f4b5433acb4/rendering/17.obj", "1.44760298729")</f>
        <v>1.44760298729</v>
      </c>
      <c r="U2345" s="10" t="str">
        <f>HYPERLINK(AB2 &amp; "/pencil/sn_f8ff6608ff4fbd76c9814f4b5433acb4/rendering/18.obj", "1.48359966278")</f>
        <v>1.48359966278</v>
      </c>
      <c r="V2345" s="68" t="str">
        <f>HYPERLINK(AB2 &amp; "/pencil/sn_f8ff6608ff4fbd76c9814f4b5433acb4/rendering/19.obj", "1.50156438351")</f>
        <v>1.50156438351</v>
      </c>
      <c r="W2345" s="12" t="s">
        <v>32</v>
      </c>
      <c r="X2345" s="13">
        <v>1.5692006349563601</v>
      </c>
      <c r="Y2345" s="13">
        <v>8.8806932523181573E-2</v>
      </c>
      <c r="Z2345" s="35">
        <v>5.6593739860200443E-2</v>
      </c>
    </row>
    <row r="2346" spans="1:26" x14ac:dyDescent="0.2">
      <c r="A2346" s="1">
        <v>2344</v>
      </c>
      <c r="B2346" s="2" t="s">
        <v>501</v>
      </c>
      <c r="C2346" s="13" t="str">
        <f>HYPERLINK(AC2 &amp; "/pencil/sn_f8ff6608ff4fbd76c9814f4b5433acb4/rendering/00.xyz", "0.0")</f>
        <v>0.0</v>
      </c>
      <c r="D2346" s="13" t="str">
        <f>HYPERLINK(AC2 &amp; "/pencil/sn_f8ff6608ff4fbd76c9814f4b5433acb4/rendering/01.xyz", "0.0")</f>
        <v>0.0</v>
      </c>
      <c r="E2346" s="13" t="str">
        <f>HYPERLINK(AC2 &amp; "/pencil/sn_f8ff6608ff4fbd76c9814f4b5433acb4/rendering/02.xyz", "0.0")</f>
        <v>0.0</v>
      </c>
      <c r="F2346" s="13" t="str">
        <f>HYPERLINK(AC2 &amp; "/pencil/sn_f8ff6608ff4fbd76c9814f4b5433acb4/rendering/03.xyz", "0.0")</f>
        <v>0.0</v>
      </c>
      <c r="G2346" s="13" t="str">
        <f>HYPERLINK(AC2 &amp; "/pencil/sn_f8ff6608ff4fbd76c9814f4b5433acb4/rendering/04.xyz", "0.0")</f>
        <v>0.0</v>
      </c>
      <c r="H2346" s="13" t="str">
        <f>HYPERLINK(AC2 &amp; "/pencil/sn_f8ff6608ff4fbd76c9814f4b5433acb4/rendering/05.xyz", "0.0")</f>
        <v>0.0</v>
      </c>
      <c r="I2346" s="13" t="str">
        <f>HYPERLINK(AC2 &amp; "/pencil/sn_f8ff6608ff4fbd76c9814f4b5433acb4/rendering/06.xyz", "0.0")</f>
        <v>0.0</v>
      </c>
      <c r="J2346" s="13" t="str">
        <f>HYPERLINK(AC2 &amp; "/pencil/sn_f8ff6608ff4fbd76c9814f4b5433acb4/rendering/07.xyz", "0.0")</f>
        <v>0.0</v>
      </c>
      <c r="K2346" s="13" t="str">
        <f>HYPERLINK(AC2 &amp; "/pencil/sn_f8ff6608ff4fbd76c9814f4b5433acb4/rendering/08.xyz", "0.0")</f>
        <v>0.0</v>
      </c>
      <c r="L2346" s="13" t="str">
        <f>HYPERLINK(AC2 &amp; "/pencil/sn_f8ff6608ff4fbd76c9814f4b5433acb4/rendering/09.xyz", "0.0")</f>
        <v>0.0</v>
      </c>
      <c r="M2346" s="13" t="str">
        <f>HYPERLINK(AC2 &amp; "/pencil/sn_f8ff6608ff4fbd76c9814f4b5433acb4/rendering/10.xyz", "0.0")</f>
        <v>0.0</v>
      </c>
      <c r="N2346" s="13" t="str">
        <f>HYPERLINK(AC2 &amp; "/pencil/sn_f8ff6608ff4fbd76c9814f4b5433acb4/rendering/11.xyz", "0.0")</f>
        <v>0.0</v>
      </c>
      <c r="O2346" s="13" t="str">
        <f>HYPERLINK(AC2 &amp; "/pencil/sn_f8ff6608ff4fbd76c9814f4b5433acb4/rendering/12.xyz", "0.0")</f>
        <v>0.0</v>
      </c>
      <c r="P2346" s="13" t="str">
        <f>HYPERLINK(AC2 &amp; "/pencil/sn_f8ff6608ff4fbd76c9814f4b5433acb4/rendering/13.xyz", "0.0")</f>
        <v>0.0</v>
      </c>
      <c r="Q2346" s="13" t="str">
        <f>HYPERLINK(AC2 &amp; "/pencil/sn_f8ff6608ff4fbd76c9814f4b5433acb4/rendering/14.xyz", "0.0")</f>
        <v>0.0</v>
      </c>
      <c r="R2346" s="13" t="str">
        <f>HYPERLINK(AC2 &amp; "/pencil/sn_f8ff6608ff4fbd76c9814f4b5433acb4/rendering/15.xyz", "0.0")</f>
        <v>0.0</v>
      </c>
      <c r="S2346" s="13" t="str">
        <f>HYPERLINK(AC2 &amp; "/pencil/sn_f8ff6608ff4fbd76c9814f4b5433acb4/rendering/16.xyz", "0.0")</f>
        <v>0.0</v>
      </c>
      <c r="T2346" s="13" t="str">
        <f>HYPERLINK(AC2 &amp; "/pencil/sn_f8ff6608ff4fbd76c9814f4b5433acb4/rendering/17.xyz", "0.0")</f>
        <v>0.0</v>
      </c>
      <c r="U2346" s="13" t="str">
        <f>HYPERLINK(AC2 &amp; "/pencil/sn_f8ff6608ff4fbd76c9814f4b5433acb4/rendering/18.xyz", "0.0")</f>
        <v>0.0</v>
      </c>
      <c r="V2346" s="13" t="str">
        <f>HYPERLINK(AC2 &amp; "/pencil/sn_f8ff6608ff4fbd76c9814f4b5433acb4/rendering/19.xyz", "0.0")</f>
        <v>0.0</v>
      </c>
      <c r="W2346" s="12" t="s">
        <v>33</v>
      </c>
      <c r="X2346" s="13">
        <v>0</v>
      </c>
      <c r="Y2346" s="13">
        <v>0</v>
      </c>
      <c r="Z2346" s="13">
        <v>0</v>
      </c>
    </row>
    <row r="2347" spans="1:26" x14ac:dyDescent="0.2">
      <c r="A2347" s="1">
        <v>2345</v>
      </c>
      <c r="B2347" s="2" t="s">
        <v>502</v>
      </c>
      <c r="C2347" s="133" t="str">
        <f>HYPERLINK(AA2 &amp; "/pencil/sn_f91c8cd572244ea6b3ac908e4f36ee62/rendering/00.obj", "4.50555786133")</f>
        <v>4.50555786133</v>
      </c>
      <c r="D2347" s="46" t="str">
        <f>HYPERLINK(AA2 &amp; "/pencil/sn_f91c8cd572244ea6b3ac908e4f36ee62/rendering/01.obj", "5.1104296875")</f>
        <v>5.1104296875</v>
      </c>
      <c r="E2347" s="24" t="str">
        <f>HYPERLINK(AA2 &amp; "/pencil/sn_f91c8cd572244ea6b3ac908e4f36ee62/rendering/02.obj", "4.17687164307")</f>
        <v>4.17687164307</v>
      </c>
      <c r="F2347" s="65" t="str">
        <f>HYPERLINK(AA2 &amp; "/pencil/sn_f91c8cd572244ea6b3ac908e4f36ee62/rendering/03.obj", "4.34981842041")</f>
        <v>4.34981842041</v>
      </c>
      <c r="G2347" s="79" t="str">
        <f>HYPERLINK(AA2 &amp; "/pencil/sn_f91c8cd572244ea6b3ac908e4f36ee62/rendering/04.obj", "4.22701782227")</f>
        <v>4.22701782227</v>
      </c>
      <c r="H2347" s="41" t="str">
        <f>HYPERLINK(AA2 &amp; "/pencil/sn_f91c8cd572244ea6b3ac908e4f36ee62/rendering/05.obj", "5.36926513672")</f>
        <v>5.36926513672</v>
      </c>
      <c r="I2347" s="51" t="str">
        <f>HYPERLINK(AA2 &amp; "/pencil/sn_f91c8cd572244ea6b3ac908e4f36ee62/rendering/06.obj", "5.42502502441")</f>
        <v>5.42502502441</v>
      </c>
      <c r="J2347" s="67" t="str">
        <f>HYPERLINK(AA2 &amp; "/pencil/sn_f91c8cd572244ea6b3ac908e4f36ee62/rendering/07.obj", "4.56224914551")</f>
        <v>4.56224914551</v>
      </c>
      <c r="K2347" s="20" t="str">
        <f>HYPERLINK(AA2 &amp; "/pencil/sn_f91c8cd572244ea6b3ac908e4f36ee62/rendering/08.obj", "9.47839538574")</f>
        <v>9.47839538574</v>
      </c>
      <c r="L2347" s="36" t="str">
        <f>HYPERLINK(AA2 &amp; "/pencil/sn_f91c8cd572244ea6b3ac908e4f36ee62/rendering/09.obj", "6.09773864746")</f>
        <v>6.09773864746</v>
      </c>
      <c r="M2347" s="32" t="str">
        <f>HYPERLINK(AA2 &amp; "/pencil/sn_f91c8cd572244ea6b3ac908e4f36ee62/rendering/10.obj", "4.49288269043")</f>
        <v>4.49288269043</v>
      </c>
      <c r="N2347" s="46" t="str">
        <f>HYPERLINK(AA2 &amp; "/pencil/sn_f91c8cd572244ea6b3ac908e4f36ee62/rendering/11.obj", "5.10590637207")</f>
        <v>5.10590637207</v>
      </c>
      <c r="O2347" s="23" t="str">
        <f>HYPERLINK(AA2 &amp; "/pencil/sn_f91c8cd572244ea6b3ac908e4f36ee62/rendering/12.obj", "4.83243896484")</f>
        <v>4.83243896484</v>
      </c>
      <c r="P2347" s="31" t="str">
        <f>HYPERLINK(AA2 &amp; "/pencil/sn_f91c8cd572244ea6b3ac908e4f36ee62/rendering/13.obj", "4.23977966309")</f>
        <v>4.23977966309</v>
      </c>
      <c r="Q2347" s="94" t="str">
        <f>HYPERLINK(AA2 &amp; "/pencil/sn_f91c8cd572244ea6b3ac908e4f36ee62/rendering/14.obj", "4.64837493896")</f>
        <v>4.64837493896</v>
      </c>
      <c r="R2347" s="23" t="str">
        <f>HYPERLINK(AA2 &amp; "/pencil/sn_f91c8cd572244ea6b3ac908e4f36ee62/rendering/15.obj", "4.82961303711")</f>
        <v>4.82961303711</v>
      </c>
      <c r="S2347" s="51" t="str">
        <f>HYPERLINK(AA2 &amp; "/pencil/sn_f91c8cd572244ea6b3ac908e4f36ee62/rendering/16.obj", "5.43194519043")</f>
        <v>5.43194519043</v>
      </c>
      <c r="T2347" s="35" t="str">
        <f>HYPERLINK(AA2 &amp; "/pencil/sn_f91c8cd572244ea6b3ac908e4f36ee62/rendering/17.obj", "4.73994415283")</f>
        <v>4.73994415283</v>
      </c>
      <c r="U2347" s="67" t="str">
        <f>HYPERLINK(AA2 &amp; "/pencil/sn_f91c8cd572244ea6b3ac908e4f36ee62/rendering/18.obj", "4.56589324951")</f>
        <v>4.56589324951</v>
      </c>
      <c r="V2347" s="84" t="str">
        <f>HYPERLINK(AA2 &amp; "/pencil/sn_f91c8cd572244ea6b3ac908e4f36ee62/rendering/19.obj", "4.29273040771")</f>
        <v>4.29273040771</v>
      </c>
      <c r="W2347" s="12" t="s">
        <v>29</v>
      </c>
      <c r="X2347" s="13">
        <v>5.0240938720703134</v>
      </c>
      <c r="Y2347" s="13">
        <v>1.1331917709314201</v>
      </c>
      <c r="Z2347" s="11">
        <v>0.2255514725214435</v>
      </c>
    </row>
    <row r="2348" spans="1:26" x14ac:dyDescent="0.2">
      <c r="A2348" s="1">
        <v>2346</v>
      </c>
      <c r="B2348" s="2" t="s">
        <v>502</v>
      </c>
      <c r="C2348" s="141" t="str">
        <f>HYPERLINK(AA2 &amp; "/pencil/sn_f91c8cd572244ea6b3ac908e4f36ee62/rendering/00.obj", "0.929297685623")</f>
        <v>0.929297685623</v>
      </c>
      <c r="D2348" s="77" t="str">
        <f>HYPERLINK(AA2 &amp; "/pencil/sn_f91c8cd572244ea6b3ac908e4f36ee62/rendering/01.obj", "1.67656743526")</f>
        <v>1.67656743526</v>
      </c>
      <c r="E2348" s="212" t="str">
        <f>HYPERLINK(AA2 &amp; "/pencil/sn_f91c8cd572244ea6b3ac908e4f36ee62/rendering/02.obj", "1.1748418808")</f>
        <v>1.1748418808</v>
      </c>
      <c r="F2348" s="62" t="str">
        <f>HYPERLINK(AA2 &amp; "/pencil/sn_f91c8cd572244ea6b3ac908e4f36ee62/rendering/03.obj", "0.828942358494")</f>
        <v>0.828942358494</v>
      </c>
      <c r="G2348" s="251" t="str">
        <f>HYPERLINK(AA2 &amp; "/pencil/sn_f91c8cd572244ea6b3ac908e4f36ee62/rendering/04.obj", "0.846027851105")</f>
        <v>0.846027851105</v>
      </c>
      <c r="H2348" s="4" t="str">
        <f>HYPERLINK(AA2 &amp; "/pencil/sn_f91c8cd572244ea6b3ac908e4f36ee62/rendering/05.obj", "1.47719752789")</f>
        <v>1.47719752789</v>
      </c>
      <c r="I2348" s="156" t="str">
        <f>HYPERLINK(AA2 &amp; "/pencil/sn_f91c8cd572244ea6b3ac908e4f36ee62/rendering/06.obj", "2.9807305336")</f>
        <v>2.9807305336</v>
      </c>
      <c r="J2348" s="141" t="str">
        <f>HYPERLINK(AA2 &amp; "/pencil/sn_f91c8cd572244ea6b3ac908e4f36ee62/rendering/07.obj", "0.92745000124")</f>
        <v>0.92745000124</v>
      </c>
      <c r="K2348" s="20" t="str">
        <f>HYPERLINK(AA2 &amp; "/pencil/sn_f91c8cd572244ea6b3ac908e4f36ee62/rendering/08.obj", "13.98021698")</f>
        <v>13.98021698</v>
      </c>
      <c r="L2348" s="114" t="str">
        <f>HYPERLINK(AA2 &amp; "/pencil/sn_f91c8cd572244ea6b3ac908e4f36ee62/rendering/09.obj", "3.01003742218")</f>
        <v>3.01003742218</v>
      </c>
      <c r="M2348" s="121" t="str">
        <f>HYPERLINK(AA2 &amp; "/pencil/sn_f91c8cd572244ea6b3ac908e4f36ee62/rendering/10.obj", "1.33056020737")</f>
        <v>1.33056020737</v>
      </c>
      <c r="N2348" s="108" t="str">
        <f>HYPERLINK(AA2 &amp; "/pencil/sn_f91c8cd572244ea6b3ac908e4f36ee62/rendering/11.obj", "1.55498039722")</f>
        <v>1.55498039722</v>
      </c>
      <c r="O2348" s="126" t="str">
        <f>HYPERLINK(AA2 &amp; "/pencil/sn_f91c8cd572244ea6b3ac908e4f36ee62/rendering/12.obj", "1.02646863461")</f>
        <v>1.02646863461</v>
      </c>
      <c r="P2348" s="126" t="str">
        <f>HYPERLINK(AA2 &amp; "/pencil/sn_f91c8cd572244ea6b3ac908e4f36ee62/rendering/13.obj", "1.02967131138")</f>
        <v>1.02967131138</v>
      </c>
      <c r="Q2348" s="162" t="str">
        <f>HYPERLINK(AA2 &amp; "/pencil/sn_f91c8cd572244ea6b3ac908e4f36ee62/rendering/14.obj", "1.18531954288")</f>
        <v>1.18531954288</v>
      </c>
      <c r="R2348" s="78" t="str">
        <f>HYPERLINK(AA2 &amp; "/pencil/sn_f91c8cd572244ea6b3ac908e4f36ee62/rendering/15.obj", "2.18928360939")</f>
        <v>2.18928360939</v>
      </c>
      <c r="S2348" s="107" t="str">
        <f>HYPERLINK(AA2 &amp; "/pencil/sn_f91c8cd572244ea6b3ac908e4f36ee62/rendering/16.obj", "1.88665211201")</f>
        <v>1.88665211201</v>
      </c>
      <c r="T2348" s="137" t="str">
        <f>HYPERLINK(AA2 &amp; "/pencil/sn_f91c8cd572244ea6b3ac908e4f36ee62/rendering/17.obj", "1.30685544014")</f>
        <v>1.30685544014</v>
      </c>
      <c r="U2348" s="174" t="str">
        <f>HYPERLINK(AA2 &amp; "/pencil/sn_f91c8cd572244ea6b3ac908e4f36ee62/rendering/18.obj", "0.975567817688")</f>
        <v>0.975567817688</v>
      </c>
      <c r="V2348" s="197" t="str">
        <f>HYPERLINK(AA2 &amp; "/pencil/sn_f91c8cd572244ea6b3ac908e4f36ee62/rendering/19.obj", "0.896974861622")</f>
        <v>0.896974861622</v>
      </c>
      <c r="W2348" s="12" t="s">
        <v>30</v>
      </c>
      <c r="X2348" s="13">
        <v>2.0606821805238722</v>
      </c>
      <c r="Y2348" s="13">
        <v>2.8061274074047549</v>
      </c>
      <c r="Z2348" s="20">
        <v>1.3617468205074561</v>
      </c>
    </row>
    <row r="2349" spans="1:26" x14ac:dyDescent="0.2">
      <c r="A2349" s="1">
        <v>2347</v>
      </c>
      <c r="B2349" s="2" t="s">
        <v>502</v>
      </c>
      <c r="C2349" s="10" t="str">
        <f>HYPERLINK(AB2 &amp; "/pencil/sn_f91c8cd572244ea6b3ac908e4f36ee62/rendering/00.obj", "4.30460754395")</f>
        <v>4.30460754395</v>
      </c>
      <c r="D2349" s="41" t="str">
        <f>HYPERLINK(AB2 &amp; "/pencil/sn_f91c8cd572244ea6b3ac908e4f36ee62/rendering/01.obj", "4.35104858398")</f>
        <v>4.35104858398</v>
      </c>
      <c r="E2349" s="92" t="str">
        <f>HYPERLINK(AB2 &amp; "/pencil/sn_f91c8cd572244ea6b3ac908e4f36ee62/rendering/02.obj", "3.57930145264")</f>
        <v>3.57930145264</v>
      </c>
      <c r="F2349" s="5" t="str">
        <f>HYPERLINK(AB2 &amp; "/pencil/sn_f91c8cd572244ea6b3ac908e4f36ee62/rendering/03.obj", "4.393828125")</f>
        <v>4.393828125</v>
      </c>
      <c r="G2349" s="78" t="str">
        <f>HYPERLINK(AB2 &amp; "/pencil/sn_f91c8cd572244ea6b3ac908e4f36ee62/rendering/04.obj", "3.82984741211")</f>
        <v>3.82984741211</v>
      </c>
      <c r="H2349" s="41" t="str">
        <f>HYPERLINK(AB2 &amp; "/pencil/sn_f91c8cd572244ea6b3ac908e4f36ee62/rendering/05.obj", "4.35223144531")</f>
        <v>4.35223144531</v>
      </c>
      <c r="I2349" s="30" t="str">
        <f>HYPERLINK(AB2 &amp; "/pencil/sn_f91c8cd572244ea6b3ac908e4f36ee62/rendering/06.obj", "4.06427886963")</f>
        <v>4.06427886963</v>
      </c>
      <c r="J2349" s="67" t="str">
        <f>HYPERLINK(AB2 &amp; "/pencil/sn_f91c8cd572244ea6b3ac908e4f36ee62/rendering/07.obj", "4.46493774414")</f>
        <v>4.46493774414</v>
      </c>
      <c r="K2349" s="91" t="str">
        <f>HYPERLINK(AB2 &amp; "/pencil/sn_f91c8cd572244ea6b3ac908e4f36ee62/rendering/08.obj", "4.19130218506")</f>
        <v>4.19130218506</v>
      </c>
      <c r="L2349" s="23" t="str">
        <f>HYPERLINK(AB2 &amp; "/pencil/sn_f91c8cd572244ea6b3ac908e4f36ee62/rendering/09.obj", "4.24579162598")</f>
        <v>4.24579162598</v>
      </c>
      <c r="M2349" s="134" t="str">
        <f>HYPERLINK(AB2 &amp; "/pencil/sn_f91c8cd572244ea6b3ac908e4f36ee62/rendering/10.obj", "3.34277740479")</f>
        <v>3.34277740479</v>
      </c>
      <c r="N2349" s="30" t="str">
        <f>HYPERLINK(AB2 &amp; "/pencil/sn_f91c8cd572244ea6b3ac908e4f36ee62/rendering/11.obj", "4.06123657227")</f>
        <v>4.06123657227</v>
      </c>
      <c r="O2349" s="74" t="str">
        <f>HYPERLINK(AB2 &amp; "/pencil/sn_f91c8cd572244ea6b3ac908e4f36ee62/rendering/12.obj", "4.02898010254")</f>
        <v>4.02898010254</v>
      </c>
      <c r="P2349" s="48" t="str">
        <f>HYPERLINK(AB2 &amp; "/pencil/sn_f91c8cd572244ea6b3ac908e4f36ee62/rendering/13.obj", "4.17632415771")</f>
        <v>4.17632415771</v>
      </c>
      <c r="Q2349" s="34" t="str">
        <f>HYPERLINK(AB2 &amp; "/pencil/sn_f91c8cd572244ea6b3ac908e4f36ee62/rendering/14.obj", "3.88058349609")</f>
        <v>3.88058349609</v>
      </c>
      <c r="R2349" s="70" t="str">
        <f>HYPERLINK(AB2 &amp; "/pencil/sn_f91c8cd572244ea6b3ac908e4f36ee62/rendering/15.obj", "3.56217590332")</f>
        <v>3.56217590332</v>
      </c>
      <c r="S2349" s="26" t="str">
        <f>HYPERLINK(AB2 &amp; "/pencil/sn_f91c8cd572244ea6b3ac908e4f36ee62/rendering/16.obj", "4.34204406738")</f>
        <v>4.34204406738</v>
      </c>
      <c r="T2349" s="68" t="str">
        <f>HYPERLINK(AB2 &amp; "/pencil/sn_f91c8cd572244ea6b3ac908e4f36ee62/rendering/17.obj", "4.26119750977")</f>
        <v>4.26119750977</v>
      </c>
      <c r="U2349" s="51" t="str">
        <f>HYPERLINK(AB2 &amp; "/pencil/sn_f91c8cd572244ea6b3ac908e4f36ee62/rendering/18.obj", "4.40720458984")</f>
        <v>4.40720458984</v>
      </c>
      <c r="V2349" s="41" t="str">
        <f>HYPERLINK(AB2 &amp; "/pencil/sn_f91c8cd572244ea6b3ac908e4f36ee62/rendering/19.obj", "3.80249145508")</f>
        <v>3.80249145508</v>
      </c>
      <c r="W2349" s="12" t="s">
        <v>31</v>
      </c>
      <c r="X2349" s="13">
        <v>4.0821095123291018</v>
      </c>
      <c r="Y2349" s="13">
        <v>0.31202662916459573</v>
      </c>
      <c r="Z2349" s="5">
        <v>7.6437593901434731E-2</v>
      </c>
    </row>
    <row r="2350" spans="1:26" x14ac:dyDescent="0.2">
      <c r="A2350" s="1">
        <v>2348</v>
      </c>
      <c r="B2350" s="2" t="s">
        <v>502</v>
      </c>
      <c r="C2350" s="59" t="str">
        <f>HYPERLINK(AB2 &amp; "/pencil/sn_f91c8cd572244ea6b3ac908e4f36ee62/rendering/00.obj", "0.724633574486")</f>
        <v>0.724633574486</v>
      </c>
      <c r="D2350" s="60" t="str">
        <f>HYPERLINK(AB2 &amp; "/pencil/sn_f91c8cd572244ea6b3ac908e4f36ee62/rendering/01.obj", "1.00404524803")</f>
        <v>1.00404524803</v>
      </c>
      <c r="E2350" s="92" t="str">
        <f>HYPERLINK(AB2 &amp; "/pencil/sn_f91c8cd572244ea6b3ac908e4f36ee62/rendering/02.obj", "0.835832476616")</f>
        <v>0.835832476616</v>
      </c>
      <c r="F2350" s="129" t="str">
        <f>HYPERLINK(AB2 &amp; "/pencil/sn_f91c8cd572244ea6b3ac908e4f36ee62/rendering/03.obj", "0.71525490284")</f>
        <v>0.71525490284</v>
      </c>
      <c r="G2350" s="75" t="str">
        <f>HYPERLINK(AB2 &amp; "/pencil/sn_f91c8cd572244ea6b3ac908e4f36ee62/rendering/04.obj", "0.743835866451")</f>
        <v>0.743835866451</v>
      </c>
      <c r="H2350" s="56" t="str">
        <f>HYPERLINK(AB2 &amp; "/pencil/sn_f91c8cd572244ea6b3ac908e4f36ee62/rendering/05.obj", "1.25015616417")</f>
        <v>1.25015616417</v>
      </c>
      <c r="I2350" s="40" t="str">
        <f>HYPERLINK(AB2 &amp; "/pencil/sn_f91c8cd572244ea6b3ac908e4f36ee62/rendering/06.obj", "0.790093839169")</f>
        <v>0.790093839169</v>
      </c>
      <c r="J2350" s="227" t="str">
        <f>HYPERLINK(AB2 &amp; "/pencil/sn_f91c8cd572244ea6b3ac908e4f36ee62/rendering/07.obj", "1.44132781029")</f>
        <v>1.44132781029</v>
      </c>
      <c r="K2350" s="42" t="str">
        <f>HYPERLINK(AB2 &amp; "/pencil/sn_f91c8cd572244ea6b3ac908e4f36ee62/rendering/08.obj", "1.08436655998")</f>
        <v>1.08436655998</v>
      </c>
      <c r="L2350" s="37" t="str">
        <f>HYPERLINK(AB2 &amp; "/pencil/sn_f91c8cd572244ea6b3ac908e4f36ee62/rendering/09.obj", "1.12020349503")</f>
        <v>1.12020349503</v>
      </c>
      <c r="M2350" s="106" t="str">
        <f>HYPERLINK(AB2 &amp; "/pencil/sn_f91c8cd572244ea6b3ac908e4f36ee62/rendering/10.obj", "0.844911575317")</f>
        <v>0.844911575317</v>
      </c>
      <c r="N2350" s="166" t="str">
        <f>HYPERLINK(AB2 &amp; "/pencil/sn_f91c8cd572244ea6b3ac908e4f36ee62/rendering/11.obj", "1.22743332386")</f>
        <v>1.22743332386</v>
      </c>
      <c r="O2350" s="72" t="str">
        <f>HYPERLINK(AB2 &amp; "/pencil/sn_f91c8cd572244ea6b3ac908e4f36ee62/rendering/12.obj", "0.923735558987")</f>
        <v>0.923735558987</v>
      </c>
      <c r="P2350" s="92" t="str">
        <f>HYPERLINK(AB2 &amp; "/pencil/sn_f91c8cd572244ea6b3ac908e4f36ee62/rendering/13.obj", "0.83673375845")</f>
        <v>0.83673375845</v>
      </c>
      <c r="Q2350" s="49" t="str">
        <f>HYPERLINK(AB2 &amp; "/pencil/sn_f91c8cd572244ea6b3ac908e4f36ee62/rendering/14.obj", "0.756518363953")</f>
        <v>0.756518363953</v>
      </c>
      <c r="R2350" s="46" t="str">
        <f>HYPERLINK(AB2 &amp; "/pencil/sn_f91c8cd572244ea6b3ac908e4f36ee62/rendering/15.obj", "0.971944689751")</f>
        <v>0.971944689751</v>
      </c>
      <c r="S2350" s="40" t="str">
        <f>HYPERLINK(AB2 &amp; "/pencil/sn_f91c8cd572244ea6b3ac908e4f36ee62/rendering/16.obj", "1.11706972122")</f>
        <v>1.11706972122</v>
      </c>
      <c r="T2350" s="79" t="str">
        <f>HYPERLINK(AB2 &amp; "/pencil/sn_f91c8cd572244ea6b3ac908e4f36ee62/rendering/17.obj", "0.802351891994")</f>
        <v>0.802351891994</v>
      </c>
      <c r="U2350" s="109" t="str">
        <f>HYPERLINK(AB2 &amp; "/pencil/sn_f91c8cd572244ea6b3ac908e4f36ee62/rendering/18.obj", "1.13618528843")</f>
        <v>1.13618528843</v>
      </c>
      <c r="V2350" s="88" t="str">
        <f>HYPERLINK(AB2 &amp; "/pencil/sn_f91c8cd572244ea6b3ac908e4f36ee62/rendering/19.obj", "0.762449741364")</f>
        <v>0.762449741364</v>
      </c>
      <c r="W2350" s="12" t="s">
        <v>32</v>
      </c>
      <c r="X2350" s="13">
        <v>0.95445419251918795</v>
      </c>
      <c r="Y2350" s="13">
        <v>0.2033529557883339</v>
      </c>
      <c r="Z2350" s="120">
        <v>0.2130567997732859</v>
      </c>
    </row>
    <row r="2351" spans="1:26" x14ac:dyDescent="0.2">
      <c r="A2351" s="1">
        <v>2349</v>
      </c>
      <c r="B2351" s="2" t="s">
        <v>502</v>
      </c>
      <c r="C2351" s="13" t="str">
        <f>HYPERLINK(AC2 &amp; "/pencil/sn_f91c8cd572244ea6b3ac908e4f36ee62/rendering/00.xyz", "0.0")</f>
        <v>0.0</v>
      </c>
      <c r="D2351" s="13" t="str">
        <f>HYPERLINK(AC2 &amp; "/pencil/sn_f91c8cd572244ea6b3ac908e4f36ee62/rendering/01.xyz", "0.0")</f>
        <v>0.0</v>
      </c>
      <c r="E2351" s="13" t="str">
        <f>HYPERLINK(AC2 &amp; "/pencil/sn_f91c8cd572244ea6b3ac908e4f36ee62/rendering/02.xyz", "0.0")</f>
        <v>0.0</v>
      </c>
      <c r="F2351" s="13" t="str">
        <f>HYPERLINK(AC2 &amp; "/pencil/sn_f91c8cd572244ea6b3ac908e4f36ee62/rendering/03.xyz", "0.0")</f>
        <v>0.0</v>
      </c>
      <c r="G2351" s="13" t="str">
        <f>HYPERLINK(AC2 &amp; "/pencil/sn_f91c8cd572244ea6b3ac908e4f36ee62/rendering/04.xyz", "0.0")</f>
        <v>0.0</v>
      </c>
      <c r="H2351" s="13" t="str">
        <f>HYPERLINK(AC2 &amp; "/pencil/sn_f91c8cd572244ea6b3ac908e4f36ee62/rendering/05.xyz", "0.0")</f>
        <v>0.0</v>
      </c>
      <c r="I2351" s="13" t="str">
        <f>HYPERLINK(AC2 &amp; "/pencil/sn_f91c8cd572244ea6b3ac908e4f36ee62/rendering/06.xyz", "0.0")</f>
        <v>0.0</v>
      </c>
      <c r="J2351" s="13" t="str">
        <f>HYPERLINK(AC2 &amp; "/pencil/sn_f91c8cd572244ea6b3ac908e4f36ee62/rendering/07.xyz", "0.0")</f>
        <v>0.0</v>
      </c>
      <c r="K2351" s="13" t="str">
        <f>HYPERLINK(AC2 &amp; "/pencil/sn_f91c8cd572244ea6b3ac908e4f36ee62/rendering/08.xyz", "0.0")</f>
        <v>0.0</v>
      </c>
      <c r="L2351" s="13" t="str">
        <f>HYPERLINK(AC2 &amp; "/pencil/sn_f91c8cd572244ea6b3ac908e4f36ee62/rendering/09.xyz", "0.0")</f>
        <v>0.0</v>
      </c>
      <c r="M2351" s="13" t="str">
        <f>HYPERLINK(AC2 &amp; "/pencil/sn_f91c8cd572244ea6b3ac908e4f36ee62/rendering/10.xyz", "0.0")</f>
        <v>0.0</v>
      </c>
      <c r="N2351" s="13" t="str">
        <f>HYPERLINK(AC2 &amp; "/pencil/sn_f91c8cd572244ea6b3ac908e4f36ee62/rendering/11.xyz", "0.0")</f>
        <v>0.0</v>
      </c>
      <c r="O2351" s="13" t="str">
        <f>HYPERLINK(AC2 &amp; "/pencil/sn_f91c8cd572244ea6b3ac908e4f36ee62/rendering/12.xyz", "0.0")</f>
        <v>0.0</v>
      </c>
      <c r="P2351" s="13" t="str">
        <f>HYPERLINK(AC2 &amp; "/pencil/sn_f91c8cd572244ea6b3ac908e4f36ee62/rendering/13.xyz", "0.0")</f>
        <v>0.0</v>
      </c>
      <c r="Q2351" s="13" t="str">
        <f>HYPERLINK(AC2 &amp; "/pencil/sn_f91c8cd572244ea6b3ac908e4f36ee62/rendering/14.xyz", "0.0")</f>
        <v>0.0</v>
      </c>
      <c r="R2351" s="13" t="str">
        <f>HYPERLINK(AC2 &amp; "/pencil/sn_f91c8cd572244ea6b3ac908e4f36ee62/rendering/15.xyz", "0.0")</f>
        <v>0.0</v>
      </c>
      <c r="S2351" s="13" t="str">
        <f>HYPERLINK(AC2 &amp; "/pencil/sn_f91c8cd572244ea6b3ac908e4f36ee62/rendering/16.xyz", "0.0")</f>
        <v>0.0</v>
      </c>
      <c r="T2351" s="13" t="str">
        <f>HYPERLINK(AC2 &amp; "/pencil/sn_f91c8cd572244ea6b3ac908e4f36ee62/rendering/17.xyz", "0.0")</f>
        <v>0.0</v>
      </c>
      <c r="U2351" s="13" t="str">
        <f>HYPERLINK(AC2 &amp; "/pencil/sn_f91c8cd572244ea6b3ac908e4f36ee62/rendering/18.xyz", "0.0")</f>
        <v>0.0</v>
      </c>
      <c r="V2351" s="13" t="str">
        <f>HYPERLINK(AC2 &amp; "/pencil/sn_f91c8cd572244ea6b3ac908e4f36ee62/rendering/19.xyz", "0.0")</f>
        <v>0.0</v>
      </c>
      <c r="W2351" s="12" t="s">
        <v>33</v>
      </c>
      <c r="X2351" s="13">
        <v>0</v>
      </c>
      <c r="Y2351" s="13">
        <v>0</v>
      </c>
      <c r="Z2351" s="13">
        <v>0</v>
      </c>
    </row>
    <row r="2352" spans="1:26" x14ac:dyDescent="0.2">
      <c r="A2352" s="1">
        <v>2350</v>
      </c>
      <c r="B2352" s="2" t="s">
        <v>503</v>
      </c>
      <c r="C2352" s="94" t="str">
        <f>HYPERLINK(AA2 &amp; "/pencil/sn_f9859e1d25adfcd6f7d8f4e8adee4536/rendering/00.obj", "3.41359191895")</f>
        <v>3.41359191895</v>
      </c>
      <c r="D2352" s="5" t="str">
        <f>HYPERLINK(AA2 &amp; "/pencil/sn_f9859e1d25adfcd6f7d8f4e8adee4536/rendering/01.obj", "3.43283508301")</f>
        <v>3.43283508301</v>
      </c>
      <c r="E2352" s="23" t="str">
        <f>HYPERLINK(AA2 &amp; "/pencil/sn_f9859e1d25adfcd6f7d8f4e8adee4536/rendering/02.obj", "3.30436340332")</f>
        <v>3.30436340332</v>
      </c>
      <c r="F2352" s="39" t="str">
        <f>HYPERLINK(AA2 &amp; "/pencil/sn_f9859e1d25adfcd6f7d8f4e8adee4536/rendering/03.obj", "2.90956237793")</f>
        <v>2.90956237793</v>
      </c>
      <c r="G2352" s="133" t="str">
        <f>HYPERLINK(AA2 &amp; "/pencil/sn_f9859e1d25adfcd6f7d8f4e8adee4536/rendering/04.obj", "3.51105957031")</f>
        <v>3.51105957031</v>
      </c>
      <c r="H2352" s="67" t="str">
        <f>HYPERLINK(AA2 &amp; "/pencil/sn_f9859e1d25adfcd6f7d8f4e8adee4536/rendering/05.obj", "3.47699401855")</f>
        <v>3.47699401855</v>
      </c>
      <c r="I2352" s="39" t="str">
        <f>HYPERLINK(AA2 &amp; "/pencil/sn_f9859e1d25adfcd6f7d8f4e8adee4536/rendering/06.obj", "2.90671783447")</f>
        <v>2.90671783447</v>
      </c>
      <c r="J2352" s="72" t="str">
        <f>HYPERLINK(AA2 &amp; "/pencil/sn_f9859e1d25adfcd6f7d8f4e8adee4536/rendering/07.obj", "3.28712677002")</f>
        <v>3.28712677002</v>
      </c>
      <c r="K2352" s="72" t="str">
        <f>HYPERLINK(AA2 &amp; "/pencil/sn_f9859e1d25adfcd6f7d8f4e8adee4536/rendering/08.obj", "3.08248504639")</f>
        <v>3.08248504639</v>
      </c>
      <c r="L2352" s="94" t="str">
        <f>HYPERLINK(AA2 &amp; "/pencil/sn_f9859e1d25adfcd6f7d8f4e8adee4536/rendering/09.obj", "2.94733093262")</f>
        <v>2.94733093262</v>
      </c>
      <c r="M2352" s="92" t="str">
        <f>HYPERLINK(AA2 &amp; "/pencil/sn_f9859e1d25adfcd6f7d8f4e8adee4536/rendering/10.obj", "3.57411682129")</f>
        <v>3.57411682129</v>
      </c>
      <c r="N2352" s="41" t="str">
        <f>HYPERLINK(AA2 &amp; "/pencil/sn_f9859e1d25adfcd6f7d8f4e8adee4536/rendering/11.obj", "3.39870788574")</f>
        <v>3.39870788574</v>
      </c>
      <c r="O2352" s="74" t="str">
        <f>HYPERLINK(AA2 &amp; "/pencil/sn_f9859e1d25adfcd6f7d8f4e8adee4536/rendering/12.obj", "3.22652069092")</f>
        <v>3.22652069092</v>
      </c>
      <c r="P2352" s="41" t="str">
        <f>HYPERLINK(AA2 &amp; "/pencil/sn_f9859e1d25adfcd6f7d8f4e8adee4536/rendering/13.obj", "2.96451843262")</f>
        <v>2.96451843262</v>
      </c>
      <c r="Q2352" s="47" t="str">
        <f>HYPERLINK(AA2 &amp; "/pencil/sn_f9859e1d25adfcd6f7d8f4e8adee4536/rendering/14.obj", "3.15405639648")</f>
        <v>3.15405639648</v>
      </c>
      <c r="R2352" s="72" t="str">
        <f>HYPERLINK(AA2 &amp; "/pencil/sn_f9859e1d25adfcd6f7d8f4e8adee4536/rendering/15.obj", "3.28434051514")</f>
        <v>3.28434051514</v>
      </c>
      <c r="S2352" s="38" t="str">
        <f>HYPERLINK(AA2 &amp; "/pencil/sn_f9859e1d25adfcd6f7d8f4e8adee4536/rendering/16.obj", "2.89431335449")</f>
        <v>2.89431335449</v>
      </c>
      <c r="T2352" s="91" t="str">
        <f>HYPERLINK(AA2 &amp; "/pencil/sn_f9859e1d25adfcd6f7d8f4e8adee4536/rendering/17.obj", "3.09949890137")</f>
        <v>3.09949890137</v>
      </c>
      <c r="U2352" s="107" t="str">
        <f>HYPERLINK(AA2 &amp; "/pencil/sn_f9859e1d25adfcd6f7d8f4e8adee4536/rendering/18.obj", "2.92096313477")</f>
        <v>2.92096313477</v>
      </c>
      <c r="V2352" s="67" t="str">
        <f>HYPERLINK(AA2 &amp; "/pencil/sn_f9859e1d25adfcd6f7d8f4e8adee4536/rendering/19.obj", "2.88478393555")</f>
        <v>2.88478393555</v>
      </c>
      <c r="W2352" s="12" t="s">
        <v>29</v>
      </c>
      <c r="X2352" s="13">
        <v>3.1836943511962899</v>
      </c>
      <c r="Y2352" s="13">
        <v>0.2302278662212601</v>
      </c>
      <c r="Z2352" s="94">
        <v>7.2314688793775311E-2</v>
      </c>
    </row>
    <row r="2353" spans="1:26" x14ac:dyDescent="0.2">
      <c r="A2353" s="1">
        <v>2351</v>
      </c>
      <c r="B2353" s="2" t="s">
        <v>503</v>
      </c>
      <c r="C2353" s="90" t="str">
        <f>HYPERLINK(AA2 &amp; "/pencil/sn_f9859e1d25adfcd6f7d8f4e8adee4536/rendering/00.obj", "1.18622505665")</f>
        <v>1.18622505665</v>
      </c>
      <c r="D2353" s="10" t="str">
        <f>HYPERLINK(AA2 &amp; "/pencil/sn_f9859e1d25adfcd6f7d8f4e8adee4536/rendering/01.obj", "1.02469706535")</f>
        <v>1.02469706535</v>
      </c>
      <c r="E2353" s="26" t="str">
        <f>HYPERLINK(AA2 &amp; "/pencil/sn_f9859e1d25adfcd6f7d8f4e8adee4536/rendering/02.obj", "1.01300668716")</f>
        <v>1.01300668716</v>
      </c>
      <c r="F2353" s="74" t="str">
        <f>HYPERLINK(AA2 &amp; "/pencil/sn_f9859e1d25adfcd6f7d8f4e8adee4536/rendering/03.obj", "1.06848275661")</f>
        <v>1.06848275661</v>
      </c>
      <c r="G2353" s="168" t="str">
        <f>HYPERLINK(AA2 &amp; "/pencil/sn_f9859e1d25adfcd6f7d8f4e8adee4536/rendering/04.obj", "1.43196606636")</f>
        <v>1.43196606636</v>
      </c>
      <c r="H2353" s="23" t="str">
        <f>HYPERLINK(AA2 &amp; "/pencil/sn_f9859e1d25adfcd6f7d8f4e8adee4536/rendering/05.obj", "1.12682402134")</f>
        <v>1.12682402134</v>
      </c>
      <c r="I2353" s="41" t="str">
        <f>HYPERLINK(AA2 &amp; "/pencil/sn_f9859e1d25adfcd6f7d8f4e8adee4536/rendering/06.obj", "1.01150894165")</f>
        <v>1.01150894165</v>
      </c>
      <c r="J2353" s="108" t="str">
        <f>HYPERLINK(AA2 &amp; "/pencil/sn_f9859e1d25adfcd6f7d8f4e8adee4536/rendering/07.obj", "1.35143792629")</f>
        <v>1.35143792629</v>
      </c>
      <c r="K2353" s="67" t="str">
        <f>HYPERLINK(AA2 &amp; "/pencil/sn_f9859e1d25adfcd6f7d8f4e8adee4536/rendering/08.obj", "0.984074294567")</f>
        <v>0.984074294567</v>
      </c>
      <c r="L2353" s="71" t="str">
        <f>HYPERLINK(AA2 &amp; "/pencil/sn_f9859e1d25adfcd6f7d8f4e8adee4536/rendering/09.obj", "0.956445872784")</f>
        <v>0.956445872784</v>
      </c>
      <c r="M2353" s="36" t="str">
        <f>HYPERLINK(AA2 &amp; "/pencil/sn_f9859e1d25adfcd6f7d8f4e8adee4536/rendering/10.obj", "1.31689476967")</f>
        <v>1.31689476967</v>
      </c>
      <c r="N2353" s="26" t="str">
        <f>HYPERLINK(AA2 &amp; "/pencil/sn_f9859e1d25adfcd6f7d8f4e8adee4536/rendering/11.obj", "1.01278066635")</f>
        <v>1.01278066635</v>
      </c>
      <c r="O2353" s="80" t="str">
        <f>HYPERLINK(AA2 &amp; "/pencil/sn_f9859e1d25adfcd6f7d8f4e8adee4536/rendering/12.obj", "0.922115206718")</f>
        <v>0.922115206718</v>
      </c>
      <c r="P2353" s="25" t="str">
        <f>HYPERLINK(AA2 &amp; "/pencil/sn_f9859e1d25adfcd6f7d8f4e8adee4536/rendering/13.obj", "1.09381079674")</f>
        <v>1.09381079674</v>
      </c>
      <c r="Q2353" s="5" t="str">
        <f>HYPERLINK(AA2 &amp; "/pencil/sn_f9859e1d25adfcd6f7d8f4e8adee4536/rendering/14.obj", "0.998398959637")</f>
        <v>0.998398959637</v>
      </c>
      <c r="R2353" s="94" t="str">
        <f>HYPERLINK(AA2 &amp; "/pencil/sn_f9859e1d25adfcd6f7d8f4e8adee4536/rendering/15.obj", "1.16239082813")</f>
        <v>1.16239082813</v>
      </c>
      <c r="S2353" s="84" t="str">
        <f>HYPERLINK(AA2 &amp; "/pencil/sn_f9859e1d25adfcd6f7d8f4e8adee4536/rendering/16.obj", "0.926351308823")</f>
        <v>0.926351308823</v>
      </c>
      <c r="T2353" s="5" t="str">
        <f>HYPERLINK(AA2 &amp; "/pencil/sn_f9859e1d25adfcd6f7d8f4e8adee4536/rendering/17.obj", "1.16796851158")</f>
        <v>1.16796851158</v>
      </c>
      <c r="U2353" s="33" t="str">
        <f>HYPERLINK(AA2 &amp; "/pencil/sn_f9859e1d25adfcd6f7d8f4e8adee4536/rendering/18.obj", "0.966499567032")</f>
        <v>0.966499567032</v>
      </c>
      <c r="V2353" s="29" t="str">
        <f>HYPERLINK(AA2 &amp; "/pencil/sn_f9859e1d25adfcd6f7d8f4e8adee4536/rendering/19.obj", "0.943280398846")</f>
        <v>0.943280398846</v>
      </c>
      <c r="W2353" s="12" t="s">
        <v>30</v>
      </c>
      <c r="X2353" s="13">
        <v>1.083257985115051</v>
      </c>
      <c r="Y2353" s="13">
        <v>0.1431404987929773</v>
      </c>
      <c r="Z2353" s="65">
        <v>0.13213888174364541</v>
      </c>
    </row>
    <row r="2354" spans="1:26" x14ac:dyDescent="0.2">
      <c r="A2354" s="1">
        <v>2352</v>
      </c>
      <c r="B2354" s="2" t="s">
        <v>503</v>
      </c>
      <c r="C2354" s="78" t="str">
        <f>HYPERLINK(AB2 &amp; "/pencil/sn_f9859e1d25adfcd6f7d8f4e8adee4536/rendering/00.obj", "5.45329833984")</f>
        <v>5.45329833984</v>
      </c>
      <c r="D2354" s="69" t="str">
        <f>HYPERLINK(AB2 &amp; "/pencil/sn_f9859e1d25adfcd6f7d8f4e8adee4536/rendering/01.obj", "5.29417358398")</f>
        <v>5.29417358398</v>
      </c>
      <c r="E2354" s="78" t="str">
        <f>HYPERLINK(AB2 &amp; "/pencil/sn_f9859e1d25adfcd6f7d8f4e8adee4536/rendering/02.obj", "4.82740356445")</f>
        <v>4.82740356445</v>
      </c>
      <c r="F2354" s="34" t="str">
        <f>HYPERLINK(AB2 &amp; "/pencil/sn_f9859e1d25adfcd6f7d8f4e8adee4536/rendering/03.obj", "4.89565124512")</f>
        <v>4.89565124512</v>
      </c>
      <c r="G2354" s="41" t="str">
        <f>HYPERLINK(AB2 &amp; "/pencil/sn_f9859e1d25adfcd6f7d8f4e8adee4536/rendering/04.obj", "4.78801177979")</f>
        <v>4.78801177979</v>
      </c>
      <c r="H2354" s="46" t="str">
        <f>HYPERLINK(AB2 &amp; "/pencil/sn_f9859e1d25adfcd6f7d8f4e8adee4536/rendering/05.obj", "5.22938659668")</f>
        <v>5.22938659668</v>
      </c>
      <c r="I2354" s="17" t="str">
        <f>HYPERLINK(AB2 &amp; "/pencil/sn_f9859e1d25adfcd6f7d8f4e8adee4536/rendering/06.obj", "5.03973510742")</f>
        <v>5.03973510742</v>
      </c>
      <c r="J2354" s="110" t="str">
        <f>HYPERLINK(AB2 &amp; "/pencil/sn_f9859e1d25adfcd6f7d8f4e8adee4536/rendering/07.obj", "4.62963867188")</f>
        <v>4.62963867188</v>
      </c>
      <c r="K2354" s="17" t="str">
        <f>HYPERLINK(AB2 &amp; "/pencil/sn_f9859e1d25adfcd6f7d8f4e8adee4536/rendering/08.obj", "5.24305419922")</f>
        <v>5.24305419922</v>
      </c>
      <c r="L2354" s="51" t="str">
        <f>HYPERLINK(AB2 &amp; "/pencil/sn_f9859e1d25adfcd6f7d8f4e8adee4536/rendering/09.obj", "5.56060668945")</f>
        <v>5.56060668945</v>
      </c>
      <c r="M2354" s="17" t="str">
        <f>HYPERLINK(AB2 &amp; "/pencil/sn_f9859e1d25adfcd6f7d8f4e8adee4536/rendering/10.obj", "5.2520111084")</f>
        <v>5.2520111084</v>
      </c>
      <c r="N2354" s="68" t="str">
        <f>HYPERLINK(AB2 &amp; "/pencil/sn_f9859e1d25adfcd6f7d8f4e8adee4536/rendering/11.obj", "4.92362365723")</f>
        <v>4.92362365723</v>
      </c>
      <c r="O2354" s="51" t="str">
        <f>HYPERLINK(AB2 &amp; "/pencil/sn_f9859e1d25adfcd6f7d8f4e8adee4536/rendering/12.obj", "5.55028381348")</f>
        <v>5.55028381348</v>
      </c>
      <c r="P2354" s="46" t="str">
        <f>HYPERLINK(AB2 &amp; "/pencil/sn_f9859e1d25adfcd6f7d8f4e8adee4536/rendering/13.obj", "5.0521774292")</f>
        <v>5.0521774292</v>
      </c>
      <c r="Q2354" s="51" t="str">
        <f>HYPERLINK(AB2 &amp; "/pencil/sn_f9859e1d25adfcd6f7d8f4e8adee4536/rendering/14.obj", "5.55120239258")</f>
        <v>5.55120239258</v>
      </c>
      <c r="R2354" s="30" t="str">
        <f>HYPERLINK(AB2 &amp; "/pencil/sn_f9859e1d25adfcd6f7d8f4e8adee4536/rendering/15.obj", "5.1734197998")</f>
        <v>5.1734197998</v>
      </c>
      <c r="S2354" s="35" t="str">
        <f>HYPERLINK(AB2 &amp; "/pencil/sn_f9859e1d25adfcd6f7d8f4e8adee4536/rendering/16.obj", "4.83872253418")</f>
        <v>4.83872253418</v>
      </c>
      <c r="T2354" s="72" t="str">
        <f>HYPERLINK(AB2 &amp; "/pencil/sn_f9859e1d25adfcd6f7d8f4e8adee4536/rendering/17.obj", "5.31311401367")</f>
        <v>5.31311401367</v>
      </c>
      <c r="U2354" s="30" t="str">
        <f>HYPERLINK(AB2 &amp; "/pencil/sn_f9859e1d25adfcd6f7d8f4e8adee4536/rendering/18.obj", "5.17092895508")</f>
        <v>5.17092895508</v>
      </c>
      <c r="V2354" s="17" t="str">
        <f>HYPERLINK(AB2 &amp; "/pencil/sn_f9859e1d25adfcd6f7d8f4e8adee4536/rendering/19.obj", "5.04062408447")</f>
        <v>5.04062408447</v>
      </c>
      <c r="W2354" s="12" t="s">
        <v>31</v>
      </c>
      <c r="X2354" s="13">
        <v>5.1413533782958982</v>
      </c>
      <c r="Y2354" s="13">
        <v>0.26518229342336352</v>
      </c>
      <c r="Z2354" s="60">
        <v>5.1578305148761848E-2</v>
      </c>
    </row>
    <row r="2355" spans="1:26" x14ac:dyDescent="0.2">
      <c r="A2355" s="1">
        <v>2353</v>
      </c>
      <c r="B2355" s="2" t="s">
        <v>503</v>
      </c>
      <c r="C2355" s="44" t="str">
        <f>HYPERLINK(AB2 &amp; "/pencil/sn_f9859e1d25adfcd6f7d8f4e8adee4536/rendering/00.obj", "1.72144341469")</f>
        <v>1.72144341469</v>
      </c>
      <c r="D2355" s="10" t="str">
        <f>HYPERLINK(AB2 &amp; "/pencil/sn_f9859e1d25adfcd6f7d8f4e8adee4536/rendering/01.obj", "1.51717400551")</f>
        <v>1.51717400551</v>
      </c>
      <c r="E2355" s="99" t="str">
        <f>HYPERLINK(AB2 &amp; "/pencil/sn_f9859e1d25adfcd6f7d8f4e8adee4536/rendering/02.obj", "1.04861676693")</f>
        <v>1.04861676693</v>
      </c>
      <c r="F2355" s="69" t="str">
        <f>HYPERLINK(AB2 &amp; "/pencil/sn_f9859e1d25adfcd6f7d8f4e8adee4536/rendering/03.obj", "1.3961417675")</f>
        <v>1.3961417675</v>
      </c>
      <c r="G2355" s="29" t="str">
        <f>HYPERLINK(AB2 &amp; "/pencil/sn_f9859e1d25adfcd6f7d8f4e8adee4536/rendering/04.obj", "1.25322008133")</f>
        <v>1.25322008133</v>
      </c>
      <c r="H2355" s="94" t="str">
        <f>HYPERLINK(AB2 &amp; "/pencil/sn_f9859e1d25adfcd6f7d8f4e8adee4536/rendering/05.obj", "1.54613423347")</f>
        <v>1.54613423347</v>
      </c>
      <c r="I2355" s="32" t="str">
        <f>HYPERLINK(AB2 &amp; "/pencil/sn_f9859e1d25adfcd6f7d8f4e8adee4536/rendering/06.obj", "1.28543114662")</f>
        <v>1.28543114662</v>
      </c>
      <c r="J2355" s="76" t="str">
        <f>HYPERLINK(AB2 &amp; "/pencil/sn_f9859e1d25adfcd6f7d8f4e8adee4536/rendering/07.obj", "1.17226409912")</f>
        <v>1.17226409912</v>
      </c>
      <c r="K2355" s="30" t="str">
        <f>HYPERLINK(AB2 &amp; "/pencil/sn_f9859e1d25adfcd6f7d8f4e8adee4536/rendering/08.obj", "1.44675350189")</f>
        <v>1.44675350189</v>
      </c>
      <c r="L2355" s="66" t="str">
        <f>HYPERLINK(AB2 &amp; "/pencil/sn_f9859e1d25adfcd6f7d8f4e8adee4536/rendering/09.obj", "1.66937351227")</f>
        <v>1.66937351227</v>
      </c>
      <c r="M2355" s="78" t="str">
        <f>HYPERLINK(AB2 &amp; "/pencil/sn_f9859e1d25adfcd6f7d8f4e8adee4536/rendering/10.obj", "1.52670395374")</f>
        <v>1.52670395374</v>
      </c>
      <c r="N2355" s="14" t="str">
        <f>HYPERLINK(AB2 &amp; "/pencil/sn_f9859e1d25adfcd6f7d8f4e8adee4536/rendering/11.obj", "1.01937258244")</f>
        <v>1.01937258244</v>
      </c>
      <c r="O2355" s="88" t="str">
        <f>HYPERLINK(AB2 &amp; "/pencil/sn_f9859e1d25adfcd6f7d8f4e8adee4536/rendering/12.obj", "1.73026669025")</f>
        <v>1.73026669025</v>
      </c>
      <c r="P2355" s="78" t="str">
        <f>HYPERLINK(AB2 &amp; "/pencil/sn_f9859e1d25adfcd6f7d8f4e8adee4536/rendering/13.obj", "1.52582144737")</f>
        <v>1.52582144737</v>
      </c>
      <c r="Q2355" s="134" t="str">
        <f>HYPERLINK(AB2 &amp; "/pencil/sn_f9859e1d25adfcd6f7d8f4e8adee4536/rendering/14.obj", "1.69770693779")</f>
        <v>1.69770693779</v>
      </c>
      <c r="R2355" s="25" t="str">
        <f>HYPERLINK(AB2 &amp; "/pencil/sn_f9859e1d25adfcd6f7d8f4e8adee4536/rendering/15.obj", "1.42426383495")</f>
        <v>1.42426383495</v>
      </c>
      <c r="S2355" s="70" t="str">
        <f>HYPERLINK(AB2 &amp; "/pencil/sn_f9859e1d25adfcd6f7d8f4e8adee4536/rendering/16.obj", "1.25587105751")</f>
        <v>1.25587105751</v>
      </c>
      <c r="T2355" s="77" t="str">
        <f>HYPERLINK(AB2 &amp; "/pencil/sn_f9859e1d25adfcd6f7d8f4e8adee4536/rendering/17.obj", "1.70899188519")</f>
        <v>1.70899188519</v>
      </c>
      <c r="U2355" s="33" t="str">
        <f>HYPERLINK(AB2 &amp; "/pencil/sn_f9859e1d25adfcd6f7d8f4e8adee4536/rendering/18.obj", "1.28148984909")</f>
        <v>1.28148984909</v>
      </c>
      <c r="V2355" s="27" t="str">
        <f>HYPERLINK(AB2 &amp; "/pencil/sn_f9859e1d25adfcd6f7d8f4e8adee4536/rendering/19.obj", "1.5396258831")</f>
        <v>1.5396258831</v>
      </c>
      <c r="W2355" s="12" t="s">
        <v>32</v>
      </c>
      <c r="X2355" s="13">
        <v>1.438333332538605</v>
      </c>
      <c r="Y2355" s="13">
        <v>0.21431688835014931</v>
      </c>
      <c r="Z2355" s="80">
        <v>0.14900363045323289</v>
      </c>
    </row>
    <row r="2356" spans="1:26" x14ac:dyDescent="0.2">
      <c r="A2356" s="1">
        <v>2354</v>
      </c>
      <c r="B2356" s="2" t="s">
        <v>503</v>
      </c>
      <c r="C2356" s="13" t="str">
        <f>HYPERLINK(AC2 &amp; "/pencil/sn_f9859e1d25adfcd6f7d8f4e8adee4536/rendering/00.xyz", "0.0")</f>
        <v>0.0</v>
      </c>
      <c r="D2356" s="13" t="str">
        <f>HYPERLINK(AC2 &amp; "/pencil/sn_f9859e1d25adfcd6f7d8f4e8adee4536/rendering/01.xyz", "0.0")</f>
        <v>0.0</v>
      </c>
      <c r="E2356" s="13" t="str">
        <f>HYPERLINK(AC2 &amp; "/pencil/sn_f9859e1d25adfcd6f7d8f4e8adee4536/rendering/02.xyz", "0.0")</f>
        <v>0.0</v>
      </c>
      <c r="F2356" s="13" t="str">
        <f>HYPERLINK(AC2 &amp; "/pencil/sn_f9859e1d25adfcd6f7d8f4e8adee4536/rendering/03.xyz", "0.0")</f>
        <v>0.0</v>
      </c>
      <c r="G2356" s="13" t="str">
        <f>HYPERLINK(AC2 &amp; "/pencil/sn_f9859e1d25adfcd6f7d8f4e8adee4536/rendering/04.xyz", "0.0")</f>
        <v>0.0</v>
      </c>
      <c r="H2356" s="13" t="str">
        <f>HYPERLINK(AC2 &amp; "/pencil/sn_f9859e1d25adfcd6f7d8f4e8adee4536/rendering/05.xyz", "0.0")</f>
        <v>0.0</v>
      </c>
      <c r="I2356" s="13" t="str">
        <f>HYPERLINK(AC2 &amp; "/pencil/sn_f9859e1d25adfcd6f7d8f4e8adee4536/rendering/06.xyz", "0.0")</f>
        <v>0.0</v>
      </c>
      <c r="J2356" s="13" t="str">
        <f>HYPERLINK(AC2 &amp; "/pencil/sn_f9859e1d25adfcd6f7d8f4e8adee4536/rendering/07.xyz", "0.0")</f>
        <v>0.0</v>
      </c>
      <c r="K2356" s="13" t="str">
        <f>HYPERLINK(AC2 &amp; "/pencil/sn_f9859e1d25adfcd6f7d8f4e8adee4536/rendering/08.xyz", "0.0")</f>
        <v>0.0</v>
      </c>
      <c r="L2356" s="13" t="str">
        <f>HYPERLINK(AC2 &amp; "/pencil/sn_f9859e1d25adfcd6f7d8f4e8adee4536/rendering/09.xyz", "0.0")</f>
        <v>0.0</v>
      </c>
      <c r="M2356" s="13" t="str">
        <f>HYPERLINK(AC2 &amp; "/pencil/sn_f9859e1d25adfcd6f7d8f4e8adee4536/rendering/10.xyz", "0.0")</f>
        <v>0.0</v>
      </c>
      <c r="N2356" s="13" t="str">
        <f>HYPERLINK(AC2 &amp; "/pencil/sn_f9859e1d25adfcd6f7d8f4e8adee4536/rendering/11.xyz", "0.0")</f>
        <v>0.0</v>
      </c>
      <c r="O2356" s="13" t="str">
        <f>HYPERLINK(AC2 &amp; "/pencil/sn_f9859e1d25adfcd6f7d8f4e8adee4536/rendering/12.xyz", "0.0")</f>
        <v>0.0</v>
      </c>
      <c r="P2356" s="13" t="str">
        <f>HYPERLINK(AC2 &amp; "/pencil/sn_f9859e1d25adfcd6f7d8f4e8adee4536/rendering/13.xyz", "0.0")</f>
        <v>0.0</v>
      </c>
      <c r="Q2356" s="13" t="str">
        <f>HYPERLINK(AC2 &amp; "/pencil/sn_f9859e1d25adfcd6f7d8f4e8adee4536/rendering/14.xyz", "0.0")</f>
        <v>0.0</v>
      </c>
      <c r="R2356" s="13" t="str">
        <f>HYPERLINK(AC2 &amp; "/pencil/sn_f9859e1d25adfcd6f7d8f4e8adee4536/rendering/15.xyz", "0.0")</f>
        <v>0.0</v>
      </c>
      <c r="S2356" s="13" t="str">
        <f>HYPERLINK(AC2 &amp; "/pencil/sn_f9859e1d25adfcd6f7d8f4e8adee4536/rendering/16.xyz", "0.0")</f>
        <v>0.0</v>
      </c>
      <c r="T2356" s="13" t="str">
        <f>HYPERLINK(AC2 &amp; "/pencil/sn_f9859e1d25adfcd6f7d8f4e8adee4536/rendering/17.xyz", "0.0")</f>
        <v>0.0</v>
      </c>
      <c r="U2356" s="13" t="str">
        <f>HYPERLINK(AC2 &amp; "/pencil/sn_f9859e1d25adfcd6f7d8f4e8adee4536/rendering/18.xyz", "0.0")</f>
        <v>0.0</v>
      </c>
      <c r="V2356" s="13" t="str">
        <f>HYPERLINK(AC2 &amp; "/pencil/sn_f9859e1d25adfcd6f7d8f4e8adee4536/rendering/19.xyz", "0.0")</f>
        <v>0.0</v>
      </c>
      <c r="W2356" s="12" t="s">
        <v>33</v>
      </c>
      <c r="X2356" s="13">
        <v>0</v>
      </c>
      <c r="Y2356" s="13">
        <v>0</v>
      </c>
      <c r="Z2356" s="13">
        <v>0</v>
      </c>
    </row>
    <row r="2357" spans="1:26" x14ac:dyDescent="0.2">
      <c r="A2357" s="1">
        <v>2355</v>
      </c>
      <c r="B2357" s="2" t="s">
        <v>504</v>
      </c>
      <c r="C2357" s="20" t="str">
        <f>HYPERLINK(AA2 &amp; "/pencil/sn_f9a43250dbd5820a77f3cf94e2459f6b/rendering/00.obj", "14.1831591797")</f>
        <v>14.1831591797</v>
      </c>
      <c r="D2357" s="109" t="str">
        <f>HYPERLINK(AA2 &amp; "/pencil/sn_f9a43250dbd5820a77f3cf94e2459f6b/rendering/01.obj", "5.3720123291")</f>
        <v>5.3720123291</v>
      </c>
      <c r="E2357" s="58" t="str">
        <f>HYPERLINK(AA2 &amp; "/pencil/sn_f9a43250dbd5820a77f3cf94e2459f6b/rendering/02.obj", "3.41638061523")</f>
        <v>3.41638061523</v>
      </c>
      <c r="F2357" s="106" t="str">
        <f>HYPERLINK(AA2 &amp; "/pencil/sn_f9a43250dbd5820a77f3cf94e2459f6b/rendering/03.obj", "3.99657043457")</f>
        <v>3.99657043457</v>
      </c>
      <c r="G2357" s="36" t="str">
        <f>HYPERLINK(AA2 &amp; "/pencil/sn_f9a43250dbd5820a77f3cf94e2459f6b/rendering/04.obj", "3.54377197266")</f>
        <v>3.54377197266</v>
      </c>
      <c r="H2357" s="14" t="str">
        <f>HYPERLINK(AA2 &amp; "/pencil/sn_f9a43250dbd5820a77f3cf94e2459f6b/rendering/05.obj", "3.20610168457")</f>
        <v>3.20610168457</v>
      </c>
      <c r="I2357" s="13" t="str">
        <f>HYPERLINK(AA2 &amp; "/pencil/sn_f9a43250dbd5820a77f3cf94e2459f6b/rendering/06.obj", "4.51109680176")</f>
        <v>4.51109680176</v>
      </c>
      <c r="J2357" s="81" t="str">
        <f>HYPERLINK(AA2 &amp; "/pencil/sn_f9a43250dbd5820a77f3cf94e2459f6b/rendering/07.obj", "3.52797912598")</f>
        <v>3.52797912598</v>
      </c>
      <c r="K2357" s="71" t="str">
        <f>HYPERLINK(AA2 &amp; "/pencil/sn_f9a43250dbd5820a77f3cf94e2459f6b/rendering/08.obj", "3.97616424561")</f>
        <v>3.97616424561</v>
      </c>
      <c r="L2357" s="49" t="str">
        <f>HYPERLINK(AA2 &amp; "/pencil/sn_f9a43250dbd5820a77f3cf94e2459f6b/rendering/09.obj", "3.56181091309")</f>
        <v>3.56181091309</v>
      </c>
      <c r="M2357" s="95" t="str">
        <f>HYPERLINK(AA2 &amp; "/pencil/sn_f9a43250dbd5820a77f3cf94e2459f6b/rendering/10.obj", "3.24622070313")</f>
        <v>3.24622070313</v>
      </c>
      <c r="N2357" s="13" t="str">
        <f>HYPERLINK(AA2 &amp; "/pencil/sn_f9a43250dbd5820a77f3cf94e2459f6b/rendering/11.obj", "4.52297943115")</f>
        <v>4.52297943115</v>
      </c>
      <c r="O2357" s="175" t="str">
        <f>HYPERLINK(AA2 &amp; "/pencil/sn_f9a43250dbd5820a77f3cf94e2459f6b/rendering/12.obj", "3.4520916748")</f>
        <v>3.4520916748</v>
      </c>
      <c r="P2357" s="113" t="str">
        <f>HYPERLINK(AA2 &amp; "/pencil/sn_f9a43250dbd5820a77f3cf94e2459f6b/rendering/13.obj", "3.26554229736")</f>
        <v>3.26554229736</v>
      </c>
      <c r="Q2357" s="91" t="str">
        <f>HYPERLINK(AA2 &amp; "/pencil/sn_f9a43250dbd5820a77f3cf94e2459f6b/rendering/14.obj", "4.63345703125")</f>
        <v>4.63345703125</v>
      </c>
      <c r="R2357" s="217" t="str">
        <f>HYPERLINK(AA2 &amp; "/pencil/sn_f9a43250dbd5820a77f3cf94e2459f6b/rendering/15.obj", "7.35349243164")</f>
        <v>7.35349243164</v>
      </c>
      <c r="S2357" s="82" t="str">
        <f>HYPERLINK(AA2 &amp; "/pencil/sn_f9a43250dbd5820a77f3cf94e2459f6b/rendering/16.obj", "3.57573974609")</f>
        <v>3.57573974609</v>
      </c>
      <c r="T2357" s="19" t="str">
        <f>HYPERLINK(AA2 &amp; "/pencil/sn_f9a43250dbd5820a77f3cf94e2459f6b/rendering/17.obj", "3.3217401123")</f>
        <v>3.3217401123</v>
      </c>
      <c r="U2357" s="92" t="str">
        <f>HYPERLINK(AA2 &amp; "/pencil/sn_f9a43250dbd5820a77f3cf94e2459f6b/rendering/18.obj", "3.95470397949")</f>
        <v>3.95470397949</v>
      </c>
      <c r="V2357" s="49" t="str">
        <f>HYPERLINK(AA2 &amp; "/pencil/sn_f9a43250dbd5820a77f3cf94e2459f6b/rendering/19.obj", "3.56354125977")</f>
        <v>3.56354125977</v>
      </c>
      <c r="W2357" s="12" t="s">
        <v>29</v>
      </c>
      <c r="X2357" s="13">
        <v>4.5092277984619136</v>
      </c>
      <c r="Y2357" s="13">
        <v>2.412567262482654</v>
      </c>
      <c r="Z2357" s="177">
        <v>0.53502891632699823</v>
      </c>
    </row>
    <row r="2358" spans="1:26" x14ac:dyDescent="0.2">
      <c r="A2358" s="1">
        <v>2356</v>
      </c>
      <c r="B2358" s="2" t="s">
        <v>504</v>
      </c>
      <c r="C2358" s="20" t="str">
        <f>HYPERLINK(AA2 &amp; "/pencil/sn_f9a43250dbd5820a77f3cf94e2459f6b/rendering/00.obj", "20.1663303375")</f>
        <v>20.1663303375</v>
      </c>
      <c r="D2358" s="64" t="str">
        <f>HYPERLINK(AA2 &amp; "/pencil/sn_f9a43250dbd5820a77f3cf94e2459f6b/rendering/01.obj", "3.72997927666")</f>
        <v>3.72997927666</v>
      </c>
      <c r="E2358" s="226" t="str">
        <f>HYPERLINK(AA2 &amp; "/pencil/sn_f9a43250dbd5820a77f3cf94e2459f6b/rendering/02.obj", "1.3966947794")</f>
        <v>1.3966947794</v>
      </c>
      <c r="F2358" s="118" t="str">
        <f>HYPERLINK(AA2 &amp; "/pencil/sn_f9a43250dbd5820a77f3cf94e2459f6b/rendering/03.obj", "2.25912237167")</f>
        <v>2.25912237167</v>
      </c>
      <c r="G2358" s="226" t="str">
        <f>HYPERLINK(AA2 &amp; "/pencil/sn_f9a43250dbd5820a77f3cf94e2459f6b/rendering/04.obj", "1.3998888731")</f>
        <v>1.3998888731</v>
      </c>
      <c r="H2358" s="132" t="str">
        <f>HYPERLINK(AA2 &amp; "/pencil/sn_f9a43250dbd5820a77f3cf94e2459f6b/rendering/05.obj", "1.8571254015")</f>
        <v>1.8571254015</v>
      </c>
      <c r="I2358" s="32" t="str">
        <f>HYPERLINK(AA2 &amp; "/pencil/sn_f9a43250dbd5820a77f3cf94e2459f6b/rendering/06.obj", "2.86424398422")</f>
        <v>2.86424398422</v>
      </c>
      <c r="J2358" s="186" t="str">
        <f>HYPERLINK(AA2 &amp; "/pencil/sn_f9a43250dbd5820a77f3cf94e2459f6b/rendering/07.obj", "1.2812435627")</f>
        <v>1.2812435627</v>
      </c>
      <c r="K2358" s="121" t="str">
        <f>HYPERLINK(AA2 &amp; "/pencil/sn_f9a43250dbd5820a77f3cf94e2459f6b/rendering/08.obj", "2.07553100586")</f>
        <v>2.07553100586</v>
      </c>
      <c r="L2358" s="161" t="str">
        <f>HYPERLINK(AA2 &amp; "/pencil/sn_f9a43250dbd5820a77f3cf94e2459f6b/rendering/09.obj", "1.32932114601")</f>
        <v>1.32932114601</v>
      </c>
      <c r="M2358" s="223" t="str">
        <f>HYPERLINK(AA2 &amp; "/pencil/sn_f9a43250dbd5820a77f3cf94e2459f6b/rendering/10.obj", "1.406894207")</f>
        <v>1.406894207</v>
      </c>
      <c r="N2358" s="129" t="str">
        <f>HYPERLINK(AA2 &amp; "/pencil/sn_f9a43250dbd5820a77f3cf94e2459f6b/rendering/11.obj", "3.99920868874")</f>
        <v>3.99920868874</v>
      </c>
      <c r="O2358" s="62" t="str">
        <f>HYPERLINK(AA2 &amp; "/pencil/sn_f9a43250dbd5820a77f3cf94e2459f6b/rendering/12.obj", "1.285176754")</f>
        <v>1.285176754</v>
      </c>
      <c r="P2358" s="241" t="str">
        <f>HYPERLINK(AA2 &amp; "/pencil/sn_f9a43250dbd5820a77f3cf94e2459f6b/rendering/13.obj", "1.14950799942")</f>
        <v>1.14950799942</v>
      </c>
      <c r="Q2358" s="66" t="str">
        <f>HYPERLINK(AA2 &amp; "/pencil/sn_f9a43250dbd5820a77f3cf94e2459f6b/rendering/14.obj", "3.71949887276")</f>
        <v>3.71949887276</v>
      </c>
      <c r="R2358" s="20" t="str">
        <f>HYPERLINK(AA2 &amp; "/pencil/sn_f9a43250dbd5820a77f3cf94e2459f6b/rendering/15.obj", "7.15018081665")</f>
        <v>7.15018081665</v>
      </c>
      <c r="S2358" s="16" t="str">
        <f>HYPERLINK(AA2 &amp; "/pencil/sn_f9a43250dbd5820a77f3cf94e2459f6b/rendering/16.obj", "1.4608259201")</f>
        <v>1.4608259201</v>
      </c>
      <c r="T2358" s="252" t="str">
        <f>HYPERLINK(AA2 &amp; "/pencil/sn_f9a43250dbd5820a77f3cf94e2459f6b/rendering/17.obj", "1.13968074322")</f>
        <v>1.13968074322</v>
      </c>
      <c r="U2358" s="133" t="str">
        <f>HYPERLINK(AA2 &amp; "/pencil/sn_f9a43250dbd5820a77f3cf94e2459f6b/rendering/18.obj", "2.8704855442")</f>
        <v>2.8704855442</v>
      </c>
      <c r="V2358" s="235" t="str">
        <f>HYPERLINK(AA2 &amp; "/pencil/sn_f9a43250dbd5820a77f3cf94e2459f6b/rendering/19.obj", "1.47133088112")</f>
        <v>1.47133088112</v>
      </c>
      <c r="W2358" s="12" t="s">
        <v>30</v>
      </c>
      <c r="X2358" s="13">
        <v>3.2006135582923889</v>
      </c>
      <c r="Y2358" s="13">
        <v>4.1463338696838399</v>
      </c>
      <c r="Z2358" s="20">
        <v>1.295480942690256</v>
      </c>
    </row>
    <row r="2359" spans="1:26" x14ac:dyDescent="0.2">
      <c r="A2359" s="1">
        <v>2357</v>
      </c>
      <c r="B2359" s="2" t="s">
        <v>504</v>
      </c>
      <c r="C2359" s="38" t="str">
        <f>HYPERLINK(AB2 &amp; "/pencil/sn_f9a43250dbd5820a77f3cf94e2459f6b/rendering/00.obj", "3.61294372559")</f>
        <v>3.61294372559</v>
      </c>
      <c r="D2359" s="23" t="str">
        <f>HYPERLINK(AB2 &amp; "/pencil/sn_f9a43250dbd5820a77f3cf94e2459f6b/rendering/01.obj", "3.45170013428")</f>
        <v>3.45170013428</v>
      </c>
      <c r="E2359" s="17" t="str">
        <f>HYPERLINK(AB2 &amp; "/pencil/sn_f9a43250dbd5820a77f3cf94e2459f6b/rendering/02.obj", "3.25035491943")</f>
        <v>3.25035491943</v>
      </c>
      <c r="F2359" s="47" t="str">
        <f>HYPERLINK(AB2 &amp; "/pencil/sn_f9a43250dbd5820a77f3cf94e2459f6b/rendering/03.obj", "3.34682495117")</f>
        <v>3.34682495117</v>
      </c>
      <c r="G2359" s="17" t="str">
        <f>HYPERLINK(AB2 &amp; "/pencil/sn_f9a43250dbd5820a77f3cf94e2459f6b/rendering/04.obj", "3.2521295166")</f>
        <v>3.2521295166</v>
      </c>
      <c r="H2359" s="30" t="str">
        <f>HYPERLINK(AB2 &amp; "/pencil/sn_f9a43250dbd5820a77f3cf94e2459f6b/rendering/05.obj", "3.3005682373")</f>
        <v>3.3005682373</v>
      </c>
      <c r="I2359" s="8" t="str">
        <f>HYPERLINK(AB2 &amp; "/pencil/sn_f9a43250dbd5820a77f3cf94e2459f6b/rendering/06.obj", "3.7984161377")</f>
        <v>3.7984161377</v>
      </c>
      <c r="J2359" s="72" t="str">
        <f>HYPERLINK(AB2 &amp; "/pencil/sn_f9a43250dbd5820a77f3cf94e2459f6b/rendering/07.obj", "3.42792633057")</f>
        <v>3.42792633057</v>
      </c>
      <c r="K2359" s="68" t="str">
        <f>HYPERLINK(AB2 &amp; "/pencil/sn_f9a43250dbd5820a77f3cf94e2459f6b/rendering/08.obj", "3.45894592285")</f>
        <v>3.45894592285</v>
      </c>
      <c r="L2359" s="40" t="str">
        <f>HYPERLINK(AB2 &amp; "/pencil/sn_f9a43250dbd5820a77f3cf94e2459f6b/rendering/09.obj", "2.75520751953")</f>
        <v>2.75520751953</v>
      </c>
      <c r="M2359" s="78" t="str">
        <f>HYPERLINK(AB2 &amp; "/pencil/sn_f9a43250dbd5820a77f3cf94e2459f6b/rendering/10.obj", "3.11540618896")</f>
        <v>3.11540618896</v>
      </c>
      <c r="N2359" s="72" t="str">
        <f>HYPERLINK(AB2 &amp; "/pencil/sn_f9a43250dbd5820a77f3cf94e2459f6b/rendering/11.obj", "3.42917175293")</f>
        <v>3.42917175293</v>
      </c>
      <c r="O2359" s="34" t="str">
        <f>HYPERLINK(AB2 &amp; "/pencil/sn_f9a43250dbd5820a77f3cf94e2459f6b/rendering/12.obj", "3.48476501465")</f>
        <v>3.48476501465</v>
      </c>
      <c r="P2359" s="33" t="str">
        <f>HYPERLINK(AB2 &amp; "/pencil/sn_f9a43250dbd5820a77f3cf94e2459f6b/rendering/13.obj", "2.9574597168")</f>
        <v>2.9574597168</v>
      </c>
      <c r="Q2359" s="68" t="str">
        <f>HYPERLINK(AB2 &amp; "/pencil/sn_f9a43250dbd5820a77f3cf94e2459f6b/rendering/14.obj", "3.18503234863")</f>
        <v>3.18503234863</v>
      </c>
      <c r="R2359" s="6" t="str">
        <f>HYPERLINK(AB2 &amp; "/pencil/sn_f9a43250dbd5820a77f3cf94e2459f6b/rendering/15.obj", "3.16584716797")</f>
        <v>3.16584716797</v>
      </c>
      <c r="S2359" s="69" t="str">
        <f>HYPERLINK(AB2 &amp; "/pencil/sn_f9a43250dbd5820a77f3cf94e2459f6b/rendering/16.obj", "3.21988891602")</f>
        <v>3.21988891602</v>
      </c>
      <c r="T2359" s="5" t="str">
        <f>HYPERLINK(AB2 &amp; "/pencil/sn_f9a43250dbd5820a77f3cf94e2459f6b/rendering/17.obj", "3.57330718994")</f>
        <v>3.57330718994</v>
      </c>
      <c r="U2359" s="69" t="str">
        <f>HYPERLINK(AB2 &amp; "/pencil/sn_f9a43250dbd5820a77f3cf94e2459f6b/rendering/18.obj", "3.41705291748")</f>
        <v>3.41705291748</v>
      </c>
      <c r="V2359" s="69" t="str">
        <f>HYPERLINK(AB2 &amp; "/pencil/sn_f9a43250dbd5820a77f3cf94e2459f6b/rendering/19.obj", "3.21957641602")</f>
        <v>3.21957641602</v>
      </c>
      <c r="W2359" s="12" t="s">
        <v>31</v>
      </c>
      <c r="X2359" s="13">
        <v>3.3211262512207029</v>
      </c>
      <c r="Y2359" s="13">
        <v>0.22809499758686491</v>
      </c>
      <c r="Z2359" s="41">
        <v>6.8680014047351259E-2</v>
      </c>
    </row>
    <row r="2360" spans="1:26" x14ac:dyDescent="0.2">
      <c r="A2360" s="1">
        <v>2358</v>
      </c>
      <c r="B2360" s="2" t="s">
        <v>504</v>
      </c>
      <c r="C2360" s="132" t="str">
        <f>HYPERLINK(AB2 &amp; "/pencil/sn_f9a43250dbd5820a77f3cf94e2459f6b/rendering/00.obj", "1.88939118385")</f>
        <v>1.88939118385</v>
      </c>
      <c r="D2360" s="74" t="str">
        <f>HYPERLINK(AB2 &amp; "/pencil/sn_f9a43250dbd5820a77f3cf94e2459f6b/rendering/01.obj", "1.35011339188")</f>
        <v>1.35011339188</v>
      </c>
      <c r="E2360" s="17" t="str">
        <f>HYPERLINK(AB2 &amp; "/pencil/sn_f9a43250dbd5820a77f3cf94e2459f6b/rendering/02.obj", "1.35979509354")</f>
        <v>1.35979509354</v>
      </c>
      <c r="F2360" s="35" t="str">
        <f>HYPERLINK(AB2 &amp; "/pencil/sn_f9a43250dbd5820a77f3cf94e2459f6b/rendering/03.obj", "1.25707626343")</f>
        <v>1.25707626343</v>
      </c>
      <c r="G2360" s="90" t="str">
        <f>HYPERLINK(AB2 &amp; "/pencil/sn_f9a43250dbd5820a77f3cf94e2459f6b/rendering/04.obj", "1.20588576794")</f>
        <v>1.20588576794</v>
      </c>
      <c r="H2360" s="91" t="str">
        <f>HYPERLINK(AB2 &amp; "/pencil/sn_f9a43250dbd5820a77f3cf94e2459f6b/rendering/05.obj", "1.36670935154")</f>
        <v>1.36670935154</v>
      </c>
      <c r="I2360" s="78" t="str">
        <f>HYPERLINK(AB2 &amp; "/pencil/sn_f9a43250dbd5820a77f3cf94e2459f6b/rendering/06.obj", "1.25126218796")</f>
        <v>1.25126218796</v>
      </c>
      <c r="J2360" s="5" t="str">
        <f>HYPERLINK(AB2 &amp; "/pencil/sn_f9a43250dbd5820a77f3cf94e2459f6b/rendering/07.obj", "1.23220181465")</f>
        <v>1.23220181465</v>
      </c>
      <c r="K2360" s="90" t="str">
        <f>HYPERLINK(AB2 &amp; "/pencil/sn_f9a43250dbd5820a77f3cf94e2459f6b/rendering/08.obj", "1.20470249653")</f>
        <v>1.20470249653</v>
      </c>
      <c r="L2360" s="26" t="str">
        <f>HYPERLINK(AB2 &amp; "/pencil/sn_f9a43250dbd5820a77f3cf94e2459f6b/rendering/09.obj", "1.24775052071")</f>
        <v>1.24775052071</v>
      </c>
      <c r="M2360" s="48" t="str">
        <f>HYPERLINK(AB2 &amp; "/pencil/sn_f9a43250dbd5820a77f3cf94e2459f6b/rendering/10.obj", "1.30307233334")</f>
        <v>1.30307233334</v>
      </c>
      <c r="N2360" s="60" t="str">
        <f>HYPERLINK(AB2 &amp; "/pencil/sn_f9a43250dbd5820a77f3cf94e2459f6b/rendering/11.obj", "1.26289737225")</f>
        <v>1.26289737225</v>
      </c>
      <c r="O2360" s="34" t="str">
        <f>HYPERLINK(AB2 &amp; "/pencil/sn_f9a43250dbd5820a77f3cf94e2459f6b/rendering/12.obj", "1.26985645294")</f>
        <v>1.26985645294</v>
      </c>
      <c r="P2360" s="79" t="str">
        <f>HYPERLINK(AB2 &amp; "/pencil/sn_f9a43250dbd5820a77f3cf94e2459f6b/rendering/13.obj", "1.11986684799")</f>
        <v>1.11986684799</v>
      </c>
      <c r="Q2360" s="185" t="str">
        <f>HYPERLINK(AB2 &amp; "/pencil/sn_f9a43250dbd5820a77f3cf94e2459f6b/rendering/14.obj", "1.7870862484")</f>
        <v>1.7870862484</v>
      </c>
      <c r="R2360" s="133" t="str">
        <f>HYPERLINK(AB2 &amp; "/pencil/sn_f9a43250dbd5820a77f3cf94e2459f6b/rendering/15.obj", "1.46799194813")</f>
        <v>1.46799194813</v>
      </c>
      <c r="S2360" s="93" t="str">
        <f>HYPERLINK(AB2 &amp; "/pencil/sn_f9a43250dbd5820a77f3cf94e2459f6b/rendering/16.obj", "1.14723420143")</f>
        <v>1.14723420143</v>
      </c>
      <c r="T2360" s="41" t="str">
        <f>HYPERLINK(AB2 &amp; "/pencil/sn_f9a43250dbd5820a77f3cf94e2459f6b/rendering/17.obj", "1.24447798729")</f>
        <v>1.24447798729</v>
      </c>
      <c r="U2360" s="51" t="str">
        <f>HYPERLINK(AB2 &amp; "/pencil/sn_f9a43250dbd5820a77f3cf94e2459f6b/rendering/18.obj", "1.44032263756")</f>
        <v>1.44032263756</v>
      </c>
      <c r="V2360" s="26" t="str">
        <f>HYPERLINK(AB2 &amp; "/pencil/sn_f9a43250dbd5820a77f3cf94e2459f6b/rendering/19.obj", "1.24855101109")</f>
        <v>1.24855101109</v>
      </c>
      <c r="W2360" s="12" t="s">
        <v>32</v>
      </c>
      <c r="X2360" s="13">
        <v>1.332812255620957</v>
      </c>
      <c r="Y2360" s="13">
        <v>0.1890560785467397</v>
      </c>
      <c r="Z2360" s="8">
        <v>0.14184749408584829</v>
      </c>
    </row>
    <row r="2361" spans="1:26" x14ac:dyDescent="0.2">
      <c r="A2361" s="1">
        <v>2359</v>
      </c>
      <c r="B2361" s="2" t="s">
        <v>504</v>
      </c>
      <c r="C2361" s="13" t="str">
        <f>HYPERLINK(AC2 &amp; "/pencil/sn_f9a43250dbd5820a77f3cf94e2459f6b/rendering/00.xyz", "0.0")</f>
        <v>0.0</v>
      </c>
      <c r="D2361" s="13" t="str">
        <f>HYPERLINK(AC2 &amp; "/pencil/sn_f9a43250dbd5820a77f3cf94e2459f6b/rendering/01.xyz", "0.0")</f>
        <v>0.0</v>
      </c>
      <c r="E2361" s="13" t="str">
        <f>HYPERLINK(AC2 &amp; "/pencil/sn_f9a43250dbd5820a77f3cf94e2459f6b/rendering/02.xyz", "0.0")</f>
        <v>0.0</v>
      </c>
      <c r="F2361" s="13" t="str">
        <f>HYPERLINK(AC2 &amp; "/pencil/sn_f9a43250dbd5820a77f3cf94e2459f6b/rendering/03.xyz", "0.0")</f>
        <v>0.0</v>
      </c>
      <c r="G2361" s="13" t="str">
        <f>HYPERLINK(AC2 &amp; "/pencil/sn_f9a43250dbd5820a77f3cf94e2459f6b/rendering/04.xyz", "0.0")</f>
        <v>0.0</v>
      </c>
      <c r="H2361" s="13" t="str">
        <f>HYPERLINK(AC2 &amp; "/pencil/sn_f9a43250dbd5820a77f3cf94e2459f6b/rendering/05.xyz", "0.0")</f>
        <v>0.0</v>
      </c>
      <c r="I2361" s="13" t="str">
        <f>HYPERLINK(AC2 &amp; "/pencil/sn_f9a43250dbd5820a77f3cf94e2459f6b/rendering/06.xyz", "0.0")</f>
        <v>0.0</v>
      </c>
      <c r="J2361" s="13" t="str">
        <f>HYPERLINK(AC2 &amp; "/pencil/sn_f9a43250dbd5820a77f3cf94e2459f6b/rendering/07.xyz", "0.0")</f>
        <v>0.0</v>
      </c>
      <c r="K2361" s="13" t="str">
        <f>HYPERLINK(AC2 &amp; "/pencil/sn_f9a43250dbd5820a77f3cf94e2459f6b/rendering/08.xyz", "0.0")</f>
        <v>0.0</v>
      </c>
      <c r="L2361" s="13" t="str">
        <f>HYPERLINK(AC2 &amp; "/pencil/sn_f9a43250dbd5820a77f3cf94e2459f6b/rendering/09.xyz", "0.0")</f>
        <v>0.0</v>
      </c>
      <c r="M2361" s="13" t="str">
        <f>HYPERLINK(AC2 &amp; "/pencil/sn_f9a43250dbd5820a77f3cf94e2459f6b/rendering/10.xyz", "0.0")</f>
        <v>0.0</v>
      </c>
      <c r="N2361" s="13" t="str">
        <f>HYPERLINK(AC2 &amp; "/pencil/sn_f9a43250dbd5820a77f3cf94e2459f6b/rendering/11.xyz", "0.0")</f>
        <v>0.0</v>
      </c>
      <c r="O2361" s="13" t="str">
        <f>HYPERLINK(AC2 &amp; "/pencil/sn_f9a43250dbd5820a77f3cf94e2459f6b/rendering/12.xyz", "0.0")</f>
        <v>0.0</v>
      </c>
      <c r="P2361" s="13" t="str">
        <f>HYPERLINK(AC2 &amp; "/pencil/sn_f9a43250dbd5820a77f3cf94e2459f6b/rendering/13.xyz", "0.0")</f>
        <v>0.0</v>
      </c>
      <c r="Q2361" s="13" t="str">
        <f>HYPERLINK(AC2 &amp; "/pencil/sn_f9a43250dbd5820a77f3cf94e2459f6b/rendering/14.xyz", "0.0")</f>
        <v>0.0</v>
      </c>
      <c r="R2361" s="13" t="str">
        <f>HYPERLINK(AC2 &amp; "/pencil/sn_f9a43250dbd5820a77f3cf94e2459f6b/rendering/15.xyz", "0.0")</f>
        <v>0.0</v>
      </c>
      <c r="S2361" s="13" t="str">
        <f>HYPERLINK(AC2 &amp; "/pencil/sn_f9a43250dbd5820a77f3cf94e2459f6b/rendering/16.xyz", "0.0")</f>
        <v>0.0</v>
      </c>
      <c r="T2361" s="13" t="str">
        <f>HYPERLINK(AC2 &amp; "/pencil/sn_f9a43250dbd5820a77f3cf94e2459f6b/rendering/17.xyz", "0.0")</f>
        <v>0.0</v>
      </c>
      <c r="U2361" s="13" t="str">
        <f>HYPERLINK(AC2 &amp; "/pencil/sn_f9a43250dbd5820a77f3cf94e2459f6b/rendering/18.xyz", "0.0")</f>
        <v>0.0</v>
      </c>
      <c r="V2361" s="13" t="str">
        <f>HYPERLINK(AC2 &amp; "/pencil/sn_f9a43250dbd5820a77f3cf94e2459f6b/rendering/19.xyz", "0.0")</f>
        <v>0.0</v>
      </c>
      <c r="W2361" s="12" t="s">
        <v>33</v>
      </c>
      <c r="X2361" s="13">
        <v>0</v>
      </c>
      <c r="Y2361" s="13">
        <v>0</v>
      </c>
      <c r="Z2361" s="13">
        <v>0</v>
      </c>
    </row>
    <row r="2362" spans="1:26" x14ac:dyDescent="0.2">
      <c r="A2362" s="1">
        <v>2360</v>
      </c>
      <c r="B2362" s="2" t="s">
        <v>505</v>
      </c>
      <c r="C2362" s="67" t="str">
        <f>HYPERLINK(AA2 &amp; "/pencil/sn_fce3804024f560073f0ddc6f164e8e3d/rendering/00.obj", "4.5504309082")</f>
        <v>4.5504309082</v>
      </c>
      <c r="D2362" s="71" t="str">
        <f>HYPERLINK(AA2 &amp; "/pencil/sn_fce3804024f560073f0ddc6f164e8e3d/rendering/01.obj", "5.61261230469")</f>
        <v>5.61261230469</v>
      </c>
      <c r="E2362" s="38" t="str">
        <f>HYPERLINK(AA2 &amp; "/pencil/sn_fce3804024f560073f0ddc6f164e8e3d/rendering/02.obj", "4.56870574951")</f>
        <v>4.56870574951</v>
      </c>
      <c r="F2362" s="51" t="str">
        <f>HYPERLINK(AA2 &amp; "/pencil/sn_fce3804024f560073f0ddc6f164e8e3d/rendering/03.obj", "4.61930297852")</f>
        <v>4.61930297852</v>
      </c>
      <c r="G2362" s="39" t="str">
        <f>HYPERLINK(AA2 &amp; "/pencil/sn_fce3804024f560073f0ddc6f164e8e3d/rendering/04.obj", "4.58359130859")</f>
        <v>4.58359130859</v>
      </c>
      <c r="H2362" s="65" t="str">
        <f>HYPERLINK(AA2 &amp; "/pencil/sn_fce3804024f560073f0ddc6f164e8e3d/rendering/05.obj", "4.34203491211")</f>
        <v>4.34203491211</v>
      </c>
      <c r="I2362" s="42" t="str">
        <f>HYPERLINK(AA2 &amp; "/pencil/sn_fce3804024f560073f0ddc6f164e8e3d/rendering/06.obj", "4.33820556641")</f>
        <v>4.33820556641</v>
      </c>
      <c r="J2362" s="79" t="str">
        <f>HYPERLINK(AA2 &amp; "/pencil/sn_fce3804024f560073f0ddc6f164e8e3d/rendering/07.obj", "5.81539916992")</f>
        <v>5.81539916992</v>
      </c>
      <c r="K2362" s="92" t="str">
        <f>HYPERLINK(AA2 &amp; "/pencil/sn_fce3804024f560073f0ddc6f164e8e3d/rendering/08.obj", "4.40177429199")</f>
        <v>4.40177429199</v>
      </c>
      <c r="L2362" s="34" t="str">
        <f>HYPERLINK(AA2 &amp; "/pencil/sn_fce3804024f560073f0ddc6f164e8e3d/rendering/09.obj", "4.775965271")</f>
        <v>4.775965271</v>
      </c>
      <c r="M2362" s="47" t="str">
        <f>HYPERLINK(AA2 &amp; "/pencil/sn_fce3804024f560073f0ddc6f164e8e3d/rendering/10.obj", "4.98149291992")</f>
        <v>4.98149291992</v>
      </c>
      <c r="N2362" s="107" t="str">
        <f>HYPERLINK(AA2 &amp; "/pencil/sn_fce3804024f560073f0ddc6f164e8e3d/rendering/11.obj", "4.60503509521")</f>
        <v>4.60503509521</v>
      </c>
      <c r="O2362" s="41" t="str">
        <f>HYPERLINK(AA2 &amp; "/pencil/sn_fce3804024f560073f0ddc6f164e8e3d/rendering/12.obj", "4.68671630859")</f>
        <v>4.68671630859</v>
      </c>
      <c r="P2362" s="28" t="str">
        <f>HYPERLINK(AA2 &amp; "/pencil/sn_fce3804024f560073f0ddc6f164e8e3d/rendering/13.obj", "4.45645507812")</f>
        <v>4.45645507812</v>
      </c>
      <c r="Q2362" s="32" t="str">
        <f>HYPERLINK(AA2 &amp; "/pencil/sn_fce3804024f560073f0ddc6f164e8e3d/rendering/14.obj", "4.48750244141")</f>
        <v>4.48750244141</v>
      </c>
      <c r="R2362" s="140" t="str">
        <f>HYPERLINK(AA2 &amp; "/pencil/sn_fce3804024f560073f0ddc6f164e8e3d/rendering/15.obj", "6.75066162109")</f>
        <v>6.75066162109</v>
      </c>
      <c r="S2362" s="71" t="str">
        <f>HYPERLINK(AA2 &amp; "/pencil/sn_fce3804024f560073f0ddc6f164e8e3d/rendering/16.obj", "4.42424987793")</f>
        <v>4.42424987793</v>
      </c>
      <c r="T2362" s="72" t="str">
        <f>HYPERLINK(AA2 &amp; "/pencil/sn_fce3804024f560073f0ddc6f164e8e3d/rendering/17.obj", "5.18708251953")</f>
        <v>5.18708251953</v>
      </c>
      <c r="U2362" s="28" t="str">
        <f>HYPERLINK(AA2 &amp; "/pencil/sn_fce3804024f560073f0ddc6f164e8e3d/rendering/18.obj", "4.4582824707")</f>
        <v>4.4582824707</v>
      </c>
      <c r="V2362" s="236" t="str">
        <f>HYPERLINK(AA2 &amp; "/pencil/sn_fce3804024f560073f0ddc6f164e8e3d/rendering/19.obj", "8.72055053711")</f>
        <v>8.72055053711</v>
      </c>
      <c r="W2362" s="12" t="s">
        <v>29</v>
      </c>
      <c r="X2362" s="13">
        <v>5.0183025665283196</v>
      </c>
      <c r="Y2362" s="13">
        <v>1.034377073962637</v>
      </c>
      <c r="Z2362" s="82">
        <v>0.20612090647181189</v>
      </c>
    </row>
    <row r="2363" spans="1:26" x14ac:dyDescent="0.2">
      <c r="A2363" s="1">
        <v>2361</v>
      </c>
      <c r="B2363" s="2" t="s">
        <v>505</v>
      </c>
      <c r="C2363" s="122" t="str">
        <f>HYPERLINK(AA2 &amp; "/pencil/sn_fce3804024f560073f0ddc6f164e8e3d/rendering/00.obj", "0.946012318134")</f>
        <v>0.946012318134</v>
      </c>
      <c r="D2363" s="158" t="str">
        <f>HYPERLINK(AA2 &amp; "/pencil/sn_fce3804024f560073f0ddc6f164e8e3d/rendering/01.obj", "2.23782324791")</f>
        <v>2.23782324791</v>
      </c>
      <c r="E2363" s="48" t="str">
        <f>HYPERLINK(AA2 &amp; "/pencil/sn_fce3804024f560073f0ddc6f164e8e3d/rendering/02.obj", "1.62212920189")</f>
        <v>1.62212920189</v>
      </c>
      <c r="F2363" s="131" t="str">
        <f>HYPERLINK(AA2 &amp; "/pencil/sn_fce3804024f560073f0ddc6f164e8e3d/rendering/03.obj", "0.854333519936")</f>
        <v>0.854333519936</v>
      </c>
      <c r="G2363" s="179" t="str">
        <f>HYPERLINK(AA2 &amp; "/pencil/sn_fce3804024f560073f0ddc6f164e8e3d/rendering/04.obj", "0.90575504303")</f>
        <v>0.90575504303</v>
      </c>
      <c r="H2363" s="114" t="str">
        <f>HYPERLINK(AA2 &amp; "/pencil/sn_fce3804024f560073f0ddc6f164e8e3d/rendering/05.obj", "0.859660029411")</f>
        <v>0.859660029411</v>
      </c>
      <c r="I2363" s="102" t="str">
        <f>HYPERLINK(AA2 &amp; "/pencil/sn_fce3804024f560073f0ddc6f164e8e3d/rendering/06.obj", "0.795792341232")</f>
        <v>0.795792341232</v>
      </c>
      <c r="J2363" s="249" t="str">
        <f>HYPERLINK(AA2 &amp; "/pencil/sn_fce3804024f560073f0ddc6f164e8e3d/rendering/07.obj", "2.49382448196")</f>
        <v>2.49382448196</v>
      </c>
      <c r="K2363" s="230" t="str">
        <f>HYPERLINK(AA2 &amp; "/pencil/sn_fce3804024f560073f0ddc6f164e8e3d/rendering/08.obj", "0.864005923271")</f>
        <v>0.864005923271</v>
      </c>
      <c r="L2363" s="130" t="str">
        <f>HYPERLINK(AA2 &amp; "/pencil/sn_fce3804024f560073f0ddc6f164e8e3d/rendering/09.obj", "0.87173217535")</f>
        <v>0.87173217535</v>
      </c>
      <c r="M2363" s="200" t="str">
        <f>HYPERLINK(AA2 &amp; "/pencil/sn_fce3804024f560073f0ddc6f164e8e3d/rendering/10.obj", "0.82539665699")</f>
        <v>0.82539665699</v>
      </c>
      <c r="N2363" s="192" t="str">
        <f>HYPERLINK(AA2 &amp; "/pencil/sn_fce3804024f560073f0ddc6f164e8e3d/rendering/11.obj", "0.99575304985")</f>
        <v>0.99575304985</v>
      </c>
      <c r="O2363" s="43" t="str">
        <f>HYPERLINK(AA2 &amp; "/pencil/sn_fce3804024f560073f0ddc6f164e8e3d/rendering/12.obj", "0.990549743176")</f>
        <v>0.990549743176</v>
      </c>
      <c r="P2363" s="203" t="str">
        <f>HYPERLINK(AA2 &amp; "/pencil/sn_fce3804024f560073f0ddc6f164e8e3d/rendering/13.obj", "0.847945868969")</f>
        <v>0.847945868969</v>
      </c>
      <c r="Q2363" s="143" t="str">
        <f>HYPERLINK(AA2 &amp; "/pencil/sn_fce3804024f560073f0ddc6f164e8e3d/rendering/14.obj", "0.83812636137")</f>
        <v>0.83812636137</v>
      </c>
      <c r="R2363" s="20" t="str">
        <f>HYPERLINK(AA2 &amp; "/pencil/sn_fce3804024f560073f0ddc6f164e8e3d/rendering/15.obj", "4.71726179123")</f>
        <v>4.71726179123</v>
      </c>
      <c r="S2363" s="108" t="str">
        <f>HYPERLINK(AA2 &amp; "/pencil/sn_fce3804024f560073f0ddc6f164e8e3d/rendering/16.obj", "1.19697153568")</f>
        <v>1.19697153568</v>
      </c>
      <c r="T2363" s="32" t="str">
        <f>HYPERLINK(AA2 &amp; "/pencil/sn_fce3804024f560073f0ddc6f164e8e3d/rendering/17.obj", "1.75435554981")</f>
        <v>1.75435554981</v>
      </c>
      <c r="U2363" s="147" t="str">
        <f>HYPERLINK(AA2 &amp; "/pencil/sn_fce3804024f560073f0ddc6f164e8e3d/rendering/18.obj", "0.814129710197")</f>
        <v>0.814129710197</v>
      </c>
      <c r="V2363" s="20" t="str">
        <f>HYPERLINK(AA2 &amp; "/pencil/sn_fce3804024f560073f0ddc6f164e8e3d/rendering/19.obj", "6.30563163757")</f>
        <v>6.30563163757</v>
      </c>
      <c r="W2363" s="12" t="s">
        <v>30</v>
      </c>
      <c r="X2363" s="13">
        <v>1.5868595093488691</v>
      </c>
      <c r="Y2363" s="13">
        <v>1.4156644552794391</v>
      </c>
      <c r="Z2363" s="20">
        <v>0.89211706955729397</v>
      </c>
    </row>
    <row r="2364" spans="1:26" x14ac:dyDescent="0.2">
      <c r="A2364" s="1">
        <v>2362</v>
      </c>
      <c r="B2364" s="2" t="s">
        <v>505</v>
      </c>
      <c r="C2364" s="91" t="str">
        <f>HYPERLINK(AB2 &amp; "/pencil/sn_fce3804024f560073f0ddc6f164e8e3d/rendering/00.obj", "4.12427276611")</f>
        <v>4.12427276611</v>
      </c>
      <c r="D2364" s="34" t="str">
        <f>HYPERLINK(AB2 &amp; "/pencil/sn_fce3804024f560073f0ddc6f164e8e3d/rendering/01.obj", "4.43491638184")</f>
        <v>4.43491638184</v>
      </c>
      <c r="E2364" s="25" t="str">
        <f>HYPERLINK(AB2 &amp; "/pencil/sn_fce3804024f560073f0ddc6f164e8e3d/rendering/02.obj", "4.19084594727")</f>
        <v>4.19084594727</v>
      </c>
      <c r="F2364" s="120" t="str">
        <f>HYPERLINK(AB2 &amp; "/pencil/sn_fce3804024f560073f0ddc6f164e8e3d/rendering/03.obj", "5.13582763672")</f>
        <v>5.13582763672</v>
      </c>
      <c r="G2364" s="73" t="str">
        <f>HYPERLINK(AB2 &amp; "/pencil/sn_fce3804024f560073f0ddc6f164e8e3d/rendering/04.obj", "4.38147766113")</f>
        <v>4.38147766113</v>
      </c>
      <c r="H2364" s="74" t="str">
        <f>HYPERLINK(AB2 &amp; "/pencil/sn_fce3804024f560073f0ddc6f164e8e3d/rendering/05.obj", "4.17054443359")</f>
        <v>4.17054443359</v>
      </c>
      <c r="I2364" s="25" t="str">
        <f>HYPERLINK(AB2 &amp; "/pencil/sn_fce3804024f560073f0ddc6f164e8e3d/rendering/06.obj", "4.27766052246")</f>
        <v>4.27766052246</v>
      </c>
      <c r="J2364" s="6" t="str">
        <f>HYPERLINK(AB2 &amp; "/pencil/sn_fce3804024f560073f0ddc6f164e8e3d/rendering/07.obj", "4.0446484375")</f>
        <v>4.0446484375</v>
      </c>
      <c r="K2364" s="30" t="str">
        <f>HYPERLINK(AB2 &amp; "/pencil/sn_fce3804024f560073f0ddc6f164e8e3d/rendering/08.obj", "4.20770263672")</f>
        <v>4.20770263672</v>
      </c>
      <c r="L2364" s="47" t="str">
        <f>HYPERLINK(AB2 &amp; "/pencil/sn_fce3804024f560073f0ddc6f164e8e3d/rendering/09.obj", "4.26922851563")</f>
        <v>4.26922851563</v>
      </c>
      <c r="M2364" s="23" t="str">
        <f>HYPERLINK(AB2 &amp; "/pencil/sn_fce3804024f560073f0ddc6f164e8e3d/rendering/10.obj", "4.40145080566")</f>
        <v>4.40145080566</v>
      </c>
      <c r="N2364" s="27" t="str">
        <f>HYPERLINK(AB2 &amp; "/pencil/sn_fce3804024f560073f0ddc6f164e8e3d/rendering/11.obj", "3.93245727539")</f>
        <v>3.93245727539</v>
      </c>
      <c r="O2364" s="78" t="str">
        <f>HYPERLINK(AB2 &amp; "/pencil/sn_fce3804024f560073f0ddc6f164e8e3d/rendering/12.obj", "3.97226257324")</f>
        <v>3.97226257324</v>
      </c>
      <c r="P2364" s="30" t="str">
        <f>HYPERLINK(AB2 &amp; "/pencil/sn_fce3804024f560073f0ddc6f164e8e3d/rendering/13.obj", "4.25587982178")</f>
        <v>4.25587982178</v>
      </c>
      <c r="Q2364" s="30" t="str">
        <f>HYPERLINK(AB2 &amp; "/pencil/sn_fce3804024f560073f0ddc6f164e8e3d/rendering/14.obj", "4.2096307373")</f>
        <v>4.2096307373</v>
      </c>
      <c r="R2364" s="41" t="str">
        <f>HYPERLINK(AB2 &amp; "/pencil/sn_fce3804024f560073f0ddc6f164e8e3d/rendering/15.obj", "3.95380859375")</f>
        <v>3.95380859375</v>
      </c>
      <c r="S2364" s="47" t="str">
        <f>HYPERLINK(AB2 &amp; "/pencil/sn_fce3804024f560073f0ddc6f164e8e3d/rendering/16.obj", "4.1947744751")</f>
        <v>4.1947744751</v>
      </c>
      <c r="T2364" s="10" t="str">
        <f>HYPERLINK(AB2 &amp; "/pencil/sn_fce3804024f560073f0ddc6f164e8e3d/rendering/17.obj", "4.00662231445")</f>
        <v>4.00662231445</v>
      </c>
      <c r="U2364" s="30" t="str">
        <f>HYPERLINK(AB2 &amp; "/pencil/sn_fce3804024f560073f0ddc6f164e8e3d/rendering/18.obj", "4.25931243896")</f>
        <v>4.25931243896</v>
      </c>
      <c r="V2364" s="30" t="str">
        <f>HYPERLINK(AB2 &amp; "/pencil/sn_fce3804024f560073f0ddc6f164e8e3d/rendering/19.obj", "4.25237854004")</f>
        <v>4.25237854004</v>
      </c>
      <c r="W2364" s="12" t="s">
        <v>31</v>
      </c>
      <c r="X2364" s="13">
        <v>4.2337851257324219</v>
      </c>
      <c r="Y2364" s="13">
        <v>0.25042991448665503</v>
      </c>
      <c r="Z2364" s="35">
        <v>5.9150360032343863E-2</v>
      </c>
    </row>
    <row r="2365" spans="1:26" x14ac:dyDescent="0.2">
      <c r="A2365" s="1">
        <v>2363</v>
      </c>
      <c r="B2365" s="2" t="s">
        <v>505</v>
      </c>
      <c r="C2365" s="65" t="str">
        <f>HYPERLINK(AB2 &amp; "/pencil/sn_fce3804024f560073f0ddc6f164e8e3d/rendering/00.obj", "0.789431989193")</f>
        <v>0.789431989193</v>
      </c>
      <c r="D2365" s="70" t="str">
        <f>HYPERLINK(AB2 &amp; "/pencil/sn_fce3804024f560073f0ddc6f164e8e3d/rendering/01.obj", "0.79507035017")</f>
        <v>0.79507035017</v>
      </c>
      <c r="E2365" s="47" t="str">
        <f>HYPERLINK(AB2 &amp; "/pencil/sn_fce3804024f560073f0ddc6f164e8e3d/rendering/02.obj", "0.904461622238")</f>
        <v>0.904461622238</v>
      </c>
      <c r="F2365" s="34" t="str">
        <f>HYPERLINK(AB2 &amp; "/pencil/sn_fce3804024f560073f0ddc6f164e8e3d/rendering/03.obj", "0.955406725407")</f>
        <v>0.955406725407</v>
      </c>
      <c r="G2365" s="109" t="str">
        <f>HYPERLINK(AB2 &amp; "/pencil/sn_fce3804024f560073f0ddc6f164e8e3d/rendering/04.obj", "0.73973107338")</f>
        <v>0.73973107338</v>
      </c>
      <c r="H2365" s="50" t="str">
        <f>HYPERLINK(AB2 &amp; "/pencil/sn_fce3804024f560073f0ddc6f164e8e3d/rendering/05.obj", "1.09329092503")</f>
        <v>1.09329092503</v>
      </c>
      <c r="I2365" s="66" t="str">
        <f>HYPERLINK(AB2 &amp; "/pencil/sn_fce3804024f560073f0ddc6f164e8e3d/rendering/06.obj", "0.763118267059")</f>
        <v>0.763118267059</v>
      </c>
      <c r="J2365" s="28" t="str">
        <f>HYPERLINK(AB2 &amp; "/pencil/sn_fce3804024f560073f0ddc6f164e8e3d/rendering/07.obj", "1.01386237144")</f>
        <v>1.01386237144</v>
      </c>
      <c r="K2365" s="38" t="str">
        <f>HYPERLINK(AB2 &amp; "/pencil/sn_fce3804024f560073f0ddc6f164e8e3d/rendering/08.obj", "0.829958081245")</f>
        <v>0.829958081245</v>
      </c>
      <c r="L2365" s="72" t="str">
        <f>HYPERLINK(AB2 &amp; "/pencil/sn_fce3804024f560073f0ddc6f164e8e3d/rendering/09.obj", "0.941664159298")</f>
        <v>0.941664159298</v>
      </c>
      <c r="M2365" s="93" t="str">
        <f>HYPERLINK(AB2 &amp; "/pencil/sn_fce3804024f560073f0ddc6f164e8e3d/rendering/10.obj", "1.03834378719")</f>
        <v>1.03834378719</v>
      </c>
      <c r="N2365" s="63" t="str">
        <f>HYPERLINK(AB2 &amp; "/pencil/sn_fce3804024f560073f0ddc6f164e8e3d/rendering/11.obj", "0.802749693394")</f>
        <v>0.802749693394</v>
      </c>
      <c r="O2365" s="107" t="str">
        <f>HYPERLINK(AB2 &amp; "/pencil/sn_fce3804024f560073f0ddc6f164e8e3d/rendering/12.obj", "0.835001409054")</f>
        <v>0.835001409054</v>
      </c>
      <c r="P2365" s="11" t="str">
        <f>HYPERLINK(AB2 &amp; "/pencil/sn_fce3804024f560073f0ddc6f164e8e3d/rendering/13.obj", "1.11562168598")</f>
        <v>1.11562168598</v>
      </c>
      <c r="Q2365" s="68" t="str">
        <f>HYPERLINK(AB2 &amp; "/pencil/sn_fce3804024f560073f0ddc6f164e8e3d/rendering/14.obj", "0.873882293701")</f>
        <v>0.873882293701</v>
      </c>
      <c r="R2365" s="90" t="str">
        <f>HYPERLINK(AB2 &amp; "/pencil/sn_fce3804024f560073f0ddc6f164e8e3d/rendering/15.obj", "0.823931872845")</f>
        <v>0.823931872845</v>
      </c>
      <c r="S2365" s="88" t="str">
        <f>HYPERLINK(AB2 &amp; "/pencil/sn_fce3804024f560073f0ddc6f164e8e3d/rendering/16.obj", "1.09718883038")</f>
        <v>1.09718883038</v>
      </c>
      <c r="T2365" s="13" t="str">
        <f>HYPERLINK(AB2 &amp; "/pencil/sn_fce3804024f560073f0ddc6f164e8e3d/rendering/17.obj", "0.909144759178")</f>
        <v>0.909144759178</v>
      </c>
      <c r="U2365" s="10" t="str">
        <f>HYPERLINK(AB2 &amp; "/pencil/sn_fce3804024f560073f0ddc6f164e8e3d/rendering/18.obj", "0.860896885395")</f>
        <v>0.860896885395</v>
      </c>
      <c r="V2365" s="83" t="str">
        <f>HYPERLINK(AB2 &amp; "/pencil/sn_fce3804024f560073f0ddc6f164e8e3d/rendering/19.obj", "1.04919266701")</f>
        <v>1.04919266701</v>
      </c>
      <c r="W2365" s="12" t="s">
        <v>32</v>
      </c>
      <c r="X2365" s="13">
        <v>0.91159747242927547</v>
      </c>
      <c r="Y2365" s="13">
        <v>0.1169536333889428</v>
      </c>
      <c r="Z2365" s="70">
        <v>0.12829525851720311</v>
      </c>
    </row>
    <row r="2366" spans="1:26" x14ac:dyDescent="0.2">
      <c r="A2366" s="1">
        <v>2364</v>
      </c>
      <c r="B2366" s="2" t="s">
        <v>505</v>
      </c>
      <c r="C2366" s="13" t="str">
        <f>HYPERLINK(AC2 &amp; "/pencil/sn_fce3804024f560073f0ddc6f164e8e3d/rendering/00.xyz", "0.0")</f>
        <v>0.0</v>
      </c>
      <c r="D2366" s="13" t="str">
        <f>HYPERLINK(AC2 &amp; "/pencil/sn_fce3804024f560073f0ddc6f164e8e3d/rendering/01.xyz", "0.0")</f>
        <v>0.0</v>
      </c>
      <c r="E2366" s="13" t="str">
        <f>HYPERLINK(AC2 &amp; "/pencil/sn_fce3804024f560073f0ddc6f164e8e3d/rendering/02.xyz", "0.0")</f>
        <v>0.0</v>
      </c>
      <c r="F2366" s="13" t="str">
        <f>HYPERLINK(AC2 &amp; "/pencil/sn_fce3804024f560073f0ddc6f164e8e3d/rendering/03.xyz", "0.0")</f>
        <v>0.0</v>
      </c>
      <c r="G2366" s="13" t="str">
        <f>HYPERLINK(AC2 &amp; "/pencil/sn_fce3804024f560073f0ddc6f164e8e3d/rendering/04.xyz", "0.0")</f>
        <v>0.0</v>
      </c>
      <c r="H2366" s="13" t="str">
        <f>HYPERLINK(AC2 &amp; "/pencil/sn_fce3804024f560073f0ddc6f164e8e3d/rendering/05.xyz", "0.0")</f>
        <v>0.0</v>
      </c>
      <c r="I2366" s="13" t="str">
        <f>HYPERLINK(AC2 &amp; "/pencil/sn_fce3804024f560073f0ddc6f164e8e3d/rendering/06.xyz", "0.0")</f>
        <v>0.0</v>
      </c>
      <c r="J2366" s="13" t="str">
        <f>HYPERLINK(AC2 &amp; "/pencil/sn_fce3804024f560073f0ddc6f164e8e3d/rendering/07.xyz", "0.0")</f>
        <v>0.0</v>
      </c>
      <c r="K2366" s="13" t="str">
        <f>HYPERLINK(AC2 &amp; "/pencil/sn_fce3804024f560073f0ddc6f164e8e3d/rendering/08.xyz", "0.0")</f>
        <v>0.0</v>
      </c>
      <c r="L2366" s="13" t="str">
        <f>HYPERLINK(AC2 &amp; "/pencil/sn_fce3804024f560073f0ddc6f164e8e3d/rendering/09.xyz", "0.0")</f>
        <v>0.0</v>
      </c>
      <c r="M2366" s="13" t="str">
        <f>HYPERLINK(AC2 &amp; "/pencil/sn_fce3804024f560073f0ddc6f164e8e3d/rendering/10.xyz", "0.0")</f>
        <v>0.0</v>
      </c>
      <c r="N2366" s="13" t="str">
        <f>HYPERLINK(AC2 &amp; "/pencil/sn_fce3804024f560073f0ddc6f164e8e3d/rendering/11.xyz", "0.0")</f>
        <v>0.0</v>
      </c>
      <c r="O2366" s="13" t="str">
        <f>HYPERLINK(AC2 &amp; "/pencil/sn_fce3804024f560073f0ddc6f164e8e3d/rendering/12.xyz", "0.0")</f>
        <v>0.0</v>
      </c>
      <c r="P2366" s="13" t="str">
        <f>HYPERLINK(AC2 &amp; "/pencil/sn_fce3804024f560073f0ddc6f164e8e3d/rendering/13.xyz", "0.0")</f>
        <v>0.0</v>
      </c>
      <c r="Q2366" s="13" t="str">
        <f>HYPERLINK(AC2 &amp; "/pencil/sn_fce3804024f560073f0ddc6f164e8e3d/rendering/14.xyz", "0.0")</f>
        <v>0.0</v>
      </c>
      <c r="R2366" s="13" t="str">
        <f>HYPERLINK(AC2 &amp; "/pencil/sn_fce3804024f560073f0ddc6f164e8e3d/rendering/15.xyz", "0.0")</f>
        <v>0.0</v>
      </c>
      <c r="S2366" s="13" t="str">
        <f>HYPERLINK(AC2 &amp; "/pencil/sn_fce3804024f560073f0ddc6f164e8e3d/rendering/16.xyz", "0.0")</f>
        <v>0.0</v>
      </c>
      <c r="T2366" s="13" t="str">
        <f>HYPERLINK(AC2 &amp; "/pencil/sn_fce3804024f560073f0ddc6f164e8e3d/rendering/17.xyz", "0.0")</f>
        <v>0.0</v>
      </c>
      <c r="U2366" s="13" t="str">
        <f>HYPERLINK(AC2 &amp; "/pencil/sn_fce3804024f560073f0ddc6f164e8e3d/rendering/18.xyz", "0.0")</f>
        <v>0.0</v>
      </c>
      <c r="V2366" s="13" t="str">
        <f>HYPERLINK(AC2 &amp; "/pencil/sn_fce3804024f560073f0ddc6f164e8e3d/rendering/19.xyz", "0.0")</f>
        <v>0.0</v>
      </c>
      <c r="W2366" s="12" t="s">
        <v>33</v>
      </c>
      <c r="X2366" s="13">
        <v>0</v>
      </c>
      <c r="Y2366" s="13">
        <v>0</v>
      </c>
      <c r="Z2366" s="13">
        <v>0</v>
      </c>
    </row>
    <row r="2367" spans="1:26" x14ac:dyDescent="0.2">
      <c r="A2367" s="1">
        <v>2365</v>
      </c>
      <c r="B2367" s="2" t="s">
        <v>506</v>
      </c>
      <c r="C2367" s="91" t="str">
        <f>HYPERLINK(AA2 &amp; "/pencil/sn_fd18691b62228147fa66af4fa88cb7cd/rendering/00.obj", "4.83949554443")</f>
        <v>4.83949554443</v>
      </c>
      <c r="D2367" s="30" t="str">
        <f>HYPERLINK(AA2 &amp; "/pencil/sn_fd18691b62228147fa66af4fa88cb7cd/rendering/01.obj", "4.99432556152")</f>
        <v>4.99432556152</v>
      </c>
      <c r="E2367" s="94" t="str">
        <f>HYPERLINK(AA2 &amp; "/pencil/sn_fd18691b62228147fa66af4fa88cb7cd/rendering/02.obj", "4.60584289551")</f>
        <v>4.60584289551</v>
      </c>
      <c r="F2367" s="39" t="str">
        <f>HYPERLINK(AA2 &amp; "/pencil/sn_fd18691b62228147fa66af4fa88cb7cd/rendering/03.obj", "4.5468145752")</f>
        <v>4.5468145752</v>
      </c>
      <c r="G2367" s="30" t="str">
        <f>HYPERLINK(AA2 &amp; "/pencil/sn_fd18691b62228147fa66af4fa88cb7cd/rendering/04.obj", "4.95187133789")</f>
        <v>4.95187133789</v>
      </c>
      <c r="H2367" s="42" t="str">
        <f>HYPERLINK(AA2 &amp; "/pencil/sn_fd18691b62228147fa66af4fa88cb7cd/rendering/05.obj", "4.2970690918")</f>
        <v>4.2970690918</v>
      </c>
      <c r="I2367" s="39" t="str">
        <f>HYPERLINK(AA2 &amp; "/pencil/sn_fd18691b62228147fa66af4fa88cb7cd/rendering/06.obj", "4.53974365234")</f>
        <v>4.53974365234</v>
      </c>
      <c r="J2367" s="60" t="str">
        <f>HYPERLINK(AA2 &amp; "/pencil/sn_fd18691b62228147fa66af4fa88cb7cd/rendering/07.obj", "5.23236206055")</f>
        <v>5.23236206055</v>
      </c>
      <c r="K2367" s="69" t="str">
        <f>HYPERLINK(AA2 &amp; "/pencil/sn_fd18691b62228147fa66af4fa88cb7cd/rendering/08.obj", "5.1196105957")</f>
        <v>5.1196105957</v>
      </c>
      <c r="L2367" s="6" t="str">
        <f>HYPERLINK(AA2 &amp; "/pencil/sn_fd18691b62228147fa66af4fa88cb7cd/rendering/09.obj", "5.20343200684")</f>
        <v>5.20343200684</v>
      </c>
      <c r="M2367" s="23" t="str">
        <f>HYPERLINK(AA2 &amp; "/pencil/sn_fd18691b62228147fa66af4fa88cb7cd/rendering/10.obj", "4.78479431152")</f>
        <v>4.78479431152</v>
      </c>
      <c r="N2367" s="30" t="str">
        <f>HYPERLINK(AA2 &amp; "/pencil/sn_fd18691b62228147fa66af4fa88cb7cd/rendering/11.obj", "5.00069213867")</f>
        <v>5.00069213867</v>
      </c>
      <c r="O2367" s="26" t="str">
        <f>HYPERLINK(AA2 &amp; "/pencil/sn_fd18691b62228147fa66af4fa88cb7cd/rendering/12.obj", "4.6600177002")</f>
        <v>4.6600177002</v>
      </c>
      <c r="P2367" s="46" t="str">
        <f>HYPERLINK(AA2 &amp; "/pencil/sn_fd18691b62228147fa66af4fa88cb7cd/rendering/13.obj", "4.88842773438")</f>
        <v>4.88842773438</v>
      </c>
      <c r="Q2367" s="23" t="str">
        <f>HYPERLINK(AA2 &amp; "/pencil/sn_fd18691b62228147fa66af4fa88cb7cd/rendering/14.obj", "4.78323913574")</f>
        <v>4.78323913574</v>
      </c>
      <c r="R2367" s="35" t="str">
        <f>HYPERLINK(AA2 &amp; "/pencil/sn_fd18691b62228147fa66af4fa88cb7cd/rendering/15.obj", "4.68727416992")</f>
        <v>4.68727416992</v>
      </c>
      <c r="S2367" s="22" t="str">
        <f>HYPERLINK(AA2 &amp; "/pencil/sn_fd18691b62228147fa66af4fa88cb7cd/rendering/16.obj", "7.57685791016")</f>
        <v>7.57685791016</v>
      </c>
      <c r="T2367" s="69" t="str">
        <f>HYPERLINK(AA2 &amp; "/pencil/sn_fd18691b62228147fa66af4fa88cb7cd/rendering/17.obj", "4.81802307129")</f>
        <v>4.81802307129</v>
      </c>
      <c r="U2367" s="74" t="str">
        <f>HYPERLINK(AA2 &amp; "/pencil/sn_fd18691b62228147fa66af4fa88cb7cd/rendering/18.obj", "4.90561798096")</f>
        <v>4.90561798096</v>
      </c>
      <c r="V2367" s="74" t="str">
        <f>HYPERLINK(AA2 &amp; "/pencil/sn_fd18691b62228147fa66af4fa88cb7cd/rendering/19.obj", "5.04063018799")</f>
        <v>5.04063018799</v>
      </c>
      <c r="W2367" s="12" t="s">
        <v>29</v>
      </c>
      <c r="X2367" s="13">
        <v>4.9738070831298824</v>
      </c>
      <c r="Y2367" s="13">
        <v>0.64006878462418082</v>
      </c>
      <c r="Z2367" s="29">
        <v>0.12868789921409721</v>
      </c>
    </row>
    <row r="2368" spans="1:26" x14ac:dyDescent="0.2">
      <c r="A2368" s="1">
        <v>2366</v>
      </c>
      <c r="B2368" s="2" t="s">
        <v>506</v>
      </c>
      <c r="C2368" s="41" t="str">
        <f>HYPERLINK(AA2 &amp; "/pencil/sn_fd18691b62228147fa66af4fa88cb7cd/rendering/00.obj", "1.40212416649")</f>
        <v>1.40212416649</v>
      </c>
      <c r="D2368" s="44" t="str">
        <f>HYPERLINK(AA2 &amp; "/pencil/sn_fd18691b62228147fa66af4fa88cb7cd/rendering/01.obj", "1.05717968941")</f>
        <v>1.05717968941</v>
      </c>
      <c r="E2368" s="58" t="str">
        <f>HYPERLINK(AA2 &amp; "/pencil/sn_fd18691b62228147fa66af4fa88cb7cd/rendering/02.obj", "0.996847867966")</f>
        <v>0.996847867966</v>
      </c>
      <c r="F2368" s="136" t="str">
        <f>HYPERLINK(AA2 &amp; "/pencil/sn_fd18691b62228147fa66af4fa88cb7cd/rendering/03.obj", "1.00315129757")</f>
        <v>1.00315129757</v>
      </c>
      <c r="G2368" s="11" t="str">
        <f>HYPERLINK(AA2 &amp; "/pencil/sn_fd18691b62228147fa66af4fa88cb7cd/rendering/04.obj", "1.02095007896")</f>
        <v>1.02095007896</v>
      </c>
      <c r="H2368" s="99" t="str">
        <f>HYPERLINK(AA2 &amp; "/pencil/sn_fd18691b62228147fa66af4fa88cb7cd/rendering/05.obj", "0.959524989128")</f>
        <v>0.959524989128</v>
      </c>
      <c r="I2368" s="117" t="str">
        <f>HYPERLINK(AA2 &amp; "/pencil/sn_fd18691b62228147fa66af4fa88cb7cd/rendering/06.obj", "1.08123028278")</f>
        <v>1.08123028278</v>
      </c>
      <c r="J2368" s="52" t="str">
        <f>HYPERLINK(AA2 &amp; "/pencil/sn_fd18691b62228147fa66af4fa88cb7cd/rendering/07.obj", "1.83959102631")</f>
        <v>1.83959102631</v>
      </c>
      <c r="K2368" s="50" t="str">
        <f>HYPERLINK(AA2 &amp; "/pencil/sn_fd18691b62228147fa66af4fa88cb7cd/rendering/08.obj", "1.05164825916")</f>
        <v>1.05164825916</v>
      </c>
      <c r="L2368" s="223" t="str">
        <f>HYPERLINK(AA2 &amp; "/pencil/sn_fd18691b62228147fa66af4fa88cb7cd/rendering/09.obj", "2.05202269554")</f>
        <v>2.05202269554</v>
      </c>
      <c r="M2368" s="81" t="str">
        <f>HYPERLINK(AA2 &amp; "/pencil/sn_fd18691b62228147fa66af4fa88cb7cd/rendering/10.obj", "1.03029048443")</f>
        <v>1.03029048443</v>
      </c>
      <c r="N2368" s="92" t="str">
        <f>HYPERLINK(AA2 &amp; "/pencil/sn_fd18691b62228147fa66af4fa88cb7cd/rendering/11.obj", "1.15207231045")</f>
        <v>1.15207231045</v>
      </c>
      <c r="O2368" s="59" t="str">
        <f>HYPERLINK(AA2 &amp; "/pencil/sn_fd18691b62228147fa66af4fa88cb7cd/rendering/12.obj", "1.63155829906")</f>
        <v>1.63155829906</v>
      </c>
      <c r="P2368" s="117" t="str">
        <f>HYPERLINK(AA2 &amp; "/pencil/sn_fd18691b62228147fa66af4fa88cb7cd/rendering/13.obj", "1.08378589153")</f>
        <v>1.08378589153</v>
      </c>
      <c r="Q2368" s="86" t="str">
        <f>HYPERLINK(AA2 &amp; "/pencil/sn_fd18691b62228147fa66af4fa88cb7cd/rendering/14.obj", "0.960473001003")</f>
        <v>0.960473001003</v>
      </c>
      <c r="R2368" s="134" t="str">
        <f>HYPERLINK(AA2 &amp; "/pencil/sn_fd18691b62228147fa66af4fa88cb7cd/rendering/15.obj", "1.07897877693")</f>
        <v>1.07897877693</v>
      </c>
      <c r="S2368" s="20" t="str">
        <f>HYPERLINK(AA2 &amp; "/pencil/sn_fd18691b62228147fa66af4fa88cb7cd/rendering/16.obj", "3.87520599365")</f>
        <v>3.87520599365</v>
      </c>
      <c r="T2368" s="14" t="str">
        <f>HYPERLINK(AA2 &amp; "/pencil/sn_fd18691b62228147fa66af4fa88cb7cd/rendering/17.obj", "0.933121621609")</f>
        <v>0.933121621609</v>
      </c>
      <c r="U2368" s="49" t="str">
        <f>HYPERLINK(AA2 &amp; "/pencil/sn_fd18691b62228147fa66af4fa88cb7cd/rendering/18.obj", "1.04254007339")</f>
        <v>1.04254007339</v>
      </c>
      <c r="V2368" s="50" t="str">
        <f>HYPERLINK(AA2 &amp; "/pencil/sn_fd18691b62228147fa66af4fa88cb7cd/rendering/19.obj", "1.0518797636")</f>
        <v>1.0518797636</v>
      </c>
      <c r="W2368" s="12" t="s">
        <v>30</v>
      </c>
      <c r="X2368" s="13">
        <v>1.3152088284492489</v>
      </c>
      <c r="Y2368" s="13">
        <v>0.66009021652835687</v>
      </c>
      <c r="Z2368" s="126">
        <v>0.5018900438089845</v>
      </c>
    </row>
    <row r="2369" spans="1:26" x14ac:dyDescent="0.2">
      <c r="A2369" s="1">
        <v>2367</v>
      </c>
      <c r="B2369" s="2" t="s">
        <v>506</v>
      </c>
      <c r="C2369" s="26" t="str">
        <f>HYPERLINK(AB2 &amp; "/pencil/sn_fd18691b62228147fa66af4fa88cb7cd/rendering/00.obj", "4.50917175293")</f>
        <v>4.50917175293</v>
      </c>
      <c r="D2369" s="91" t="str">
        <f>HYPERLINK(AB2 &amp; "/pencil/sn_fd18691b62228147fa66af4fa88cb7cd/rendering/01.obj", "4.34645782471")</f>
        <v>4.34645782471</v>
      </c>
      <c r="E2369" s="69" t="str">
        <f>HYPERLINK(AB2 &amp; "/pencil/sn_fd18691b62228147fa66af4fa88cb7cd/rendering/02.obj", "4.1087878418")</f>
        <v>4.1087878418</v>
      </c>
      <c r="F2369" s="27" t="str">
        <f>HYPERLINK(AB2 &amp; "/pencil/sn_fd18691b62228147fa66af4fa88cb7cd/rendering/03.obj", "4.53338684082")</f>
        <v>4.53338684082</v>
      </c>
      <c r="G2369" s="25" t="str">
        <f>HYPERLINK(AB2 &amp; "/pencil/sn_fd18691b62228147fa66af4fa88cb7cd/rendering/04.obj", "4.27530303955")</f>
        <v>4.27530303955</v>
      </c>
      <c r="H2369" s="34" t="str">
        <f>HYPERLINK(AB2 &amp; "/pencil/sn_fd18691b62228147fa66af4fa88cb7cd/rendering/05.obj", "4.02726165771")</f>
        <v>4.02726165771</v>
      </c>
      <c r="I2369" s="13" t="str">
        <f>HYPERLINK(AB2 &amp; "/pencil/sn_fd18691b62228147fa66af4fa88cb7cd/rendering/06.obj", "4.2304095459")</f>
        <v>4.2304095459</v>
      </c>
      <c r="J2369" s="47" t="str">
        <f>HYPERLINK(AB2 &amp; "/pencil/sn_fd18691b62228147fa66af4fa88cb7cd/rendering/07.obj", "4.26393066406")</f>
        <v>4.26393066406</v>
      </c>
      <c r="K2369" s="47" t="str">
        <f>HYPERLINK(AB2 &amp; "/pencil/sn_fd18691b62228147fa66af4fa88cb7cd/rendering/08.obj", "4.26175292969")</f>
        <v>4.26175292969</v>
      </c>
      <c r="L2369" s="91" t="str">
        <f>HYPERLINK(AB2 &amp; "/pencil/sn_fd18691b62228147fa66af4fa88cb7cd/rendering/09.obj", "4.343203125")</f>
        <v>4.343203125</v>
      </c>
      <c r="M2369" s="5" t="str">
        <f>HYPERLINK(AB2 &amp; "/pencil/sn_fd18691b62228147fa66af4fa88cb7cd/rendering/10.obj", "4.56122497559")</f>
        <v>4.56122497559</v>
      </c>
      <c r="N2369" s="46" t="str">
        <f>HYPERLINK(AB2 &amp; "/pencil/sn_fd18691b62228147fa66af4fa88cb7cd/rendering/11.obj", "4.16309326172")</f>
        <v>4.16309326172</v>
      </c>
      <c r="O2369" s="41" t="str">
        <f>HYPERLINK(AB2 &amp; "/pencil/sn_fd18691b62228147fa66af4fa88cb7cd/rendering/12.obj", "3.95315551758")</f>
        <v>3.95315551758</v>
      </c>
      <c r="P2369" s="68" t="str">
        <f>HYPERLINK(AB2 &amp; "/pencil/sn_fd18691b62228147fa66af4fa88cb7cd/rendering/13.obj", "4.04770629883")</f>
        <v>4.04770629883</v>
      </c>
      <c r="Q2369" s="48" t="str">
        <f>HYPERLINK(AB2 &amp; "/pencil/sn_fd18691b62228147fa66af4fa88cb7cd/rendering/14.obj", "4.33004455566")</f>
        <v>4.33004455566</v>
      </c>
      <c r="R2369" s="30" t="str">
        <f>HYPERLINK(AB2 &amp; "/pencil/sn_fd18691b62228147fa66af4fa88cb7cd/rendering/15.obj", "4.25386749268")</f>
        <v>4.25386749268</v>
      </c>
      <c r="S2369" s="72" t="str">
        <f>HYPERLINK(AB2 &amp; "/pencil/sn_fd18691b62228147fa66af4fa88cb7cd/rendering/16.obj", "4.36910369873")</f>
        <v>4.36910369873</v>
      </c>
      <c r="T2369" s="41" t="str">
        <f>HYPERLINK(AB2 &amp; "/pencil/sn_fd18691b62228147fa66af4fa88cb7cd/rendering/17.obj", "3.95169769287")</f>
        <v>3.95169769287</v>
      </c>
      <c r="U2369" s="46" t="str">
        <f>HYPERLINK(AB2 &amp; "/pencil/sn_fd18691b62228147fa66af4fa88cb7cd/rendering/18.obj", "4.16465332031")</f>
        <v>4.16465332031</v>
      </c>
      <c r="V2369" s="26" t="str">
        <f>HYPERLINK(AB2 &amp; "/pencil/sn_fd18691b62228147fa66af4fa88cb7cd/rendering/19.obj", "3.96354431152")</f>
        <v>3.96354431152</v>
      </c>
      <c r="W2369" s="12" t="s">
        <v>31</v>
      </c>
      <c r="X2369" s="13">
        <v>4.2328878173828119</v>
      </c>
      <c r="Y2369" s="13">
        <v>0.18205879308533349</v>
      </c>
      <c r="Z2369" s="68">
        <v>4.3010540543429787E-2</v>
      </c>
    </row>
    <row r="2370" spans="1:26" x14ac:dyDescent="0.2">
      <c r="A2370" s="1">
        <v>2368</v>
      </c>
      <c r="B2370" s="2" t="s">
        <v>506</v>
      </c>
      <c r="C2370" s="85" t="str">
        <f>HYPERLINK(AB2 &amp; "/pencil/sn_fd18691b62228147fa66af4fa88cb7cd/rendering/00.obj", "1.2218735218")</f>
        <v>1.2218735218</v>
      </c>
      <c r="D2370" s="51" t="str">
        <f>HYPERLINK(AB2 &amp; "/pencil/sn_fd18691b62228147fa66af4fa88cb7cd/rendering/01.obj", "1.02017390728")</f>
        <v>1.02017390728</v>
      </c>
      <c r="E2370" s="13" t="str">
        <f>HYPERLINK(AB2 &amp; "/pencil/sn_fd18691b62228147fa66af4fa88cb7cd/rendering/02.obj", "0.944445669651")</f>
        <v>0.944445669651</v>
      </c>
      <c r="F2370" s="108" t="str">
        <f>HYPERLINK(AB2 &amp; "/pencil/sn_fd18691b62228147fa66af4fa88cb7cd/rendering/03.obj", "1.17541205883")</f>
        <v>1.17541205883</v>
      </c>
      <c r="G2370" s="110" t="str">
        <f>HYPERLINK(AB2 &amp; "/pencil/sn_fd18691b62228147fa66af4fa88cb7cd/rendering/04.obj", "0.850196063519")</f>
        <v>0.850196063519</v>
      </c>
      <c r="H2370" s="23" t="str">
        <f>HYPERLINK(AB2 &amp; "/pencil/sn_fd18691b62228147fa66af4fa88cb7cd/rendering/05.obj", "0.979253947735")</f>
        <v>0.979253947735</v>
      </c>
      <c r="I2370" s="25" t="str">
        <f>HYPERLINK(AB2 &amp; "/pencil/sn_fd18691b62228147fa66af4fa88cb7cd/rendering/06.obj", "0.932113230228")</f>
        <v>0.932113230228</v>
      </c>
      <c r="J2370" s="73" t="str">
        <f>HYPERLINK(AB2 &amp; "/pencil/sn_fd18691b62228147fa66af4fa88cb7cd/rendering/07.obj", "0.9098944664")</f>
        <v>0.9098944664</v>
      </c>
      <c r="K2370" s="71" t="str">
        <f>HYPERLINK(AB2 &amp; "/pencil/sn_fd18691b62228147fa66af4fa88cb7cd/rendering/08.obj", "0.833046853542")</f>
        <v>0.833046853542</v>
      </c>
      <c r="L2370" s="29" t="str">
        <f>HYPERLINK(AB2 &amp; "/pencil/sn_fd18691b62228147fa66af4fa88cb7cd/rendering/09.obj", "0.81952214241")</f>
        <v>0.81952214241</v>
      </c>
      <c r="M2370" s="28" t="str">
        <f>HYPERLINK(AB2 &amp; "/pencil/sn_fd18691b62228147fa66af4fa88cb7cd/rendering/10.obj", "0.839223742485")</f>
        <v>0.839223742485</v>
      </c>
      <c r="N2370" s="78" t="str">
        <f>HYPERLINK(AB2 &amp; "/pencil/sn_fd18691b62228147fa66af4fa88cb7cd/rendering/11.obj", "1.00071132183")</f>
        <v>1.00071132183</v>
      </c>
      <c r="O2370" s="69" t="str">
        <f>HYPERLINK(AB2 &amp; "/pencil/sn_fd18691b62228147fa66af4fa88cb7cd/rendering/12.obj", "0.915199518204")</f>
        <v>0.915199518204</v>
      </c>
      <c r="P2370" s="25" t="str">
        <f>HYPERLINK(AB2 &amp; "/pencil/sn_fd18691b62228147fa66af4fa88cb7cd/rendering/13.obj", "0.952730000019")</f>
        <v>0.952730000019</v>
      </c>
      <c r="Q2370" s="68" t="str">
        <f>HYPERLINK(AB2 &amp; "/pencil/sn_fd18691b62228147fa66af4fa88cb7cd/rendering/14.obj", "0.90369707346")</f>
        <v>0.90369707346</v>
      </c>
      <c r="R2370" s="78" t="str">
        <f>HYPERLINK(AB2 &amp; "/pencil/sn_fd18691b62228147fa66af4fa88cb7cd/rendering/15.obj", "0.88581353426")</f>
        <v>0.88581353426</v>
      </c>
      <c r="S2370" s="33" t="str">
        <f>HYPERLINK(AB2 &amp; "/pencil/sn_fd18691b62228147fa66af4fa88cb7cd/rendering/16.obj", "1.04553580284")</f>
        <v>1.04553580284</v>
      </c>
      <c r="T2370" s="5" t="str">
        <f>HYPERLINK(AB2 &amp; "/pencil/sn_fd18691b62228147fa66af4fa88cb7cd/rendering/17.obj", "0.871645867825")</f>
        <v>0.871645867825</v>
      </c>
      <c r="U2370" s="26" t="str">
        <f>HYPERLINK(AB2 &amp; "/pencil/sn_fd18691b62228147fa66af4fa88cb7cd/rendering/18.obj", "0.881771087646")</f>
        <v>0.881771087646</v>
      </c>
      <c r="V2370" s="26" t="str">
        <f>HYPERLINK(AB2 &amp; "/pencil/sn_fd18691b62228147fa66af4fa88cb7cd/rendering/19.obj", "0.883069336414")</f>
        <v>0.883069336414</v>
      </c>
      <c r="W2370" s="12" t="s">
        <v>32</v>
      </c>
      <c r="X2370" s="13">
        <v>0.94326645731925962</v>
      </c>
      <c r="Y2370" s="13">
        <v>0.1046299451520967</v>
      </c>
      <c r="Z2370" s="28">
        <v>0.1109229999012712</v>
      </c>
    </row>
    <row r="2371" spans="1:26" x14ac:dyDescent="0.2">
      <c r="A2371" s="1">
        <v>2369</v>
      </c>
      <c r="B2371" s="2" t="s">
        <v>506</v>
      </c>
      <c r="C2371" s="13" t="str">
        <f>HYPERLINK(AC2 &amp; "/pencil/sn_fd18691b62228147fa66af4fa88cb7cd/rendering/00.xyz", "0.0")</f>
        <v>0.0</v>
      </c>
      <c r="D2371" s="13" t="str">
        <f>HYPERLINK(AC2 &amp; "/pencil/sn_fd18691b62228147fa66af4fa88cb7cd/rendering/01.xyz", "0.0")</f>
        <v>0.0</v>
      </c>
      <c r="E2371" s="13" t="str">
        <f>HYPERLINK(AC2 &amp; "/pencil/sn_fd18691b62228147fa66af4fa88cb7cd/rendering/02.xyz", "0.0")</f>
        <v>0.0</v>
      </c>
      <c r="F2371" s="13" t="str">
        <f>HYPERLINK(AC2 &amp; "/pencil/sn_fd18691b62228147fa66af4fa88cb7cd/rendering/03.xyz", "0.0")</f>
        <v>0.0</v>
      </c>
      <c r="G2371" s="13" t="str">
        <f>HYPERLINK(AC2 &amp; "/pencil/sn_fd18691b62228147fa66af4fa88cb7cd/rendering/04.xyz", "0.0")</f>
        <v>0.0</v>
      </c>
      <c r="H2371" s="13" t="str">
        <f>HYPERLINK(AC2 &amp; "/pencil/sn_fd18691b62228147fa66af4fa88cb7cd/rendering/05.xyz", "0.0")</f>
        <v>0.0</v>
      </c>
      <c r="I2371" s="13" t="str">
        <f>HYPERLINK(AC2 &amp; "/pencil/sn_fd18691b62228147fa66af4fa88cb7cd/rendering/06.xyz", "0.0")</f>
        <v>0.0</v>
      </c>
      <c r="J2371" s="13" t="str">
        <f>HYPERLINK(AC2 &amp; "/pencil/sn_fd18691b62228147fa66af4fa88cb7cd/rendering/07.xyz", "0.0")</f>
        <v>0.0</v>
      </c>
      <c r="K2371" s="13" t="str">
        <f>HYPERLINK(AC2 &amp; "/pencil/sn_fd18691b62228147fa66af4fa88cb7cd/rendering/08.xyz", "0.0")</f>
        <v>0.0</v>
      </c>
      <c r="L2371" s="13" t="str">
        <f>HYPERLINK(AC2 &amp; "/pencil/sn_fd18691b62228147fa66af4fa88cb7cd/rendering/09.xyz", "0.0")</f>
        <v>0.0</v>
      </c>
      <c r="M2371" s="13" t="str">
        <f>HYPERLINK(AC2 &amp; "/pencil/sn_fd18691b62228147fa66af4fa88cb7cd/rendering/10.xyz", "0.0")</f>
        <v>0.0</v>
      </c>
      <c r="N2371" s="13" t="str">
        <f>HYPERLINK(AC2 &amp; "/pencil/sn_fd18691b62228147fa66af4fa88cb7cd/rendering/11.xyz", "0.0")</f>
        <v>0.0</v>
      </c>
      <c r="O2371" s="13" t="str">
        <f>HYPERLINK(AC2 &amp; "/pencil/sn_fd18691b62228147fa66af4fa88cb7cd/rendering/12.xyz", "0.0")</f>
        <v>0.0</v>
      </c>
      <c r="P2371" s="13" t="str">
        <f>HYPERLINK(AC2 &amp; "/pencil/sn_fd18691b62228147fa66af4fa88cb7cd/rendering/13.xyz", "0.0")</f>
        <v>0.0</v>
      </c>
      <c r="Q2371" s="13" t="str">
        <f>HYPERLINK(AC2 &amp; "/pencil/sn_fd18691b62228147fa66af4fa88cb7cd/rendering/14.xyz", "0.0")</f>
        <v>0.0</v>
      </c>
      <c r="R2371" s="13" t="str">
        <f>HYPERLINK(AC2 &amp; "/pencil/sn_fd18691b62228147fa66af4fa88cb7cd/rendering/15.xyz", "0.0")</f>
        <v>0.0</v>
      </c>
      <c r="S2371" s="13" t="str">
        <f>HYPERLINK(AC2 &amp; "/pencil/sn_fd18691b62228147fa66af4fa88cb7cd/rendering/16.xyz", "0.0")</f>
        <v>0.0</v>
      </c>
      <c r="T2371" s="13" t="str">
        <f>HYPERLINK(AC2 &amp; "/pencil/sn_fd18691b62228147fa66af4fa88cb7cd/rendering/17.xyz", "0.0")</f>
        <v>0.0</v>
      </c>
      <c r="U2371" s="13" t="str">
        <f>HYPERLINK(AC2 &amp; "/pencil/sn_fd18691b62228147fa66af4fa88cb7cd/rendering/18.xyz", "0.0")</f>
        <v>0.0</v>
      </c>
      <c r="V2371" s="13" t="str">
        <f>HYPERLINK(AC2 &amp; "/pencil/sn_fd18691b62228147fa66af4fa88cb7cd/rendering/19.xyz", "0.0")</f>
        <v>0.0</v>
      </c>
      <c r="W2371" s="12" t="s">
        <v>33</v>
      </c>
      <c r="X2371" s="13">
        <v>0</v>
      </c>
      <c r="Y2371" s="13">
        <v>0</v>
      </c>
      <c r="Z2371" s="13">
        <v>0</v>
      </c>
    </row>
    <row r="2372" spans="1:26" x14ac:dyDescent="0.2">
      <c r="A2372" s="1">
        <v>2370</v>
      </c>
      <c r="B2372" s="2" t="s">
        <v>507</v>
      </c>
      <c r="C2372" s="20" t="str">
        <f>HYPERLINK(AA2 &amp; "/pencil/sn_fe2acbed942c0e2b7c5775fd816aee52/rendering/00.obj", "7.66143981934")</f>
        <v>7.66143981934</v>
      </c>
      <c r="D2372" s="80" t="str">
        <f>HYPERLINK(AA2 &amp; "/pencil/sn_fe2acbed942c0e2b7c5775fd816aee52/rendering/01.obj", "4.21582489014")</f>
        <v>4.21582489014</v>
      </c>
      <c r="E2372" s="69" t="str">
        <f>HYPERLINK(AA2 &amp; "/pencil/sn_fe2acbed942c0e2b7c5775fd816aee52/rendering/02.obj", "3.56385131836")</f>
        <v>3.56385131836</v>
      </c>
      <c r="F2372" s="74" t="str">
        <f>HYPERLINK(AA2 &amp; "/pencil/sn_fe2acbed942c0e2b7c5775fd816aee52/rendering/03.obj", "3.72175933838")</f>
        <v>3.72175933838</v>
      </c>
      <c r="G2372" s="58" t="str">
        <f>HYPERLINK(AA2 &amp; "/pencil/sn_fe2acbed942c0e2b7c5775fd816aee52/rendering/04.obj", "2.77990478516")</f>
        <v>2.77990478516</v>
      </c>
      <c r="H2372" s="87" t="str">
        <f>HYPERLINK(AA2 &amp; "/pencil/sn_fe2acbed942c0e2b7c5775fd816aee52/rendering/05.obj", "2.83358428955")</f>
        <v>2.83358428955</v>
      </c>
      <c r="I2372" s="140" t="str">
        <f>HYPERLINK(AA2 &amp; "/pencil/sn_fe2acbed942c0e2b7c5775fd816aee52/rendering/06.obj", "4.94528747559")</f>
        <v>4.94528747559</v>
      </c>
      <c r="J2372" s="20" t="str">
        <f>HYPERLINK(AA2 &amp; "/pencil/sn_fe2acbed942c0e2b7c5775fd816aee52/rendering/07.obj", "8.1311505127")</f>
        <v>8.1311505127</v>
      </c>
      <c r="K2372" s="72" t="str">
        <f>HYPERLINK(AA2 &amp; "/pencil/sn_fe2acbed942c0e2b7c5775fd816aee52/rendering/08.obj", "3.79334197998")</f>
        <v>3.79334197998</v>
      </c>
      <c r="L2372" s="63" t="str">
        <f>HYPERLINK(AA2 &amp; "/pencil/sn_fe2acbed942c0e2b7c5775fd816aee52/rendering/09.obj", "3.22475830078")</f>
        <v>3.22475830078</v>
      </c>
      <c r="M2372" s="4" t="str">
        <f>HYPERLINK(AA2 &amp; "/pencil/sn_fe2acbed942c0e2b7c5775fd816aee52/rendering/10.obj", "2.62905151367")</f>
        <v>2.62905151367</v>
      </c>
      <c r="N2372" s="14" t="str">
        <f>HYPERLINK(AA2 &amp; "/pencil/sn_fe2acbed942c0e2b7c5775fd816aee52/rendering/11.obj", "2.6045300293")</f>
        <v>2.6045300293</v>
      </c>
      <c r="O2372" s="92" t="str">
        <f>HYPERLINK(AA2 &amp; "/pencil/sn_fe2acbed942c0e2b7c5775fd816aee52/rendering/12.obj", "3.20997528076")</f>
        <v>3.20997528076</v>
      </c>
      <c r="P2372" s="134" t="str">
        <f>HYPERLINK(AA2 &amp; "/pencil/sn_fe2acbed942c0e2b7c5775fd816aee52/rendering/13.obj", "3.00684265137")</f>
        <v>3.00684265137</v>
      </c>
      <c r="Q2372" s="38" t="str">
        <f>HYPERLINK(AA2 &amp; "/pencil/sn_fe2acbed942c0e2b7c5775fd816aee52/rendering/14.obj", "3.33536987305")</f>
        <v>3.33536987305</v>
      </c>
      <c r="R2372" s="11" t="str">
        <f>HYPERLINK(AA2 &amp; "/pencil/sn_fe2acbed942c0e2b7c5775fd816aee52/rendering/15.obj", "2.84684570313")</f>
        <v>2.84684570313</v>
      </c>
      <c r="S2372" s="86" t="str">
        <f>HYPERLINK(AA2 &amp; "/pencil/sn_fe2acbed942c0e2b7c5775fd816aee52/rendering/16.obj", "2.68709960938")</f>
        <v>2.68709960938</v>
      </c>
      <c r="T2372" s="29" t="str">
        <f>HYPERLINK(AA2 &amp; "/pencil/sn_fe2acbed942c0e2b7c5775fd816aee52/rendering/17.obj", "3.19541809082")</f>
        <v>3.19541809082</v>
      </c>
      <c r="U2372" s="53" t="str">
        <f>HYPERLINK(AA2 &amp; "/pencil/sn_fe2acbed942c0e2b7c5775fd816aee52/rendering/18.obj", "2.14941665649")</f>
        <v>2.14941665649</v>
      </c>
      <c r="V2372" s="98" t="str">
        <f>HYPERLINK(AA2 &amp; "/pencil/sn_fe2acbed942c0e2b7c5775fd816aee52/rendering/19.obj", "2.82605895996")</f>
        <v>2.82605895996</v>
      </c>
      <c r="W2372" s="12" t="s">
        <v>29</v>
      </c>
      <c r="X2372" s="13">
        <v>3.6680755538940431</v>
      </c>
      <c r="Y2372" s="13">
        <v>1.538707532680196</v>
      </c>
      <c r="Z2372" s="132">
        <v>0.41948632466054281</v>
      </c>
    </row>
    <row r="2373" spans="1:26" x14ac:dyDescent="0.2">
      <c r="A2373" s="1">
        <v>2371</v>
      </c>
      <c r="B2373" s="2" t="s">
        <v>507</v>
      </c>
      <c r="C2373" s="20" t="str">
        <f>HYPERLINK(AA2 &amp; "/pencil/sn_fe2acbed942c0e2b7c5775fd816aee52/rendering/00.obj", "6.19520902634")</f>
        <v>6.19520902634</v>
      </c>
      <c r="D2373" s="16" t="str">
        <f>HYPERLINK(AA2 &amp; "/pencil/sn_fe2acbed942c0e2b7c5775fd816aee52/rendering/01.obj", "3.46281385422")</f>
        <v>3.46281385422</v>
      </c>
      <c r="E2373" s="5" t="str">
        <f>HYPERLINK(AA2 &amp; "/pencil/sn_fe2acbed942c0e2b7c5775fd816aee52/rendering/02.obj", "2.07144808769")</f>
        <v>2.07144808769</v>
      </c>
      <c r="F2373" s="39" t="str">
        <f>HYPERLINK(AA2 &amp; "/pencil/sn_fe2acbed942c0e2b7c5775fd816aee52/rendering/03.obj", "2.43459200859")</f>
        <v>2.43459200859</v>
      </c>
      <c r="G2373" s="227" t="str">
        <f>HYPERLINK(AA2 &amp; "/pencil/sn_fe2acbed942c0e2b7c5775fd816aee52/rendering/04.obj", "1.09604644775")</f>
        <v>1.09604644775</v>
      </c>
      <c r="H2373" s="116" t="str">
        <f>HYPERLINK(AA2 &amp; "/pencil/sn_fe2acbed942c0e2b7c5775fd816aee52/rendering/05.obj", "1.26175236702")</f>
        <v>1.26175236702</v>
      </c>
      <c r="I2373" s="131" t="str">
        <f>HYPERLINK(AA2 &amp; "/pencil/sn_fe2acbed942c0e2b7c5775fd816aee52/rendering/06.obj", "3.27590084076")</f>
        <v>3.27590084076</v>
      </c>
      <c r="J2373" s="20" t="str">
        <f>HYPERLINK(AA2 &amp; "/pencil/sn_fe2acbed942c0e2b7c5775fd816aee52/rendering/07.obj", "6.39124298096")</f>
        <v>6.39124298096</v>
      </c>
      <c r="K2373" s="80" t="str">
        <f>HYPERLINK(AA2 &amp; "/pencil/sn_fe2acbed942c0e2b7c5775fd816aee52/rendering/08.obj", "2.57370114326")</f>
        <v>2.57370114326</v>
      </c>
      <c r="L2373" s="182" t="str">
        <f>HYPERLINK(AA2 &amp; "/pencil/sn_fe2acbed942c0e2b7c5775fd816aee52/rendering/09.obj", "1.49448025227")</f>
        <v>1.49448025227</v>
      </c>
      <c r="M2373" s="52" t="str">
        <f>HYPERLINK(AA2 &amp; "/pencil/sn_fe2acbed942c0e2b7c5775fd816aee52/rendering/10.obj", "1.34762787819")</f>
        <v>1.34762787819</v>
      </c>
      <c r="N2373" s="143" t="str">
        <f>HYPERLINK(AA2 &amp; "/pencil/sn_fe2acbed942c0e2b7c5775fd816aee52/rendering/11.obj", "1.18326151371")</f>
        <v>1.18326151371</v>
      </c>
      <c r="O2373" s="129" t="str">
        <f>HYPERLINK(AA2 &amp; "/pencil/sn_fe2acbed942c0e2b7c5775fd816aee52/rendering/12.obj", "1.68092012405")</f>
        <v>1.68092012405</v>
      </c>
      <c r="P2373" s="114" t="str">
        <f>HYPERLINK(AA2 &amp; "/pencil/sn_fe2acbed942c0e2b7c5775fd816aee52/rendering/13.obj", "1.21393597126")</f>
        <v>1.21393597126</v>
      </c>
      <c r="Q2373" s="41" t="str">
        <f>HYPERLINK(AA2 &amp; "/pencil/sn_fe2acbed942c0e2b7c5775fd816aee52/rendering/14.obj", "2.39340376854")</f>
        <v>2.39340376854</v>
      </c>
      <c r="R2373" s="157" t="str">
        <f>HYPERLINK(AA2 &amp; "/pencil/sn_fe2acbed942c0e2b7c5775fd816aee52/rendering/15.obj", "1.30831468105")</f>
        <v>1.30831468105</v>
      </c>
      <c r="S2373" s="147" t="str">
        <f>HYPERLINK(AA2 &amp; "/pencil/sn_fe2acbed942c0e2b7c5775fd816aee52/rendering/16.obj", "1.15012168884")</f>
        <v>1.15012168884</v>
      </c>
      <c r="T2373" s="54" t="str">
        <f>HYPERLINK(AA2 &amp; "/pencil/sn_fe2acbed942c0e2b7c5775fd816aee52/rendering/17.obj", "1.506970644")</f>
        <v>1.506970644</v>
      </c>
      <c r="U2373" s="200" t="str">
        <f>HYPERLINK(AA2 &amp; "/pencil/sn_fe2acbed942c0e2b7c5775fd816aee52/rendering/18.obj", "1.16744053364")</f>
        <v>1.16744053364</v>
      </c>
      <c r="V2373" s="7" t="str">
        <f>HYPERLINK(AA2 &amp; "/pencil/sn_fe2acbed942c0e2b7c5775fd816aee52/rendering/19.obj", "1.61777496338")</f>
        <v>1.61777496338</v>
      </c>
      <c r="W2373" s="12" t="s">
        <v>30</v>
      </c>
      <c r="X2373" s="13">
        <v>2.2413479387760158</v>
      </c>
      <c r="Y2373" s="13">
        <v>1.5145385687588071</v>
      </c>
      <c r="Z2373" s="155">
        <v>0.67572666543949678</v>
      </c>
    </row>
    <row r="2374" spans="1:26" x14ac:dyDescent="0.2">
      <c r="A2374" s="1">
        <v>2372</v>
      </c>
      <c r="B2374" s="2" t="s">
        <v>507</v>
      </c>
      <c r="C2374" s="80" t="str">
        <f>HYPERLINK(AB2 &amp; "/pencil/sn_fe2acbed942c0e2b7c5775fd816aee52/rendering/00.obj", "3.04429962158")</f>
        <v>3.04429962158</v>
      </c>
      <c r="D2374" s="38" t="str">
        <f>HYPERLINK(AB2 &amp; "/pencil/sn_fe2acbed942c0e2b7c5775fd816aee52/rendering/01.obj", "2.88412963867")</f>
        <v>2.88412963867</v>
      </c>
      <c r="E2374" s="72" t="str">
        <f>HYPERLINK(AB2 &amp; "/pencil/sn_fe2acbed942c0e2b7c5775fd816aee52/rendering/02.obj", "2.56344787598")</f>
        <v>2.56344787598</v>
      </c>
      <c r="F2374" s="26" t="str">
        <f>HYPERLINK(AB2 &amp; "/pencil/sn_fe2acbed942c0e2b7c5775fd816aee52/rendering/03.obj", "2.81963500977")</f>
        <v>2.81963500977</v>
      </c>
      <c r="G2374" s="46" t="str">
        <f>HYPERLINK(AB2 &amp; "/pencil/sn_fe2acbed942c0e2b7c5775fd816aee52/rendering/04.obj", "2.60116119385")</f>
        <v>2.60116119385</v>
      </c>
      <c r="H2374" s="106" t="str">
        <f>HYPERLINK(AB2 &amp; "/pencil/sn_fe2acbed942c0e2b7c5775fd816aee52/rendering/05.obj", "2.34281814575")</f>
        <v>2.34281814575</v>
      </c>
      <c r="I2374" s="91" t="str">
        <f>HYPERLINK(AB2 &amp; "/pencil/sn_fe2acbed942c0e2b7c5775fd816aee52/rendering/06.obj", "2.71723175049")</f>
        <v>2.71723175049</v>
      </c>
      <c r="J2374" s="65" t="str">
        <f>HYPERLINK(AB2 &amp; "/pencil/sn_fe2acbed942c0e2b7c5775fd816aee52/rendering/07.obj", "2.9994140625")</f>
        <v>2.9994140625</v>
      </c>
      <c r="K2374" s="6" t="str">
        <f>HYPERLINK(AB2 &amp; "/pencil/sn_fe2acbed942c0e2b7c5775fd816aee52/rendering/08.obj", "2.76497070312")</f>
        <v>2.76497070312</v>
      </c>
      <c r="L2374" s="50" t="str">
        <f>HYPERLINK(AB2 &amp; "/pencil/sn_fe2acbed942c0e2b7c5775fd816aee52/rendering/09.obj", "3.17036987305")</f>
        <v>3.17036987305</v>
      </c>
      <c r="M2374" s="60" t="str">
        <f>HYPERLINK(AB2 &amp; "/pencil/sn_fe2acbed942c0e2b7c5775fd816aee52/rendering/10.obj", "2.78788696289")</f>
        <v>2.78788696289</v>
      </c>
      <c r="N2374" s="41" t="str">
        <f>HYPERLINK(AB2 &amp; "/pencil/sn_fe2acbed942c0e2b7c5775fd816aee52/rendering/11.obj", "2.46875991821")</f>
        <v>2.46875991821</v>
      </c>
      <c r="O2374" s="8" t="str">
        <f>HYPERLINK(AB2 &amp; "/pencil/sn_fe2acbed942c0e2b7c5775fd816aee52/rendering/12.obj", "2.26570953369")</f>
        <v>2.26570953369</v>
      </c>
      <c r="P2374" s="13" t="str">
        <f>HYPERLINK(AB2 &amp; "/pencil/sn_fe2acbed942c0e2b7c5775fd816aee52/rendering/13.obj", "2.64345947266")</f>
        <v>2.64345947266</v>
      </c>
      <c r="Q2374" s="26" t="str">
        <f>HYPERLINK(AB2 &amp; "/pencil/sn_fe2acbed942c0e2b7c5775fd816aee52/rendering/14.obj", "2.47891021729")</f>
        <v>2.47891021729</v>
      </c>
      <c r="R2374" s="13" t="str">
        <f>HYPERLINK(AB2 &amp; "/pencil/sn_fe2acbed942c0e2b7c5775fd816aee52/rendering/15.obj", "2.63869445801")</f>
        <v>2.63869445801</v>
      </c>
      <c r="S2374" s="78" t="str">
        <f>HYPERLINK(AB2 &amp; "/pencil/sn_fe2acbed942c0e2b7c5775fd816aee52/rendering/16.obj", "2.48572677612")</f>
        <v>2.48572677612</v>
      </c>
      <c r="T2374" s="28" t="str">
        <f>HYPERLINK(AB2 &amp; "/pencil/sn_fe2acbed942c0e2b7c5775fd816aee52/rendering/17.obj", "2.35070877075")</f>
        <v>2.35070877075</v>
      </c>
      <c r="U2374" s="47" t="str">
        <f>HYPERLINK(AB2 &amp; "/pencil/sn_fe2acbed942c0e2b7c5775fd816aee52/rendering/18.obj", "2.62277130127")</f>
        <v>2.62277130127</v>
      </c>
      <c r="V2374" s="42" t="str">
        <f>HYPERLINK(AB2 &amp; "/pencil/sn_fe2acbed942c0e2b7c5775fd816aee52/rendering/19.obj", "2.28699401855")</f>
        <v>2.28699401855</v>
      </c>
      <c r="W2374" s="12" t="s">
        <v>31</v>
      </c>
      <c r="X2374" s="13">
        <v>2.6468549652099602</v>
      </c>
      <c r="Y2374" s="13">
        <v>0.24817086581369949</v>
      </c>
      <c r="Z2374" s="67">
        <v>9.3760658999316737E-2</v>
      </c>
    </row>
    <row r="2375" spans="1:26" x14ac:dyDescent="0.2">
      <c r="A2375" s="1">
        <v>2373</v>
      </c>
      <c r="B2375" s="2" t="s">
        <v>507</v>
      </c>
      <c r="C2375" s="16" t="str">
        <f>HYPERLINK(AB2 &amp; "/pencil/sn_fe2acbed942c0e2b7c5775fd816aee52/rendering/00.obj", "2.01738548279")</f>
        <v>2.01738548279</v>
      </c>
      <c r="D2375" s="107" t="str">
        <f>HYPERLINK(AB2 &amp; "/pencil/sn_fe2acbed942c0e2b7c5775fd816aee52/rendering/01.obj", "1.41700673103")</f>
        <v>1.41700673103</v>
      </c>
      <c r="E2375" s="71" t="str">
        <f>HYPERLINK(AB2 &amp; "/pencil/sn_fe2acbed942c0e2b7c5775fd816aee52/rendering/02.obj", "1.15438139439")</f>
        <v>1.15438139439</v>
      </c>
      <c r="F2375" s="66" t="str">
        <f>HYPERLINK(AB2 &amp; "/pencil/sn_fe2acbed942c0e2b7c5775fd816aee52/rendering/03.obj", "1.51661372185")</f>
        <v>1.51661372185</v>
      </c>
      <c r="G2375" s="25" t="str">
        <f>HYPERLINK(AB2 &amp; "/pencil/sn_fe2acbed942c0e2b7c5775fd816aee52/rendering/04.obj", "1.32092785835")</f>
        <v>1.32092785835</v>
      </c>
      <c r="H2375" s="77" t="str">
        <f>HYPERLINK(AB2 &amp; "/pencil/sn_fe2acbed942c0e2b7c5775fd816aee52/rendering/05.obj", "1.06076693535")</f>
        <v>1.06076693535</v>
      </c>
      <c r="I2375" s="60" t="str">
        <f>HYPERLINK(AB2 &amp; "/pencil/sn_fe2acbed942c0e2b7c5775fd816aee52/rendering/06.obj", "1.37462174892")</f>
        <v>1.37462174892</v>
      </c>
      <c r="J2375" s="10" t="str">
        <f>HYPERLINK(AB2 &amp; "/pencil/sn_fe2acbed942c0e2b7c5775fd816aee52/rendering/07.obj", "1.23503053188")</f>
        <v>1.23503053188</v>
      </c>
      <c r="K2375" s="83" t="str">
        <f>HYPERLINK(AB2 &amp; "/pencil/sn_fe2acbed942c0e2b7c5775fd816aee52/rendering/08.obj", "1.10779035091")</f>
        <v>1.10779035091</v>
      </c>
      <c r="L2375" s="17" t="str">
        <f>HYPERLINK(AB2 &amp; "/pencil/sn_fe2acbed942c0e2b7c5775fd816aee52/rendering/09.obj", "1.28017306328")</f>
        <v>1.28017306328</v>
      </c>
      <c r="M2375" s="68" t="str">
        <f>HYPERLINK(AB2 &amp; "/pencil/sn_fe2acbed942c0e2b7c5775fd816aee52/rendering/10.obj", "1.36076128483")</f>
        <v>1.36076128483</v>
      </c>
      <c r="N2375" s="50" t="str">
        <f>HYPERLINK(AB2 &amp; "/pencil/sn_fe2acbed942c0e2b7c5775fd816aee52/rendering/11.obj", "1.04799675941")</f>
        <v>1.04799675941</v>
      </c>
      <c r="O2375" s="67" t="str">
        <f>HYPERLINK(AB2 &amp; "/pencil/sn_fe2acbed942c0e2b7c5775fd816aee52/rendering/12.obj", "1.42581892014")</f>
        <v>1.42581892014</v>
      </c>
      <c r="P2375" s="84" t="str">
        <f>HYPERLINK(AB2 &amp; "/pencil/sn_fe2acbed942c0e2b7c5775fd816aee52/rendering/13.obj", "1.11460161209")</f>
        <v>1.11460161209</v>
      </c>
      <c r="Q2375" s="106" t="str">
        <f>HYPERLINK(AB2 &amp; "/pencil/sn_fe2acbed942c0e2b7c5775fd816aee52/rendering/14.obj", "1.15735518932")</f>
        <v>1.15735518932</v>
      </c>
      <c r="R2375" s="135" t="str">
        <f>HYPERLINK(AB2 &amp; "/pencil/sn_fe2acbed942c0e2b7c5775fd816aee52/rendering/15.obj", "1.63967335224")</f>
        <v>1.63967335224</v>
      </c>
      <c r="S2375" s="24" t="str">
        <f>HYPERLINK(AB2 &amp; "/pencil/sn_fe2acbed942c0e2b7c5775fd816aee52/rendering/16.obj", "1.08791029453")</f>
        <v>1.08791029453</v>
      </c>
      <c r="T2375" s="88" t="str">
        <f>HYPERLINK(AB2 &amp; "/pencil/sn_fe2acbed942c0e2b7c5775fd816aee52/rendering/17.obj", "1.56926906109")</f>
        <v>1.56926906109</v>
      </c>
      <c r="U2375" s="84" t="str">
        <f>HYPERLINK(AB2 &amp; "/pencil/sn_fe2acbed942c0e2b7c5775fd816aee52/rendering/18.obj", "1.11785900593")</f>
        <v>1.11785900593</v>
      </c>
      <c r="V2375" s="42" t="str">
        <f>HYPERLINK(AB2 &amp; "/pencil/sn_fe2acbed942c0e2b7c5775fd816aee52/rendering/19.obj", "1.12723898888")</f>
        <v>1.12723898888</v>
      </c>
      <c r="W2375" s="12" t="s">
        <v>32</v>
      </c>
      <c r="X2375" s="13">
        <v>1.3066591143608091</v>
      </c>
      <c r="Y2375" s="13">
        <v>0.238118151164806</v>
      </c>
      <c r="Z2375" s="76">
        <v>0.18223433223537311</v>
      </c>
    </row>
    <row r="2376" spans="1:26" x14ac:dyDescent="0.2">
      <c r="A2376" s="1">
        <v>2374</v>
      </c>
      <c r="B2376" s="2" t="s">
        <v>507</v>
      </c>
      <c r="C2376" s="13" t="str">
        <f>HYPERLINK(AC2 &amp; "/pencil/sn_fe2acbed942c0e2b7c5775fd816aee52/rendering/00.xyz", "0.0")</f>
        <v>0.0</v>
      </c>
      <c r="D2376" s="13" t="str">
        <f>HYPERLINK(AC2 &amp; "/pencil/sn_fe2acbed942c0e2b7c5775fd816aee52/rendering/01.xyz", "0.0")</f>
        <v>0.0</v>
      </c>
      <c r="E2376" s="13" t="str">
        <f>HYPERLINK(AC2 &amp; "/pencil/sn_fe2acbed942c0e2b7c5775fd816aee52/rendering/02.xyz", "0.0")</f>
        <v>0.0</v>
      </c>
      <c r="F2376" s="13" t="str">
        <f>HYPERLINK(AC2 &amp; "/pencil/sn_fe2acbed942c0e2b7c5775fd816aee52/rendering/03.xyz", "0.0")</f>
        <v>0.0</v>
      </c>
      <c r="G2376" s="13" t="str">
        <f>HYPERLINK(AC2 &amp; "/pencil/sn_fe2acbed942c0e2b7c5775fd816aee52/rendering/04.xyz", "0.0")</f>
        <v>0.0</v>
      </c>
      <c r="H2376" s="13" t="str">
        <f>HYPERLINK(AC2 &amp; "/pencil/sn_fe2acbed942c0e2b7c5775fd816aee52/rendering/05.xyz", "0.0")</f>
        <v>0.0</v>
      </c>
      <c r="I2376" s="13" t="str">
        <f>HYPERLINK(AC2 &amp; "/pencil/sn_fe2acbed942c0e2b7c5775fd816aee52/rendering/06.xyz", "0.0")</f>
        <v>0.0</v>
      </c>
      <c r="J2376" s="13" t="str">
        <f>HYPERLINK(AC2 &amp; "/pencil/sn_fe2acbed942c0e2b7c5775fd816aee52/rendering/07.xyz", "0.0")</f>
        <v>0.0</v>
      </c>
      <c r="K2376" s="13" t="str">
        <f>HYPERLINK(AC2 &amp; "/pencil/sn_fe2acbed942c0e2b7c5775fd816aee52/rendering/08.xyz", "0.0")</f>
        <v>0.0</v>
      </c>
      <c r="L2376" s="13" t="str">
        <f>HYPERLINK(AC2 &amp; "/pencil/sn_fe2acbed942c0e2b7c5775fd816aee52/rendering/09.xyz", "0.0")</f>
        <v>0.0</v>
      </c>
      <c r="M2376" s="13" t="str">
        <f>HYPERLINK(AC2 &amp; "/pencil/sn_fe2acbed942c0e2b7c5775fd816aee52/rendering/10.xyz", "0.0")</f>
        <v>0.0</v>
      </c>
      <c r="N2376" s="13" t="str">
        <f>HYPERLINK(AC2 &amp; "/pencil/sn_fe2acbed942c0e2b7c5775fd816aee52/rendering/11.xyz", "0.0")</f>
        <v>0.0</v>
      </c>
      <c r="O2376" s="13" t="str">
        <f>HYPERLINK(AC2 &amp; "/pencil/sn_fe2acbed942c0e2b7c5775fd816aee52/rendering/12.xyz", "0.0")</f>
        <v>0.0</v>
      </c>
      <c r="P2376" s="13" t="str">
        <f>HYPERLINK(AC2 &amp; "/pencil/sn_fe2acbed942c0e2b7c5775fd816aee52/rendering/13.xyz", "0.0")</f>
        <v>0.0</v>
      </c>
      <c r="Q2376" s="13" t="str">
        <f>HYPERLINK(AC2 &amp; "/pencil/sn_fe2acbed942c0e2b7c5775fd816aee52/rendering/14.xyz", "0.0")</f>
        <v>0.0</v>
      </c>
      <c r="R2376" s="13" t="str">
        <f>HYPERLINK(AC2 &amp; "/pencil/sn_fe2acbed942c0e2b7c5775fd816aee52/rendering/15.xyz", "0.0")</f>
        <v>0.0</v>
      </c>
      <c r="S2376" s="13" t="str">
        <f>HYPERLINK(AC2 &amp; "/pencil/sn_fe2acbed942c0e2b7c5775fd816aee52/rendering/16.xyz", "0.0")</f>
        <v>0.0</v>
      </c>
      <c r="T2376" s="13" t="str">
        <f>HYPERLINK(AC2 &amp; "/pencil/sn_fe2acbed942c0e2b7c5775fd816aee52/rendering/17.xyz", "0.0")</f>
        <v>0.0</v>
      </c>
      <c r="U2376" s="13" t="str">
        <f>HYPERLINK(AC2 &amp; "/pencil/sn_fe2acbed942c0e2b7c5775fd816aee52/rendering/18.xyz", "0.0")</f>
        <v>0.0</v>
      </c>
      <c r="V2376" s="13" t="str">
        <f>HYPERLINK(AC2 &amp; "/pencil/sn_fe2acbed942c0e2b7c5775fd816aee52/rendering/19.xyz", "0.0")</f>
        <v>0.0</v>
      </c>
      <c r="W2376" s="12" t="s">
        <v>33</v>
      </c>
      <c r="X2376" s="13">
        <v>0</v>
      </c>
      <c r="Y2376" s="13">
        <v>0</v>
      </c>
      <c r="Z2376" s="13">
        <v>0</v>
      </c>
    </row>
    <row r="2377" spans="1:26" x14ac:dyDescent="0.2">
      <c r="A2377" s="1">
        <v>2375</v>
      </c>
      <c r="B2377" s="2" t="s">
        <v>508</v>
      </c>
      <c r="C2377" s="17" t="str">
        <f>HYPERLINK(AA2 &amp; "/pencil/sn_fe813758c1523989193d4b734f02a389/rendering/00.obj", "7.83916137695")</f>
        <v>7.83916137695</v>
      </c>
      <c r="D2377" s="51" t="str">
        <f>HYPERLINK(AA2 &amp; "/pencil/sn_fe813758c1523989193d4b734f02a389/rendering/01.obj", "7.36406005859")</f>
        <v>7.36406005859</v>
      </c>
      <c r="E2377" s="118" t="str">
        <f>HYPERLINK(AA2 &amp; "/pencil/sn_fe813758c1523989193d4b734f02a389/rendering/02.obj", "5.64795166016")</f>
        <v>5.64795166016</v>
      </c>
      <c r="F2377" s="5" t="str">
        <f>HYPERLINK(AA2 &amp; "/pencil/sn_fe813758c1523989193d4b734f02a389/rendering/03.obj", "7.39262512207")</f>
        <v>7.39262512207</v>
      </c>
      <c r="G2377" s="152" t="str">
        <f>HYPERLINK(AA2 &amp; "/pencil/sn_fe813758c1523989193d4b734f02a389/rendering/04.obj", "11.2559643555")</f>
        <v>11.2559643555</v>
      </c>
      <c r="H2377" s="103" t="str">
        <f>HYPERLINK(AA2 &amp; "/pencil/sn_fe813758c1523989193d4b734f02a389/rendering/05.obj", "5.40514709473")</f>
        <v>5.40514709473</v>
      </c>
      <c r="I2377" s="20" t="str">
        <f>HYPERLINK(AA2 &amp; "/pencil/sn_fe813758c1523989193d4b734f02a389/rendering/06.obj", "17.8699377441")</f>
        <v>17.8699377441</v>
      </c>
      <c r="J2377" s="103" t="str">
        <f>HYPERLINK(AA2 &amp; "/pencil/sn_fe813758c1523989193d4b734f02a389/rendering/07.obj", "5.41309936523")</f>
        <v>5.41309936523</v>
      </c>
      <c r="K2377" s="98" t="str">
        <f>HYPERLINK(AA2 &amp; "/pencil/sn_fe813758c1523989193d4b734f02a389/rendering/08.obj", "6.16015991211")</f>
        <v>6.16015991211</v>
      </c>
      <c r="L2377" s="15" t="str">
        <f>HYPERLINK(AA2 &amp; "/pencil/sn_fe813758c1523989193d4b734f02a389/rendering/09.obj", "12.0747253418")</f>
        <v>12.0747253418</v>
      </c>
      <c r="M2377" s="79" t="str">
        <f>HYPERLINK(AA2 &amp; "/pencil/sn_fe813758c1523989193d4b734f02a389/rendering/10.obj", "6.72994995117")</f>
        <v>6.72994995117</v>
      </c>
      <c r="N2377" s="56" t="str">
        <f>HYPERLINK(AA2 &amp; "/pencil/sn_fe813758c1523989193d4b734f02a389/rendering/11.obj", "5.52995300293")</f>
        <v>5.52995300293</v>
      </c>
      <c r="O2377" s="101" t="str">
        <f>HYPERLINK(AA2 &amp; "/pencil/sn_fe813758c1523989193d4b734f02a389/rendering/12.obj", "11.0350378418")</f>
        <v>11.0350378418</v>
      </c>
      <c r="P2377" s="93" t="str">
        <f>HYPERLINK(AA2 &amp; "/pencil/sn_fe813758c1523989193d4b734f02a389/rendering/13.obj", "9.12984802246")</f>
        <v>9.12984802246</v>
      </c>
      <c r="Q2377" s="80" t="str">
        <f>HYPERLINK(AA2 &amp; "/pencil/sn_fe813758c1523989193d4b734f02a389/rendering/14.obj", "6.82039550781")</f>
        <v>6.82039550781</v>
      </c>
      <c r="R2377" s="85" t="str">
        <f>HYPERLINK(AA2 &amp; "/pencil/sn_fe813758c1523989193d4b734f02a389/rendering/15.obj", "5.63445678711")</f>
        <v>5.63445678711</v>
      </c>
      <c r="S2377" s="195" t="str">
        <f>HYPERLINK(AA2 &amp; "/pencil/sn_fe813758c1523989193d4b734f02a389/rendering/16.obj", "12.3946044922")</f>
        <v>12.3946044922</v>
      </c>
      <c r="T2377" s="138" t="str">
        <f>HYPERLINK(AA2 &amp; "/pencil/sn_fe813758c1523989193d4b734f02a389/rendering/17.obj", "5.31377685547")</f>
        <v>5.31377685547</v>
      </c>
      <c r="U2377" s="168" t="str">
        <f>HYPERLINK(AA2 &amp; "/pencil/sn_fe813758c1523989193d4b734f02a389/rendering/18.obj", "5.42614379883")</f>
        <v>5.42614379883</v>
      </c>
      <c r="V2377" s="166" t="str">
        <f>HYPERLINK(AA2 &amp; "/pencil/sn_fe813758c1523989193d4b734f02a389/rendering/19.obj", "5.72048278809")</f>
        <v>5.72048278809</v>
      </c>
      <c r="W2377" s="12" t="s">
        <v>29</v>
      </c>
      <c r="X2377" s="13">
        <v>8.0078740539550797</v>
      </c>
      <c r="Y2377" s="13">
        <v>3.2503806222661642</v>
      </c>
      <c r="Z2377" s="152">
        <v>0.40589806987046773</v>
      </c>
    </row>
    <row r="2378" spans="1:26" x14ac:dyDescent="0.2">
      <c r="A2378" s="1">
        <v>2376</v>
      </c>
      <c r="B2378" s="2" t="s">
        <v>508</v>
      </c>
      <c r="C2378" s="129" t="str">
        <f>HYPERLINK(AA2 &amp; "/pencil/sn_fe813758c1523989193d4b734f02a389/rendering/00.obj", "8.18936824799")</f>
        <v>8.18936824799</v>
      </c>
      <c r="D2378" s="132" t="str">
        <f>HYPERLINK(AA2 &amp; "/pencil/sn_fe813758c1523989193d4b734f02a389/rendering/01.obj", "6.32135105133")</f>
        <v>6.32135105133</v>
      </c>
      <c r="E2378" s="248" t="str">
        <f>HYPERLINK(AA2 &amp; "/pencil/sn_fe813758c1523989193d4b734f02a389/rendering/02.obj", "3.68345451355")</f>
        <v>3.68345451355</v>
      </c>
      <c r="F2378" s="104" t="str">
        <f>HYPERLINK(AA2 &amp; "/pencil/sn_fe813758c1523989193d4b734f02a389/rendering/03.obj", "5.69995737076")</f>
        <v>5.69995737076</v>
      </c>
      <c r="G2378" s="144" t="str">
        <f>HYPERLINK(AA2 &amp; "/pencil/sn_fe813758c1523989193d4b734f02a389/rendering/04.obj", "16.38032341")</f>
        <v>16.38032341</v>
      </c>
      <c r="H2378" s="233" t="str">
        <f>HYPERLINK(AA2 &amp; "/pencil/sn_fe813758c1523989193d4b734f02a389/rendering/05.obj", "3.24198770523")</f>
        <v>3.24198770523</v>
      </c>
      <c r="I2378" s="20" t="str">
        <f>HYPERLINK(AA2 &amp; "/pencil/sn_fe813758c1523989193d4b734f02a389/rendering/06.obj", "70.6085662842")</f>
        <v>70.6085662842</v>
      </c>
      <c r="J2378" s="233" t="str">
        <f>HYPERLINK(AA2 &amp; "/pencil/sn_fe813758c1523989193d4b734f02a389/rendering/07.obj", "3.2611386776")</f>
        <v>3.2611386776</v>
      </c>
      <c r="K2378" s="208" t="str">
        <f>HYPERLINK(AA2 &amp; "/pencil/sn_fe813758c1523989193d4b734f02a389/rendering/08.obj", "2.57877159119")</f>
        <v>2.57877159119</v>
      </c>
      <c r="L2378" s="20" t="str">
        <f>HYPERLINK(AA2 &amp; "/pencil/sn_fe813758c1523989193d4b734f02a389/rendering/09.obj", "25.3058414459")</f>
        <v>25.3058414459</v>
      </c>
      <c r="M2378" s="115" t="str">
        <f>HYPERLINK(AA2 &amp; "/pencil/sn_fe813758c1523989193d4b734f02a389/rendering/10.obj", "3.9214823246")</f>
        <v>3.9214823246</v>
      </c>
      <c r="N2378" s="214" t="str">
        <f>HYPERLINK(AA2 &amp; "/pencil/sn_fe813758c1523989193d4b734f02a389/rendering/11.obj", "4.17805814743")</f>
        <v>4.17805814743</v>
      </c>
      <c r="O2378" s="114" t="str">
        <f>HYPERLINK(AA2 &amp; "/pencil/sn_fe813758c1523989193d4b734f02a389/rendering/12.obj", "5.86903524399")</f>
        <v>5.86903524399</v>
      </c>
      <c r="P2378" s="72" t="str">
        <f>HYPERLINK(AA2 &amp; "/pencil/sn_fe813758c1523989193d4b734f02a389/rendering/13.obj", "10.5154561996")</f>
        <v>10.5154561996</v>
      </c>
      <c r="Q2378" s="214" t="str">
        <f>HYPERLINK(AA2 &amp; "/pencil/sn_fe813758c1523989193d4b734f02a389/rendering/14.obj", "4.16260910034")</f>
        <v>4.16260910034</v>
      </c>
      <c r="R2378" s="125" t="str">
        <f>HYPERLINK(AA2 &amp; "/pencil/sn_fe813758c1523989193d4b734f02a389/rendering/15.obj", "3.13509464264")</f>
        <v>3.13509464264</v>
      </c>
      <c r="S2378" s="20" t="str">
        <f>HYPERLINK(AA2 &amp; "/pencil/sn_fe813758c1523989193d4b734f02a389/rendering/16.obj", "30.1113376617")</f>
        <v>30.1113376617</v>
      </c>
      <c r="T2378" s="211" t="str">
        <f>HYPERLINK(AA2 &amp; "/pencil/sn_fe813758c1523989193d4b734f02a389/rendering/17.obj", "2.54982686043")</f>
        <v>2.54982686043</v>
      </c>
      <c r="U2378" s="216" t="str">
        <f>HYPERLINK(AA2 &amp; "/pencil/sn_fe813758c1523989193d4b734f02a389/rendering/18.obj", "3.79612398148")</f>
        <v>3.79612398148</v>
      </c>
      <c r="V2378" s="239" t="str">
        <f>HYPERLINK(AA2 &amp; "/pencil/sn_fe813758c1523989193d4b734f02a389/rendering/19.obj", "4.26713228226")</f>
        <v>4.26713228226</v>
      </c>
      <c r="W2378" s="12" t="s">
        <v>30</v>
      </c>
      <c r="X2378" s="13">
        <v>10.888845837116239</v>
      </c>
      <c r="Y2378" s="13">
        <v>15.57984770338882</v>
      </c>
      <c r="Z2378" s="20">
        <v>1.4308079971416809</v>
      </c>
    </row>
    <row r="2379" spans="1:26" x14ac:dyDescent="0.2">
      <c r="A2379" s="1">
        <v>2377</v>
      </c>
      <c r="B2379" s="2" t="s">
        <v>508</v>
      </c>
      <c r="C2379" s="48" t="str">
        <f>HYPERLINK(AB2 &amp; "/pencil/sn_fe813758c1523989193d4b734f02a389/rendering/00.obj", "5.1897253418")</f>
        <v>5.1897253418</v>
      </c>
      <c r="D2379" s="73" t="str">
        <f>HYPERLINK(AB2 &amp; "/pencil/sn_fe813758c1523989193d4b734f02a389/rendering/01.obj", "5.51111755371")</f>
        <v>5.51111755371</v>
      </c>
      <c r="E2379" s="26" t="str">
        <f>HYPERLINK(AB2 &amp; "/pencil/sn_fe813758c1523989193d4b734f02a389/rendering/02.obj", "5.66690673828")</f>
        <v>5.66690673828</v>
      </c>
      <c r="F2379" s="68" t="str">
        <f>HYPERLINK(AB2 &amp; "/pencil/sn_fe813758c1523989193d4b734f02a389/rendering/03.obj", "5.53879272461")</f>
        <v>5.53879272461</v>
      </c>
      <c r="G2379" s="13" t="str">
        <f>HYPERLINK(AB2 &amp; "/pencil/sn_fe813758c1523989193d4b734f02a389/rendering/04.obj", "5.32420776367")</f>
        <v>5.32420776367</v>
      </c>
      <c r="H2379" s="48" t="str">
        <f>HYPERLINK(AB2 &amp; "/pencil/sn_fe813758c1523989193d4b734f02a389/rendering/05.obj", "5.44704467773")</f>
        <v>5.44704467773</v>
      </c>
      <c r="I2379" s="13" t="str">
        <f>HYPERLINK(AB2 &amp; "/pencil/sn_fe813758c1523989193d4b734f02a389/rendering/06.obj", "5.32418334961")</f>
        <v>5.32418334961</v>
      </c>
      <c r="J2379" s="91" t="str">
        <f>HYPERLINK(AB2 &amp; "/pencil/sn_fe813758c1523989193d4b734f02a389/rendering/07.obj", "5.46174377441")</f>
        <v>5.46174377441</v>
      </c>
      <c r="K2379" s="39" t="str">
        <f>HYPERLINK(AB2 &amp; "/pencil/sn_fe813758c1523989193d4b734f02a389/rendering/08.obj", "4.85368988037")</f>
        <v>4.85368988037</v>
      </c>
      <c r="L2379" s="47" t="str">
        <f>HYPERLINK(AB2 &amp; "/pencil/sn_fe813758c1523989193d4b734f02a389/rendering/09.obj", "5.36107543945")</f>
        <v>5.36107543945</v>
      </c>
      <c r="M2379" s="94" t="str">
        <f>HYPERLINK(AB2 &amp; "/pencil/sn_fe813758c1523989193d4b734f02a389/rendering/10.obj", "5.70848083496")</f>
        <v>5.70848083496</v>
      </c>
      <c r="N2379" s="17" t="str">
        <f>HYPERLINK(AB2 &amp; "/pencil/sn_fe813758c1523989193d4b734f02a389/rendering/11.obj", "5.20948791504")</f>
        <v>5.20948791504</v>
      </c>
      <c r="O2379" s="67" t="str">
        <f>HYPERLINK(AB2 &amp; "/pencil/sn_fe813758c1523989193d4b734f02a389/rendering/12.obj", "4.82495361328")</f>
        <v>4.82495361328</v>
      </c>
      <c r="P2379" s="47" t="str">
        <f>HYPERLINK(AB2 &amp; "/pencil/sn_fe813758c1523989193d4b734f02a389/rendering/13.obj", "5.35584106445")</f>
        <v>5.35584106445</v>
      </c>
      <c r="Q2379" s="23" t="str">
        <f>HYPERLINK(AB2 &amp; "/pencil/sn_fe813758c1523989193d4b734f02a389/rendering/14.obj", "5.52424316406")</f>
        <v>5.52424316406</v>
      </c>
      <c r="R2379" s="25" t="str">
        <f>HYPERLINK(AB2 &amp; "/pencil/sn_fe813758c1523989193d4b734f02a389/rendering/15.obj", "5.37172973633")</f>
        <v>5.37172973633</v>
      </c>
      <c r="S2379" s="17" t="str">
        <f>HYPERLINK(AB2 &amp; "/pencil/sn_fe813758c1523989193d4b734f02a389/rendering/16.obj", "5.42703857422")</f>
        <v>5.42703857422</v>
      </c>
      <c r="T2379" s="46" t="str">
        <f>HYPERLINK(AB2 &amp; "/pencil/sn_fe813758c1523989193d4b734f02a389/rendering/17.obj", "5.40716918945")</f>
        <v>5.40716918945</v>
      </c>
      <c r="U2379" s="23" t="str">
        <f>HYPERLINK(AB2 &amp; "/pencil/sn_fe813758c1523989193d4b734f02a389/rendering/18.obj", "5.11428527832")</f>
        <v>5.11428527832</v>
      </c>
      <c r="V2379" s="133" t="str">
        <f>HYPERLINK(AB2 &amp; "/pencil/sn_fe813758c1523989193d4b734f02a389/rendering/19.obj", "4.76928894043")</f>
        <v>4.76928894043</v>
      </c>
      <c r="W2379" s="12" t="s">
        <v>31</v>
      </c>
      <c r="X2379" s="13">
        <v>5.3195502777099621</v>
      </c>
      <c r="Y2379" s="13">
        <v>0.25452318554260722</v>
      </c>
      <c r="Z2379" s="34">
        <v>4.7846748739101698E-2</v>
      </c>
    </row>
    <row r="2380" spans="1:26" x14ac:dyDescent="0.2">
      <c r="A2380" s="1">
        <v>2378</v>
      </c>
      <c r="B2380" s="2" t="s">
        <v>508</v>
      </c>
      <c r="C2380" s="67" t="str">
        <f>HYPERLINK(AB2 &amp; "/pencil/sn_fe813758c1523989193d4b734f02a389/rendering/00.obj", "2.68438816071")</f>
        <v>2.68438816071</v>
      </c>
      <c r="D2380" s="28" t="str">
        <f>HYPERLINK(AB2 &amp; "/pencil/sn_fe813758c1523989193d4b734f02a389/rendering/01.obj", "2.18428516388")</f>
        <v>2.18428516388</v>
      </c>
      <c r="E2380" s="17" t="str">
        <f>HYPERLINK(AB2 &amp; "/pencil/sn_fe813758c1523989193d4b734f02a389/rendering/02.obj", "2.51057100296")</f>
        <v>2.51057100296</v>
      </c>
      <c r="F2380" s="107" t="str">
        <f>HYPERLINK(AB2 &amp; "/pencil/sn_fe813758c1523989193d4b734f02a389/rendering/03.obj", "2.25199079514")</f>
        <v>2.25199079514</v>
      </c>
      <c r="G2380" s="27" t="str">
        <f>HYPERLINK(AB2 &amp; "/pencil/sn_fe813758c1523989193d4b734f02a389/rendering/04.obj", "2.63467144966")</f>
        <v>2.63467144966</v>
      </c>
      <c r="H2380" s="72" t="str">
        <f>HYPERLINK(AB2 &amp; "/pencil/sn_fe813758c1523989193d4b734f02a389/rendering/05.obj", "2.53709316254")</f>
        <v>2.53709316254</v>
      </c>
      <c r="I2380" s="48" t="str">
        <f>HYPERLINK(AB2 &amp; "/pencil/sn_fe813758c1523989193d4b734f02a389/rendering/06.obj", "2.40003108978")</f>
        <v>2.40003108978</v>
      </c>
      <c r="J2380" s="10" t="str">
        <f>HYPERLINK(AB2 &amp; "/pencil/sn_fe813758c1523989193d4b734f02a389/rendering/07.obj", "2.32567930222")</f>
        <v>2.32567930222</v>
      </c>
      <c r="K2380" s="92" t="str">
        <f>HYPERLINK(AB2 &amp; "/pencil/sn_fe813758c1523989193d4b734f02a389/rendering/08.obj", "2.15622115135")</f>
        <v>2.15622115135</v>
      </c>
      <c r="L2380" s="46" t="str">
        <f>HYPERLINK(AB2 &amp; "/pencil/sn_fe813758c1523989193d4b734f02a389/rendering/09.obj", "2.500395298")</f>
        <v>2.500395298</v>
      </c>
      <c r="M2380" s="78" t="str">
        <f>HYPERLINK(AB2 &amp; "/pencil/sn_fe813758c1523989193d4b734f02a389/rendering/10.obj", "2.61081552505")</f>
        <v>2.61081552505</v>
      </c>
      <c r="N2380" s="94" t="str">
        <f>HYPERLINK(AB2 &amp; "/pencil/sn_fe813758c1523989193d4b734f02a389/rendering/11.obj", "2.64086604118")</f>
        <v>2.64086604118</v>
      </c>
      <c r="O2380" s="41" t="str">
        <f>HYPERLINK(AB2 &amp; "/pencil/sn_fe813758c1523989193d4b734f02a389/rendering/12.obj", "2.62498497963")</f>
        <v>2.62498497963</v>
      </c>
      <c r="P2380" s="90" t="str">
        <f>HYPERLINK(AB2 &amp; "/pencil/sn_fe813758c1523989193d4b734f02a389/rendering/13.obj", "2.2231862545")</f>
        <v>2.2231862545</v>
      </c>
      <c r="Q2380" s="46" t="str">
        <f>HYPERLINK(AB2 &amp; "/pencil/sn_fe813758c1523989193d4b734f02a389/rendering/14.obj", "2.41411709785")</f>
        <v>2.41411709785</v>
      </c>
      <c r="R2380" s="24" t="str">
        <f>HYPERLINK(AB2 &amp; "/pencil/sn_fe813758c1523989193d4b734f02a389/rendering/15.obj", "2.8745880127")</f>
        <v>2.8745880127</v>
      </c>
      <c r="S2380" s="26" t="str">
        <f>HYPERLINK(AB2 &amp; "/pencil/sn_fe813758c1523989193d4b734f02a389/rendering/16.obj", "2.30428218842")</f>
        <v>2.30428218842</v>
      </c>
      <c r="T2380" s="72" t="str">
        <f>HYPERLINK(AB2 &amp; "/pencil/sn_fe813758c1523989193d4b734f02a389/rendering/17.obj", "2.37866568565")</f>
        <v>2.37866568565</v>
      </c>
      <c r="U2380" s="78" t="str">
        <f>HYPERLINK(AB2 &amp; "/pencil/sn_fe813758c1523989193d4b734f02a389/rendering/18.obj", "2.3090968132")</f>
        <v>2.3090968132</v>
      </c>
      <c r="V2380" s="27" t="str">
        <f>HYPERLINK(AB2 &amp; "/pencil/sn_fe813758c1523989193d4b734f02a389/rendering/19.obj", "2.63245201111")</f>
        <v>2.63245201111</v>
      </c>
      <c r="W2380" s="12" t="s">
        <v>32</v>
      </c>
      <c r="X2380" s="13">
        <v>2.4599190592765812</v>
      </c>
      <c r="Y2380" s="13">
        <v>0.1897789345079352</v>
      </c>
      <c r="Z2380" s="5">
        <v>7.7148446731310688E-2</v>
      </c>
    </row>
    <row r="2381" spans="1:26" x14ac:dyDescent="0.2">
      <c r="A2381" s="1">
        <v>2379</v>
      </c>
      <c r="B2381" s="2" t="s">
        <v>508</v>
      </c>
      <c r="C2381" s="13" t="str">
        <f>HYPERLINK(AC2 &amp; "/pencil/sn_fe813758c1523989193d4b734f02a389/rendering/00.xyz", "0.0")</f>
        <v>0.0</v>
      </c>
      <c r="D2381" s="13" t="str">
        <f>HYPERLINK(AC2 &amp; "/pencil/sn_fe813758c1523989193d4b734f02a389/rendering/01.xyz", "0.0")</f>
        <v>0.0</v>
      </c>
      <c r="E2381" s="13" t="str">
        <f>HYPERLINK(AC2 &amp; "/pencil/sn_fe813758c1523989193d4b734f02a389/rendering/02.xyz", "0.0")</f>
        <v>0.0</v>
      </c>
      <c r="F2381" s="13" t="str">
        <f>HYPERLINK(AC2 &amp; "/pencil/sn_fe813758c1523989193d4b734f02a389/rendering/03.xyz", "0.0")</f>
        <v>0.0</v>
      </c>
      <c r="G2381" s="13" t="str">
        <f>HYPERLINK(AC2 &amp; "/pencil/sn_fe813758c1523989193d4b734f02a389/rendering/04.xyz", "0.0")</f>
        <v>0.0</v>
      </c>
      <c r="H2381" s="13" t="str">
        <f>HYPERLINK(AC2 &amp; "/pencil/sn_fe813758c1523989193d4b734f02a389/rendering/05.xyz", "0.0")</f>
        <v>0.0</v>
      </c>
      <c r="I2381" s="13" t="str">
        <f>HYPERLINK(AC2 &amp; "/pencil/sn_fe813758c1523989193d4b734f02a389/rendering/06.xyz", "0.0")</f>
        <v>0.0</v>
      </c>
      <c r="J2381" s="13" t="str">
        <f>HYPERLINK(AC2 &amp; "/pencil/sn_fe813758c1523989193d4b734f02a389/rendering/07.xyz", "0.0")</f>
        <v>0.0</v>
      </c>
      <c r="K2381" s="13" t="str">
        <f>HYPERLINK(AC2 &amp; "/pencil/sn_fe813758c1523989193d4b734f02a389/rendering/08.xyz", "0.0")</f>
        <v>0.0</v>
      </c>
      <c r="L2381" s="13" t="str">
        <f>HYPERLINK(AC2 &amp; "/pencil/sn_fe813758c1523989193d4b734f02a389/rendering/09.xyz", "0.0")</f>
        <v>0.0</v>
      </c>
      <c r="M2381" s="13" t="str">
        <f>HYPERLINK(AC2 &amp; "/pencil/sn_fe813758c1523989193d4b734f02a389/rendering/10.xyz", "0.0")</f>
        <v>0.0</v>
      </c>
      <c r="N2381" s="13" t="str">
        <f>HYPERLINK(AC2 &amp; "/pencil/sn_fe813758c1523989193d4b734f02a389/rendering/11.xyz", "0.0")</f>
        <v>0.0</v>
      </c>
      <c r="O2381" s="13" t="str">
        <f>HYPERLINK(AC2 &amp; "/pencil/sn_fe813758c1523989193d4b734f02a389/rendering/12.xyz", "0.0")</f>
        <v>0.0</v>
      </c>
      <c r="P2381" s="13" t="str">
        <f>HYPERLINK(AC2 &amp; "/pencil/sn_fe813758c1523989193d4b734f02a389/rendering/13.xyz", "0.0")</f>
        <v>0.0</v>
      </c>
      <c r="Q2381" s="13" t="str">
        <f>HYPERLINK(AC2 &amp; "/pencil/sn_fe813758c1523989193d4b734f02a389/rendering/14.xyz", "0.0")</f>
        <v>0.0</v>
      </c>
      <c r="R2381" s="13" t="str">
        <f>HYPERLINK(AC2 &amp; "/pencil/sn_fe813758c1523989193d4b734f02a389/rendering/15.xyz", "0.0")</f>
        <v>0.0</v>
      </c>
      <c r="S2381" s="13" t="str">
        <f>HYPERLINK(AC2 &amp; "/pencil/sn_fe813758c1523989193d4b734f02a389/rendering/16.xyz", "0.0")</f>
        <v>0.0</v>
      </c>
      <c r="T2381" s="13" t="str">
        <f>HYPERLINK(AC2 &amp; "/pencil/sn_fe813758c1523989193d4b734f02a389/rendering/17.xyz", "0.0")</f>
        <v>0.0</v>
      </c>
      <c r="U2381" s="13" t="str">
        <f>HYPERLINK(AC2 &amp; "/pencil/sn_fe813758c1523989193d4b734f02a389/rendering/18.xyz", "0.0")</f>
        <v>0.0</v>
      </c>
      <c r="V2381" s="13" t="str">
        <f>HYPERLINK(AC2 &amp; "/pencil/sn_fe813758c1523989193d4b734f02a389/rendering/19.xyz", "0.0")</f>
        <v>0.0</v>
      </c>
      <c r="W2381" s="12" t="s">
        <v>33</v>
      </c>
      <c r="X2381" s="13">
        <v>0</v>
      </c>
      <c r="Y2381" s="13">
        <v>0</v>
      </c>
      <c r="Z2381" s="13">
        <v>0</v>
      </c>
    </row>
    <row r="2382" spans="1:26" x14ac:dyDescent="0.2">
      <c r="A2382" s="1">
        <v>2380</v>
      </c>
      <c r="B2382" s="2" t="s">
        <v>509</v>
      </c>
      <c r="C2382" s="87" t="str">
        <f>HYPERLINK(AA2 &amp; "/pencil/sn_ff19047f9786773d2449d8c5f0c328d5/rendering/00.obj", "4.39924804687")</f>
        <v>4.39924804687</v>
      </c>
      <c r="D2382" s="77" t="str">
        <f>HYPERLINK(AA2 &amp; "/pencil/sn_ff19047f9786773d2449d8c5f0c328d5/rendering/01.obj", "2.92143249512")</f>
        <v>2.92143249512</v>
      </c>
      <c r="E2382" s="19" t="str">
        <f>HYPERLINK(AA2 &amp; "/pencil/sn_ff19047f9786773d2449d8c5f0c328d5/rendering/02.obj", "4.52971923828")</f>
        <v>4.52971923828</v>
      </c>
      <c r="F2382" s="37" t="str">
        <f>HYPERLINK(AA2 &amp; "/pencil/sn_ff19047f9786773d2449d8c5f0c328d5/rendering/03.obj", "2.96345367432")</f>
        <v>2.96345367432</v>
      </c>
      <c r="G2382" s="34" t="str">
        <f>HYPERLINK(AA2 &amp; "/pencil/sn_ff19047f9786773d2449d8c5f0c328d5/rendering/04.obj", "3.41435852051")</f>
        <v>3.41435852051</v>
      </c>
      <c r="H2382" s="23" t="str">
        <f>HYPERLINK(AA2 &amp; "/pencil/sn_ff19047f9786773d2449d8c5f0c328d5/rendering/05.obj", "3.45007171631")</f>
        <v>3.45007171631</v>
      </c>
      <c r="I2382" s="134" t="str">
        <f>HYPERLINK(AA2 &amp; "/pencil/sn_ff19047f9786773d2449d8c5f0c328d5/rendering/06.obj", "2.94208068848")</f>
        <v>2.94208068848</v>
      </c>
      <c r="J2382" s="25" t="str">
        <f>HYPERLINK(AA2 &amp; "/pencil/sn_ff19047f9786773d2449d8c5f0c328d5/rendering/07.obj", "3.62426147461")</f>
        <v>3.62426147461</v>
      </c>
      <c r="K2382" s="239" t="str">
        <f>HYPERLINK(AA2 &amp; "/pencil/sn_ff19047f9786773d2449d8c5f0c328d5/rendering/08.obj", "5.77088623047")</f>
        <v>5.77088623047</v>
      </c>
      <c r="L2382" s="47" t="str">
        <f>HYPERLINK(AA2 &amp; "/pencil/sn_ff19047f9786773d2449d8c5f0c328d5/rendering/09.obj", "3.55691955566")</f>
        <v>3.55691955566</v>
      </c>
      <c r="M2382" s="37" t="str">
        <f>HYPERLINK(AA2 &amp; "/pencil/sn_ff19047f9786773d2449d8c5f0c328d5/rendering/10.obj", "2.95825927734")</f>
        <v>2.95825927734</v>
      </c>
      <c r="N2382" s="34" t="str">
        <f>HYPERLINK(AA2 &amp; "/pencil/sn_ff19047f9786773d2449d8c5f0c328d5/rendering/11.obj", "3.41845977783")</f>
        <v>3.41845977783</v>
      </c>
      <c r="O2382" s="24" t="str">
        <f>HYPERLINK(AA2 &amp; "/pencil/sn_ff19047f9786773d2449d8c5f0c328d5/rendering/12.obj", "2.98047943115")</f>
        <v>2.98047943115</v>
      </c>
      <c r="P2382" s="82" t="str">
        <f>HYPERLINK(AA2 &amp; "/pencil/sn_ff19047f9786773d2449d8c5f0c328d5/rendering/13.obj", "4.32729827881")</f>
        <v>4.32729827881</v>
      </c>
      <c r="Q2382" s="24" t="str">
        <f>HYPERLINK(AA2 &amp; "/pencil/sn_ff19047f9786773d2449d8c5f0c328d5/rendering/14.obj", "2.98203460693")</f>
        <v>2.98203460693</v>
      </c>
      <c r="R2382" s="83" t="str">
        <f>HYPERLINK(AA2 &amp; "/pencil/sn_ff19047f9786773d2449d8c5f0c328d5/rendering/15.obj", "4.12927154541")</f>
        <v>4.12927154541</v>
      </c>
      <c r="S2382" s="133" t="str">
        <f>HYPERLINK(AA2 &amp; "/pencil/sn_ff19047f9786773d2449d8c5f0c328d5/rendering/16.obj", "3.22530639648")</f>
        <v>3.22530639648</v>
      </c>
      <c r="T2382" s="44" t="str">
        <f>HYPERLINK(AA2 &amp; "/pencil/sn_ff19047f9786773d2449d8c5f0c328d5/rendering/17.obj", "4.28792419434")</f>
        <v>4.28792419434</v>
      </c>
      <c r="U2382" s="81" t="str">
        <f>HYPERLINK(AA2 &amp; "/pencil/sn_ff19047f9786773d2449d8c5f0c328d5/rendering/18.obj", "2.80403625488")</f>
        <v>2.80403625488</v>
      </c>
      <c r="V2382" s="8" t="str">
        <f>HYPERLINK(AA2 &amp; "/pencil/sn_ff19047f9786773d2449d8c5f0c328d5/rendering/19.obj", "3.07932556152")</f>
        <v>3.07932556152</v>
      </c>
      <c r="W2382" s="12" t="s">
        <v>29</v>
      </c>
      <c r="X2382" s="13">
        <v>3.5882413482666018</v>
      </c>
      <c r="Y2382" s="13">
        <v>0.74528206002988295</v>
      </c>
      <c r="Z2382" s="49">
        <v>0.207701207275233</v>
      </c>
    </row>
    <row r="2383" spans="1:26" x14ac:dyDescent="0.2">
      <c r="A2383" s="1">
        <v>2381</v>
      </c>
      <c r="B2383" s="2" t="s">
        <v>509</v>
      </c>
      <c r="C2383" s="18" t="str">
        <f>HYPERLINK(AA2 &amp; "/pencil/sn_ff19047f9786773d2449d8c5f0c328d5/rendering/00.obj", "2.51302671432")</f>
        <v>2.51302671432</v>
      </c>
      <c r="D2383" s="61" t="str">
        <f>HYPERLINK(AA2 &amp; "/pencil/sn_ff19047f9786773d2449d8c5f0c328d5/rendering/01.obj", "1.10999250412")</f>
        <v>1.10999250412</v>
      </c>
      <c r="E2383" s="20" t="str">
        <f>HYPERLINK(AA2 &amp; "/pencil/sn_ff19047f9786773d2449d8c5f0c328d5/rendering/02.obj", "3.3789935112")</f>
        <v>3.3789935112</v>
      </c>
      <c r="F2383" s="152" t="str">
        <f>HYPERLINK(AA2 &amp; "/pencil/sn_ff19047f9786773d2449d8c5f0c328d5/rendering/03.obj", "0.945542931557")</f>
        <v>0.945542931557</v>
      </c>
      <c r="G2383" s="53" t="str">
        <f>HYPERLINK(AA2 &amp; "/pencil/sn_ff19047f9786773d2449d8c5f0c328d5/rendering/04.obj", "0.933388710022")</f>
        <v>0.933388710022</v>
      </c>
      <c r="H2383" s="128" t="str">
        <f>HYPERLINK(AA2 &amp; "/pencil/sn_ff19047f9786773d2449d8c5f0c328d5/rendering/05.obj", "0.968618452549")</f>
        <v>0.968618452549</v>
      </c>
      <c r="I2383" s="108" t="str">
        <f>HYPERLINK(AA2 &amp; "/pencil/sn_ff19047f9786773d2449d8c5f0c328d5/rendering/06.obj", "1.19963562489")</f>
        <v>1.19963562489</v>
      </c>
      <c r="J2383" s="124" t="str">
        <f>HYPERLINK(AA2 &amp; "/pencil/sn_ff19047f9786773d2449d8c5f0c328d5/rendering/07.obj", "0.985787928104")</f>
        <v>0.985787928104</v>
      </c>
      <c r="K2383" s="20" t="str">
        <f>HYPERLINK(AA2 &amp; "/pencil/sn_ff19047f9786773d2449d8c5f0c328d5/rendering/08.obj", "3.77175593376")</f>
        <v>3.77175593376</v>
      </c>
      <c r="L2383" s="57" t="str">
        <f>HYPERLINK(AA2 &amp; "/pencil/sn_ff19047f9786773d2449d8c5f0c328d5/rendering/09.obj", "2.09262728691")</f>
        <v>2.09262728691</v>
      </c>
      <c r="M2383" s="109" t="str">
        <f>HYPERLINK(AA2 &amp; "/pencil/sn_ff19047f9786773d2449d8c5f0c328d5/rendering/10.obj", "1.29074585438")</f>
        <v>1.29074585438</v>
      </c>
      <c r="N2383" s="61" t="str">
        <f>HYPERLINK(AA2 &amp; "/pencil/sn_ff19047f9786773d2449d8c5f0c328d5/rendering/11.obj", "1.10970008373")</f>
        <v>1.10970008373</v>
      </c>
      <c r="O2383" s="116" t="str">
        <f>HYPERLINK(AA2 &amp; "/pencil/sn_ff19047f9786773d2449d8c5f0c328d5/rendering/12.obj", "0.896954774857")</f>
        <v>0.896954774857</v>
      </c>
      <c r="P2383" s="202" t="str">
        <f>HYPERLINK(AA2 &amp; "/pencil/sn_ff19047f9786773d2449d8c5f0c328d5/rendering/13.obj", "2.58941221237")</f>
        <v>2.58941221237</v>
      </c>
      <c r="Q2383" s="181" t="str">
        <f>HYPERLINK(AA2 &amp; "/pencil/sn_ff19047f9786773d2449d8c5f0c328d5/rendering/14.obj", "0.88695961237")</f>
        <v>0.88695961237</v>
      </c>
      <c r="R2383" s="212" t="str">
        <f>HYPERLINK(AA2 &amp; "/pencil/sn_ff19047f9786773d2449d8c5f0c328d5/rendering/15.obj", "2.27921724319")</f>
        <v>2.27921724319</v>
      </c>
      <c r="S2383" s="142" t="str">
        <f>HYPERLINK(AA2 &amp; "/pencil/sn_ff19047f9786773d2449d8c5f0c328d5/rendering/16.obj", "0.96526581049")</f>
        <v>0.96526581049</v>
      </c>
      <c r="T2383" s="77" t="str">
        <f>HYPERLINK(AA2 &amp; "/pencil/sn_ff19047f9786773d2449d8c5f0c328d5/rendering/17.obj", "1.88958823681")</f>
        <v>1.88958823681</v>
      </c>
      <c r="U2383" s="162" t="str">
        <f>HYPERLINK(AA2 &amp; "/pencil/sn_ff19047f9786773d2449d8c5f0c328d5/rendering/18.obj", "0.914474844933")</f>
        <v>0.914474844933</v>
      </c>
      <c r="V2383" s="169" t="str">
        <f>HYPERLINK(AA2 &amp; "/pencil/sn_ff19047f9786773d2449d8c5f0c328d5/rendering/19.obj", "1.0960226059")</f>
        <v>1.0960226059</v>
      </c>
      <c r="W2383" s="12" t="s">
        <v>30</v>
      </c>
      <c r="X2383" s="13">
        <v>1.5908855438232421</v>
      </c>
      <c r="Y2383" s="13">
        <v>0.86587104055615438</v>
      </c>
      <c r="Z2383" s="16">
        <v>0.54426985267292016</v>
      </c>
    </row>
    <row r="2384" spans="1:26" x14ac:dyDescent="0.2">
      <c r="A2384" s="1">
        <v>2382</v>
      </c>
      <c r="B2384" s="2" t="s">
        <v>509</v>
      </c>
      <c r="C2384" s="29" t="str">
        <f>HYPERLINK(AB2 &amp; "/pencil/sn_ff19047f9786773d2449d8c5f0c328d5/rendering/00.obj", "3.31693847656")</f>
        <v>3.31693847656</v>
      </c>
      <c r="D2384" s="39" t="str">
        <f>HYPERLINK(AB2 &amp; "/pencil/sn_ff19047f9786773d2449d8c5f0c328d5/rendering/01.obj", "2.68151184082")</f>
        <v>2.68151184082</v>
      </c>
      <c r="E2384" s="74" t="str">
        <f>HYPERLINK(AB2 &amp; "/pencil/sn_ff19047f9786773d2449d8c5f0c328d5/rendering/02.obj", "2.89791320801")</f>
        <v>2.89791320801</v>
      </c>
      <c r="F2384" s="38" t="str">
        <f>HYPERLINK(AB2 &amp; "/pencil/sn_ff19047f9786773d2449d8c5f0c328d5/rendering/03.obj", "2.67006134033")</f>
        <v>2.67006134033</v>
      </c>
      <c r="G2384" s="41" t="str">
        <f>HYPERLINK(AB2 &amp; "/pencil/sn_ff19047f9786773d2449d8c5f0c328d5/rendering/04.obj", "2.73435852051")</f>
        <v>2.73435852051</v>
      </c>
      <c r="H2384" s="25" t="str">
        <f>HYPERLINK(AB2 &amp; "/pencil/sn_ff19047f9786773d2449d8c5f0c328d5/rendering/05.obj", "2.97291473389")</f>
        <v>2.97291473389</v>
      </c>
      <c r="I2384" s="60" t="str">
        <f>HYPERLINK(AB2 &amp; "/pencil/sn_ff19047f9786773d2449d8c5f0c328d5/rendering/06.obj", "2.78531677246")</f>
        <v>2.78531677246</v>
      </c>
      <c r="J2384" s="67" t="str">
        <f>HYPERLINK(AB2 &amp; "/pencil/sn_ff19047f9786773d2449d8c5f0c328d5/rendering/07.obj", "2.66630615234")</f>
        <v>2.66630615234</v>
      </c>
      <c r="K2384" s="74" t="str">
        <f>HYPERLINK(AB2 &amp; "/pencil/sn_ff19047f9786773d2449d8c5f0c328d5/rendering/08.obj", "2.89414672852")</f>
        <v>2.89414672852</v>
      </c>
      <c r="L2384" s="90" t="str">
        <f>HYPERLINK(AB2 &amp; "/pencil/sn_ff19047f9786773d2449d8c5f0c328d5/rendering/09.obj", "3.2167199707")</f>
        <v>3.2167199707</v>
      </c>
      <c r="M2384" s="67" t="str">
        <f>HYPERLINK(AB2 &amp; "/pencil/sn_ff19047f9786773d2449d8c5f0c328d5/rendering/10.obj", "3.21021942139")</f>
        <v>3.21021942139</v>
      </c>
      <c r="N2384" s="5" t="str">
        <f>HYPERLINK(AB2 &amp; "/pencil/sn_ff19047f9786773d2449d8c5f0c328d5/rendering/11.obj", "3.16017425537")</f>
        <v>3.16017425537</v>
      </c>
      <c r="O2384" s="26" t="str">
        <f>HYPERLINK(AB2 &amp; "/pencil/sn_ff19047f9786773d2449d8c5f0c328d5/rendering/12.obj", "3.12798675537")</f>
        <v>3.12798675537</v>
      </c>
      <c r="P2384" s="46" t="str">
        <f>HYPERLINK(AB2 &amp; "/pencil/sn_ff19047f9786773d2449d8c5f0c328d5/rendering/13.obj", "2.88539978027")</f>
        <v>2.88539978027</v>
      </c>
      <c r="Q2384" s="30" t="str">
        <f>HYPERLINK(AB2 &amp; "/pencil/sn_ff19047f9786773d2449d8c5f0c328d5/rendering/14.obj", "2.95087768555")</f>
        <v>2.95087768555</v>
      </c>
      <c r="R2384" s="17" t="str">
        <f>HYPERLINK(AB2 &amp; "/pencil/sn_ff19047f9786773d2449d8c5f0c328d5/rendering/15.obj", "2.88016723633")</f>
        <v>2.88016723633</v>
      </c>
      <c r="S2384" s="6" t="str">
        <f>HYPERLINK(AB2 &amp; "/pencil/sn_ff19047f9786773d2449d8c5f0c328d5/rendering/16.obj", "3.07351074219")</f>
        <v>3.07351074219</v>
      </c>
      <c r="T2384" s="51" t="str">
        <f>HYPERLINK(AB2 &amp; "/pencil/sn_ff19047f9786773d2449d8c5f0c328d5/rendering/17.obj", "2.70300445557")</f>
        <v>2.70300445557</v>
      </c>
      <c r="U2384" s="25" t="str">
        <f>HYPERLINK(AB2 &amp; "/pencil/sn_ff19047f9786773d2449d8c5f0c328d5/rendering/18.obj", "2.9073135376")</f>
        <v>2.9073135376</v>
      </c>
      <c r="V2384" s="48" t="str">
        <f>HYPERLINK(AB2 &amp; "/pencil/sn_ff19047f9786773d2449d8c5f0c328d5/rendering/19.obj", "3.0019241333")</f>
        <v>3.0019241333</v>
      </c>
      <c r="W2384" s="12" t="s">
        <v>31</v>
      </c>
      <c r="X2384" s="13">
        <v>2.9368382873535159</v>
      </c>
      <c r="Y2384" s="13">
        <v>0.19321351070803669</v>
      </c>
      <c r="Z2384" s="26">
        <v>6.5789632183714128E-2</v>
      </c>
    </row>
    <row r="2385" spans="1:26" x14ac:dyDescent="0.2">
      <c r="A2385" s="1">
        <v>2383</v>
      </c>
      <c r="B2385" s="2" t="s">
        <v>509</v>
      </c>
      <c r="C2385" s="193" t="str">
        <f>HYPERLINK(AB2 &amp; "/pencil/sn_ff19047f9786773d2449d8c5f0c328d5/rendering/00.obj", "1.40773153305")</f>
        <v>1.40773153305</v>
      </c>
      <c r="D2385" s="66" t="str">
        <f>HYPERLINK(AB2 &amp; "/pencil/sn_ff19047f9786773d2449d8c5f0c328d5/rendering/01.obj", "0.884911775589")</f>
        <v>0.884911775589</v>
      </c>
      <c r="E2385" s="64" t="str">
        <f>HYPERLINK(AB2 &amp; "/pencil/sn_ff19047f9786773d2449d8c5f0c328d5/rendering/02.obj", "0.883205115795")</f>
        <v>0.883205115795</v>
      </c>
      <c r="F2385" s="117" t="str">
        <f>HYPERLINK(AB2 &amp; "/pencil/sn_ff19047f9786773d2449d8c5f0c328d5/rendering/03.obj", "0.869977414608")</f>
        <v>0.869977414608</v>
      </c>
      <c r="G2385" s="13" t="str">
        <f>HYPERLINK(AB2 &amp; "/pencil/sn_ff19047f9786773d2449d8c5f0c328d5/rendering/04.obj", "1.05698382854")</f>
        <v>1.05698382854</v>
      </c>
      <c r="H2385" s="17" t="str">
        <f>HYPERLINK(AB2 &amp; "/pencil/sn_ff19047f9786773d2449d8c5f0c328d5/rendering/05.obj", "1.07871568203")</f>
        <v>1.07871568203</v>
      </c>
      <c r="I2385" s="84" t="str">
        <f>HYPERLINK(AB2 &amp; "/pencil/sn_ff19047f9786773d2449d8c5f0c328d5/rendering/06.obj", "0.904714286327")</f>
        <v>0.904714286327</v>
      </c>
      <c r="J2385" s="73" t="str">
        <f>HYPERLINK(AB2 &amp; "/pencil/sn_ff19047f9786773d2449d8c5f0c328d5/rendering/07.obj", "1.09422254562")</f>
        <v>1.09422254562</v>
      </c>
      <c r="K2385" s="29" t="str">
        <f>HYPERLINK(AB2 &amp; "/pencil/sn_ff19047f9786773d2449d8c5f0c328d5/rendering/08.obj", "1.1967151165")</f>
        <v>1.1967151165</v>
      </c>
      <c r="L2385" s="67" t="str">
        <f>HYPERLINK(AB2 &amp; "/pencil/sn_ff19047f9786773d2449d8c5f0c328d5/rendering/09.obj", "0.960162937641")</f>
        <v>0.960162937641</v>
      </c>
      <c r="M2385" s="89" t="str">
        <f>HYPERLINK(AB2 &amp; "/pencil/sn_ff19047f9786773d2449d8c5f0c328d5/rendering/10.obj", "1.33021080494")</f>
        <v>1.33021080494</v>
      </c>
      <c r="N2385" s="59" t="str">
        <f>HYPERLINK(AB2 &amp; "/pencil/sn_ff19047f9786773d2449d8c5f0c328d5/rendering/11.obj", "1.31130063534")</f>
        <v>1.31130063534</v>
      </c>
      <c r="O2385" s="60" t="str">
        <f>HYPERLINK(AB2 &amp; "/pencil/sn_ff19047f9786773d2449d8c5f0c328d5/rendering/12.obj", "1.11221122742")</f>
        <v>1.11221122742</v>
      </c>
      <c r="P2385" s="120" t="str">
        <f>HYPERLINK(AB2 &amp; "/pencil/sn_ff19047f9786773d2449d8c5f0c328d5/rendering/13.obj", "1.28283047676")</f>
        <v>1.28283047676</v>
      </c>
      <c r="Q2385" s="24" t="str">
        <f>HYPERLINK(AB2 &amp; "/pencil/sn_ff19047f9786773d2449d8c5f0c328d5/rendering/14.obj", "0.879922926426")</f>
        <v>0.879922926426</v>
      </c>
      <c r="R2385" s="39" t="str">
        <f>HYPERLINK(AB2 &amp; "/pencil/sn_ff19047f9786773d2449d8c5f0c328d5/rendering/15.obj", "0.966812074184")</f>
        <v>0.966812074184</v>
      </c>
      <c r="S2385" s="71" t="str">
        <f>HYPERLINK(AB2 &amp; "/pencil/sn_ff19047f9786773d2449d8c5f0c328d5/rendering/16.obj", "0.933524549007")</f>
        <v>0.933524549007</v>
      </c>
      <c r="T2385" s="5" t="str">
        <f>HYPERLINK(AB2 &amp; "/pencil/sn_ff19047f9786773d2449d8c5f0c328d5/rendering/17.obj", "1.13933491707")</f>
        <v>1.13933491707</v>
      </c>
      <c r="U2385" s="38" t="str">
        <f>HYPERLINK(AB2 &amp; "/pencil/sn_ff19047f9786773d2449d8c5f0c328d5/rendering/18.obj", "0.962933123112")</f>
        <v>0.962933123112</v>
      </c>
      <c r="V2385" s="31" t="str">
        <f>HYPERLINK(AB2 &amp; "/pencil/sn_ff19047f9786773d2449d8c5f0c328d5/rendering/19.obj", "0.891593396664")</f>
        <v>0.891593396664</v>
      </c>
      <c r="W2385" s="12" t="s">
        <v>32</v>
      </c>
      <c r="X2385" s="13">
        <v>1.057400718331337</v>
      </c>
      <c r="Y2385" s="13">
        <v>0.16775511336549731</v>
      </c>
      <c r="Z2385" s="79">
        <v>0.15864857140463109</v>
      </c>
    </row>
    <row r="2386" spans="1:26" x14ac:dyDescent="0.2">
      <c r="A2386" s="1">
        <v>2384</v>
      </c>
      <c r="B2386" s="2" t="s">
        <v>509</v>
      </c>
      <c r="C2386" s="13" t="str">
        <f>HYPERLINK(AC2 &amp; "/pencil/sn_ff19047f9786773d2449d8c5f0c328d5/rendering/00.xyz", "0.0")</f>
        <v>0.0</v>
      </c>
      <c r="D2386" s="13" t="str">
        <f>HYPERLINK(AC2 &amp; "/pencil/sn_ff19047f9786773d2449d8c5f0c328d5/rendering/01.xyz", "0.0")</f>
        <v>0.0</v>
      </c>
      <c r="E2386" s="13" t="str">
        <f>HYPERLINK(AC2 &amp; "/pencil/sn_ff19047f9786773d2449d8c5f0c328d5/rendering/02.xyz", "0.0")</f>
        <v>0.0</v>
      </c>
      <c r="F2386" s="13" t="str">
        <f>HYPERLINK(AC2 &amp; "/pencil/sn_ff19047f9786773d2449d8c5f0c328d5/rendering/03.xyz", "0.0")</f>
        <v>0.0</v>
      </c>
      <c r="G2386" s="13" t="str">
        <f>HYPERLINK(AC2 &amp; "/pencil/sn_ff19047f9786773d2449d8c5f0c328d5/rendering/04.xyz", "0.0")</f>
        <v>0.0</v>
      </c>
      <c r="H2386" s="13" t="str">
        <f>HYPERLINK(AC2 &amp; "/pencil/sn_ff19047f9786773d2449d8c5f0c328d5/rendering/05.xyz", "0.0")</f>
        <v>0.0</v>
      </c>
      <c r="I2386" s="13" t="str">
        <f>HYPERLINK(AC2 &amp; "/pencil/sn_ff19047f9786773d2449d8c5f0c328d5/rendering/06.xyz", "0.0")</f>
        <v>0.0</v>
      </c>
      <c r="J2386" s="13" t="str">
        <f>HYPERLINK(AC2 &amp; "/pencil/sn_ff19047f9786773d2449d8c5f0c328d5/rendering/07.xyz", "0.0")</f>
        <v>0.0</v>
      </c>
      <c r="K2386" s="13" t="str">
        <f>HYPERLINK(AC2 &amp; "/pencil/sn_ff19047f9786773d2449d8c5f0c328d5/rendering/08.xyz", "0.0")</f>
        <v>0.0</v>
      </c>
      <c r="L2386" s="13" t="str">
        <f>HYPERLINK(AC2 &amp; "/pencil/sn_ff19047f9786773d2449d8c5f0c328d5/rendering/09.xyz", "0.0")</f>
        <v>0.0</v>
      </c>
      <c r="M2386" s="13" t="str">
        <f>HYPERLINK(AC2 &amp; "/pencil/sn_ff19047f9786773d2449d8c5f0c328d5/rendering/10.xyz", "0.0")</f>
        <v>0.0</v>
      </c>
      <c r="N2386" s="13" t="str">
        <f>HYPERLINK(AC2 &amp; "/pencil/sn_ff19047f9786773d2449d8c5f0c328d5/rendering/11.xyz", "0.0")</f>
        <v>0.0</v>
      </c>
      <c r="O2386" s="13" t="str">
        <f>HYPERLINK(AC2 &amp; "/pencil/sn_ff19047f9786773d2449d8c5f0c328d5/rendering/12.xyz", "0.0")</f>
        <v>0.0</v>
      </c>
      <c r="P2386" s="13" t="str">
        <f>HYPERLINK(AC2 &amp; "/pencil/sn_ff19047f9786773d2449d8c5f0c328d5/rendering/13.xyz", "0.0")</f>
        <v>0.0</v>
      </c>
      <c r="Q2386" s="13" t="str">
        <f>HYPERLINK(AC2 &amp; "/pencil/sn_ff19047f9786773d2449d8c5f0c328d5/rendering/14.xyz", "0.0")</f>
        <v>0.0</v>
      </c>
      <c r="R2386" s="13" t="str">
        <f>HYPERLINK(AC2 &amp; "/pencil/sn_ff19047f9786773d2449d8c5f0c328d5/rendering/15.xyz", "0.0")</f>
        <v>0.0</v>
      </c>
      <c r="S2386" s="13" t="str">
        <f>HYPERLINK(AC2 &amp; "/pencil/sn_ff19047f9786773d2449d8c5f0c328d5/rendering/16.xyz", "0.0")</f>
        <v>0.0</v>
      </c>
      <c r="T2386" s="13" t="str">
        <f>HYPERLINK(AC2 &amp; "/pencil/sn_ff19047f9786773d2449d8c5f0c328d5/rendering/17.xyz", "0.0")</f>
        <v>0.0</v>
      </c>
      <c r="U2386" s="13" t="str">
        <f>HYPERLINK(AC2 &amp; "/pencil/sn_ff19047f9786773d2449d8c5f0c328d5/rendering/18.xyz", "0.0")</f>
        <v>0.0</v>
      </c>
      <c r="V2386" s="13" t="str">
        <f>HYPERLINK(AC2 &amp; "/pencil/sn_ff19047f9786773d2449d8c5f0c328d5/rendering/19.xyz", "0.0")</f>
        <v>0.0</v>
      </c>
      <c r="W2386" s="12" t="s">
        <v>33</v>
      </c>
      <c r="X2386" s="13">
        <v>0</v>
      </c>
      <c r="Y2386" s="13">
        <v>0</v>
      </c>
      <c r="Z2386" s="13">
        <v>0</v>
      </c>
    </row>
    <row r="2387" spans="1:26" x14ac:dyDescent="0.2">
      <c r="A2387" s="1">
        <v>2385</v>
      </c>
      <c r="B2387" s="2" t="s">
        <v>510</v>
      </c>
      <c r="C2387" s="33" t="str">
        <f>HYPERLINK(AA2 &amp; "/pencil/sn_ff381f1fd56f30dfc0dc3ed657ab97f0/rendering/00.obj", "4.3605682373")</f>
        <v>4.3605682373</v>
      </c>
      <c r="D2387" s="91" t="str">
        <f>HYPERLINK(AA2 &amp; "/pencil/sn_ff381f1fd56f30dfc0dc3ed657ab97f0/rendering/01.obj", "4.03233337402")</f>
        <v>4.03233337402</v>
      </c>
      <c r="E2387" s="73" t="str">
        <f>HYPERLINK(AA2 &amp; "/pencil/sn_ff381f1fd56f30dfc0dc3ed657ab97f0/rendering/02.obj", "3.79097717285")</f>
        <v>3.79097717285</v>
      </c>
      <c r="F2387" s="73" t="str">
        <f>HYPERLINK(AA2 &amp; "/pencil/sn_ff381f1fd56f30dfc0dc3ed657ab97f0/rendering/03.obj", "3.79511352539")</f>
        <v>3.79511352539</v>
      </c>
      <c r="G2387" s="48" t="str">
        <f>HYPERLINK(AA2 &amp; "/pencil/sn_ff381f1fd56f30dfc0dc3ed657ab97f0/rendering/04.obj", "4.02735595703")</f>
        <v>4.02735595703</v>
      </c>
      <c r="H2387" s="17" t="str">
        <f>HYPERLINK(AA2 &amp; "/pencil/sn_ff381f1fd56f30dfc0dc3ed657ab97f0/rendering/05.obj", "3.85206787109")</f>
        <v>3.85206787109</v>
      </c>
      <c r="I2387" s="72" t="str">
        <f>HYPERLINK(AA2 &amp; "/pencil/sn_ff381f1fd56f30dfc0dc3ed657ab97f0/rendering/06.obj", "4.06635742187")</f>
        <v>4.06635742187</v>
      </c>
      <c r="J2387" s="23" t="str">
        <f>HYPERLINK(AA2 &amp; "/pencil/sn_ff381f1fd56f30dfc0dc3ed657ab97f0/rendering/07.obj", "4.08769775391")</f>
        <v>4.08769775391</v>
      </c>
      <c r="K2387" s="10" t="str">
        <f>HYPERLINK(AA2 &amp; "/pencil/sn_ff381f1fd56f30dfc0dc3ed657ab97f0/rendering/08.obj", "3.72215667725")</f>
        <v>3.72215667725</v>
      </c>
      <c r="L2387" s="72" t="str">
        <f>HYPERLINK(AA2 &amp; "/pencil/sn_ff381f1fd56f30dfc0dc3ed657ab97f0/rendering/09.obj", "3.80816131592")</f>
        <v>3.80816131592</v>
      </c>
      <c r="M2387" s="25" t="str">
        <f>HYPERLINK(AA2 &amp; "/pencil/sn_ff381f1fd56f30dfc0dc3ed657ab97f0/rendering/10.obj", "3.8914263916")</f>
        <v>3.8914263916</v>
      </c>
      <c r="N2387" s="47" t="str">
        <f>HYPERLINK(AA2 &amp; "/pencil/sn_ff381f1fd56f30dfc0dc3ed657ab97f0/rendering/11.obj", "3.95906494141")</f>
        <v>3.95906494141</v>
      </c>
      <c r="O2387" s="68" t="str">
        <f>HYPERLINK(AA2 &amp; "/pencil/sn_ff381f1fd56f30dfc0dc3ed657ab97f0/rendering/12.obj", "3.7673840332")</f>
        <v>3.7673840332</v>
      </c>
      <c r="P2387" s="23" t="str">
        <f>HYPERLINK(AA2 &amp; "/pencil/sn_ff381f1fd56f30dfc0dc3ed657ab97f0/rendering/13.obj", "3.7752947998")</f>
        <v>3.7752947998</v>
      </c>
      <c r="Q2387" s="10" t="str">
        <f>HYPERLINK(AA2 &amp; "/pencil/sn_ff381f1fd56f30dfc0dc3ed657ab97f0/rendering/14.obj", "3.71964080811")</f>
        <v>3.71964080811</v>
      </c>
      <c r="R2387" s="73" t="str">
        <f>HYPERLINK(AA2 &amp; "/pencil/sn_ff381f1fd56f30dfc0dc3ed657ab97f0/rendering/15.obj", "3.79191101074")</f>
        <v>3.79191101074</v>
      </c>
      <c r="S2387" s="72" t="str">
        <f>HYPERLINK(AA2 &amp; "/pencil/sn_ff381f1fd56f30dfc0dc3ed657ab97f0/rendering/16.obj", "4.06067260742")</f>
        <v>4.06067260742</v>
      </c>
      <c r="T2387" s="74" t="str">
        <f>HYPERLINK(AA2 &amp; "/pencil/sn_ff381f1fd56f30dfc0dc3ed657ab97f0/rendering/17.obj", "3.88117767334")</f>
        <v>3.88117767334</v>
      </c>
      <c r="U2387" s="23" t="str">
        <f>HYPERLINK(AA2 &amp; "/pencil/sn_ff381f1fd56f30dfc0dc3ed657ab97f0/rendering/18.obj", "4.08756469727")</f>
        <v>4.08756469727</v>
      </c>
      <c r="V2387" s="26" t="str">
        <f>HYPERLINK(AA2 &amp; "/pencil/sn_ff381f1fd56f30dfc0dc3ed657ab97f0/rendering/19.obj", "4.17992645264")</f>
        <v>4.17992645264</v>
      </c>
      <c r="W2387" s="12" t="s">
        <v>29</v>
      </c>
      <c r="X2387" s="13">
        <v>3.9328426361083979</v>
      </c>
      <c r="Y2387" s="13">
        <v>0.16927152462537501</v>
      </c>
      <c r="Z2387" s="68">
        <v>4.304050283407003E-2</v>
      </c>
    </row>
    <row r="2388" spans="1:26" x14ac:dyDescent="0.2">
      <c r="A2388" s="1">
        <v>2386</v>
      </c>
      <c r="B2388" s="2" t="s">
        <v>510</v>
      </c>
      <c r="C2388" s="138" t="str">
        <f>HYPERLINK(AA2 &amp; "/pencil/sn_ff381f1fd56f30dfc0dc3ed657ab97f0/rendering/00.obj", "1.0812318325")</f>
        <v>1.0812318325</v>
      </c>
      <c r="D2388" s="80" t="str">
        <f>HYPERLINK(AA2 &amp; "/pencil/sn_ff381f1fd56f30dfc0dc3ed657ab97f0/rendering/01.obj", "0.930466115475")</f>
        <v>0.930466115475</v>
      </c>
      <c r="E2388" s="51" t="str">
        <f>HYPERLINK(AA2 &amp; "/pencil/sn_ff381f1fd56f30dfc0dc3ed657ab97f0/rendering/02.obj", "0.743744492531")</f>
        <v>0.743744492531</v>
      </c>
      <c r="F2388" s="70" t="str">
        <f>HYPERLINK(AA2 &amp; "/pencil/sn_ff381f1fd56f30dfc0dc3ed657ab97f0/rendering/03.obj", "0.706358730793")</f>
        <v>0.706358730793</v>
      </c>
      <c r="G2388" s="28" t="str">
        <f>HYPERLINK(AA2 &amp; "/pencil/sn_ff381f1fd56f30dfc0dc3ed657ab97f0/rendering/04.obj", "0.719703137875")</f>
        <v>0.719703137875</v>
      </c>
      <c r="H2388" s="106" t="str">
        <f>HYPERLINK(AA2 &amp; "/pencil/sn_ff381f1fd56f30dfc0dc3ed657ab97f0/rendering/05.obj", "0.717650175095")</f>
        <v>0.717650175095</v>
      </c>
      <c r="I2388" s="134" t="str">
        <f>HYPERLINK(AA2 &amp; "/pencil/sn_ff381f1fd56f30dfc0dc3ed657ab97f0/rendering/06.obj", "0.956758022308")</f>
        <v>0.956758022308</v>
      </c>
      <c r="J2388" s="34" t="str">
        <f>HYPERLINK(AA2 &amp; "/pencil/sn_ff381f1fd56f30dfc0dc3ed657ab97f0/rendering/07.obj", "0.769505083561")</f>
        <v>0.769505083561</v>
      </c>
      <c r="K2388" s="26" t="str">
        <f>HYPERLINK(AA2 &amp; "/pencil/sn_ff381f1fd56f30dfc0dc3ed657ab97f0/rendering/08.obj", "0.756243348122")</f>
        <v>0.756243348122</v>
      </c>
      <c r="L2388" s="73" t="str">
        <f>HYPERLINK(AA2 &amp; "/pencil/sn_ff381f1fd56f30dfc0dc3ed657ab97f0/rendering/09.obj", "0.781352996826")</f>
        <v>0.781352996826</v>
      </c>
      <c r="M2388" s="70" t="str">
        <f>HYPERLINK(AA2 &amp; "/pencil/sn_ff381f1fd56f30dfc0dc3ed657ab97f0/rendering/10.obj", "0.705582022667")</f>
        <v>0.705582022667</v>
      </c>
      <c r="N2388" s="48" t="str">
        <f>HYPERLINK(AA2 &amp; "/pencil/sn_ff381f1fd56f30dfc0dc3ed657ab97f0/rendering/11.obj", "0.829260826111")</f>
        <v>0.829260826111</v>
      </c>
      <c r="O2388" s="33" t="str">
        <f>HYPERLINK(AA2 &amp; "/pencil/sn_ff381f1fd56f30dfc0dc3ed657ab97f0/rendering/12.obj", "0.721286594868")</f>
        <v>0.721286594868</v>
      </c>
      <c r="P2388" s="29" t="str">
        <f>HYPERLINK(AA2 &amp; "/pencil/sn_ff381f1fd56f30dfc0dc3ed657ab97f0/rendering/13.obj", "0.705049157143")</f>
        <v>0.705049157143</v>
      </c>
      <c r="Q2388" s="67" t="str">
        <f>HYPERLINK(AA2 &amp; "/pencil/sn_ff381f1fd56f30dfc0dc3ed657ab97f0/rendering/14.obj", "0.73440939188")</f>
        <v>0.73440939188</v>
      </c>
      <c r="R2388" s="5" t="str">
        <f>HYPERLINK(AA2 &amp; "/pencil/sn_ff381f1fd56f30dfc0dc3ed657ab97f0/rendering/15.obj", "0.746155798435")</f>
        <v>0.746155798435</v>
      </c>
      <c r="S2388" s="78" t="str">
        <f>HYPERLINK(AA2 &amp; "/pencil/sn_ff381f1fd56f30dfc0dc3ed657ab97f0/rendering/16.obj", "0.760828435421")</f>
        <v>0.760828435421</v>
      </c>
      <c r="T2388" s="70" t="str">
        <f>HYPERLINK(AA2 &amp; "/pencil/sn_ff381f1fd56f30dfc0dc3ed657ab97f0/rendering/17.obj", "0.706824660301")</f>
        <v>0.706824660301</v>
      </c>
      <c r="U2388" s="76" t="str">
        <f>HYPERLINK(AA2 &amp; "/pencil/sn_ff381f1fd56f30dfc0dc3ed657ab97f0/rendering/18.obj", "0.957795023918")</f>
        <v>0.957795023918</v>
      </c>
      <c r="V2388" s="212" t="str">
        <f>HYPERLINK(AA2 &amp; "/pencil/sn_ff381f1fd56f30dfc0dc3ed657ab97f0/rendering/19.obj", "1.15934503078")</f>
        <v>1.15934503078</v>
      </c>
      <c r="W2388" s="12" t="s">
        <v>30</v>
      </c>
      <c r="X2388" s="13">
        <v>0.80947754383087156</v>
      </c>
      <c r="Y2388" s="13">
        <v>0.13108623330443259</v>
      </c>
      <c r="Z2388" s="66">
        <v>0.16193930801843359</v>
      </c>
    </row>
    <row r="2389" spans="1:26" x14ac:dyDescent="0.2">
      <c r="A2389" s="1">
        <v>2387</v>
      </c>
      <c r="B2389" s="2" t="s">
        <v>510</v>
      </c>
      <c r="C2389" s="74" t="str">
        <f>HYPERLINK(AB2 &amp; "/pencil/sn_ff381f1fd56f30dfc0dc3ed657ab97f0/rendering/00.obj", "5.82190063477")</f>
        <v>5.82190063477</v>
      </c>
      <c r="D2389" s="13" t="str">
        <f>HYPERLINK(AB2 &amp; "/pencil/sn_ff381f1fd56f30dfc0dc3ed657ab97f0/rendering/01.obj", "5.91557922363")</f>
        <v>5.91557922363</v>
      </c>
      <c r="E2389" s="13" t="str">
        <f>HYPERLINK(AB2 &amp; "/pencil/sn_ff381f1fd56f30dfc0dc3ed657ab97f0/rendering/02.obj", "5.88174438477")</f>
        <v>5.88174438477</v>
      </c>
      <c r="F2389" s="30" t="str">
        <f>HYPERLINK(AB2 &amp; "/pencil/sn_ff381f1fd56f30dfc0dc3ed657ab97f0/rendering/03.obj", "5.93277709961")</f>
        <v>5.93277709961</v>
      </c>
      <c r="G2389" s="30" t="str">
        <f>HYPERLINK(AB2 &amp; "/pencil/sn_ff381f1fd56f30dfc0dc3ed657ab97f0/rendering/04.obj", "5.93117553711")</f>
        <v>5.93117553711</v>
      </c>
      <c r="H2389" s="46" t="str">
        <f>HYPERLINK(AB2 &amp; "/pencil/sn_ff381f1fd56f30dfc0dc3ed657ab97f0/rendering/05.obj", "5.79126342773")</f>
        <v>5.79126342773</v>
      </c>
      <c r="I2389" s="13" t="str">
        <f>HYPERLINK(AB2 &amp; "/pencil/sn_ff381f1fd56f30dfc0dc3ed657ab97f0/rendering/06.obj", "5.91167114258")</f>
        <v>5.91167114258</v>
      </c>
      <c r="J2389" s="69" t="str">
        <f>HYPERLINK(AB2 &amp; "/pencil/sn_ff381f1fd56f30dfc0dc3ed657ab97f0/rendering/07.obj", "6.08440307617")</f>
        <v>6.08440307617</v>
      </c>
      <c r="K2389" s="23" t="str">
        <f>HYPERLINK(AB2 &amp; "/pencil/sn_ff381f1fd56f30dfc0dc3ed657ab97f0/rendering/08.obj", "5.66230957031")</f>
        <v>5.66230957031</v>
      </c>
      <c r="L2389" s="27" t="str">
        <f>HYPERLINK(AB2 &amp; "/pencil/sn_ff381f1fd56f30dfc0dc3ed657ab97f0/rendering/09.obj", "5.48465087891")</f>
        <v>5.48465087891</v>
      </c>
      <c r="M2389" s="91" t="str">
        <f>HYPERLINK(AB2 &amp; "/pencil/sn_ff381f1fd56f30dfc0dc3ed657ab97f0/rendering/10.obj", "6.06587768555")</f>
        <v>6.06587768555</v>
      </c>
      <c r="N2389" s="48" t="str">
        <f>HYPERLINK(AB2 &amp; "/pencil/sn_ff381f1fd56f30dfc0dc3ed657ab97f0/rendering/11.obj", "6.04509460449")</f>
        <v>6.04509460449</v>
      </c>
      <c r="O2389" s="68" t="str">
        <f>HYPERLINK(AB2 &amp; "/pencil/sn_ff381f1fd56f30dfc0dc3ed657ab97f0/rendering/12.obj", "5.65272583008")</f>
        <v>5.65272583008</v>
      </c>
      <c r="P2389" s="73" t="str">
        <f>HYPERLINK(AB2 &amp; "/pencil/sn_ff381f1fd56f30dfc0dc3ed657ab97f0/rendering/13.obj", "6.11677612305")</f>
        <v>6.11677612305</v>
      </c>
      <c r="Q2389" s="46" t="str">
        <f>HYPERLINK(AB2 &amp; "/pencil/sn_ff381f1fd56f30dfc0dc3ed657ab97f0/rendering/14.obj", "5.80065185547")</f>
        <v>5.80065185547</v>
      </c>
      <c r="R2389" s="30" t="str">
        <f>HYPERLINK(AB2 &amp; "/pencil/sn_ff381f1fd56f30dfc0dc3ed657ab97f0/rendering/15.obj", "5.87924072266")</f>
        <v>5.87924072266</v>
      </c>
      <c r="S2389" s="17" t="str">
        <f>HYPERLINK(AB2 &amp; "/pencil/sn_ff381f1fd56f30dfc0dc3ed657ab97f0/rendering/16.obj", "6.01997619629")</f>
        <v>6.01997619629</v>
      </c>
      <c r="T2389" s="23" t="str">
        <f>HYPERLINK(AB2 &amp; "/pencil/sn_ff381f1fd56f30dfc0dc3ed657ab97f0/rendering/17.obj", "6.13852661133")</f>
        <v>6.13852661133</v>
      </c>
      <c r="U2389" s="46" t="str">
        <f>HYPERLINK(AB2 &amp; "/pencil/sn_ff381f1fd56f30dfc0dc3ed657ab97f0/rendering/18.obj", "5.8026739502")</f>
        <v>5.8026739502</v>
      </c>
      <c r="V2389" s="91" t="str">
        <f>HYPERLINK(AB2 &amp; "/pencil/sn_ff381f1fd56f30dfc0dc3ed657ab97f0/rendering/19.obj", "6.05412231445")</f>
        <v>6.05412231445</v>
      </c>
      <c r="W2389" s="12" t="s">
        <v>31</v>
      </c>
      <c r="X2389" s="13">
        <v>5.8996570434570312</v>
      </c>
      <c r="Y2389" s="13">
        <v>0.16661571206672501</v>
      </c>
      <c r="Z2389" s="69">
        <v>2.8241592831486521E-2</v>
      </c>
    </row>
    <row r="2390" spans="1:26" x14ac:dyDescent="0.2">
      <c r="A2390" s="1">
        <v>2388</v>
      </c>
      <c r="B2390" s="2" t="s">
        <v>510</v>
      </c>
      <c r="C2390" s="30" t="str">
        <f>HYPERLINK(AB2 &amp; "/pencil/sn_ff381f1fd56f30dfc0dc3ed657ab97f0/rendering/00.obj", "1.00664258003")</f>
        <v>1.00664258003</v>
      </c>
      <c r="D2390" s="72" t="str">
        <f>HYPERLINK(AB2 &amp; "/pencil/sn_ff381f1fd56f30dfc0dc3ed657ab97f0/rendering/01.obj", "0.968074917793")</f>
        <v>0.968074917793</v>
      </c>
      <c r="E2390" s="46" t="str">
        <f>HYPERLINK(AB2 &amp; "/pencil/sn_ff381f1fd56f30dfc0dc3ed657ab97f0/rendering/02.obj", "0.985339641571")</f>
        <v>0.985339641571</v>
      </c>
      <c r="F2390" s="17" t="str">
        <f>HYPERLINK(AB2 &amp; "/pencil/sn_ff381f1fd56f30dfc0dc3ed657ab97f0/rendering/03.obj", "1.0222812891")</f>
        <v>1.0222812891</v>
      </c>
      <c r="G2390" s="34" t="str">
        <f>HYPERLINK(AB2 &amp; "/pencil/sn_ff381f1fd56f30dfc0dc3ed657ab97f0/rendering/04.obj", "0.952214002609")</f>
        <v>0.952214002609</v>
      </c>
      <c r="H2390" s="83" t="str">
        <f>HYPERLINK(AB2 &amp; "/pencil/sn_ff381f1fd56f30dfc0dc3ed657ab97f0/rendering/05.obj", "0.851305246353")</f>
        <v>0.851305246353</v>
      </c>
      <c r="I2390" s="39" t="str">
        <f>HYPERLINK(AB2 &amp; "/pencil/sn_ff381f1fd56f30dfc0dc3ed657ab97f0/rendering/06.obj", "0.915767848492")</f>
        <v>0.915767848492</v>
      </c>
      <c r="J2390" s="117" t="str">
        <f>HYPERLINK(AB2 &amp; "/pencil/sn_ff381f1fd56f30dfc0dc3ed657ab97f0/rendering/07.obj", "1.18144917488")</f>
        <v>1.18144917488</v>
      </c>
      <c r="K2390" s="81" t="str">
        <f>HYPERLINK(AB2 &amp; "/pencil/sn_ff381f1fd56f30dfc0dc3ed657ab97f0/rendering/08.obj", "0.784974575043")</f>
        <v>0.784974575043</v>
      </c>
      <c r="L2390" s="129" t="str">
        <f>HYPERLINK(AB2 &amp; "/pencil/sn_ff381f1fd56f30dfc0dc3ed657ab97f0/rendering/09.obj", "0.75328785181")</f>
        <v>0.75328785181</v>
      </c>
      <c r="M2390" s="107" t="str">
        <f>HYPERLINK(AB2 &amp; "/pencil/sn_ff381f1fd56f30dfc0dc3ed657ab97f0/rendering/10.obj", "1.08648777008")</f>
        <v>1.08648777008</v>
      </c>
      <c r="N2390" s="5" t="str">
        <f>HYPERLINK(AB2 &amp; "/pencil/sn_ff381f1fd56f30dfc0dc3ed657ab97f0/rendering/11.obj", "1.08028566837")</f>
        <v>1.08028566837</v>
      </c>
      <c r="O2390" s="92" t="str">
        <f>HYPERLINK(AB2 &amp; "/pencil/sn_ff381f1fd56f30dfc0dc3ed657ab97f0/rendering/12.obj", "0.878827512264")</f>
        <v>0.878827512264</v>
      </c>
      <c r="P2390" s="89" t="str">
        <f>HYPERLINK(AB2 &amp; "/pencil/sn_ff381f1fd56f30dfc0dc3ed657ab97f0/rendering/13.obj", "1.26310968399")</f>
        <v>1.26310968399</v>
      </c>
      <c r="Q2390" s="84" t="str">
        <f>HYPERLINK(AB2 &amp; "/pencil/sn_ff381f1fd56f30dfc0dc3ed657ab97f0/rendering/14.obj", "0.855600476265")</f>
        <v>0.855600476265</v>
      </c>
      <c r="R2390" s="30" t="str">
        <f>HYPERLINK(AB2 &amp; "/pencil/sn_ff381f1fd56f30dfc0dc3ed657ab97f0/rendering/15.obj", "1.00579810143")</f>
        <v>1.00579810143</v>
      </c>
      <c r="S2390" s="65" t="str">
        <f>HYPERLINK(AB2 &amp; "/pencil/sn_ff381f1fd56f30dfc0dc3ed657ab97f0/rendering/16.obj", "1.13723528385")</f>
        <v>1.13723528385</v>
      </c>
      <c r="T2390" s="119" t="str">
        <f>HYPERLINK(AB2 &amp; "/pencil/sn_ff381f1fd56f30dfc0dc3ed657ab97f0/rendering/17.obj", "1.26763188839")</f>
        <v>1.26763188839</v>
      </c>
      <c r="U2390" s="134" t="str">
        <f>HYPERLINK(AB2 &amp; "/pencil/sn_ff381f1fd56f30dfc0dc3ed657ab97f0/rendering/18.obj", "0.820811808109")</f>
        <v>0.820811808109</v>
      </c>
      <c r="V2390" s="87" t="str">
        <f>HYPERLINK(AB2 &amp; "/pencil/sn_ff381f1fd56f30dfc0dc3ed657ab97f0/rendering/19.obj", "1.22983014584")</f>
        <v>1.22983014584</v>
      </c>
      <c r="W2390" s="12" t="s">
        <v>32</v>
      </c>
      <c r="X2390" s="13">
        <v>1.002347773313522</v>
      </c>
      <c r="Y2390" s="13">
        <v>0.15285461701939709</v>
      </c>
      <c r="Z2390" s="83">
        <v>0.15249658959594059</v>
      </c>
    </row>
    <row r="2391" spans="1:26" x14ac:dyDescent="0.2">
      <c r="A2391" s="1">
        <v>2389</v>
      </c>
      <c r="B2391" s="2" t="s">
        <v>510</v>
      </c>
      <c r="C2391" s="13" t="str">
        <f>HYPERLINK(AC2 &amp; "/pencil/sn_ff381f1fd56f30dfc0dc3ed657ab97f0/rendering/00.xyz", "0.0")</f>
        <v>0.0</v>
      </c>
      <c r="D2391" s="13" t="str">
        <f>HYPERLINK(AC2 &amp; "/pencil/sn_ff381f1fd56f30dfc0dc3ed657ab97f0/rendering/01.xyz", "0.0")</f>
        <v>0.0</v>
      </c>
      <c r="E2391" s="13" t="str">
        <f>HYPERLINK(AC2 &amp; "/pencil/sn_ff381f1fd56f30dfc0dc3ed657ab97f0/rendering/02.xyz", "0.0")</f>
        <v>0.0</v>
      </c>
      <c r="F2391" s="13" t="str">
        <f>HYPERLINK(AC2 &amp; "/pencil/sn_ff381f1fd56f30dfc0dc3ed657ab97f0/rendering/03.xyz", "0.0")</f>
        <v>0.0</v>
      </c>
      <c r="G2391" s="13" t="str">
        <f>HYPERLINK(AC2 &amp; "/pencil/sn_ff381f1fd56f30dfc0dc3ed657ab97f0/rendering/04.xyz", "0.0")</f>
        <v>0.0</v>
      </c>
      <c r="H2391" s="13" t="str">
        <f>HYPERLINK(AC2 &amp; "/pencil/sn_ff381f1fd56f30dfc0dc3ed657ab97f0/rendering/05.xyz", "0.0")</f>
        <v>0.0</v>
      </c>
      <c r="I2391" s="13" t="str">
        <f>HYPERLINK(AC2 &amp; "/pencil/sn_ff381f1fd56f30dfc0dc3ed657ab97f0/rendering/06.xyz", "0.0")</f>
        <v>0.0</v>
      </c>
      <c r="J2391" s="13" t="str">
        <f>HYPERLINK(AC2 &amp; "/pencil/sn_ff381f1fd56f30dfc0dc3ed657ab97f0/rendering/07.xyz", "0.0")</f>
        <v>0.0</v>
      </c>
      <c r="K2391" s="13" t="str">
        <f>HYPERLINK(AC2 &amp; "/pencil/sn_ff381f1fd56f30dfc0dc3ed657ab97f0/rendering/08.xyz", "0.0")</f>
        <v>0.0</v>
      </c>
      <c r="L2391" s="13" t="str">
        <f>HYPERLINK(AC2 &amp; "/pencil/sn_ff381f1fd56f30dfc0dc3ed657ab97f0/rendering/09.xyz", "0.0")</f>
        <v>0.0</v>
      </c>
      <c r="M2391" s="13" t="str">
        <f>HYPERLINK(AC2 &amp; "/pencil/sn_ff381f1fd56f30dfc0dc3ed657ab97f0/rendering/10.xyz", "0.0")</f>
        <v>0.0</v>
      </c>
      <c r="N2391" s="13" t="str">
        <f>HYPERLINK(AC2 &amp; "/pencil/sn_ff381f1fd56f30dfc0dc3ed657ab97f0/rendering/11.xyz", "0.0")</f>
        <v>0.0</v>
      </c>
      <c r="O2391" s="13" t="str">
        <f>HYPERLINK(AC2 &amp; "/pencil/sn_ff381f1fd56f30dfc0dc3ed657ab97f0/rendering/12.xyz", "0.0")</f>
        <v>0.0</v>
      </c>
      <c r="P2391" s="13" t="str">
        <f>HYPERLINK(AC2 &amp; "/pencil/sn_ff381f1fd56f30dfc0dc3ed657ab97f0/rendering/13.xyz", "0.0")</f>
        <v>0.0</v>
      </c>
      <c r="Q2391" s="13" t="str">
        <f>HYPERLINK(AC2 &amp; "/pencil/sn_ff381f1fd56f30dfc0dc3ed657ab97f0/rendering/14.xyz", "0.0")</f>
        <v>0.0</v>
      </c>
      <c r="R2391" s="13" t="str">
        <f>HYPERLINK(AC2 &amp; "/pencil/sn_ff381f1fd56f30dfc0dc3ed657ab97f0/rendering/15.xyz", "0.0")</f>
        <v>0.0</v>
      </c>
      <c r="S2391" s="13" t="str">
        <f>HYPERLINK(AC2 &amp; "/pencil/sn_ff381f1fd56f30dfc0dc3ed657ab97f0/rendering/16.xyz", "0.0")</f>
        <v>0.0</v>
      </c>
      <c r="T2391" s="13" t="str">
        <f>HYPERLINK(AC2 &amp; "/pencil/sn_ff381f1fd56f30dfc0dc3ed657ab97f0/rendering/17.xyz", "0.0")</f>
        <v>0.0</v>
      </c>
      <c r="U2391" s="13" t="str">
        <f>HYPERLINK(AC2 &amp; "/pencil/sn_ff381f1fd56f30dfc0dc3ed657ab97f0/rendering/18.xyz", "0.0")</f>
        <v>0.0</v>
      </c>
      <c r="V2391" s="13" t="str">
        <f>HYPERLINK(AC2 &amp; "/pencil/sn_ff381f1fd56f30dfc0dc3ed657ab97f0/rendering/19.xyz", "0.0")</f>
        <v>0.0</v>
      </c>
      <c r="W2391" s="12" t="s">
        <v>33</v>
      </c>
      <c r="X2391" s="13">
        <v>0</v>
      </c>
      <c r="Y2391" s="13">
        <v>0</v>
      </c>
      <c r="Z2391" s="13">
        <v>0</v>
      </c>
    </row>
    <row r="2392" spans="1:26" x14ac:dyDescent="0.2">
      <c r="A2392" s="1">
        <v>2390</v>
      </c>
      <c r="B2392" s="2" t="s">
        <v>511</v>
      </c>
      <c r="C2392" s="40" t="str">
        <f>HYPERLINK(AA2 &amp; "/pencil/sn_ff55ce0d16b49866d7bafe4ea895899/rendering/00.obj", "4.32650268555")</f>
        <v>4.32650268555</v>
      </c>
      <c r="D2392" s="64" t="str">
        <f>HYPERLINK(AA2 &amp; "/pencil/sn_ff55ce0d16b49866d7bafe4ea895899/rendering/01.obj", "4.3432611084")</f>
        <v>4.3432611084</v>
      </c>
      <c r="E2392" s="109" t="str">
        <f>HYPERLINK(AA2 &amp; "/pencil/sn_ff55ce0d16b49866d7bafe4ea895899/rendering/02.obj", "4.22740722656")</f>
        <v>4.22740722656</v>
      </c>
      <c r="F2392" s="60" t="str">
        <f>HYPERLINK(AA2 &amp; "/pencil/sn_ff55ce0d16b49866d7bafe4ea895899/rendering/03.obj", "4.94713928223")</f>
        <v>4.94713928223</v>
      </c>
      <c r="G2392" s="11" t="str">
        <f>HYPERLINK(AA2 &amp; "/pencil/sn_ff55ce0d16b49866d7bafe4ea895899/rendering/04.obj", "4.03754150391")</f>
        <v>4.03754150391</v>
      </c>
      <c r="H2392" s="44" t="str">
        <f>HYPERLINK(AA2 &amp; "/pencil/sn_ff55ce0d16b49866d7bafe4ea895899/rendering/05.obj", "6.2332421875")</f>
        <v>6.2332421875</v>
      </c>
      <c r="I2392" s="69" t="str">
        <f>HYPERLINK(AA2 &amp; "/pencil/sn_ff55ce0d16b49866d7bafe4ea895899/rendering/06.obj", "5.05874633789")</f>
        <v>5.05874633789</v>
      </c>
      <c r="J2392" s="38" t="str">
        <f>HYPERLINK(AA2 &amp; "/pencil/sn_ff55ce0d16b49866d7bafe4ea895899/rendering/07.obj", "4.74421447754")</f>
        <v>4.74421447754</v>
      </c>
      <c r="K2392" s="27" t="str">
        <f>HYPERLINK(AA2 &amp; "/pencil/sn_ff55ce0d16b49866d7bafe4ea895899/rendering/08.obj", "4.84952209473")</f>
        <v>4.84952209473</v>
      </c>
      <c r="L2392" s="81" t="str">
        <f>HYPERLINK(AA2 &amp; "/pencil/sn_ff55ce0d16b49866d7bafe4ea895899/rendering/09.obj", "4.07834594727")</f>
        <v>4.07834594727</v>
      </c>
      <c r="M2392" s="154" t="str">
        <f>HYPERLINK(AA2 &amp; "/pencil/sn_ff55ce0d16b49866d7bafe4ea895899/rendering/10.obj", "9.08602294922")</f>
        <v>9.08602294922</v>
      </c>
      <c r="N2392" s="79" t="str">
        <f>HYPERLINK(AA2 &amp; "/pencil/sn_ff55ce0d16b49866d7bafe4ea895899/rendering/11.obj", "4.38114318848")</f>
        <v>4.38114318848</v>
      </c>
      <c r="O2392" s="232" t="str">
        <f>HYPERLINK(AA2 &amp; "/pencil/sn_ff55ce0d16b49866d7bafe4ea895899/rendering/12.obj", "9.28537719727")</f>
        <v>9.28537719727</v>
      </c>
      <c r="P2392" s="79" t="str">
        <f>HYPERLINK(AA2 &amp; "/pencil/sn_ff55ce0d16b49866d7bafe4ea895899/rendering/13.obj", "4.37843353271")</f>
        <v>4.37843353271</v>
      </c>
      <c r="Q2392" s="60" t="str">
        <f>HYPERLINK(AA2 &amp; "/pencil/sn_ff55ce0d16b49866d7bafe4ea895899/rendering/14.obj", "4.94098602295")</f>
        <v>4.94098602295</v>
      </c>
      <c r="R2392" s="74" t="str">
        <f>HYPERLINK(AA2 &amp; "/pencil/sn_ff55ce0d16b49866d7bafe4ea895899/rendering/15.obj", "5.27627990723")</f>
        <v>5.27627990723</v>
      </c>
      <c r="S2392" s="84" t="str">
        <f>HYPERLINK(AA2 &amp; "/pencil/sn_ff55ce0d16b49866d7bafe4ea895899/rendering/16.obj", "4.45429046631")</f>
        <v>4.45429046631</v>
      </c>
      <c r="T2392" s="60" t="str">
        <f>HYPERLINK(AA2 &amp; "/pencil/sn_ff55ce0d16b49866d7bafe4ea895899/rendering/17.obj", "4.94239257813")</f>
        <v>4.94239257813</v>
      </c>
      <c r="U2392" s="67" t="str">
        <f>HYPERLINK(AA2 &amp; "/pencil/sn_ff55ce0d16b49866d7bafe4ea895899/rendering/18.obj", "4.73153320313")</f>
        <v>4.73153320313</v>
      </c>
      <c r="V2392" s="70" t="str">
        <f>HYPERLINK(AA2 &amp; "/pencil/sn_ff55ce0d16b49866d7bafe4ea895899/rendering/19.obj", "5.86323608398")</f>
        <v>5.86323608398</v>
      </c>
      <c r="W2392" s="12" t="s">
        <v>29</v>
      </c>
      <c r="X2392" s="13">
        <v>5.209280899047851</v>
      </c>
      <c r="Y2392" s="13">
        <v>1.432207386570755</v>
      </c>
      <c r="Z2392" s="113">
        <v>0.27493379879601682</v>
      </c>
    </row>
    <row r="2393" spans="1:26" x14ac:dyDescent="0.2">
      <c r="A2393" s="1">
        <v>2391</v>
      </c>
      <c r="B2393" s="2" t="s">
        <v>511</v>
      </c>
      <c r="C2393" s="233" t="str">
        <f>HYPERLINK(AA2 &amp; "/pencil/sn_ff55ce0d16b49866d7bafe4ea895899/rendering/00.obj", "0.832327663898")</f>
        <v>0.832327663898</v>
      </c>
      <c r="D2393" s="9" t="str">
        <f>HYPERLINK(AA2 &amp; "/pencil/sn_ff55ce0d16b49866d7bafe4ea895899/rendering/01.obj", "0.954036653042")</f>
        <v>0.954036653042</v>
      </c>
      <c r="E2393" s="222" t="str">
        <f>HYPERLINK(AA2 &amp; "/pencil/sn_ff55ce0d16b49866d7bafe4ea895899/rendering/02.obj", "0.698373675346")</f>
        <v>0.698373675346</v>
      </c>
      <c r="F2393" s="106" t="str">
        <f>HYPERLINK(AA2 &amp; "/pencil/sn_ff55ce0d16b49866d7bafe4ea895899/rendering/03.obj", "2.45945358276")</f>
        <v>2.45945358276</v>
      </c>
      <c r="G2393" s="194" t="str">
        <f>HYPERLINK(AA2 &amp; "/pencil/sn_ff55ce0d16b49866d7bafe4ea895899/rendering/04.obj", "1.04385578632")</f>
        <v>1.04385578632</v>
      </c>
      <c r="H2393" s="16" t="str">
        <f>HYPERLINK(AA2 &amp; "/pencil/sn_ff55ce0d16b49866d7bafe4ea895899/rendering/05.obj", "4.29326343536")</f>
        <v>4.29326343536</v>
      </c>
      <c r="I2393" s="156" t="str">
        <f>HYPERLINK(AA2 &amp; "/pencil/sn_ff55ce0d16b49866d7bafe4ea895899/rendering/06.obj", "1.53378200531")</f>
        <v>1.53378200531</v>
      </c>
      <c r="J2393" s="154" t="str">
        <f>HYPERLINK(AA2 &amp; "/pencil/sn_ff55ce0d16b49866d7bafe4ea895899/rendering/07.obj", "0.708187282085")</f>
        <v>0.708187282085</v>
      </c>
      <c r="K2393" s="161" t="str">
        <f>HYPERLINK(AA2 &amp; "/pencil/sn_ff55ce0d16b49866d7bafe4ea895899/rendering/08.obj", "1.15571713448")</f>
        <v>1.15571713448</v>
      </c>
      <c r="L2393" s="211" t="str">
        <f>HYPERLINK(AA2 &amp; "/pencil/sn_ff55ce0d16b49866d7bafe4ea895899/rendering/09.obj", "0.648224592209")</f>
        <v>0.648224592209</v>
      </c>
      <c r="M2393" s="20" t="str">
        <f>HYPERLINK(AA2 &amp; "/pencil/sn_ff55ce0d16b49866d7bafe4ea895899/rendering/10.obj", "16.0078582764")</f>
        <v>16.0078582764</v>
      </c>
      <c r="N2393" s="242" t="str">
        <f>HYPERLINK(AA2 &amp; "/pencil/sn_ff55ce0d16b49866d7bafe4ea895899/rendering/11.obj", "0.745495021343")</f>
        <v>0.745495021343</v>
      </c>
      <c r="O2393" s="20" t="str">
        <f>HYPERLINK(AA2 &amp; "/pencil/sn_ff55ce0d16b49866d7bafe4ea895899/rendering/12.obj", "12.3163986206")</f>
        <v>12.3163986206</v>
      </c>
      <c r="P2393" s="167" t="str">
        <f>HYPERLINK(AA2 &amp; "/pencil/sn_ff55ce0d16b49866d7bafe4ea895899/rendering/13.obj", "1.10226464272")</f>
        <v>1.10226464272</v>
      </c>
      <c r="Q2393" s="150" t="str">
        <f>HYPERLINK(AA2 &amp; "/pencil/sn_ff55ce0d16b49866d7bafe4ea895899/rendering/14.obj", "1.27938687801")</f>
        <v>1.27938687801</v>
      </c>
      <c r="R2393" s="27" t="str">
        <f>HYPERLINK(AA2 &amp; "/pencil/sn_ff55ce0d16b49866d7bafe4ea895899/rendering/15.obj", "2.58543586731")</f>
        <v>2.58543586731</v>
      </c>
      <c r="S2393" s="257" t="str">
        <f>HYPERLINK(AA2 &amp; "/pencil/sn_ff55ce0d16b49866d7bafe4ea895899/rendering/16.obj", "0.793468594551")</f>
        <v>0.793468594551</v>
      </c>
      <c r="T2393" s="153" t="str">
        <f>HYPERLINK(AA2 &amp; "/pencil/sn_ff55ce0d16b49866d7bafe4ea895899/rendering/17.obj", "1.78491747379")</f>
        <v>1.78491747379</v>
      </c>
      <c r="U2393" s="202" t="str">
        <f>HYPERLINK(AA2 &amp; "/pencil/sn_ff55ce0d16b49866d7bafe4ea895899/rendering/18.obj", "1.03272092342")</f>
        <v>1.03272092342</v>
      </c>
      <c r="V2393" s="166" t="str">
        <f>HYPERLINK(AA2 &amp; "/pencil/sn_ff55ce0d16b49866d7bafe4ea895899/rendering/19.obj", "3.57499361038")</f>
        <v>3.57499361038</v>
      </c>
      <c r="W2393" s="12" t="s">
        <v>30</v>
      </c>
      <c r="X2393" s="13">
        <v>2.7775080859661099</v>
      </c>
      <c r="Y2393" s="13">
        <v>3.9603035548075241</v>
      </c>
      <c r="Z2393" s="20">
        <v>1.4258477139338359</v>
      </c>
    </row>
    <row r="2394" spans="1:26" x14ac:dyDescent="0.2">
      <c r="A2394" s="1">
        <v>2392</v>
      </c>
      <c r="B2394" s="2" t="s">
        <v>511</v>
      </c>
      <c r="C2394" s="29" t="str">
        <f>HYPERLINK(AB2 &amp; "/pencil/sn_ff55ce0d16b49866d7bafe4ea895899/rendering/00.obj", "3.76152862549")</f>
        <v>3.76152862549</v>
      </c>
      <c r="D2394" s="6" t="str">
        <f>HYPERLINK(AB2 &amp; "/pencil/sn_ff55ce0d16b49866d7bafe4ea895899/rendering/01.obj", "4.12527862549")</f>
        <v>4.12527862549</v>
      </c>
      <c r="E2394" s="55" t="str">
        <f>HYPERLINK(AB2 &amp; "/pencil/sn_ff55ce0d16b49866d7bafe4ea895899/rendering/02.obj", "3.48662139893")</f>
        <v>3.48662139893</v>
      </c>
      <c r="F2394" s="51" t="str">
        <f>HYPERLINK(AB2 &amp; "/pencil/sn_ff55ce0d16b49866d7bafe4ea895899/rendering/03.obj", "4.66499206543")</f>
        <v>4.66499206543</v>
      </c>
      <c r="G2394" s="55" t="str">
        <f>HYPERLINK(AB2 &amp; "/pencil/sn_ff55ce0d16b49866d7bafe4ea895899/rendering/04.obj", "5.1456072998")</f>
        <v>5.1456072998</v>
      </c>
      <c r="H2394" s="70" t="str">
        <f>HYPERLINK(AB2 &amp; "/pencil/sn_ff55ce0d16b49866d7bafe4ea895899/rendering/05.obj", "4.86674224854")</f>
        <v>4.86674224854</v>
      </c>
      <c r="I2394" s="48" t="str">
        <f>HYPERLINK(AB2 &amp; "/pencil/sn_ff55ce0d16b49866d7bafe4ea895899/rendering/06.obj", "4.21241638184")</f>
        <v>4.21241638184</v>
      </c>
      <c r="J2394" s="94" t="str">
        <f>HYPERLINK(AB2 &amp; "/pencil/sn_ff55ce0d16b49866d7bafe4ea895899/rendering/07.obj", "3.99770019531")</f>
        <v>3.99770019531</v>
      </c>
      <c r="K2394" s="69" t="str">
        <f>HYPERLINK(AB2 &amp; "/pencil/sn_ff55ce0d16b49866d7bafe4ea895899/rendering/08.obj", "4.18676269531")</f>
        <v>4.18676269531</v>
      </c>
      <c r="L2394" s="46" t="str">
        <f>HYPERLINK(AB2 &amp; "/pencil/sn_ff55ce0d16b49866d7bafe4ea895899/rendering/09.obj", "4.39149658203")</f>
        <v>4.39149658203</v>
      </c>
      <c r="M2394" s="69" t="str">
        <f>HYPERLINK(AB2 &amp; "/pencil/sn_ff55ce0d16b49866d7bafe4ea895899/rendering/10.obj", "4.19327880859")</f>
        <v>4.19327880859</v>
      </c>
      <c r="N2394" s="51" t="str">
        <f>HYPERLINK(AB2 &amp; "/pencil/sn_ff55ce0d16b49866d7bafe4ea895899/rendering/11.obj", "3.97468933105")</f>
        <v>3.97468933105</v>
      </c>
      <c r="O2394" s="72" t="str">
        <f>HYPERLINK(AB2 &amp; "/pencil/sn_ff55ce0d16b49866d7bafe4ea895899/rendering/12.obj", "4.46493621826")</f>
        <v>4.46493621826</v>
      </c>
      <c r="P2394" s="47" t="str">
        <f>HYPERLINK(AB2 &amp; "/pencil/sn_ff55ce0d16b49866d7bafe4ea895899/rendering/13.obj", "4.28288604736")</f>
        <v>4.28288604736</v>
      </c>
      <c r="Q2394" s="48" t="str">
        <f>HYPERLINK(AB2 &amp; "/pencil/sn_ff55ce0d16b49866d7bafe4ea895899/rendering/14.obj", "4.41863952637")</f>
        <v>4.41863952637</v>
      </c>
      <c r="R2394" s="27" t="str">
        <f>HYPERLINK(AB2 &amp; "/pencil/sn_ff55ce0d16b49866d7bafe4ea895899/rendering/15.obj", "4.61987030029")</f>
        <v>4.61987030029</v>
      </c>
      <c r="S2394" s="30" t="str">
        <f>HYPERLINK(AB2 &amp; "/pencil/sn_ff55ce0d16b49866d7bafe4ea895899/rendering/16.obj", "4.30135314941")</f>
        <v>4.30135314941</v>
      </c>
      <c r="T2394" s="30" t="str">
        <f>HYPERLINK(AB2 &amp; "/pencil/sn_ff55ce0d16b49866d7bafe4ea895899/rendering/17.obj", "4.34365234375")</f>
        <v>4.34365234375</v>
      </c>
      <c r="U2394" s="91" t="str">
        <f>HYPERLINK(AB2 &amp; "/pencil/sn_ff55ce0d16b49866d7bafe4ea895899/rendering/18.obj", "4.20492858887")</f>
        <v>4.20492858887</v>
      </c>
      <c r="V2394" s="67" t="str">
        <f>HYPERLINK(AB2 &amp; "/pencil/sn_ff55ce0d16b49866d7bafe4ea895899/rendering/19.obj", "4.71164855957")</f>
        <v>4.71164855957</v>
      </c>
      <c r="W2394" s="12" t="s">
        <v>31</v>
      </c>
      <c r="X2394" s="13">
        <v>4.3177514495849616</v>
      </c>
      <c r="Y2394" s="13">
        <v>0.36789846522803621</v>
      </c>
      <c r="Z2394" s="39">
        <v>8.5206031315998965E-2</v>
      </c>
    </row>
    <row r="2395" spans="1:26" x14ac:dyDescent="0.2">
      <c r="A2395" s="1">
        <v>2393</v>
      </c>
      <c r="B2395" s="2" t="s">
        <v>511</v>
      </c>
      <c r="C2395" s="28" t="str">
        <f>HYPERLINK(AB2 &amp; "/pencil/sn_ff55ce0d16b49866d7bafe4ea895899/rendering/00.obj", "0.948395371437")</f>
        <v>0.948395371437</v>
      </c>
      <c r="D2395" s="106" t="str">
        <f>HYPERLINK(AB2 &amp; "/pencil/sn_ff55ce0d16b49866d7bafe4ea895899/rendering/01.obj", "0.950408697128")</f>
        <v>0.950408697128</v>
      </c>
      <c r="E2395" s="136" t="str">
        <f>HYPERLINK(AB2 &amp; "/pencil/sn_ff55ce0d16b49866d7bafe4ea895899/rendering/02.obj", "0.650980651379")</f>
        <v>0.650980651379</v>
      </c>
      <c r="F2395" s="59" t="str">
        <f>HYPERLINK(AB2 &amp; "/pencil/sn_ff55ce0d16b49866d7bafe4ea895899/rendering/03.obj", "1.05975043774")</f>
        <v>1.05975043774</v>
      </c>
      <c r="G2395" s="9" t="str">
        <f>HYPERLINK(AB2 &amp; "/pencil/sn_ff55ce0d16b49866d7bafe4ea895899/rendering/04.obj", "1.41490077972")</f>
        <v>1.41490077972</v>
      </c>
      <c r="H2395" s="90" t="str">
        <f>HYPERLINK(AB2 &amp; "/pencil/sn_ff55ce0d16b49866d7bafe4ea895899/rendering/05.obj", "0.773380756378")</f>
        <v>0.773380756378</v>
      </c>
      <c r="I2395" s="38" t="str">
        <f>HYPERLINK(AB2 &amp; "/pencil/sn_ff55ce0d16b49866d7bafe4ea895899/rendering/06.obj", "0.778814077377")</f>
        <v>0.778814077377</v>
      </c>
      <c r="J2395" s="78" t="str">
        <f>HYPERLINK(AB2 &amp; "/pencil/sn_ff55ce0d16b49866d7bafe4ea895899/rendering/07.obj", "0.904954195023")</f>
        <v>0.904954195023</v>
      </c>
      <c r="K2395" s="134" t="str">
        <f>HYPERLINK(AB2 &amp; "/pencil/sn_ff55ce0d16b49866d7bafe4ea895899/rendering/08.obj", "1.0070335865")</f>
        <v>1.0070335865</v>
      </c>
      <c r="L2395" s="8" t="str">
        <f>HYPERLINK(AB2 &amp; "/pencil/sn_ff55ce0d16b49866d7bafe4ea895899/rendering/09.obj", "0.732689261436")</f>
        <v>0.732689261436</v>
      </c>
      <c r="M2395" s="119" t="str">
        <f>HYPERLINK(AB2 &amp; "/pencil/sn_ff55ce0d16b49866d7bafe4ea895899/rendering/10.obj", "0.626671493053")</f>
        <v>0.626671493053</v>
      </c>
      <c r="N2395" s="24" t="str">
        <f>HYPERLINK(AB2 &amp; "/pencil/sn_ff55ce0d16b49866d7bafe4ea895899/rendering/11.obj", "0.711775958538")</f>
        <v>0.711775958538</v>
      </c>
      <c r="O2395" s="120" t="str">
        <f>HYPERLINK(AB2 &amp; "/pencil/sn_ff55ce0d16b49866d7bafe4ea895899/rendering/12.obj", "0.673127055168")</f>
        <v>0.673127055168</v>
      </c>
      <c r="P2395" s="70" t="str">
        <f>HYPERLINK(AB2 &amp; "/pencil/sn_ff55ce0d16b49866d7bafe4ea895899/rendering/13.obj", "0.744825005531")</f>
        <v>0.744825005531</v>
      </c>
      <c r="Q2395" s="107" t="str">
        <f>HYPERLINK(AB2 &amp; "/pencil/sn_ff55ce0d16b49866d7bafe4ea895899/rendering/14.obj", "0.925511300564")</f>
        <v>0.925511300564</v>
      </c>
      <c r="R2395" s="67" t="str">
        <f>HYPERLINK(AB2 &amp; "/pencil/sn_ff55ce0d16b49866d7bafe4ea895899/rendering/15.obj", "0.93310457468")</f>
        <v>0.93310457468</v>
      </c>
      <c r="S2395" s="121" t="str">
        <f>HYPERLINK(AB2 &amp; "/pencil/sn_ff55ce0d16b49866d7bafe4ea895899/rendering/16.obj", "1.15609443188")</f>
        <v>1.15609443188</v>
      </c>
      <c r="T2395" s="27" t="str">
        <f>HYPERLINK(AB2 &amp; "/pencil/sn_ff55ce0d16b49866d7bafe4ea895899/rendering/17.obj", "0.792351484299")</f>
        <v>0.792351484299</v>
      </c>
      <c r="U2395" s="86" t="str">
        <f>HYPERLINK(AB2 &amp; "/pencil/sn_ff55ce0d16b49866d7bafe4ea895899/rendering/18.obj", "0.62536740303")</f>
        <v>0.62536740303</v>
      </c>
      <c r="V2395" s="81" t="str">
        <f>HYPERLINK(AB2 &amp; "/pencil/sn_ff55ce0d16b49866d7bafe4ea895899/rendering/19.obj", "0.668075501919")</f>
        <v>0.668075501919</v>
      </c>
      <c r="W2395" s="12" t="s">
        <v>32</v>
      </c>
      <c r="X2395" s="13">
        <v>0.85391060113906858</v>
      </c>
      <c r="Y2395" s="13">
        <v>0.19736551545601541</v>
      </c>
      <c r="Z2395" s="98">
        <v>0.2311313563653396</v>
      </c>
    </row>
    <row r="2396" spans="1:26" x14ac:dyDescent="0.2">
      <c r="A2396" s="1">
        <v>2394</v>
      </c>
      <c r="B2396" s="2" t="s">
        <v>511</v>
      </c>
      <c r="C2396" s="13" t="str">
        <f>HYPERLINK(AC2 &amp; "/pencil/sn_ff55ce0d16b49866d7bafe4ea895899/rendering/00.xyz", "0.0")</f>
        <v>0.0</v>
      </c>
      <c r="D2396" s="13" t="str">
        <f>HYPERLINK(AC2 &amp; "/pencil/sn_ff55ce0d16b49866d7bafe4ea895899/rendering/01.xyz", "0.0")</f>
        <v>0.0</v>
      </c>
      <c r="E2396" s="13" t="str">
        <f>HYPERLINK(AC2 &amp; "/pencil/sn_ff55ce0d16b49866d7bafe4ea895899/rendering/02.xyz", "0.0")</f>
        <v>0.0</v>
      </c>
      <c r="F2396" s="13" t="str">
        <f>HYPERLINK(AC2 &amp; "/pencil/sn_ff55ce0d16b49866d7bafe4ea895899/rendering/03.xyz", "0.0")</f>
        <v>0.0</v>
      </c>
      <c r="G2396" s="13" t="str">
        <f>HYPERLINK(AC2 &amp; "/pencil/sn_ff55ce0d16b49866d7bafe4ea895899/rendering/04.xyz", "0.0")</f>
        <v>0.0</v>
      </c>
      <c r="H2396" s="13" t="str">
        <f>HYPERLINK(AC2 &amp; "/pencil/sn_ff55ce0d16b49866d7bafe4ea895899/rendering/05.xyz", "0.0")</f>
        <v>0.0</v>
      </c>
      <c r="I2396" s="13" t="str">
        <f>HYPERLINK(AC2 &amp; "/pencil/sn_ff55ce0d16b49866d7bafe4ea895899/rendering/06.xyz", "0.0")</f>
        <v>0.0</v>
      </c>
      <c r="J2396" s="13" t="str">
        <f>HYPERLINK(AC2 &amp; "/pencil/sn_ff55ce0d16b49866d7bafe4ea895899/rendering/07.xyz", "0.0")</f>
        <v>0.0</v>
      </c>
      <c r="K2396" s="13" t="str">
        <f>HYPERLINK(AC2 &amp; "/pencil/sn_ff55ce0d16b49866d7bafe4ea895899/rendering/08.xyz", "0.0")</f>
        <v>0.0</v>
      </c>
      <c r="L2396" s="13" t="str">
        <f>HYPERLINK(AC2 &amp; "/pencil/sn_ff55ce0d16b49866d7bafe4ea895899/rendering/09.xyz", "0.0")</f>
        <v>0.0</v>
      </c>
      <c r="M2396" s="13" t="str">
        <f>HYPERLINK(AC2 &amp; "/pencil/sn_ff55ce0d16b49866d7bafe4ea895899/rendering/10.xyz", "0.0")</f>
        <v>0.0</v>
      </c>
      <c r="N2396" s="13" t="str">
        <f>HYPERLINK(AC2 &amp; "/pencil/sn_ff55ce0d16b49866d7bafe4ea895899/rendering/11.xyz", "0.0")</f>
        <v>0.0</v>
      </c>
      <c r="O2396" s="13" t="str">
        <f>HYPERLINK(AC2 &amp; "/pencil/sn_ff55ce0d16b49866d7bafe4ea895899/rendering/12.xyz", "0.0")</f>
        <v>0.0</v>
      </c>
      <c r="P2396" s="13" t="str">
        <f>HYPERLINK(AC2 &amp; "/pencil/sn_ff55ce0d16b49866d7bafe4ea895899/rendering/13.xyz", "0.0")</f>
        <v>0.0</v>
      </c>
      <c r="Q2396" s="13" t="str">
        <f>HYPERLINK(AC2 &amp; "/pencil/sn_ff55ce0d16b49866d7bafe4ea895899/rendering/14.xyz", "0.0")</f>
        <v>0.0</v>
      </c>
      <c r="R2396" s="13" t="str">
        <f>HYPERLINK(AC2 &amp; "/pencil/sn_ff55ce0d16b49866d7bafe4ea895899/rendering/15.xyz", "0.0")</f>
        <v>0.0</v>
      </c>
      <c r="S2396" s="13" t="str">
        <f>HYPERLINK(AC2 &amp; "/pencil/sn_ff55ce0d16b49866d7bafe4ea895899/rendering/16.xyz", "0.0")</f>
        <v>0.0</v>
      </c>
      <c r="T2396" s="13" t="str">
        <f>HYPERLINK(AC2 &amp; "/pencil/sn_ff55ce0d16b49866d7bafe4ea895899/rendering/17.xyz", "0.0")</f>
        <v>0.0</v>
      </c>
      <c r="U2396" s="13" t="str">
        <f>HYPERLINK(AC2 &amp; "/pencil/sn_ff55ce0d16b49866d7bafe4ea895899/rendering/18.xyz", "0.0")</f>
        <v>0.0</v>
      </c>
      <c r="V2396" s="13" t="str">
        <f>HYPERLINK(AC2 &amp; "/pencil/sn_ff55ce0d16b49866d7bafe4ea895899/rendering/19.xyz", "0.0")</f>
        <v>0.0</v>
      </c>
      <c r="W2396" s="12" t="s">
        <v>33</v>
      </c>
      <c r="X2396" s="13">
        <v>0</v>
      </c>
      <c r="Y2396" s="13">
        <v>0</v>
      </c>
      <c r="Z2396" s="13">
        <v>0</v>
      </c>
    </row>
    <row r="2397" spans="1:26" x14ac:dyDescent="0.2">
      <c r="A2397" s="1">
        <v>2395</v>
      </c>
      <c r="B2397" s="2" t="s">
        <v>512</v>
      </c>
      <c r="C2397" s="47" t="str">
        <f>HYPERLINK(AA2 &amp; "/pencil/sn_fff7e29c815aaa1a2ecfea94888631/rendering/00.obj", "4.50921264648")</f>
        <v>4.50921264648</v>
      </c>
      <c r="D2397" s="64" t="str">
        <f>HYPERLINK(AA2 &amp; "/pencil/sn_fff7e29c815aaa1a2ecfea94888631/rendering/01.obj", "3.74179321289")</f>
        <v>3.74179321289</v>
      </c>
      <c r="E2397" s="123" t="str">
        <f>HYPERLINK(AA2 &amp; "/pencil/sn_fff7e29c815aaa1a2ecfea94888631/rendering/02.obj", "6.12726928711")</f>
        <v>6.12726928711</v>
      </c>
      <c r="F2397" s="48" t="str">
        <f>HYPERLINK(AA2 &amp; "/pencil/sn_fff7e29c815aaa1a2ecfea94888631/rendering/03.obj", "4.36578796387")</f>
        <v>4.36578796387</v>
      </c>
      <c r="G2397" s="38" t="str">
        <f>HYPERLINK(AA2 &amp; "/pencil/sn_fff7e29c815aaa1a2ecfea94888631/rendering/04.obj", "4.88350463867")</f>
        <v>4.88350463867</v>
      </c>
      <c r="H2397" s="69" t="str">
        <f>HYPERLINK(AA2 &amp; "/pencil/sn_fff7e29c815aaa1a2ecfea94888631/rendering/05.obj", "4.34838378906")</f>
        <v>4.34838378906</v>
      </c>
      <c r="I2397" s="60" t="str">
        <f>HYPERLINK(AA2 &amp; "/pencil/sn_fff7e29c815aaa1a2ecfea94888631/rendering/06.obj", "4.24169250488")</f>
        <v>4.24169250488</v>
      </c>
      <c r="J2397" s="13" t="str">
        <f>HYPERLINK(AA2 &amp; "/pencil/sn_fff7e29c815aaa1a2ecfea94888631/rendering/07.obj", "4.48198852539")</f>
        <v>4.48198852539</v>
      </c>
      <c r="K2397" s="91" t="str">
        <f>HYPERLINK(AA2 &amp; "/pencil/sn_fff7e29c815aaa1a2ecfea94888631/rendering/08.obj", "4.35275390625")</f>
        <v>4.35275390625</v>
      </c>
      <c r="L2397" s="25" t="str">
        <f>HYPERLINK(AA2 &amp; "/pencil/sn_fff7e29c815aaa1a2ecfea94888631/rendering/09.obj", "4.42793914795")</f>
        <v>4.42793914795</v>
      </c>
      <c r="M2397" s="30" t="str">
        <f>HYPERLINK(AA2 &amp; "/pencil/sn_fff7e29c815aaa1a2ecfea94888631/rendering/10.obj", "4.50211303711")</f>
        <v>4.50211303711</v>
      </c>
      <c r="N2397" s="41" t="str">
        <f>HYPERLINK(AA2 &amp; "/pencil/sn_fff7e29c815aaa1a2ecfea94888631/rendering/11.obj", "4.77382720947")</f>
        <v>4.77382720947</v>
      </c>
      <c r="O2397" s="32" t="str">
        <f>HYPERLINK(AA2 &amp; "/pencil/sn_fff7e29c815aaa1a2ecfea94888631/rendering/12.obj", "4.9439654541")</f>
        <v>4.9439654541</v>
      </c>
      <c r="P2397" s="73" t="str">
        <f>HYPERLINK(AA2 &amp; "/pencil/sn_fff7e29c815aaa1a2ecfea94888631/rendering/13.obj", "4.31726318359")</f>
        <v>4.31726318359</v>
      </c>
      <c r="Q2397" s="72" t="str">
        <f>HYPERLINK(AA2 &amp; "/pencil/sn_fff7e29c815aaa1a2ecfea94888631/rendering/14.obj", "4.33719390869")</f>
        <v>4.33719390869</v>
      </c>
      <c r="R2397" s="90" t="str">
        <f>HYPERLINK(AA2 &amp; "/pencil/sn_fff7e29c815aaa1a2ecfea94888631/rendering/15.obj", "4.04777404785")</f>
        <v>4.04777404785</v>
      </c>
      <c r="S2397" s="35" t="str">
        <f>HYPERLINK(AA2 &amp; "/pencil/sn_fff7e29c815aaa1a2ecfea94888631/rendering/16.obj", "4.21346008301")</f>
        <v>4.21346008301</v>
      </c>
      <c r="T2397" s="90" t="str">
        <f>HYPERLINK(AA2 &amp; "/pencil/sn_fff7e29c815aaa1a2ecfea94888631/rendering/17.obj", "4.9047644043")</f>
        <v>4.9047644043</v>
      </c>
      <c r="U2397" s="33" t="str">
        <f>HYPERLINK(AA2 &amp; "/pencil/sn_fff7e29c815aaa1a2ecfea94888631/rendering/18.obj", "3.99279876709")</f>
        <v>3.99279876709</v>
      </c>
      <c r="V2397" s="110" t="str">
        <f>HYPERLINK(AA2 &amp; "/pencil/sn_fff7e29c815aaa1a2ecfea94888631/rendering/19.obj", "4.04197998047")</f>
        <v>4.04197998047</v>
      </c>
      <c r="W2397" s="12" t="s">
        <v>29</v>
      </c>
      <c r="X2397" s="13">
        <v>4.477773284912109</v>
      </c>
      <c r="Y2397" s="13">
        <v>0.48706044251746777</v>
      </c>
      <c r="Z2397" s="33">
        <v>0.1087729126793046</v>
      </c>
    </row>
    <row r="2398" spans="1:26" x14ac:dyDescent="0.2">
      <c r="A2398" s="1">
        <v>2396</v>
      </c>
      <c r="B2398" s="2" t="s">
        <v>512</v>
      </c>
      <c r="C2398" s="79" t="str">
        <f>HYPERLINK(AA2 &amp; "/pencil/sn_fff7e29c815aaa1a2ecfea94888631/rendering/00.obj", "0.957743823528")</f>
        <v>0.957743823528</v>
      </c>
      <c r="D2398" s="171" t="str">
        <f>HYPERLINK(AA2 &amp; "/pencil/sn_fff7e29c815aaa1a2ecfea94888631/rendering/01.obj", "0.791728138924")</f>
        <v>0.791728138924</v>
      </c>
      <c r="E2398" s="20" t="str">
        <f>HYPERLINK(AA2 &amp; "/pencil/sn_fff7e29c815aaa1a2ecfea94888631/rendering/02.obj", "2.69954109192")</f>
        <v>2.69954109192</v>
      </c>
      <c r="F2398" s="169" t="str">
        <f>HYPERLINK(AA2 &amp; "/pencil/sn_fff7e29c815aaa1a2ecfea94888631/rendering/03.obj", "0.78388851881")</f>
        <v>0.78388851881</v>
      </c>
      <c r="G2398" s="139" t="str">
        <f>HYPERLINK(AA2 &amp; "/pencil/sn_fff7e29c815aaa1a2ecfea94888631/rendering/04.obj", "1.68621039391")</f>
        <v>1.68621039391</v>
      </c>
      <c r="H2398" s="138" t="str">
        <f>HYPERLINK(AA2 &amp; "/pencil/sn_fff7e29c815aaa1a2ecfea94888631/rendering/05.obj", "0.753992557526")</f>
        <v>0.753992557526</v>
      </c>
      <c r="I2398" s="47" t="str">
        <f>HYPERLINK(AA2 &amp; "/pencil/sn_fff7e29c815aaa1a2ecfea94888631/rendering/06.obj", "1.1304833889")</f>
        <v>1.1304833889</v>
      </c>
      <c r="J2398" s="66" t="str">
        <f>HYPERLINK(AA2 &amp; "/pencil/sn_fff7e29c815aaa1a2ecfea94888631/rendering/07.obj", "0.955491542816")</f>
        <v>0.955491542816</v>
      </c>
      <c r="K2398" s="95" t="str">
        <f>HYPERLINK(AA2 &amp; "/pencil/sn_fff7e29c815aaa1a2ecfea94888631/rendering/08.obj", "0.818783164024")</f>
        <v>0.818783164024</v>
      </c>
      <c r="L2398" s="75" t="str">
        <f>HYPERLINK(AA2 &amp; "/pencil/sn_fff7e29c815aaa1a2ecfea94888631/rendering/09.obj", "0.887612581253")</f>
        <v>0.887612581253</v>
      </c>
      <c r="M2398" s="73" t="str">
        <f>HYPERLINK(AA2 &amp; "/pencil/sn_fff7e29c815aaa1a2ecfea94888631/rendering/10.obj", "1.18076443672")</f>
        <v>1.18076443672</v>
      </c>
      <c r="N2398" s="6" t="str">
        <f>HYPERLINK(AA2 &amp; "/pencil/sn_fff7e29c815aaa1a2ecfea94888631/rendering/11.obj", "1.08522319794")</f>
        <v>1.08522319794</v>
      </c>
      <c r="O2398" s="20" t="str">
        <f>HYPERLINK(AA2 &amp; "/pencil/sn_fff7e29c815aaa1a2ecfea94888631/rendering/12.obj", "2.21107983589")</f>
        <v>2.21107983589</v>
      </c>
      <c r="P2398" s="41" t="str">
        <f>HYPERLINK(AA2 &amp; "/pencil/sn_fff7e29c815aaa1a2ecfea94888631/rendering/13.obj", "1.06201803684")</f>
        <v>1.06201803684</v>
      </c>
      <c r="Q2398" s="175" t="str">
        <f>HYPERLINK(AA2 &amp; "/pencil/sn_fff7e29c815aaa1a2ecfea94888631/rendering/14.obj", "0.872548043728")</f>
        <v>0.872548043728</v>
      </c>
      <c r="R2398" s="44" t="str">
        <f>HYPERLINK(AA2 &amp; "/pencil/sn_fff7e29c815aaa1a2ecfea94888631/rendering/15.obj", "0.914593815804")</f>
        <v>0.914593815804</v>
      </c>
      <c r="S2398" s="35" t="str">
        <f>HYPERLINK(AA2 &amp; "/pencil/sn_fff7e29c815aaa1a2ecfea94888631/rendering/16.obj", "1.20403754711")</f>
        <v>1.20403754711</v>
      </c>
      <c r="T2398" s="95" t="str">
        <f>HYPERLINK(AA2 &amp; "/pencil/sn_fff7e29c815aaa1a2ecfea94888631/rendering/17.obj", "0.818448245525")</f>
        <v>0.818448245525</v>
      </c>
      <c r="U2398" s="91" t="str">
        <f>HYPERLINK(AA2 &amp; "/pencil/sn_fff7e29c815aaa1a2ecfea94888631/rendering/18.obj", "1.16903018951")</f>
        <v>1.16903018951</v>
      </c>
      <c r="V2398" s="171" t="str">
        <f>HYPERLINK(AA2 &amp; "/pencil/sn_fff7e29c815aaa1a2ecfea94888631/rendering/19.obj", "0.789032042027")</f>
        <v>0.789032042027</v>
      </c>
      <c r="W2398" s="12" t="s">
        <v>30</v>
      </c>
      <c r="X2398" s="13">
        <v>1.138612529635429</v>
      </c>
      <c r="Y2398" s="13">
        <v>0.49364099205939738</v>
      </c>
      <c r="Z2398" s="97">
        <v>0.43354607402524858</v>
      </c>
    </row>
    <row r="2399" spans="1:26" x14ac:dyDescent="0.2">
      <c r="A2399" s="1">
        <v>2397</v>
      </c>
      <c r="B2399" s="2" t="s">
        <v>512</v>
      </c>
      <c r="C2399" s="78" t="str">
        <f>HYPERLINK(AB2 &amp; "/pencil/sn_fff7e29c815aaa1a2ecfea94888631/rendering/00.obj", "3.50651916504")</f>
        <v>3.50651916504</v>
      </c>
      <c r="D2399" s="60" t="str">
        <f>HYPERLINK(AB2 &amp; "/pencil/sn_fff7e29c815aaa1a2ecfea94888631/rendering/01.obj", "3.92319091797")</f>
        <v>3.92319091797</v>
      </c>
      <c r="E2399" s="107" t="str">
        <f>HYPERLINK(AB2 &amp; "/pencil/sn_fff7e29c815aaa1a2ecfea94888631/rendering/02.obj", "4.05018005371")</f>
        <v>4.05018005371</v>
      </c>
      <c r="F2399" s="17" t="str">
        <f>HYPERLINK(AB2 &amp; "/pencil/sn_fff7e29c815aaa1a2ecfea94888631/rendering/03.obj", "3.65535125732")</f>
        <v>3.65535125732</v>
      </c>
      <c r="G2399" s="26" t="str">
        <f>HYPERLINK(AB2 &amp; "/pencil/sn_fff7e29c815aaa1a2ecfea94888631/rendering/04.obj", "3.49880615234")</f>
        <v>3.49880615234</v>
      </c>
      <c r="H2399" s="17" t="str">
        <f>HYPERLINK(AB2 &amp; "/pencil/sn_fff7e29c815aaa1a2ecfea94888631/rendering/05.obj", "3.65842895508")</f>
        <v>3.65842895508</v>
      </c>
      <c r="I2399" s="38" t="str">
        <f>HYPERLINK(AB2 &amp; "/pencil/sn_fff7e29c815aaa1a2ecfea94888631/rendering/06.obj", "3.4058392334")</f>
        <v>3.4058392334</v>
      </c>
      <c r="J2399" s="25" t="str">
        <f>HYPERLINK(AB2 &amp; "/pencil/sn_fff7e29c815aaa1a2ecfea94888631/rendering/07.obj", "3.69794036865")</f>
        <v>3.69794036865</v>
      </c>
      <c r="K2399" s="10" t="str">
        <f>HYPERLINK(AB2 &amp; "/pencil/sn_fff7e29c815aaa1a2ecfea94888631/rendering/08.obj", "3.52976196289")</f>
        <v>3.52976196289</v>
      </c>
      <c r="L2399" s="67" t="str">
        <f>HYPERLINK(AB2 &amp; "/pencil/sn_fff7e29c815aaa1a2ecfea94888631/rendering/09.obj", "3.38471984863")</f>
        <v>3.38471984863</v>
      </c>
      <c r="M2399" s="73" t="str">
        <f>HYPERLINK(AB2 &amp; "/pencil/sn_fff7e29c815aaa1a2ecfea94888631/rendering/10.obj", "3.87393920898")</f>
        <v>3.87393920898</v>
      </c>
      <c r="N2399" s="73" t="str">
        <f>HYPERLINK(AB2 &amp; "/pencil/sn_fff7e29c815aaa1a2ecfea94888631/rendering/11.obj", "3.60018371582")</f>
        <v>3.60018371582</v>
      </c>
      <c r="O2399" s="28" t="str">
        <f>HYPERLINK(AB2 &amp; "/pencil/sn_fff7e29c815aaa1a2ecfea94888631/rendering/12.obj", "4.14857299805")</f>
        <v>4.14857299805</v>
      </c>
      <c r="P2399" s="110" t="str">
        <f>HYPERLINK(AB2 &amp; "/pencil/sn_fff7e29c815aaa1a2ecfea94888631/rendering/13.obj", "4.10964416504")</f>
        <v>4.10964416504</v>
      </c>
      <c r="Q2399" s="33" t="str">
        <f>HYPERLINK(AB2 &amp; "/pencil/sn_fff7e29c815aaa1a2ecfea94888631/rendering/14.obj", "4.13545593262")</f>
        <v>4.13545593262</v>
      </c>
      <c r="R2399" s="5" t="str">
        <f>HYPERLINK(AB2 &amp; "/pencil/sn_fff7e29c815aaa1a2ecfea94888631/rendering/15.obj", "4.01820922852")</f>
        <v>4.01820922852</v>
      </c>
      <c r="S2399" s="25" t="str">
        <f>HYPERLINK(AB2 &amp; "/pencil/sn_fff7e29c815aaa1a2ecfea94888631/rendering/16.obj", "3.77178405762")</f>
        <v>3.77178405762</v>
      </c>
      <c r="T2399" s="74" t="str">
        <f>HYPERLINK(AB2 &amp; "/pencil/sn_fff7e29c815aaa1a2ecfea94888631/rendering/17.obj", "3.67722290039")</f>
        <v>3.67722290039</v>
      </c>
      <c r="U2399" s="73" t="str">
        <f>HYPERLINK(AB2 &amp; "/pencil/sn_fff7e29c815aaa1a2ecfea94888631/rendering/18.obj", "3.60347808838")</f>
        <v>3.60347808838</v>
      </c>
      <c r="V2399" s="94" t="str">
        <f>HYPERLINK(AB2 &amp; "/pencil/sn_fff7e29c815aaa1a2ecfea94888631/rendering/19.obj", "3.46293151855")</f>
        <v>3.46293151855</v>
      </c>
      <c r="W2399" s="12" t="s">
        <v>31</v>
      </c>
      <c r="X2399" s="13">
        <v>3.7356079864501952</v>
      </c>
      <c r="Y2399" s="13">
        <v>0.24646981488180739</v>
      </c>
      <c r="Z2399" s="41">
        <v>6.5978500896186953E-2</v>
      </c>
    </row>
    <row r="2400" spans="1:26" x14ac:dyDescent="0.2">
      <c r="A2400" s="1">
        <v>2398</v>
      </c>
      <c r="B2400" s="2" t="s">
        <v>512</v>
      </c>
      <c r="C2400" s="47" t="str">
        <f>HYPERLINK(AB2 &amp; "/pencil/sn_fff7e29c815aaa1a2ecfea94888631/rendering/00.obj", "0.810945808887")</f>
        <v>0.810945808887</v>
      </c>
      <c r="D2400" s="176" t="str">
        <f>HYPERLINK(AB2 &amp; "/pencil/sn_fff7e29c815aaa1a2ecfea94888631/rendering/01.obj", "1.06080102921")</f>
        <v>1.06080102921</v>
      </c>
      <c r="E2400" s="166" t="str">
        <f>HYPERLINK(AB2 &amp; "/pencil/sn_fff7e29c815aaa1a2ecfea94888631/rendering/02.obj", "1.03528785706")</f>
        <v>1.03528785706</v>
      </c>
      <c r="F2400" s="69" t="str">
        <f>HYPERLINK(AB2 &amp; "/pencil/sn_fff7e29c815aaa1a2ecfea94888631/rendering/03.obj", "0.780753493309")</f>
        <v>0.780753493309</v>
      </c>
      <c r="G2400" s="63" t="str">
        <f>HYPERLINK(AB2 &amp; "/pencil/sn_fff7e29c815aaa1a2ecfea94888631/rendering/04.obj", "0.707229018211")</f>
        <v>0.707229018211</v>
      </c>
      <c r="H2400" s="107" t="str">
        <f>HYPERLINK(AB2 &amp; "/pencil/sn_fff7e29c815aaa1a2ecfea94888631/rendering/05.obj", "0.737409234047")</f>
        <v>0.737409234047</v>
      </c>
      <c r="I2400" s="51" t="str">
        <f>HYPERLINK(AB2 &amp; "/pencil/sn_fff7e29c815aaa1a2ecfea94888631/rendering/06.obj", "0.739107191563")</f>
        <v>0.739107191563</v>
      </c>
      <c r="J2400" s="71" t="str">
        <f>HYPERLINK(AB2 &amp; "/pencil/sn_fff7e29c815aaa1a2ecfea94888631/rendering/07.obj", "0.710416913033")</f>
        <v>0.710416913033</v>
      </c>
      <c r="K2400" s="38" t="str">
        <f>HYPERLINK(AB2 &amp; "/pencil/sn_fff7e29c815aaa1a2ecfea94888631/rendering/08.obj", "0.732650876045")</f>
        <v>0.732650876045</v>
      </c>
      <c r="L2400" s="38" t="str">
        <f>HYPERLINK(AB2 &amp; "/pencil/sn_fff7e29c815aaa1a2ecfea94888631/rendering/09.obj", "0.732235610485")</f>
        <v>0.732235610485</v>
      </c>
      <c r="M2400" s="42" t="str">
        <f>HYPERLINK(AB2 &amp; "/pencil/sn_fff7e29c815aaa1a2ecfea94888631/rendering/10.obj", "0.693924546242")</f>
        <v>0.693924546242</v>
      </c>
      <c r="N2400" s="47" t="str">
        <f>HYPERLINK(AB2 &amp; "/pencil/sn_fff7e29c815aaa1a2ecfea94888631/rendering/11.obj", "0.797734379768")</f>
        <v>0.797734379768</v>
      </c>
      <c r="O2400" s="107" t="str">
        <f>HYPERLINK(AB2 &amp; "/pencil/sn_fff7e29c815aaa1a2ecfea94888631/rendering/12.obj", "0.737344503403")</f>
        <v>0.737344503403</v>
      </c>
      <c r="P2400" s="106" t="str">
        <f>HYPERLINK(AB2 &amp; "/pencil/sn_fff7e29c815aaa1a2ecfea94888631/rendering/13.obj", "0.896996319294")</f>
        <v>0.896996319294</v>
      </c>
      <c r="Q2400" s="42" t="str">
        <f>HYPERLINK(AB2 &amp; "/pencil/sn_fff7e29c815aaa1a2ecfea94888631/rendering/14.obj", "0.693669557571")</f>
        <v>0.693669557571</v>
      </c>
      <c r="R2400" s="81" t="str">
        <f>HYPERLINK(AB2 &amp; "/pencil/sn_fff7e29c815aaa1a2ecfea94888631/rendering/15.obj", "0.979233562946")</f>
        <v>0.979233562946</v>
      </c>
      <c r="S2400" s="81" t="str">
        <f>HYPERLINK(AB2 &amp; "/pencil/sn_fff7e29c815aaa1a2ecfea94888631/rendering/16.obj", "0.980585634708")</f>
        <v>0.980585634708</v>
      </c>
      <c r="T2400" s="27" t="str">
        <f>HYPERLINK(AB2 &amp; "/pencil/sn_fff7e29c815aaa1a2ecfea94888631/rendering/17.obj", "0.74609875679")</f>
        <v>0.74609875679</v>
      </c>
      <c r="U2400" s="13" t="str">
        <f>HYPERLINK(AB2 &amp; "/pencil/sn_fff7e29c815aaa1a2ecfea94888631/rendering/18.obj", "0.805182218552")</f>
        <v>0.805182218552</v>
      </c>
      <c r="V2400" s="92" t="str">
        <f>HYPERLINK(AB2 &amp; "/pencil/sn_fff7e29c815aaa1a2ecfea94888631/rendering/19.obj", "0.70407807827")</f>
        <v>0.70407807827</v>
      </c>
      <c r="W2400" s="12" t="s">
        <v>32</v>
      </c>
      <c r="X2400" s="13">
        <v>0.80408422946929936</v>
      </c>
      <c r="Y2400" s="13">
        <v>0.1161218246981941</v>
      </c>
      <c r="Z2400" s="84">
        <v>0.14441500086979109</v>
      </c>
    </row>
    <row r="2401" spans="1:26" x14ac:dyDescent="0.2">
      <c r="A2401" s="1">
        <v>2399</v>
      </c>
      <c r="B2401" s="2" t="s">
        <v>512</v>
      </c>
      <c r="C2401" s="13" t="str">
        <f>HYPERLINK(AC2 &amp; "/pencil/sn_fff7e29c815aaa1a2ecfea94888631/rendering/00.xyz", "0.0")</f>
        <v>0.0</v>
      </c>
      <c r="D2401" s="13" t="str">
        <f>HYPERLINK(AC2 &amp; "/pencil/sn_fff7e29c815aaa1a2ecfea94888631/rendering/01.xyz", "0.0")</f>
        <v>0.0</v>
      </c>
      <c r="E2401" s="13" t="str">
        <f>HYPERLINK(AC2 &amp; "/pencil/sn_fff7e29c815aaa1a2ecfea94888631/rendering/02.xyz", "0.0")</f>
        <v>0.0</v>
      </c>
      <c r="F2401" s="13" t="str">
        <f>HYPERLINK(AC2 &amp; "/pencil/sn_fff7e29c815aaa1a2ecfea94888631/rendering/03.xyz", "0.0")</f>
        <v>0.0</v>
      </c>
      <c r="G2401" s="13" t="str">
        <f>HYPERLINK(AC2 &amp; "/pencil/sn_fff7e29c815aaa1a2ecfea94888631/rendering/04.xyz", "0.0")</f>
        <v>0.0</v>
      </c>
      <c r="H2401" s="13" t="str">
        <f>HYPERLINK(AC2 &amp; "/pencil/sn_fff7e29c815aaa1a2ecfea94888631/rendering/05.xyz", "0.0")</f>
        <v>0.0</v>
      </c>
      <c r="I2401" s="13" t="str">
        <f>HYPERLINK(AC2 &amp; "/pencil/sn_fff7e29c815aaa1a2ecfea94888631/rendering/06.xyz", "0.0")</f>
        <v>0.0</v>
      </c>
      <c r="J2401" s="13" t="str">
        <f>HYPERLINK(AC2 &amp; "/pencil/sn_fff7e29c815aaa1a2ecfea94888631/rendering/07.xyz", "0.0")</f>
        <v>0.0</v>
      </c>
      <c r="K2401" s="13" t="str">
        <f>HYPERLINK(AC2 &amp; "/pencil/sn_fff7e29c815aaa1a2ecfea94888631/rendering/08.xyz", "0.0")</f>
        <v>0.0</v>
      </c>
      <c r="L2401" s="13" t="str">
        <f>HYPERLINK(AC2 &amp; "/pencil/sn_fff7e29c815aaa1a2ecfea94888631/rendering/09.xyz", "0.0")</f>
        <v>0.0</v>
      </c>
      <c r="M2401" s="13" t="str">
        <f>HYPERLINK(AC2 &amp; "/pencil/sn_fff7e29c815aaa1a2ecfea94888631/rendering/10.xyz", "0.0")</f>
        <v>0.0</v>
      </c>
      <c r="N2401" s="13" t="str">
        <f>HYPERLINK(AC2 &amp; "/pencil/sn_fff7e29c815aaa1a2ecfea94888631/rendering/11.xyz", "0.0")</f>
        <v>0.0</v>
      </c>
      <c r="O2401" s="13" t="str">
        <f>HYPERLINK(AC2 &amp; "/pencil/sn_fff7e29c815aaa1a2ecfea94888631/rendering/12.xyz", "0.0")</f>
        <v>0.0</v>
      </c>
      <c r="P2401" s="13" t="str">
        <f>HYPERLINK(AC2 &amp; "/pencil/sn_fff7e29c815aaa1a2ecfea94888631/rendering/13.xyz", "0.0")</f>
        <v>0.0</v>
      </c>
      <c r="Q2401" s="13" t="str">
        <f>HYPERLINK(AC2 &amp; "/pencil/sn_fff7e29c815aaa1a2ecfea94888631/rendering/14.xyz", "0.0")</f>
        <v>0.0</v>
      </c>
      <c r="R2401" s="13" t="str">
        <f>HYPERLINK(AC2 &amp; "/pencil/sn_fff7e29c815aaa1a2ecfea94888631/rendering/15.xyz", "0.0")</f>
        <v>0.0</v>
      </c>
      <c r="S2401" s="13" t="str">
        <f>HYPERLINK(AC2 &amp; "/pencil/sn_fff7e29c815aaa1a2ecfea94888631/rendering/16.xyz", "0.0")</f>
        <v>0.0</v>
      </c>
      <c r="T2401" s="13" t="str">
        <f>HYPERLINK(AC2 &amp; "/pencil/sn_fff7e29c815aaa1a2ecfea94888631/rendering/17.xyz", "0.0")</f>
        <v>0.0</v>
      </c>
      <c r="U2401" s="13" t="str">
        <f>HYPERLINK(AC2 &amp; "/pencil/sn_fff7e29c815aaa1a2ecfea94888631/rendering/18.xyz", "0.0")</f>
        <v>0.0</v>
      </c>
      <c r="V2401" s="13" t="str">
        <f>HYPERLINK(AC2 &amp; "/pencil/sn_fff7e29c815aaa1a2ecfea94888631/rendering/19.xyz", "0.0")</f>
        <v>0.0</v>
      </c>
      <c r="W2401" s="12" t="s">
        <v>33</v>
      </c>
      <c r="X2401" s="13">
        <v>0</v>
      </c>
      <c r="Y2401" s="13">
        <v>0</v>
      </c>
      <c r="Z2401" s="13">
        <v>0</v>
      </c>
    </row>
    <row r="2402" spans="1:26" x14ac:dyDescent="0.2">
      <c r="A2402" s="1">
        <v>2400</v>
      </c>
      <c r="B2402" s="2" t="s">
        <v>513</v>
      </c>
      <c r="C2402" s="3" t="str">
        <f>HYPERLINK(AA2 &amp; "/pliers/3dw_b353540d-c322-4fc5-b8ed-fd705e3ea808/rendering/00.obj", "nan")</f>
        <v>nan</v>
      </c>
      <c r="D2402" s="3" t="str">
        <f>HYPERLINK(AA2 &amp; "/pliers/3dw_b353540d-c322-4fc5-b8ed-fd705e3ea808/rendering/01.obj", "nan")</f>
        <v>nan</v>
      </c>
      <c r="E2402" s="3" t="str">
        <f>HYPERLINK(AA2 &amp; "/pliers/3dw_b353540d-c322-4fc5-b8ed-fd705e3ea808/rendering/02.obj", "nan")</f>
        <v>nan</v>
      </c>
      <c r="F2402" s="3" t="str">
        <f>HYPERLINK(AA2 &amp; "/pliers/3dw_b353540d-c322-4fc5-b8ed-fd705e3ea808/rendering/03.obj", "nan")</f>
        <v>nan</v>
      </c>
      <c r="G2402" s="3" t="str">
        <f>HYPERLINK(AA2 &amp; "/pliers/3dw_b353540d-c322-4fc5-b8ed-fd705e3ea808/rendering/04.obj", "nan")</f>
        <v>nan</v>
      </c>
      <c r="H2402" s="3" t="str">
        <f>HYPERLINK(AA2 &amp; "/pliers/3dw_b353540d-c322-4fc5-b8ed-fd705e3ea808/rendering/05.obj", "nan")</f>
        <v>nan</v>
      </c>
      <c r="I2402" s="3" t="str">
        <f>HYPERLINK(AA2 &amp; "/pliers/3dw_b353540d-c322-4fc5-b8ed-fd705e3ea808/rendering/06.obj", "nan")</f>
        <v>nan</v>
      </c>
      <c r="J2402" s="3" t="str">
        <f>HYPERLINK(AA2 &amp; "/pliers/3dw_b353540d-c322-4fc5-b8ed-fd705e3ea808/rendering/07.obj", "nan")</f>
        <v>nan</v>
      </c>
      <c r="K2402" s="3" t="str">
        <f>HYPERLINK(AA2 &amp; "/pliers/3dw_b353540d-c322-4fc5-b8ed-fd705e3ea808/rendering/08.obj", "nan")</f>
        <v>nan</v>
      </c>
      <c r="L2402" s="3" t="str">
        <f>HYPERLINK(AA2 &amp; "/pliers/3dw_b353540d-c322-4fc5-b8ed-fd705e3ea808/rendering/09.obj", "nan")</f>
        <v>nan</v>
      </c>
      <c r="M2402" s="3" t="str">
        <f>HYPERLINK(AA2 &amp; "/pliers/3dw_b353540d-c322-4fc5-b8ed-fd705e3ea808/rendering/10.obj", "nan")</f>
        <v>nan</v>
      </c>
      <c r="N2402" s="3" t="str">
        <f>HYPERLINK(AA2 &amp; "/pliers/3dw_b353540d-c322-4fc5-b8ed-fd705e3ea808/rendering/11.obj", "nan")</f>
        <v>nan</v>
      </c>
      <c r="O2402" s="3" t="str">
        <f>HYPERLINK(AA2 &amp; "/pliers/3dw_b353540d-c322-4fc5-b8ed-fd705e3ea808/rendering/12.obj", "nan")</f>
        <v>nan</v>
      </c>
      <c r="P2402" s="3" t="str">
        <f>HYPERLINK(AA2 &amp; "/pliers/3dw_b353540d-c322-4fc5-b8ed-fd705e3ea808/rendering/13.obj", "nan")</f>
        <v>nan</v>
      </c>
      <c r="Q2402" s="3" t="str">
        <f>HYPERLINK(AA2 &amp; "/pliers/3dw_b353540d-c322-4fc5-b8ed-fd705e3ea808/rendering/14.obj", "nan")</f>
        <v>nan</v>
      </c>
      <c r="R2402" s="3" t="str">
        <f>HYPERLINK(AA2 &amp; "/pliers/3dw_b353540d-c322-4fc5-b8ed-fd705e3ea808/rendering/15.obj", "nan")</f>
        <v>nan</v>
      </c>
      <c r="S2402" s="100" t="str">
        <f>HYPERLINK(AA2 &amp; "/pliers/3dw_b353540d-c322-4fc5-b8ed-fd705e3ea808/rendering/16.obj", "0.77732131958")</f>
        <v>0.77732131958</v>
      </c>
      <c r="T2402" s="149" t="str">
        <f>HYPERLINK(AA2 &amp; "/pliers/3dw_b353540d-c322-4fc5-b8ed-fd705e3ea808/rendering/17.obj", "0.729062652588")</f>
        <v>0.729062652588</v>
      </c>
      <c r="U2402" s="70" t="str">
        <f>HYPERLINK(AA2 &amp; "/pliers/3dw_b353540d-c322-4fc5-b8ed-fd705e3ea808/rendering/18.obj", "0.97153427124")</f>
        <v>0.97153427124</v>
      </c>
      <c r="V2402" s="210" t="str">
        <f>HYPERLINK(AA2 &amp; "/pliers/3dw_b353540d-c322-4fc5-b8ed-fd705e3ea808/rendering/19.obj", "1.96821472168")</f>
        <v>1.96821472168</v>
      </c>
      <c r="W2402" s="12" t="s">
        <v>29</v>
      </c>
      <c r="X2402" s="13">
        <v>1.1115332412719729</v>
      </c>
      <c r="Y2402" s="13">
        <v>0.50286286159668792</v>
      </c>
      <c r="Z2402" s="191">
        <v>0.45240469913544062</v>
      </c>
    </row>
    <row r="2403" spans="1:26" x14ac:dyDescent="0.2">
      <c r="A2403" s="1">
        <v>2401</v>
      </c>
      <c r="B2403" s="2" t="s">
        <v>513</v>
      </c>
      <c r="C2403" s="3" t="str">
        <f>HYPERLINK(AA2 &amp; "/pliers/3dw_b353540d-c322-4fc5-b8ed-fd705e3ea808/rendering/00.obj", "nan")</f>
        <v>nan</v>
      </c>
      <c r="D2403" s="3" t="str">
        <f>HYPERLINK(AA2 &amp; "/pliers/3dw_b353540d-c322-4fc5-b8ed-fd705e3ea808/rendering/01.obj", "nan")</f>
        <v>nan</v>
      </c>
      <c r="E2403" s="3" t="str">
        <f>HYPERLINK(AA2 &amp; "/pliers/3dw_b353540d-c322-4fc5-b8ed-fd705e3ea808/rendering/02.obj", "nan")</f>
        <v>nan</v>
      </c>
      <c r="F2403" s="3" t="str">
        <f>HYPERLINK(AA2 &amp; "/pliers/3dw_b353540d-c322-4fc5-b8ed-fd705e3ea808/rendering/03.obj", "nan")</f>
        <v>nan</v>
      </c>
      <c r="G2403" s="3" t="str">
        <f>HYPERLINK(AA2 &amp; "/pliers/3dw_b353540d-c322-4fc5-b8ed-fd705e3ea808/rendering/04.obj", "nan")</f>
        <v>nan</v>
      </c>
      <c r="H2403" s="3" t="str">
        <f>HYPERLINK(AA2 &amp; "/pliers/3dw_b353540d-c322-4fc5-b8ed-fd705e3ea808/rendering/05.obj", "nan")</f>
        <v>nan</v>
      </c>
      <c r="I2403" s="3" t="str">
        <f>HYPERLINK(AA2 &amp; "/pliers/3dw_b353540d-c322-4fc5-b8ed-fd705e3ea808/rendering/06.obj", "nan")</f>
        <v>nan</v>
      </c>
      <c r="J2403" s="3" t="str">
        <f>HYPERLINK(AA2 &amp; "/pliers/3dw_b353540d-c322-4fc5-b8ed-fd705e3ea808/rendering/07.obj", "nan")</f>
        <v>nan</v>
      </c>
      <c r="K2403" s="3" t="str">
        <f>HYPERLINK(AA2 &amp; "/pliers/3dw_b353540d-c322-4fc5-b8ed-fd705e3ea808/rendering/08.obj", "nan")</f>
        <v>nan</v>
      </c>
      <c r="L2403" s="3" t="str">
        <f>HYPERLINK(AA2 &amp; "/pliers/3dw_b353540d-c322-4fc5-b8ed-fd705e3ea808/rendering/09.obj", "nan")</f>
        <v>nan</v>
      </c>
      <c r="M2403" s="3" t="str">
        <f>HYPERLINK(AA2 &amp; "/pliers/3dw_b353540d-c322-4fc5-b8ed-fd705e3ea808/rendering/10.obj", "nan")</f>
        <v>nan</v>
      </c>
      <c r="N2403" s="3" t="str">
        <f>HYPERLINK(AA2 &amp; "/pliers/3dw_b353540d-c322-4fc5-b8ed-fd705e3ea808/rendering/11.obj", "nan")</f>
        <v>nan</v>
      </c>
      <c r="O2403" s="3" t="str">
        <f>HYPERLINK(AA2 &amp; "/pliers/3dw_b353540d-c322-4fc5-b8ed-fd705e3ea808/rendering/12.obj", "nan")</f>
        <v>nan</v>
      </c>
      <c r="P2403" s="3" t="str">
        <f>HYPERLINK(AA2 &amp; "/pliers/3dw_b353540d-c322-4fc5-b8ed-fd705e3ea808/rendering/13.obj", "nan")</f>
        <v>nan</v>
      </c>
      <c r="Q2403" s="3" t="str">
        <f>HYPERLINK(AA2 &amp; "/pliers/3dw_b353540d-c322-4fc5-b8ed-fd705e3ea808/rendering/14.obj", "nan")</f>
        <v>nan</v>
      </c>
      <c r="R2403" s="3" t="str">
        <f>HYPERLINK(AA2 &amp; "/pliers/3dw_b353540d-c322-4fc5-b8ed-fd705e3ea808/rendering/15.obj", "nan")</f>
        <v>nan</v>
      </c>
      <c r="S2403" s="157" t="str">
        <f>HYPERLINK(AA2 &amp; "/pliers/3dw_b353540d-c322-4fc5-b8ed-fd705e3ea808/rendering/16.obj", "2.34750747681")</f>
        <v>2.34750747681</v>
      </c>
      <c r="T2403" s="158" t="str">
        <f>HYPERLINK(AA2 &amp; "/pliers/3dw_b353540d-c322-4fc5-b8ed-fd705e3ea808/rendering/17.obj", "2.37392187119")</f>
        <v>2.37392187119</v>
      </c>
      <c r="U2403" s="113" t="str">
        <f>HYPERLINK(AA2 &amp; "/pliers/3dw_b353540d-c322-4fc5-b8ed-fd705e3ea808/rendering/18.obj", "2.90936803818")</f>
        <v>2.90936803818</v>
      </c>
      <c r="V2403" s="20" t="str">
        <f>HYPERLINK(AA2 &amp; "/pliers/3dw_b353540d-c322-4fc5-b8ed-fd705e3ea808/rendering/19.obj", "8.42955112457")</f>
        <v>8.42955112457</v>
      </c>
      <c r="W2403" s="12" t="s">
        <v>30</v>
      </c>
      <c r="X2403" s="13">
        <v>4.0150871276855469</v>
      </c>
      <c r="Y2403" s="13">
        <v>2.5585324101858089</v>
      </c>
      <c r="Z2403" s="115">
        <v>0.63722961141833234</v>
      </c>
    </row>
    <row r="2404" spans="1:26" x14ac:dyDescent="0.2">
      <c r="A2404" s="1">
        <v>2402</v>
      </c>
      <c r="B2404" s="2" t="s">
        <v>513</v>
      </c>
      <c r="C2404" s="3" t="str">
        <f>HYPERLINK(AB2 &amp; "/pliers/3dw_b353540d-c322-4fc5-b8ed-fd705e3ea808/rendering/00.obj", "nan")</f>
        <v>nan</v>
      </c>
      <c r="D2404" s="3" t="str">
        <f>HYPERLINK(AB2 &amp; "/pliers/3dw_b353540d-c322-4fc5-b8ed-fd705e3ea808/rendering/01.obj", "nan")</f>
        <v>nan</v>
      </c>
      <c r="E2404" s="3" t="str">
        <f>HYPERLINK(AB2 &amp; "/pliers/3dw_b353540d-c322-4fc5-b8ed-fd705e3ea808/rendering/02.obj", "nan")</f>
        <v>nan</v>
      </c>
      <c r="F2404" s="3" t="str">
        <f>HYPERLINK(AB2 &amp; "/pliers/3dw_b353540d-c322-4fc5-b8ed-fd705e3ea808/rendering/03.obj", "nan")</f>
        <v>nan</v>
      </c>
      <c r="G2404" s="3" t="str">
        <f>HYPERLINK(AB2 &amp; "/pliers/3dw_b353540d-c322-4fc5-b8ed-fd705e3ea808/rendering/04.obj", "nan")</f>
        <v>nan</v>
      </c>
      <c r="H2404" s="3" t="str">
        <f>HYPERLINK(AB2 &amp; "/pliers/3dw_b353540d-c322-4fc5-b8ed-fd705e3ea808/rendering/05.obj", "nan")</f>
        <v>nan</v>
      </c>
      <c r="I2404" s="3" t="str">
        <f>HYPERLINK(AB2 &amp; "/pliers/3dw_b353540d-c322-4fc5-b8ed-fd705e3ea808/rendering/06.obj", "nan")</f>
        <v>nan</v>
      </c>
      <c r="J2404" s="3" t="str">
        <f>HYPERLINK(AB2 &amp; "/pliers/3dw_b353540d-c322-4fc5-b8ed-fd705e3ea808/rendering/07.obj", "nan")</f>
        <v>nan</v>
      </c>
      <c r="K2404" s="3" t="str">
        <f>HYPERLINK(AB2 &amp; "/pliers/3dw_b353540d-c322-4fc5-b8ed-fd705e3ea808/rendering/08.obj", "nan")</f>
        <v>nan</v>
      </c>
      <c r="L2404" s="3" t="str">
        <f>HYPERLINK(AB2 &amp; "/pliers/3dw_b353540d-c322-4fc5-b8ed-fd705e3ea808/rendering/09.obj", "nan")</f>
        <v>nan</v>
      </c>
      <c r="M2404" s="3" t="str">
        <f>HYPERLINK(AB2 &amp; "/pliers/3dw_b353540d-c322-4fc5-b8ed-fd705e3ea808/rendering/10.obj", "nan")</f>
        <v>nan</v>
      </c>
      <c r="N2404" s="3" t="str">
        <f>HYPERLINK(AB2 &amp; "/pliers/3dw_b353540d-c322-4fc5-b8ed-fd705e3ea808/rendering/11.obj", "nan")</f>
        <v>nan</v>
      </c>
      <c r="O2404" s="3" t="str">
        <f>HYPERLINK(AB2 &amp; "/pliers/3dw_b353540d-c322-4fc5-b8ed-fd705e3ea808/rendering/12.obj", "nan")</f>
        <v>nan</v>
      </c>
      <c r="P2404" s="3" t="str">
        <f>HYPERLINK(AB2 &amp; "/pliers/3dw_b353540d-c322-4fc5-b8ed-fd705e3ea808/rendering/13.obj", "nan")</f>
        <v>nan</v>
      </c>
      <c r="Q2404" s="3" t="str">
        <f>HYPERLINK(AB2 &amp; "/pliers/3dw_b353540d-c322-4fc5-b8ed-fd705e3ea808/rendering/14.obj", "nan")</f>
        <v>nan</v>
      </c>
      <c r="R2404" s="3" t="str">
        <f>HYPERLINK(AB2 &amp; "/pliers/3dw_b353540d-c322-4fc5-b8ed-fd705e3ea808/rendering/15.obj", "nan")</f>
        <v>nan</v>
      </c>
      <c r="S2404" s="91" t="str">
        <f>HYPERLINK(AB2 &amp; "/pliers/3dw_b353540d-c322-4fc5-b8ed-fd705e3ea808/rendering/16.obj", "1.01172515869")</f>
        <v>1.01172515869</v>
      </c>
      <c r="T2404" s="83" t="str">
        <f>HYPERLINK(AB2 &amp; "/pliers/3dw_b353540d-c322-4fc5-b8ed-fd705e3ea808/rendering/17.obj", "0.83669708252")</f>
        <v>0.83669708252</v>
      </c>
      <c r="U2404" s="35" t="str">
        <f>HYPERLINK(AB2 &amp; "/pliers/3dw_b353540d-c322-4fc5-b8ed-fd705e3ea808/rendering/18.obj", "1.04320823669")</f>
        <v>1.04320823669</v>
      </c>
      <c r="V2404" s="41" t="str">
        <f>HYPERLINK(AB2 &amp; "/pliers/3dw_b353540d-c322-4fc5-b8ed-fd705e3ea808/rendering/19.obj", "1.05325393677")</f>
        <v>1.05325393677</v>
      </c>
      <c r="W2404" s="12" t="s">
        <v>31</v>
      </c>
      <c r="X2404" s="13">
        <v>0.98622110366821292</v>
      </c>
      <c r="Y2404" s="13">
        <v>8.7676712653591615E-2</v>
      </c>
      <c r="Z2404" s="38">
        <v>8.8901679681646764E-2</v>
      </c>
    </row>
    <row r="2405" spans="1:26" x14ac:dyDescent="0.2">
      <c r="A2405" s="1">
        <v>2403</v>
      </c>
      <c r="B2405" s="2" t="s">
        <v>513</v>
      </c>
      <c r="C2405" s="3" t="str">
        <f>HYPERLINK(AB2 &amp; "/pliers/3dw_b353540d-c322-4fc5-b8ed-fd705e3ea808/rendering/00.obj", "nan")</f>
        <v>nan</v>
      </c>
      <c r="D2405" s="3" t="str">
        <f>HYPERLINK(AB2 &amp; "/pliers/3dw_b353540d-c322-4fc5-b8ed-fd705e3ea808/rendering/01.obj", "nan")</f>
        <v>nan</v>
      </c>
      <c r="E2405" s="3" t="str">
        <f>HYPERLINK(AB2 &amp; "/pliers/3dw_b353540d-c322-4fc5-b8ed-fd705e3ea808/rendering/02.obj", "nan")</f>
        <v>nan</v>
      </c>
      <c r="F2405" s="3" t="str">
        <f>HYPERLINK(AB2 &amp; "/pliers/3dw_b353540d-c322-4fc5-b8ed-fd705e3ea808/rendering/03.obj", "nan")</f>
        <v>nan</v>
      </c>
      <c r="G2405" s="3" t="str">
        <f>HYPERLINK(AB2 &amp; "/pliers/3dw_b353540d-c322-4fc5-b8ed-fd705e3ea808/rendering/04.obj", "nan")</f>
        <v>nan</v>
      </c>
      <c r="H2405" s="3" t="str">
        <f>HYPERLINK(AB2 &amp; "/pliers/3dw_b353540d-c322-4fc5-b8ed-fd705e3ea808/rendering/05.obj", "nan")</f>
        <v>nan</v>
      </c>
      <c r="I2405" s="3" t="str">
        <f>HYPERLINK(AB2 &amp; "/pliers/3dw_b353540d-c322-4fc5-b8ed-fd705e3ea808/rendering/06.obj", "nan")</f>
        <v>nan</v>
      </c>
      <c r="J2405" s="3" t="str">
        <f>HYPERLINK(AB2 &amp; "/pliers/3dw_b353540d-c322-4fc5-b8ed-fd705e3ea808/rendering/07.obj", "nan")</f>
        <v>nan</v>
      </c>
      <c r="K2405" s="3" t="str">
        <f>HYPERLINK(AB2 &amp; "/pliers/3dw_b353540d-c322-4fc5-b8ed-fd705e3ea808/rendering/08.obj", "nan")</f>
        <v>nan</v>
      </c>
      <c r="L2405" s="3" t="str">
        <f>HYPERLINK(AB2 &amp; "/pliers/3dw_b353540d-c322-4fc5-b8ed-fd705e3ea808/rendering/09.obj", "nan")</f>
        <v>nan</v>
      </c>
      <c r="M2405" s="3" t="str">
        <f>HYPERLINK(AB2 &amp; "/pliers/3dw_b353540d-c322-4fc5-b8ed-fd705e3ea808/rendering/10.obj", "nan")</f>
        <v>nan</v>
      </c>
      <c r="N2405" s="3" t="str">
        <f>HYPERLINK(AB2 &amp; "/pliers/3dw_b353540d-c322-4fc5-b8ed-fd705e3ea808/rendering/11.obj", "nan")</f>
        <v>nan</v>
      </c>
      <c r="O2405" s="3" t="str">
        <f>HYPERLINK(AB2 &amp; "/pliers/3dw_b353540d-c322-4fc5-b8ed-fd705e3ea808/rendering/12.obj", "nan")</f>
        <v>nan</v>
      </c>
      <c r="P2405" s="3" t="str">
        <f>HYPERLINK(AB2 &amp; "/pliers/3dw_b353540d-c322-4fc5-b8ed-fd705e3ea808/rendering/13.obj", "nan")</f>
        <v>nan</v>
      </c>
      <c r="Q2405" s="3" t="str">
        <f>HYPERLINK(AB2 &amp; "/pliers/3dw_b353540d-c322-4fc5-b8ed-fd705e3ea808/rendering/14.obj", "nan")</f>
        <v>nan</v>
      </c>
      <c r="R2405" s="3" t="str">
        <f>HYPERLINK(AB2 &amp; "/pliers/3dw_b353540d-c322-4fc5-b8ed-fd705e3ea808/rendering/15.obj", "nan")</f>
        <v>nan</v>
      </c>
      <c r="S2405" s="10" t="str">
        <f>HYPERLINK(AB2 &amp; "/pliers/3dw_b353540d-c322-4fc5-b8ed-fd705e3ea808/rendering/16.obj", "2.25997209549")</f>
        <v>2.25997209549</v>
      </c>
      <c r="T2405" s="72" t="str">
        <f>HYPERLINK(AB2 &amp; "/pliers/3dw_b353540d-c322-4fc5-b8ed-fd705e3ea808/rendering/17.obj", "2.30930638313")</f>
        <v>2.30930638313</v>
      </c>
      <c r="U2405" s="6" t="str">
        <f>HYPERLINK(AB2 &amp; "/pliers/3dw_b353540d-c322-4fc5-b8ed-fd705e3ea808/rendering/18.obj", "2.49500060081")</f>
        <v>2.49500060081</v>
      </c>
      <c r="V2405" s="68" t="str">
        <f>HYPERLINK(AB2 &amp; "/pliers/3dw_b353540d-c322-4fc5-b8ed-fd705e3ea808/rendering/19.obj", "2.49126791954")</f>
        <v>2.49126791954</v>
      </c>
      <c r="W2405" s="12" t="s">
        <v>32</v>
      </c>
      <c r="X2405" s="13">
        <v>2.3888867497444148</v>
      </c>
      <c r="Y2405" s="13">
        <v>0.10570486761434961</v>
      </c>
      <c r="Z2405" s="6">
        <v>4.42485888565705E-2</v>
      </c>
    </row>
    <row r="2406" spans="1:26" x14ac:dyDescent="0.2">
      <c r="A2406" s="1">
        <v>2404</v>
      </c>
      <c r="B2406" s="2" t="s">
        <v>513</v>
      </c>
      <c r="C2406" s="13" t="str">
        <f>HYPERLINK(AC2 &amp; "/pliers/3dw_b353540d-c322-4fc5-b8ed-fd705e3ea808/rendering/00.xyz", "0.0")</f>
        <v>0.0</v>
      </c>
      <c r="D2406" s="13" t="str">
        <f>HYPERLINK(AC2 &amp; "/pliers/3dw_b353540d-c322-4fc5-b8ed-fd705e3ea808/rendering/01.xyz", "0.0")</f>
        <v>0.0</v>
      </c>
      <c r="E2406" s="13" t="str">
        <f>HYPERLINK(AC2 &amp; "/pliers/3dw_b353540d-c322-4fc5-b8ed-fd705e3ea808/rendering/02.xyz", "0.0")</f>
        <v>0.0</v>
      </c>
      <c r="F2406" s="13" t="str">
        <f>HYPERLINK(AC2 &amp; "/pliers/3dw_b353540d-c322-4fc5-b8ed-fd705e3ea808/rendering/03.xyz", "0.0")</f>
        <v>0.0</v>
      </c>
      <c r="G2406" s="13" t="str">
        <f>HYPERLINK(AC2 &amp; "/pliers/3dw_b353540d-c322-4fc5-b8ed-fd705e3ea808/rendering/04.xyz", "0.0")</f>
        <v>0.0</v>
      </c>
      <c r="H2406" s="13" t="str">
        <f>HYPERLINK(AC2 &amp; "/pliers/3dw_b353540d-c322-4fc5-b8ed-fd705e3ea808/rendering/05.xyz", "0.0")</f>
        <v>0.0</v>
      </c>
      <c r="I2406" s="13" t="str">
        <f>HYPERLINK(AC2 &amp; "/pliers/3dw_b353540d-c322-4fc5-b8ed-fd705e3ea808/rendering/06.xyz", "0.0")</f>
        <v>0.0</v>
      </c>
      <c r="J2406" s="13" t="str">
        <f>HYPERLINK(AC2 &amp; "/pliers/3dw_b353540d-c322-4fc5-b8ed-fd705e3ea808/rendering/07.xyz", "0.0")</f>
        <v>0.0</v>
      </c>
      <c r="K2406" s="13" t="str">
        <f>HYPERLINK(AC2 &amp; "/pliers/3dw_b353540d-c322-4fc5-b8ed-fd705e3ea808/rendering/08.xyz", "0.0")</f>
        <v>0.0</v>
      </c>
      <c r="L2406" s="13" t="str">
        <f>HYPERLINK(AC2 &amp; "/pliers/3dw_b353540d-c322-4fc5-b8ed-fd705e3ea808/rendering/09.xyz", "0.0")</f>
        <v>0.0</v>
      </c>
      <c r="M2406" s="13" t="str">
        <f>HYPERLINK(AC2 &amp; "/pliers/3dw_b353540d-c322-4fc5-b8ed-fd705e3ea808/rendering/10.xyz", "0.0")</f>
        <v>0.0</v>
      </c>
      <c r="N2406" s="13" t="str">
        <f>HYPERLINK(AC2 &amp; "/pliers/3dw_b353540d-c322-4fc5-b8ed-fd705e3ea808/rendering/11.xyz", "0.0")</f>
        <v>0.0</v>
      </c>
      <c r="O2406" s="13" t="str">
        <f>HYPERLINK(AC2 &amp; "/pliers/3dw_b353540d-c322-4fc5-b8ed-fd705e3ea808/rendering/12.xyz", "0.0")</f>
        <v>0.0</v>
      </c>
      <c r="P2406" s="13" t="str">
        <f>HYPERLINK(AC2 &amp; "/pliers/3dw_b353540d-c322-4fc5-b8ed-fd705e3ea808/rendering/13.xyz", "0.0")</f>
        <v>0.0</v>
      </c>
      <c r="Q2406" s="13" t="str">
        <f>HYPERLINK(AC2 &amp; "/pliers/3dw_b353540d-c322-4fc5-b8ed-fd705e3ea808/rendering/14.xyz", "0.0")</f>
        <v>0.0</v>
      </c>
      <c r="R2406" s="13" t="str">
        <f>HYPERLINK(AC2 &amp; "/pliers/3dw_b353540d-c322-4fc5-b8ed-fd705e3ea808/rendering/15.xyz", "0.0")</f>
        <v>0.0</v>
      </c>
      <c r="S2406" s="13" t="str">
        <f>HYPERLINK(AC2 &amp; "/pliers/3dw_b353540d-c322-4fc5-b8ed-fd705e3ea808/rendering/16.xyz", "0.0")</f>
        <v>0.0</v>
      </c>
      <c r="T2406" s="13" t="str">
        <f>HYPERLINK(AC2 &amp; "/pliers/3dw_b353540d-c322-4fc5-b8ed-fd705e3ea808/rendering/17.xyz", "0.0")</f>
        <v>0.0</v>
      </c>
      <c r="U2406" s="13" t="str">
        <f>HYPERLINK(AC2 &amp; "/pliers/3dw_b353540d-c322-4fc5-b8ed-fd705e3ea808/rendering/18.xyz", "0.0")</f>
        <v>0.0</v>
      </c>
      <c r="V2406" s="13" t="str">
        <f>HYPERLINK(AC2 &amp; "/pliers/3dw_b353540d-c322-4fc5-b8ed-fd705e3ea808/rendering/19.xyz", "0.0")</f>
        <v>0.0</v>
      </c>
      <c r="W2406" s="12" t="s">
        <v>33</v>
      </c>
      <c r="X2406" s="13">
        <v>0</v>
      </c>
      <c r="Y2406" s="13">
        <v>0</v>
      </c>
      <c r="Z2406" s="13">
        <v>0</v>
      </c>
    </row>
    <row r="2407" spans="1:26" x14ac:dyDescent="0.2">
      <c r="A2407" s="1">
        <v>2405</v>
      </c>
      <c r="B2407" s="2" t="s">
        <v>514</v>
      </c>
      <c r="C2407" s="186" t="str">
        <f>HYPERLINK(AA2 &amp; "/pliers/3dw_ba6753fe-bda7-4686-a6bf-17d4df47844f/rendering/00.obj", "0.647324371338")</f>
        <v>0.647324371338</v>
      </c>
      <c r="D2407" s="235" t="str">
        <f>HYPERLINK(AA2 &amp; "/pliers/3dw_ba6753fe-bda7-4686-a6bf-17d4df47844f/rendering/01.obj", "0.74152923584")</f>
        <v>0.74152923584</v>
      </c>
      <c r="E2407" s="4" t="str">
        <f>HYPERLINK(AA2 &amp; "/pliers/3dw_ba6753fe-bda7-4686-a6bf-17d4df47844f/rendering/02.obj", "1.15559669495")</f>
        <v>1.15559669495</v>
      </c>
      <c r="F2407" s="240" t="str">
        <f>HYPERLINK(AA2 &amp; "/pliers/3dw_ba6753fe-bda7-4686-a6bf-17d4df47844f/rendering/03.obj", "2.67136901855")</f>
        <v>2.67136901855</v>
      </c>
      <c r="G2407" s="144" t="str">
        <f>HYPERLINK(AA2 &amp; "/pliers/3dw_ba6753fe-bda7-4686-a6bf-17d4df47844f/rendering/04.obj", "0.802921295166")</f>
        <v>0.802921295166</v>
      </c>
      <c r="H2407" s="52" t="str">
        <f>HYPERLINK(AA2 &amp; "/pliers/3dw_ba6753fe-bda7-4686-a6bf-17d4df47844f/rendering/05.obj", "0.967202911377")</f>
        <v>0.967202911377</v>
      </c>
      <c r="I2407" s="226" t="str">
        <f>HYPERLINK(AA2 &amp; "/pliers/3dw_ba6753fe-bda7-4686-a6bf-17d4df47844f/rendering/06.obj", "0.704029693604")</f>
        <v>0.704029693604</v>
      </c>
      <c r="J2407" s="212" t="str">
        <f>HYPERLINK(AA2 &amp; "/pliers/3dw_ba6753fe-bda7-4686-a6bf-17d4df47844f/rendering/07.obj", "0.919116134644")</f>
        <v>0.919116134644</v>
      </c>
      <c r="K2407" s="160" t="str">
        <f>HYPERLINK(AA2 &amp; "/pliers/3dw_ba6753fe-bda7-4686-a6bf-17d4df47844f/rendering/08.obj", "0.762505264282")</f>
        <v>0.762505264282</v>
      </c>
      <c r="L2407" s="171" t="str">
        <f>HYPERLINK(AA2 &amp; "/pliers/3dw_ba6753fe-bda7-4686-a6bf-17d4df47844f/rendering/09.obj", "1.12320899963")</f>
        <v>1.12320899963</v>
      </c>
      <c r="M2407" s="20" t="str">
        <f>HYPERLINK(AA2 &amp; "/pliers/3dw_ba6753fe-bda7-4686-a6bf-17d4df47844f/rendering/10.obj", "7.19658569336")</f>
        <v>7.19658569336</v>
      </c>
      <c r="N2407" s="64" t="str">
        <f>HYPERLINK(AA2 &amp; "/pliers/3dw_ba6753fe-bda7-4686-a6bf-17d4df47844f/rendering/11.obj", "1.34913085937")</f>
        <v>1.34913085937</v>
      </c>
      <c r="O2407" s="181" t="str">
        <f>HYPERLINK(AA2 &amp; "/pliers/3dw_ba6753fe-bda7-4686-a6bf-17d4df47844f/rendering/12.obj", "0.900250701904")</f>
        <v>0.900250701904</v>
      </c>
      <c r="P2407" s="139" t="str">
        <f>HYPERLINK(AA2 &amp; "/pliers/3dw_ba6753fe-bda7-4686-a6bf-17d4df47844f/rendering/13.obj", "0.839966812134")</f>
        <v>0.839966812134</v>
      </c>
      <c r="Q2407" s="203" t="str">
        <f>HYPERLINK(AA2 &amp; "/pliers/3dw_ba6753fe-bda7-4686-a6bf-17d4df47844f/rendering/14.obj", "0.860607223511")</f>
        <v>0.860607223511</v>
      </c>
      <c r="R2407" s="102" t="str">
        <f>HYPERLINK(AA2 &amp; "/pliers/3dw_ba6753fe-bda7-4686-a6bf-17d4df47844f/rendering/15.obj", "0.810832061768")</f>
        <v>0.810832061768</v>
      </c>
      <c r="S2407" s="20" t="str">
        <f>HYPERLINK(AA2 &amp; "/pliers/3dw_ba6753fe-bda7-4686-a6bf-17d4df47844f/rendering/16.obj", "6.44689331055")</f>
        <v>6.44689331055</v>
      </c>
      <c r="T2407" s="114" t="str">
        <f>HYPERLINK(AA2 &amp; "/pliers/3dw_ba6753fe-bda7-4686-a6bf-17d4df47844f/rendering/17.obj", "0.874248504639")</f>
        <v>0.874248504639</v>
      </c>
      <c r="U2407" s="100" t="str">
        <f>HYPERLINK(AA2 &amp; "/pliers/3dw_ba6753fe-bda7-4686-a6bf-17d4df47844f/rendering/18.obj", "1.13044464111")</f>
        <v>1.13044464111</v>
      </c>
      <c r="V2407" s="70" t="str">
        <f>HYPERLINK(AA2 &amp; "/pliers/3dw_ba6753fe-bda7-4686-a6bf-17d4df47844f/rendering/19.obj", "1.41147186279")</f>
        <v>1.41147186279</v>
      </c>
      <c r="W2407" s="12" t="s">
        <v>29</v>
      </c>
      <c r="X2407" s="13">
        <v>1.6157617645263671</v>
      </c>
      <c r="Y2407" s="13">
        <v>1.7904243704728779</v>
      </c>
      <c r="Z2407" s="20">
        <v>1.1080992320657559</v>
      </c>
    </row>
    <row r="2408" spans="1:26" x14ac:dyDescent="0.2">
      <c r="A2408" s="1">
        <v>2406</v>
      </c>
      <c r="B2408" s="2" t="s">
        <v>514</v>
      </c>
      <c r="C2408" s="173" t="str">
        <f>HYPERLINK(AA2 &amp; "/pliers/3dw_ba6753fe-bda7-4686-a6bf-17d4df47844f/rendering/00.obj", "2.46569299698")</f>
        <v>2.46569299698</v>
      </c>
      <c r="D2408" s="188" t="str">
        <f>HYPERLINK(AA2 &amp; "/pliers/3dw_ba6753fe-bda7-4686-a6bf-17d4df47844f/rendering/01.obj", "2.25910615921")</f>
        <v>2.25910615921</v>
      </c>
      <c r="E2408" s="193" t="str">
        <f>HYPERLINK(AA2 &amp; "/pliers/3dw_ba6753fe-bda7-4686-a6bf-17d4df47844f/rendering/02.obj", "5.30678272247")</f>
        <v>5.30678272247</v>
      </c>
      <c r="F2408" s="56" t="str">
        <f>HYPERLINK(AA2 &amp; "/pliers/3dw_ba6753fe-bda7-4686-a6bf-17d4df47844f/rendering/03.obj", "10.4067325592")</f>
        <v>10.4067325592</v>
      </c>
      <c r="G2408" s="255" t="str">
        <f>HYPERLINK(AA2 &amp; "/pliers/3dw_ba6753fe-bda7-4686-a6bf-17d4df47844f/rendering/04.obj", "2.20893931389")</f>
        <v>2.20893931389</v>
      </c>
      <c r="H2408" s="251" t="str">
        <f>HYPERLINK(AA2 &amp; "/pliers/3dw_ba6753fe-bda7-4686-a6bf-17d4df47844f/rendering/05.obj", "3.26582860947")</f>
        <v>3.26582860947</v>
      </c>
      <c r="I2408" s="125" t="str">
        <f>HYPERLINK(AA2 &amp; "/pliers/3dw_ba6753fe-bda7-4686-a6bf-17d4df47844f/rendering/06.obj", "2.29136967659")</f>
        <v>2.29136967659</v>
      </c>
      <c r="J2408" s="233" t="str">
        <f>HYPERLINK(AA2 &amp; "/pliers/3dw_ba6753fe-bda7-4686-a6bf-17d4df47844f/rendering/07.obj", "2.36919903755")</f>
        <v>2.36919903755</v>
      </c>
      <c r="K2408" s="245" t="str">
        <f>HYPERLINK(AA2 &amp; "/pliers/3dw_ba6753fe-bda7-4686-a6bf-17d4df47844f/rendering/08.obj", "2.22026014328")</f>
        <v>2.22026014328</v>
      </c>
      <c r="L2408" s="105" t="str">
        <f>HYPERLINK(AA2 &amp; "/pliers/3dw_ba6753fe-bda7-4686-a6bf-17d4df47844f/rendering/09.obj", "3.86953949928")</f>
        <v>3.86953949928</v>
      </c>
      <c r="M2408" s="20" t="str">
        <f>HYPERLINK(AA2 &amp; "/pliers/3dw_ba6753fe-bda7-4686-a6bf-17d4df47844f/rendering/10.obj", "57.5112266541")</f>
        <v>57.5112266541</v>
      </c>
      <c r="N2408" s="124" t="str">
        <f>HYPERLINK(AA2 &amp; "/pliers/3dw_ba6753fe-bda7-4686-a6bf-17d4df47844f/rendering/11.obj", "4.91713380814")</f>
        <v>4.91713380814</v>
      </c>
      <c r="O2408" s="216" t="str">
        <f>HYPERLINK(AA2 &amp; "/pliers/3dw_ba6753fe-bda7-4686-a6bf-17d4df47844f/rendering/12.obj", "2.78466248512")</f>
        <v>2.78466248512</v>
      </c>
      <c r="P2408" s="229" t="str">
        <f>HYPERLINK(AA2 &amp; "/pliers/3dw_ba6753fe-bda7-4686-a6bf-17d4df47844f/rendering/13.obj", "2.51712870598")</f>
        <v>2.51712870598</v>
      </c>
      <c r="Q2408" s="224" t="str">
        <f>HYPERLINK(AA2 &amp; "/pliers/3dw_ba6753fe-bda7-4686-a6bf-17d4df47844f/rendering/14.obj", "2.33180594444")</f>
        <v>2.33180594444</v>
      </c>
      <c r="R2408" s="165" t="str">
        <f>HYPERLINK(AA2 &amp; "/pliers/3dw_ba6753fe-bda7-4686-a6bf-17d4df47844f/rendering/15.obj", "2.45008945465")</f>
        <v>2.45008945465</v>
      </c>
      <c r="S2408" s="20" t="str">
        <f>HYPERLINK(AA2 &amp; "/pliers/3dw_ba6753fe-bda7-4686-a6bf-17d4df47844f/rendering/16.obj", "39.299079895")</f>
        <v>39.299079895</v>
      </c>
      <c r="T2408" s="250" t="str">
        <f>HYPERLINK(AA2 &amp; "/pliers/3dw_ba6753fe-bda7-4686-a6bf-17d4df47844f/rendering/17.obj", "2.51241135597")</f>
        <v>2.51241135597</v>
      </c>
      <c r="U2408" s="246" t="str">
        <f>HYPERLINK(AA2 &amp; "/pliers/3dw_ba6753fe-bda7-4686-a6bf-17d4df47844f/rendering/18.obj", "3.1021091938")</f>
        <v>3.1021091938</v>
      </c>
      <c r="V2408" s="172" t="str">
        <f>HYPERLINK(AA2 &amp; "/pliers/3dw_ba6753fe-bda7-4686-a6bf-17d4df47844f/rendering/19.obj", "4.88964080811")</f>
        <v>4.88964080811</v>
      </c>
      <c r="W2408" s="12" t="s">
        <v>30</v>
      </c>
      <c r="X2408" s="13">
        <v>7.9489369511604311</v>
      </c>
      <c r="Y2408" s="13">
        <v>13.91358359675252</v>
      </c>
      <c r="Z2408" s="20">
        <v>1.7503703554626051</v>
      </c>
    </row>
    <row r="2409" spans="1:26" x14ac:dyDescent="0.2">
      <c r="A2409" s="1">
        <v>2407</v>
      </c>
      <c r="B2409" s="2" t="s">
        <v>514</v>
      </c>
      <c r="C2409" s="69" t="str">
        <f>HYPERLINK(AB2 &amp; "/pliers/3dw_ba6753fe-bda7-4686-a6bf-17d4df47844f/rendering/00.obj", "0.828240585327")</f>
        <v>0.828240585327</v>
      </c>
      <c r="D2409" s="60" t="str">
        <f>HYPERLINK(AB2 &amp; "/pliers/3dw_ba6753fe-bda7-4686-a6bf-17d4df47844f/rendering/01.obj", "0.897937316895")</f>
        <v>0.897937316895</v>
      </c>
      <c r="E2409" s="74" t="str">
        <f>HYPERLINK(AB2 &amp; "/pliers/3dw_ba6753fe-bda7-4686-a6bf-17d4df47844f/rendering/02.obj", "0.840204925537")</f>
        <v>0.840204925537</v>
      </c>
      <c r="F2409" s="48" t="str">
        <f>HYPERLINK(AB2 &amp; "/pliers/3dw_ba6753fe-bda7-4686-a6bf-17d4df47844f/rendering/03.obj", "0.833807907104")</f>
        <v>0.833807907104</v>
      </c>
      <c r="G2409" s="69" t="str">
        <f>HYPERLINK(AB2 &amp; "/pliers/3dw_ba6753fe-bda7-4686-a6bf-17d4df47844f/rendering/04.obj", "0.828597183228")</f>
        <v>0.828597183228</v>
      </c>
      <c r="H2409" s="13" t="str">
        <f>HYPERLINK(AB2 &amp; "/pliers/3dw_ba6753fe-bda7-4686-a6bf-17d4df47844f/rendering/05.obj", "0.851880950928")</f>
        <v>0.851880950928</v>
      </c>
      <c r="I2409" s="46" t="str">
        <f>HYPERLINK(AB2 &amp; "/pliers/3dw_ba6753fe-bda7-4686-a6bf-17d4df47844f/rendering/06.obj", "0.867312469482")</f>
        <v>0.867312469482</v>
      </c>
      <c r="J2409" s="117" t="str">
        <f>HYPERLINK(AB2 &amp; "/pliers/3dw_ba6753fe-bda7-4686-a6bf-17d4df47844f/rendering/07.obj", "0.700995788574")</f>
        <v>0.700995788574</v>
      </c>
      <c r="K2409" s="38" t="str">
        <f>HYPERLINK(AB2 &amp; "/pliers/3dw_ba6753fe-bda7-4686-a6bf-17d4df47844f/rendering/08.obj", "0.928634490967")</f>
        <v>0.928634490967</v>
      </c>
      <c r="L2409" s="84" t="str">
        <f>HYPERLINK(AB2 &amp; "/pliers/3dw_ba6753fe-bda7-4686-a6bf-17d4df47844f/rendering/09.obj", "0.729656982422")</f>
        <v>0.729656982422</v>
      </c>
      <c r="M2409" s="71" t="str">
        <f>HYPERLINK(AB2 &amp; "/pliers/3dw_ba6753fe-bda7-4686-a6bf-17d4df47844f/rendering/10.obj", "0.953650665283")</f>
        <v>0.953650665283</v>
      </c>
      <c r="N2409" s="46" t="str">
        <f>HYPERLINK(AB2 &amp; "/pliers/3dw_ba6753fe-bda7-4686-a6bf-17d4df47844f/rendering/11.obj", "0.869462966919")</f>
        <v>0.869462966919</v>
      </c>
      <c r="O2409" s="91" t="str">
        <f>HYPERLINK(AB2 &amp; "/pliers/3dw_ba6753fe-bda7-4686-a6bf-17d4df47844f/rendering/12.obj", "0.829936294556")</f>
        <v>0.829936294556</v>
      </c>
      <c r="P2409" s="47" t="str">
        <f>HYPERLINK(AB2 &amp; "/pliers/3dw_ba6753fe-bda7-4686-a6bf-17d4df47844f/rendering/13.obj", "0.860964126587")</f>
        <v>0.860964126587</v>
      </c>
      <c r="Q2409" s="69" t="str">
        <f>HYPERLINK(AB2 &amp; "/pliers/3dw_ba6753fe-bda7-4686-a6bf-17d4df47844f/rendering/14.obj", "0.879052963257")</f>
        <v>0.879052963257</v>
      </c>
      <c r="R2409" s="91" t="str">
        <f>HYPERLINK(AB2 &amp; "/pliers/3dw_ba6753fe-bda7-4686-a6bf-17d4df47844f/rendering/15.obj", "0.830195159912")</f>
        <v>0.830195159912</v>
      </c>
      <c r="S2409" s="66" t="str">
        <f>HYPERLINK(AB2 &amp; "/pliers/3dw_ba6753fe-bda7-4686-a6bf-17d4df47844f/rendering/16.obj", "0.990219650269")</f>
        <v>0.990219650269</v>
      </c>
      <c r="T2409" s="106" t="str">
        <f>HYPERLINK(AB2 &amp; "/pliers/3dw_ba6753fe-bda7-4686-a6bf-17d4df47844f/rendering/17.obj", "0.754602432251")</f>
        <v>0.754602432251</v>
      </c>
      <c r="U2409" s="6" t="str">
        <f>HYPERLINK(AB2 &amp; "/pliers/3dw_ba6753fe-bda7-4686-a6bf-17d4df47844f/rendering/18.obj", "0.892865905762")</f>
        <v>0.892865905762</v>
      </c>
      <c r="V2409" s="10" t="str">
        <f>HYPERLINK(AB2 &amp; "/pliers/3dw_ba6753fe-bda7-4686-a6bf-17d4df47844f/rendering/19.obj", "0.901592178345")</f>
        <v>0.901592178345</v>
      </c>
      <c r="W2409" s="12" t="s">
        <v>31</v>
      </c>
      <c r="X2409" s="13">
        <v>0.85349054718017592</v>
      </c>
      <c r="Y2409" s="13">
        <v>6.8065465127440314E-2</v>
      </c>
      <c r="Z2409" s="51">
        <v>7.9749524294463414E-2</v>
      </c>
    </row>
    <row r="2410" spans="1:26" x14ac:dyDescent="0.2">
      <c r="A2410" s="1">
        <v>2408</v>
      </c>
      <c r="B2410" s="2" t="s">
        <v>514</v>
      </c>
      <c r="C2410" s="34" t="str">
        <f>HYPERLINK(AB2 &amp; "/pliers/3dw_ba6753fe-bda7-4686-a6bf-17d4df47844f/rendering/00.obj", "2.31183552742")</f>
        <v>2.31183552742</v>
      </c>
      <c r="D2410" s="13" t="str">
        <f>HYPERLINK(AB2 &amp; "/pliers/3dw_ba6753fe-bda7-4686-a6bf-17d4df47844f/rendering/01.obj", "2.4319088459")</f>
        <v>2.4319088459</v>
      </c>
      <c r="E2410" s="10" t="str">
        <f>HYPERLINK(AB2 &amp; "/pliers/3dw_ba6753fe-bda7-4686-a6bf-17d4df47844f/rendering/02.obj", "2.29623174667")</f>
        <v>2.29623174667</v>
      </c>
      <c r="F2410" s="47" t="str">
        <f>HYPERLINK(AB2 &amp; "/pliers/3dw_ba6753fe-bda7-4686-a6bf-17d4df47844f/rendering/03.obj", "2.41056323051")</f>
        <v>2.41056323051</v>
      </c>
      <c r="G2410" s="10" t="str">
        <f>HYPERLINK(AB2 &amp; "/pliers/3dw_ba6753fe-bda7-4686-a6bf-17d4df47844f/rendering/04.obj", "2.29290747643")</f>
        <v>2.29290747643</v>
      </c>
      <c r="H2410" s="94" t="str">
        <f>HYPERLINK(AB2 &amp; "/pliers/3dw_ba6753fe-bda7-4686-a6bf-17d4df47844f/rendering/05.obj", "2.2492184639")</f>
        <v>2.2492184639</v>
      </c>
      <c r="I2410" s="74" t="str">
        <f>HYPERLINK(AB2 &amp; "/pliers/3dw_ba6753fe-bda7-4686-a6bf-17d4df47844f/rendering/06.obj", "2.39442396164")</f>
        <v>2.39442396164</v>
      </c>
      <c r="J2410" s="67" t="str">
        <f>HYPERLINK(AB2 &amp; "/pliers/3dw_ba6753fe-bda7-4686-a6bf-17d4df47844f/rendering/07.obj", "2.20188117027")</f>
        <v>2.20188117027</v>
      </c>
      <c r="K2410" s="41" t="str">
        <f>HYPERLINK(AB2 &amp; "/pliers/3dw_ba6753fe-bda7-4686-a6bf-17d4df47844f/rendering/08.obj", "2.26187419891")</f>
        <v>2.26187419891</v>
      </c>
      <c r="L2410" s="28" t="str">
        <f>HYPERLINK(AB2 &amp; "/pliers/3dw_ba6753fe-bda7-4686-a6bf-17d4df47844f/rendering/09.obj", "2.15839624405")</f>
        <v>2.15839624405</v>
      </c>
      <c r="M2410" s="168" t="str">
        <f>HYPERLINK(AB2 &amp; "/pliers/3dw_ba6753fe-bda7-4686-a6bf-17d4df47844f/rendering/10.obj", "3.20681619644")</f>
        <v>3.20681619644</v>
      </c>
      <c r="N2410" s="10" t="str">
        <f>HYPERLINK(AB2 &amp; "/pliers/3dw_ba6753fe-bda7-4686-a6bf-17d4df47844f/rendering/11.obj", "2.29368519783")</f>
        <v>2.29368519783</v>
      </c>
      <c r="O2410" s="26" t="str">
        <f>HYPERLINK(AB2 &amp; "/pliers/3dw_ba6753fe-bda7-4686-a6bf-17d4df47844f/rendering/12.obj", "2.27243494987")</f>
        <v>2.27243494987</v>
      </c>
      <c r="P2410" s="26" t="str">
        <f>HYPERLINK(AB2 &amp; "/pliers/3dw_ba6753fe-bda7-4686-a6bf-17d4df47844f/rendering/13.obj", "2.26746106148")</f>
        <v>2.26746106148</v>
      </c>
      <c r="Q2410" s="30" t="str">
        <f>HYPERLINK(AB2 &amp; "/pliers/3dw_ba6753fe-bda7-4686-a6bf-17d4df47844f/rendering/14.obj", "2.43697571754")</f>
        <v>2.43697571754</v>
      </c>
      <c r="R2410" s="27" t="str">
        <f>HYPERLINK(AB2 &amp; "/pliers/3dw_ba6753fe-bda7-4686-a6bf-17d4df47844f/rendering/15.obj", "2.2567782402")</f>
        <v>2.2567782402</v>
      </c>
      <c r="S2410" s="230" t="str">
        <f>HYPERLINK(AB2 &amp; "/pliers/3dw_ba6753fe-bda7-4686-a6bf-17d4df47844f/rendering/16.obj", "3.53827786446")</f>
        <v>3.53827786446</v>
      </c>
      <c r="T2410" s="51" t="str">
        <f>HYPERLINK(AB2 &amp; "/pliers/3dw_ba6753fe-bda7-4686-a6bf-17d4df47844f/rendering/17.obj", "2.23394966125")</f>
        <v>2.23394966125</v>
      </c>
      <c r="U2410" s="34" t="str">
        <f>HYPERLINK(AB2 &amp; "/pliers/3dw_ba6753fe-bda7-4686-a6bf-17d4df47844f/rendering/18.obj", "2.54289698601")</f>
        <v>2.54289698601</v>
      </c>
      <c r="V2410" s="48" t="str">
        <f>HYPERLINK(AB2 &amp; "/pliers/3dw_ba6753fe-bda7-4686-a6bf-17d4df47844f/rendering/19.obj", "2.48245191574")</f>
        <v>2.48245191574</v>
      </c>
      <c r="W2410" s="12" t="s">
        <v>32</v>
      </c>
      <c r="X2410" s="13">
        <v>2.4270484328269961</v>
      </c>
      <c r="Y2410" s="13">
        <v>0.33349788309836847</v>
      </c>
      <c r="Z2410" s="42">
        <v>0.13740882900713861</v>
      </c>
    </row>
    <row r="2411" spans="1:26" x14ac:dyDescent="0.2">
      <c r="A2411" s="1">
        <v>2409</v>
      </c>
      <c r="B2411" s="2" t="s">
        <v>514</v>
      </c>
      <c r="C2411" s="13" t="str">
        <f>HYPERLINK(AC2 &amp; "/pliers/3dw_ba6753fe-bda7-4686-a6bf-17d4df47844f/rendering/00.xyz", "0.0")</f>
        <v>0.0</v>
      </c>
      <c r="D2411" s="13" t="str">
        <f>HYPERLINK(AC2 &amp; "/pliers/3dw_ba6753fe-bda7-4686-a6bf-17d4df47844f/rendering/01.xyz", "0.0")</f>
        <v>0.0</v>
      </c>
      <c r="E2411" s="13" t="str">
        <f>HYPERLINK(AC2 &amp; "/pliers/3dw_ba6753fe-bda7-4686-a6bf-17d4df47844f/rendering/02.xyz", "0.0")</f>
        <v>0.0</v>
      </c>
      <c r="F2411" s="13" t="str">
        <f>HYPERLINK(AC2 &amp; "/pliers/3dw_ba6753fe-bda7-4686-a6bf-17d4df47844f/rendering/03.xyz", "0.0")</f>
        <v>0.0</v>
      </c>
      <c r="G2411" s="13" t="str">
        <f>HYPERLINK(AC2 &amp; "/pliers/3dw_ba6753fe-bda7-4686-a6bf-17d4df47844f/rendering/04.xyz", "0.0")</f>
        <v>0.0</v>
      </c>
      <c r="H2411" s="13" t="str">
        <f>HYPERLINK(AC2 &amp; "/pliers/3dw_ba6753fe-bda7-4686-a6bf-17d4df47844f/rendering/05.xyz", "0.0")</f>
        <v>0.0</v>
      </c>
      <c r="I2411" s="13" t="str">
        <f>HYPERLINK(AC2 &amp; "/pliers/3dw_ba6753fe-bda7-4686-a6bf-17d4df47844f/rendering/06.xyz", "0.0")</f>
        <v>0.0</v>
      </c>
      <c r="J2411" s="13" t="str">
        <f>HYPERLINK(AC2 &amp; "/pliers/3dw_ba6753fe-bda7-4686-a6bf-17d4df47844f/rendering/07.xyz", "0.0")</f>
        <v>0.0</v>
      </c>
      <c r="K2411" s="13" t="str">
        <f>HYPERLINK(AC2 &amp; "/pliers/3dw_ba6753fe-bda7-4686-a6bf-17d4df47844f/rendering/08.xyz", "0.0")</f>
        <v>0.0</v>
      </c>
      <c r="L2411" s="13" t="str">
        <f>HYPERLINK(AC2 &amp; "/pliers/3dw_ba6753fe-bda7-4686-a6bf-17d4df47844f/rendering/09.xyz", "0.0")</f>
        <v>0.0</v>
      </c>
      <c r="M2411" s="13" t="str">
        <f>HYPERLINK(AC2 &amp; "/pliers/3dw_ba6753fe-bda7-4686-a6bf-17d4df47844f/rendering/10.xyz", "0.0")</f>
        <v>0.0</v>
      </c>
      <c r="N2411" s="13" t="str">
        <f>HYPERLINK(AC2 &amp; "/pliers/3dw_ba6753fe-bda7-4686-a6bf-17d4df47844f/rendering/11.xyz", "0.0")</f>
        <v>0.0</v>
      </c>
      <c r="O2411" s="13" t="str">
        <f>HYPERLINK(AC2 &amp; "/pliers/3dw_ba6753fe-bda7-4686-a6bf-17d4df47844f/rendering/12.xyz", "0.0")</f>
        <v>0.0</v>
      </c>
      <c r="P2411" s="13" t="str">
        <f>HYPERLINK(AC2 &amp; "/pliers/3dw_ba6753fe-bda7-4686-a6bf-17d4df47844f/rendering/13.xyz", "0.0")</f>
        <v>0.0</v>
      </c>
      <c r="Q2411" s="13" t="str">
        <f>HYPERLINK(AC2 &amp; "/pliers/3dw_ba6753fe-bda7-4686-a6bf-17d4df47844f/rendering/14.xyz", "0.0")</f>
        <v>0.0</v>
      </c>
      <c r="R2411" s="13" t="str">
        <f>HYPERLINK(AC2 &amp; "/pliers/3dw_ba6753fe-bda7-4686-a6bf-17d4df47844f/rendering/15.xyz", "0.0")</f>
        <v>0.0</v>
      </c>
      <c r="S2411" s="13" t="str">
        <f>HYPERLINK(AC2 &amp; "/pliers/3dw_ba6753fe-bda7-4686-a6bf-17d4df47844f/rendering/16.xyz", "0.0")</f>
        <v>0.0</v>
      </c>
      <c r="T2411" s="13" t="str">
        <f>HYPERLINK(AC2 &amp; "/pliers/3dw_ba6753fe-bda7-4686-a6bf-17d4df47844f/rendering/17.xyz", "0.0")</f>
        <v>0.0</v>
      </c>
      <c r="U2411" s="13" t="str">
        <f>HYPERLINK(AC2 &amp; "/pliers/3dw_ba6753fe-bda7-4686-a6bf-17d4df47844f/rendering/18.xyz", "0.0")</f>
        <v>0.0</v>
      </c>
      <c r="V2411" s="13" t="str">
        <f>HYPERLINK(AC2 &amp; "/pliers/3dw_ba6753fe-bda7-4686-a6bf-17d4df47844f/rendering/19.xyz", "0.0")</f>
        <v>0.0</v>
      </c>
      <c r="W2411" s="12" t="s">
        <v>33</v>
      </c>
      <c r="X2411" s="13">
        <v>0</v>
      </c>
      <c r="Y2411" s="13">
        <v>0</v>
      </c>
      <c r="Z2411" s="13">
        <v>0</v>
      </c>
    </row>
    <row r="2412" spans="1:26" x14ac:dyDescent="0.2">
      <c r="A2412" s="1">
        <v>2410</v>
      </c>
      <c r="B2412" s="2" t="s">
        <v>515</v>
      </c>
      <c r="C2412" s="79" t="str">
        <f>HYPERLINK(AA2 &amp; "/pliers/3dw_c6a47cfa-d90f-4959-93e8-83d32b9c590b/rendering/00.obj", "1.12380447388")</f>
        <v>1.12380447388</v>
      </c>
      <c r="D2412" s="99" t="str">
        <f>HYPERLINK(AA2 &amp; "/pliers/3dw_c6a47cfa-d90f-4959-93e8-83d32b9c590b/rendering/01.obj", "0.971691360474")</f>
        <v>0.971691360474</v>
      </c>
      <c r="E2412" s="74" t="str">
        <f>HYPERLINK(AA2 &amp; "/pliers/3dw_c6a47cfa-d90f-4959-93e8-83d32b9c590b/rendering/02.obj", "1.35454925537")</f>
        <v>1.35454925537</v>
      </c>
      <c r="F2412" s="11" t="str">
        <f>HYPERLINK(AA2 &amp; "/pliers/3dw_c6a47cfa-d90f-4959-93e8-83d32b9c590b/rendering/03.obj", "1.03415214539")</f>
        <v>1.03415214539</v>
      </c>
      <c r="G2412" s="213" t="str">
        <f>HYPERLINK(AA2 &amp; "/pliers/3dw_c6a47cfa-d90f-4959-93e8-83d32b9c590b/rendering/04.obj", "1.99301620483")</f>
        <v>1.99301620483</v>
      </c>
      <c r="H2412" s="129" t="str">
        <f>HYPERLINK(AA2 &amp; "/pliers/3dw_c6a47cfa-d90f-4959-93e8-83d32b9c590b/rendering/05.obj", "0.999225616455")</f>
        <v>0.999225616455</v>
      </c>
      <c r="I2412" s="20" t="str">
        <f>HYPERLINK(AA2 &amp; "/pliers/3dw_c6a47cfa-d90f-4959-93e8-83d32b9c590b/rendering/06.obj", "3.65035552979")</f>
        <v>3.65035552979</v>
      </c>
      <c r="J2412" s="162" t="str">
        <f>HYPERLINK(AA2 &amp; "/pliers/3dw_c6a47cfa-d90f-4959-93e8-83d32b9c590b/rendering/07.obj", "1.90220977783")</f>
        <v>1.90220977783</v>
      </c>
      <c r="K2412" s="74" t="str">
        <f>HYPERLINK(AA2 &amp; "/pliers/3dw_c6a47cfa-d90f-4959-93e8-83d32b9c590b/rendering/08.obj", "1.35386535645")</f>
        <v>1.35386535645</v>
      </c>
      <c r="L2412" s="176" t="str">
        <f>HYPERLINK(AA2 &amp; "/pliers/3dw_c6a47cfa-d90f-4959-93e8-83d32b9c590b/rendering/09.obj", "0.907042617798")</f>
        <v>0.907042617798</v>
      </c>
      <c r="M2412" s="106" t="str">
        <f>HYPERLINK(AA2 &amp; "/pliers/3dw_c6a47cfa-d90f-4959-93e8-83d32b9c590b/rendering/10.obj", "1.18180328369")</f>
        <v>1.18180328369</v>
      </c>
      <c r="N2412" s="25" t="str">
        <f>HYPERLINK(AA2 &amp; "/pliers/3dw_c6a47cfa-d90f-4959-93e8-83d32b9c590b/rendering/11.obj", "1.34788909912")</f>
        <v>1.34788909912</v>
      </c>
      <c r="O2412" s="89" t="str">
        <f>HYPERLINK(AA2 &amp; "/pliers/3dw_c6a47cfa-d90f-4959-93e8-83d32b9c590b/rendering/12.obj", "0.988181762695")</f>
        <v>0.988181762695</v>
      </c>
      <c r="P2412" s="121" t="str">
        <f>HYPERLINK(AA2 &amp; "/pliers/3dw_c6a47cfa-d90f-4959-93e8-83d32b9c590b/rendering/13.obj", "0.862708129883")</f>
        <v>0.862708129883</v>
      </c>
      <c r="Q2412" s="182" t="str">
        <f>HYPERLINK(AA2 &amp; "/pliers/3dw_c6a47cfa-d90f-4959-93e8-83d32b9c590b/rendering/14.obj", "0.886412963867")</f>
        <v>0.886412963867</v>
      </c>
      <c r="R2412" s="77" t="str">
        <f>HYPERLINK(AA2 &amp; "/pliers/3dw_c6a47cfa-d90f-4959-93e8-83d32b9c590b/rendering/15.obj", "1.08523452759")</f>
        <v>1.08523452759</v>
      </c>
      <c r="S2412" s="65" t="str">
        <f>HYPERLINK(AA2 &amp; "/pliers/3dw_c6a47cfa-d90f-4959-93e8-83d32b9c590b/rendering/16.obj", "1.15477134705")</f>
        <v>1.15477134705</v>
      </c>
      <c r="T2412" s="75" t="str">
        <f>HYPERLINK(AA2 &amp; "/pliers/3dw_c6a47cfa-d90f-4959-93e8-83d32b9c590b/rendering/17.obj", "1.62670059204")</f>
        <v>1.62670059204</v>
      </c>
      <c r="U2412" s="135" t="str">
        <f>HYPERLINK(AA2 &amp; "/pliers/3dw_c6a47cfa-d90f-4959-93e8-83d32b9c590b/rendering/18.obj", "0.991292572021")</f>
        <v>0.991292572021</v>
      </c>
      <c r="V2412" s="10" t="str">
        <f>HYPERLINK(AA2 &amp; "/pliers/3dw_c6a47cfa-d90f-4959-93e8-83d32b9c590b/rendering/19.obj", "1.26073066711")</f>
        <v>1.26073066711</v>
      </c>
      <c r="W2412" s="12" t="s">
        <v>29</v>
      </c>
      <c r="X2412" s="13">
        <v>1.33378186416626</v>
      </c>
      <c r="Y2412" s="13">
        <v>0.61445517770153713</v>
      </c>
      <c r="Z2412" s="114">
        <v>0.46068640923201482</v>
      </c>
    </row>
    <row r="2413" spans="1:26" x14ac:dyDescent="0.2">
      <c r="A2413" s="1">
        <v>2411</v>
      </c>
      <c r="B2413" s="2" t="s">
        <v>515</v>
      </c>
      <c r="C2413" s="39" t="str">
        <f>HYPERLINK(AA2 &amp; "/pliers/3dw_c6a47cfa-d90f-4959-93e8-83d32b9c590b/rendering/00.obj", "2.14154863358")</f>
        <v>2.14154863358</v>
      </c>
      <c r="D2413" s="81" t="str">
        <f>HYPERLINK(AA2 &amp; "/pliers/3dw_c6a47cfa-d90f-4959-93e8-83d32b9c590b/rendering/01.obj", "1.83316230774")</f>
        <v>1.83316230774</v>
      </c>
      <c r="E2413" s="72" t="str">
        <f>HYPERLINK(AA2 &amp; "/pliers/3dw_c6a47cfa-d90f-4959-93e8-83d32b9c590b/rendering/02.obj", "2.42274475098")</f>
        <v>2.42274475098</v>
      </c>
      <c r="F2413" s="11" t="str">
        <f>HYPERLINK(AA2 &amp; "/pliers/3dw_c6a47cfa-d90f-4959-93e8-83d32b9c590b/rendering/03.obj", "1.81797385216")</f>
        <v>1.81797385216</v>
      </c>
      <c r="G2413" s="176" t="str">
        <f>HYPERLINK(AA2 &amp; "/pliers/3dw_c6a47cfa-d90f-4959-93e8-83d32b9c590b/rendering/04.obj", "3.0958006382")</f>
        <v>3.0958006382</v>
      </c>
      <c r="H2413" s="134" t="str">
        <f>HYPERLINK(AA2 &amp; "/pliers/3dw_c6a47cfa-d90f-4959-93e8-83d32b9c590b/rendering/05.obj", "1.92670869827")</f>
        <v>1.92670869827</v>
      </c>
      <c r="I2413" s="20" t="str">
        <f>HYPERLINK(AA2 &amp; "/pliers/3dw_c6a47cfa-d90f-4959-93e8-83d32b9c590b/rendering/06.obj", "5.2708106041")</f>
        <v>5.2708106041</v>
      </c>
      <c r="J2413" s="55" t="str">
        <f>HYPERLINK(AA2 &amp; "/pliers/3dw_c6a47cfa-d90f-4959-93e8-83d32b9c590b/rendering/07.obj", "2.79767775536")</f>
        <v>2.79767775536</v>
      </c>
      <c r="K2413" s="70" t="str">
        <f>HYPERLINK(AA2 &amp; "/pliers/3dw_c6a47cfa-d90f-4959-93e8-83d32b9c590b/rendering/08.obj", "2.64609885216")</f>
        <v>2.64609885216</v>
      </c>
      <c r="L2413" s="170" t="str">
        <f>HYPERLINK(AA2 &amp; "/pliers/3dw_c6a47cfa-d90f-4959-93e8-83d32b9c590b/rendering/09.obj", "1.75277853012")</f>
        <v>1.75277853012</v>
      </c>
      <c r="M2413" s="72" t="str">
        <f>HYPERLINK(AA2 &amp; "/pliers/3dw_c6a47cfa-d90f-4959-93e8-83d32b9c590b/rendering/10.obj", "2.42571854591")</f>
        <v>2.42571854591</v>
      </c>
      <c r="N2413" s="50" t="str">
        <f>HYPERLINK(AA2 &amp; "/pliers/3dw_c6a47cfa-d90f-4959-93e8-83d32b9c590b/rendering/11.obj", "2.81154179573")</f>
        <v>2.81154179573</v>
      </c>
      <c r="O2413" s="55" t="str">
        <f>HYPERLINK(AA2 &amp; "/pliers/3dw_c6a47cfa-d90f-4959-93e8-83d32b9c590b/rendering/12.obj", "1.89070641994")</f>
        <v>1.89070641994</v>
      </c>
      <c r="P2413" s="103" t="str">
        <f>HYPERLINK(AA2 &amp; "/pliers/3dw_c6a47cfa-d90f-4959-93e8-83d32b9c590b/rendering/13.obj", "1.58785712719")</f>
        <v>1.58785712719</v>
      </c>
      <c r="Q2413" s="89" t="str">
        <f>HYPERLINK(AA2 &amp; "/pliers/3dw_c6a47cfa-d90f-4959-93e8-83d32b9c590b/rendering/14.obj", "1.74194228649")</f>
        <v>1.74194228649</v>
      </c>
      <c r="R2413" s="67" t="str">
        <f>HYPERLINK(AA2 &amp; "/pliers/3dw_c6a47cfa-d90f-4959-93e8-83d32b9c590b/rendering/15.obj", "2.13019180298")</f>
        <v>2.13019180298</v>
      </c>
      <c r="S2413" s="94" t="str">
        <f>HYPERLINK(AA2 &amp; "/pliers/3dw_c6a47cfa-d90f-4959-93e8-83d32b9c590b/rendering/16.obj", "2.17658996582")</f>
        <v>2.17658996582</v>
      </c>
      <c r="T2413" s="60" t="str">
        <f>HYPERLINK(AA2 &amp; "/pliers/3dw_c6a47cfa-d90f-4959-93e8-83d32b9c590b/rendering/17.obj", "2.47241139412")</f>
        <v>2.47241139412</v>
      </c>
      <c r="U2413" s="135" t="str">
        <f>HYPERLINK(AA2 &amp; "/pliers/3dw_c6a47cfa-d90f-4959-93e8-83d32b9c590b/rendering/18.obj", "1.74743378162")</f>
        <v>1.74743378162</v>
      </c>
      <c r="V2413" s="23" t="str">
        <f>HYPERLINK(AA2 &amp; "/pliers/3dw_c6a47cfa-d90f-4959-93e8-83d32b9c590b/rendering/19.obj", "2.25578093529")</f>
        <v>2.25578093529</v>
      </c>
      <c r="W2413" s="12" t="s">
        <v>30</v>
      </c>
      <c r="X2413" s="13">
        <v>2.347273933887482</v>
      </c>
      <c r="Y2413" s="13">
        <v>0.78599285710895128</v>
      </c>
      <c r="Z2413" s="182">
        <v>0.3348534850413537</v>
      </c>
    </row>
    <row r="2414" spans="1:26" x14ac:dyDescent="0.2">
      <c r="A2414" s="1">
        <v>2412</v>
      </c>
      <c r="B2414" s="2" t="s">
        <v>515</v>
      </c>
      <c r="C2414" s="39" t="str">
        <f>HYPERLINK(AB2 &amp; "/pliers/3dw_c6a47cfa-d90f-4959-93e8-83d32b9c590b/rendering/00.obj", "1.18301925659")</f>
        <v>1.18301925659</v>
      </c>
      <c r="D2414" s="42" t="str">
        <f>HYPERLINK(AB2 &amp; "/pliers/3dw_c6a47cfa-d90f-4959-93e8-83d32b9c590b/rendering/01.obj", "0.940855865479")</f>
        <v>0.940855865479</v>
      </c>
      <c r="E2414" s="13" t="str">
        <f>HYPERLINK(AB2 &amp; "/pliers/3dw_c6a47cfa-d90f-4959-93e8-83d32b9c590b/rendering/02.obj", "1.0877482605")</f>
        <v>1.0877482605</v>
      </c>
      <c r="F2414" s="47" t="str">
        <f>HYPERLINK(AB2 &amp; "/pliers/3dw_c6a47cfa-d90f-4959-93e8-83d32b9c590b/rendering/03.obj", "1.08217597961")</f>
        <v>1.08217597961</v>
      </c>
      <c r="G2414" s="198" t="str">
        <f>HYPERLINK(AB2 &amp; "/pliers/3dw_c6a47cfa-d90f-4959-93e8-83d32b9c590b/rendering/04.obj", "1.51144256592")</f>
        <v>1.51144256592</v>
      </c>
      <c r="H2414" s="28" t="str">
        <f>HYPERLINK(AB2 &amp; "/pliers/3dw_c6a47cfa-d90f-4959-93e8-83d32b9c590b/rendering/05.obj", "1.21315948486")</f>
        <v>1.21315948486</v>
      </c>
      <c r="I2414" s="23" t="str">
        <f>HYPERLINK(AB2 &amp; "/pliers/3dw_c6a47cfa-d90f-4959-93e8-83d32b9c590b/rendering/06.obj", "1.13333854675")</f>
        <v>1.13333854675</v>
      </c>
      <c r="J2414" s="60" t="str">
        <f>HYPERLINK(AB2 &amp; "/pliers/3dw_c6a47cfa-d90f-4959-93e8-83d32b9c590b/rendering/07.obj", "1.14608901978")</f>
        <v>1.14608901978</v>
      </c>
      <c r="K2414" s="26" t="str">
        <f>HYPERLINK(AB2 &amp; "/pliers/3dw_c6a47cfa-d90f-4959-93e8-83d32b9c590b/rendering/08.obj", "1.15891799927")</f>
        <v>1.15891799927</v>
      </c>
      <c r="L2414" s="48" t="str">
        <f>HYPERLINK(AB2 &amp; "/pliers/3dw_c6a47cfa-d90f-4959-93e8-83d32b9c590b/rendering/09.obj", "1.06321212769")</f>
        <v>1.06321212769</v>
      </c>
      <c r="M2414" s="47" t="str">
        <f>HYPERLINK(AB2 &amp; "/pliers/3dw_c6a47cfa-d90f-4959-93e8-83d32b9c590b/rendering/10.obj", "1.08268325806")</f>
        <v>1.08268325806</v>
      </c>
      <c r="N2414" s="77" t="str">
        <f>HYPERLINK(AB2 &amp; "/pliers/3dw_c6a47cfa-d90f-4959-93e8-83d32b9c590b/rendering/11.obj", "0.886841506958")</f>
        <v>0.886841506958</v>
      </c>
      <c r="O2414" s="66" t="str">
        <f>HYPERLINK(AB2 &amp; "/pliers/3dw_c6a47cfa-d90f-4959-93e8-83d32b9c590b/rendering/12.obj", "0.912692718506")</f>
        <v>0.912692718506</v>
      </c>
      <c r="P2414" s="74" t="str">
        <f>HYPERLINK(AB2 &amp; "/pliers/3dw_c6a47cfa-d90f-4959-93e8-83d32b9c590b/rendering/13.obj", "1.10631370544")</f>
        <v>1.10631370544</v>
      </c>
      <c r="Q2414" s="107" t="str">
        <f>HYPERLINK(AB2 &amp; "/pliers/3dw_c6a47cfa-d90f-4959-93e8-83d32b9c590b/rendering/14.obj", "0.99983757019")</f>
        <v>0.99983757019</v>
      </c>
      <c r="R2414" s="47" t="str">
        <f>HYPERLINK(AB2 &amp; "/pliers/3dw_c6a47cfa-d90f-4959-93e8-83d32b9c590b/rendering/15.obj", "1.09983596802")</f>
        <v>1.09983596802</v>
      </c>
      <c r="S2414" s="26" t="str">
        <f>HYPERLINK(AB2 &amp; "/pliers/3dw_c6a47cfa-d90f-4959-93e8-83d32b9c590b/rendering/16.obj", "1.01976051331")</f>
        <v>1.01976051331</v>
      </c>
      <c r="T2414" s="94" t="str">
        <f>HYPERLINK(AB2 &amp; "/pliers/3dw_c6a47cfa-d90f-4959-93e8-83d32b9c590b/rendering/17.obj", "1.16983360291")</f>
        <v>1.16983360291</v>
      </c>
      <c r="U2414" s="34" t="str">
        <f>HYPERLINK(AB2 &amp; "/pliers/3dw_c6a47cfa-d90f-4959-93e8-83d32b9c590b/rendering/18.obj", "1.03610870361")</f>
        <v>1.03610870361</v>
      </c>
      <c r="V2414" s="28" t="str">
        <f>HYPERLINK(AB2 &amp; "/pliers/3dw_c6a47cfa-d90f-4959-93e8-83d32b9c590b/rendering/19.obj", "0.968637542725")</f>
        <v>0.968637542725</v>
      </c>
      <c r="W2414" s="12" t="s">
        <v>31</v>
      </c>
      <c r="X2414" s="13">
        <v>1.09012520980835</v>
      </c>
      <c r="Y2414" s="13">
        <v>0.13123131204107519</v>
      </c>
      <c r="Z2414" s="63">
        <v>0.12038187068818131</v>
      </c>
    </row>
    <row r="2415" spans="1:26" x14ac:dyDescent="0.2">
      <c r="A2415" s="1">
        <v>2413</v>
      </c>
      <c r="B2415" s="2" t="s">
        <v>515</v>
      </c>
      <c r="C2415" s="34" t="str">
        <f>HYPERLINK(AB2 &amp; "/pliers/3dw_c6a47cfa-d90f-4959-93e8-83d32b9c590b/rendering/00.obj", "1.70112740993")</f>
        <v>1.70112740993</v>
      </c>
      <c r="D2415" s="26" t="str">
        <f>HYPERLINK(AB2 &amp; "/pliers/3dw_c6a47cfa-d90f-4959-93e8-83d32b9c590b/rendering/01.obj", "1.6751948595")</f>
        <v>1.6751948595</v>
      </c>
      <c r="E2415" s="6" t="str">
        <f>HYPERLINK(AB2 &amp; "/pliers/3dw_c6a47cfa-d90f-4959-93e8-83d32b9c590b/rendering/02.obj", "1.70880103111")</f>
        <v>1.70880103111</v>
      </c>
      <c r="F2415" s="73" t="str">
        <f>HYPERLINK(AB2 &amp; "/pliers/3dw_c6a47cfa-d90f-4959-93e8-83d32b9c590b/rendering/03.obj", "1.7273952961")</f>
        <v>1.7273952961</v>
      </c>
      <c r="G2415" s="175" t="str">
        <f>HYPERLINK(AB2 &amp; "/pliers/3dw_c6a47cfa-d90f-4959-93e8-83d32b9c590b/rendering/04.obj", "2.20942378044")</f>
        <v>2.20942378044</v>
      </c>
      <c r="H2415" s="27" t="str">
        <f>HYPERLINK(AB2 &amp; "/pliers/3dw_c6a47cfa-d90f-4959-93e8-83d32b9c590b/rendering/05.obj", "1.91567599773")</f>
        <v>1.91567599773</v>
      </c>
      <c r="I2415" s="27" t="str">
        <f>HYPERLINK(AB2 &amp; "/pliers/3dw_c6a47cfa-d90f-4959-93e8-83d32b9c590b/rendering/06.obj", "1.91506063938")</f>
        <v>1.91506063938</v>
      </c>
      <c r="J2415" s="26" t="str">
        <f>HYPERLINK(AB2 &amp; "/pliers/3dw_c6a47cfa-d90f-4959-93e8-83d32b9c590b/rendering/07.obj", "1.9040504694")</f>
        <v>1.9040504694</v>
      </c>
      <c r="K2415" s="6" t="str">
        <f>HYPERLINK(AB2 &amp; "/pliers/3dw_c6a47cfa-d90f-4959-93e8-83d32b9c590b/rendering/08.obj", "1.87088382244")</f>
        <v>1.87088382244</v>
      </c>
      <c r="L2415" s="68" t="str">
        <f>HYPERLINK(AB2 &amp; "/pliers/3dw_c6a47cfa-d90f-4959-93e8-83d32b9c590b/rendering/09.obj", "1.71563017368")</f>
        <v>1.71563017368</v>
      </c>
      <c r="M2415" s="41" t="str">
        <f>HYPERLINK(AB2 &amp; "/pliers/3dw_c6a47cfa-d90f-4959-93e8-83d32b9c590b/rendering/10.obj", "1.66970205307")</f>
        <v>1.66970205307</v>
      </c>
      <c r="N2415" s="51" t="str">
        <f>HYPERLINK(AB2 &amp; "/pliers/3dw_c6a47cfa-d90f-4959-93e8-83d32b9c590b/rendering/11.obj", "1.64788508415")</f>
        <v>1.64788508415</v>
      </c>
      <c r="O2415" s="25" t="str">
        <f>HYPERLINK(AB2 &amp; "/pliers/3dw_c6a47cfa-d90f-4959-93e8-83d32b9c590b/rendering/12.obj", "1.77245414257")</f>
        <v>1.77245414257</v>
      </c>
      <c r="P2415" s="41" t="str">
        <f>HYPERLINK(AB2 &amp; "/pliers/3dw_c6a47cfa-d90f-4959-93e8-83d32b9c590b/rendering/13.obj", "1.66761434078")</f>
        <v>1.66761434078</v>
      </c>
      <c r="Q2415" s="34" t="str">
        <f>HYPERLINK(AB2 &amp; "/pliers/3dw_c6a47cfa-d90f-4959-93e8-83d32b9c590b/rendering/14.obj", "1.87463998795")</f>
        <v>1.87463998795</v>
      </c>
      <c r="R2415" s="106" t="str">
        <f>HYPERLINK(AB2 &amp; "/pliers/3dw_c6a47cfa-d90f-4959-93e8-83d32b9c590b/rendering/15.obj", "1.58701920509")</f>
        <v>1.58701920509</v>
      </c>
      <c r="S2415" s="13" t="str">
        <f>HYPERLINK(AB2 &amp; "/pliers/3dw_c6a47cfa-d90f-4959-93e8-83d32b9c590b/rendering/16.obj", "1.78731560707")</f>
        <v>1.78731560707</v>
      </c>
      <c r="T2415" s="74" t="str">
        <f>HYPERLINK(AB2 &amp; "/pliers/3dw_c6a47cfa-d90f-4959-93e8-83d32b9c590b/rendering/17.obj", "1.81497812271")</f>
        <v>1.81497812271</v>
      </c>
      <c r="U2415" s="60" t="str">
        <f>HYPERLINK(AB2 &amp; "/pliers/3dw_c6a47cfa-d90f-4959-93e8-83d32b9c590b/rendering/18.obj", "1.88226211071")</f>
        <v>1.88226211071</v>
      </c>
      <c r="V2415" s="17" t="str">
        <f>HYPERLINK(AB2 &amp; "/pliers/3dw_c6a47cfa-d90f-4959-93e8-83d32b9c590b/rendering/19.obj", "1.75269913673")</f>
        <v>1.75269913673</v>
      </c>
      <c r="W2415" s="12" t="s">
        <v>32</v>
      </c>
      <c r="X2415" s="13">
        <v>1.7899906635284419</v>
      </c>
      <c r="Y2415" s="13">
        <v>0.1365424704904262</v>
      </c>
      <c r="Z2415" s="5">
        <v>7.6281107646267124E-2</v>
      </c>
    </row>
    <row r="2416" spans="1:26" x14ac:dyDescent="0.2">
      <c r="A2416" s="1">
        <v>2414</v>
      </c>
      <c r="B2416" s="2" t="s">
        <v>515</v>
      </c>
      <c r="C2416" s="13" t="str">
        <f>HYPERLINK(AC2 &amp; "/pliers/3dw_c6a47cfa-d90f-4959-93e8-83d32b9c590b/rendering/00.xyz", "0.0")</f>
        <v>0.0</v>
      </c>
      <c r="D2416" s="13" t="str">
        <f>HYPERLINK(AC2 &amp; "/pliers/3dw_c6a47cfa-d90f-4959-93e8-83d32b9c590b/rendering/01.xyz", "0.0")</f>
        <v>0.0</v>
      </c>
      <c r="E2416" s="13" t="str">
        <f>HYPERLINK(AC2 &amp; "/pliers/3dw_c6a47cfa-d90f-4959-93e8-83d32b9c590b/rendering/02.xyz", "0.0")</f>
        <v>0.0</v>
      </c>
      <c r="F2416" s="13" t="str">
        <f>HYPERLINK(AC2 &amp; "/pliers/3dw_c6a47cfa-d90f-4959-93e8-83d32b9c590b/rendering/03.xyz", "0.0")</f>
        <v>0.0</v>
      </c>
      <c r="G2416" s="13" t="str">
        <f>HYPERLINK(AC2 &amp; "/pliers/3dw_c6a47cfa-d90f-4959-93e8-83d32b9c590b/rendering/04.xyz", "0.0")</f>
        <v>0.0</v>
      </c>
      <c r="H2416" s="13" t="str">
        <f>HYPERLINK(AC2 &amp; "/pliers/3dw_c6a47cfa-d90f-4959-93e8-83d32b9c590b/rendering/05.xyz", "0.0")</f>
        <v>0.0</v>
      </c>
      <c r="I2416" s="13" t="str">
        <f>HYPERLINK(AC2 &amp; "/pliers/3dw_c6a47cfa-d90f-4959-93e8-83d32b9c590b/rendering/06.xyz", "0.0")</f>
        <v>0.0</v>
      </c>
      <c r="J2416" s="13" t="str">
        <f>HYPERLINK(AC2 &amp; "/pliers/3dw_c6a47cfa-d90f-4959-93e8-83d32b9c590b/rendering/07.xyz", "0.0")</f>
        <v>0.0</v>
      </c>
      <c r="K2416" s="13" t="str">
        <f>HYPERLINK(AC2 &amp; "/pliers/3dw_c6a47cfa-d90f-4959-93e8-83d32b9c590b/rendering/08.xyz", "0.0")</f>
        <v>0.0</v>
      </c>
      <c r="L2416" s="13" t="str">
        <f>HYPERLINK(AC2 &amp; "/pliers/3dw_c6a47cfa-d90f-4959-93e8-83d32b9c590b/rendering/09.xyz", "0.0")</f>
        <v>0.0</v>
      </c>
      <c r="M2416" s="13" t="str">
        <f>HYPERLINK(AC2 &amp; "/pliers/3dw_c6a47cfa-d90f-4959-93e8-83d32b9c590b/rendering/10.xyz", "0.0")</f>
        <v>0.0</v>
      </c>
      <c r="N2416" s="13" t="str">
        <f>HYPERLINK(AC2 &amp; "/pliers/3dw_c6a47cfa-d90f-4959-93e8-83d32b9c590b/rendering/11.xyz", "0.0")</f>
        <v>0.0</v>
      </c>
      <c r="O2416" s="13" t="str">
        <f>HYPERLINK(AC2 &amp; "/pliers/3dw_c6a47cfa-d90f-4959-93e8-83d32b9c590b/rendering/12.xyz", "0.0")</f>
        <v>0.0</v>
      </c>
      <c r="P2416" s="13" t="str">
        <f>HYPERLINK(AC2 &amp; "/pliers/3dw_c6a47cfa-d90f-4959-93e8-83d32b9c590b/rendering/13.xyz", "0.0")</f>
        <v>0.0</v>
      </c>
      <c r="Q2416" s="13" t="str">
        <f>HYPERLINK(AC2 &amp; "/pliers/3dw_c6a47cfa-d90f-4959-93e8-83d32b9c590b/rendering/14.xyz", "0.0")</f>
        <v>0.0</v>
      </c>
      <c r="R2416" s="13" t="str">
        <f>HYPERLINK(AC2 &amp; "/pliers/3dw_c6a47cfa-d90f-4959-93e8-83d32b9c590b/rendering/15.xyz", "0.0")</f>
        <v>0.0</v>
      </c>
      <c r="S2416" s="13" t="str">
        <f>HYPERLINK(AC2 &amp; "/pliers/3dw_c6a47cfa-d90f-4959-93e8-83d32b9c590b/rendering/16.xyz", "0.0")</f>
        <v>0.0</v>
      </c>
      <c r="T2416" s="13" t="str">
        <f>HYPERLINK(AC2 &amp; "/pliers/3dw_c6a47cfa-d90f-4959-93e8-83d32b9c590b/rendering/17.xyz", "0.0")</f>
        <v>0.0</v>
      </c>
      <c r="U2416" s="13" t="str">
        <f>HYPERLINK(AC2 &amp; "/pliers/3dw_c6a47cfa-d90f-4959-93e8-83d32b9c590b/rendering/18.xyz", "0.0")</f>
        <v>0.0</v>
      </c>
      <c r="V2416" s="13" t="str">
        <f>HYPERLINK(AC2 &amp; "/pliers/3dw_c6a47cfa-d90f-4959-93e8-83d32b9c590b/rendering/19.xyz", "0.0")</f>
        <v>0.0</v>
      </c>
      <c r="W2416" s="12" t="s">
        <v>33</v>
      </c>
      <c r="X2416" s="13">
        <v>0</v>
      </c>
      <c r="Y2416" s="13">
        <v>0</v>
      </c>
      <c r="Z2416" s="13">
        <v>0</v>
      </c>
    </row>
    <row r="2417" spans="1:26" x14ac:dyDescent="0.2">
      <c r="A2417" s="1">
        <v>2415</v>
      </c>
      <c r="B2417" s="2" t="s">
        <v>516</v>
      </c>
      <c r="C2417" s="7" t="str">
        <f>HYPERLINK(AA2 &amp; "/pliers/3dw_cfaee263-07ed-45f3-8b9c-0ba4dcc90ad7/rendering/00.obj", "1.218307724")</f>
        <v>1.218307724</v>
      </c>
      <c r="D2417" s="157" t="str">
        <f>HYPERLINK(AA2 &amp; "/pliers/3dw_cfaee263-07ed-45f3-8b9c-0ba4dcc90ad7/rendering/01.obj", "2.38904174805")</f>
        <v>2.38904174805</v>
      </c>
      <c r="E2417" s="35" t="str">
        <f>HYPERLINK(AA2 &amp; "/pliers/3dw_cfaee263-07ed-45f3-8b9c-0ba4dcc90ad7/rendering/02.obj", "1.78833114624")</f>
        <v>1.78833114624</v>
      </c>
      <c r="F2417" s="77" t="str">
        <f>HYPERLINK(AA2 &amp; "/pliers/3dw_cfaee263-07ed-45f3-8b9c-0ba4dcc90ad7/rendering/03.obj", "1.37528549194")</f>
        <v>1.37528549194</v>
      </c>
      <c r="G2417" s="123" t="str">
        <f>HYPERLINK(AA2 &amp; "/pliers/3dw_cfaee263-07ed-45f3-8b9c-0ba4dcc90ad7/rendering/04.obj", "2.31037567139")</f>
        <v>2.31037567139</v>
      </c>
      <c r="H2417" s="42" t="str">
        <f>HYPERLINK(AA2 &amp; "/pliers/3dw_cfaee263-07ed-45f3-8b9c-0ba4dcc90ad7/rendering/05.obj", "1.9183026123")</f>
        <v>1.9183026123</v>
      </c>
      <c r="I2417" s="74" t="str">
        <f>HYPERLINK(AA2 &amp; "/pliers/3dw_cfaee263-07ed-45f3-8b9c-0ba4dcc90ad7/rendering/06.obj", "1.70974868774")</f>
        <v>1.70974868774</v>
      </c>
      <c r="J2417" s="94" t="str">
        <f>HYPERLINK(AA2 &amp; "/pliers/3dw_cfaee263-07ed-45f3-8b9c-0ba4dcc90ad7/rendering/07.obj", "1.56156997681")</f>
        <v>1.56156997681</v>
      </c>
      <c r="K2417" s="83" t="str">
        <f>HYPERLINK(AA2 &amp; "/pliers/3dw_cfaee263-07ed-45f3-8b9c-0ba4dcc90ad7/rendering/08.obj", "1.43219741821")</f>
        <v>1.43219741821</v>
      </c>
      <c r="L2417" s="26" t="str">
        <f>HYPERLINK(AA2 &amp; "/pliers/3dw_cfaee263-07ed-45f3-8b9c-0ba4dcc90ad7/rendering/09.obj", "1.57847076416")</f>
        <v>1.57847076416</v>
      </c>
      <c r="M2417" s="44" t="str">
        <f>HYPERLINK(AA2 &amp; "/pliers/3dw_cfaee263-07ed-45f3-8b9c-0ba4dcc90ad7/rendering/10.obj", "1.35548065186")</f>
        <v>1.35548065186</v>
      </c>
      <c r="N2417" s="115" t="str">
        <f>HYPERLINK(AA2 &amp; "/pliers/3dw_cfaee263-07ed-45f3-8b9c-0ba4dcc90ad7/rendering/11.obj", "2.76806945801")</f>
        <v>2.76806945801</v>
      </c>
      <c r="O2417" s="170" t="str">
        <f>HYPERLINK(AA2 &amp; "/pliers/3dw_cfaee263-07ed-45f3-8b9c-0ba4dcc90ad7/rendering/12.obj", "1.25954528809")</f>
        <v>1.25954528809</v>
      </c>
      <c r="P2417" s="54" t="str">
        <f>HYPERLINK(AA2 &amp; "/pliers/3dw_cfaee263-07ed-45f3-8b9c-0ba4dcc90ad7/rendering/13.obj", "1.13682151794")</f>
        <v>1.13682151794</v>
      </c>
      <c r="Q2417" s="28" t="str">
        <f>HYPERLINK(AA2 &amp; "/pliers/3dw_cfaee263-07ed-45f3-8b9c-0ba4dcc90ad7/rendering/14.obj", "1.49900604248")</f>
        <v>1.49900604248</v>
      </c>
      <c r="R2417" s="6" t="str">
        <f>HYPERLINK(AA2 &amp; "/pliers/3dw_cfaee263-07ed-45f3-8b9c-0ba4dcc90ad7/rendering/15.obj", "1.76267303467")</f>
        <v>1.76267303467</v>
      </c>
      <c r="S2417" s="67" t="str">
        <f>HYPERLINK(AA2 &amp; "/pliers/3dw_cfaee263-07ed-45f3-8b9c-0ba4dcc90ad7/rendering/16.obj", "1.8454548645")</f>
        <v>1.8454548645</v>
      </c>
      <c r="T2417" s="36" t="str">
        <f>HYPERLINK(AA2 &amp; "/pliers/3dw_cfaee263-07ed-45f3-8b9c-0ba4dcc90ad7/rendering/17.obj", "1.32283721924")</f>
        <v>1.32283721924</v>
      </c>
      <c r="U2417" s="59" t="str">
        <f>HYPERLINK(AA2 &amp; "/pliers/3dw_cfaee263-07ed-45f3-8b9c-0ba4dcc90ad7/rendering/18.obj", "2.0947756958")</f>
        <v>2.0947756958</v>
      </c>
      <c r="V2417" s="80" t="str">
        <f>HYPERLINK(AA2 &amp; "/pliers/3dw_cfaee263-07ed-45f3-8b9c-0ba4dcc90ad7/rendering/19.obj", "1.43490814209")</f>
        <v>1.43490814209</v>
      </c>
      <c r="W2417" s="12" t="s">
        <v>29</v>
      </c>
      <c r="X2417" s="13">
        <v>1.6880601577758789</v>
      </c>
      <c r="Y2417" s="13">
        <v>0.4211680110836431</v>
      </c>
      <c r="Z2417" s="129">
        <v>0.24949822383022019</v>
      </c>
    </row>
    <row r="2418" spans="1:26" x14ac:dyDescent="0.2">
      <c r="A2418" s="1">
        <v>2416</v>
      </c>
      <c r="B2418" s="2" t="s">
        <v>516</v>
      </c>
      <c r="C2418" s="171" t="str">
        <f>HYPERLINK(AA2 &amp; "/pliers/3dw_cfaee263-07ed-45f3-8b9c-0ba4dcc90ad7/rendering/00.obj", "1.84281647205")</f>
        <v>1.84281647205</v>
      </c>
      <c r="D2418" s="258" t="str">
        <f>HYPERLINK(AA2 &amp; "/pliers/3dw_cfaee263-07ed-45f3-8b9c-0ba4dcc90ad7/rendering/01.obj", "4.66784572601")</f>
        <v>4.66784572601</v>
      </c>
      <c r="E2418" s="113" t="str">
        <f>HYPERLINK(AA2 &amp; "/pliers/3dw_cfaee263-07ed-45f3-8b9c-0ba4dcc90ad7/rendering/02.obj", "1.92305588722")</f>
        <v>1.92305588722</v>
      </c>
      <c r="F2418" s="80" t="str">
        <f>HYPERLINK(AA2 &amp; "/pliers/3dw_cfaee263-07ed-45f3-8b9c-0ba4dcc90ad7/rendering/03.obj", "2.25890040398")</f>
        <v>2.25890040398</v>
      </c>
      <c r="G2418" s="173" t="str">
        <f>HYPERLINK(AA2 &amp; "/pliers/3dw_cfaee263-07ed-45f3-8b9c-0ba4dcc90ad7/rendering/04.obj", "4.47522878647")</f>
        <v>4.47522878647</v>
      </c>
      <c r="H2418" s="36" t="str">
        <f>HYPERLINK(AA2 &amp; "/pliers/3dw_cfaee263-07ed-45f3-8b9c-0ba4dcc90ad7/rendering/05.obj", "3.2182404995")</f>
        <v>3.2182404995</v>
      </c>
      <c r="I2418" s="106" t="str">
        <f>HYPERLINK(AA2 &amp; "/pliers/3dw_cfaee263-07ed-45f3-8b9c-0ba4dcc90ad7/rendering/06.obj", "2.34624862671")</f>
        <v>2.34624862671</v>
      </c>
      <c r="J2418" s="47" t="str">
        <f>HYPERLINK(AA2 &amp; "/pliers/3dw_cfaee263-07ed-45f3-8b9c-0ba4dcc90ad7/rendering/07.obj", "2.62763524055")</f>
        <v>2.62763524055</v>
      </c>
      <c r="K2418" s="119" t="str">
        <f>HYPERLINK(AA2 &amp; "/pliers/3dw_cfaee263-07ed-45f3-8b9c-0ba4dcc90ad7/rendering/08.obj", "1.94491386414")</f>
        <v>1.94491386414</v>
      </c>
      <c r="L2418" s="39" t="str">
        <f>HYPERLINK(AA2 &amp; "/pliers/3dw_cfaee263-07ed-45f3-8b9c-0ba4dcc90ad7/rendering/09.obj", "2.42533874512")</f>
        <v>2.42533874512</v>
      </c>
      <c r="M2418" s="171" t="str">
        <f>HYPERLINK(AA2 &amp; "/pliers/3dw_cfaee263-07ed-45f3-8b9c-0ba4dcc90ad7/rendering/10.obj", "1.83727955818")</f>
        <v>1.83727955818</v>
      </c>
      <c r="N2418" s="20" t="str">
        <f>HYPERLINK(AA2 &amp; "/pliers/3dw_cfaee263-07ed-45f3-8b9c-0ba4dcc90ad7/rendering/11.obj", "5.51839923859")</f>
        <v>5.51839923859</v>
      </c>
      <c r="O2418" s="100" t="str">
        <f>HYPERLINK(AA2 &amp; "/pliers/3dw_cfaee263-07ed-45f3-8b9c-0ba4dcc90ad7/rendering/12.obj", "1.85729169846")</f>
        <v>1.85729169846</v>
      </c>
      <c r="P2418" s="185" t="str">
        <f>HYPERLINK(AA2 &amp; "/pliers/3dw_cfaee263-07ed-45f3-8b9c-0ba4dcc90ad7/rendering/13.obj", "1.75158774853")</f>
        <v>1.75158774853</v>
      </c>
      <c r="Q2418" s="137" t="str">
        <f>HYPERLINK(AA2 &amp; "/pliers/3dw_cfaee263-07ed-45f3-8b9c-0ba4dcc90ad7/rendering/14.obj", "1.6800866127")</f>
        <v>1.6800866127</v>
      </c>
      <c r="R2418" s="71" t="str">
        <f>HYPERLINK(AA2 &amp; "/pliers/3dw_cfaee263-07ed-45f3-8b9c-0ba4dcc90ad7/rendering/15.obj", "2.33783054352")</f>
        <v>2.33783054352</v>
      </c>
      <c r="S2418" s="41" t="str">
        <f>HYPERLINK(AA2 &amp; "/pliers/3dw_cfaee263-07ed-45f3-8b9c-0ba4dcc90ad7/rendering/16.obj", "2.83204936981")</f>
        <v>2.83204936981</v>
      </c>
      <c r="T2418" s="32" t="str">
        <f>HYPERLINK(AA2 &amp; "/pliers/3dw_cfaee263-07ed-45f3-8b9c-0ba4dcc90ad7/rendering/17.obj", "2.37425017357")</f>
        <v>2.37425017357</v>
      </c>
      <c r="U2418" s="55" t="str">
        <f>HYPERLINK(AA2 &amp; "/pliers/3dw_cfaee263-07ed-45f3-8b9c-0ba4dcc90ad7/rendering/18.obj", "3.16508746147")</f>
        <v>3.16508746147</v>
      </c>
      <c r="V2418" s="99" t="str">
        <f>HYPERLINK(AA2 &amp; "/pliers/3dw_cfaee263-07ed-45f3-8b9c-0ba4dcc90ad7/rendering/19.obj", "1.93045628071")</f>
        <v>1.93045628071</v>
      </c>
      <c r="W2418" s="12" t="s">
        <v>30</v>
      </c>
      <c r="X2418" s="13">
        <v>2.6507271468639368</v>
      </c>
      <c r="Y2418" s="13">
        <v>1.047701388004336</v>
      </c>
      <c r="Z2418" s="142">
        <v>0.39525055954697808</v>
      </c>
    </row>
    <row r="2419" spans="1:26" x14ac:dyDescent="0.2">
      <c r="A2419" s="1">
        <v>2417</v>
      </c>
      <c r="B2419" s="2" t="s">
        <v>516</v>
      </c>
      <c r="C2419" s="28" t="str">
        <f>HYPERLINK(AB2 &amp; "/pliers/3dw_cfaee263-07ed-45f3-8b9c-0ba4dcc90ad7/rendering/00.obj", "1.21461990356")</f>
        <v>1.21461990356</v>
      </c>
      <c r="D2419" s="60" t="str">
        <f>HYPERLINK(AB2 &amp; "/pliers/3dw_cfaee263-07ed-45f3-8b9c-0ba4dcc90ad7/rendering/01.obj", "1.29272796631")</f>
        <v>1.29272796631</v>
      </c>
      <c r="E2419" s="107" t="str">
        <f>HYPERLINK(AB2 &amp; "/pliers/3dw_cfaee263-07ed-45f3-8b9c-0ba4dcc90ad7/rendering/02.obj", "1.25183349609")</f>
        <v>1.25183349609</v>
      </c>
      <c r="F2419" s="72" t="str">
        <f>HYPERLINK(AB2 &amp; "/pliers/3dw_cfaee263-07ed-45f3-8b9c-0ba4dcc90ad7/rendering/03.obj", "1.32037277222")</f>
        <v>1.32037277222</v>
      </c>
      <c r="G2419" s="78" t="str">
        <f>HYPERLINK(AB2 &amp; "/pliers/3dw_cfaee263-07ed-45f3-8b9c-0ba4dcc90ad7/rendering/04.obj", "1.28324645996")</f>
        <v>1.28324645996</v>
      </c>
      <c r="H2419" s="40" t="str">
        <f>HYPERLINK(AB2 &amp; "/pliers/3dw_cfaee263-07ed-45f3-8b9c-0ba4dcc90ad7/rendering/05.obj", "1.12957046509")</f>
        <v>1.12957046509</v>
      </c>
      <c r="I2419" s="28" t="str">
        <f>HYPERLINK(AB2 &amp; "/pliers/3dw_cfaee263-07ed-45f3-8b9c-0ba4dcc90ad7/rendering/06.obj", "1.51562164307")</f>
        <v>1.51562164307</v>
      </c>
      <c r="J2419" s="10" t="str">
        <f>HYPERLINK(AB2 &amp; "/pliers/3dw_cfaee263-07ed-45f3-8b9c-0ba4dcc90ad7/rendering/07.obj", "1.4393560791")</f>
        <v>1.4393560791</v>
      </c>
      <c r="K2419" s="48" t="str">
        <f>HYPERLINK(AB2 &amp; "/pliers/3dw_cfaee263-07ed-45f3-8b9c-0ba4dcc90ad7/rendering/08.obj", "1.33451904297")</f>
        <v>1.33451904297</v>
      </c>
      <c r="L2419" s="72" t="str">
        <f>HYPERLINK(AB2 &amp; "/pliers/3dw_cfaee263-07ed-45f3-8b9c-0ba4dcc90ad7/rendering/09.obj", "1.40755706787")</f>
        <v>1.40755706787</v>
      </c>
      <c r="M2419" s="26" t="str">
        <f>HYPERLINK(AB2 &amp; "/pliers/3dw_cfaee263-07ed-45f3-8b9c-0ba4dcc90ad7/rendering/10.obj", "1.45198822021")</f>
        <v>1.45198822021</v>
      </c>
      <c r="N2419" s="74" t="str">
        <f>HYPERLINK(AB2 &amp; "/pliers/3dw_cfaee263-07ed-45f3-8b9c-0ba4dcc90ad7/rendering/11.obj", "1.3458505249")</f>
        <v>1.3458505249</v>
      </c>
      <c r="O2419" s="34" t="str">
        <f>HYPERLINK(AB2 &amp; "/pliers/3dw_cfaee263-07ed-45f3-8b9c-0ba4dcc90ad7/rendering/12.obj", "1.43130493164")</f>
        <v>1.43130493164</v>
      </c>
      <c r="P2419" s="117" t="str">
        <f>HYPERLINK(AB2 &amp; "/pliers/3dw_cfaee263-07ed-45f3-8b9c-0ba4dcc90ad7/rendering/13.obj", "1.60628417969")</f>
        <v>1.60628417969</v>
      </c>
      <c r="Q2419" s="70" t="str">
        <f>HYPERLINK(AB2 &amp; "/pliers/3dw_cfaee263-07ed-45f3-8b9c-0ba4dcc90ad7/rendering/14.obj", "1.19138534546")</f>
        <v>1.19138534546</v>
      </c>
      <c r="R2419" s="17" t="str">
        <f>HYPERLINK(AB2 &amp; "/pliers/3dw_cfaee263-07ed-45f3-8b9c-0ba4dcc90ad7/rendering/15.obj", "1.39404815674")</f>
        <v>1.39404815674</v>
      </c>
      <c r="S2419" s="107" t="str">
        <f>HYPERLINK(AB2 &amp; "/pliers/3dw_cfaee263-07ed-45f3-8b9c-0ba4dcc90ad7/rendering/16.obj", "1.47843963623")</f>
        <v>1.47843963623</v>
      </c>
      <c r="T2419" s="74" t="str">
        <f>HYPERLINK(AB2 &amp; "/pliers/3dw_cfaee263-07ed-45f3-8b9c-0ba4dcc90ad7/rendering/17.obj", "1.38179580688")</f>
        <v>1.38179580688</v>
      </c>
      <c r="U2419" s="134" t="str">
        <f>HYPERLINK(AB2 &amp; "/pliers/3dw_cfaee263-07ed-45f3-8b9c-0ba4dcc90ad7/rendering/18.obj", "1.61228256226")</f>
        <v>1.61228256226</v>
      </c>
      <c r="V2419" s="106" t="str">
        <f>HYPERLINK(AB2 &amp; "/pliers/3dw_cfaee263-07ed-45f3-8b9c-0ba4dcc90ad7/rendering/19.obj", "1.20922210693")</f>
        <v>1.20922210693</v>
      </c>
      <c r="W2419" s="12" t="s">
        <v>31</v>
      </c>
      <c r="X2419" s="13">
        <v>1.364601318359375</v>
      </c>
      <c r="Y2419" s="13">
        <v>0.129576050613088</v>
      </c>
      <c r="Z2419" s="90">
        <v>9.4955243608348505E-2</v>
      </c>
    </row>
    <row r="2420" spans="1:26" x14ac:dyDescent="0.2">
      <c r="A2420" s="1">
        <v>2418</v>
      </c>
      <c r="B2420" s="2" t="s">
        <v>516</v>
      </c>
      <c r="C2420" s="46" t="str">
        <f>HYPERLINK(AB2 &amp; "/pliers/3dw_cfaee263-07ed-45f3-8b9c-0ba4dcc90ad7/rendering/00.obj", "1.72276353836")</f>
        <v>1.72276353836</v>
      </c>
      <c r="D2420" s="69" t="str">
        <f>HYPERLINK(AB2 &amp; "/pliers/3dw_cfaee263-07ed-45f3-8b9c-0ba4dcc90ad7/rendering/01.obj", "1.70012009144")</f>
        <v>1.70012009144</v>
      </c>
      <c r="E2420" s="46" t="str">
        <f>HYPERLINK(AB2 &amp; "/pliers/3dw_cfaee263-07ed-45f3-8b9c-0ba4dcc90ad7/rendering/02.obj", "1.72080361843")</f>
        <v>1.72080361843</v>
      </c>
      <c r="F2420" s="30" t="str">
        <f>HYPERLINK(AB2 &amp; "/pliers/3dw_cfaee263-07ed-45f3-8b9c-0ba4dcc90ad7/rendering/03.obj", "1.75787758827")</f>
        <v>1.75787758827</v>
      </c>
      <c r="G2420" s="107" t="str">
        <f>HYPERLINK(AB2 &amp; "/pliers/3dw_cfaee263-07ed-45f3-8b9c-0ba4dcc90ad7/rendering/04.obj", "1.60272359848")</f>
        <v>1.60272359848</v>
      </c>
      <c r="H2420" s="8" t="str">
        <f>HYPERLINK(AB2 &amp; "/pliers/3dw_cfaee263-07ed-45f3-8b9c-0ba4dcc90ad7/rendering/05.obj", "1.50235295296")</f>
        <v>1.50235295296</v>
      </c>
      <c r="I2420" s="93" t="str">
        <f>HYPERLINK(AB2 &amp; "/pliers/3dw_cfaee263-07ed-45f3-8b9c-0ba4dcc90ad7/rendering/06.obj", "1.99262273312")</f>
        <v>1.99262273312</v>
      </c>
      <c r="J2420" s="70" t="str">
        <f>HYPERLINK(AB2 &amp; "/pliers/3dw_cfaee263-07ed-45f3-8b9c-0ba4dcc90ad7/rendering/07.obj", "1.97088170052")</f>
        <v>1.97088170052</v>
      </c>
      <c r="K2420" s="34" t="str">
        <f>HYPERLINK(AB2 &amp; "/pliers/3dw_cfaee263-07ed-45f3-8b9c-0ba4dcc90ad7/rendering/08.obj", "1.83632683754")</f>
        <v>1.83632683754</v>
      </c>
      <c r="L2420" s="48" t="str">
        <f>HYPERLINK(AB2 &amp; "/pliers/3dw_cfaee263-07ed-45f3-8b9c-0ba4dcc90ad7/rendering/09.obj", "1.70888471603")</f>
        <v>1.70888471603</v>
      </c>
      <c r="M2420" s="78" t="str">
        <f>HYPERLINK(AB2 &amp; "/pliers/3dw_cfaee263-07ed-45f3-8b9c-0ba4dcc90ad7/rendering/10.obj", "1.64131784439")</f>
        <v>1.64131784439</v>
      </c>
      <c r="N2420" s="73" t="str">
        <f>HYPERLINK(AB2 &amp; "/pliers/3dw_cfaee263-07ed-45f3-8b9c-0ba4dcc90ad7/rendering/11.obj", "1.68552541733")</f>
        <v>1.68552541733</v>
      </c>
      <c r="O2420" s="13" t="str">
        <f>HYPERLINK(AB2 &amp; "/pliers/3dw_cfaee263-07ed-45f3-8b9c-0ba4dcc90ad7/rendering/12.obj", "1.75613760948")</f>
        <v>1.75613760948</v>
      </c>
      <c r="P2420" s="68" t="str">
        <f>HYPERLINK(AB2 &amp; "/pliers/3dw_cfaee263-07ed-45f3-8b9c-0ba4dcc90ad7/rendering/13.obj", "1.82558178902")</f>
        <v>1.82558178902</v>
      </c>
      <c r="Q2420" s="91" t="str">
        <f>HYPERLINK(AB2 &amp; "/pliers/3dw_cfaee263-07ed-45f3-8b9c-0ba4dcc90ad7/rendering/14.obj", "1.70659804344")</f>
        <v>1.70659804344</v>
      </c>
      <c r="R2420" s="39" t="str">
        <f>HYPERLINK(AB2 &amp; "/pliers/3dw_cfaee263-07ed-45f3-8b9c-0ba4dcc90ad7/rendering/15.obj", "1.90155291557")</f>
        <v>1.90155291557</v>
      </c>
      <c r="S2420" s="47" t="str">
        <f>HYPERLINK(AB2 &amp; "/pliers/3dw_cfaee263-07ed-45f3-8b9c-0ba4dcc90ad7/rendering/16.obj", "1.7663269043")</f>
        <v>1.7663269043</v>
      </c>
      <c r="T2420" s="38" t="str">
        <f>HYPERLINK(AB2 &amp; "/pliers/3dw_cfaee263-07ed-45f3-8b9c-0ba4dcc90ad7/rendering/17.obj", "1.59689188004")</f>
        <v>1.59689188004</v>
      </c>
      <c r="U2420" s="84" t="str">
        <f>HYPERLINK(AB2 &amp; "/pliers/3dw_cfaee263-07ed-45f3-8b9c-0ba4dcc90ad7/rendering/18.obj", "2.0044260025")</f>
        <v>2.0044260025</v>
      </c>
      <c r="V2420" s="5" t="str">
        <f>HYPERLINK(AB2 &amp; "/pliers/3dw_cfaee263-07ed-45f3-8b9c-0ba4dcc90ad7/rendering/19.obj", "1.61564433575")</f>
        <v>1.61564433575</v>
      </c>
      <c r="W2420" s="12" t="s">
        <v>32</v>
      </c>
      <c r="X2420" s="13">
        <v>1.7507680058479309</v>
      </c>
      <c r="Y2420" s="13">
        <v>0.1336063243211148</v>
      </c>
      <c r="Z2420" s="5">
        <v>7.6312980289131249E-2</v>
      </c>
    </row>
    <row r="2421" spans="1:26" x14ac:dyDescent="0.2">
      <c r="A2421" s="1">
        <v>2419</v>
      </c>
      <c r="B2421" s="2" t="s">
        <v>516</v>
      </c>
      <c r="C2421" s="13" t="str">
        <f>HYPERLINK(AC2 &amp; "/pliers/3dw_cfaee263-07ed-45f3-8b9c-0ba4dcc90ad7/rendering/00.xyz", "0.0")</f>
        <v>0.0</v>
      </c>
      <c r="D2421" s="13" t="str">
        <f>HYPERLINK(AC2 &amp; "/pliers/3dw_cfaee263-07ed-45f3-8b9c-0ba4dcc90ad7/rendering/01.xyz", "0.0")</f>
        <v>0.0</v>
      </c>
      <c r="E2421" s="13" t="str">
        <f>HYPERLINK(AC2 &amp; "/pliers/3dw_cfaee263-07ed-45f3-8b9c-0ba4dcc90ad7/rendering/02.xyz", "0.0")</f>
        <v>0.0</v>
      </c>
      <c r="F2421" s="13" t="str">
        <f>HYPERLINK(AC2 &amp; "/pliers/3dw_cfaee263-07ed-45f3-8b9c-0ba4dcc90ad7/rendering/03.xyz", "0.0")</f>
        <v>0.0</v>
      </c>
      <c r="G2421" s="13" t="str">
        <f>HYPERLINK(AC2 &amp; "/pliers/3dw_cfaee263-07ed-45f3-8b9c-0ba4dcc90ad7/rendering/04.xyz", "0.0")</f>
        <v>0.0</v>
      </c>
      <c r="H2421" s="13" t="str">
        <f>HYPERLINK(AC2 &amp; "/pliers/3dw_cfaee263-07ed-45f3-8b9c-0ba4dcc90ad7/rendering/05.xyz", "0.0")</f>
        <v>0.0</v>
      </c>
      <c r="I2421" s="13" t="str">
        <f>HYPERLINK(AC2 &amp; "/pliers/3dw_cfaee263-07ed-45f3-8b9c-0ba4dcc90ad7/rendering/06.xyz", "0.0")</f>
        <v>0.0</v>
      </c>
      <c r="J2421" s="13" t="str">
        <f>HYPERLINK(AC2 &amp; "/pliers/3dw_cfaee263-07ed-45f3-8b9c-0ba4dcc90ad7/rendering/07.xyz", "0.0")</f>
        <v>0.0</v>
      </c>
      <c r="K2421" s="13" t="str">
        <f>HYPERLINK(AC2 &amp; "/pliers/3dw_cfaee263-07ed-45f3-8b9c-0ba4dcc90ad7/rendering/08.xyz", "0.0")</f>
        <v>0.0</v>
      </c>
      <c r="L2421" s="13" t="str">
        <f>HYPERLINK(AC2 &amp; "/pliers/3dw_cfaee263-07ed-45f3-8b9c-0ba4dcc90ad7/rendering/09.xyz", "0.0")</f>
        <v>0.0</v>
      </c>
      <c r="M2421" s="13" t="str">
        <f>HYPERLINK(AC2 &amp; "/pliers/3dw_cfaee263-07ed-45f3-8b9c-0ba4dcc90ad7/rendering/10.xyz", "0.0")</f>
        <v>0.0</v>
      </c>
      <c r="N2421" s="13" t="str">
        <f>HYPERLINK(AC2 &amp; "/pliers/3dw_cfaee263-07ed-45f3-8b9c-0ba4dcc90ad7/rendering/11.xyz", "0.0")</f>
        <v>0.0</v>
      </c>
      <c r="O2421" s="13" t="str">
        <f>HYPERLINK(AC2 &amp; "/pliers/3dw_cfaee263-07ed-45f3-8b9c-0ba4dcc90ad7/rendering/12.xyz", "0.0")</f>
        <v>0.0</v>
      </c>
      <c r="P2421" s="13" t="str">
        <f>HYPERLINK(AC2 &amp; "/pliers/3dw_cfaee263-07ed-45f3-8b9c-0ba4dcc90ad7/rendering/13.xyz", "0.0")</f>
        <v>0.0</v>
      </c>
      <c r="Q2421" s="13" t="str">
        <f>HYPERLINK(AC2 &amp; "/pliers/3dw_cfaee263-07ed-45f3-8b9c-0ba4dcc90ad7/rendering/14.xyz", "0.0")</f>
        <v>0.0</v>
      </c>
      <c r="R2421" s="13" t="str">
        <f>HYPERLINK(AC2 &amp; "/pliers/3dw_cfaee263-07ed-45f3-8b9c-0ba4dcc90ad7/rendering/15.xyz", "0.0")</f>
        <v>0.0</v>
      </c>
      <c r="S2421" s="13" t="str">
        <f>HYPERLINK(AC2 &amp; "/pliers/3dw_cfaee263-07ed-45f3-8b9c-0ba4dcc90ad7/rendering/16.xyz", "0.0")</f>
        <v>0.0</v>
      </c>
      <c r="T2421" s="13" t="str">
        <f>HYPERLINK(AC2 &amp; "/pliers/3dw_cfaee263-07ed-45f3-8b9c-0ba4dcc90ad7/rendering/17.xyz", "0.0")</f>
        <v>0.0</v>
      </c>
      <c r="U2421" s="13" t="str">
        <f>HYPERLINK(AC2 &amp; "/pliers/3dw_cfaee263-07ed-45f3-8b9c-0ba4dcc90ad7/rendering/18.xyz", "0.0")</f>
        <v>0.0</v>
      </c>
      <c r="V2421" s="13" t="str">
        <f>HYPERLINK(AC2 &amp; "/pliers/3dw_cfaee263-07ed-45f3-8b9c-0ba4dcc90ad7/rendering/19.xyz", "0.0")</f>
        <v>0.0</v>
      </c>
      <c r="W2421" s="12" t="s">
        <v>33</v>
      </c>
      <c r="X2421" s="13">
        <v>0</v>
      </c>
      <c r="Y2421" s="13">
        <v>0</v>
      </c>
      <c r="Z2421" s="13">
        <v>0</v>
      </c>
    </row>
    <row r="2422" spans="1:26" x14ac:dyDescent="0.2">
      <c r="A2422" s="1">
        <v>2420</v>
      </c>
      <c r="B2422" s="2" t="s">
        <v>517</v>
      </c>
      <c r="C2422" s="175" t="str">
        <f>HYPERLINK(AA2 &amp; "/pliers/3dw_daa0192d-69b1-4aa6-89d6-40132cc29ba9/rendering/00.obj", "2.500493927")</f>
        <v>2.500493927</v>
      </c>
      <c r="D2422" s="243" t="str">
        <f>HYPERLINK(AA2 &amp; "/pliers/3dw_daa0192d-69b1-4aa6-89d6-40132cc29ba9/rendering/01.obj", "0.7208984375")</f>
        <v>0.7208984375</v>
      </c>
      <c r="E2422" s="238" t="str">
        <f>HYPERLINK(AA2 &amp; "/pliers/3dw_daa0192d-69b1-4aa6-89d6-40132cc29ba9/rendering/02.obj", "0.967538223267")</f>
        <v>0.967538223267</v>
      </c>
      <c r="F2422" s="120" t="str">
        <f>HYPERLINK(AA2 &amp; "/pliers/3dw_daa0192d-69b1-4aa6-89d6-40132cc29ba9/rendering/03.obj", "2.57708496094")</f>
        <v>2.57708496094</v>
      </c>
      <c r="G2422" s="189" t="str">
        <f>HYPERLINK(AA2 &amp; "/pliers/3dw_daa0192d-69b1-4aa6-89d6-40132cc29ba9/rendering/04.obj", "1.21836517334")</f>
        <v>1.21836517334</v>
      </c>
      <c r="H2422" s="20" t="str">
        <f>HYPERLINK(AA2 &amp; "/pliers/3dw_daa0192d-69b1-4aa6-89d6-40132cc29ba9/rendering/05.obj", "8.49719970703")</f>
        <v>8.49719970703</v>
      </c>
      <c r="I2422" s="199" t="str">
        <f>HYPERLINK(AA2 &amp; "/pliers/3dw_daa0192d-69b1-4aa6-89d6-40132cc29ba9/rendering/06.obj", "0.702514038086")</f>
        <v>0.702514038086</v>
      </c>
      <c r="J2422" s="20" t="str">
        <f>HYPERLINK(AA2 &amp; "/pliers/3dw_daa0192d-69b1-4aa6-89d6-40132cc29ba9/rendering/07.obj", "7.30798828125")</f>
        <v>7.30798828125</v>
      </c>
      <c r="K2422" s="191" t="str">
        <f>HYPERLINK(AA2 &amp; "/pliers/3dw_daa0192d-69b1-4aa6-89d6-40132cc29ba9/rendering/08.obj", "1.78648773193")</f>
        <v>1.78648773193</v>
      </c>
      <c r="L2422" s="66" t="str">
        <f>HYPERLINK(AA2 &amp; "/pliers/3dw_daa0192d-69b1-4aa6-89d6-40132cc29ba9/rendering/09.obj", "2.74006408691")</f>
        <v>2.74006408691</v>
      </c>
      <c r="M2422" s="20" t="str">
        <f>HYPERLINK(AA2 &amp; "/pliers/3dw_daa0192d-69b1-4aa6-89d6-40132cc29ba9/rendering/10.obj", "7.15178710938")</f>
        <v>7.15178710938</v>
      </c>
      <c r="N2422" s="20" t="str">
        <f>HYPERLINK(AA2 &amp; "/pliers/3dw_daa0192d-69b1-4aa6-89d6-40132cc29ba9/rendering/11.obj", "6.39004638672")</f>
        <v>6.39004638672</v>
      </c>
      <c r="O2422" s="5" t="str">
        <f>HYPERLINK(AA2 &amp; "/pliers/3dw_daa0192d-69b1-4aa6-89d6-40132cc29ba9/rendering/12.obj", "3.51485656738")</f>
        <v>3.51485656738</v>
      </c>
      <c r="P2422" s="215" t="str">
        <f>HYPERLINK(AA2 &amp; "/pliers/3dw_daa0192d-69b1-4aa6-89d6-40132cc29ba9/rendering/13.obj", "1.0824671936")</f>
        <v>1.0824671936</v>
      </c>
      <c r="Q2422" s="169" t="str">
        <f>HYPERLINK(AA2 &amp; "/pliers/3dw_daa0192d-69b1-4aa6-89d6-40132cc29ba9/rendering/14.obj", "2.24333374023")</f>
        <v>2.24333374023</v>
      </c>
      <c r="R2422" s="20" t="str">
        <f>HYPERLINK(AA2 &amp; "/pliers/3dw_daa0192d-69b1-4aa6-89d6-40132cc29ba9/rendering/15.obj", "8.31668823242")</f>
        <v>8.31668823242</v>
      </c>
      <c r="S2422" s="190" t="str">
        <f>HYPERLINK(AA2 &amp; "/pliers/3dw_daa0192d-69b1-4aa6-89d6-40132cc29ba9/rendering/16.obj", "0.995273361206")</f>
        <v>0.995273361206</v>
      </c>
      <c r="T2422" s="163" t="str">
        <f>HYPERLINK(AA2 &amp; "/pliers/3dw_daa0192d-69b1-4aa6-89d6-40132cc29ba9/rendering/17.obj", "1.82300598145")</f>
        <v>1.82300598145</v>
      </c>
      <c r="U2422" s="129" t="str">
        <f>HYPERLINK(AA2 &amp; "/pliers/3dw_daa0192d-69b1-4aa6-89d6-40132cc29ba9/rendering/18.obj", "4.08101989746")</f>
        <v>4.08101989746</v>
      </c>
      <c r="V2422" s="232" t="str">
        <f>HYPERLINK(AA2 &amp; "/pliers/3dw_daa0192d-69b1-4aa6-89d6-40132cc29ba9/rendering/19.obj", "0.706275787354")</f>
        <v>0.706275787354</v>
      </c>
      <c r="W2422" s="12" t="s">
        <v>29</v>
      </c>
      <c r="X2422" s="13">
        <v>3.2661694412231448</v>
      </c>
      <c r="Y2422" s="13">
        <v>2.6500278472250378</v>
      </c>
      <c r="Z2422" s="20">
        <v>0.81135651254903418</v>
      </c>
    </row>
    <row r="2423" spans="1:26" x14ac:dyDescent="0.2">
      <c r="A2423" s="1">
        <v>2421</v>
      </c>
      <c r="B2423" s="2" t="s">
        <v>517</v>
      </c>
      <c r="C2423" s="239" t="str">
        <f>HYPERLINK(AA2 &amp; "/pliers/3dw_daa0192d-69b1-4aa6-89d6-40132cc29ba9/rendering/00.obj", "12.8047552109")</f>
        <v>12.8047552109</v>
      </c>
      <c r="D2423" s="209" t="str">
        <f>HYPERLINK(AA2 &amp; "/pliers/3dw_daa0192d-69b1-4aa6-89d6-40132cc29ba9/rendering/01.obj", "7.9235830307")</f>
        <v>7.9235830307</v>
      </c>
      <c r="E2423" s="183" t="str">
        <f>HYPERLINK(AA2 &amp; "/pliers/3dw_daa0192d-69b1-4aa6-89d6-40132cc29ba9/rendering/02.obj", "8.13903903961")</f>
        <v>8.13903903961</v>
      </c>
      <c r="F2423" s="209" t="str">
        <f>HYPERLINK(AA2 &amp; "/pliers/3dw_daa0192d-69b1-4aa6-89d6-40132cc29ba9/rendering/03.obj", "7.94375944138")</f>
        <v>7.94375944138</v>
      </c>
      <c r="G2423" s="242" t="str">
        <f>HYPERLINK(AA2 &amp; "/pliers/3dw_daa0192d-69b1-4aa6-89d6-40132cc29ba9/rendering/04.obj", "8.7601108551")</f>
        <v>8.7601108551</v>
      </c>
      <c r="H2423" s="20" t="str">
        <f>HYPERLINK(AA2 &amp; "/pliers/3dw_daa0192d-69b1-4aa6-89d6-40132cc29ba9/rendering/05.obj", "128.775421143")</f>
        <v>128.775421143</v>
      </c>
      <c r="I2423" s="208" t="str">
        <f>HYPERLINK(AA2 &amp; "/pliers/3dw_daa0192d-69b1-4aa6-89d6-40132cc29ba9/rendering/06.obj", "7.74016141891")</f>
        <v>7.74016141891</v>
      </c>
      <c r="J2423" s="20" t="str">
        <f>HYPERLINK(AA2 &amp; "/pliers/3dw_daa0192d-69b1-4aa6-89d6-40132cc29ba9/rendering/07.obj", "78.4708862305")</f>
        <v>78.4708862305</v>
      </c>
      <c r="K2423" s="215" t="str">
        <f>HYPERLINK(AA2 &amp; "/pliers/3dw_daa0192d-69b1-4aa6-89d6-40132cc29ba9/rendering/08.obj", "10.7338523865")</f>
        <v>10.7338523865</v>
      </c>
      <c r="L2423" s="174" t="str">
        <f>HYPERLINK(AA2 &amp; "/pliers/3dw_daa0192d-69b1-4aa6-89d6-40132cc29ba9/rendering/09.obj", "15.4891910553")</f>
        <v>15.4891910553</v>
      </c>
      <c r="M2423" s="20" t="str">
        <f>HYPERLINK(AA2 &amp; "/pliers/3dw_daa0192d-69b1-4aa6-89d6-40132cc29ba9/rendering/10.obj", "100.217781067")</f>
        <v>100.217781067</v>
      </c>
      <c r="N2423" s="20" t="str">
        <f>HYPERLINK(AA2 &amp; "/pliers/3dw_daa0192d-69b1-4aa6-89d6-40132cc29ba9/rendering/11.obj", "68.9058456421")</f>
        <v>68.9058456421</v>
      </c>
      <c r="O2423" s="218" t="str">
        <f>HYPERLINK(AA2 &amp; "/pliers/3dw_daa0192d-69b1-4aa6-89d6-40132cc29ba9/rendering/12.obj", "15.7983484268")</f>
        <v>15.7983484268</v>
      </c>
      <c r="P2423" s="183" t="str">
        <f>HYPERLINK(AA2 &amp; "/pliers/3dw_daa0192d-69b1-4aa6-89d6-40132cc29ba9/rendering/13.obj", "8.10902690887")</f>
        <v>8.10902690887</v>
      </c>
      <c r="Q2423" s="224" t="str">
        <f>HYPERLINK(AA2 &amp; "/pliers/3dw_daa0192d-69b1-4aa6-89d6-40132cc29ba9/rendering/14.obj", "9.57428646088")</f>
        <v>9.57428646088</v>
      </c>
      <c r="R2423" s="20" t="str">
        <f>HYPERLINK(AA2 &amp; "/pliers/3dw_daa0192d-69b1-4aa6-89d6-40132cc29ba9/rendering/15.obj", "110.329795837")</f>
        <v>110.329795837</v>
      </c>
      <c r="S2423" s="154" t="str">
        <f>HYPERLINK(AA2 &amp; "/pliers/3dw_daa0192d-69b1-4aa6-89d6-40132cc29ba9/rendering/16.obj", "8.37019729614")</f>
        <v>8.37019729614</v>
      </c>
      <c r="T2423" s="165" t="str">
        <f>HYPERLINK(AA2 &amp; "/pliers/3dw_daa0192d-69b1-4aa6-89d6-40132cc29ba9/rendering/17.obj", "10.0822896957")</f>
        <v>10.0822896957</v>
      </c>
      <c r="U2423" s="40" t="str">
        <f>HYPERLINK(AA2 &amp; "/pliers/3dw_daa0192d-69b1-4aa6-89d6-40132cc29ba9/rendering/18.obj", "27.1068553925")</f>
        <v>27.1068553925</v>
      </c>
      <c r="V2423" s="258" t="str">
        <f>HYPERLINK(AA2 &amp; "/pliers/3dw_daa0192d-69b1-4aa6-89d6-40132cc29ba9/rendering/19.obj", "7.77691364288")</f>
        <v>7.77691364288</v>
      </c>
      <c r="W2423" s="12" t="s">
        <v>30</v>
      </c>
      <c r="X2423" s="13">
        <v>32.652605009078982</v>
      </c>
      <c r="Y2423" s="13">
        <v>39.117181756246303</v>
      </c>
      <c r="Z2423" s="20">
        <v>1.197980428984758</v>
      </c>
    </row>
    <row r="2424" spans="1:26" x14ac:dyDescent="0.2">
      <c r="A2424" s="1">
        <v>2422</v>
      </c>
      <c r="B2424" s="2" t="s">
        <v>517</v>
      </c>
      <c r="C2424" s="20" t="str">
        <f>HYPERLINK(AB2 &amp; "/pliers/3dw_daa0192d-69b1-4aa6-89d6-40132cc29ba9/rendering/00.obj", "5.53389648438")</f>
        <v>5.53389648438</v>
      </c>
      <c r="D2424" s="27" t="str">
        <f>HYPERLINK(AB2 &amp; "/pliers/3dw_daa0192d-69b1-4aa6-89d6-40132cc29ba9/rendering/01.obj", "2.79549926758")</f>
        <v>2.79549926758</v>
      </c>
      <c r="E2424" s="176" t="str">
        <f>HYPERLINK(AB2 &amp; "/pliers/3dw_daa0192d-69b1-4aa6-89d6-40132cc29ba9/rendering/02.obj", "2.04476715088")</f>
        <v>2.04476715088</v>
      </c>
      <c r="F2424" s="242" t="str">
        <f>HYPERLINK(AB2 &amp; "/pliers/3dw_daa0192d-69b1-4aa6-89d6-40132cc29ba9/rendering/03.obj", "0.798927841187")</f>
        <v>0.798927841187</v>
      </c>
      <c r="G2424" s="178" t="str">
        <f>HYPERLINK(AB2 &amp; "/pliers/3dw_daa0192d-69b1-4aa6-89d6-40132cc29ba9/rendering/04.obj", "1.06231185913")</f>
        <v>1.06231185913</v>
      </c>
      <c r="H2424" s="104" t="str">
        <f>HYPERLINK(AB2 &amp; "/pliers/3dw_daa0192d-69b1-4aa6-89d6-40132cc29ba9/rendering/05.obj", "1.57248718262")</f>
        <v>1.57248718262</v>
      </c>
      <c r="I2424" s="20" t="str">
        <f>HYPERLINK(AB2 &amp; "/pliers/3dw_daa0192d-69b1-4aa6-89d6-40132cc29ba9/rendering/06.obj", "7.32770996094")</f>
        <v>7.32770996094</v>
      </c>
      <c r="J2424" s="188" t="str">
        <f>HYPERLINK(AB2 &amp; "/pliers/3dw_daa0192d-69b1-4aa6-89d6-40132cc29ba9/rendering/07.obj", "5.15363037109")</f>
        <v>5.15363037109</v>
      </c>
      <c r="K2424" s="258" t="str">
        <f>HYPERLINK(AB2 &amp; "/pliers/3dw_daa0192d-69b1-4aa6-89d6-40132cc29ba9/rendering/08.obj", "5.29369934082")</f>
        <v>5.29369934082</v>
      </c>
      <c r="L2424" s="50" t="str">
        <f>HYPERLINK(AB2 &amp; "/pliers/3dw_daa0192d-69b1-4aa6-89d6-40132cc29ba9/rendering/09.obj", "2.40152374268")</f>
        <v>2.40152374268</v>
      </c>
      <c r="M2424" s="139" t="str">
        <f>HYPERLINK(AB2 &amp; "/pliers/3dw_daa0192d-69b1-4aa6-89d6-40132cc29ba9/rendering/10.obj", "1.55692749023")</f>
        <v>1.55692749023</v>
      </c>
      <c r="N2424" s="164" t="str">
        <f>HYPERLINK(AB2 &amp; "/pliers/3dw_daa0192d-69b1-4aa6-89d6-40132cc29ba9/rendering/11.obj", "1.09107635498")</f>
        <v>1.09107635498</v>
      </c>
      <c r="O2424" s="249" t="str">
        <f>HYPERLINK(AB2 &amp; "/pliers/3dw_daa0192d-69b1-4aa6-89d6-40132cc29ba9/rendering/12.obj", "1.28591171265")</f>
        <v>1.28591171265</v>
      </c>
      <c r="P2424" s="107" t="str">
        <f>HYPERLINK(AB2 &amp; "/pliers/3dw_daa0192d-69b1-4aa6-89d6-40132cc29ba9/rendering/13.obj", "3.25307678223")</f>
        <v>3.25307678223</v>
      </c>
      <c r="Q2424" s="69" t="str">
        <f>HYPERLINK(AB2 &amp; "/pliers/3dw_daa0192d-69b1-4aa6-89d6-40132cc29ba9/rendering/14.obj", "2.9135043335")</f>
        <v>2.9135043335</v>
      </c>
      <c r="R2424" s="190" t="str">
        <f>HYPERLINK(AB2 &amp; "/pliers/3dw_daa0192d-69b1-4aa6-89d6-40132cc29ba9/rendering/15.obj", "0.915399169922")</f>
        <v>0.915399169922</v>
      </c>
      <c r="S2424" s="131" t="str">
        <f>HYPERLINK(AB2 &amp; "/pliers/3dw_daa0192d-69b1-4aa6-89d6-40132cc29ba9/rendering/16.obj", "1.61794891357")</f>
        <v>1.61794891357</v>
      </c>
      <c r="T2424" s="34" t="str">
        <f>HYPERLINK(AB2 &amp; "/pliers/3dw_daa0192d-69b1-4aa6-89d6-40132cc29ba9/rendering/17.obj", "3.15078125")</f>
        <v>3.15078125</v>
      </c>
      <c r="U2424" s="187" t="str">
        <f>HYPERLINK(AB2 &amp; "/pliers/3dw_daa0192d-69b1-4aa6-89d6-40132cc29ba9/rendering/18.obj", "4.05397003174")</f>
        <v>4.05397003174</v>
      </c>
      <c r="V2424" s="20" t="str">
        <f>HYPERLINK(AB2 &amp; "/pliers/3dw_daa0192d-69b1-4aa6-89d6-40132cc29ba9/rendering/19.obj", "6.2571697998")</f>
        <v>6.2571697998</v>
      </c>
      <c r="W2424" s="12" t="s">
        <v>31</v>
      </c>
      <c r="X2424" s="13">
        <v>3.0040109519958489</v>
      </c>
      <c r="Y2424" s="13">
        <v>1.9200601435335101</v>
      </c>
      <c r="Z2424" s="115">
        <v>0.63916549380681575</v>
      </c>
    </row>
    <row r="2425" spans="1:26" x14ac:dyDescent="0.2">
      <c r="A2425" s="1">
        <v>2423</v>
      </c>
      <c r="B2425" s="2" t="s">
        <v>517</v>
      </c>
      <c r="C2425" s="20" t="str">
        <f>HYPERLINK(AB2 &amp; "/pliers/3dw_daa0192d-69b1-4aa6-89d6-40132cc29ba9/rendering/00.obj", "47.6570663452")</f>
        <v>47.6570663452</v>
      </c>
      <c r="D2425" s="149" t="str">
        <f>HYPERLINK(AB2 &amp; "/pliers/3dw_daa0192d-69b1-4aa6-89d6-40132cc29ba9/rendering/01.obj", "14.0831604004")</f>
        <v>14.0831604004</v>
      </c>
      <c r="E2425" s="126" t="str">
        <f>HYPERLINK(AB2 &amp; "/pliers/3dw_daa0192d-69b1-4aa6-89d6-40132cc29ba9/rendering/02.obj", "10.701338768")</f>
        <v>10.701338768</v>
      </c>
      <c r="F2425" s="188" t="str">
        <f>HYPERLINK(AB2 &amp; "/pliers/3dw_daa0192d-69b1-4aa6-89d6-40132cc29ba9/rendering/03.obj", "6.03030872345")</f>
        <v>6.03030872345</v>
      </c>
      <c r="G2425" s="115" t="str">
        <f>HYPERLINK(AB2 &amp; "/pliers/3dw_daa0192d-69b1-4aa6-89d6-40132cc29ba9/rendering/04.obj", "7.72913408279")</f>
        <v>7.72913408279</v>
      </c>
      <c r="H2425" s="256" t="str">
        <f>HYPERLINK(AB2 &amp; "/pliers/3dw_daa0192d-69b1-4aa6-89d6-40132cc29ba9/rendering/05.obj", "8.14270496368")</f>
        <v>8.14270496368</v>
      </c>
      <c r="I2425" s="20" t="str">
        <f>HYPERLINK(AB2 &amp; "/pliers/3dw_daa0192d-69b1-4aa6-89d6-40132cc29ba9/rendering/06.obj", "85.051902771")</f>
        <v>85.051902771</v>
      </c>
      <c r="J2425" s="243" t="str">
        <f>HYPERLINK(AB2 &amp; "/pliers/3dw_daa0192d-69b1-4aa6-89d6-40132cc29ba9/rendering/07.obj", "38.1085281372")</f>
        <v>38.1085281372</v>
      </c>
      <c r="K2425" s="20" t="str">
        <f>HYPERLINK(AB2 &amp; "/pliers/3dw_daa0192d-69b1-4aa6-89d6-40132cc29ba9/rendering/08.obj", "39.8019790649")</f>
        <v>39.8019790649</v>
      </c>
      <c r="L2425" s="116" t="str">
        <f>HYPERLINK(AB2 &amp; "/pliers/3dw_daa0192d-69b1-4aa6-89d6-40132cc29ba9/rendering/09.obj", "12.0188159943")</f>
        <v>12.0188159943</v>
      </c>
      <c r="M2425" s="18" t="str">
        <f>HYPERLINK(AB2 &amp; "/pliers/3dw_daa0192d-69b1-4aa6-89d6-40132cc29ba9/rendering/10.obj", "9.00207233429")</f>
        <v>9.00207233429</v>
      </c>
      <c r="N2425" s="224" t="str">
        <f>HYPERLINK(AB2 &amp; "/pliers/3dw_daa0192d-69b1-4aa6-89d6-40132cc29ba9/rendering/11.obj", "6.2369184494")</f>
        <v>6.2369184494</v>
      </c>
      <c r="O2425" s="180" t="str">
        <f>HYPERLINK(AB2 &amp; "/pliers/3dw_daa0192d-69b1-4aa6-89d6-40132cc29ba9/rendering/12.obj", "4.52348279953")</f>
        <v>4.52348279953</v>
      </c>
      <c r="P2425" s="175" t="str">
        <f>HYPERLINK(AB2 &amp; "/pliers/3dw_daa0192d-69b1-4aa6-89d6-40132cc29ba9/rendering/13.obj", "16.4389781952")</f>
        <v>16.4389781952</v>
      </c>
      <c r="Q2425" s="140" t="str">
        <f>HYPERLINK(AB2 &amp; "/pliers/3dw_daa0192d-69b1-4aa6-89d6-40132cc29ba9/rendering/14.obj", "13.9660387039")</f>
        <v>13.9660387039</v>
      </c>
      <c r="R2425" s="20" t="str">
        <f>HYPERLINK(AB2 &amp; "/pliers/3dw_daa0192d-69b1-4aa6-89d6-40132cc29ba9/rendering/15.obj", "4.04907846451")</f>
        <v>4.04907846451</v>
      </c>
      <c r="S2425" s="195" t="str">
        <f>HYPERLINK(AB2 &amp; "/pliers/3dw_daa0192d-69b1-4aa6-89d6-40132cc29ba9/rendering/16.obj", "9.66582679749")</f>
        <v>9.66582679749</v>
      </c>
      <c r="T2425" s="198" t="str">
        <f>HYPERLINK(AB2 &amp; "/pliers/3dw_daa0192d-69b1-4aa6-89d6-40132cc29ba9/rendering/17.obj", "13.1251955032")</f>
        <v>13.1251955032</v>
      </c>
      <c r="U2425" s="5" t="str">
        <f>HYPERLINK(AB2 &amp; "/pliers/3dw_daa0192d-69b1-4aa6-89d6-40132cc29ba9/rendering/18.obj", "19.7659854889")</f>
        <v>19.7659854889</v>
      </c>
      <c r="V2425" s="20" t="str">
        <f>HYPERLINK(AB2 &amp; "/pliers/3dw_daa0192d-69b1-4aa6-89d6-40132cc29ba9/rendering/19.obj", "62.1178703308")</f>
        <v>62.1178703308</v>
      </c>
      <c r="W2425" s="12" t="s">
        <v>32</v>
      </c>
      <c r="X2425" s="13">
        <v>21.410819315910341</v>
      </c>
      <c r="Y2425" s="13">
        <v>21.365669059656302</v>
      </c>
      <c r="Z2425" s="20">
        <v>0.99789124107826699</v>
      </c>
    </row>
    <row r="2426" spans="1:26" x14ac:dyDescent="0.2">
      <c r="A2426" s="1">
        <v>2424</v>
      </c>
      <c r="B2426" s="2" t="s">
        <v>517</v>
      </c>
      <c r="C2426" s="13" t="str">
        <f>HYPERLINK(AC2 &amp; "/pliers/3dw_daa0192d-69b1-4aa6-89d6-40132cc29ba9/rendering/00.xyz", "0.0")</f>
        <v>0.0</v>
      </c>
      <c r="D2426" s="13" t="str">
        <f>HYPERLINK(AC2 &amp; "/pliers/3dw_daa0192d-69b1-4aa6-89d6-40132cc29ba9/rendering/01.xyz", "0.0")</f>
        <v>0.0</v>
      </c>
      <c r="E2426" s="13" t="str">
        <f>HYPERLINK(AC2 &amp; "/pliers/3dw_daa0192d-69b1-4aa6-89d6-40132cc29ba9/rendering/02.xyz", "0.0")</f>
        <v>0.0</v>
      </c>
      <c r="F2426" s="13" t="str">
        <f>HYPERLINK(AC2 &amp; "/pliers/3dw_daa0192d-69b1-4aa6-89d6-40132cc29ba9/rendering/03.xyz", "0.0")</f>
        <v>0.0</v>
      </c>
      <c r="G2426" s="13" t="str">
        <f>HYPERLINK(AC2 &amp; "/pliers/3dw_daa0192d-69b1-4aa6-89d6-40132cc29ba9/rendering/04.xyz", "0.0")</f>
        <v>0.0</v>
      </c>
      <c r="H2426" s="13" t="str">
        <f>HYPERLINK(AC2 &amp; "/pliers/3dw_daa0192d-69b1-4aa6-89d6-40132cc29ba9/rendering/05.xyz", "0.0")</f>
        <v>0.0</v>
      </c>
      <c r="I2426" s="13" t="str">
        <f>HYPERLINK(AC2 &amp; "/pliers/3dw_daa0192d-69b1-4aa6-89d6-40132cc29ba9/rendering/06.xyz", "0.0")</f>
        <v>0.0</v>
      </c>
      <c r="J2426" s="13" t="str">
        <f>HYPERLINK(AC2 &amp; "/pliers/3dw_daa0192d-69b1-4aa6-89d6-40132cc29ba9/rendering/07.xyz", "0.0")</f>
        <v>0.0</v>
      </c>
      <c r="K2426" s="13" t="str">
        <f>HYPERLINK(AC2 &amp; "/pliers/3dw_daa0192d-69b1-4aa6-89d6-40132cc29ba9/rendering/08.xyz", "0.0")</f>
        <v>0.0</v>
      </c>
      <c r="L2426" s="13" t="str">
        <f>HYPERLINK(AC2 &amp; "/pliers/3dw_daa0192d-69b1-4aa6-89d6-40132cc29ba9/rendering/09.xyz", "0.0")</f>
        <v>0.0</v>
      </c>
      <c r="M2426" s="13" t="str">
        <f>HYPERLINK(AC2 &amp; "/pliers/3dw_daa0192d-69b1-4aa6-89d6-40132cc29ba9/rendering/10.xyz", "0.0")</f>
        <v>0.0</v>
      </c>
      <c r="N2426" s="13" t="str">
        <f>HYPERLINK(AC2 &amp; "/pliers/3dw_daa0192d-69b1-4aa6-89d6-40132cc29ba9/rendering/11.xyz", "0.0")</f>
        <v>0.0</v>
      </c>
      <c r="O2426" s="13" t="str">
        <f>HYPERLINK(AC2 &amp; "/pliers/3dw_daa0192d-69b1-4aa6-89d6-40132cc29ba9/rendering/12.xyz", "0.0")</f>
        <v>0.0</v>
      </c>
      <c r="P2426" s="13" t="str">
        <f>HYPERLINK(AC2 &amp; "/pliers/3dw_daa0192d-69b1-4aa6-89d6-40132cc29ba9/rendering/13.xyz", "0.0")</f>
        <v>0.0</v>
      </c>
      <c r="Q2426" s="13" t="str">
        <f>HYPERLINK(AC2 &amp; "/pliers/3dw_daa0192d-69b1-4aa6-89d6-40132cc29ba9/rendering/14.xyz", "0.0")</f>
        <v>0.0</v>
      </c>
      <c r="R2426" s="13" t="str">
        <f>HYPERLINK(AC2 &amp; "/pliers/3dw_daa0192d-69b1-4aa6-89d6-40132cc29ba9/rendering/15.xyz", "0.0")</f>
        <v>0.0</v>
      </c>
      <c r="S2426" s="13" t="str">
        <f>HYPERLINK(AC2 &amp; "/pliers/3dw_daa0192d-69b1-4aa6-89d6-40132cc29ba9/rendering/16.xyz", "0.0")</f>
        <v>0.0</v>
      </c>
      <c r="T2426" s="13" t="str">
        <f>HYPERLINK(AC2 &amp; "/pliers/3dw_daa0192d-69b1-4aa6-89d6-40132cc29ba9/rendering/17.xyz", "0.0")</f>
        <v>0.0</v>
      </c>
      <c r="U2426" s="13" t="str">
        <f>HYPERLINK(AC2 &amp; "/pliers/3dw_daa0192d-69b1-4aa6-89d6-40132cc29ba9/rendering/18.xyz", "0.0")</f>
        <v>0.0</v>
      </c>
      <c r="V2426" s="13" t="str">
        <f>HYPERLINK(AC2 &amp; "/pliers/3dw_daa0192d-69b1-4aa6-89d6-40132cc29ba9/rendering/19.xyz", "0.0")</f>
        <v>0.0</v>
      </c>
      <c r="W2426" s="12" t="s">
        <v>33</v>
      </c>
      <c r="X2426" s="13">
        <v>0</v>
      </c>
      <c r="Y2426" s="13">
        <v>0</v>
      </c>
      <c r="Z2426" s="13">
        <v>0</v>
      </c>
    </row>
    <row r="2427" spans="1:26" x14ac:dyDescent="0.2">
      <c r="A2427" s="1">
        <v>2425</v>
      </c>
      <c r="B2427" s="2" t="s">
        <v>518</v>
      </c>
      <c r="C2427" s="167" t="str">
        <f>HYPERLINK(AA2 &amp; "/pliers/3dw_e467b989-03b7-4c12-8def-dbf5ec1bed80/rendering/00.obj", "1.96751068115")</f>
        <v>1.96751068115</v>
      </c>
      <c r="D2427" s="41" t="str">
        <f>HYPERLINK(AA2 &amp; "/pliers/3dw_e467b989-03b7-4c12-8def-dbf5ec1bed80/rendering/01.obj", "4.64163604736")</f>
        <v>4.64163604736</v>
      </c>
      <c r="E2427" s="20" t="str">
        <f>HYPERLINK(AA2 &amp; "/pliers/3dw_e467b989-03b7-4c12-8def-dbf5ec1bed80/rendering/02.obj", "13.937043457")</f>
        <v>13.937043457</v>
      </c>
      <c r="F2427" s="148" t="str">
        <f>HYPERLINK(AA2 &amp; "/pliers/3dw_e467b989-03b7-4c12-8def-dbf5ec1bed80/rendering/03.obj", "2.56945587158")</f>
        <v>2.56945587158</v>
      </c>
      <c r="G2427" s="20" t="str">
        <f>HYPERLINK(AA2 &amp; "/pliers/3dw_e467b989-03b7-4c12-8def-dbf5ec1bed80/rendering/04.obj", "9.43554931641")</f>
        <v>9.43554931641</v>
      </c>
      <c r="H2427" s="218" t="str">
        <f>HYPERLINK(AA2 &amp; "/pliers/3dw_e467b989-03b7-4c12-8def-dbf5ec1bed80/rendering/05.obj", "2.40761077881")</f>
        <v>2.40761077881</v>
      </c>
      <c r="I2427" s="104" t="str">
        <f>HYPERLINK(AA2 &amp; "/pliers/3dw_e467b989-03b7-4c12-8def-dbf5ec1bed80/rendering/06.obj", "2.60691711426")</f>
        <v>2.60691711426</v>
      </c>
      <c r="J2427" s="240" t="str">
        <f>HYPERLINK(AA2 &amp; "/pliers/3dw_e467b989-03b7-4c12-8def-dbf5ec1bed80/rendering/07.obj", "8.2398815918")</f>
        <v>8.2398815918</v>
      </c>
      <c r="K2427" s="104" t="str">
        <f>HYPERLINK(AA2 &amp; "/pliers/3dw_e467b989-03b7-4c12-8def-dbf5ec1bed80/rendering/08.obj", "2.61755340576")</f>
        <v>2.61755340576</v>
      </c>
      <c r="L2427" s="235" t="str">
        <f>HYPERLINK(AA2 &amp; "/pliers/3dw_e467b989-03b7-4c12-8def-dbf5ec1bed80/rendering/09.obj", "2.27855316162")</f>
        <v>2.27855316162</v>
      </c>
      <c r="M2427" s="20" t="str">
        <f>HYPERLINK(AA2 &amp; "/pliers/3dw_e467b989-03b7-4c12-8def-dbf5ec1bed80/rendering/10.obj", "11.4807312012")</f>
        <v>11.4807312012</v>
      </c>
      <c r="N2427" s="105" t="str">
        <f>HYPERLINK(AA2 &amp; "/pliers/3dw_e467b989-03b7-4c12-8def-dbf5ec1bed80/rendering/11.obj", "7.53210327148")</f>
        <v>7.53210327148</v>
      </c>
      <c r="O2427" s="226" t="str">
        <f>HYPERLINK(AA2 &amp; "/pliers/3dw_e467b989-03b7-4c12-8def-dbf5ec1bed80/rendering/12.obj", "2.17423492432")</f>
        <v>2.17423492432</v>
      </c>
      <c r="P2427" s="189" t="str">
        <f>HYPERLINK(AA2 &amp; "/pliers/3dw_e467b989-03b7-4c12-8def-dbf5ec1bed80/rendering/13.obj", "1.86626373291")</f>
        <v>1.86626373291</v>
      </c>
      <c r="Q2427" s="172" t="str">
        <f>HYPERLINK(AA2 &amp; "/pliers/3dw_e467b989-03b7-4c12-8def-dbf5ec1bed80/rendering/14.obj", "3.06172912598")</f>
        <v>3.06172912598</v>
      </c>
      <c r="R2427" s="158" t="str">
        <f>HYPERLINK(AA2 &amp; "/pliers/3dw_e467b989-03b7-4c12-8def-dbf5ec1bed80/rendering/15.obj", "2.94528381348")</f>
        <v>2.94528381348</v>
      </c>
      <c r="S2427" s="64" t="str">
        <f>HYPERLINK(AA2 &amp; "/pliers/3dw_e467b989-03b7-4c12-8def-dbf5ec1bed80/rendering/16.obj", "4.15614685059")</f>
        <v>4.15614685059</v>
      </c>
      <c r="T2427" s="62" t="str">
        <f>HYPERLINK(AA2 &amp; "/pliers/3dw_e467b989-03b7-4c12-8def-dbf5ec1bed80/rendering/17.obj", "2.00707946777")</f>
        <v>2.00707946777</v>
      </c>
      <c r="U2427" s="20" t="str">
        <f>HYPERLINK(AA2 &amp; "/pliers/3dw_e467b989-03b7-4c12-8def-dbf5ec1bed80/rendering/18.obj", "11.3071948242")</f>
        <v>11.3071948242</v>
      </c>
      <c r="V2427" s="174" t="str">
        <f>HYPERLINK(AA2 &amp; "/pliers/3dw_e467b989-03b7-4c12-8def-dbf5ec1bed80/rendering/19.obj", "2.36613250732")</f>
        <v>2.36613250732</v>
      </c>
      <c r="W2427" s="12" t="s">
        <v>29</v>
      </c>
      <c r="X2427" s="13">
        <v>4.9799305572509782</v>
      </c>
      <c r="Y2427" s="13">
        <v>3.7508551521854701</v>
      </c>
      <c r="Z2427" s="247">
        <v>0.75319426828634672</v>
      </c>
    </row>
    <row r="2428" spans="1:26" x14ac:dyDescent="0.2">
      <c r="A2428" s="1">
        <v>2426</v>
      </c>
      <c r="B2428" s="2" t="s">
        <v>518</v>
      </c>
      <c r="C2428" s="20" t="str">
        <f>HYPERLINK(AA2 &amp; "/pliers/3dw_e467b989-03b7-4c12-8def-dbf5ec1bed80/rendering/00.obj", "3.36049699783")</f>
        <v>3.36049699783</v>
      </c>
      <c r="D2428" s="115" t="str">
        <f>HYPERLINK(AA2 &amp; "/pliers/3dw_e467b989-03b7-4c12-8def-dbf5ec1bed80/rendering/01.obj", "9.50176811218")</f>
        <v>9.50176811218</v>
      </c>
      <c r="E2428" s="20" t="str">
        <f>HYPERLINK(AA2 &amp; "/pliers/3dw_e467b989-03b7-4c12-8def-dbf5ec1bed80/rendering/02.obj", "212.206588745")</f>
        <v>212.206588745</v>
      </c>
      <c r="F2428" s="20" t="str">
        <f>HYPERLINK(AA2 &amp; "/pliers/3dw_e467b989-03b7-4c12-8def-dbf5ec1bed80/rendering/03.obj", "3.75241804123")</f>
        <v>3.75241804123</v>
      </c>
      <c r="G2428" s="20" t="str">
        <f>HYPERLINK(AA2 &amp; "/pliers/3dw_e467b989-03b7-4c12-8def-dbf5ec1bed80/rendering/04.obj", "65.7865905762")</f>
        <v>65.7865905762</v>
      </c>
      <c r="H2428" s="20" t="str">
        <f>HYPERLINK(AA2 &amp; "/pliers/3dw_e467b989-03b7-4c12-8def-dbf5ec1bed80/rendering/05.obj", "5.24159479141")</f>
        <v>5.24159479141</v>
      </c>
      <c r="I2428" s="20" t="str">
        <f>HYPERLINK(AA2 &amp; "/pliers/3dw_e467b989-03b7-4c12-8def-dbf5ec1bed80/rendering/06.obj", "5.060962677")</f>
        <v>5.060962677</v>
      </c>
      <c r="J2428" s="71" t="str">
        <f>HYPERLINK(AA2 &amp; "/pliers/3dw_e467b989-03b7-4c12-8def-dbf5ec1bed80/rendering/07.obj", "29.3918457031")</f>
        <v>29.3918457031</v>
      </c>
      <c r="K2428" s="209" t="str">
        <f>HYPERLINK(AA2 &amp; "/pliers/3dw_e467b989-03b7-4c12-8def-dbf5ec1bed80/rendering/08.obj", "6.38107681274")</f>
        <v>6.38107681274</v>
      </c>
      <c r="L2428" s="20" t="str">
        <f>HYPERLINK(AA2 &amp; "/pliers/3dw_e467b989-03b7-4c12-8def-dbf5ec1bed80/rendering/09.obj", "3.94584059715")</f>
        <v>3.94584059715</v>
      </c>
      <c r="M2428" s="20" t="str">
        <f>HYPERLINK(AA2 &amp; "/pliers/3dw_e467b989-03b7-4c12-8def-dbf5ec1bed80/rendering/10.obj", "67.5475540161")</f>
        <v>67.5475540161</v>
      </c>
      <c r="N2428" s="11" t="str">
        <f>HYPERLINK(AA2 &amp; "/pliers/3dw_e467b989-03b7-4c12-8def-dbf5ec1bed80/rendering/11.obj", "32.225063324")</f>
        <v>32.225063324</v>
      </c>
      <c r="O2428" s="20" t="str">
        <f>HYPERLINK(AA2 &amp; "/pliers/3dw_e467b989-03b7-4c12-8def-dbf5ec1bed80/rendering/12.obj", "4.54703426361")</f>
        <v>4.54703426361</v>
      </c>
      <c r="P2428" s="20" t="str">
        <f>HYPERLINK(AA2 &amp; "/pliers/3dw_e467b989-03b7-4c12-8def-dbf5ec1bed80/rendering/13.obj", "3.69576191902")</f>
        <v>3.69576191902</v>
      </c>
      <c r="Q2428" s="207" t="str">
        <f>HYPERLINK(AA2 &amp; "/pliers/3dw_e467b989-03b7-4c12-8def-dbf5ec1bed80/rendering/14.obj", "7.09421777725")</f>
        <v>7.09421777725</v>
      </c>
      <c r="R2428" s="20" t="str">
        <f>HYPERLINK(AA2 &amp; "/pliers/3dw_e467b989-03b7-4c12-8def-dbf5ec1bed80/rendering/15.obj", "4.99334478378")</f>
        <v>4.99334478378</v>
      </c>
      <c r="S2428" s="189" t="str">
        <f>HYPERLINK(AA2 &amp; "/pliers/3dw_e467b989-03b7-4c12-8def-dbf5ec1bed80/rendering/16.obj", "9.84426879883")</f>
        <v>9.84426879883</v>
      </c>
      <c r="T2428" s="20" t="str">
        <f>HYPERLINK(AA2 &amp; "/pliers/3dw_e467b989-03b7-4c12-8def-dbf5ec1bed80/rendering/17.obj", "3.24500346184")</f>
        <v>3.24500346184</v>
      </c>
      <c r="U2428" s="9" t="str">
        <f>HYPERLINK(AA2 &amp; "/pliers/3dw_e467b989-03b7-4c12-8def-dbf5ec1bed80/rendering/18.obj", "43.618560791")</f>
        <v>43.618560791</v>
      </c>
      <c r="V2428" s="20" t="str">
        <f>HYPERLINK(AA2 &amp; "/pliers/3dw_e467b989-03b7-4c12-8def-dbf5ec1bed80/rendering/19.obj", "5.25561571121")</f>
        <v>5.25561571121</v>
      </c>
      <c r="W2428" s="12" t="s">
        <v>30</v>
      </c>
      <c r="X2428" s="13">
        <v>26.334780395030979</v>
      </c>
      <c r="Y2428" s="13">
        <v>47.077794256091643</v>
      </c>
      <c r="Z2428" s="20">
        <v>1.7876661035295589</v>
      </c>
    </row>
    <row r="2429" spans="1:26" x14ac:dyDescent="0.2">
      <c r="A2429" s="1">
        <v>2427</v>
      </c>
      <c r="B2429" s="2" t="s">
        <v>518</v>
      </c>
      <c r="C2429" s="120" t="str">
        <f>HYPERLINK(AB2 &amp; "/pliers/3dw_e467b989-03b7-4c12-8def-dbf5ec1bed80/rendering/00.obj", "1.7925328064")</f>
        <v>1.7925328064</v>
      </c>
      <c r="D2429" s="32" t="str">
        <f>HYPERLINK(AB2 &amp; "/pliers/3dw_e467b989-03b7-4c12-8def-dbf5ec1bed80/rendering/01.obj", "2.51143859863")</f>
        <v>2.51143859863</v>
      </c>
      <c r="E2429" s="58" t="str">
        <f>HYPERLINK(AB2 &amp; "/pliers/3dw_e467b989-03b7-4c12-8def-dbf5ec1bed80/rendering/02.obj", "1.71823486328")</f>
        <v>1.71823486328</v>
      </c>
      <c r="F2429" s="93" t="str">
        <f>HYPERLINK(AB2 &amp; "/pliers/3dw_e467b989-03b7-4c12-8def-dbf5ec1bed80/rendering/03.obj", "1.95718521118")</f>
        <v>1.95718521118</v>
      </c>
      <c r="G2429" s="78" t="str">
        <f>HYPERLINK(AB2 &amp; "/pliers/3dw_e467b989-03b7-4c12-8def-dbf5ec1bed80/rendering/04.obj", "2.41563171387")</f>
        <v>2.41563171387</v>
      </c>
      <c r="H2429" s="93" t="str">
        <f>HYPERLINK(AB2 &amp; "/pliers/3dw_e467b989-03b7-4c12-8def-dbf5ec1bed80/rendering/05.obj", "2.59338928223")</f>
        <v>2.59338928223</v>
      </c>
      <c r="I2429" s="40" t="str">
        <f>HYPERLINK(AB2 &amp; "/pliers/3dw_e467b989-03b7-4c12-8def-dbf5ec1bed80/rendering/06.obj", "2.66289978027")</f>
        <v>2.66289978027</v>
      </c>
      <c r="J2429" s="91" t="str">
        <f>HYPERLINK(AB2 &amp; "/pliers/3dw_e467b989-03b7-4c12-8def-dbf5ec1bed80/rendering/07.obj", "2.21380401611")</f>
        <v>2.21380401611</v>
      </c>
      <c r="K2429" s="41" t="str">
        <f>HYPERLINK(AB2 &amp; "/pliers/3dw_e467b989-03b7-4c12-8def-dbf5ec1bed80/rendering/08.obj", "2.43047973633")</f>
        <v>2.43047973633</v>
      </c>
      <c r="L2429" s="10" t="str">
        <f>HYPERLINK(AB2 &amp; "/pliers/3dw_e467b989-03b7-4c12-8def-dbf5ec1bed80/rendering/09.obj", "2.15012786865")</f>
        <v>2.15012786865</v>
      </c>
      <c r="M2429" s="33" t="str">
        <f>HYPERLINK(AB2 &amp; "/pliers/3dw_e467b989-03b7-4c12-8def-dbf5ec1bed80/rendering/10.obj", "2.02873474121")</f>
        <v>2.02873474121</v>
      </c>
      <c r="N2429" s="32" t="str">
        <f>HYPERLINK(AB2 &amp; "/pliers/3dw_e467b989-03b7-4c12-8def-dbf5ec1bed80/rendering/11.obj", "2.03592803955")</f>
        <v>2.03592803955</v>
      </c>
      <c r="O2429" s="93" t="str">
        <f>HYPERLINK(AB2 &amp; "/pliers/3dw_e467b989-03b7-4c12-8def-dbf5ec1bed80/rendering/12.obj", "2.59149230957")</f>
        <v>2.59149230957</v>
      </c>
      <c r="P2429" s="42" t="str">
        <f>HYPERLINK(AB2 &amp; "/pliers/3dw_e467b989-03b7-4c12-8def-dbf5ec1bed80/rendering/13.obj", "1.9605305481")</f>
        <v>1.9605305481</v>
      </c>
      <c r="Q2429" s="34" t="str">
        <f>HYPERLINK(AB2 &amp; "/pliers/3dw_e467b989-03b7-4c12-8def-dbf5ec1bed80/rendering/14.obj", "2.38209854126")</f>
        <v>2.38209854126</v>
      </c>
      <c r="R2429" s="40" t="str">
        <f>HYPERLINK(AB2 &amp; "/pliers/3dw_e467b989-03b7-4c12-8def-dbf5ec1bed80/rendering/15.obj", "2.66099395752")</f>
        <v>2.66099395752</v>
      </c>
      <c r="S2429" s="33" t="str">
        <f>HYPERLINK(AB2 &amp; "/pliers/3dw_e467b989-03b7-4c12-8def-dbf5ec1bed80/rendering/16.obj", "2.51839981079")</f>
        <v>2.51839981079</v>
      </c>
      <c r="T2429" s="75" t="str">
        <f>HYPERLINK(AB2 &amp; "/pliers/3dw_e467b989-03b7-4c12-8def-dbf5ec1bed80/rendering/17.obj", "1.77388580322")</f>
        <v>1.77388580322</v>
      </c>
      <c r="U2429" s="93" t="str">
        <f>HYPERLINK(AB2 &amp; "/pliers/3dw_e467b989-03b7-4c12-8def-dbf5ec1bed80/rendering/18.obj", "1.95804626465")</f>
        <v>1.95804626465</v>
      </c>
      <c r="V2429" s="192" t="str">
        <f>HYPERLINK(AB2 &amp; "/pliers/3dw_e467b989-03b7-4c12-8def-dbf5ec1bed80/rendering/19.obj", "3.12105834961")</f>
        <v>3.12105834961</v>
      </c>
      <c r="W2429" s="12" t="s">
        <v>31</v>
      </c>
      <c r="X2429" s="13">
        <v>2.2738446121215818</v>
      </c>
      <c r="Y2429" s="13">
        <v>0.36185128856757759</v>
      </c>
      <c r="Z2429" s="79">
        <v>0.15913633088144791</v>
      </c>
    </row>
    <row r="2430" spans="1:26" x14ac:dyDescent="0.2">
      <c r="A2430" s="1">
        <v>2428</v>
      </c>
      <c r="B2430" s="2" t="s">
        <v>518</v>
      </c>
      <c r="C2430" s="38" t="str">
        <f>HYPERLINK(AB2 &amp; "/pliers/3dw_e467b989-03b7-4c12-8def-dbf5ec1bed80/rendering/00.obj", "3.10007381439")</f>
        <v>3.10007381439</v>
      </c>
      <c r="D2430" s="77" t="str">
        <f>HYPERLINK(AB2 &amp; "/pliers/3dw_e467b989-03b7-4c12-8def-dbf5ec1bed80/rendering/01.obj", "4.03985404968")</f>
        <v>4.03985404968</v>
      </c>
      <c r="E2430" s="94" t="str">
        <f>HYPERLINK(AB2 &amp; "/pliers/3dw_e467b989-03b7-4c12-8def-dbf5ec1bed80/rendering/02.obj", "3.15182614326")</f>
        <v>3.15182614326</v>
      </c>
      <c r="F2430" s="71" t="str">
        <f>HYPERLINK(AB2 &amp; "/pliers/3dw_e467b989-03b7-4c12-8def-dbf5ec1bed80/rendering/03.obj", "3.00689888")</f>
        <v>3.00689888</v>
      </c>
      <c r="G2430" s="110" t="str">
        <f>HYPERLINK(AB2 &amp; "/pliers/3dw_e467b989-03b7-4c12-8def-dbf5ec1bed80/rendering/04.obj", "3.7377178669")</f>
        <v>3.7377178669</v>
      </c>
      <c r="H2430" s="120" t="str">
        <f>HYPERLINK(AB2 &amp; "/pliers/3dw_e467b989-03b7-4c12-8def-dbf5ec1bed80/rendering/05.obj", "4.12897491455")</f>
        <v>4.12897491455</v>
      </c>
      <c r="I2430" s="33" t="str">
        <f>HYPERLINK(AB2 &amp; "/pliers/3dw_e467b989-03b7-4c12-8def-dbf5ec1bed80/rendering/06.obj", "3.77722644806")</f>
        <v>3.77722644806</v>
      </c>
      <c r="J2430" s="35" t="str">
        <f>HYPERLINK(AB2 &amp; "/pliers/3dw_e467b989-03b7-4c12-8def-dbf5ec1bed80/rendering/07.obj", "3.20473265648")</f>
        <v>3.20473265648</v>
      </c>
      <c r="K2430" s="24" t="str">
        <f>HYPERLINK(AB2 &amp; "/pliers/3dw_e467b989-03b7-4c12-8def-dbf5ec1bed80/rendering/08.obj", "3.97438383102")</f>
        <v>3.97438383102</v>
      </c>
      <c r="L2430" s="17" t="str">
        <f>HYPERLINK(AB2 &amp; "/pliers/3dw_e467b989-03b7-4c12-8def-dbf5ec1bed80/rendering/09.obj", "3.33386492729")</f>
        <v>3.33386492729</v>
      </c>
      <c r="M2430" s="70" t="str">
        <f>HYPERLINK(AB2 &amp; "/pliers/3dw_e467b989-03b7-4c12-8def-dbf5ec1bed80/rendering/10.obj", "2.96873092651")</f>
        <v>2.96873092651</v>
      </c>
      <c r="N2430" s="6" t="str">
        <f>HYPERLINK(AB2 &amp; "/pliers/3dw_e467b989-03b7-4c12-8def-dbf5ec1bed80/rendering/11.obj", "3.25392651558")</f>
        <v>3.25392651558</v>
      </c>
      <c r="O2430" s="133" t="str">
        <f>HYPERLINK(AB2 &amp; "/pliers/3dw_e467b989-03b7-4c12-8def-dbf5ec1bed80/rendering/12.obj", "3.05852079391")</f>
        <v>3.05852079391</v>
      </c>
      <c r="P2430" s="94" t="str">
        <f>HYPERLINK(AB2 &amp; "/pliers/3dw_e467b989-03b7-4c12-8def-dbf5ec1bed80/rendering/13.obj", "3.15139317513")</f>
        <v>3.15139317513</v>
      </c>
      <c r="Q2430" s="64" t="str">
        <f>HYPERLINK(AB2 &amp; "/pliers/3dw_e467b989-03b7-4c12-8def-dbf5ec1bed80/rendering/14.obj", "3.96870732307")</f>
        <v>3.96870732307</v>
      </c>
      <c r="R2430" s="64" t="str">
        <f>HYPERLINK(AB2 &amp; "/pliers/3dw_e467b989-03b7-4c12-8def-dbf5ec1bed80/rendering/15.obj", "2.84386229515")</f>
        <v>2.84386229515</v>
      </c>
      <c r="S2430" s="84" t="str">
        <f>HYPERLINK(AB2 &amp; "/pliers/3dw_e467b989-03b7-4c12-8def-dbf5ec1bed80/rendering/16.obj", "3.90735793114")</f>
        <v>3.90735793114</v>
      </c>
      <c r="T2430" s="50" t="str">
        <f>HYPERLINK(AB2 &amp; "/pliers/3dw_e467b989-03b7-4c12-8def-dbf5ec1bed80/rendering/17.obj", "2.72770428658")</f>
        <v>2.72770428658</v>
      </c>
      <c r="U2430" s="27" t="str">
        <f>HYPERLINK(AB2 &amp; "/pliers/3dw_e467b989-03b7-4c12-8def-dbf5ec1bed80/rendering/18.obj", "3.16748642921")</f>
        <v>3.16748642921</v>
      </c>
      <c r="V2430" s="35" t="str">
        <f>HYPERLINK(AB2 &amp; "/pliers/3dw_e467b989-03b7-4c12-8def-dbf5ec1bed80/rendering/19.obj", "3.60453128815")</f>
        <v>3.60453128815</v>
      </c>
      <c r="W2430" s="12" t="s">
        <v>32</v>
      </c>
      <c r="X2430" s="13">
        <v>3.4053887248039252</v>
      </c>
      <c r="Y2430" s="13">
        <v>0.43004852650417319</v>
      </c>
      <c r="Z2430" s="70">
        <v>0.12628470969314509</v>
      </c>
    </row>
    <row r="2431" spans="1:26" x14ac:dyDescent="0.2">
      <c r="A2431" s="1">
        <v>2429</v>
      </c>
      <c r="B2431" s="2" t="s">
        <v>518</v>
      </c>
      <c r="C2431" s="13" t="str">
        <f>HYPERLINK(AC2 &amp; "/pliers/3dw_e467b989-03b7-4c12-8def-dbf5ec1bed80/rendering/00.xyz", "0.0")</f>
        <v>0.0</v>
      </c>
      <c r="D2431" s="13" t="str">
        <f>HYPERLINK(AC2 &amp; "/pliers/3dw_e467b989-03b7-4c12-8def-dbf5ec1bed80/rendering/01.xyz", "0.0")</f>
        <v>0.0</v>
      </c>
      <c r="E2431" s="13" t="str">
        <f>HYPERLINK(AC2 &amp; "/pliers/3dw_e467b989-03b7-4c12-8def-dbf5ec1bed80/rendering/02.xyz", "0.0")</f>
        <v>0.0</v>
      </c>
      <c r="F2431" s="13" t="str">
        <f>HYPERLINK(AC2 &amp; "/pliers/3dw_e467b989-03b7-4c12-8def-dbf5ec1bed80/rendering/03.xyz", "0.0")</f>
        <v>0.0</v>
      </c>
      <c r="G2431" s="13" t="str">
        <f>HYPERLINK(AC2 &amp; "/pliers/3dw_e467b989-03b7-4c12-8def-dbf5ec1bed80/rendering/04.xyz", "0.0")</f>
        <v>0.0</v>
      </c>
      <c r="H2431" s="13" t="str">
        <f>HYPERLINK(AC2 &amp; "/pliers/3dw_e467b989-03b7-4c12-8def-dbf5ec1bed80/rendering/05.xyz", "0.0")</f>
        <v>0.0</v>
      </c>
      <c r="I2431" s="13" t="str">
        <f>HYPERLINK(AC2 &amp; "/pliers/3dw_e467b989-03b7-4c12-8def-dbf5ec1bed80/rendering/06.xyz", "0.0")</f>
        <v>0.0</v>
      </c>
      <c r="J2431" s="13" t="str">
        <f>HYPERLINK(AC2 &amp; "/pliers/3dw_e467b989-03b7-4c12-8def-dbf5ec1bed80/rendering/07.xyz", "0.0")</f>
        <v>0.0</v>
      </c>
      <c r="K2431" s="13" t="str">
        <f>HYPERLINK(AC2 &amp; "/pliers/3dw_e467b989-03b7-4c12-8def-dbf5ec1bed80/rendering/08.xyz", "0.0")</f>
        <v>0.0</v>
      </c>
      <c r="L2431" s="13" t="str">
        <f>HYPERLINK(AC2 &amp; "/pliers/3dw_e467b989-03b7-4c12-8def-dbf5ec1bed80/rendering/09.xyz", "0.0")</f>
        <v>0.0</v>
      </c>
      <c r="M2431" s="13" t="str">
        <f>HYPERLINK(AC2 &amp; "/pliers/3dw_e467b989-03b7-4c12-8def-dbf5ec1bed80/rendering/10.xyz", "0.0")</f>
        <v>0.0</v>
      </c>
      <c r="N2431" s="13" t="str">
        <f>HYPERLINK(AC2 &amp; "/pliers/3dw_e467b989-03b7-4c12-8def-dbf5ec1bed80/rendering/11.xyz", "0.0")</f>
        <v>0.0</v>
      </c>
      <c r="O2431" s="13" t="str">
        <f>HYPERLINK(AC2 &amp; "/pliers/3dw_e467b989-03b7-4c12-8def-dbf5ec1bed80/rendering/12.xyz", "0.0")</f>
        <v>0.0</v>
      </c>
      <c r="P2431" s="13" t="str">
        <f>HYPERLINK(AC2 &amp; "/pliers/3dw_e467b989-03b7-4c12-8def-dbf5ec1bed80/rendering/13.xyz", "0.0")</f>
        <v>0.0</v>
      </c>
      <c r="Q2431" s="13" t="str">
        <f>HYPERLINK(AC2 &amp; "/pliers/3dw_e467b989-03b7-4c12-8def-dbf5ec1bed80/rendering/14.xyz", "0.0")</f>
        <v>0.0</v>
      </c>
      <c r="R2431" s="13" t="str">
        <f>HYPERLINK(AC2 &amp; "/pliers/3dw_e467b989-03b7-4c12-8def-dbf5ec1bed80/rendering/15.xyz", "0.0")</f>
        <v>0.0</v>
      </c>
      <c r="S2431" s="13" t="str">
        <f>HYPERLINK(AC2 &amp; "/pliers/3dw_e467b989-03b7-4c12-8def-dbf5ec1bed80/rendering/16.xyz", "0.0")</f>
        <v>0.0</v>
      </c>
      <c r="T2431" s="13" t="str">
        <f>HYPERLINK(AC2 &amp; "/pliers/3dw_e467b989-03b7-4c12-8def-dbf5ec1bed80/rendering/17.xyz", "0.0")</f>
        <v>0.0</v>
      </c>
      <c r="U2431" s="13" t="str">
        <f>HYPERLINK(AC2 &amp; "/pliers/3dw_e467b989-03b7-4c12-8def-dbf5ec1bed80/rendering/18.xyz", "0.0")</f>
        <v>0.0</v>
      </c>
      <c r="V2431" s="13" t="str">
        <f>HYPERLINK(AC2 &amp; "/pliers/3dw_e467b989-03b7-4c12-8def-dbf5ec1bed80/rendering/19.xyz", "0.0")</f>
        <v>0.0</v>
      </c>
      <c r="W2431" s="12" t="s">
        <v>33</v>
      </c>
      <c r="X2431" s="13">
        <v>0</v>
      </c>
      <c r="Y2431" s="13">
        <v>0</v>
      </c>
      <c r="Z2431" s="13">
        <v>0</v>
      </c>
    </row>
    <row r="2432" spans="1:26" x14ac:dyDescent="0.2">
      <c r="A2432" s="1">
        <v>2430</v>
      </c>
      <c r="B2432" s="2" t="s">
        <v>519</v>
      </c>
      <c r="C2432" s="53" t="str">
        <f>HYPERLINK(AA2 &amp; "/pliers/3dw_e542d64c-1554-414b-b34b-098b0c6770d4/rendering/00.obj", "1.52280776978")</f>
        <v>1.52280776978</v>
      </c>
      <c r="D2432" s="134" t="str">
        <f>HYPERLINK(AA2 &amp; "/pliers/3dw_e542d64c-1554-414b-b34b-098b0c6770d4/rendering/01.obj", "3.06704040527")</f>
        <v>3.06704040527</v>
      </c>
      <c r="E2432" s="35" t="str">
        <f>HYPERLINK(AA2 &amp; "/pliers/3dw_e542d64c-1554-414b-b34b-098b0c6770d4/rendering/02.obj", "2.44420959473")</f>
        <v>2.44420959473</v>
      </c>
      <c r="F2432" s="48" t="str">
        <f>HYPERLINK(AA2 &amp; "/pliers/3dw_e542d64c-1554-414b-b34b-098b0c6770d4/rendering/03.obj", "2.53194625854")</f>
        <v>2.53194625854</v>
      </c>
      <c r="G2432" s="57" t="str">
        <f>HYPERLINK(AA2 &amp; "/pliers/3dw_e542d64c-1554-414b-b34b-098b0c6770d4/rendering/04.obj", "1.77704696655")</f>
        <v>1.77704696655</v>
      </c>
      <c r="H2432" s="158" t="str">
        <f>HYPERLINK(AA2 &amp; "/pliers/3dw_e542d64c-1554-414b-b34b-098b0c6770d4/rendering/05.obj", "3.65684417725")</f>
        <v>3.65684417725</v>
      </c>
      <c r="I2432" s="94" t="str">
        <f>HYPERLINK(AA2 &amp; "/pliers/3dw_e542d64c-1554-414b-b34b-098b0c6770d4/rendering/06.obj", "2.40634796143")</f>
        <v>2.40634796143</v>
      </c>
      <c r="J2432" s="20" t="str">
        <f>HYPERLINK(AA2 &amp; "/pliers/3dw_e542d64c-1554-414b-b34b-098b0c6770d4/rendering/07.obj", "5.33710388184")</f>
        <v>5.33710388184</v>
      </c>
      <c r="K2432" s="89" t="str">
        <f>HYPERLINK(AA2 &amp; "/pliers/3dw_e542d64c-1554-414b-b34b-098b0c6770d4/rendering/08.obj", "3.26569061279")</f>
        <v>3.26569061279</v>
      </c>
      <c r="L2432" s="116" t="str">
        <f>HYPERLINK(AA2 &amp; "/pliers/3dw_e542d64c-1554-414b-b34b-098b0c6770d4/rendering/09.obj", "1.45836639404")</f>
        <v>1.45836639404</v>
      </c>
      <c r="M2432" s="20" t="str">
        <f>HYPERLINK(AA2 &amp; "/pliers/3dw_e542d64c-1554-414b-b34b-098b0c6770d4/rendering/10.obj", "5.00339874268")</f>
        <v>5.00339874268</v>
      </c>
      <c r="N2432" s="26" t="str">
        <f>HYPERLINK(AA2 &amp; "/pliers/3dw_e542d64c-1554-414b-b34b-098b0c6770d4/rendering/11.obj", "2.43139953613")</f>
        <v>2.43139953613</v>
      </c>
      <c r="O2432" s="59" t="str">
        <f>HYPERLINK(AA2 &amp; "/pliers/3dw_e542d64c-1554-414b-b34b-098b0c6770d4/rendering/12.obj", "1.97642852783")</f>
        <v>1.97642852783</v>
      </c>
      <c r="P2432" s="27" t="str">
        <f>HYPERLINK(AA2 &amp; "/pliers/3dw_e542d64c-1554-414b-b34b-098b0c6770d4/rendering/13.obj", "2.4119909668")</f>
        <v>2.4119909668</v>
      </c>
      <c r="Q2432" s="185" t="str">
        <f>HYPERLINK(AA2 &amp; "/pliers/3dw_e542d64c-1554-414b-b34b-098b0c6770d4/rendering/14.obj", "1.71270172119")</f>
        <v>1.71270172119</v>
      </c>
      <c r="R2432" s="171" t="str">
        <f>HYPERLINK(AA2 &amp; "/pliers/3dw_e542d64c-1554-414b-b34b-098b0c6770d4/rendering/15.obj", "1.80213562012")</f>
        <v>1.80213562012</v>
      </c>
      <c r="S2432" s="67" t="str">
        <f>HYPERLINK(AA2 &amp; "/pliers/3dw_e542d64c-1554-414b-b34b-098b0c6770d4/rendering/16.obj", "2.36034698486")</f>
        <v>2.36034698486</v>
      </c>
      <c r="T2432" s="28" t="str">
        <f>HYPERLINK(AA2 &amp; "/pliers/3dw_e542d64c-1554-414b-b34b-098b0c6770d4/rendering/17.obj", "2.30884902954")</f>
        <v>2.30884902954</v>
      </c>
      <c r="U2432" s="76" t="str">
        <f>HYPERLINK(AA2 &amp; "/pliers/3dw_e542d64c-1554-414b-b34b-098b0c6770d4/rendering/18.obj", "2.12106994629")</f>
        <v>2.12106994629</v>
      </c>
      <c r="V2432" s="110" t="str">
        <f>HYPERLINK(AA2 &amp; "/pliers/3dw_e542d64c-1554-414b-b34b-098b0c6770d4/rendering/19.obj", "2.34008880615")</f>
        <v>2.34008880615</v>
      </c>
      <c r="W2432" s="12" t="s">
        <v>29</v>
      </c>
      <c r="X2432" s="13">
        <v>2.59679069519043</v>
      </c>
      <c r="Y2432" s="13">
        <v>1.014125329275527</v>
      </c>
      <c r="Z2432" s="128">
        <v>0.39053025380667378</v>
      </c>
    </row>
    <row r="2433" spans="1:26" x14ac:dyDescent="0.2">
      <c r="A2433" s="1">
        <v>2431</v>
      </c>
      <c r="B2433" s="2" t="s">
        <v>519</v>
      </c>
      <c r="C2433" s="256" t="str">
        <f>HYPERLINK(AA2 &amp; "/pliers/3dw_e542d64c-1554-414b-b34b-098b0c6770d4/rendering/00.obj", "2.68744015694")</f>
        <v>2.68744015694</v>
      </c>
      <c r="D2433" s="98" t="str">
        <f>HYPERLINK(AA2 &amp; "/pliers/3dw_e542d64c-1554-414b-b34b-098b0c6770d4/rendering/01.obj", "8.66933345795")</f>
        <v>8.66933345795</v>
      </c>
      <c r="E2433" s="135" t="str">
        <f>HYPERLINK(AA2 &amp; "/pliers/3dw_e542d64c-1554-414b-b34b-098b0c6770d4/rendering/02.obj", "5.24235343933")</f>
        <v>5.24235343933</v>
      </c>
      <c r="F2433" s="63" t="str">
        <f>HYPERLINK(AA2 &amp; "/pliers/3dw_e542d64c-1554-414b-b34b-098b0c6770d4/rendering/03.obj", "6.20510053635")</f>
        <v>6.20510053635</v>
      </c>
      <c r="G2433" s="21" t="str">
        <f>HYPERLINK(AA2 &amp; "/pliers/3dw_e542d64c-1554-414b-b34b-098b0c6770d4/rendering/04.obj", "3.15005993843")</f>
        <v>3.15005993843</v>
      </c>
      <c r="H2433" s="240" t="str">
        <f>HYPERLINK(AA2 &amp; "/pliers/3dw_e542d64c-1554-414b-b34b-098b0c6770d4/rendering/05.obj", "11.6549978256")</f>
        <v>11.6549978256</v>
      </c>
      <c r="I2433" s="187" t="str">
        <f>HYPERLINK(AA2 &amp; "/pliers/3dw_e542d64c-1554-414b-b34b-098b0c6770d4/rendering/06.obj", "4.58271312714")</f>
        <v>4.58271312714</v>
      </c>
      <c r="J2433" s="20" t="str">
        <f>HYPERLINK(AA2 &amp; "/pliers/3dw_e542d64c-1554-414b-b34b-098b0c6770d4/rendering/07.obj", "28.2387599945")</f>
        <v>28.2387599945</v>
      </c>
      <c r="K2433" s="20" t="str">
        <f>HYPERLINK(AA2 &amp; "/pliers/3dw_e542d64c-1554-414b-b34b-098b0c6770d4/rendering/08.obj", "14.2694234848")</f>
        <v>14.2694234848</v>
      </c>
      <c r="L2433" s="186" t="str">
        <f>HYPERLINK(AA2 &amp; "/pliers/3dw_e542d64c-1554-414b-b34b-098b0c6770d4/rendering/09.obj", "2.82581305504")</f>
        <v>2.82581305504</v>
      </c>
      <c r="M2433" s="20" t="str">
        <f>HYPERLINK(AA2 &amp; "/pliers/3dw_e542d64c-1554-414b-b34b-098b0c6770d4/rendering/10.obj", "17.2204532623")</f>
        <v>17.2204532623</v>
      </c>
      <c r="N2433" s="71" t="str">
        <f>HYPERLINK(AA2 &amp; "/pliers/3dw_e542d64c-1554-414b-b34b-098b0c6770d4/rendering/11.obj", "6.22389984131")</f>
        <v>6.22389984131</v>
      </c>
      <c r="O2433" s="248" t="str">
        <f>HYPERLINK(AA2 &amp; "/pliers/3dw_e542d64c-1554-414b-b34b-098b0c6770d4/rendering/12.obj", "2.39225673676")</f>
        <v>2.39225673676</v>
      </c>
      <c r="P2433" s="82" t="str">
        <f>HYPERLINK(AA2 &amp; "/pliers/3dw_e542d64c-1554-414b-b34b-098b0c6770d4/rendering/13.obj", "5.6039018631")</f>
        <v>5.6039018631</v>
      </c>
      <c r="Q2433" s="249" t="str">
        <f>HYPERLINK(AA2 &amp; "/pliers/3dw_e542d64c-1554-414b-b34b-098b0c6770d4/rendering/14.obj", "3.00567626953")</f>
        <v>3.00567626953</v>
      </c>
      <c r="R2433" s="201" t="str">
        <f>HYPERLINK(AA2 &amp; "/pliers/3dw_e542d64c-1554-414b-b34b-098b0c6770d4/rendering/15.obj", "2.95309376717")</f>
        <v>2.95309376717</v>
      </c>
      <c r="S2433" s="139" t="str">
        <f>HYPERLINK(AA2 &amp; "/pliers/3dw_e542d64c-1554-414b-b34b-098b0c6770d4/rendering/16.obj", "3.65247631073")</f>
        <v>3.65247631073</v>
      </c>
      <c r="T2433" s="96" t="str">
        <f>HYPERLINK(AA2 &amp; "/pliers/3dw_e542d64c-1554-414b-b34b-098b0c6770d4/rendering/17.obj", "4.5024266243")</f>
        <v>4.5024266243</v>
      </c>
      <c r="U2433" s="126" t="str">
        <f>HYPERLINK(AA2 &amp; "/pliers/3dw_e542d64c-1554-414b-b34b-098b0c6770d4/rendering/18.obj", "3.51863384247")</f>
        <v>3.51863384247</v>
      </c>
      <c r="V2433" s="123" t="str">
        <f>HYPERLINK(AA2 &amp; "/pliers/3dw_e542d64c-1554-414b-b34b-098b0c6770d4/rendering/19.obj", "4.44614696503")</f>
        <v>4.44614696503</v>
      </c>
      <c r="W2433" s="12" t="s">
        <v>30</v>
      </c>
      <c r="X2433" s="13">
        <v>7.0522480249404911</v>
      </c>
      <c r="Y2433" s="13">
        <v>6.2665674631144519</v>
      </c>
      <c r="Z2433" s="20">
        <v>0.88859147337877853</v>
      </c>
    </row>
    <row r="2434" spans="1:26" x14ac:dyDescent="0.2">
      <c r="A2434" s="1">
        <v>2432</v>
      </c>
      <c r="B2434" s="2" t="s">
        <v>519</v>
      </c>
      <c r="C2434" s="25" t="str">
        <f>HYPERLINK(AB2 &amp; "/pliers/3dw_e542d64c-1554-414b-b34b-098b0c6770d4/rendering/00.obj", "1.54004699707")</f>
        <v>1.54004699707</v>
      </c>
      <c r="D2434" s="60" t="str">
        <f>HYPERLINK(AB2 &amp; "/pliers/3dw_e542d64c-1554-414b-b34b-098b0c6770d4/rendering/01.obj", "1.44440795898")</f>
        <v>1.44440795898</v>
      </c>
      <c r="E2434" s="110" t="str">
        <f>HYPERLINK(AB2 &amp; "/pliers/3dw_e542d64c-1554-414b-b34b-098b0c6770d4/rendering/02.obj", "1.67279724121")</f>
        <v>1.67279724121</v>
      </c>
      <c r="F2434" s="72" t="str">
        <f>HYPERLINK(AB2 &amp; "/pliers/3dw_e542d64c-1554-414b-b34b-098b0c6770d4/rendering/03.obj", "1.47546661377")</f>
        <v>1.47546661377</v>
      </c>
      <c r="G2434" s="70" t="str">
        <f>HYPERLINK(AB2 &amp; "/pliers/3dw_e542d64c-1554-414b-b34b-098b0c6770d4/rendering/04.obj", "1.32959503174")</f>
        <v>1.32959503174</v>
      </c>
      <c r="H2434" s="63" t="str">
        <f>HYPERLINK(AB2 &amp; "/pliers/3dw_e542d64c-1554-414b-b34b-098b0c6770d4/rendering/05.obj", "1.34190353394")</f>
        <v>1.34190353394</v>
      </c>
      <c r="I2434" s="66" t="str">
        <f>HYPERLINK(AB2 &amp; "/pliers/3dw_e542d64c-1554-414b-b34b-098b0c6770d4/rendering/06.obj", "1.2765486145")</f>
        <v>1.2765486145</v>
      </c>
      <c r="J2434" s="10" t="str">
        <f>HYPERLINK(AB2 &amp; "/pliers/3dw_e542d64c-1554-414b-b34b-098b0c6770d4/rendering/07.obj", "1.44161560059")</f>
        <v>1.44161560059</v>
      </c>
      <c r="K2434" s="67" t="str">
        <f>HYPERLINK(AB2 &amp; "/pliers/3dw_e542d64c-1554-414b-b34b-098b0c6770d4/rendering/08.obj", "1.66323638916")</f>
        <v>1.66323638916</v>
      </c>
      <c r="L2434" s="35" t="str">
        <f>HYPERLINK(AB2 &amp; "/pliers/3dw_e542d64c-1554-414b-b34b-098b0c6770d4/rendering/09.obj", "1.43628646851")</f>
        <v>1.43628646851</v>
      </c>
      <c r="M2434" s="32" t="str">
        <f>HYPERLINK(AB2 &amp; "/pliers/3dw_e542d64c-1554-414b-b34b-098b0c6770d4/rendering/10.obj", "1.68668334961")</f>
        <v>1.68668334961</v>
      </c>
      <c r="N2434" s="39" t="str">
        <f>HYPERLINK(AB2 &amp; "/pliers/3dw_e542d64c-1554-414b-b34b-098b0c6770d4/rendering/11.obj", "1.65414459229")</f>
        <v>1.65414459229</v>
      </c>
      <c r="O2434" s="51" t="str">
        <f>HYPERLINK(AB2 &amp; "/pliers/3dw_e542d64c-1554-414b-b34b-098b0c6770d4/rendering/12.obj", "1.40147583008")</f>
        <v>1.40147583008</v>
      </c>
      <c r="P2434" s="72" t="str">
        <f>HYPERLINK(AB2 &amp; "/pliers/3dw_e542d64c-1554-414b-b34b-098b0c6770d4/rendering/13.obj", "1.47559005737")</f>
        <v>1.47559005737</v>
      </c>
      <c r="Q2434" s="67" t="str">
        <f>HYPERLINK(AB2 &amp; "/pliers/3dw_e542d64c-1554-414b-b34b-098b0c6770d4/rendering/14.obj", "1.38505187988")</f>
        <v>1.38505187988</v>
      </c>
      <c r="R2434" s="70" t="str">
        <f>HYPERLINK(AB2 &amp; "/pliers/3dw_e542d64c-1554-414b-b34b-098b0c6770d4/rendering/15.obj", "1.71596160889")</f>
        <v>1.71596160889</v>
      </c>
      <c r="S2434" s="175" t="str">
        <f>HYPERLINK(AB2 &amp; "/pliers/3dw_e542d64c-1554-414b-b34b-098b0c6770d4/rendering/16.obj", "1.87879547119")</f>
        <v>1.87879547119</v>
      </c>
      <c r="T2434" s="23" t="str">
        <f>HYPERLINK(AB2 &amp; "/pliers/3dw_e542d64c-1554-414b-b34b-098b0c6770d4/rendering/17.obj", "1.58551513672")</f>
        <v>1.58551513672</v>
      </c>
      <c r="U2434" s="10" t="str">
        <f>HYPERLINK(AB2 &amp; "/pliers/3dw_e542d64c-1554-414b-b34b-098b0c6770d4/rendering/18.obj", "1.43867553711")</f>
        <v>1.43867553711</v>
      </c>
      <c r="V2434" s="5" t="str">
        <f>HYPERLINK(AB2 &amp; "/pliers/3dw_e542d64c-1554-414b-b34b-098b0c6770d4/rendering/19.obj", "1.64345001221")</f>
        <v>1.64345001221</v>
      </c>
      <c r="W2434" s="12" t="s">
        <v>31</v>
      </c>
      <c r="X2434" s="13">
        <v>1.524362396240234</v>
      </c>
      <c r="Y2434" s="13">
        <v>0.15252305365102989</v>
      </c>
      <c r="Z2434" s="110">
        <v>0.1000569510421017</v>
      </c>
    </row>
    <row r="2435" spans="1:26" x14ac:dyDescent="0.2">
      <c r="A2435" s="1">
        <v>2433</v>
      </c>
      <c r="B2435" s="2" t="s">
        <v>519</v>
      </c>
      <c r="C2435" s="6" t="str">
        <f>HYPERLINK(AB2 &amp; "/pliers/3dw_e542d64c-1554-414b-b34b-098b0c6770d4/rendering/00.obj", "2.5707321167")</f>
        <v>2.5707321167</v>
      </c>
      <c r="D2435" s="34" t="str">
        <f>HYPERLINK(AB2 &amp; "/pliers/3dw_e542d64c-1554-414b-b34b-098b0c6770d4/rendering/01.obj", "2.57752990723")</f>
        <v>2.57752990723</v>
      </c>
      <c r="E2435" s="78" t="str">
        <f>HYPERLINK(AB2 &amp; "/pliers/3dw_e542d64c-1554-414b-b34b-098b0c6770d4/rendering/02.obj", "2.30541396141")</f>
        <v>2.30541396141</v>
      </c>
      <c r="F2435" s="68" t="str">
        <f>HYPERLINK(AB2 &amp; "/pliers/3dw_e542d64c-1554-414b-b34b-098b0c6770d4/rendering/03.obj", "2.55565476418")</f>
        <v>2.55565476418</v>
      </c>
      <c r="G2435" s="72" t="str">
        <f>HYPERLINK(AB2 &amp; "/pliers/3dw_e542d64c-1554-414b-b34b-098b0c6770d4/rendering/04.obj", "2.37317276001")</f>
        <v>2.37317276001</v>
      </c>
      <c r="H2435" s="6" t="str">
        <f>HYPERLINK(AB2 &amp; "/pliers/3dw_e542d64c-1554-414b-b34b-098b0c6770d4/rendering/05.obj", "2.56456899643")</f>
        <v>2.56456899643</v>
      </c>
      <c r="I2435" s="5" t="str">
        <f>HYPERLINK(AB2 &amp; "/pliers/3dw_e542d64c-1554-414b-b34b-098b0c6770d4/rendering/06.obj", "2.26498627663")</f>
        <v>2.26498627663</v>
      </c>
      <c r="J2435" s="67" t="str">
        <f>HYPERLINK(AB2 &amp; "/pliers/3dw_e542d64c-1554-414b-b34b-098b0c6770d4/rendering/07.obj", "2.22812008858")</f>
        <v>2.22812008858</v>
      </c>
      <c r="K2435" s="41" t="str">
        <f>HYPERLINK(AB2 &amp; "/pliers/3dw_e542d64c-1554-414b-b34b-098b0c6770d4/rendering/08.obj", "2.29192900658")</f>
        <v>2.29192900658</v>
      </c>
      <c r="L2435" s="28" t="str">
        <f>HYPERLINK(AB2 &amp; "/pliers/3dw_e542d64c-1554-414b-b34b-098b0c6770d4/rendering/09.obj", "2.72734928131")</f>
        <v>2.72734928131</v>
      </c>
      <c r="M2435" s="27" t="str">
        <f>HYPERLINK(AB2 &amp; "/pliers/3dw_e542d64c-1554-414b-b34b-098b0c6770d4/rendering/10.obj", "2.27914786339")</f>
        <v>2.27914786339</v>
      </c>
      <c r="N2435" s="28" t="str">
        <f>HYPERLINK(AB2 &amp; "/pliers/3dw_e542d64c-1554-414b-b34b-098b0c6770d4/rendering/11.obj", "2.73195052147")</f>
        <v>2.73195052147</v>
      </c>
      <c r="O2435" s="32" t="str">
        <f>HYPERLINK(AB2 &amp; "/pliers/3dw_e542d64c-1554-414b-b34b-098b0c6770d4/rendering/12.obj", "2.71027994156")</f>
        <v>2.71027994156</v>
      </c>
      <c r="P2435" s="60" t="str">
        <f>HYPERLINK(AB2 &amp; "/pliers/3dw_e542d64c-1554-414b-b34b-098b0c6770d4/rendering/13.obj", "2.58405852318")</f>
        <v>2.58405852318</v>
      </c>
      <c r="Q2435" s="51" t="str">
        <f>HYPERLINK(AB2 &amp; "/pliers/3dw_e542d64c-1554-414b-b34b-098b0c6770d4/rendering/14.obj", "2.26231646538")</f>
        <v>2.26231646538</v>
      </c>
      <c r="R2435" s="27" t="str">
        <f>HYPERLINK(AB2 &amp; "/pliers/3dw_e542d64c-1554-414b-b34b-098b0c6770d4/rendering/15.obj", "2.62576556206")</f>
        <v>2.62576556206</v>
      </c>
      <c r="S2435" s="69" t="str">
        <f>HYPERLINK(AB2 &amp; "/pliers/3dw_e542d64c-1554-414b-b34b-098b0c6770d4/rendering/16.obj", "2.38184905052")</f>
        <v>2.38184905052</v>
      </c>
      <c r="T2435" s="41" t="str">
        <f>HYPERLINK(AB2 &amp; "/pliers/3dw_e542d64c-1554-414b-b34b-098b0c6770d4/rendering/17.obj", "2.621104002")</f>
        <v>2.621104002</v>
      </c>
      <c r="U2435" s="33" t="str">
        <f>HYPERLINK(AB2 &amp; "/pliers/3dw_e542d64c-1554-414b-b34b-098b0c6770d4/rendering/18.obj", "2.19029092789")</f>
        <v>2.19029092789</v>
      </c>
      <c r="V2435" s="51" t="str">
        <f>HYPERLINK(AB2 &amp; "/pliers/3dw_e542d64c-1554-414b-b34b-098b0c6770d4/rendering/19.obj", "2.25813770294")</f>
        <v>2.25813770294</v>
      </c>
      <c r="W2435" s="12" t="s">
        <v>32</v>
      </c>
      <c r="X2435" s="13">
        <v>2.4552178859710692</v>
      </c>
      <c r="Y2435" s="13">
        <v>0.18240964381098371</v>
      </c>
      <c r="Z2435" s="94">
        <v>7.4294686778415372E-2</v>
      </c>
    </row>
    <row r="2436" spans="1:26" x14ac:dyDescent="0.2">
      <c r="A2436" s="1">
        <v>2434</v>
      </c>
      <c r="B2436" s="2" t="s">
        <v>519</v>
      </c>
      <c r="C2436" s="13" t="str">
        <f>HYPERLINK(AC2 &amp; "/pliers/3dw_e542d64c-1554-414b-b34b-098b0c6770d4/rendering/00.xyz", "0.0")</f>
        <v>0.0</v>
      </c>
      <c r="D2436" s="13" t="str">
        <f>HYPERLINK(AC2 &amp; "/pliers/3dw_e542d64c-1554-414b-b34b-098b0c6770d4/rendering/01.xyz", "0.0")</f>
        <v>0.0</v>
      </c>
      <c r="E2436" s="13" t="str">
        <f>HYPERLINK(AC2 &amp; "/pliers/3dw_e542d64c-1554-414b-b34b-098b0c6770d4/rendering/02.xyz", "0.0")</f>
        <v>0.0</v>
      </c>
      <c r="F2436" s="13" t="str">
        <f>HYPERLINK(AC2 &amp; "/pliers/3dw_e542d64c-1554-414b-b34b-098b0c6770d4/rendering/03.xyz", "0.0")</f>
        <v>0.0</v>
      </c>
      <c r="G2436" s="13" t="str">
        <f>HYPERLINK(AC2 &amp; "/pliers/3dw_e542d64c-1554-414b-b34b-098b0c6770d4/rendering/04.xyz", "0.0")</f>
        <v>0.0</v>
      </c>
      <c r="H2436" s="13" t="str">
        <f>HYPERLINK(AC2 &amp; "/pliers/3dw_e542d64c-1554-414b-b34b-098b0c6770d4/rendering/05.xyz", "0.0")</f>
        <v>0.0</v>
      </c>
      <c r="I2436" s="13" t="str">
        <f>HYPERLINK(AC2 &amp; "/pliers/3dw_e542d64c-1554-414b-b34b-098b0c6770d4/rendering/06.xyz", "0.0")</f>
        <v>0.0</v>
      </c>
      <c r="J2436" s="13" t="str">
        <f>HYPERLINK(AC2 &amp; "/pliers/3dw_e542d64c-1554-414b-b34b-098b0c6770d4/rendering/07.xyz", "0.0")</f>
        <v>0.0</v>
      </c>
      <c r="K2436" s="13" t="str">
        <f>HYPERLINK(AC2 &amp; "/pliers/3dw_e542d64c-1554-414b-b34b-098b0c6770d4/rendering/08.xyz", "0.0")</f>
        <v>0.0</v>
      </c>
      <c r="L2436" s="13" t="str">
        <f>HYPERLINK(AC2 &amp; "/pliers/3dw_e542d64c-1554-414b-b34b-098b0c6770d4/rendering/09.xyz", "0.0")</f>
        <v>0.0</v>
      </c>
      <c r="M2436" s="13" t="str">
        <f>HYPERLINK(AC2 &amp; "/pliers/3dw_e542d64c-1554-414b-b34b-098b0c6770d4/rendering/10.xyz", "0.0")</f>
        <v>0.0</v>
      </c>
      <c r="N2436" s="13" t="str">
        <f>HYPERLINK(AC2 &amp; "/pliers/3dw_e542d64c-1554-414b-b34b-098b0c6770d4/rendering/11.xyz", "0.0")</f>
        <v>0.0</v>
      </c>
      <c r="O2436" s="13" t="str">
        <f>HYPERLINK(AC2 &amp; "/pliers/3dw_e542d64c-1554-414b-b34b-098b0c6770d4/rendering/12.xyz", "0.0")</f>
        <v>0.0</v>
      </c>
      <c r="P2436" s="13" t="str">
        <f>HYPERLINK(AC2 &amp; "/pliers/3dw_e542d64c-1554-414b-b34b-098b0c6770d4/rendering/13.xyz", "0.0")</f>
        <v>0.0</v>
      </c>
      <c r="Q2436" s="13" t="str">
        <f>HYPERLINK(AC2 &amp; "/pliers/3dw_e542d64c-1554-414b-b34b-098b0c6770d4/rendering/14.xyz", "0.0")</f>
        <v>0.0</v>
      </c>
      <c r="R2436" s="13" t="str">
        <f>HYPERLINK(AC2 &amp; "/pliers/3dw_e542d64c-1554-414b-b34b-098b0c6770d4/rendering/15.xyz", "0.0")</f>
        <v>0.0</v>
      </c>
      <c r="S2436" s="13" t="str">
        <f>HYPERLINK(AC2 &amp; "/pliers/3dw_e542d64c-1554-414b-b34b-098b0c6770d4/rendering/16.xyz", "0.0")</f>
        <v>0.0</v>
      </c>
      <c r="T2436" s="13" t="str">
        <f>HYPERLINK(AC2 &amp; "/pliers/3dw_e542d64c-1554-414b-b34b-098b0c6770d4/rendering/17.xyz", "0.0")</f>
        <v>0.0</v>
      </c>
      <c r="U2436" s="13" t="str">
        <f>HYPERLINK(AC2 &amp; "/pliers/3dw_e542d64c-1554-414b-b34b-098b0c6770d4/rendering/18.xyz", "0.0")</f>
        <v>0.0</v>
      </c>
      <c r="V2436" s="13" t="str">
        <f>HYPERLINK(AC2 &amp; "/pliers/3dw_e542d64c-1554-414b-b34b-098b0c6770d4/rendering/19.xyz", "0.0")</f>
        <v>0.0</v>
      </c>
      <c r="W2436" s="12" t="s">
        <v>33</v>
      </c>
      <c r="X2436" s="13">
        <v>0</v>
      </c>
      <c r="Y2436" s="13">
        <v>0</v>
      </c>
      <c r="Z2436" s="13">
        <v>0</v>
      </c>
    </row>
    <row r="2437" spans="1:26" x14ac:dyDescent="0.2">
      <c r="A2437" s="1">
        <v>2435</v>
      </c>
      <c r="B2437" s="2" t="s">
        <v>520</v>
      </c>
      <c r="C2437" s="196" t="str">
        <f>HYPERLINK(AA2 &amp; "/pliers/3dw_f38c796c-68a6-4465-834c-061a830ba603/rendering/00.obj", "2.00591003418")</f>
        <v>2.00591003418</v>
      </c>
      <c r="D2437" s="20" t="str">
        <f>HYPERLINK(AA2 &amp; "/pliers/3dw_f38c796c-68a6-4465-834c-061a830ba603/rendering/01.obj", "6.1550592041")</f>
        <v>6.1550592041</v>
      </c>
      <c r="E2437" s="142" t="str">
        <f>HYPERLINK(AA2 &amp; "/pliers/3dw_f38c796c-68a6-4465-834c-061a830ba603/rendering/02.obj", "2.01925872803")</f>
        <v>2.01925872803</v>
      </c>
      <c r="F2437" s="182" t="str">
        <f>HYPERLINK(AA2 &amp; "/pliers/3dw_f38c796c-68a6-4465-834c-061a830ba603/rendering/03.obj", "2.21789276123")</f>
        <v>2.21789276123</v>
      </c>
      <c r="G2437" s="131" t="str">
        <f>HYPERLINK(AA2 &amp; "/pliers/3dw_f38c796c-68a6-4465-834c-061a830ba603/rendering/04.obj", "4.86425140381")</f>
        <v>4.86425140381</v>
      </c>
      <c r="H2437" s="20" t="str">
        <f>HYPERLINK(AA2 &amp; "/pliers/3dw_f38c796c-68a6-4465-834c-061a830ba603/rendering/05.obj", "6.58795776367")</f>
        <v>6.58795776367</v>
      </c>
      <c r="I2437" s="176" t="str">
        <f>HYPERLINK(AA2 &amp; "/pliers/3dw_f38c796c-68a6-4465-834c-061a830ba603/rendering/06.obj", "2.26644271851")</f>
        <v>2.26644271851</v>
      </c>
      <c r="J2437" s="55" t="str">
        <f>HYPERLINK(AA2 &amp; "/pliers/3dw_f38c796c-68a6-4465-834c-061a830ba603/rendering/07.obj", "2.68391845703")</f>
        <v>2.68391845703</v>
      </c>
      <c r="K2437" s="44" t="str">
        <f>HYPERLINK(AA2 &amp; "/pliers/3dw_f38c796c-68a6-4465-834c-061a830ba603/rendering/08.obj", "2.67946624756")</f>
        <v>2.67946624756</v>
      </c>
      <c r="L2437" s="19" t="str">
        <f>HYPERLINK(AA2 &amp; "/pliers/3dw_f38c796c-68a6-4465-834c-061a830ba603/rendering/09.obj", "2.46099838257")</f>
        <v>2.46099838257</v>
      </c>
      <c r="M2437" s="71" t="str">
        <f>HYPERLINK(AA2 &amp; "/pliers/3dw_f38c796c-68a6-4465-834c-061a830ba603/rendering/10.obj", "3.72170898438")</f>
        <v>3.72170898438</v>
      </c>
      <c r="N2437" s="86" t="str">
        <f>HYPERLINK(AA2 &amp; "/pliers/3dw_f38c796c-68a6-4465-834c-061a830ba603/rendering/11.obj", "2.44037643433")</f>
        <v>2.44037643433</v>
      </c>
      <c r="O2437" s="55" t="str">
        <f>HYPERLINK(AA2 &amp; "/pliers/3dw_f38c796c-68a6-4465-834c-061a830ba603/rendering/12.obj", "2.68901092529")</f>
        <v>2.68901092529</v>
      </c>
      <c r="P2437" s="20" t="str">
        <f>HYPERLINK(AA2 &amp; "/pliers/3dw_f38c796c-68a6-4465-834c-061a830ba603/rendering/13.obj", "6.16492553711")</f>
        <v>6.16492553711</v>
      </c>
      <c r="Q2437" s="170" t="str">
        <f>HYPERLINK(AA2 &amp; "/pliers/3dw_f38c796c-68a6-4465-834c-061a830ba603/rendering/14.obj", "4.1723046875")</f>
        <v>4.1723046875</v>
      </c>
      <c r="R2437" s="171" t="str">
        <f>HYPERLINK(AA2 &amp; "/pliers/3dw_f38c796c-68a6-4465-834c-061a830ba603/rendering/15.obj", "2.31347045898")</f>
        <v>2.31347045898</v>
      </c>
      <c r="S2437" s="109" t="str">
        <f>HYPERLINK(AA2 &amp; "/pliers/3dw_f38c796c-68a6-4465-834c-061a830ba603/rendering/16.obj", "2.69806884766")</f>
        <v>2.69806884766</v>
      </c>
      <c r="T2437" s="90" t="str">
        <f>HYPERLINK(AA2 &amp; "/pliers/3dw_f38c796c-68a6-4465-834c-061a830ba603/rendering/17.obj", "3.01546203613")</f>
        <v>3.01546203613</v>
      </c>
      <c r="U2437" s="212" t="str">
        <f>HYPERLINK(AA2 &amp; "/pliers/3dw_f38c796c-68a6-4465-834c-061a830ba603/rendering/18.obj", "1.8894934082")</f>
        <v>1.8894934082</v>
      </c>
      <c r="V2437" s="78" t="str">
        <f>HYPERLINK(AA2 &amp; "/pliers/3dw_f38c796c-68a6-4465-834c-061a830ba603/rendering/19.obj", "3.52947357178")</f>
        <v>3.52947357178</v>
      </c>
      <c r="W2437" s="12" t="s">
        <v>29</v>
      </c>
      <c r="X2437" s="13">
        <v>3.3287725296020509</v>
      </c>
      <c r="Y2437" s="13">
        <v>1.4514231594123981</v>
      </c>
      <c r="Z2437" s="97">
        <v>0.43602353315079589</v>
      </c>
    </row>
    <row r="2438" spans="1:26" x14ac:dyDescent="0.2">
      <c r="A2438" s="1">
        <v>2436</v>
      </c>
      <c r="B2438" s="2" t="s">
        <v>520</v>
      </c>
      <c r="C2438" s="177" t="str">
        <f>HYPERLINK(AA2 &amp; "/pliers/3dw_f38c796c-68a6-4465-834c-061a830ba603/rendering/00.obj", "4.03522443771")</f>
        <v>4.03522443771</v>
      </c>
      <c r="D2438" s="20" t="str">
        <f>HYPERLINK(AA2 &amp; "/pliers/3dw_f38c796c-68a6-4465-834c-061a830ba603/rendering/01.obj", "24.7293395996")</f>
        <v>24.7293395996</v>
      </c>
      <c r="E2438" s="127" t="str">
        <f>HYPERLINK(AA2 &amp; "/pliers/3dw_f38c796c-68a6-4465-834c-061a830ba603/rendering/02.obj", "4.1713757515")</f>
        <v>4.1713757515</v>
      </c>
      <c r="F2438" s="197" t="str">
        <f>HYPERLINK(AA2 &amp; "/pliers/3dw_f38c796c-68a6-4465-834c-061a830ba603/rendering/03.obj", "3.76838302612")</f>
        <v>3.76838302612</v>
      </c>
      <c r="G2438" s="164" t="str">
        <f>HYPERLINK(AA2 &amp; "/pliers/3dw_f38c796c-68a6-4465-834c-061a830ba603/rendering/04.obj", "14.1987304688")</f>
        <v>14.1987304688</v>
      </c>
      <c r="H2438" s="20" t="str">
        <f>HYPERLINK(AA2 &amp; "/pliers/3dw_f38c796c-68a6-4465-834c-061a830ba603/rendering/05.obj", "23.5880641937")</f>
        <v>23.5880641937</v>
      </c>
      <c r="I2438" s="203" t="str">
        <f>HYPERLINK(AA2 &amp; "/pliers/3dw_f38c796c-68a6-4465-834c-061a830ba603/rendering/06.obj", "4.64918327332")</f>
        <v>4.64918327332</v>
      </c>
      <c r="J2438" s="158" t="str">
        <f>HYPERLINK(AA2 &amp; "/pliers/3dw_f38c796c-68a6-4465-834c-061a830ba603/rendering/07.obj", "5.12614297867")</f>
        <v>5.12614297867</v>
      </c>
      <c r="K2438" s="74" t="str">
        <f>HYPERLINK(AA2 &amp; "/pliers/3dw_f38c796c-68a6-4465-834c-061a830ba603/rendering/08.obj", "8.80512142181")</f>
        <v>8.80512142181</v>
      </c>
      <c r="L2438" s="231" t="str">
        <f>HYPERLINK(AA2 &amp; "/pliers/3dw_f38c796c-68a6-4465-834c-061a830ba603/rendering/09.obj", "3.68933367729")</f>
        <v>3.68933367729</v>
      </c>
      <c r="M2438" s="170" t="str">
        <f>HYPERLINK(AA2 &amp; "/pliers/3dw_f38c796c-68a6-4465-834c-061a830ba603/rendering/10.obj", "10.8735780716")</f>
        <v>10.8735780716</v>
      </c>
      <c r="N2438" s="228" t="str">
        <f>HYPERLINK(AA2 &amp; "/pliers/3dw_f38c796c-68a6-4465-834c-061a830ba603/rendering/11.obj", "4.05347204208")</f>
        <v>4.05347204208</v>
      </c>
      <c r="O2438" s="141" t="str">
        <f>HYPERLINK(AA2 &amp; "/pliers/3dw_f38c796c-68a6-4465-834c-061a830ba603/rendering/12.obj", "3.90270829201")</f>
        <v>3.90270829201</v>
      </c>
      <c r="P2438" s="20" t="str">
        <f>HYPERLINK(AA2 &amp; "/pliers/3dw_f38c796c-68a6-4465-834c-061a830ba603/rendering/13.obj", "19.43309021")</f>
        <v>19.43309021</v>
      </c>
      <c r="Q2438" s="83" t="str">
        <f>HYPERLINK(AA2 &amp; "/pliers/3dw_f38c796c-68a6-4465-834c-061a830ba603/rendering/14.obj", "9.99178981781")</f>
        <v>9.99178981781</v>
      </c>
      <c r="R2438" s="235" t="str">
        <f>HYPERLINK(AA2 &amp; "/pliers/3dw_f38c796c-68a6-4465-834c-061a830ba603/rendering/15.obj", "3.99692392349")</f>
        <v>3.99692392349</v>
      </c>
      <c r="S2438" s="218" t="str">
        <f>HYPERLINK(AA2 &amp; "/pliers/3dw_f38c796c-68a6-4465-834c-061a830ba603/rendering/16.obj", "4.20743608475")</f>
        <v>4.20743608475</v>
      </c>
      <c r="T2438" s="176" t="str">
        <f>HYPERLINK(AA2 &amp; "/pliers/3dw_f38c796c-68a6-4465-834c-061a830ba603/rendering/17.obj", "5.9231877327")</f>
        <v>5.9231877327</v>
      </c>
      <c r="U2438" s="131" t="str">
        <f>HYPERLINK(AA2 &amp; "/pliers/3dw_f38c796c-68a6-4465-834c-061a830ba603/rendering/18.obj", "4.65539216995")</f>
        <v>4.65539216995</v>
      </c>
      <c r="V2438" s="65" t="str">
        <f>HYPERLINK(AA2 &amp; "/pliers/3dw_f38c796c-68a6-4465-834c-061a830ba603/rendering/19.obj", "9.8504114151")</f>
        <v>9.8504114151</v>
      </c>
      <c r="W2438" s="12" t="s">
        <v>30</v>
      </c>
      <c r="X2438" s="13">
        <v>8.6824444293975827</v>
      </c>
      <c r="Y2438" s="13">
        <v>6.5711662844027341</v>
      </c>
      <c r="Z2438" s="209">
        <v>0.75683367026843884</v>
      </c>
    </row>
    <row r="2439" spans="1:26" x14ac:dyDescent="0.2">
      <c r="A2439" s="1">
        <v>2437</v>
      </c>
      <c r="B2439" s="2" t="s">
        <v>520</v>
      </c>
      <c r="C2439" s="6" t="str">
        <f>HYPERLINK(AB2 &amp; "/pliers/3dw_f38c796c-68a6-4465-834c-061a830ba603/rendering/00.obj", "1.99519470215")</f>
        <v>1.99519470215</v>
      </c>
      <c r="D2439" s="8" t="str">
        <f>HYPERLINK(AB2 &amp; "/pliers/3dw_f38c796c-68a6-4465-834c-061a830ba603/rendering/01.obj", "1.79563812256")</f>
        <v>1.79563812256</v>
      </c>
      <c r="E2439" s="34" t="str">
        <f>HYPERLINK(AB2 &amp; "/pliers/3dw_f38c796c-68a6-4465-834c-061a830ba603/rendering/02.obj", "1.99060134888")</f>
        <v>1.99060134888</v>
      </c>
      <c r="F2439" s="17" t="str">
        <f>HYPERLINK(AB2 &amp; "/pliers/3dw_f38c796c-68a6-4465-834c-061a830ba603/rendering/03.obj", "2.13602294922")</f>
        <v>2.13602294922</v>
      </c>
      <c r="G2439" s="28" t="str">
        <f>HYPERLINK(AB2 &amp; "/pliers/3dw_f38c796c-68a6-4465-834c-061a830ba603/rendering/04.obj", "2.32546478271")</f>
        <v>2.32546478271</v>
      </c>
      <c r="H2439" s="47" t="str">
        <f>HYPERLINK(AB2 &amp; "/pliers/3dw_f38c796c-68a6-4465-834c-061a830ba603/rendering/05.obj", "2.10639190674")</f>
        <v>2.10639190674</v>
      </c>
      <c r="I2439" s="8" t="str">
        <f>HYPERLINK(AB2 &amp; "/pliers/3dw_f38c796c-68a6-4465-834c-061a830ba603/rendering/06.obj", "1.7963961792")</f>
        <v>1.7963961792</v>
      </c>
      <c r="J2439" s="6" t="str">
        <f>HYPERLINK(AB2 &amp; "/pliers/3dw_f38c796c-68a6-4465-834c-061a830ba603/rendering/07.obj", "2.18726043701")</f>
        <v>2.18726043701</v>
      </c>
      <c r="K2439" s="39" t="str">
        <f>HYPERLINK(AB2 &amp; "/pliers/3dw_f38c796c-68a6-4465-834c-061a830ba603/rendering/08.obj", "1.91196640015")</f>
        <v>1.91196640015</v>
      </c>
      <c r="L2439" s="68" t="str">
        <f>HYPERLINK(AB2 &amp; "/pliers/3dw_f38c796c-68a6-4465-834c-061a830ba603/rendering/09.obj", "2.0032321167")</f>
        <v>2.0032321167</v>
      </c>
      <c r="M2439" s="31" t="str">
        <f>HYPERLINK(AB2 &amp; "/pliers/3dw_f38c796c-68a6-4465-834c-061a830ba603/rendering/10.obj", "1.76623321533")</f>
        <v>1.76623321533</v>
      </c>
      <c r="N2439" s="91" t="str">
        <f>HYPERLINK(AB2 &amp; "/pliers/3dw_f38c796c-68a6-4465-834c-061a830ba603/rendering/11.obj", "2.14468261719")</f>
        <v>2.14468261719</v>
      </c>
      <c r="O2439" s="175" t="str">
        <f>HYPERLINK(AB2 &amp; "/pliers/3dw_f38c796c-68a6-4465-834c-061a830ba603/rendering/12.obj", "2.58130126953")</f>
        <v>2.58130126953</v>
      </c>
      <c r="P2439" s="107" t="str">
        <f>HYPERLINK(AB2 &amp; "/pliers/3dw_f38c796c-68a6-4465-834c-061a830ba603/rendering/13.obj", "2.26749633789")</f>
        <v>2.26749633789</v>
      </c>
      <c r="Q2439" s="27" t="str">
        <f>HYPERLINK(AB2 &amp; "/pliers/3dw_f38c796c-68a6-4465-834c-061a830ba603/rendering/14.obj", "2.24089767456")</f>
        <v>2.24089767456</v>
      </c>
      <c r="R2439" s="73" t="str">
        <f>HYPERLINK(AB2 &amp; "/pliers/3dw_f38c796c-68a6-4465-834c-061a830ba603/rendering/15.obj", "2.01793670654")</f>
        <v>2.01793670654</v>
      </c>
      <c r="S2439" s="26" t="str">
        <f>HYPERLINK(AB2 &amp; "/pliers/3dw_f38c796c-68a6-4465-834c-061a830ba603/rendering/16.obj", "1.95902389526")</f>
        <v>1.95902389526</v>
      </c>
      <c r="T2439" s="49" t="str">
        <f>HYPERLINK(AB2 &amp; "/pliers/3dw_f38c796c-68a6-4465-834c-061a830ba603/rendering/17.obj", "2.52886535645")</f>
        <v>2.52886535645</v>
      </c>
      <c r="U2439" s="72" t="str">
        <f>HYPERLINK(AB2 &amp; "/pliers/3dw_f38c796c-68a6-4465-834c-061a830ba603/rendering/18.obj", "2.02302078247")</f>
        <v>2.02302078247</v>
      </c>
      <c r="V2439" s="74" t="str">
        <f>HYPERLINK(AB2 &amp; "/pliers/3dw_f38c796c-68a6-4465-834c-061a830ba603/rendering/19.obj", "2.064715271")</f>
        <v>2.064715271</v>
      </c>
      <c r="W2439" s="12" t="s">
        <v>31</v>
      </c>
      <c r="X2439" s="13">
        <v>2.0921171035766601</v>
      </c>
      <c r="Y2439" s="13">
        <v>0.2146728453984118</v>
      </c>
      <c r="Z2439" s="133">
        <v>0.102610339082554</v>
      </c>
    </row>
    <row r="2440" spans="1:26" x14ac:dyDescent="0.2">
      <c r="A2440" s="1">
        <v>2438</v>
      </c>
      <c r="B2440" s="2" t="s">
        <v>520</v>
      </c>
      <c r="C2440" s="38" t="str">
        <f>HYPERLINK(AB2 &amp; "/pliers/3dw_f38c796c-68a6-4465-834c-061a830ba603/rendering/00.obj", "2.97323250771")</f>
        <v>2.97323250771</v>
      </c>
      <c r="D2440" s="5" t="str">
        <f>HYPERLINK(AB2 &amp; "/pliers/3dw_f38c796c-68a6-4465-834c-061a830ba603/rendering/01.obj", "3.01720952988")</f>
        <v>3.01720952988</v>
      </c>
      <c r="E2440" s="46" t="str">
        <f>HYPERLINK(AB2 &amp; "/pliers/3dw_f38c796c-68a6-4465-834c-061a830ba603/rendering/02.obj", "3.20725560188")</f>
        <v>3.20725560188</v>
      </c>
      <c r="F2440" s="33" t="str">
        <f>HYPERLINK(AB2 &amp; "/pliers/3dw_f38c796c-68a6-4465-834c-061a830ba603/rendering/03.obj", "3.61415600777")</f>
        <v>3.61415600777</v>
      </c>
      <c r="G2440" s="30" t="str">
        <f>HYPERLINK(AB2 &amp; "/pliers/3dw_f38c796c-68a6-4465-834c-061a830ba603/rendering/04.obj", "3.27787566185")</f>
        <v>3.27787566185</v>
      </c>
      <c r="H2440" s="48" t="str">
        <f>HYPERLINK(AB2 &amp; "/pliers/3dw_f38c796c-68a6-4465-834c-061a830ba603/rendering/05.obj", "3.19160532951")</f>
        <v>3.19160532951</v>
      </c>
      <c r="I2440" s="77" t="str">
        <f>HYPERLINK(AB2 &amp; "/pliers/3dw_f38c796c-68a6-4465-834c-061a830ba603/rendering/06.obj", "2.6567633152")</f>
        <v>2.6567633152</v>
      </c>
      <c r="J2440" s="39" t="str">
        <f>HYPERLINK(AB2 &amp; "/pliers/3dw_f38c796c-68a6-4465-834c-061a830ba603/rendering/07.obj", "2.98303961754")</f>
        <v>2.98303961754</v>
      </c>
      <c r="K2440" s="107" t="str">
        <f>HYPERLINK(AB2 &amp; "/pliers/3dw_f38c796c-68a6-4465-834c-061a830ba603/rendering/08.obj", "2.99161243439")</f>
        <v>2.99161243439</v>
      </c>
      <c r="L2440" s="74" t="str">
        <f>HYPERLINK(AB2 &amp; "/pliers/3dw_f38c796c-68a6-4465-834c-061a830ba603/rendering/09.obj", "3.21358156204")</f>
        <v>3.21358156204</v>
      </c>
      <c r="M2440" s="39" t="str">
        <f>HYPERLINK(AB2 &amp; "/pliers/3dw_f38c796c-68a6-4465-834c-061a830ba603/rendering/10.obj", "2.98301529884")</f>
        <v>2.98301529884</v>
      </c>
      <c r="N2440" s="90" t="str">
        <f>HYPERLINK(AB2 &amp; "/pliers/3dw_f38c796c-68a6-4465-834c-061a830ba603/rendering/11.obj", "3.58083415031")</f>
        <v>3.58083415031</v>
      </c>
      <c r="O2440" s="120" t="str">
        <f>HYPERLINK(AB2 &amp; "/pliers/3dw_f38c796c-68a6-4465-834c-061a830ba603/rendering/12.obj", "3.95754933357")</f>
        <v>3.95754933357</v>
      </c>
      <c r="P2440" s="10" t="str">
        <f>HYPERLINK(AB2 &amp; "/pliers/3dw_f38c796c-68a6-4465-834c-061a830ba603/rendering/13.obj", "3.43787789345")</f>
        <v>3.43787789345</v>
      </c>
      <c r="Q2440" s="48" t="str">
        <f>HYPERLINK(AB2 &amp; "/pliers/3dw_f38c796c-68a6-4465-834c-061a830ba603/rendering/14.obj", "3.33638834953")</f>
        <v>3.33638834953</v>
      </c>
      <c r="R2440" s="64" t="str">
        <f>HYPERLINK(AB2 &amp; "/pliers/3dw_f38c796c-68a6-4465-834c-061a830ba603/rendering/15.obj", "3.80009150505")</f>
        <v>3.80009150505</v>
      </c>
      <c r="S2440" s="57" t="str">
        <f>HYPERLINK(AB2 &amp; "/pliers/3dw_f38c796c-68a6-4465-834c-061a830ba603/rendering/16.obj", "4.29141569138")</f>
        <v>4.29141569138</v>
      </c>
      <c r="T2440" s="47" t="str">
        <f>HYPERLINK(AB2 &amp; "/pliers/3dw_f38c796c-68a6-4465-834c-061a830ba603/rendering/17.obj", "3.23432302475")</f>
        <v>3.23432302475</v>
      </c>
      <c r="U2440" s="106" t="str">
        <f>HYPERLINK(AB2 &amp; "/pliers/3dw_f38c796c-68a6-4465-834c-061a830ba603/rendering/18.obj", "2.89141845703")</f>
        <v>2.89141845703</v>
      </c>
      <c r="V2440" s="55" t="str">
        <f>HYPERLINK(AB2 &amp; "/pliers/3dw_f38c796c-68a6-4465-834c-061a830ba603/rendering/19.obj", "2.63045096397")</f>
        <v>2.63045096397</v>
      </c>
      <c r="W2440" s="12" t="s">
        <v>32</v>
      </c>
      <c r="X2440" s="13">
        <v>3.263484811782837</v>
      </c>
      <c r="Y2440" s="13">
        <v>0.4111569373557275</v>
      </c>
      <c r="Z2440" s="70">
        <v>0.12598708468666439</v>
      </c>
    </row>
    <row r="2441" spans="1:26" x14ac:dyDescent="0.2">
      <c r="A2441" s="1">
        <v>2439</v>
      </c>
      <c r="B2441" s="2" t="s">
        <v>520</v>
      </c>
      <c r="C2441" s="13" t="str">
        <f>HYPERLINK(AC2 &amp; "/pliers/3dw_f38c796c-68a6-4465-834c-061a830ba603/rendering/00.xyz", "0.0")</f>
        <v>0.0</v>
      </c>
      <c r="D2441" s="13" t="str">
        <f>HYPERLINK(AC2 &amp; "/pliers/3dw_f38c796c-68a6-4465-834c-061a830ba603/rendering/01.xyz", "0.0")</f>
        <v>0.0</v>
      </c>
      <c r="E2441" s="13" t="str">
        <f>HYPERLINK(AC2 &amp; "/pliers/3dw_f38c796c-68a6-4465-834c-061a830ba603/rendering/02.xyz", "0.0")</f>
        <v>0.0</v>
      </c>
      <c r="F2441" s="13" t="str">
        <f>HYPERLINK(AC2 &amp; "/pliers/3dw_f38c796c-68a6-4465-834c-061a830ba603/rendering/03.xyz", "0.0")</f>
        <v>0.0</v>
      </c>
      <c r="G2441" s="13" t="str">
        <f>HYPERLINK(AC2 &amp; "/pliers/3dw_f38c796c-68a6-4465-834c-061a830ba603/rendering/04.xyz", "0.0")</f>
        <v>0.0</v>
      </c>
      <c r="H2441" s="13" t="str">
        <f>HYPERLINK(AC2 &amp; "/pliers/3dw_f38c796c-68a6-4465-834c-061a830ba603/rendering/05.xyz", "0.0")</f>
        <v>0.0</v>
      </c>
      <c r="I2441" s="13" t="str">
        <f>HYPERLINK(AC2 &amp; "/pliers/3dw_f38c796c-68a6-4465-834c-061a830ba603/rendering/06.xyz", "0.0")</f>
        <v>0.0</v>
      </c>
      <c r="J2441" s="13" t="str">
        <f>HYPERLINK(AC2 &amp; "/pliers/3dw_f38c796c-68a6-4465-834c-061a830ba603/rendering/07.xyz", "0.0")</f>
        <v>0.0</v>
      </c>
      <c r="K2441" s="13" t="str">
        <f>HYPERLINK(AC2 &amp; "/pliers/3dw_f38c796c-68a6-4465-834c-061a830ba603/rendering/08.xyz", "0.0")</f>
        <v>0.0</v>
      </c>
      <c r="L2441" s="13" t="str">
        <f>HYPERLINK(AC2 &amp; "/pliers/3dw_f38c796c-68a6-4465-834c-061a830ba603/rendering/09.xyz", "0.0")</f>
        <v>0.0</v>
      </c>
      <c r="M2441" s="13" t="str">
        <f>HYPERLINK(AC2 &amp; "/pliers/3dw_f38c796c-68a6-4465-834c-061a830ba603/rendering/10.xyz", "0.0")</f>
        <v>0.0</v>
      </c>
      <c r="N2441" s="13" t="str">
        <f>HYPERLINK(AC2 &amp; "/pliers/3dw_f38c796c-68a6-4465-834c-061a830ba603/rendering/11.xyz", "0.0")</f>
        <v>0.0</v>
      </c>
      <c r="O2441" s="13" t="str">
        <f>HYPERLINK(AC2 &amp; "/pliers/3dw_f38c796c-68a6-4465-834c-061a830ba603/rendering/12.xyz", "0.0")</f>
        <v>0.0</v>
      </c>
      <c r="P2441" s="13" t="str">
        <f>HYPERLINK(AC2 &amp; "/pliers/3dw_f38c796c-68a6-4465-834c-061a830ba603/rendering/13.xyz", "0.0")</f>
        <v>0.0</v>
      </c>
      <c r="Q2441" s="13" t="str">
        <f>HYPERLINK(AC2 &amp; "/pliers/3dw_f38c796c-68a6-4465-834c-061a830ba603/rendering/14.xyz", "0.0")</f>
        <v>0.0</v>
      </c>
      <c r="R2441" s="13" t="str">
        <f>HYPERLINK(AC2 &amp; "/pliers/3dw_f38c796c-68a6-4465-834c-061a830ba603/rendering/15.xyz", "0.0")</f>
        <v>0.0</v>
      </c>
      <c r="S2441" s="13" t="str">
        <f>HYPERLINK(AC2 &amp; "/pliers/3dw_f38c796c-68a6-4465-834c-061a830ba603/rendering/16.xyz", "0.0")</f>
        <v>0.0</v>
      </c>
      <c r="T2441" s="13" t="str">
        <f>HYPERLINK(AC2 &amp; "/pliers/3dw_f38c796c-68a6-4465-834c-061a830ba603/rendering/17.xyz", "0.0")</f>
        <v>0.0</v>
      </c>
      <c r="U2441" s="13" t="str">
        <f>HYPERLINK(AC2 &amp; "/pliers/3dw_f38c796c-68a6-4465-834c-061a830ba603/rendering/18.xyz", "0.0")</f>
        <v>0.0</v>
      </c>
      <c r="V2441" s="13" t="str">
        <f>HYPERLINK(AC2 &amp; "/pliers/3dw_f38c796c-68a6-4465-834c-061a830ba603/rendering/19.xyz", "0.0")</f>
        <v>0.0</v>
      </c>
      <c r="W2441" s="12" t="s">
        <v>33</v>
      </c>
      <c r="X2441" s="13">
        <v>0</v>
      </c>
      <c r="Y2441" s="13">
        <v>0</v>
      </c>
      <c r="Z2441" s="13">
        <v>0</v>
      </c>
    </row>
    <row r="2442" spans="1:26" x14ac:dyDescent="0.2">
      <c r="A2442" s="1">
        <v>2440</v>
      </c>
      <c r="B2442" s="2" t="s">
        <v>521</v>
      </c>
      <c r="C2442" s="116" t="str">
        <f>HYPERLINK(AA2 &amp; "/pliers/3dw_f92bad13-5201-493a-8ebb-377510d533d9/rendering/00.obj", "2.12029907227")</f>
        <v>2.12029907227</v>
      </c>
      <c r="D2442" s="221" t="str">
        <f>HYPERLINK(AA2 &amp; "/pliers/3dw_f92bad13-5201-493a-8ebb-377510d533d9/rendering/01.obj", "5.86369262695")</f>
        <v>5.86369262695</v>
      </c>
      <c r="E2442" s="10" t="str">
        <f>HYPERLINK(AA2 &amp; "/pliers/3dw_f92bad13-5201-493a-8ebb-377510d533d9/rendering/02.obj", "3.5655581665")</f>
        <v>3.5655581665</v>
      </c>
      <c r="F2442" s="153" t="str">
        <f>HYPERLINK(AA2 &amp; "/pliers/3dw_f92bad13-5201-493a-8ebb-377510d533d9/rendering/03.obj", "5.10760681152")</f>
        <v>5.10760681152</v>
      </c>
      <c r="G2442" s="95" t="str">
        <f>HYPERLINK(AA2 &amp; "/pliers/3dw_f92bad13-5201-493a-8ebb-377510d533d9/rendering/04.obj", "4.82250518799")</f>
        <v>4.82250518799</v>
      </c>
      <c r="H2442" s="119" t="str">
        <f>HYPERLINK(AA2 &amp; "/pliers/3dw_f92bad13-5201-493a-8ebb-377510d533d9/rendering/05.obj", "2.76671813965")</f>
        <v>2.76671813965</v>
      </c>
      <c r="I2442" s="181" t="str">
        <f>HYPERLINK(AA2 &amp; "/pliers/3dw_f92bad13-5201-493a-8ebb-377510d533d9/rendering/06.obj", "2.09558959961")</f>
        <v>2.09558959961</v>
      </c>
      <c r="J2442" s="72" t="str">
        <f>HYPERLINK(AA2 &amp; "/pliers/3dw_f92bad13-5201-493a-8ebb-377510d533d9/rendering/07.obj", "3.64659210205")</f>
        <v>3.64659210205</v>
      </c>
      <c r="K2442" s="56" t="str">
        <f>HYPERLINK(AA2 &amp; "/pliers/3dw_f92bad13-5201-493a-8ebb-377510d533d9/rendering/08.obj", "2.60627960205")</f>
        <v>2.60627960205</v>
      </c>
      <c r="L2442" s="50" t="str">
        <f>HYPERLINK(AA2 &amp; "/pliers/3dw_f92bad13-5201-493a-8ebb-377510d533d9/rendering/09.obj", "3.01622497559")</f>
        <v>3.01622497559</v>
      </c>
      <c r="M2442" s="227" t="str">
        <f>HYPERLINK(AA2 &amp; "/pliers/3dw_f92bad13-5201-493a-8ebb-377510d533d9/rendering/10.obj", "5.69184082031")</f>
        <v>5.69184082031</v>
      </c>
      <c r="N2442" s="48" t="str">
        <f>HYPERLINK(AA2 &amp; "/pliers/3dw_f92bad13-5201-493a-8ebb-377510d533d9/rendering/11.obj", "3.67401580811")</f>
        <v>3.67401580811</v>
      </c>
      <c r="O2442" s="113" t="str">
        <f>HYPERLINK(AA2 &amp; "/pliers/3dw_f92bad13-5201-493a-8ebb-377510d533d9/rendering/12.obj", "2.73032836914")</f>
        <v>2.73032836914</v>
      </c>
      <c r="P2442" s="48" t="str">
        <f>HYPERLINK(AA2 &amp; "/pliers/3dw_f92bad13-5201-493a-8ebb-377510d533d9/rendering/13.obj", "3.6757232666")</f>
        <v>3.6757232666</v>
      </c>
      <c r="Q2442" s="107" t="str">
        <f>HYPERLINK(AA2 &amp; "/pliers/3dw_f92bad13-5201-493a-8ebb-377510d533d9/rendering/14.obj", "3.45841156006")</f>
        <v>3.45841156006</v>
      </c>
      <c r="R2442" s="68" t="str">
        <f>HYPERLINK(AA2 &amp; "/pliers/3dw_f92bad13-5201-493a-8ebb-377510d533d9/rendering/15.obj", "3.9325793457")</f>
        <v>3.9325793457</v>
      </c>
      <c r="S2442" s="51" t="str">
        <f>HYPERLINK(AA2 &amp; "/pliers/3dw_f92bad13-5201-493a-8ebb-377510d533d9/rendering/16.obj", "3.46838134766")</f>
        <v>3.46838134766</v>
      </c>
      <c r="T2442" s="169" t="str">
        <f>HYPERLINK(AA2 &amp; "/pliers/3dw_f92bad13-5201-493a-8ebb-377510d533d9/rendering/17.obj", "2.58900146484")</f>
        <v>2.58900146484</v>
      </c>
      <c r="U2442" s="185" t="str">
        <f>HYPERLINK(AA2 &amp; "/pliers/3dw_f92bad13-5201-493a-8ebb-377510d533d9/rendering/18.obj", "5.05309783936")</f>
        <v>5.05309783936</v>
      </c>
      <c r="V2442" s="130" t="str">
        <f>HYPERLINK(AA2 &amp; "/pliers/3dw_f92bad13-5201-493a-8ebb-377510d533d9/rendering/19.obj", "5.46514038086")</f>
        <v>5.46514038086</v>
      </c>
      <c r="W2442" s="12" t="s">
        <v>29</v>
      </c>
      <c r="X2442" s="13">
        <v>3.7674793243408211</v>
      </c>
      <c r="Y2442" s="13">
        <v>1.1557064653758109</v>
      </c>
      <c r="Z2442" s="171">
        <v>0.30675854221921173</v>
      </c>
    </row>
    <row r="2443" spans="1:26" x14ac:dyDescent="0.2">
      <c r="A2443" s="1">
        <v>2441</v>
      </c>
      <c r="B2443" s="2" t="s">
        <v>521</v>
      </c>
      <c r="C2443" s="169" t="str">
        <f>HYPERLINK(AA2 &amp; "/pliers/3dw_f92bad13-5201-493a-8ebb-377510d533d9/rendering/00.obj", "8.45233058929")</f>
        <v>8.45233058929</v>
      </c>
      <c r="D2443" s="20" t="str">
        <f>HYPERLINK(AA2 &amp; "/pliers/3dw_f92bad13-5201-493a-8ebb-377510d533d9/rendering/01.obj", "29.1506900787")</f>
        <v>29.1506900787</v>
      </c>
      <c r="E2443" s="196" t="str">
        <f>HYPERLINK(AA2 &amp; "/pliers/3dw_f92bad13-5201-493a-8ebb-377510d533d9/rendering/02.obj", "7.40438604355")</f>
        <v>7.40438604355</v>
      </c>
      <c r="F2443" s="141" t="str">
        <f>HYPERLINK(AA2 &amp; "/pliers/3dw_f92bad13-5201-493a-8ebb-377510d533d9/rendering/03.obj", "19.012960434")</f>
        <v>19.012960434</v>
      </c>
      <c r="G2443" s="130" t="str">
        <f>HYPERLINK(AA2 &amp; "/pliers/3dw_f92bad13-5201-493a-8ebb-377510d533d9/rendering/04.obj", "17.7791633606")</f>
        <v>17.7791633606</v>
      </c>
      <c r="H2443" s="22" t="str">
        <f>HYPERLINK(AA2 &amp; "/pliers/3dw_f92bad13-5201-493a-8ebb-377510d533d9/rendering/05.obj", "5.85082578659")</f>
        <v>5.85082578659</v>
      </c>
      <c r="I2443" s="125" t="str">
        <f>HYPERLINK(AA2 &amp; "/pliers/3dw_f92bad13-5201-493a-8ebb-377510d533d9/rendering/06.obj", "3.56259131432")</f>
        <v>3.56259131432</v>
      </c>
      <c r="J2443" s="60" t="str">
        <f>HYPERLINK(AA2 &amp; "/pliers/3dw_f92bad13-5201-493a-8ebb-377510d533d9/rendering/07.obj", "11.6408081055")</f>
        <v>11.6408081055</v>
      </c>
      <c r="K2443" s="4" t="str">
        <f>HYPERLINK(AA2 &amp; "/pliers/3dw_f92bad13-5201-493a-8ebb-377510d533d9/rendering/08.obj", "8.76441192627")</f>
        <v>8.76441192627</v>
      </c>
      <c r="L2443" s="203" t="str">
        <f>HYPERLINK(AA2 &amp; "/pliers/3dw_f92bad13-5201-493a-8ebb-377510d533d9/rendering/09.obj", "6.54506254196")</f>
        <v>6.54506254196</v>
      </c>
      <c r="M2443" s="20" t="str">
        <f>HYPERLINK(AA2 &amp; "/pliers/3dw_f92bad13-5201-493a-8ebb-377510d533d9/rendering/10.obj", "30.5412025452")</f>
        <v>30.5412025452</v>
      </c>
      <c r="N2443" s="106" t="str">
        <f>HYPERLINK(AA2 &amp; "/pliers/3dw_f92bad13-5201-493a-8ebb-377510d533d9/rendering/11.obj", "10.8547925949")</f>
        <v>10.8547925949</v>
      </c>
      <c r="O2443" s="155" t="str">
        <f>HYPERLINK(AA2 &amp; "/pliers/3dw_f92bad13-5201-493a-8ebb-377510d533d9/rendering/12.obj", "3.96657323837")</f>
        <v>3.96657323837</v>
      </c>
      <c r="P2443" s="10" t="str">
        <f>HYPERLINK(AA2 &amp; "/pliers/3dw_f92bad13-5201-493a-8ebb-377510d533d9/rendering/13.obj", "11.5884275436")</f>
        <v>11.5884275436</v>
      </c>
      <c r="Q2443" s="187" t="str">
        <f>HYPERLINK(AA2 &amp; "/pliers/3dw_f92bad13-5201-493a-8ebb-377510d533d9/rendering/14.obj", "7.96681833267")</f>
        <v>7.96681833267</v>
      </c>
      <c r="R2443" s="39" t="str">
        <f>HYPERLINK(AA2 &amp; "/pliers/3dw_f92bad13-5201-493a-8ebb-377510d533d9/rendering/15.obj", "13.3137521744")</f>
        <v>13.3137521744</v>
      </c>
      <c r="S2443" s="136" t="str">
        <f>HYPERLINK(AA2 &amp; "/pliers/3dw_f92bad13-5201-493a-8ebb-377510d533d9/rendering/16.obj", "9.36172199249")</f>
        <v>9.36172199249</v>
      </c>
      <c r="T2443" s="145" t="str">
        <f>HYPERLINK(AA2 &amp; "/pliers/3dw_f92bad13-5201-493a-8ebb-377510d533d9/rendering/17.obj", "6.25528764725")</f>
        <v>6.25528764725</v>
      </c>
      <c r="U2443" s="140" t="str">
        <f>HYPERLINK(AA2 &amp; "/pliers/3dw_f92bad13-5201-493a-8ebb-377510d533d9/rendering/18.obj", "16.5124225616")</f>
        <v>16.5124225616</v>
      </c>
      <c r="V2443" s="96" t="str">
        <f>HYPERLINK(AA2 &amp; "/pliers/3dw_f92bad13-5201-493a-8ebb-377510d533d9/rendering/19.obj", "16.694316864")</f>
        <v>16.694316864</v>
      </c>
      <c r="W2443" s="12" t="s">
        <v>30</v>
      </c>
      <c r="X2443" s="13">
        <v>12.260927283763889</v>
      </c>
      <c r="Y2443" s="13">
        <v>7.3094917957831953</v>
      </c>
      <c r="Z2443" s="62">
        <v>0.59616141802443767</v>
      </c>
    </row>
    <row r="2444" spans="1:26" x14ac:dyDescent="0.2">
      <c r="A2444" s="1">
        <v>2442</v>
      </c>
      <c r="B2444" s="2" t="s">
        <v>521</v>
      </c>
      <c r="C2444" s="25" t="str">
        <f>HYPERLINK(AB2 &amp; "/pliers/3dw_f92bad13-5201-493a-8ebb-377510d533d9/rendering/00.obj", "1.9741003418")</f>
        <v>1.9741003418</v>
      </c>
      <c r="D2444" s="47" t="str">
        <f>HYPERLINK(AB2 &amp; "/pliers/3dw_f92bad13-5201-493a-8ebb-377510d533d9/rendering/01.obj", "2.00997924805")</f>
        <v>2.00997924805</v>
      </c>
      <c r="E2444" s="48" t="str">
        <f>HYPERLINK(AB2 &amp; "/pliers/3dw_f92bad13-5201-493a-8ebb-377510d533d9/rendering/02.obj", "1.94924499512")</f>
        <v>1.94924499512</v>
      </c>
      <c r="F2444" s="98" t="str">
        <f>HYPERLINK(AB2 &amp; "/pliers/3dw_f92bad13-5201-493a-8ebb-377510d533d9/rendering/03.obj", "1.53925933838")</f>
        <v>1.53925933838</v>
      </c>
      <c r="G2444" s="74" t="str">
        <f>HYPERLINK(AB2 &amp; "/pliers/3dw_f92bad13-5201-493a-8ebb-377510d533d9/rendering/04.obj", "1.97075622559")</f>
        <v>1.97075622559</v>
      </c>
      <c r="H2444" s="35" t="str">
        <f>HYPERLINK(AB2 &amp; "/pliers/3dw_f92bad13-5201-493a-8ebb-377510d533d9/rendering/05.obj", "1.88361038208")</f>
        <v>1.88361038208</v>
      </c>
      <c r="I2444" s="39" t="str">
        <f>HYPERLINK(AB2 &amp; "/pliers/3dw_f92bad13-5201-493a-8ebb-377510d533d9/rendering/06.obj", "1.82159942627")</f>
        <v>1.82159942627</v>
      </c>
      <c r="J2444" s="93" t="str">
        <f>HYPERLINK(AB2 &amp; "/pliers/3dw_f92bad13-5201-493a-8ebb-377510d533d9/rendering/07.obj", "1.71720626831")</f>
        <v>1.71720626831</v>
      </c>
      <c r="K2444" s="73" t="str">
        <f>HYPERLINK(AB2 &amp; "/pliers/3dw_f92bad13-5201-493a-8ebb-377510d533d9/rendering/08.obj", "1.92265625")</f>
        <v>1.92265625</v>
      </c>
      <c r="L2444" s="135" t="str">
        <f>HYPERLINK(AB2 &amp; "/pliers/3dw_f92bad13-5201-493a-8ebb-377510d533d9/rendering/09.obj", "1.48744110107")</f>
        <v>1.48744110107</v>
      </c>
      <c r="M2444" s="51" t="str">
        <f>HYPERLINK(AB2 &amp; "/pliers/3dw_f92bad13-5201-493a-8ebb-377510d533d9/rendering/10.obj", "2.15341888428")</f>
        <v>2.15341888428</v>
      </c>
      <c r="N2444" s="63" t="str">
        <f>HYPERLINK(AB2 &amp; "/pliers/3dw_f92bad13-5201-493a-8ebb-377510d533d9/rendering/11.obj", "2.24013549805")</f>
        <v>2.24013549805</v>
      </c>
      <c r="O2444" s="29" t="str">
        <f>HYPERLINK(AB2 &amp; "/pliers/3dw_f92bad13-5201-493a-8ebb-377510d533d9/rendering/12.obj", "1.73652206421")</f>
        <v>1.73652206421</v>
      </c>
      <c r="P2444" s="76" t="str">
        <f>HYPERLINK(AB2 &amp; "/pliers/3dw_f92bad13-5201-493a-8ebb-377510d533d9/rendering/13.obj", "1.62934967041")</f>
        <v>1.62934967041</v>
      </c>
      <c r="Q2444" s="87" t="str">
        <f>HYPERLINK(AB2 &amp; "/pliers/3dw_f92bad13-5201-493a-8ebb-377510d533d9/rendering/14.obj", "2.45177780151")</f>
        <v>2.45177780151</v>
      </c>
      <c r="R2444" s="17" t="str">
        <f>HYPERLINK(AB2 &amp; "/pliers/3dw_f92bad13-5201-493a-8ebb-377510d533d9/rendering/15.obj", "1.95848480225")</f>
        <v>1.95848480225</v>
      </c>
      <c r="S2444" s="83" t="str">
        <f>HYPERLINK(AB2 &amp; "/pliers/3dw_f92bad13-5201-493a-8ebb-377510d533d9/rendering/16.obj", "2.30315261841")</f>
        <v>2.30315261841</v>
      </c>
      <c r="T2444" s="42" t="str">
        <f>HYPERLINK(AB2 &amp; "/pliers/3dw_f92bad13-5201-493a-8ebb-377510d533d9/rendering/17.obj", "2.27020309448")</f>
        <v>2.27020309448</v>
      </c>
      <c r="U2444" s="109" t="str">
        <f>HYPERLINK(AB2 &amp; "/pliers/3dw_f92bad13-5201-493a-8ebb-377510d533d9/rendering/18.obj", "2.37484222412")</f>
        <v>2.37484222412</v>
      </c>
      <c r="V2444" s="113" t="str">
        <f>HYPERLINK(AB2 &amp; "/pliers/3dw_f92bad13-5201-493a-8ebb-377510d533d9/rendering/19.obj", "2.54198150635")</f>
        <v>2.54198150635</v>
      </c>
      <c r="W2444" s="12" t="s">
        <v>31</v>
      </c>
      <c r="X2444" s="13">
        <v>1.9967860870361329</v>
      </c>
      <c r="Y2444" s="13">
        <v>0.29183167796075848</v>
      </c>
      <c r="Z2444" s="84">
        <v>0.1461506967899249</v>
      </c>
    </row>
    <row r="2445" spans="1:26" x14ac:dyDescent="0.2">
      <c r="A2445" s="1">
        <v>2443</v>
      </c>
      <c r="B2445" s="2" t="s">
        <v>521</v>
      </c>
      <c r="C2445" s="63" t="str">
        <f>HYPERLINK(AB2 &amp; "/pliers/3dw_f92bad13-5201-493a-8ebb-377510d533d9/rendering/00.obj", "3.54835891724")</f>
        <v>3.54835891724</v>
      </c>
      <c r="D2445" s="72" t="str">
        <f>HYPERLINK(AB2 &amp; "/pliers/3dw_f92bad13-5201-493a-8ebb-377510d533d9/rendering/01.obj", "3.2783536911")</f>
        <v>3.2783536911</v>
      </c>
      <c r="E2445" s="17" t="str">
        <f>HYPERLINK(AB2 &amp; "/pliers/3dw_f92bad13-5201-493a-8ebb-377510d533d9/rendering/02.obj", "3.10690569878")</f>
        <v>3.10690569878</v>
      </c>
      <c r="F2445" s="80" t="str">
        <f>HYPERLINK(AB2 &amp; "/pliers/3dw_f92bad13-5201-493a-8ebb-377510d533d9/rendering/03.obj", "3.64703559875")</f>
        <v>3.64703559875</v>
      </c>
      <c r="G2445" s="35" t="str">
        <f>HYPERLINK(AB2 &amp; "/pliers/3dw_f92bad13-5201-493a-8ebb-377510d533d9/rendering/04.obj", "3.35148525238")</f>
        <v>3.35148525238</v>
      </c>
      <c r="H2445" s="46" t="str">
        <f>HYPERLINK(AB2 &amp; "/pliers/3dw_f92bad13-5201-493a-8ebb-377510d533d9/rendering/05.obj", "3.22487878799")</f>
        <v>3.22487878799</v>
      </c>
      <c r="I2445" s="48" t="str">
        <f>HYPERLINK(AB2 &amp; "/pliers/3dw_f92bad13-5201-493a-8ebb-377510d533d9/rendering/06.obj", "3.09200000763")</f>
        <v>3.09200000763</v>
      </c>
      <c r="J2445" s="14" t="str">
        <f>HYPERLINK(AB2 &amp; "/pliers/3dw_f92bad13-5201-493a-8ebb-377510d533d9/rendering/07.obj", "4.08920907974")</f>
        <v>4.08920907974</v>
      </c>
      <c r="K2445" s="8" t="str">
        <f>HYPERLINK(AB2 &amp; "/pliers/3dw_f92bad13-5201-493a-8ebb-377510d533d9/rendering/08.obj", "3.62525963783")</f>
        <v>3.62525963783</v>
      </c>
      <c r="L2445" s="166" t="str">
        <f>HYPERLINK(AB2 &amp; "/pliers/3dw_f92bad13-5201-493a-8ebb-377510d533d9/rendering/09.obj", "2.25701212883")</f>
        <v>2.25701212883</v>
      </c>
      <c r="M2445" s="87" t="str">
        <f>HYPERLINK(AB2 &amp; "/pliers/3dw_f92bad13-5201-493a-8ebb-377510d533d9/rendering/10.obj", "2.44554114342")</f>
        <v>2.44554114342</v>
      </c>
      <c r="N2445" s="5" t="str">
        <f>HYPERLINK(AB2 &amp; "/pliers/3dw_f92bad13-5201-493a-8ebb-377510d533d9/rendering/11.obj", "2.92648434639")</f>
        <v>2.92648434639</v>
      </c>
      <c r="O2445" s="30" t="str">
        <f>HYPERLINK(AB2 &amp; "/pliers/3dw_f92bad13-5201-493a-8ebb-377510d533d9/rendering/12.obj", "3.1517393589")</f>
        <v>3.1517393589</v>
      </c>
      <c r="P2445" s="36" t="str">
        <f>HYPERLINK(AB2 &amp; "/pliers/3dw_f92bad13-5201-493a-8ebb-377510d533d9/rendering/13.obj", "3.85324287415")</f>
        <v>3.85324287415</v>
      </c>
      <c r="Q2445" s="90" t="str">
        <f>HYPERLINK(AB2 &amp; "/pliers/3dw_f92bad13-5201-493a-8ebb-377510d533d9/rendering/14.obj", "2.86877131462")</f>
        <v>2.86877131462</v>
      </c>
      <c r="R2445" s="30" t="str">
        <f>HYPERLINK(AB2 &amp; "/pliers/3dw_f92bad13-5201-493a-8ebb-377510d533d9/rendering/15.obj", "3.18408179283")</f>
        <v>3.18408179283</v>
      </c>
      <c r="S2445" s="26" t="str">
        <f>HYPERLINK(AB2 &amp; "/pliers/3dw_f92bad13-5201-493a-8ebb-377510d533d9/rendering/16.obj", "2.96802949905")</f>
        <v>2.96802949905</v>
      </c>
      <c r="T2445" s="32" t="str">
        <f>HYPERLINK(AB2 &amp; "/pliers/3dw_f92bad13-5201-493a-8ebb-377510d533d9/rendering/17.obj", "2.83830070496")</f>
        <v>2.83830070496</v>
      </c>
      <c r="U2445" s="46" t="str">
        <f>HYPERLINK(AB2 &amp; "/pliers/3dw_f92bad13-5201-493a-8ebb-377510d533d9/rendering/18.obj", "3.11988997459")</f>
        <v>3.11988997459</v>
      </c>
      <c r="V2445" s="28" t="str">
        <f>HYPERLINK(AB2 &amp; "/pliers/3dw_f92bad13-5201-493a-8ebb-377510d533d9/rendering/19.obj", "2.81838011742")</f>
        <v>2.81838011742</v>
      </c>
      <c r="W2445" s="12" t="s">
        <v>32</v>
      </c>
      <c r="X2445" s="13">
        <v>3.1697479963302611</v>
      </c>
      <c r="Y2445" s="13">
        <v>0.43205442598334892</v>
      </c>
      <c r="Z2445" s="42">
        <v>0.13630560741218381</v>
      </c>
    </row>
    <row r="2446" spans="1:26" x14ac:dyDescent="0.2">
      <c r="A2446" s="1">
        <v>2444</v>
      </c>
      <c r="B2446" s="2" t="s">
        <v>521</v>
      </c>
      <c r="C2446" s="13" t="str">
        <f>HYPERLINK(AC2 &amp; "/pliers/3dw_f92bad13-5201-493a-8ebb-377510d533d9/rendering/00.xyz", "0.0")</f>
        <v>0.0</v>
      </c>
      <c r="D2446" s="13" t="str">
        <f>HYPERLINK(AC2 &amp; "/pliers/3dw_f92bad13-5201-493a-8ebb-377510d533d9/rendering/01.xyz", "0.0")</f>
        <v>0.0</v>
      </c>
      <c r="E2446" s="13" t="str">
        <f>HYPERLINK(AC2 &amp; "/pliers/3dw_f92bad13-5201-493a-8ebb-377510d533d9/rendering/02.xyz", "0.0")</f>
        <v>0.0</v>
      </c>
      <c r="F2446" s="13" t="str">
        <f>HYPERLINK(AC2 &amp; "/pliers/3dw_f92bad13-5201-493a-8ebb-377510d533d9/rendering/03.xyz", "0.0")</f>
        <v>0.0</v>
      </c>
      <c r="G2446" s="13" t="str">
        <f>HYPERLINK(AC2 &amp; "/pliers/3dw_f92bad13-5201-493a-8ebb-377510d533d9/rendering/04.xyz", "0.0")</f>
        <v>0.0</v>
      </c>
      <c r="H2446" s="13" t="str">
        <f>HYPERLINK(AC2 &amp; "/pliers/3dw_f92bad13-5201-493a-8ebb-377510d533d9/rendering/05.xyz", "0.0")</f>
        <v>0.0</v>
      </c>
      <c r="I2446" s="13" t="str">
        <f>HYPERLINK(AC2 &amp; "/pliers/3dw_f92bad13-5201-493a-8ebb-377510d533d9/rendering/06.xyz", "0.0")</f>
        <v>0.0</v>
      </c>
      <c r="J2446" s="13" t="str">
        <f>HYPERLINK(AC2 &amp; "/pliers/3dw_f92bad13-5201-493a-8ebb-377510d533d9/rendering/07.xyz", "0.0")</f>
        <v>0.0</v>
      </c>
      <c r="K2446" s="13" t="str">
        <f>HYPERLINK(AC2 &amp; "/pliers/3dw_f92bad13-5201-493a-8ebb-377510d533d9/rendering/08.xyz", "0.0")</f>
        <v>0.0</v>
      </c>
      <c r="L2446" s="13" t="str">
        <f>HYPERLINK(AC2 &amp; "/pliers/3dw_f92bad13-5201-493a-8ebb-377510d533d9/rendering/09.xyz", "0.0")</f>
        <v>0.0</v>
      </c>
      <c r="M2446" s="13" t="str">
        <f>HYPERLINK(AC2 &amp; "/pliers/3dw_f92bad13-5201-493a-8ebb-377510d533d9/rendering/10.xyz", "0.0")</f>
        <v>0.0</v>
      </c>
      <c r="N2446" s="13" t="str">
        <f>HYPERLINK(AC2 &amp; "/pliers/3dw_f92bad13-5201-493a-8ebb-377510d533d9/rendering/11.xyz", "0.0")</f>
        <v>0.0</v>
      </c>
      <c r="O2446" s="13" t="str">
        <f>HYPERLINK(AC2 &amp; "/pliers/3dw_f92bad13-5201-493a-8ebb-377510d533d9/rendering/12.xyz", "0.0")</f>
        <v>0.0</v>
      </c>
      <c r="P2446" s="13" t="str">
        <f>HYPERLINK(AC2 &amp; "/pliers/3dw_f92bad13-5201-493a-8ebb-377510d533d9/rendering/13.xyz", "0.0")</f>
        <v>0.0</v>
      </c>
      <c r="Q2446" s="13" t="str">
        <f>HYPERLINK(AC2 &amp; "/pliers/3dw_f92bad13-5201-493a-8ebb-377510d533d9/rendering/14.xyz", "0.0")</f>
        <v>0.0</v>
      </c>
      <c r="R2446" s="13" t="str">
        <f>HYPERLINK(AC2 &amp; "/pliers/3dw_f92bad13-5201-493a-8ebb-377510d533d9/rendering/15.xyz", "0.0")</f>
        <v>0.0</v>
      </c>
      <c r="S2446" s="13" t="str">
        <f>HYPERLINK(AC2 &amp; "/pliers/3dw_f92bad13-5201-493a-8ebb-377510d533d9/rendering/16.xyz", "0.0")</f>
        <v>0.0</v>
      </c>
      <c r="T2446" s="13" t="str">
        <f>HYPERLINK(AC2 &amp; "/pliers/3dw_f92bad13-5201-493a-8ebb-377510d533d9/rendering/17.xyz", "0.0")</f>
        <v>0.0</v>
      </c>
      <c r="U2446" s="13" t="str">
        <f>HYPERLINK(AC2 &amp; "/pliers/3dw_f92bad13-5201-493a-8ebb-377510d533d9/rendering/18.xyz", "0.0")</f>
        <v>0.0</v>
      </c>
      <c r="V2446" s="13" t="str">
        <f>HYPERLINK(AC2 &amp; "/pliers/3dw_f92bad13-5201-493a-8ebb-377510d533d9/rendering/19.xyz", "0.0")</f>
        <v>0.0</v>
      </c>
      <c r="W2446" s="12" t="s">
        <v>33</v>
      </c>
      <c r="X2446" s="13">
        <v>0</v>
      </c>
      <c r="Y2446" s="13">
        <v>0</v>
      </c>
      <c r="Z2446" s="13">
        <v>0</v>
      </c>
    </row>
    <row r="2447" spans="1:26" x14ac:dyDescent="0.2">
      <c r="A2447" s="1">
        <v>2445</v>
      </c>
      <c r="B2447" s="2" t="s">
        <v>522</v>
      </c>
      <c r="C2447" s="95" t="str">
        <f>HYPERLINK(AA2 &amp; "/pliers/3dw_f9c3c3c9-9a2e-4968-b08b-92e90eee1d22/rendering/00.obj", "0.860342254639")</f>
        <v>0.860342254639</v>
      </c>
      <c r="D2447" s="91" t="str">
        <f>HYPERLINK(AA2 &amp; "/pliers/3dw_f9c3c3c9-9a2e-4968-b08b-92e90eee1d22/rendering/01.obj", "1.22516174316")</f>
        <v>1.22516174316</v>
      </c>
      <c r="E2447" s="109" t="str">
        <f>HYPERLINK(AA2 &amp; "/pliers/3dw_f9c3c3c9-9a2e-4968-b08b-92e90eee1d22/rendering/02.obj", "0.9682787323")</f>
        <v>0.9682787323</v>
      </c>
      <c r="F2447" s="133" t="str">
        <f>HYPERLINK(AA2 &amp; "/pliers/3dw_f9c3c3c9-9a2e-4968-b08b-92e90eee1d22/rendering/03.obj", "1.07065071106")</f>
        <v>1.07065071106</v>
      </c>
      <c r="G2447" s="36" t="str">
        <f>HYPERLINK(AA2 &amp; "/pliers/3dw_f9c3c3c9-9a2e-4968-b08b-92e90eee1d22/rendering/04.obj", "0.935759735107")</f>
        <v>0.935759735107</v>
      </c>
      <c r="H2447" s="36" t="str">
        <f>HYPERLINK(AA2 &amp; "/pliers/3dw_f9c3c3c9-9a2e-4968-b08b-92e90eee1d22/rendering/05.obj", "0.937572784424")</f>
        <v>0.937572784424</v>
      </c>
      <c r="I2447" s="116" t="str">
        <f>HYPERLINK(AA2 &amp; "/pliers/3dw_f9c3c3c9-9a2e-4968-b08b-92e90eee1d22/rendering/06.obj", "0.670190811157")</f>
        <v>0.670190811157</v>
      </c>
      <c r="J2447" s="109" t="str">
        <f>HYPERLINK(AA2 &amp; "/pliers/3dw_f9c3c3c9-9a2e-4968-b08b-92e90eee1d22/rendering/07.obj", "0.966499176025")</f>
        <v>0.966499176025</v>
      </c>
      <c r="K2447" s="151" t="str">
        <f>HYPERLINK(AA2 &amp; "/pliers/3dw_f9c3c3c9-9a2e-4968-b08b-92e90eee1d22/rendering/08.obj", "0.766129302979")</f>
        <v>0.766129302979</v>
      </c>
      <c r="L2447" s="14" t="str">
        <f>HYPERLINK(AA2 &amp; "/pliers/3dw_f9c3c3c9-9a2e-4968-b08b-92e90eee1d22/rendering/09.obj", "0.84671836853")</f>
        <v>0.84671836853</v>
      </c>
      <c r="M2447" s="128" t="str">
        <f>HYPERLINK(AA2 &amp; "/pliers/3dw_f9c3c3c9-9a2e-4968-b08b-92e90eee1d22/rendering/10.obj", "0.726567001343")</f>
        <v>0.726567001343</v>
      </c>
      <c r="N2447" s="50" t="str">
        <f>HYPERLINK(AA2 &amp; "/pliers/3dw_f9c3c3c9-9a2e-4968-b08b-92e90eee1d22/rendering/11.obj", "0.957640151978")</f>
        <v>0.957640151978</v>
      </c>
      <c r="O2447" s="100" t="str">
        <f>HYPERLINK(AA2 &amp; "/pliers/3dw_f9c3c3c9-9a2e-4968-b08b-92e90eee1d22/rendering/12.obj", "1.55207199097")</f>
        <v>1.55207199097</v>
      </c>
      <c r="P2447" s="92" t="str">
        <f>HYPERLINK(AA2 &amp; "/pliers/3dw_f9c3c3c9-9a2e-4968-b08b-92e90eee1d22/rendering/13.obj", "1.04628723145")</f>
        <v>1.04628723145</v>
      </c>
      <c r="Q2447" s="127" t="str">
        <f>HYPERLINK(AA2 &amp; "/pliers/3dw_f9c3c3c9-9a2e-4968-b08b-92e90eee1d22/rendering/14.obj", "1.81538116455")</f>
        <v>1.81538116455</v>
      </c>
      <c r="R2447" s="236" t="str">
        <f>HYPERLINK(AA2 &amp; "/pliers/3dw_f9c3c3c9-9a2e-4968-b08b-92e90eee1d22/rendering/15.obj", "2.07777282715")</f>
        <v>2.07777282715</v>
      </c>
      <c r="S2447" s="52" t="str">
        <f>HYPERLINK(AA2 &amp; "/pliers/3dw_f9c3c3c9-9a2e-4968-b08b-92e90eee1d22/rendering/16.obj", "0.716201705933")</f>
        <v>0.716201705933</v>
      </c>
      <c r="T2447" s="20" t="str">
        <f>HYPERLINK(AA2 &amp; "/pliers/3dw_f9c3c3c9-9a2e-4968-b08b-92e90eee1d22/rendering/17.obj", "2.18295135498")</f>
        <v>2.18295135498</v>
      </c>
      <c r="U2447" s="193" t="str">
        <f>HYPERLINK(AA2 &amp; "/pliers/3dw_f9c3c3c9-9a2e-4968-b08b-92e90eee1d22/rendering/18.obj", "0.799798965454")</f>
        <v>0.799798965454</v>
      </c>
      <c r="V2447" s="20" t="str">
        <f>HYPERLINK(AA2 &amp; "/pliers/3dw_f9c3c3c9-9a2e-4968-b08b-92e90eee1d22/rendering/19.obj", "2.75531036377")</f>
        <v>2.75531036377</v>
      </c>
      <c r="W2447" s="12" t="s">
        <v>29</v>
      </c>
      <c r="X2447" s="13">
        <v>1.1938643188476561</v>
      </c>
      <c r="Y2447" s="13">
        <v>0.5626579992616062</v>
      </c>
      <c r="Z2447" s="143">
        <v>0.47129141090730969</v>
      </c>
    </row>
    <row r="2448" spans="1:26" x14ac:dyDescent="0.2">
      <c r="A2448" s="1">
        <v>2446</v>
      </c>
      <c r="B2448" s="2" t="s">
        <v>522</v>
      </c>
      <c r="C2448" s="163" t="str">
        <f>HYPERLINK(AA2 &amp; "/pliers/3dw_f9c3c3c9-9a2e-4968-b08b-92e90eee1d22/rendering/00.obj", "2.52662777901")</f>
        <v>2.52662777901</v>
      </c>
      <c r="D2448" s="118" t="str">
        <f>HYPERLINK(AA2 &amp; "/pliers/3dw_f9c3c3c9-9a2e-4968-b08b-92e90eee1d22/rendering/01.obj", "5.84913349152")</f>
        <v>5.84913349152</v>
      </c>
      <c r="E2448" s="124" t="str">
        <f>HYPERLINK(AA2 &amp; "/pliers/3dw_f9c3c3c9-9a2e-4968-b08b-92e90eee1d22/rendering/02.obj", "2.80024790764")</f>
        <v>2.80024790764</v>
      </c>
      <c r="F2448" s="35" t="str">
        <f>HYPERLINK(AA2 &amp; "/pliers/3dw_f9c3c3c9-9a2e-4968-b08b-92e90eee1d22/rendering/03.obj", "4.25891208649")</f>
        <v>4.25891208649</v>
      </c>
      <c r="G2448" s="170" t="str">
        <f>HYPERLINK(AA2 &amp; "/pliers/3dw_f9c3c3c9-9a2e-4968-b08b-92e90eee1d22/rendering/04.obj", "3.37768363953")</f>
        <v>3.37768363953</v>
      </c>
      <c r="H2448" s="89" t="str">
        <f>HYPERLINK(AA2 &amp; "/pliers/3dw_f9c3c3c9-9a2e-4968-b08b-92e90eee1d22/rendering/05.obj", "3.34907746315")</f>
        <v>3.34907746315</v>
      </c>
      <c r="I2448" s="159" t="str">
        <f>HYPERLINK(AA2 &amp; "/pliers/3dw_f9c3c3c9-9a2e-4968-b08b-92e90eee1d22/rendering/06.obj", "2.40131878853")</f>
        <v>2.40131878853</v>
      </c>
      <c r="J2448" s="170" t="str">
        <f>HYPERLINK(AA2 &amp; "/pliers/3dw_f9c3c3c9-9a2e-4968-b08b-92e90eee1d22/rendering/07.obj", "3.37593531609")</f>
        <v>3.37593531609</v>
      </c>
      <c r="K2448" s="111" t="str">
        <f>HYPERLINK(AA2 &amp; "/pliers/3dw_f9c3c3c9-9a2e-4968-b08b-92e90eee1d22/rendering/08.obj", "2.61156129837")</f>
        <v>2.61156129837</v>
      </c>
      <c r="L2448" s="97" t="str">
        <f>HYPERLINK(AA2 &amp; "/pliers/3dw_f9c3c3c9-9a2e-4968-b08b-92e90eee1d22/rendering/09.obj", "2.55595707893")</f>
        <v>2.55595707893</v>
      </c>
      <c r="M2448" s="181" t="str">
        <f>HYPERLINK(AA2 &amp; "/pliers/3dw_f9c3c3c9-9a2e-4968-b08b-92e90eee1d22/rendering/10.obj", "2.51450395584")</f>
        <v>2.51450395584</v>
      </c>
      <c r="N2448" s="123" t="str">
        <f>HYPERLINK(AA2 &amp; "/pliers/3dw_f9c3c3c9-9a2e-4968-b08b-92e90eee1d22/rendering/11.obj", "2.86028051376")</f>
        <v>2.86028051376</v>
      </c>
      <c r="O2448" s="91" t="str">
        <f>HYPERLINK(AA2 &amp; "/pliers/3dw_f9c3c3c9-9a2e-4968-b08b-92e90eee1d22/rendering/12.obj", "4.65104866028")</f>
        <v>4.65104866028</v>
      </c>
      <c r="P2448" s="44" t="str">
        <f>HYPERLINK(AA2 &amp; "/pliers/3dw_f9c3c3c9-9a2e-4968-b08b-92e90eee1d22/rendering/13.obj", "3.63883304596")</f>
        <v>3.63883304596</v>
      </c>
      <c r="Q2448" s="226" t="str">
        <f>HYPERLINK(AA2 &amp; "/pliers/3dw_f9c3c3c9-9a2e-4968-b08b-92e90eee1d22/rendering/14.obj", "7.07393169403")</f>
        <v>7.07393169403</v>
      </c>
      <c r="R2448" s="20" t="str">
        <f>HYPERLINK(AA2 &amp; "/pliers/3dw_f9c3c3c9-9a2e-4968-b08b-92e90eee1d22/rendering/15.obj", "8.52565097809")</f>
        <v>8.52565097809</v>
      </c>
      <c r="S2448" s="147" t="str">
        <f>HYPERLINK(AA2 &amp; "/pliers/3dw_f9c3c3c9-9a2e-4968-b08b-92e90eee1d22/rendering/16.obj", "2.31795597076")</f>
        <v>2.31795597076</v>
      </c>
      <c r="T2448" s="216" t="str">
        <f>HYPERLINK(AA2 &amp; "/pliers/3dw_f9c3c3c9-9a2e-4968-b08b-92e90eee1d22/rendering/17.obj", "7.46440029144")</f>
        <v>7.46440029144</v>
      </c>
      <c r="U2448" s="143" t="str">
        <f>HYPERLINK(AA2 &amp; "/pliers/3dw_f9c3c3c9-9a2e-4968-b08b-92e90eee1d22/rendering/18.obj", "2.39104962349")</f>
        <v>2.39104962349</v>
      </c>
      <c r="V2448" s="20" t="str">
        <f>HYPERLINK(AA2 &amp; "/pliers/3dw_f9c3c3c9-9a2e-4968-b08b-92e90eee1d22/rendering/19.obj", "15.9288797379")</f>
        <v>15.9288797379</v>
      </c>
      <c r="W2448" s="12" t="s">
        <v>30</v>
      </c>
      <c r="X2448" s="13">
        <v>4.5236494660377504</v>
      </c>
      <c r="Y2448" s="13">
        <v>3.186615729629438</v>
      </c>
      <c r="Z2448" s="238">
        <v>0.70443471660517154</v>
      </c>
    </row>
    <row r="2449" spans="1:26" x14ac:dyDescent="0.2">
      <c r="A2449" s="1">
        <v>2447</v>
      </c>
      <c r="B2449" s="2" t="s">
        <v>522</v>
      </c>
      <c r="C2449" s="10" t="str">
        <f>HYPERLINK(AB2 &amp; "/pliers/3dw_f9c3c3c9-9a2e-4968-b08b-92e90eee1d22/rendering/00.obj", "0.883028717041")</f>
        <v>0.883028717041</v>
      </c>
      <c r="D2449" s="17" t="str">
        <f>HYPERLINK(AB2 &amp; "/pliers/3dw_f9c3c3c9-9a2e-4968-b08b-92e90eee1d22/rendering/01.obj", "0.821588745117")</f>
        <v>0.821588745117</v>
      </c>
      <c r="E2449" s="47" t="str">
        <f>HYPERLINK(AB2 &amp; "/pliers/3dw_f9c3c3c9-9a2e-4968-b08b-92e90eee1d22/rendering/02.obj", "0.831821289062")</f>
        <v>0.831821289062</v>
      </c>
      <c r="F2449" s="38" t="str">
        <f>HYPERLINK(AB2 &amp; "/pliers/3dw_f9c3c3c9-9a2e-4968-b08b-92e90eee1d22/rendering/03.obj", "0.76202041626")</f>
        <v>0.76202041626</v>
      </c>
      <c r="G2449" s="182" t="str">
        <f>HYPERLINK(AB2 &amp; "/pliers/3dw_f9c3c3c9-9a2e-4968-b08b-92e90eee1d22/rendering/04.obj", "1.11945724487")</f>
        <v>1.11945724487</v>
      </c>
      <c r="H2449" s="29" t="str">
        <f>HYPERLINK(AB2 &amp; "/pliers/3dw_f9c3c3c9-9a2e-4968-b08b-92e90eee1d22/rendering/05.obj", "0.728330841064")</f>
        <v>0.728330841064</v>
      </c>
      <c r="I2449" s="106" t="str">
        <f>HYPERLINK(AB2 &amp; "/pliers/3dw_f9c3c3c9-9a2e-4968-b08b-92e90eee1d22/rendering/06.obj", "0.743382110596")</f>
        <v>0.743382110596</v>
      </c>
      <c r="J2449" s="70" t="str">
        <f>HYPERLINK(AB2 &amp; "/pliers/3dw_f9c3c3c9-9a2e-4968-b08b-92e90eee1d22/rendering/07.obj", "0.731676559448")</f>
        <v>0.731676559448</v>
      </c>
      <c r="K2449" s="23" t="str">
        <f>HYPERLINK(AB2 &amp; "/pliers/3dw_f9c3c3c9-9a2e-4968-b08b-92e90eee1d22/rendering/08.obj", "0.872172698975")</f>
        <v>0.872172698975</v>
      </c>
      <c r="L2449" s="83" t="str">
        <f>HYPERLINK(AB2 &amp; "/pliers/3dw_f9c3c3c9-9a2e-4968-b08b-92e90eee1d22/rendering/09.obj", "0.96578956604")</f>
        <v>0.96578956604</v>
      </c>
      <c r="M2449" s="46" t="str">
        <f>HYPERLINK(AB2 &amp; "/pliers/3dw_f9c3c3c9-9a2e-4968-b08b-92e90eee1d22/rendering/10.obj", "0.824776916504")</f>
        <v>0.824776916504</v>
      </c>
      <c r="N2449" s="48" t="str">
        <f>HYPERLINK(AB2 &amp; "/pliers/3dw_f9c3c3c9-9a2e-4968-b08b-92e90eee1d22/rendering/11.obj", "0.857629089355")</f>
        <v>0.857629089355</v>
      </c>
      <c r="O2449" s="17" t="str">
        <f>HYPERLINK(AB2 &amp; "/pliers/3dw_f9c3c3c9-9a2e-4968-b08b-92e90eee1d22/rendering/12.obj", "0.855963287354")</f>
        <v>0.855963287354</v>
      </c>
      <c r="P2449" s="31" t="str">
        <f>HYPERLINK(AB2 &amp; "/pliers/3dw_f9c3c3c9-9a2e-4968-b08b-92e90eee1d22/rendering/13.obj", "0.706813049316")</f>
        <v>0.706813049316</v>
      </c>
      <c r="Q2449" s="5" t="str">
        <f>HYPERLINK(AB2 &amp; "/pliers/3dw_f9c3c3c9-9a2e-4968-b08b-92e90eee1d22/rendering/14.obj", "0.901775970459")</f>
        <v>0.901775970459</v>
      </c>
      <c r="R2449" s="69" t="str">
        <f>HYPERLINK(AB2 &amp; "/pliers/3dw_f9c3c3c9-9a2e-4968-b08b-92e90eee1d22/rendering/15.obj", "0.813902740479")</f>
        <v>0.813902740479</v>
      </c>
      <c r="S2449" s="71" t="str">
        <f>HYPERLINK(AB2 &amp; "/pliers/3dw_f9c3c3c9-9a2e-4968-b08b-92e90eee1d22/rendering/16.obj", "0.739571990967")</f>
        <v>0.739571990967</v>
      </c>
      <c r="T2449" s="73" t="str">
        <f>HYPERLINK(AB2 &amp; "/pliers/3dw_f9c3c3c9-9a2e-4968-b08b-92e90eee1d22/rendering/17.obj", "0.869176101685")</f>
        <v>0.869176101685</v>
      </c>
      <c r="U2449" s="17" t="str">
        <f>HYPERLINK(AB2 &amp; "/pliers/3dw_f9c3c3c9-9a2e-4968-b08b-92e90eee1d22/rendering/18.obj", "0.820296020508")</f>
        <v>0.820296020508</v>
      </c>
      <c r="V2449" s="38" t="str">
        <f>HYPERLINK(AB2 &amp; "/pliers/3dw_f9c3c3c9-9a2e-4968-b08b-92e90eee1d22/rendering/19.obj", "0.914123535156")</f>
        <v>0.914123535156</v>
      </c>
      <c r="W2449" s="12" t="s">
        <v>31</v>
      </c>
      <c r="X2449" s="13">
        <v>0.83816484451293949</v>
      </c>
      <c r="Y2449" s="13">
        <v>9.3972671653518275E-2</v>
      </c>
      <c r="Z2449" s="28">
        <v>0.11211717154293931</v>
      </c>
    </row>
    <row r="2450" spans="1:26" x14ac:dyDescent="0.2">
      <c r="A2450" s="1">
        <v>2448</v>
      </c>
      <c r="B2450" s="2" t="s">
        <v>522</v>
      </c>
      <c r="C2450" s="60" t="str">
        <f>HYPERLINK(AB2 &amp; "/pliers/3dw_f9c3c3c9-9a2e-4968-b08b-92e90eee1d22/rendering/00.obj", "2.33465528488")</f>
        <v>2.33465528488</v>
      </c>
      <c r="D2450" s="5" t="str">
        <f>HYPERLINK(AB2 &amp; "/pliers/3dw_f9c3c3c9-9a2e-4968-b08b-92e90eee1d22/rendering/01.obj", "2.27785682678")</f>
        <v>2.27785682678</v>
      </c>
      <c r="E2450" s="68" t="str">
        <f>HYPERLINK(AB2 &amp; "/pliers/3dw_f9c3c3c9-9a2e-4968-b08b-92e90eee1d22/rendering/02.obj", "2.35957741737")</f>
        <v>2.35957741737</v>
      </c>
      <c r="F2450" s="110" t="str">
        <f>HYPERLINK(AB2 &amp; "/pliers/3dw_f9c3c3c9-9a2e-4968-b08b-92e90eee1d22/rendering/03.obj", "2.22608804703")</f>
        <v>2.22608804703</v>
      </c>
      <c r="G2450" s="77" t="str">
        <f>HYPERLINK(AB2 &amp; "/pliers/3dw_f9c3c3c9-9a2e-4968-b08b-92e90eee1d22/rendering/04.obj", "2.92693567276")</f>
        <v>2.92693567276</v>
      </c>
      <c r="H2450" s="47" t="str">
        <f>HYPERLINK(AB2 &amp; "/pliers/3dw_f9c3c3c9-9a2e-4968-b08b-92e90eee1d22/rendering/05.obj", "2.44812679291")</f>
        <v>2.44812679291</v>
      </c>
      <c r="I2450" s="13" t="str">
        <f>HYPERLINK(AB2 &amp; "/pliers/3dw_f9c3c3c9-9a2e-4968-b08b-92e90eee1d22/rendering/06.obj", "2.45927882195")</f>
        <v>2.45927882195</v>
      </c>
      <c r="J2450" s="70" t="str">
        <f>HYPERLINK(AB2 &amp; "/pliers/3dw_f9c3c3c9-9a2e-4968-b08b-92e90eee1d22/rendering/07.obj", "2.15280890465")</f>
        <v>2.15280890465</v>
      </c>
      <c r="K2450" s="25" t="str">
        <f>HYPERLINK(AB2 &amp; "/pliers/3dw_f9c3c3c9-9a2e-4968-b08b-92e90eee1d22/rendering/08.obj", "2.4951364994")</f>
        <v>2.4951364994</v>
      </c>
      <c r="L2450" s="29" t="str">
        <f>HYPERLINK(AB2 &amp; "/pliers/3dw_f9c3c3c9-9a2e-4968-b08b-92e90eee1d22/rendering/09.obj", "2.78921627998")</f>
        <v>2.78921627998</v>
      </c>
      <c r="M2450" s="91" t="str">
        <f>HYPERLINK(AB2 &amp; "/pliers/3dw_f9c3c3c9-9a2e-4968-b08b-92e90eee1d22/rendering/10.obj", "2.40119743347")</f>
        <v>2.40119743347</v>
      </c>
      <c r="N2450" s="107" t="str">
        <f>HYPERLINK(AB2 &amp; "/pliers/3dw_f9c3c3c9-9a2e-4968-b08b-92e90eee1d22/rendering/11.obj", "2.26168107986")</f>
        <v>2.26168107986</v>
      </c>
      <c r="O2450" s="10" t="str">
        <f>HYPERLINK(AB2 &amp; "/pliers/3dw_f9c3c3c9-9a2e-4968-b08b-92e90eee1d22/rendering/12.obj", "2.33449482918")</f>
        <v>2.33449482918</v>
      </c>
      <c r="P2450" s="110" t="str">
        <f>HYPERLINK(AB2 &amp; "/pliers/3dw_f9c3c3c9-9a2e-4968-b08b-92e90eee1d22/rendering/13.obj", "2.22548794746")</f>
        <v>2.22548794746</v>
      </c>
      <c r="Q2450" s="8" t="str">
        <f>HYPERLINK(AB2 &amp; "/pliers/3dw_f9c3c3c9-9a2e-4968-b08b-92e90eee1d22/rendering/14.obj", "2.81940793991")</f>
        <v>2.81940793991</v>
      </c>
      <c r="R2450" s="5" t="str">
        <f>HYPERLINK(AB2 &amp; "/pliers/3dw_f9c3c3c9-9a2e-4968-b08b-92e90eee1d22/rendering/15.obj", "2.27704596519")</f>
        <v>2.27704596519</v>
      </c>
      <c r="S2450" s="27" t="str">
        <f>HYPERLINK(AB2 &amp; "/pliers/3dw_f9c3c3c9-9a2e-4968-b08b-92e90eee1d22/rendering/16.obj", "2.29258728027")</f>
        <v>2.29258728027</v>
      </c>
      <c r="T2450" s="77" t="str">
        <f>HYPERLINK(AB2 &amp; "/pliers/3dw_f9c3c3c9-9a2e-4968-b08b-92e90eee1d22/rendering/17.obj", "2.92704463005")</f>
        <v>2.92704463005</v>
      </c>
      <c r="U2450" s="27" t="str">
        <f>HYPERLINK(AB2 &amp; "/pliers/3dw_f9c3c3c9-9a2e-4968-b08b-92e90eee1d22/rendering/18.obj", "2.29047727585")</f>
        <v>2.29047727585</v>
      </c>
      <c r="V2450" s="87" t="str">
        <f>HYPERLINK(AB2 &amp; "/pliers/3dw_f9c3c3c9-9a2e-4968-b08b-92e90eee1d22/rendering/19.obj", "3.02400779724")</f>
        <v>3.02400779724</v>
      </c>
      <c r="W2450" s="12" t="s">
        <v>32</v>
      </c>
      <c r="X2450" s="13">
        <v>2.4661556363105772</v>
      </c>
      <c r="Y2450" s="13">
        <v>0.2649779327979831</v>
      </c>
      <c r="Z2450" s="33">
        <v>0.1074457462848516</v>
      </c>
    </row>
    <row r="2451" spans="1:26" x14ac:dyDescent="0.2">
      <c r="A2451" s="1">
        <v>2449</v>
      </c>
      <c r="B2451" s="2" t="s">
        <v>522</v>
      </c>
      <c r="C2451" s="13" t="str">
        <f>HYPERLINK(AC2 &amp; "/pliers/3dw_f9c3c3c9-9a2e-4968-b08b-92e90eee1d22/rendering/00.xyz", "0.0")</f>
        <v>0.0</v>
      </c>
      <c r="D2451" s="13" t="str">
        <f>HYPERLINK(AC2 &amp; "/pliers/3dw_f9c3c3c9-9a2e-4968-b08b-92e90eee1d22/rendering/01.xyz", "0.0")</f>
        <v>0.0</v>
      </c>
      <c r="E2451" s="13" t="str">
        <f>HYPERLINK(AC2 &amp; "/pliers/3dw_f9c3c3c9-9a2e-4968-b08b-92e90eee1d22/rendering/02.xyz", "0.0")</f>
        <v>0.0</v>
      </c>
      <c r="F2451" s="13" t="str">
        <f>HYPERLINK(AC2 &amp; "/pliers/3dw_f9c3c3c9-9a2e-4968-b08b-92e90eee1d22/rendering/03.xyz", "0.0")</f>
        <v>0.0</v>
      </c>
      <c r="G2451" s="13" t="str">
        <f>HYPERLINK(AC2 &amp; "/pliers/3dw_f9c3c3c9-9a2e-4968-b08b-92e90eee1d22/rendering/04.xyz", "0.0")</f>
        <v>0.0</v>
      </c>
      <c r="H2451" s="13" t="str">
        <f>HYPERLINK(AC2 &amp; "/pliers/3dw_f9c3c3c9-9a2e-4968-b08b-92e90eee1d22/rendering/05.xyz", "0.0")</f>
        <v>0.0</v>
      </c>
      <c r="I2451" s="13" t="str">
        <f>HYPERLINK(AC2 &amp; "/pliers/3dw_f9c3c3c9-9a2e-4968-b08b-92e90eee1d22/rendering/06.xyz", "0.0")</f>
        <v>0.0</v>
      </c>
      <c r="J2451" s="13" t="str">
        <f>HYPERLINK(AC2 &amp; "/pliers/3dw_f9c3c3c9-9a2e-4968-b08b-92e90eee1d22/rendering/07.xyz", "0.0")</f>
        <v>0.0</v>
      </c>
      <c r="K2451" s="13" t="str">
        <f>HYPERLINK(AC2 &amp; "/pliers/3dw_f9c3c3c9-9a2e-4968-b08b-92e90eee1d22/rendering/08.xyz", "0.0")</f>
        <v>0.0</v>
      </c>
      <c r="L2451" s="13" t="str">
        <f>HYPERLINK(AC2 &amp; "/pliers/3dw_f9c3c3c9-9a2e-4968-b08b-92e90eee1d22/rendering/09.xyz", "0.0")</f>
        <v>0.0</v>
      </c>
      <c r="M2451" s="13" t="str">
        <f>HYPERLINK(AC2 &amp; "/pliers/3dw_f9c3c3c9-9a2e-4968-b08b-92e90eee1d22/rendering/10.xyz", "0.0")</f>
        <v>0.0</v>
      </c>
      <c r="N2451" s="13" t="str">
        <f>HYPERLINK(AC2 &amp; "/pliers/3dw_f9c3c3c9-9a2e-4968-b08b-92e90eee1d22/rendering/11.xyz", "0.0")</f>
        <v>0.0</v>
      </c>
      <c r="O2451" s="13" t="str">
        <f>HYPERLINK(AC2 &amp; "/pliers/3dw_f9c3c3c9-9a2e-4968-b08b-92e90eee1d22/rendering/12.xyz", "0.0")</f>
        <v>0.0</v>
      </c>
      <c r="P2451" s="13" t="str">
        <f>HYPERLINK(AC2 &amp; "/pliers/3dw_f9c3c3c9-9a2e-4968-b08b-92e90eee1d22/rendering/13.xyz", "0.0")</f>
        <v>0.0</v>
      </c>
      <c r="Q2451" s="13" t="str">
        <f>HYPERLINK(AC2 &amp; "/pliers/3dw_f9c3c3c9-9a2e-4968-b08b-92e90eee1d22/rendering/14.xyz", "0.0")</f>
        <v>0.0</v>
      </c>
      <c r="R2451" s="13" t="str">
        <f>HYPERLINK(AC2 &amp; "/pliers/3dw_f9c3c3c9-9a2e-4968-b08b-92e90eee1d22/rendering/15.xyz", "0.0")</f>
        <v>0.0</v>
      </c>
      <c r="S2451" s="13" t="str">
        <f>HYPERLINK(AC2 &amp; "/pliers/3dw_f9c3c3c9-9a2e-4968-b08b-92e90eee1d22/rendering/16.xyz", "0.0")</f>
        <v>0.0</v>
      </c>
      <c r="T2451" s="13" t="str">
        <f>HYPERLINK(AC2 &amp; "/pliers/3dw_f9c3c3c9-9a2e-4968-b08b-92e90eee1d22/rendering/17.xyz", "0.0")</f>
        <v>0.0</v>
      </c>
      <c r="U2451" s="13" t="str">
        <f>HYPERLINK(AC2 &amp; "/pliers/3dw_f9c3c3c9-9a2e-4968-b08b-92e90eee1d22/rendering/18.xyz", "0.0")</f>
        <v>0.0</v>
      </c>
      <c r="V2451" s="13" t="str">
        <f>HYPERLINK(AC2 &amp; "/pliers/3dw_f9c3c3c9-9a2e-4968-b08b-92e90eee1d22/rendering/19.xyz", "0.0")</f>
        <v>0.0</v>
      </c>
      <c r="W2451" s="12" t="s">
        <v>33</v>
      </c>
      <c r="X2451" s="13">
        <v>0</v>
      </c>
      <c r="Y2451" s="13">
        <v>0</v>
      </c>
      <c r="Z2451" s="13">
        <v>0</v>
      </c>
    </row>
    <row r="2452" spans="1:26" x14ac:dyDescent="0.2">
      <c r="A2452" s="1">
        <v>2450</v>
      </c>
      <c r="B2452" s="2" t="s">
        <v>523</v>
      </c>
      <c r="C2452" s="3" t="str">
        <f>HYPERLINK(AA2 &amp; "/scissors/sn_44d8e0530a3bbb11fe83da942ecb8647/rendering/00.obj", "nan")</f>
        <v>nan</v>
      </c>
      <c r="D2452" s="3" t="str">
        <f>HYPERLINK(AA2 &amp; "/scissors/sn_44d8e0530a3bbb11fe83da942ecb8647/rendering/01.obj", "nan")</f>
        <v>nan</v>
      </c>
      <c r="E2452" s="3" t="str">
        <f>HYPERLINK(AA2 &amp; "/scissors/sn_44d8e0530a3bbb11fe83da942ecb8647/rendering/02.obj", "nan")</f>
        <v>nan</v>
      </c>
      <c r="F2452" s="3" t="str">
        <f>HYPERLINK(AA2 &amp; "/scissors/sn_44d8e0530a3bbb11fe83da942ecb8647/rendering/03.obj", "nan")</f>
        <v>nan</v>
      </c>
      <c r="G2452" s="3" t="str">
        <f>HYPERLINK(AA2 &amp; "/scissors/sn_44d8e0530a3bbb11fe83da942ecb8647/rendering/04.obj", "nan")</f>
        <v>nan</v>
      </c>
      <c r="H2452" s="3" t="str">
        <f>HYPERLINK(AA2 &amp; "/scissors/sn_44d8e0530a3bbb11fe83da942ecb8647/rendering/05.obj", "nan")</f>
        <v>nan</v>
      </c>
      <c r="I2452" s="3" t="str">
        <f>HYPERLINK(AA2 &amp; "/scissors/sn_44d8e0530a3bbb11fe83da942ecb8647/rendering/06.obj", "nan")</f>
        <v>nan</v>
      </c>
      <c r="J2452" s="3" t="str">
        <f>HYPERLINK(AA2 &amp; "/scissors/sn_44d8e0530a3bbb11fe83da942ecb8647/rendering/07.obj", "nan")</f>
        <v>nan</v>
      </c>
      <c r="K2452" s="54" t="str">
        <f>HYPERLINK(AA2 &amp; "/scissors/sn_44d8e0530a3bbb11fe83da942ecb8647/rendering/08.obj", "6.36868896484")</f>
        <v>6.36868896484</v>
      </c>
      <c r="L2452" s="28" t="str">
        <f>HYPERLINK(AA2 &amp; "/scissors/sn_44d8e0530a3bbb11fe83da942ecb8647/rendering/09.obj", "4.26136108398")</f>
        <v>4.26136108398</v>
      </c>
      <c r="M2452" s="25" t="str">
        <f>HYPERLINK(AA2 &amp; "/scissors/sn_44d8e0530a3bbb11fe83da942ecb8647/rendering/10.obj", "4.73408935547")</f>
        <v>4.73408935547</v>
      </c>
      <c r="N2452" s="64" t="str">
        <f>HYPERLINK(AA2 &amp; "/scissors/sn_44d8e0530a3bbb11fe83da942ecb8647/rendering/11.obj", "4.00668640137")</f>
        <v>4.00668640137</v>
      </c>
      <c r="O2452" s="58" t="str">
        <f>HYPERLINK(AA2 &amp; "/scissors/sn_44d8e0530a3bbb11fe83da942ecb8647/rendering/12.obj", "5.96034973145")</f>
        <v>5.96034973145</v>
      </c>
      <c r="P2452" s="48" t="str">
        <f>HYPERLINK(AA2 &amp; "/scissors/sn_44d8e0530a3bbb11fe83da942ecb8647/rendering/13.obj", "4.90683837891")</f>
        <v>4.90683837891</v>
      </c>
      <c r="Q2452" s="72" t="str">
        <f>HYPERLINK(AA2 &amp; "/scissors/sn_44d8e0530a3bbb11fe83da942ecb8647/rendering/14.obj", "4.63014221191")</f>
        <v>4.63014221191</v>
      </c>
      <c r="R2452" s="51" t="str">
        <f>HYPERLINK(AA2 &amp; "/scissors/sn_44d8e0530a3bbb11fe83da942ecb8647/rendering/15.obj", "4.4105090332")</f>
        <v>4.4105090332</v>
      </c>
      <c r="S2452" s="92" t="str">
        <f>HYPERLINK(AA2 &amp; "/scissors/sn_44d8e0530a3bbb11fe83da942ecb8647/rendering/16.obj", "4.19890686035")</f>
        <v>4.19890686035</v>
      </c>
      <c r="T2452" s="39" t="str">
        <f>HYPERLINK(AA2 &amp; "/scissors/sn_44d8e0530a3bbb11fe83da942ecb8647/rendering/17.obj", "4.37801818848")</f>
        <v>4.37801818848</v>
      </c>
      <c r="U2452" s="78" t="str">
        <f>HYPERLINK(AA2 &amp; "/scissors/sn_44d8e0530a3bbb11fe83da942ecb8647/rendering/18.obj", "5.08560333252")</f>
        <v>5.08560333252</v>
      </c>
      <c r="V2452" s="34" t="str">
        <f>HYPERLINK(AA2 &amp; "/scissors/sn_44d8e0530a3bbb11fe83da942ecb8647/rendering/19.obj", "4.55174591064")</f>
        <v>4.55174591064</v>
      </c>
      <c r="W2452" s="12" t="s">
        <v>29</v>
      </c>
      <c r="X2452" s="13">
        <v>4.791078287760417</v>
      </c>
      <c r="Y2452" s="13">
        <v>0.68341143377636537</v>
      </c>
      <c r="Z2452" s="8">
        <v>0.14264251025124139</v>
      </c>
    </row>
    <row r="2453" spans="1:26" x14ac:dyDescent="0.2">
      <c r="A2453" s="1">
        <v>2451</v>
      </c>
      <c r="B2453" s="2" t="s">
        <v>523</v>
      </c>
      <c r="C2453" s="3" t="str">
        <f>HYPERLINK(AA2 &amp; "/scissors/sn_44d8e0530a3bbb11fe83da942ecb8647/rendering/00.obj", "nan")</f>
        <v>nan</v>
      </c>
      <c r="D2453" s="3" t="str">
        <f>HYPERLINK(AA2 &amp; "/scissors/sn_44d8e0530a3bbb11fe83da942ecb8647/rendering/01.obj", "nan")</f>
        <v>nan</v>
      </c>
      <c r="E2453" s="3" t="str">
        <f>HYPERLINK(AA2 &amp; "/scissors/sn_44d8e0530a3bbb11fe83da942ecb8647/rendering/02.obj", "nan")</f>
        <v>nan</v>
      </c>
      <c r="F2453" s="3" t="str">
        <f>HYPERLINK(AA2 &amp; "/scissors/sn_44d8e0530a3bbb11fe83da942ecb8647/rendering/03.obj", "nan")</f>
        <v>nan</v>
      </c>
      <c r="G2453" s="3" t="str">
        <f>HYPERLINK(AA2 &amp; "/scissors/sn_44d8e0530a3bbb11fe83da942ecb8647/rendering/04.obj", "nan")</f>
        <v>nan</v>
      </c>
      <c r="H2453" s="3" t="str">
        <f>HYPERLINK(AA2 &amp; "/scissors/sn_44d8e0530a3bbb11fe83da942ecb8647/rendering/05.obj", "nan")</f>
        <v>nan</v>
      </c>
      <c r="I2453" s="3" t="str">
        <f>HYPERLINK(AA2 &amp; "/scissors/sn_44d8e0530a3bbb11fe83da942ecb8647/rendering/06.obj", "nan")</f>
        <v>nan</v>
      </c>
      <c r="J2453" s="3" t="str">
        <f>HYPERLINK(AA2 &amp; "/scissors/sn_44d8e0530a3bbb11fe83da942ecb8647/rendering/07.obj", "nan")</f>
        <v>nan</v>
      </c>
      <c r="K2453" s="205" t="str">
        <f>HYPERLINK(AA2 &amp; "/scissors/sn_44d8e0530a3bbb11fe83da942ecb8647/rendering/08.obj", "3.09091925621")</f>
        <v>3.09091925621</v>
      </c>
      <c r="L2453" s="171" t="str">
        <f>HYPERLINK(AA2 &amp; "/scissors/sn_44d8e0530a3bbb11fe83da942ecb8647/rendering/09.obj", "1.28854727745")</f>
        <v>1.28854727745</v>
      </c>
      <c r="M2453" s="107" t="str">
        <f>HYPERLINK(AA2 &amp; "/scissors/sn_44d8e0530a3bbb11fe83da942ecb8647/rendering/10.obj", "1.70179152489")</f>
        <v>1.70179152489</v>
      </c>
      <c r="N2453" s="34" t="str">
        <f>HYPERLINK(AA2 &amp; "/scissors/sn_44d8e0530a3bbb11fe83da942ecb8647/rendering/11.obj", "1.76657426357")</f>
        <v>1.76657426357</v>
      </c>
      <c r="O2453" s="20" t="str">
        <f>HYPERLINK(AA2 &amp; "/scissors/sn_44d8e0530a3bbb11fe83da942ecb8647/rendering/12.obj", "3.49186038971")</f>
        <v>3.49186038971</v>
      </c>
      <c r="P2453" s="134" t="str">
        <f>HYPERLINK(AA2 &amp; "/scissors/sn_44d8e0530a3bbb11fe83da942ecb8647/rendering/13.obj", "1.52273595333")</f>
        <v>1.52273595333</v>
      </c>
      <c r="Q2453" s="108" t="str">
        <f>HYPERLINK(AA2 &amp; "/scissors/sn_44d8e0530a3bbb11fe83da942ecb8647/rendering/14.obj", "1.40010845661")</f>
        <v>1.40010845661</v>
      </c>
      <c r="R2453" s="80" t="str">
        <f>HYPERLINK(AA2 &amp; "/scissors/sn_44d8e0530a3bbb11fe83da942ecb8647/rendering/15.obj", "1.5788860321")</f>
        <v>1.5788860321</v>
      </c>
      <c r="S2453" s="14" t="str">
        <f>HYPERLINK(AA2 &amp; "/scissors/sn_44d8e0530a3bbb11fe83da942ecb8647/rendering/16.obj", "1.31760370731")</f>
        <v>1.31760370731</v>
      </c>
      <c r="T2453" s="8" t="str">
        <f>HYPERLINK(AA2 &amp; "/scissors/sn_44d8e0530a3bbb11fe83da942ecb8647/rendering/17.obj", "1.58739197254")</f>
        <v>1.58739197254</v>
      </c>
      <c r="U2453" s="13" t="str">
        <f>HYPERLINK(AA2 &amp; "/scissors/sn_44d8e0530a3bbb11fe83da942ecb8647/rendering/18.obj", "1.84919881821")</f>
        <v>1.84919881821</v>
      </c>
      <c r="V2453" s="133" t="str">
        <f>HYPERLINK(AA2 &amp; "/scissors/sn_44d8e0530a3bbb11fe83da942ecb8647/rendering/19.obj", "1.66431283951")</f>
        <v>1.66431283951</v>
      </c>
      <c r="W2453" s="12" t="s">
        <v>30</v>
      </c>
      <c r="X2453" s="13">
        <v>1.8549942076206209</v>
      </c>
      <c r="Y2453" s="13">
        <v>0.66766618981865566</v>
      </c>
      <c r="Z2453" s="151">
        <v>0.35992898903714809</v>
      </c>
    </row>
    <row r="2454" spans="1:26" x14ac:dyDescent="0.2">
      <c r="A2454" s="1">
        <v>2452</v>
      </c>
      <c r="B2454" s="2" t="s">
        <v>523</v>
      </c>
      <c r="C2454" s="3" t="str">
        <f>HYPERLINK(AB2 &amp; "/scissors/sn_44d8e0530a3bbb11fe83da942ecb8647/rendering/00.obj", "nan")</f>
        <v>nan</v>
      </c>
      <c r="D2454" s="3" t="str">
        <f>HYPERLINK(AB2 &amp; "/scissors/sn_44d8e0530a3bbb11fe83da942ecb8647/rendering/01.obj", "nan")</f>
        <v>nan</v>
      </c>
      <c r="E2454" s="3" t="str">
        <f>HYPERLINK(AB2 &amp; "/scissors/sn_44d8e0530a3bbb11fe83da942ecb8647/rendering/02.obj", "nan")</f>
        <v>nan</v>
      </c>
      <c r="F2454" s="3" t="str">
        <f>HYPERLINK(AB2 &amp; "/scissors/sn_44d8e0530a3bbb11fe83da942ecb8647/rendering/03.obj", "nan")</f>
        <v>nan</v>
      </c>
      <c r="G2454" s="3" t="str">
        <f>HYPERLINK(AB2 &amp; "/scissors/sn_44d8e0530a3bbb11fe83da942ecb8647/rendering/04.obj", "nan")</f>
        <v>nan</v>
      </c>
      <c r="H2454" s="3" t="str">
        <f>HYPERLINK(AB2 &amp; "/scissors/sn_44d8e0530a3bbb11fe83da942ecb8647/rendering/05.obj", "nan")</f>
        <v>nan</v>
      </c>
      <c r="I2454" s="3" t="str">
        <f>HYPERLINK(AB2 &amp; "/scissors/sn_44d8e0530a3bbb11fe83da942ecb8647/rendering/06.obj", "nan")</f>
        <v>nan</v>
      </c>
      <c r="J2454" s="3" t="str">
        <f>HYPERLINK(AB2 &amp; "/scissors/sn_44d8e0530a3bbb11fe83da942ecb8647/rendering/07.obj", "nan")</f>
        <v>nan</v>
      </c>
      <c r="K2454" s="33" t="str">
        <f>HYPERLINK(AB2 &amp; "/scissors/sn_44d8e0530a3bbb11fe83da942ecb8647/rendering/08.obj", "4.28900543213")</f>
        <v>4.28900543213</v>
      </c>
      <c r="L2454" s="10" t="str">
        <f>HYPERLINK(AB2 &amp; "/scissors/sn_44d8e0530a3bbb11fe83da942ecb8647/rendering/09.obj", "5.07326934814")</f>
        <v>5.07326934814</v>
      </c>
      <c r="M2454" s="5" t="str">
        <f>HYPERLINK(AB2 &amp; "/scissors/sn_44d8e0530a3bbb11fe83da942ecb8647/rendering/10.obj", "4.43414581299")</f>
        <v>4.43414581299</v>
      </c>
      <c r="N2454" s="13" t="str">
        <f>HYPERLINK(AB2 &amp; "/scissors/sn_44d8e0530a3bbb11fe83da942ecb8647/rendering/11.obj", "4.80977294922")</f>
        <v>4.80977294922</v>
      </c>
      <c r="O2454" s="67" t="str">
        <f>HYPERLINK(AB2 &amp; "/scissors/sn_44d8e0530a3bbb11fe83da942ecb8647/rendering/12.obj", "5.24833618164")</f>
        <v>5.24833618164</v>
      </c>
      <c r="P2454" s="6" t="str">
        <f>HYPERLINK(AB2 &amp; "/scissors/sn_44d8e0530a3bbb11fe83da942ecb8647/rendering/13.obj", "4.59235137939")</f>
        <v>4.59235137939</v>
      </c>
      <c r="Q2454" s="68" t="str">
        <f>HYPERLINK(AB2 &amp; "/scissors/sn_44d8e0530a3bbb11fe83da942ecb8647/rendering/14.obj", "4.59813964844")</f>
        <v>4.59813964844</v>
      </c>
      <c r="R2454" s="72" t="str">
        <f>HYPERLINK(AB2 &amp; "/scissors/sn_44d8e0530a3bbb11fe83da942ecb8647/rendering/15.obj", "4.6565612793")</f>
        <v>4.6565612793</v>
      </c>
      <c r="S2454" s="110" t="str">
        <f>HYPERLINK(AB2 &amp; "/scissors/sn_44d8e0530a3bbb11fe83da942ecb8647/rendering/16.obj", "5.28811035156")</f>
        <v>5.28811035156</v>
      </c>
      <c r="T2454" s="73" t="str">
        <f>HYPERLINK(AB2 &amp; "/scissors/sn_44d8e0530a3bbb11fe83da942ecb8647/rendering/17.obj", "4.63600891113")</f>
        <v>4.63600891113</v>
      </c>
      <c r="U2454" s="5" t="str">
        <f>HYPERLINK(AB2 &amp; "/scissors/sn_44d8e0530a3bbb11fe83da942ecb8647/rendering/18.obj", "5.1859576416")</f>
        <v>5.1859576416</v>
      </c>
      <c r="V2454" s="46" t="str">
        <f>HYPERLINK(AB2 &amp; "/scissors/sn_44d8e0530a3bbb11fe83da942ecb8647/rendering/19.obj", "4.89617584229")</f>
        <v>4.89617584229</v>
      </c>
      <c r="W2454" s="12" t="s">
        <v>31</v>
      </c>
      <c r="X2454" s="13">
        <v>4.8089862314860028</v>
      </c>
      <c r="Y2454" s="13">
        <v>0.31590752724772281</v>
      </c>
      <c r="Z2454" s="26">
        <v>6.5691085821658848E-2</v>
      </c>
    </row>
    <row r="2455" spans="1:26" x14ac:dyDescent="0.2">
      <c r="A2455" s="1">
        <v>2453</v>
      </c>
      <c r="B2455" s="2" t="s">
        <v>523</v>
      </c>
      <c r="C2455" s="3" t="str">
        <f>HYPERLINK(AB2 &amp; "/scissors/sn_44d8e0530a3bbb11fe83da942ecb8647/rendering/00.obj", "nan")</f>
        <v>nan</v>
      </c>
      <c r="D2455" s="3" t="str">
        <f>HYPERLINK(AB2 &amp; "/scissors/sn_44d8e0530a3bbb11fe83da942ecb8647/rendering/01.obj", "nan")</f>
        <v>nan</v>
      </c>
      <c r="E2455" s="3" t="str">
        <f>HYPERLINK(AB2 &amp; "/scissors/sn_44d8e0530a3bbb11fe83da942ecb8647/rendering/02.obj", "nan")</f>
        <v>nan</v>
      </c>
      <c r="F2455" s="3" t="str">
        <f>HYPERLINK(AB2 &amp; "/scissors/sn_44d8e0530a3bbb11fe83da942ecb8647/rendering/03.obj", "nan")</f>
        <v>nan</v>
      </c>
      <c r="G2455" s="3" t="str">
        <f>HYPERLINK(AB2 &amp; "/scissors/sn_44d8e0530a3bbb11fe83da942ecb8647/rendering/04.obj", "nan")</f>
        <v>nan</v>
      </c>
      <c r="H2455" s="3" t="str">
        <f>HYPERLINK(AB2 &amp; "/scissors/sn_44d8e0530a3bbb11fe83da942ecb8647/rendering/05.obj", "nan")</f>
        <v>nan</v>
      </c>
      <c r="I2455" s="3" t="str">
        <f>HYPERLINK(AB2 &amp; "/scissors/sn_44d8e0530a3bbb11fe83da942ecb8647/rendering/06.obj", "nan")</f>
        <v>nan</v>
      </c>
      <c r="J2455" s="3" t="str">
        <f>HYPERLINK(AB2 &amp; "/scissors/sn_44d8e0530a3bbb11fe83da942ecb8647/rendering/07.obj", "nan")</f>
        <v>nan</v>
      </c>
      <c r="K2455" s="66" t="str">
        <f>HYPERLINK(AB2 &amp; "/scissors/sn_44d8e0530a3bbb11fe83da942ecb8647/rendering/08.obj", "1.27959275246")</f>
        <v>1.27959275246</v>
      </c>
      <c r="L2455" s="47" t="str">
        <f>HYPERLINK(AB2 &amp; "/scissors/sn_44d8e0530a3bbb11fe83da942ecb8647/rendering/09.obj", "1.53837800026")</f>
        <v>1.53837800026</v>
      </c>
      <c r="M2455" s="77" t="str">
        <f>HYPERLINK(AB2 &amp; "/scissors/sn_44d8e0530a3bbb11fe83da942ecb8647/rendering/10.obj", "1.23976266384")</f>
        <v>1.23976266384</v>
      </c>
      <c r="N2455" s="48" t="str">
        <f>HYPERLINK(AB2 &amp; "/scissors/sn_44d8e0530a3bbb11fe83da942ecb8647/rendering/11.obj", "1.48935818672")</f>
        <v>1.48935818672</v>
      </c>
      <c r="O2455" s="30" t="str">
        <f>HYPERLINK(AB2 &amp; "/scissors/sn_44d8e0530a3bbb11fe83da942ecb8647/rendering/12.obj", "1.51745486259")</f>
        <v>1.51745486259</v>
      </c>
      <c r="P2455" s="39" t="str">
        <f>HYPERLINK(AB2 &amp; "/scissors/sn_44d8e0530a3bbb11fe83da942ecb8647/rendering/13.obj", "1.39512276649")</f>
        <v>1.39512276649</v>
      </c>
      <c r="Q2455" s="84" t="str">
        <f>HYPERLINK(AB2 &amp; "/scissors/sn_44d8e0530a3bbb11fe83da942ecb8647/rendering/14.obj", "1.30537486076")</f>
        <v>1.30537486076</v>
      </c>
      <c r="R2455" s="48" t="str">
        <f>HYPERLINK(AB2 &amp; "/scissors/sn_44d8e0530a3bbb11fe83da942ecb8647/rendering/15.obj", "1.56374704838")</f>
        <v>1.56374704838</v>
      </c>
      <c r="S2455" s="107" t="str">
        <f>HYPERLINK(AB2 &amp; "/scissors/sn_44d8e0530a3bbb11fe83da942ecb8647/rendering/16.obj", "1.39919281006")</f>
        <v>1.39919281006</v>
      </c>
      <c r="T2455" s="166" t="str">
        <f>HYPERLINK(AB2 &amp; "/scissors/sn_44d8e0530a3bbb11fe83da942ecb8647/rendering/17.obj", "1.96211874485")</f>
        <v>1.96211874485</v>
      </c>
      <c r="U2455" s="160" t="str">
        <f>HYPERLINK(AB2 &amp; "/scissors/sn_44d8e0530a3bbb11fe83da942ecb8647/rendering/18.obj", "2.33361363411")</f>
        <v>2.33361363411</v>
      </c>
      <c r="V2455" s="79" t="str">
        <f>HYPERLINK(AB2 &amp; "/scissors/sn_44d8e0530a3bbb11fe83da942ecb8647/rendering/19.obj", "1.28524208069")</f>
        <v>1.28524208069</v>
      </c>
      <c r="W2455" s="12" t="s">
        <v>32</v>
      </c>
      <c r="X2455" s="13">
        <v>1.5257465342680609</v>
      </c>
      <c r="Y2455" s="13">
        <v>0.3065845931079822</v>
      </c>
      <c r="Z2455" s="88">
        <v>0.2009407108075513</v>
      </c>
    </row>
    <row r="2456" spans="1:26" x14ac:dyDescent="0.2">
      <c r="A2456" s="1">
        <v>2454</v>
      </c>
      <c r="B2456" s="2" t="s">
        <v>523</v>
      </c>
      <c r="C2456" s="13" t="str">
        <f>HYPERLINK(AC2 &amp; "/scissors/sn_44d8e0530a3bbb11fe83da942ecb8647/rendering/00.xyz", "0.0")</f>
        <v>0.0</v>
      </c>
      <c r="D2456" s="13" t="str">
        <f>HYPERLINK(AC2 &amp; "/scissors/sn_44d8e0530a3bbb11fe83da942ecb8647/rendering/01.xyz", "0.0")</f>
        <v>0.0</v>
      </c>
      <c r="E2456" s="13" t="str">
        <f>HYPERLINK(AC2 &amp; "/scissors/sn_44d8e0530a3bbb11fe83da942ecb8647/rendering/02.xyz", "0.0")</f>
        <v>0.0</v>
      </c>
      <c r="F2456" s="13" t="str">
        <f>HYPERLINK(AC2 &amp; "/scissors/sn_44d8e0530a3bbb11fe83da942ecb8647/rendering/03.xyz", "0.0")</f>
        <v>0.0</v>
      </c>
      <c r="G2456" s="13" t="str">
        <f>HYPERLINK(AC2 &amp; "/scissors/sn_44d8e0530a3bbb11fe83da942ecb8647/rendering/04.xyz", "0.0")</f>
        <v>0.0</v>
      </c>
      <c r="H2456" s="13" t="str">
        <f>HYPERLINK(AC2 &amp; "/scissors/sn_44d8e0530a3bbb11fe83da942ecb8647/rendering/05.xyz", "0.0")</f>
        <v>0.0</v>
      </c>
      <c r="I2456" s="13" t="str">
        <f>HYPERLINK(AC2 &amp; "/scissors/sn_44d8e0530a3bbb11fe83da942ecb8647/rendering/06.xyz", "0.0")</f>
        <v>0.0</v>
      </c>
      <c r="J2456" s="13" t="str">
        <f>HYPERLINK(AC2 &amp; "/scissors/sn_44d8e0530a3bbb11fe83da942ecb8647/rendering/07.xyz", "0.0")</f>
        <v>0.0</v>
      </c>
      <c r="K2456" s="13" t="str">
        <f>HYPERLINK(AC2 &amp; "/scissors/sn_44d8e0530a3bbb11fe83da942ecb8647/rendering/08.xyz", "0.0")</f>
        <v>0.0</v>
      </c>
      <c r="L2456" s="13" t="str">
        <f>HYPERLINK(AC2 &amp; "/scissors/sn_44d8e0530a3bbb11fe83da942ecb8647/rendering/09.xyz", "0.0")</f>
        <v>0.0</v>
      </c>
      <c r="M2456" s="13" t="str">
        <f>HYPERLINK(AC2 &amp; "/scissors/sn_44d8e0530a3bbb11fe83da942ecb8647/rendering/10.xyz", "0.0")</f>
        <v>0.0</v>
      </c>
      <c r="N2456" s="13" t="str">
        <f>HYPERLINK(AC2 &amp; "/scissors/sn_44d8e0530a3bbb11fe83da942ecb8647/rendering/11.xyz", "0.0")</f>
        <v>0.0</v>
      </c>
      <c r="O2456" s="13" t="str">
        <f>HYPERLINK(AC2 &amp; "/scissors/sn_44d8e0530a3bbb11fe83da942ecb8647/rendering/12.xyz", "0.0")</f>
        <v>0.0</v>
      </c>
      <c r="P2456" s="13" t="str">
        <f>HYPERLINK(AC2 &amp; "/scissors/sn_44d8e0530a3bbb11fe83da942ecb8647/rendering/13.xyz", "0.0")</f>
        <v>0.0</v>
      </c>
      <c r="Q2456" s="13" t="str">
        <f>HYPERLINK(AC2 &amp; "/scissors/sn_44d8e0530a3bbb11fe83da942ecb8647/rendering/14.xyz", "0.0")</f>
        <v>0.0</v>
      </c>
      <c r="R2456" s="13" t="str">
        <f>HYPERLINK(AC2 &amp; "/scissors/sn_44d8e0530a3bbb11fe83da942ecb8647/rendering/15.xyz", "0.0")</f>
        <v>0.0</v>
      </c>
      <c r="S2456" s="13" t="str">
        <f>HYPERLINK(AC2 &amp; "/scissors/sn_44d8e0530a3bbb11fe83da942ecb8647/rendering/16.xyz", "0.0")</f>
        <v>0.0</v>
      </c>
      <c r="T2456" s="13" t="str">
        <f>HYPERLINK(AC2 &amp; "/scissors/sn_44d8e0530a3bbb11fe83da942ecb8647/rendering/17.xyz", "0.0")</f>
        <v>0.0</v>
      </c>
      <c r="U2456" s="13" t="str">
        <f>HYPERLINK(AC2 &amp; "/scissors/sn_44d8e0530a3bbb11fe83da942ecb8647/rendering/18.xyz", "0.0")</f>
        <v>0.0</v>
      </c>
      <c r="V2456" s="13" t="str">
        <f>HYPERLINK(AC2 &amp; "/scissors/sn_44d8e0530a3bbb11fe83da942ecb8647/rendering/19.xyz", "0.0")</f>
        <v>0.0</v>
      </c>
      <c r="W2456" s="12" t="s">
        <v>33</v>
      </c>
      <c r="X2456" s="13">
        <v>0</v>
      </c>
      <c r="Y2456" s="13">
        <v>0</v>
      </c>
      <c r="Z2456" s="13">
        <v>0</v>
      </c>
    </row>
    <row r="2457" spans="1:26" x14ac:dyDescent="0.2">
      <c r="A2457" s="1">
        <v>2455</v>
      </c>
      <c r="B2457" s="2" t="s">
        <v>524</v>
      </c>
      <c r="C2457" s="87" t="str">
        <f>HYPERLINK(AA2 &amp; "/scissors/sn_4f8a58009185d19f27a4a1658277b4d4/rendering/00.obj", "3.59028381348")</f>
        <v>3.59028381348</v>
      </c>
      <c r="D2457" s="107" t="str">
        <f>HYPERLINK(AA2 &amp; "/scissors/sn_4f8a58009185d19f27a4a1658277b4d4/rendering/01.obj", "4.26558532715")</f>
        <v>4.26558532715</v>
      </c>
      <c r="E2457" s="93" t="str">
        <f>HYPERLINK(AA2 &amp; "/scissors/sn_4f8a58009185d19f27a4a1658277b4d4/rendering/02.obj", "4.00649810791")</f>
        <v>4.00649810791</v>
      </c>
      <c r="F2457" s="73" t="str">
        <f>HYPERLINK(AA2 &amp; "/scissors/sn_4f8a58009185d19f27a4a1658277b4d4/rendering/03.obj", "4.82416595459")</f>
        <v>4.82416595459</v>
      </c>
      <c r="G2457" s="117" t="str">
        <f>HYPERLINK(AA2 &amp; "/scissors/sn_4f8a58009185d19f27a4a1658277b4d4/rendering/04.obj", "3.81796173096")</f>
        <v>3.81796173096</v>
      </c>
      <c r="H2457" s="107" t="str">
        <f>HYPERLINK(AA2 &amp; "/scissors/sn_4f8a58009185d19f27a4a1658277b4d4/rendering/05.obj", "4.26264953613")</f>
        <v>4.26264953613</v>
      </c>
      <c r="I2457" s="72" t="str">
        <f>HYPERLINK(AA2 &amp; "/scissors/sn_4f8a58009185d19f27a4a1658277b4d4/rendering/06.obj", "4.49441436768")</f>
        <v>4.49441436768</v>
      </c>
      <c r="J2457" s="120" t="str">
        <f>HYPERLINK(AA2 &amp; "/scissors/sn_4f8a58009185d19f27a4a1658277b4d4/rendering/07.obj", "5.63562194824")</f>
        <v>5.63562194824</v>
      </c>
      <c r="K2457" s="120" t="str">
        <f>HYPERLINK(AA2 &amp; "/scissors/sn_4f8a58009185d19f27a4a1658277b4d4/rendering/08.obj", "3.6589465332")</f>
        <v>3.6589465332</v>
      </c>
      <c r="L2457" s="50" t="str">
        <f>HYPERLINK(AA2 &amp; "/scissors/sn_4f8a58009185d19f27a4a1658277b4d4/rendering/09.obj", "5.57803710937")</f>
        <v>5.57803710937</v>
      </c>
      <c r="M2457" s="30" t="str">
        <f>HYPERLINK(AA2 &amp; "/scissors/sn_4f8a58009185d19f27a4a1658277b4d4/rendering/10.obj", "4.67186798096")</f>
        <v>4.67186798096</v>
      </c>
      <c r="N2457" s="28" t="str">
        <f>HYPERLINK(AA2 &amp; "/scissors/sn_4f8a58009185d19f27a4a1658277b4d4/rendering/11.obj", "5.16685058594")</f>
        <v>5.16685058594</v>
      </c>
      <c r="O2457" s="185" t="str">
        <f>HYPERLINK(AA2 &amp; "/scissors/sn_4f8a58009185d19f27a4a1658277b4d4/rendering/12.obj", "6.23888671875")</f>
        <v>6.23888671875</v>
      </c>
      <c r="P2457" s="29" t="str">
        <f>HYPERLINK(AA2 &amp; "/scissors/sn_4f8a58009185d19f27a4a1658277b4d4/rendering/13.obj", "4.04986755371")</f>
        <v>4.04986755371</v>
      </c>
      <c r="Q2457" s="30" t="str">
        <f>HYPERLINK(AA2 &amp; "/scissors/sn_4f8a58009185d19f27a4a1658277b4d4/rendering/14.obj", "4.66872741699")</f>
        <v>4.66872741699</v>
      </c>
      <c r="R2457" s="55" t="str">
        <f>HYPERLINK(AA2 &amp; "/scissors/sn_4f8a58009185d19f27a4a1658277b4d4/rendering/15.obj", "3.75393127441")</f>
        <v>3.75393127441</v>
      </c>
      <c r="S2457" s="110" t="str">
        <f>HYPERLINK(AA2 &amp; "/scissors/sn_4f8a58009185d19f27a4a1658277b4d4/rendering/16.obj", "4.18464202881")</f>
        <v>4.18464202881</v>
      </c>
      <c r="T2457" s="51" t="str">
        <f>HYPERLINK(AA2 &amp; "/scissors/sn_4f8a58009185d19f27a4a1658277b4d4/rendering/17.obj", "4.27767456055")</f>
        <v>4.27767456055</v>
      </c>
      <c r="U2457" s="95" t="str">
        <f>HYPERLINK(AA2 &amp; "/scissors/sn_4f8a58009185d19f27a4a1658277b4d4/rendering/18.obj", "5.9519519043")</f>
        <v>5.9519519043</v>
      </c>
      <c r="V2457" s="119" t="str">
        <f>HYPERLINK(AA2 &amp; "/scissors/sn_4f8a58009185d19f27a4a1658277b4d4/rendering/19.obj", "5.88793334961")</f>
        <v>5.88793334961</v>
      </c>
      <c r="W2457" s="12" t="s">
        <v>29</v>
      </c>
      <c r="X2457" s="13">
        <v>4.6493248901367181</v>
      </c>
      <c r="Y2457" s="13">
        <v>0.80420713745760841</v>
      </c>
      <c r="Z2457" s="37">
        <v>0.172972884550118</v>
      </c>
    </row>
    <row r="2458" spans="1:26" x14ac:dyDescent="0.2">
      <c r="A2458" s="1">
        <v>2456</v>
      </c>
      <c r="B2458" s="2" t="s">
        <v>524</v>
      </c>
      <c r="C2458" s="61" t="str">
        <f>HYPERLINK(AA2 &amp; "/scissors/sn_4f8a58009185d19f27a4a1658277b4d4/rendering/00.obj", "2.30533838272")</f>
        <v>2.30533838272</v>
      </c>
      <c r="D2458" s="198" t="str">
        <f>HYPERLINK(AA2 &amp; "/scissors/sn_4f8a58009185d19f27a4a1658277b4d4/rendering/01.obj", "2.02470088005")</f>
        <v>2.02470088005</v>
      </c>
      <c r="E2458" s="43" t="str">
        <f>HYPERLINK(AA2 &amp; "/scissors/sn_4f8a58009185d19f27a4a1658277b4d4/rendering/02.obj", "2.07313871384")</f>
        <v>2.07313871384</v>
      </c>
      <c r="F2458" s="86" t="str">
        <f>HYPERLINK(AA2 &amp; "/scissors/sn_4f8a58009185d19f27a4a1658277b4d4/rendering/03.obj", "2.42814016342")</f>
        <v>2.42814016342</v>
      </c>
      <c r="G2458" s="103" t="str">
        <f>HYPERLINK(AA2 &amp; "/scissors/sn_4f8a58009185d19f27a4a1658277b4d4/rendering/04.obj", "2.23844695091")</f>
        <v>2.23844695091</v>
      </c>
      <c r="H2458" s="11" t="str">
        <f>HYPERLINK(AA2 &amp; "/scissors/sn_4f8a58009185d19f27a4a1658277b4d4/rendering/05.obj", "2.57274198532")</f>
        <v>2.57274198532</v>
      </c>
      <c r="I2458" s="111" t="str">
        <f>HYPERLINK(AA2 &amp; "/scissors/sn_4f8a58009185d19f27a4a1658277b4d4/rendering/06.obj", "1.91153621674")</f>
        <v>1.91153621674</v>
      </c>
      <c r="J2458" s="63" t="str">
        <f>HYPERLINK(AA2 &amp; "/scissors/sn_4f8a58009185d19f27a4a1658277b4d4/rendering/07.obj", "3.71804857254")</f>
        <v>3.71804857254</v>
      </c>
      <c r="K2458" s="196" t="str">
        <f>HYPERLINK(AA2 &amp; "/scissors/sn_4f8a58009185d19f27a4a1658277b4d4/rendering/08.obj", "2.00291705132")</f>
        <v>2.00291705132</v>
      </c>
      <c r="L2458" s="97" t="str">
        <f>HYPERLINK(AA2 &amp; "/scissors/sn_4f8a58009185d19f27a4a1658277b4d4/rendering/09.obj", "4.74856376648")</f>
        <v>4.74856376648</v>
      </c>
      <c r="M2458" s="65" t="str">
        <f>HYPERLINK(AA2 &amp; "/scissors/sn_4f8a58009185d19f27a4a1658277b4d4/rendering/10.obj", "2.86971330643")</f>
        <v>2.86971330643</v>
      </c>
      <c r="N2458" s="35" t="str">
        <f>HYPERLINK(AA2 &amp; "/scissors/sn_4f8a58009185d19f27a4a1658277b4d4/rendering/11.obj", "3.11702156067")</f>
        <v>3.11702156067</v>
      </c>
      <c r="O2458" s="20" t="str">
        <f>HYPERLINK(AA2 &amp; "/scissors/sn_4f8a58009185d19f27a4a1658277b4d4/rendering/12.obj", "7.79104614258")</f>
        <v>7.79104614258</v>
      </c>
      <c r="P2458" s="162" t="str">
        <f>HYPERLINK(AA2 &amp; "/scissors/sn_4f8a58009185d19f27a4a1658277b4d4/rendering/13.obj", "1.91006016731")</f>
        <v>1.91006016731</v>
      </c>
      <c r="Q2458" s="11" t="str">
        <f>HYPERLINK(AA2 &amp; "/scissors/sn_4f8a58009185d19f27a4a1658277b4d4/rendering/14.obj", "2.57520461082")</f>
        <v>2.57520461082</v>
      </c>
      <c r="R2458" s="152" t="str">
        <f>HYPERLINK(AA2 &amp; "/scissors/sn_4f8a58009185d19f27a4a1658277b4d4/rendering/15.obj", "1.9671844244")</f>
        <v>1.9671844244</v>
      </c>
      <c r="S2458" s="133" t="str">
        <f>HYPERLINK(AA2 &amp; "/scissors/sn_4f8a58009185d19f27a4a1658277b4d4/rendering/16.obj", "2.97182011604")</f>
        <v>2.97182011604</v>
      </c>
      <c r="T2458" s="82" t="str">
        <f>HYPERLINK(AA2 &amp; "/scissors/sn_4f8a58009185d19f27a4a1658277b4d4/rendering/17.obj", "2.6336979866")</f>
        <v>2.6336979866</v>
      </c>
      <c r="U2458" s="20" t="str">
        <f>HYPERLINK(AA2 &amp; "/scissors/sn_4f8a58009185d19f27a4a1658277b4d4/rendering/18.obj", "8.0295343399")</f>
        <v>8.0295343399</v>
      </c>
      <c r="V2458" s="20" t="str">
        <f>HYPERLINK(AA2 &amp; "/scissors/sn_4f8a58009185d19f27a4a1658277b4d4/rendering/19.obj", "6.37965106964")</f>
        <v>6.37965106964</v>
      </c>
      <c r="W2458" s="12" t="s">
        <v>30</v>
      </c>
      <c r="X2458" s="13">
        <v>3.313425320386886</v>
      </c>
      <c r="Y2458" s="13">
        <v>1.86336801753973</v>
      </c>
      <c r="Z2458" s="226">
        <v>0.56236910066292267</v>
      </c>
    </row>
    <row r="2459" spans="1:26" x14ac:dyDescent="0.2">
      <c r="A2459" s="1">
        <v>2457</v>
      </c>
      <c r="B2459" s="2" t="s">
        <v>524</v>
      </c>
      <c r="C2459" s="68" t="str">
        <f>HYPERLINK(AB2 &amp; "/scissors/sn_4f8a58009185d19f27a4a1658277b4d4/rendering/00.obj", "4.89435180664")</f>
        <v>4.89435180664</v>
      </c>
      <c r="D2459" s="17" t="str">
        <f>HYPERLINK(AB2 &amp; "/scissors/sn_4f8a58009185d19f27a4a1658277b4d4/rendering/01.obj", "5.01363525391")</f>
        <v>5.01363525391</v>
      </c>
      <c r="E2459" s="67" t="str">
        <f>HYPERLINK(AB2 &amp; "/scissors/sn_4f8a58009185d19f27a4a1658277b4d4/rendering/02.obj", "5.5841015625")</f>
        <v>5.5841015625</v>
      </c>
      <c r="F2459" s="133" t="str">
        <f>HYPERLINK(AB2 &amp; "/scissors/sn_4f8a58009185d19f27a4a1658277b4d4/rendering/03.obj", "5.63544433594")</f>
        <v>5.63544433594</v>
      </c>
      <c r="G2459" s="34" t="str">
        <f>HYPERLINK(AB2 &amp; "/scissors/sn_4f8a58009185d19f27a4a1658277b4d4/rendering/04.obj", "4.86019989014")</f>
        <v>4.86019989014</v>
      </c>
      <c r="H2459" s="48" t="str">
        <f>HYPERLINK(AB2 &amp; "/scissors/sn_4f8a58009185d19f27a4a1658277b4d4/rendering/05.obj", "4.99074310303")</f>
        <v>4.99074310303</v>
      </c>
      <c r="I2459" s="107" t="str">
        <f>HYPERLINK(AB2 &amp; "/scissors/sn_4f8a58009185d19f27a4a1658277b4d4/rendering/06.obj", "4.67911743164")</f>
        <v>4.67911743164</v>
      </c>
      <c r="J2459" s="73" t="str">
        <f>HYPERLINK(AB2 &amp; "/scissors/sn_4f8a58009185d19f27a4a1658277b4d4/rendering/07.obj", "4.93242736816")</f>
        <v>4.93242736816</v>
      </c>
      <c r="K2459" s="25" t="str">
        <f>HYPERLINK(AB2 &amp; "/scissors/sn_4f8a58009185d19f27a4a1658277b4d4/rendering/08.obj", "5.16090698242")</f>
        <v>5.16090698242</v>
      </c>
      <c r="L2459" s="34" t="str">
        <f>HYPERLINK(AB2 &amp; "/scissors/sn_4f8a58009185d19f27a4a1658277b4d4/rendering/09.obj", "5.3572265625")</f>
        <v>5.3572265625</v>
      </c>
      <c r="M2459" s="35" t="str">
        <f>HYPERLINK(AB2 &amp; "/scissors/sn_4f8a58009185d19f27a4a1658277b4d4/rendering/10.obj", "4.81064910889")</f>
        <v>4.81064910889</v>
      </c>
      <c r="N2459" s="72" t="str">
        <f>HYPERLINK(AB2 &amp; "/scissors/sn_4f8a58009185d19f27a4a1658277b4d4/rendering/11.obj", "4.95116271973")</f>
        <v>4.95116271973</v>
      </c>
      <c r="O2459" s="69" t="str">
        <f>HYPERLINK(AB2 &amp; "/scissors/sn_4f8a58009185d19f27a4a1658277b4d4/rendering/12.obj", "5.26617675781")</f>
        <v>5.26617675781</v>
      </c>
      <c r="P2459" s="74" t="str">
        <f>HYPERLINK(AB2 &amp; "/scissors/sn_4f8a58009185d19f27a4a1658277b4d4/rendering/13.obj", "5.03690429687")</f>
        <v>5.03690429687</v>
      </c>
      <c r="Q2459" s="34" t="str">
        <f>HYPERLINK(AB2 &amp; "/scissors/sn_4f8a58009185d19f27a4a1658277b4d4/rendering/14.obj", "5.35977294922")</f>
        <v>5.35977294922</v>
      </c>
      <c r="R2459" s="72" t="str">
        <f>HYPERLINK(AB2 &amp; "/scissors/sn_4f8a58009185d19f27a4a1658277b4d4/rendering/15.obj", "4.9438482666")</f>
        <v>4.9438482666</v>
      </c>
      <c r="S2459" s="30" t="str">
        <f>HYPERLINK(AB2 &amp; "/scissors/sn_4f8a58009185d19f27a4a1658277b4d4/rendering/16.obj", "5.134140625")</f>
        <v>5.134140625</v>
      </c>
      <c r="T2459" s="48" t="str">
        <f>HYPERLINK(AB2 &amp; "/scissors/sn_4f8a58009185d19f27a4a1658277b4d4/rendering/17.obj", "4.99395751953")</f>
        <v>4.99395751953</v>
      </c>
      <c r="U2459" s="25" t="str">
        <f>HYPERLINK(AB2 &amp; "/scissors/sn_4f8a58009185d19f27a4a1658277b4d4/rendering/18.obj", "5.16902832031")</f>
        <v>5.16902832031</v>
      </c>
      <c r="V2459" s="27" t="str">
        <f>HYPERLINK(AB2 &amp; "/scissors/sn_4f8a58009185d19f27a4a1658277b4d4/rendering/19.obj", "5.46792602539")</f>
        <v>5.46792602539</v>
      </c>
      <c r="W2459" s="12" t="s">
        <v>31</v>
      </c>
      <c r="X2459" s="13">
        <v>5.112086044311523</v>
      </c>
      <c r="Y2459" s="13">
        <v>0.25439194901862688</v>
      </c>
      <c r="Z2459" s="34">
        <v>4.9762845698127812E-2</v>
      </c>
    </row>
    <row r="2460" spans="1:26" x14ac:dyDescent="0.2">
      <c r="A2460" s="1">
        <v>2458</v>
      </c>
      <c r="B2460" s="2" t="s">
        <v>524</v>
      </c>
      <c r="C2460" s="66" t="str">
        <f>HYPERLINK(AB2 &amp; "/scissors/sn_4f8a58009185d19f27a4a1658277b4d4/rendering/00.obj", "2.05967998505")</f>
        <v>2.05967998505</v>
      </c>
      <c r="D2460" s="50" t="str">
        <f>HYPERLINK(AB2 &amp; "/scissors/sn_4f8a58009185d19f27a4a1658277b4d4/rendering/01.obj", "1.96166455746")</f>
        <v>1.96166455746</v>
      </c>
      <c r="E2460" s="84" t="str">
        <f>HYPERLINK(AB2 &amp; "/scissors/sn_4f8a58009185d19f27a4a1658277b4d4/rendering/02.obj", "2.09234070778")</f>
        <v>2.09234070778</v>
      </c>
      <c r="F2460" s="88" t="str">
        <f>HYPERLINK(AB2 &amp; "/scissors/sn_4f8a58009185d19f27a4a1658277b4d4/rendering/03.obj", "1.96019101143")</f>
        <v>1.96019101143</v>
      </c>
      <c r="G2460" s="6" t="str">
        <f>HYPERLINK(AB2 &amp; "/scissors/sn_4f8a58009185d19f27a4a1658277b4d4/rendering/04.obj", "2.34168243408")</f>
        <v>2.34168243408</v>
      </c>
      <c r="H2460" s="27" t="str">
        <f>HYPERLINK(AB2 &amp; "/scissors/sn_4f8a58009185d19f27a4a1658277b4d4/rendering/05.obj", "2.62406301498")</f>
        <v>2.62406301498</v>
      </c>
      <c r="I2460" s="55" t="str">
        <f>HYPERLINK(AB2 &amp; "/scissors/sn_4f8a58009185d19f27a4a1658277b4d4/rendering/06.obj", "2.92824912071")</f>
        <v>2.92824912071</v>
      </c>
      <c r="J2460" s="133" t="str">
        <f>HYPERLINK(AB2 &amp; "/scissors/sn_4f8a58009185d19f27a4a1658277b4d4/rendering/07.obj", "2.20589900017")</f>
        <v>2.20589900017</v>
      </c>
      <c r="K2460" s="73" t="str">
        <f>HYPERLINK(AB2 &amp; "/scissors/sn_4f8a58009185d19f27a4a1658277b4d4/rendering/08.obj", "2.54211378098")</f>
        <v>2.54211378098</v>
      </c>
      <c r="L2460" s="46" t="str">
        <f>HYPERLINK(AB2 &amp; "/scissors/sn_4f8a58009185d19f27a4a1658277b4d4/rendering/09.obj", "2.41045546532")</f>
        <v>2.41045546532</v>
      </c>
      <c r="M2460" s="133" t="str">
        <f>HYPERLINK(AB2 &amp; "/scissors/sn_4f8a58009185d19f27a4a1658277b4d4/rendering/10.obj", "2.7031493187")</f>
        <v>2.7031493187</v>
      </c>
      <c r="N2460" s="8" t="str">
        <f>HYPERLINK(AB2 &amp; "/scissors/sn_4f8a58009185d19f27a4a1658277b4d4/rendering/11.obj", "2.10476636887")</f>
        <v>2.10476636887</v>
      </c>
      <c r="O2460" s="50" t="str">
        <f>HYPERLINK(AB2 &amp; "/scissors/sn_4f8a58009185d19f27a4a1658277b4d4/rendering/12.obj", "2.94171500206")</f>
        <v>2.94171500206</v>
      </c>
      <c r="P2460" s="33" t="str">
        <f>HYPERLINK(AB2 &amp; "/scissors/sn_4f8a58009185d19f27a4a1658277b4d4/rendering/13.obj", "2.19190835953")</f>
        <v>2.19190835953</v>
      </c>
      <c r="Q2460" s="6" t="str">
        <f>HYPERLINK(AB2 &amp; "/scissors/sn_4f8a58009185d19f27a4a1658277b4d4/rendering/14.obj", "2.34515810013")</f>
        <v>2.34515810013</v>
      </c>
      <c r="R2460" s="51" t="str">
        <f>HYPERLINK(AB2 &amp; "/scissors/sn_4f8a58009185d19f27a4a1658277b4d4/rendering/15.obj", "2.64811015129")</f>
        <v>2.64811015129</v>
      </c>
      <c r="S2460" s="63" t="str">
        <f>HYPERLINK(AB2 &amp; "/scissors/sn_4f8a58009185d19f27a4a1658277b4d4/rendering/16.obj", "2.15818190575")</f>
        <v>2.15818190575</v>
      </c>
      <c r="T2460" s="91" t="str">
        <f>HYPERLINK(AB2 &amp; "/scissors/sn_4f8a58009185d19f27a4a1658277b4d4/rendering/17.obj", "2.38887667656")</f>
        <v>2.38887667656</v>
      </c>
      <c r="U2460" s="158" t="str">
        <f>HYPERLINK(AB2 &amp; "/scissors/sn_4f8a58009185d19f27a4a1658277b4d4/rendering/18.obj", "3.4595887661")</f>
        <v>3.4595887661</v>
      </c>
      <c r="V2460" s="87" t="str">
        <f>HYPERLINK(AB2 &amp; "/scissors/sn_4f8a58009185d19f27a4a1658277b4d4/rendering/19.obj", "3.01141285896")</f>
        <v>3.01141285896</v>
      </c>
      <c r="W2460" s="12" t="s">
        <v>32</v>
      </c>
      <c r="X2460" s="13">
        <v>2.4539603292942052</v>
      </c>
      <c r="Y2460" s="13">
        <v>0.39140646284161917</v>
      </c>
      <c r="Z2460" s="79">
        <v>0.1594999145541173</v>
      </c>
    </row>
    <row r="2461" spans="1:26" x14ac:dyDescent="0.2">
      <c r="A2461" s="1">
        <v>2459</v>
      </c>
      <c r="B2461" s="2" t="s">
        <v>524</v>
      </c>
      <c r="C2461" s="13" t="str">
        <f>HYPERLINK(AC2 &amp; "/scissors/sn_4f8a58009185d19f27a4a1658277b4d4/rendering/00.xyz", "0.0")</f>
        <v>0.0</v>
      </c>
      <c r="D2461" s="13" t="str">
        <f>HYPERLINK(AC2 &amp; "/scissors/sn_4f8a58009185d19f27a4a1658277b4d4/rendering/01.xyz", "0.0")</f>
        <v>0.0</v>
      </c>
      <c r="E2461" s="13" t="str">
        <f>HYPERLINK(AC2 &amp; "/scissors/sn_4f8a58009185d19f27a4a1658277b4d4/rendering/02.xyz", "0.0")</f>
        <v>0.0</v>
      </c>
      <c r="F2461" s="13" t="str">
        <f>HYPERLINK(AC2 &amp; "/scissors/sn_4f8a58009185d19f27a4a1658277b4d4/rendering/03.xyz", "0.0")</f>
        <v>0.0</v>
      </c>
      <c r="G2461" s="13" t="str">
        <f>HYPERLINK(AC2 &amp; "/scissors/sn_4f8a58009185d19f27a4a1658277b4d4/rendering/04.xyz", "0.0")</f>
        <v>0.0</v>
      </c>
      <c r="H2461" s="13" t="str">
        <f>HYPERLINK(AC2 &amp; "/scissors/sn_4f8a58009185d19f27a4a1658277b4d4/rendering/05.xyz", "0.0")</f>
        <v>0.0</v>
      </c>
      <c r="I2461" s="13" t="str">
        <f>HYPERLINK(AC2 &amp; "/scissors/sn_4f8a58009185d19f27a4a1658277b4d4/rendering/06.xyz", "0.0")</f>
        <v>0.0</v>
      </c>
      <c r="J2461" s="13" t="str">
        <f>HYPERLINK(AC2 &amp; "/scissors/sn_4f8a58009185d19f27a4a1658277b4d4/rendering/07.xyz", "0.0")</f>
        <v>0.0</v>
      </c>
      <c r="K2461" s="13" t="str">
        <f>HYPERLINK(AC2 &amp; "/scissors/sn_4f8a58009185d19f27a4a1658277b4d4/rendering/08.xyz", "0.0")</f>
        <v>0.0</v>
      </c>
      <c r="L2461" s="13" t="str">
        <f>HYPERLINK(AC2 &amp; "/scissors/sn_4f8a58009185d19f27a4a1658277b4d4/rendering/09.xyz", "0.0")</f>
        <v>0.0</v>
      </c>
      <c r="M2461" s="13" t="str">
        <f>HYPERLINK(AC2 &amp; "/scissors/sn_4f8a58009185d19f27a4a1658277b4d4/rendering/10.xyz", "0.0")</f>
        <v>0.0</v>
      </c>
      <c r="N2461" s="13" t="str">
        <f>HYPERLINK(AC2 &amp; "/scissors/sn_4f8a58009185d19f27a4a1658277b4d4/rendering/11.xyz", "0.0")</f>
        <v>0.0</v>
      </c>
      <c r="O2461" s="13" t="str">
        <f>HYPERLINK(AC2 &amp; "/scissors/sn_4f8a58009185d19f27a4a1658277b4d4/rendering/12.xyz", "0.0")</f>
        <v>0.0</v>
      </c>
      <c r="P2461" s="13" t="str">
        <f>HYPERLINK(AC2 &amp; "/scissors/sn_4f8a58009185d19f27a4a1658277b4d4/rendering/13.xyz", "0.0")</f>
        <v>0.0</v>
      </c>
      <c r="Q2461" s="13" t="str">
        <f>HYPERLINK(AC2 &amp; "/scissors/sn_4f8a58009185d19f27a4a1658277b4d4/rendering/14.xyz", "0.0")</f>
        <v>0.0</v>
      </c>
      <c r="R2461" s="13" t="str">
        <f>HYPERLINK(AC2 &amp; "/scissors/sn_4f8a58009185d19f27a4a1658277b4d4/rendering/15.xyz", "0.0")</f>
        <v>0.0</v>
      </c>
      <c r="S2461" s="13" t="str">
        <f>HYPERLINK(AC2 &amp; "/scissors/sn_4f8a58009185d19f27a4a1658277b4d4/rendering/16.xyz", "0.0")</f>
        <v>0.0</v>
      </c>
      <c r="T2461" s="13" t="str">
        <f>HYPERLINK(AC2 &amp; "/scissors/sn_4f8a58009185d19f27a4a1658277b4d4/rendering/17.xyz", "0.0")</f>
        <v>0.0</v>
      </c>
      <c r="U2461" s="13" t="str">
        <f>HYPERLINK(AC2 &amp; "/scissors/sn_4f8a58009185d19f27a4a1658277b4d4/rendering/18.xyz", "0.0")</f>
        <v>0.0</v>
      </c>
      <c r="V2461" s="13" t="str">
        <f>HYPERLINK(AC2 &amp; "/scissors/sn_4f8a58009185d19f27a4a1658277b4d4/rendering/19.xyz", "0.0")</f>
        <v>0.0</v>
      </c>
      <c r="W2461" s="12" t="s">
        <v>33</v>
      </c>
      <c r="X2461" s="13">
        <v>0</v>
      </c>
      <c r="Y2461" s="13">
        <v>0</v>
      </c>
      <c r="Z2461" s="13">
        <v>0</v>
      </c>
    </row>
    <row r="2462" spans="1:26" x14ac:dyDescent="0.2">
      <c r="A2462" s="1">
        <v>2460</v>
      </c>
      <c r="B2462" s="2" t="s">
        <v>525</v>
      </c>
      <c r="C2462" s="26" t="str">
        <f>HYPERLINK(AA2 &amp; "/scissors/sn_5057c24bbfaa7de2f7c4ed45ce654123/rendering/00.obj", "4.74943145752")</f>
        <v>4.74943145752</v>
      </c>
      <c r="D2462" s="171" t="str">
        <f>HYPERLINK(AA2 &amp; "/scissors/sn_5057c24bbfaa7de2f7c4ed45ce654123/rendering/01.obj", "3.52118438721")</f>
        <v>3.52118438721</v>
      </c>
      <c r="E2462" s="30" t="str">
        <f>HYPERLINK(AA2 &amp; "/scissors/sn_5057c24bbfaa7de2f7c4ed45ce654123/rendering/02.obj", "5.05327545166")</f>
        <v>5.05327545166</v>
      </c>
      <c r="F2462" s="85" t="str">
        <f>HYPERLINK(AA2 &amp; "/scissors/sn_5057c24bbfaa7de2f7c4ed45ce654123/rendering/03.obj", "6.59650390625")</f>
        <v>6.59650390625</v>
      </c>
      <c r="G2462" s="23" t="str">
        <f>HYPERLINK(AA2 &amp; "/scissors/sn_5057c24bbfaa7de2f7c4ed45ce654123/rendering/04.obj", "5.27996765137")</f>
        <v>5.27996765137</v>
      </c>
      <c r="H2462" s="5" t="str">
        <f>HYPERLINK(AA2 &amp; "/scissors/sn_5057c24bbfaa7de2f7c4ed45ce654123/rendering/05.obj", "4.68896209717")</f>
        <v>4.68896209717</v>
      </c>
      <c r="I2462" s="28" t="str">
        <f>HYPERLINK(AA2 &amp; "/scissors/sn_5057c24bbfaa7de2f7c4ed45ce654123/rendering/06.obj", "4.51224060059")</f>
        <v>4.51224060059</v>
      </c>
      <c r="J2462" s="91" t="str">
        <f>HYPERLINK(AA2 &amp; "/scissors/sn_5057c24bbfaa7de2f7c4ed45ce654123/rendering/07.obj", "4.95111572266")</f>
        <v>4.95111572266</v>
      </c>
      <c r="K2462" s="197" t="str">
        <f>HYPERLINK(AA2 &amp; "/scissors/sn_5057c24bbfaa7de2f7c4ed45ce654123/rendering/08.obj", "7.96050415039")</f>
        <v>7.96050415039</v>
      </c>
      <c r="L2462" s="68" t="str">
        <f>HYPERLINK(AA2 &amp; "/scissors/sn_5057c24bbfaa7de2f7c4ed45ce654123/rendering/09.obj", "5.3066796875")</f>
        <v>5.3066796875</v>
      </c>
      <c r="M2462" s="100" t="str">
        <f>HYPERLINK(AA2 &amp; "/scissors/sn_5057c24bbfaa7de2f7c4ed45ce654123/rendering/10.obj", "3.56324462891")</f>
        <v>3.56324462891</v>
      </c>
      <c r="N2462" s="117" t="str">
        <f>HYPERLINK(AA2 &amp; "/scissors/sn_5057c24bbfaa7de2f7c4ed45ce654123/rendering/11.obj", "4.17540161133")</f>
        <v>4.17540161133</v>
      </c>
      <c r="O2462" s="83" t="str">
        <f>HYPERLINK(AA2 &amp; "/scissors/sn_5057c24bbfaa7de2f7c4ed45ce654123/rendering/12.obj", "4.30246490479")</f>
        <v>4.30246490479</v>
      </c>
      <c r="P2462" s="95" t="str">
        <f>HYPERLINK(AA2 &amp; "/scissors/sn_5057c24bbfaa7de2f7c4ed45ce654123/rendering/13.obj", "6.50593139648")</f>
        <v>6.50593139648</v>
      </c>
      <c r="Q2462" s="71" t="str">
        <f>HYPERLINK(AA2 &amp; "/scissors/sn_5057c24bbfaa7de2f7c4ed45ce654123/rendering/14.obj", "4.48346252441")</f>
        <v>4.48346252441</v>
      </c>
      <c r="R2462" s="135" t="str">
        <f>HYPERLINK(AA2 &amp; "/scissors/sn_5057c24bbfaa7de2f7c4ed45ce654123/rendering/15.obj", "3.78723419189")</f>
        <v>3.78723419189</v>
      </c>
      <c r="S2462" s="106" t="str">
        <f>HYPERLINK(AA2 &amp; "/scissors/sn_5057c24bbfaa7de2f7c4ed45ce654123/rendering/16.obj", "4.50591827393")</f>
        <v>4.50591827393</v>
      </c>
      <c r="T2462" s="40" t="str">
        <f>HYPERLINK(AA2 &amp; "/scissors/sn_5057c24bbfaa7de2f7c4ed45ce654123/rendering/17.obj", "5.95653198242")</f>
        <v>5.95653198242</v>
      </c>
      <c r="U2462" s="42" t="str">
        <f>HYPERLINK(AA2 &amp; "/scissors/sn_5057c24bbfaa7de2f7c4ed45ce654123/rendering/18.obj", "4.39208862305")</f>
        <v>4.39208862305</v>
      </c>
      <c r="V2462" s="130" t="str">
        <f>HYPERLINK(AA2 &amp; "/scissors/sn_5057c24bbfaa7de2f7c4ed45ce654123/rendering/19.obj", "7.37716064453")</f>
        <v>7.37716064453</v>
      </c>
      <c r="W2462" s="12" t="s">
        <v>29</v>
      </c>
      <c r="X2462" s="13">
        <v>5.0834651947021481</v>
      </c>
      <c r="Y2462" s="13">
        <v>1.190626330147734</v>
      </c>
      <c r="Z2462" s="175">
        <v>0.23421549760753221</v>
      </c>
    </row>
    <row r="2463" spans="1:26" x14ac:dyDescent="0.2">
      <c r="A2463" s="1">
        <v>2461</v>
      </c>
      <c r="B2463" s="2" t="s">
        <v>525</v>
      </c>
      <c r="C2463" s="126" t="str">
        <f>HYPERLINK(AA2 &amp; "/scissors/sn_5057c24bbfaa7de2f7c4ed45ce654123/rendering/00.obj", "1.81211411953")</f>
        <v>1.81211411953</v>
      </c>
      <c r="D2463" s="22" t="str">
        <f>HYPERLINK(AA2 &amp; "/scissors/sn_5057c24bbfaa7de2f7c4ed45ce654123/rendering/01.obj", "1.72168171406")</f>
        <v>1.72168171406</v>
      </c>
      <c r="E2463" s="196" t="str">
        <f>HYPERLINK(AA2 &amp; "/scissors/sn_5057c24bbfaa7de2f7c4ed45ce654123/rendering/02.obj", "2.18006110191")</f>
        <v>2.18006110191</v>
      </c>
      <c r="F2463" s="133" t="str">
        <f>HYPERLINK(AA2 &amp; "/scissors/sn_5057c24bbfaa7de2f7c4ed45ce654123/rendering/03.obj", "3.98957848549")</f>
        <v>3.98957848549</v>
      </c>
      <c r="G2463" s="64" t="str">
        <f>HYPERLINK(AA2 &amp; "/scissors/sn_5057c24bbfaa7de2f7c4ed45ce654123/rendering/04.obj", "3.0173034668")</f>
        <v>3.0173034668</v>
      </c>
      <c r="H2463" s="96" t="str">
        <f>HYPERLINK(AA2 &amp; "/scissors/sn_5057c24bbfaa7de2f7c4ed45ce654123/rendering/05.obj", "2.30028653145")</f>
        <v>2.30028653145</v>
      </c>
      <c r="I2463" s="74" t="str">
        <f>HYPERLINK(AA2 &amp; "/scissors/sn_5057c24bbfaa7de2f7c4ed45ce654123/rendering/06.obj", "3.66457986832")</f>
        <v>3.66457986832</v>
      </c>
      <c r="J2463" s="94" t="str">
        <f>HYPERLINK(AA2 &amp; "/scissors/sn_5057c24bbfaa7de2f7c4ed45ce654123/rendering/07.obj", "3.8871691227")</f>
        <v>3.8871691227</v>
      </c>
      <c r="K2463" s="20" t="str">
        <f>HYPERLINK(AA2 &amp; "/scissors/sn_5057c24bbfaa7de2f7c4ed45ce654123/rendering/08.obj", "9.43741607666")</f>
        <v>9.43741607666</v>
      </c>
      <c r="L2463" s="86" t="str">
        <f>HYPERLINK(AA2 &amp; "/scissors/sn_5057c24bbfaa7de2f7c4ed45ce654123/rendering/09.obj", "4.59020233154")</f>
        <v>4.59020233154</v>
      </c>
      <c r="M2463" s="54" t="str">
        <f>HYPERLINK(AA2 &amp; "/scissors/sn_5057c24bbfaa7de2f7c4ed45ce654123/rendering/10.obj", "2.43599963188")</f>
        <v>2.43599963188</v>
      </c>
      <c r="N2463" s="212" t="str">
        <f>HYPERLINK(AA2 &amp; "/scissors/sn_5057c24bbfaa7de2f7c4ed45ce654123/rendering/11.obj", "2.05447268486")</f>
        <v>2.05447268486</v>
      </c>
      <c r="O2463" s="11" t="str">
        <f>HYPERLINK(AA2 &amp; "/scissors/sn_5057c24bbfaa7de2f7c4ed45ce654123/rendering/12.obj", "2.80220079422")</f>
        <v>2.80220079422</v>
      </c>
      <c r="P2463" s="20" t="str">
        <f>HYPERLINK(AA2 &amp; "/scissors/sn_5057c24bbfaa7de2f7c4ed45ce654123/rendering/13.obj", "7.10824346542")</f>
        <v>7.10824346542</v>
      </c>
      <c r="Q2463" s="85" t="str">
        <f>HYPERLINK(AA2 &amp; "/scissors/sn_5057c24bbfaa7de2f7c4ed45ce654123/rendering/14.obj", "2.54593515396")</f>
        <v>2.54593515396</v>
      </c>
      <c r="R2463" s="121" t="str">
        <f>HYPERLINK(AA2 &amp; "/scissors/sn_5057c24bbfaa7de2f7c4ed45ce654123/rendering/15.obj", "2.33803844452")</f>
        <v>2.33803844452</v>
      </c>
      <c r="S2463" s="97" t="str">
        <f>HYPERLINK(AA2 &amp; "/scissors/sn_5057c24bbfaa7de2f7c4ed45ce654123/rendering/16.obj", "2.04585146904")</f>
        <v>2.04585146904</v>
      </c>
      <c r="T2463" s="100" t="str">
        <f>HYPERLINK(AA2 &amp; "/scissors/sn_5057c24bbfaa7de2f7c4ed45ce654123/rendering/17.obj", "4.69632577896")</f>
        <v>4.69632577896</v>
      </c>
      <c r="U2463" s="138" t="str">
        <f>HYPERLINK(AA2 &amp; "/scissors/sn_5057c24bbfaa7de2f7c4ed45ce654123/rendering/18.obj", "2.39628720284")</f>
        <v>2.39628720284</v>
      </c>
      <c r="V2463" s="20" t="str">
        <f>HYPERLINK(AA2 &amp; "/scissors/sn_5057c24bbfaa7de2f7c4ed45ce654123/rendering/19.obj", "7.29641056061")</f>
        <v>7.29641056061</v>
      </c>
      <c r="W2463" s="12" t="s">
        <v>30</v>
      </c>
      <c r="X2463" s="13">
        <v>3.6160079002380372</v>
      </c>
      <c r="Y2463" s="13">
        <v>2.05158393484282</v>
      </c>
      <c r="Z2463" s="197">
        <v>0.56736157426751399</v>
      </c>
    </row>
    <row r="2464" spans="1:26" x14ac:dyDescent="0.2">
      <c r="A2464" s="1">
        <v>2462</v>
      </c>
      <c r="B2464" s="2" t="s">
        <v>525</v>
      </c>
      <c r="C2464" s="31" t="str">
        <f>HYPERLINK(AB2 &amp; "/scissors/sn_5057c24bbfaa7de2f7c4ed45ce654123/rendering/00.obj", "5.52029724121")</f>
        <v>5.52029724121</v>
      </c>
      <c r="D2464" s="34" t="str">
        <f>HYPERLINK(AB2 &amp; "/scissors/sn_5057c24bbfaa7de2f7c4ed45ce654123/rendering/01.obj", "4.55171905518")</f>
        <v>4.55171905518</v>
      </c>
      <c r="E2464" s="23" t="str">
        <f>HYPERLINK(AB2 &amp; "/scissors/sn_5057c24bbfaa7de2f7c4ed45ce654123/rendering/02.obj", "4.58988952637")</f>
        <v>4.58988952637</v>
      </c>
      <c r="F2464" s="41" t="str">
        <f>HYPERLINK(AB2 &amp; "/scissors/sn_5057c24bbfaa7de2f7c4ed45ce654123/rendering/03.obj", "4.45861419678")</f>
        <v>4.45861419678</v>
      </c>
      <c r="G2464" s="47" t="str">
        <f>HYPERLINK(AB2 &amp; "/scissors/sn_5057c24bbfaa7de2f7c4ed45ce654123/rendering/04.obj", "4.81651672363")</f>
        <v>4.81651672363</v>
      </c>
      <c r="H2464" s="44" t="str">
        <f>HYPERLINK(AB2 &amp; "/scissors/sn_5057c24bbfaa7de2f7c4ed45ce654123/rendering/05.obj", "5.72052978516")</f>
        <v>5.72052978516</v>
      </c>
      <c r="I2464" s="63" t="str">
        <f>HYPERLINK(AB2 &amp; "/scissors/sn_5057c24bbfaa7de2f7c4ed45ce654123/rendering/06.obj", "4.19614868164")</f>
        <v>4.19614868164</v>
      </c>
      <c r="J2464" s="23" t="str">
        <f>HYPERLINK(AB2 &amp; "/scissors/sn_5057c24bbfaa7de2f7c4ed45ce654123/rendering/07.obj", "4.59452636719")</f>
        <v>4.59452636719</v>
      </c>
      <c r="K2464" s="47" t="str">
        <f>HYPERLINK(AB2 &amp; "/scissors/sn_5057c24bbfaa7de2f7c4ed45ce654123/rendering/08.obj", "4.81591186523")</f>
        <v>4.81591186523</v>
      </c>
      <c r="L2464" s="30" t="str">
        <f>HYPERLINK(AB2 &amp; "/scissors/sn_5057c24bbfaa7de2f7c4ed45ce654123/rendering/09.obj", "4.76456481934")</f>
        <v>4.76456481934</v>
      </c>
      <c r="M2464" s="60" t="str">
        <f>HYPERLINK(AB2 &amp; "/scissors/sn_5057c24bbfaa7de2f7c4ed45ce654123/rendering/10.obj", "4.53961425781")</f>
        <v>4.53961425781</v>
      </c>
      <c r="N2464" s="46" t="str">
        <f>HYPERLINK(AB2 &amp; "/scissors/sn_5057c24bbfaa7de2f7c4ed45ce654123/rendering/11.obj", "4.86854858398")</f>
        <v>4.86854858398</v>
      </c>
      <c r="O2464" s="26" t="str">
        <f>HYPERLINK(AB2 &amp; "/scissors/sn_5057c24bbfaa7de2f7c4ed45ce654123/rendering/12.obj", "4.47280578613")</f>
        <v>4.47280578613</v>
      </c>
      <c r="P2464" s="110" t="str">
        <f>HYPERLINK(AB2 &amp; "/scissors/sn_5057c24bbfaa7de2f7c4ed45ce654123/rendering/13.obj", "4.30214019775")</f>
        <v>4.30214019775</v>
      </c>
      <c r="Q2464" s="67" t="str">
        <f>HYPERLINK(AB2 &amp; "/scissors/sn_5057c24bbfaa7de2f7c4ed45ce654123/rendering/14.obj", "4.34328735352")</f>
        <v>4.34328735352</v>
      </c>
      <c r="R2464" s="41" t="str">
        <f>HYPERLINK(AB2 &amp; "/scissors/sn_5057c24bbfaa7de2f7c4ed45ce654123/rendering/15.obj", "5.09926483154")</f>
        <v>5.09926483154</v>
      </c>
      <c r="S2464" s="39" t="str">
        <f>HYPERLINK(AB2 &amp; "/scissors/sn_5057c24bbfaa7de2f7c4ed45ce654123/rendering/16.obj", "5.18942260742")</f>
        <v>5.18942260742</v>
      </c>
      <c r="T2464" s="34" t="str">
        <f>HYPERLINK(AB2 &amp; "/scissors/sn_5057c24bbfaa7de2f7c4ed45ce654123/rendering/17.obj", "4.55228088379")</f>
        <v>4.55228088379</v>
      </c>
      <c r="U2464" s="75" t="str">
        <f>HYPERLINK(AB2 &amp; "/scissors/sn_5057c24bbfaa7de2f7c4ed45ce654123/rendering/18.obj", "5.83965576172")</f>
        <v>5.83965576172</v>
      </c>
      <c r="V2464" s="39" t="str">
        <f>HYPERLINK(AB2 &amp; "/scissors/sn_5057c24bbfaa7de2f7c4ed45ce654123/rendering/19.obj", "4.3601852417")</f>
        <v>4.3601852417</v>
      </c>
      <c r="W2464" s="12" t="s">
        <v>31</v>
      </c>
      <c r="X2464" s="13">
        <v>4.7797961883544922</v>
      </c>
      <c r="Y2464" s="13">
        <v>0.45836190444015951</v>
      </c>
      <c r="Z2464" s="90">
        <v>9.5895700648683233E-2</v>
      </c>
    </row>
    <row r="2465" spans="1:26" x14ac:dyDescent="0.2">
      <c r="A2465" s="1">
        <v>2463</v>
      </c>
      <c r="B2465" s="2" t="s">
        <v>525</v>
      </c>
      <c r="C2465" s="24" t="str">
        <f>HYPERLINK(AB2 &amp; "/scissors/sn_5057c24bbfaa7de2f7c4ed45ce654123/rendering/00.obj", "1.73122668266")</f>
        <v>1.73122668266</v>
      </c>
      <c r="D2465" s="94" t="str">
        <f>HYPERLINK(AB2 &amp; "/scissors/sn_5057c24bbfaa7de2f7c4ed45ce654123/rendering/01.obj", "2.23145079613")</f>
        <v>2.23145079613</v>
      </c>
      <c r="E2465" s="92" t="str">
        <f>HYPERLINK(AB2 &amp; "/scissors/sn_5057c24bbfaa7de2f7c4ed45ce654123/rendering/02.obj", "1.82024347782")</f>
        <v>1.82024347782</v>
      </c>
      <c r="F2465" s="27" t="str">
        <f>HYPERLINK(AB2 &amp; "/scissors/sn_5057c24bbfaa7de2f7c4ed45ce654123/rendering/03.obj", "1.9310593605")</f>
        <v>1.9310593605</v>
      </c>
      <c r="G2465" s="113" t="str">
        <f>HYPERLINK(AB2 &amp; "/scissors/sn_5057c24bbfaa7de2f7c4ed45ce654123/rendering/04.obj", "2.64946484566")</f>
        <v>2.64946484566</v>
      </c>
      <c r="H2465" s="90" t="str">
        <f>HYPERLINK(AB2 &amp; "/scissors/sn_5057c24bbfaa7de2f7c4ed45ce654123/rendering/05.obj", "1.87746226788")</f>
        <v>1.87746226788</v>
      </c>
      <c r="I2465" s="72" t="str">
        <f>HYPERLINK(AB2 &amp; "/scissors/sn_5057c24bbfaa7de2f7c4ed45ce654123/rendering/06.obj", "2.00941300392")</f>
        <v>2.00941300392</v>
      </c>
      <c r="J2465" s="34" t="str">
        <f>HYPERLINK(AB2 &amp; "/scissors/sn_5057c24bbfaa7de2f7c4ed45ce654123/rendering/07.obj", "1.97721552849")</f>
        <v>1.97721552849</v>
      </c>
      <c r="K2465" s="48" t="str">
        <f>HYPERLINK(AB2 &amp; "/scissors/sn_5057c24bbfaa7de2f7c4ed45ce654123/rendering/08.obj", "2.02840518951")</f>
        <v>2.02840518951</v>
      </c>
      <c r="L2465" s="28" t="str">
        <f>HYPERLINK(AB2 &amp; "/scissors/sn_5057c24bbfaa7de2f7c4ed45ce654123/rendering/09.obj", "1.84226644039")</f>
        <v>1.84226644039</v>
      </c>
      <c r="M2465" s="10" t="str">
        <f>HYPERLINK(AB2 &amp; "/scissors/sn_5057c24bbfaa7de2f7c4ed45ce654123/rendering/10.obj", "2.19061017036")</f>
        <v>2.19061017036</v>
      </c>
      <c r="N2465" s="63" t="str">
        <f>HYPERLINK(AB2 &amp; "/scissors/sn_5057c24bbfaa7de2f7c4ed45ce654123/rendering/11.obj", "2.32598805428")</f>
        <v>2.32598805428</v>
      </c>
      <c r="O2465" s="42" t="str">
        <f>HYPERLINK(AB2 &amp; "/scissors/sn_5057c24bbfaa7de2f7c4ed45ce654123/rendering/12.obj", "1.79441404343")</f>
        <v>1.79441404343</v>
      </c>
      <c r="P2465" s="70" t="str">
        <f>HYPERLINK(AB2 &amp; "/scissors/sn_5057c24bbfaa7de2f7c4ed45ce654123/rendering/13.obj", "1.81104052067")</f>
        <v>1.81104052067</v>
      </c>
      <c r="Q2465" s="79" t="str">
        <f>HYPERLINK(AB2 &amp; "/scissors/sn_5057c24bbfaa7de2f7c4ed45ce654123/rendering/14.obj", "1.74657332897")</f>
        <v>1.74657332897</v>
      </c>
      <c r="R2465" s="94" t="str">
        <f>HYPERLINK(AB2 &amp; "/scissors/sn_5057c24bbfaa7de2f7c4ed45ce654123/rendering/15.obj", "1.92178809643")</f>
        <v>1.92178809643</v>
      </c>
      <c r="S2465" s="72" t="str">
        <f>HYPERLINK(AB2 &amp; "/scissors/sn_5057c24bbfaa7de2f7c4ed45ce654123/rendering/16.obj", "2.14838957787")</f>
        <v>2.14838957787</v>
      </c>
      <c r="T2465" s="60" t="str">
        <f>HYPERLINK(AB2 &amp; "/scissors/sn_5057c24bbfaa7de2f7c4ed45ce654123/rendering/17.obj", "1.97008943558")</f>
        <v>1.97008943558</v>
      </c>
      <c r="U2465" s="144" t="str">
        <f>HYPERLINK(AB2 &amp; "/scissors/sn_5057c24bbfaa7de2f7c4ed45ce654123/rendering/18.obj", "3.11948394775")</f>
        <v>3.11948394775</v>
      </c>
      <c r="V2465" s="79" t="str">
        <f>HYPERLINK(AB2 &amp; "/scissors/sn_5057c24bbfaa7de2f7c4ed45ce654123/rendering/19.obj", "2.40810751915")</f>
        <v>2.40810751915</v>
      </c>
      <c r="W2465" s="12" t="s">
        <v>32</v>
      </c>
      <c r="X2465" s="13">
        <v>2.076734614372254</v>
      </c>
      <c r="Y2465" s="13">
        <v>0.33480205926849249</v>
      </c>
      <c r="Z2465" s="66">
        <v>0.1612156204030408</v>
      </c>
    </row>
    <row r="2466" spans="1:26" x14ac:dyDescent="0.2">
      <c r="A2466" s="1">
        <v>2464</v>
      </c>
      <c r="B2466" s="2" t="s">
        <v>525</v>
      </c>
      <c r="C2466" s="13" t="str">
        <f>HYPERLINK(AC2 &amp; "/scissors/sn_5057c24bbfaa7de2f7c4ed45ce654123/rendering/00.xyz", "0.0")</f>
        <v>0.0</v>
      </c>
      <c r="D2466" s="13" t="str">
        <f>HYPERLINK(AC2 &amp; "/scissors/sn_5057c24bbfaa7de2f7c4ed45ce654123/rendering/01.xyz", "0.0")</f>
        <v>0.0</v>
      </c>
      <c r="E2466" s="13" t="str">
        <f>HYPERLINK(AC2 &amp; "/scissors/sn_5057c24bbfaa7de2f7c4ed45ce654123/rendering/02.xyz", "0.0")</f>
        <v>0.0</v>
      </c>
      <c r="F2466" s="13" t="str">
        <f>HYPERLINK(AC2 &amp; "/scissors/sn_5057c24bbfaa7de2f7c4ed45ce654123/rendering/03.xyz", "0.0")</f>
        <v>0.0</v>
      </c>
      <c r="G2466" s="13" t="str">
        <f>HYPERLINK(AC2 &amp; "/scissors/sn_5057c24bbfaa7de2f7c4ed45ce654123/rendering/04.xyz", "0.0")</f>
        <v>0.0</v>
      </c>
      <c r="H2466" s="13" t="str">
        <f>HYPERLINK(AC2 &amp; "/scissors/sn_5057c24bbfaa7de2f7c4ed45ce654123/rendering/05.xyz", "0.0")</f>
        <v>0.0</v>
      </c>
      <c r="I2466" s="13" t="str">
        <f>HYPERLINK(AC2 &amp; "/scissors/sn_5057c24bbfaa7de2f7c4ed45ce654123/rendering/06.xyz", "0.0")</f>
        <v>0.0</v>
      </c>
      <c r="J2466" s="13" t="str">
        <f>HYPERLINK(AC2 &amp; "/scissors/sn_5057c24bbfaa7de2f7c4ed45ce654123/rendering/07.xyz", "0.0")</f>
        <v>0.0</v>
      </c>
      <c r="K2466" s="13" t="str">
        <f>HYPERLINK(AC2 &amp; "/scissors/sn_5057c24bbfaa7de2f7c4ed45ce654123/rendering/08.xyz", "0.0")</f>
        <v>0.0</v>
      </c>
      <c r="L2466" s="13" t="str">
        <f>HYPERLINK(AC2 &amp; "/scissors/sn_5057c24bbfaa7de2f7c4ed45ce654123/rendering/09.xyz", "0.0")</f>
        <v>0.0</v>
      </c>
      <c r="M2466" s="13" t="str">
        <f>HYPERLINK(AC2 &amp; "/scissors/sn_5057c24bbfaa7de2f7c4ed45ce654123/rendering/10.xyz", "0.0")</f>
        <v>0.0</v>
      </c>
      <c r="N2466" s="13" t="str">
        <f>HYPERLINK(AC2 &amp; "/scissors/sn_5057c24bbfaa7de2f7c4ed45ce654123/rendering/11.xyz", "0.0")</f>
        <v>0.0</v>
      </c>
      <c r="O2466" s="13" t="str">
        <f>HYPERLINK(AC2 &amp; "/scissors/sn_5057c24bbfaa7de2f7c4ed45ce654123/rendering/12.xyz", "0.0")</f>
        <v>0.0</v>
      </c>
      <c r="P2466" s="13" t="str">
        <f>HYPERLINK(AC2 &amp; "/scissors/sn_5057c24bbfaa7de2f7c4ed45ce654123/rendering/13.xyz", "0.0")</f>
        <v>0.0</v>
      </c>
      <c r="Q2466" s="13" t="str">
        <f>HYPERLINK(AC2 &amp; "/scissors/sn_5057c24bbfaa7de2f7c4ed45ce654123/rendering/14.xyz", "0.0")</f>
        <v>0.0</v>
      </c>
      <c r="R2466" s="13" t="str">
        <f>HYPERLINK(AC2 &amp; "/scissors/sn_5057c24bbfaa7de2f7c4ed45ce654123/rendering/15.xyz", "0.0")</f>
        <v>0.0</v>
      </c>
      <c r="S2466" s="13" t="str">
        <f>HYPERLINK(AC2 &amp; "/scissors/sn_5057c24bbfaa7de2f7c4ed45ce654123/rendering/16.xyz", "0.0")</f>
        <v>0.0</v>
      </c>
      <c r="T2466" s="13" t="str">
        <f>HYPERLINK(AC2 &amp; "/scissors/sn_5057c24bbfaa7de2f7c4ed45ce654123/rendering/17.xyz", "0.0")</f>
        <v>0.0</v>
      </c>
      <c r="U2466" s="13" t="str">
        <f>HYPERLINK(AC2 &amp; "/scissors/sn_5057c24bbfaa7de2f7c4ed45ce654123/rendering/18.xyz", "0.0")</f>
        <v>0.0</v>
      </c>
      <c r="V2466" s="13" t="str">
        <f>HYPERLINK(AC2 &amp; "/scissors/sn_5057c24bbfaa7de2f7c4ed45ce654123/rendering/19.xyz", "0.0")</f>
        <v>0.0</v>
      </c>
      <c r="W2466" s="12" t="s">
        <v>33</v>
      </c>
      <c r="X2466" s="13">
        <v>0</v>
      </c>
      <c r="Y2466" s="13">
        <v>0</v>
      </c>
      <c r="Z2466" s="13">
        <v>0</v>
      </c>
    </row>
    <row r="2467" spans="1:26" x14ac:dyDescent="0.2">
      <c r="A2467" s="1">
        <v>2465</v>
      </c>
      <c r="B2467" s="2" t="s">
        <v>526</v>
      </c>
      <c r="C2467" s="85" t="str">
        <f>HYPERLINK(AA2 &amp; "/scissors/sn_51e8f39e13810eb3467ca2ad6571afff/rendering/00.obj", "7.87239929199")</f>
        <v>7.87239929199</v>
      </c>
      <c r="D2467" s="35" t="str">
        <f>HYPERLINK(AA2 &amp; "/scissors/sn_51e8f39e13810eb3467ca2ad6571afff/rendering/01.obj", "6.4213470459")</f>
        <v>6.4213470459</v>
      </c>
      <c r="E2467" s="65" t="str">
        <f>HYPERLINK(AA2 &amp; "/scissors/sn_51e8f39e13810eb3467ca2ad6571afff/rendering/02.obj", "6.87405883789")</f>
        <v>6.87405883789</v>
      </c>
      <c r="F2467" s="26" t="str">
        <f>HYPERLINK(AA2 &amp; "/scissors/sn_51e8f39e13810eb3467ca2ad6571afff/rendering/03.obj", "6.46659606934")</f>
        <v>6.46659606934</v>
      </c>
      <c r="G2467" s="31" t="str">
        <f>HYPERLINK(AA2 &amp; "/scissors/sn_51e8f39e13810eb3467ca2ad6571afff/rendering/04.obj", "5.11953277588")</f>
        <v>5.11953277588</v>
      </c>
      <c r="H2467" s="119" t="str">
        <f>HYPERLINK(AA2 &amp; "/scissors/sn_51e8f39e13810eb3467ca2ad6571afff/rendering/05.obj", "4.46016113281")</f>
        <v>4.46016113281</v>
      </c>
      <c r="I2467" s="55" t="str">
        <f>HYPERLINK(AA2 &amp; "/scissors/sn_51e8f39e13810eb3467ca2ad6571afff/rendering/06.obj", "4.89277404785")</f>
        <v>4.89277404785</v>
      </c>
      <c r="J2467" s="26" t="str">
        <f>HYPERLINK(AA2 &amp; "/scissors/sn_51e8f39e13810eb3467ca2ad6571afff/rendering/07.obj", "5.67751220703")</f>
        <v>5.67751220703</v>
      </c>
      <c r="K2467" s="77" t="str">
        <f>HYPERLINK(AA2 &amp; "/scissors/sn_51e8f39e13810eb3467ca2ad6571afff/rendering/08.obj", "4.9270098877")</f>
        <v>4.9270098877</v>
      </c>
      <c r="L2467" s="53" t="str">
        <f>HYPERLINK(AA2 &amp; "/scissors/sn_51e8f39e13810eb3467ca2ad6571afff/rendering/09.obj", "8.56435302734")</f>
        <v>8.56435302734</v>
      </c>
      <c r="M2467" s="51" t="str">
        <f>HYPERLINK(AA2 &amp; "/scissors/sn_51e8f39e13810eb3467ca2ad6571afff/rendering/10.obj", "5.57332885742")</f>
        <v>5.57332885742</v>
      </c>
      <c r="N2467" s="113" t="str">
        <f>HYPERLINK(AA2 &amp; "/scissors/sn_51e8f39e13810eb3467ca2ad6571afff/rendering/11.obj", "4.39769836426")</f>
        <v>4.39769836426</v>
      </c>
      <c r="O2467" s="85" t="str">
        <f>HYPERLINK(AA2 &amp; "/scissors/sn_51e8f39e13810eb3467ca2ad6571afff/rendering/12.obj", "4.26480072021")</f>
        <v>4.26480072021</v>
      </c>
      <c r="P2467" s="46" t="str">
        <f>HYPERLINK(AA2 &amp; "/scissors/sn_51e8f39e13810eb3467ca2ad6571afff/rendering/13.obj", "5.96690307617")</f>
        <v>5.96690307617</v>
      </c>
      <c r="Q2467" s="34" t="str">
        <f>HYPERLINK(AA2 &amp; "/scissors/sn_51e8f39e13810eb3467ca2ad6571afff/rendering/14.obj", "5.77178344727")</f>
        <v>5.77178344727</v>
      </c>
      <c r="R2467" s="160" t="str">
        <f>HYPERLINK(AA2 &amp; "/scissors/sn_51e8f39e13810eb3467ca2ad6571afff/rendering/15.obj", "9.26980957031")</f>
        <v>9.26980957031</v>
      </c>
      <c r="S2467" s="8" t="str">
        <f>HYPERLINK(AA2 &amp; "/scissors/sn_51e8f39e13810eb3467ca2ad6571afff/rendering/16.obj", "6.94058959961")</f>
        <v>6.94058959961</v>
      </c>
      <c r="T2467" s="27" t="str">
        <f>HYPERLINK(AA2 &amp; "/scissors/sn_51e8f39e13810eb3467ca2ad6571afff/rendering/17.obj", "5.63954956055")</f>
        <v>5.63954956055</v>
      </c>
      <c r="U2467" s="74" t="str">
        <f>HYPERLINK(AA2 &amp; "/scissors/sn_51e8f39e13810eb3467ca2ad6571afff/rendering/18.obj", "6.15199707031")</f>
        <v>6.15199707031</v>
      </c>
      <c r="V2467" s="30" t="str">
        <f>HYPERLINK(AA2 &amp; "/scissors/sn_51e8f39e13810eb3467ca2ad6571afff/rendering/19.obj", "6.09921508789")</f>
        <v>6.09921508789</v>
      </c>
      <c r="W2467" s="12" t="s">
        <v>29</v>
      </c>
      <c r="X2467" s="13">
        <v>6.0675709838867187</v>
      </c>
      <c r="Y2467" s="13">
        <v>1.3101530985891039</v>
      </c>
      <c r="Z2467" s="36">
        <v>0.21592711516163521</v>
      </c>
    </row>
    <row r="2468" spans="1:26" x14ac:dyDescent="0.2">
      <c r="A2468" s="1">
        <v>2466</v>
      </c>
      <c r="B2468" s="2" t="s">
        <v>526</v>
      </c>
      <c r="C2468" s="20" t="str">
        <f>HYPERLINK(AA2 &amp; "/scissors/sn_51e8f39e13810eb3467ca2ad6571afff/rendering/00.obj", "20.9544048309")</f>
        <v>20.9544048309</v>
      </c>
      <c r="D2468" s="73" t="str">
        <f>HYPERLINK(AA2 &amp; "/scissors/sn_51e8f39e13810eb3467ca2ad6571afff/rendering/01.obj", "9.53542995453")</f>
        <v>9.53542995453</v>
      </c>
      <c r="E2468" s="69" t="str">
        <f>HYPERLINK(AA2 &amp; "/scissors/sn_51e8f39e13810eb3467ca2ad6571afff/rendering/02.obj", "9.57429027557")</f>
        <v>9.57429027557</v>
      </c>
      <c r="F2468" s="64" t="str">
        <f>HYPERLINK(AA2 &amp; "/scissors/sn_51e8f39e13810eb3467ca2ad6571afff/rendering/03.obj", "11.507019043")</f>
        <v>11.507019043</v>
      </c>
      <c r="G2468" s="56" t="str">
        <f>HYPERLINK(AA2 &amp; "/scissors/sn_51e8f39e13810eb3467ca2ad6571afff/rendering/04.obj", "6.81389331818")</f>
        <v>6.81389331818</v>
      </c>
      <c r="H2468" s="137" t="str">
        <f>HYPERLINK(AA2 &amp; "/scissors/sn_51e8f39e13810eb3467ca2ad6571afff/rendering/05.obj", "6.277384758")</f>
        <v>6.277384758</v>
      </c>
      <c r="I2468" s="163" t="str">
        <f>HYPERLINK(AA2 &amp; "/scissors/sn_51e8f39e13810eb3467ca2ad6571afff/rendering/06.obj", "5.53187513351")</f>
        <v>5.53187513351</v>
      </c>
      <c r="J2468" s="158" t="str">
        <f>HYPERLINK(AA2 &amp; "/scissors/sn_51e8f39e13810eb3467ca2ad6571afff/rendering/07.obj", "5.83894109726")</f>
        <v>5.83894109726</v>
      </c>
      <c r="K2468" s="111" t="str">
        <f>HYPERLINK(AA2 &amp; "/scissors/sn_51e8f39e13810eb3467ca2ad6571afff/rendering/08.obj", "5.71349334717")</f>
        <v>5.71349334717</v>
      </c>
      <c r="L2468" s="56" t="str">
        <f>HYPERLINK(AA2 &amp; "/scissors/sn_51e8f39e13810eb3467ca2ad6571afff/rendering/09.obj", "12.9279060364")</f>
        <v>12.9279060364</v>
      </c>
      <c r="M2468" s="69" t="str">
        <f>HYPERLINK(AA2 &amp; "/scissors/sn_51e8f39e13810eb3467ca2ad6571afff/rendering/10.obj", "10.1741075516")</f>
        <v>10.1741075516</v>
      </c>
      <c r="N2468" s="138" t="str">
        <f>HYPERLINK(AA2 &amp; "/scissors/sn_51e8f39e13810eb3467ca2ad6571afff/rendering/11.obj", "6.55217266083")</f>
        <v>6.55217266083</v>
      </c>
      <c r="O2468" s="149" t="str">
        <f>HYPERLINK(AA2 &amp; "/scissors/sn_51e8f39e13810eb3467ca2ad6571afff/rendering/12.obj", "6.48984336853")</f>
        <v>6.48984336853</v>
      </c>
      <c r="P2468" s="27" t="str">
        <f>HYPERLINK(AA2 &amp; "/scissors/sn_51e8f39e13810eb3467ca2ad6571afff/rendering/13.obj", "9.18229103088")</f>
        <v>9.18229103088</v>
      </c>
      <c r="Q2468" s="70" t="str">
        <f>HYPERLINK(AA2 &amp; "/scissors/sn_51e8f39e13810eb3467ca2ad6571afff/rendering/14.obj", "8.63813209534")</f>
        <v>8.63813209534</v>
      </c>
      <c r="R2468" s="20" t="str">
        <f>HYPERLINK(AA2 &amp; "/scissors/sn_51e8f39e13810eb3467ca2ad6571afff/rendering/15.obj", "24.4021549225")</f>
        <v>24.4021549225</v>
      </c>
      <c r="S2468" s="26" t="str">
        <f>HYPERLINK(AA2 &amp; "/scissors/sn_51e8f39e13810eb3467ca2ad6571afff/rendering/16.obj", "10.5009346008")</f>
        <v>10.5009346008</v>
      </c>
      <c r="T2468" s="170" t="str">
        <f>HYPERLINK(AA2 &amp; "/scissors/sn_51e8f39e13810eb3467ca2ad6571afff/rendering/17.obj", "7.37432336807")</f>
        <v>7.37432336807</v>
      </c>
      <c r="U2468" s="133" t="str">
        <f>HYPERLINK(AA2 &amp; "/scissors/sn_51e8f39e13810eb3467ca2ad6571afff/rendering/18.obj", "10.8797426224")</f>
        <v>10.8797426224</v>
      </c>
      <c r="V2468" s="63" t="str">
        <f>HYPERLINK(AA2 &amp; "/scissors/sn_51e8f39e13810eb3467ca2ad6571afff/rendering/19.obj", "8.68600463867")</f>
        <v>8.68600463867</v>
      </c>
      <c r="W2468" s="12" t="s">
        <v>30</v>
      </c>
      <c r="X2468" s="13">
        <v>9.8777172327041622</v>
      </c>
      <c r="Y2468" s="13">
        <v>4.7667211862660519</v>
      </c>
      <c r="Z2468" s="139">
        <v>0.48257315672936058</v>
      </c>
    </row>
    <row r="2469" spans="1:26" x14ac:dyDescent="0.2">
      <c r="A2469" s="1">
        <v>2467</v>
      </c>
      <c r="B2469" s="2" t="s">
        <v>526</v>
      </c>
      <c r="C2469" s="20" t="str">
        <f>HYPERLINK(AB2 &amp; "/scissors/sn_51e8f39e13810eb3467ca2ad6571afff/rendering/00.obj", "7.5191784668")</f>
        <v>7.5191784668</v>
      </c>
      <c r="D2469" s="32" t="str">
        <f>HYPERLINK(AB2 &amp; "/scissors/sn_51e8f39e13810eb3467ca2ad6571afff/rendering/01.obj", "4.31070251465")</f>
        <v>4.31070251465</v>
      </c>
      <c r="E2469" s="32" t="str">
        <f>HYPERLINK(AB2 &amp; "/scissors/sn_51e8f39e13810eb3467ca2ad6571afff/rendering/02.obj", "3.49179260254")</f>
        <v>3.49179260254</v>
      </c>
      <c r="F2469" s="17" t="str">
        <f>HYPERLINK(AB2 &amp; "/scissors/sn_51e8f39e13810eb3467ca2ad6571afff/rendering/03.obj", "3.81568359375")</f>
        <v>3.81568359375</v>
      </c>
      <c r="G2469" s="74" t="str">
        <f>HYPERLINK(AB2 &amp; "/scissors/sn_51e8f39e13810eb3467ca2ad6571afff/rendering/04.obj", "3.84108032227")</f>
        <v>3.84108032227</v>
      </c>
      <c r="H2469" s="28" t="str">
        <f>HYPERLINK(AB2 &amp; "/scissors/sn_51e8f39e13810eb3467ca2ad6571afff/rendering/05.obj", "3.46624694824")</f>
        <v>3.46624694824</v>
      </c>
      <c r="I2469" s="35" t="str">
        <f>HYPERLINK(AB2 &amp; "/scissors/sn_51e8f39e13810eb3467ca2ad6571afff/rendering/06.obj", "3.67549530029")</f>
        <v>3.67549530029</v>
      </c>
      <c r="J2469" s="91" t="str">
        <f>HYPERLINK(AB2 &amp; "/scissors/sn_51e8f39e13810eb3467ca2ad6571afff/rendering/07.obj", "3.7968069458")</f>
        <v>3.7968069458</v>
      </c>
      <c r="K2469" s="94" t="str">
        <f>HYPERLINK(AB2 &amp; "/scissors/sn_51e8f39e13810eb3467ca2ad6571afff/rendering/08.obj", "3.61037841797")</f>
        <v>3.61037841797</v>
      </c>
      <c r="L2469" s="78" t="str">
        <f>HYPERLINK(AB2 &amp; "/scissors/sn_51e8f39e13810eb3467ca2ad6571afff/rendering/09.obj", "3.66236572266")</f>
        <v>3.66236572266</v>
      </c>
      <c r="M2469" s="71" t="str">
        <f>HYPERLINK(AB2 &amp; "/scissors/sn_51e8f39e13810eb3467ca2ad6571afff/rendering/10.obj", "3.4404989624")</f>
        <v>3.4404989624</v>
      </c>
      <c r="N2469" s="33" t="str">
        <f>HYPERLINK(AB2 &amp; "/scissors/sn_51e8f39e13810eb3467ca2ad6571afff/rendering/11.obj", "3.47721313477")</f>
        <v>3.47721313477</v>
      </c>
      <c r="O2469" s="68" t="str">
        <f>HYPERLINK(AB2 &amp; "/scissors/sn_51e8f39e13810eb3467ca2ad6571afff/rendering/12.obj", "3.73442626953")</f>
        <v>3.73442626953</v>
      </c>
      <c r="P2469" s="83" t="str">
        <f>HYPERLINK(AB2 &amp; "/scissors/sn_51e8f39e13810eb3467ca2ad6571afff/rendering/13.obj", "4.49138275146")</f>
        <v>4.49138275146</v>
      </c>
      <c r="Q2469" s="67" t="str">
        <f>HYPERLINK(AB2 &amp; "/scissors/sn_51e8f39e13810eb3467ca2ad6571afff/rendering/14.obj", "3.53154724121")</f>
        <v>3.53154724121</v>
      </c>
      <c r="R2469" s="93" t="str">
        <f>HYPERLINK(AB2 &amp; "/scissors/sn_51e8f39e13810eb3467ca2ad6571afff/rendering/15.obj", "3.35857543945")</f>
        <v>3.35857543945</v>
      </c>
      <c r="S2469" s="48" t="str">
        <f>HYPERLINK(AB2 &amp; "/scissors/sn_51e8f39e13810eb3467ca2ad6571afff/rendering/16.obj", "3.80892425537")</f>
        <v>3.80892425537</v>
      </c>
      <c r="T2469" s="91" t="str">
        <f>HYPERLINK(AB2 &amp; "/scissors/sn_51e8f39e13810eb3467ca2ad6571afff/rendering/17.obj", "4.00038818359")</f>
        <v>4.00038818359</v>
      </c>
      <c r="U2469" s="84" t="str">
        <f>HYPERLINK(AB2 &amp; "/scissors/sn_51e8f39e13810eb3467ca2ad6571afff/rendering/18.obj", "3.32349121094")</f>
        <v>3.32349121094</v>
      </c>
      <c r="V2469" s="5" t="str">
        <f>HYPERLINK(AB2 &amp; "/scissors/sn_51e8f39e13810eb3467ca2ad6571afff/rendering/19.obj", "3.59205047607")</f>
        <v>3.59205047607</v>
      </c>
      <c r="W2469" s="12" t="s">
        <v>31</v>
      </c>
      <c r="X2469" s="13">
        <v>3.897411437988282</v>
      </c>
      <c r="Y2469" s="13">
        <v>0.87963790806698572</v>
      </c>
      <c r="Z2469" s="11">
        <v>0.22569798494793419</v>
      </c>
    </row>
    <row r="2470" spans="1:26" x14ac:dyDescent="0.2">
      <c r="A2470" s="1">
        <v>2468</v>
      </c>
      <c r="B2470" s="2" t="s">
        <v>526</v>
      </c>
      <c r="C2470" s="20" t="str">
        <f>HYPERLINK(AB2 &amp; "/scissors/sn_51e8f39e13810eb3467ca2ad6571afff/rendering/00.obj", "9.71070766449")</f>
        <v>9.71070766449</v>
      </c>
      <c r="D2470" s="90" t="str">
        <f>HYPERLINK(AB2 &amp; "/scissors/sn_51e8f39e13810eb3467ca2ad6571afff/rendering/01.obj", "3.17513847351")</f>
        <v>3.17513847351</v>
      </c>
      <c r="E2470" s="76" t="str">
        <f>HYPERLINK(AB2 &amp; "/scissors/sn_51e8f39e13810eb3467ca2ad6571afff/rendering/02.obj", "2.86685681343")</f>
        <v>2.86685681343</v>
      </c>
      <c r="F2470" s="44" t="str">
        <f>HYPERLINK(AB2 &amp; "/scissors/sn_51e8f39e13810eb3467ca2ad6571afff/rendering/03.obj", "2.82446694374")</f>
        <v>2.82446694374</v>
      </c>
      <c r="G2470" s="47" t="str">
        <f>HYPERLINK(AB2 &amp; "/scissors/sn_51e8f39e13810eb3467ca2ad6571afff/rendering/04.obj", "3.48789000511")</f>
        <v>3.48789000511</v>
      </c>
      <c r="H2470" s="84" t="str">
        <f>HYPERLINK(AB2 &amp; "/scissors/sn_51e8f39e13810eb3467ca2ad6571afff/rendering/05.obj", "3.00704979897")</f>
        <v>3.00704979897</v>
      </c>
      <c r="I2470" s="6" t="str">
        <f>HYPERLINK(AB2 &amp; "/scissors/sn_51e8f39e13810eb3467ca2ad6571afff/rendering/06.obj", "3.3584754467")</f>
        <v>3.3584754467</v>
      </c>
      <c r="J2470" s="72" t="str">
        <f>HYPERLINK(AB2 &amp; "/scissors/sn_51e8f39e13810eb3467ca2ad6571afff/rendering/07.obj", "3.40467858315")</f>
        <v>3.40467858315</v>
      </c>
      <c r="K2470" s="60" t="str">
        <f>HYPERLINK(AB2 &amp; "/scissors/sn_51e8f39e13810eb3467ca2ad6571afff/rendering/08.obj", "3.33202409744")</f>
        <v>3.33202409744</v>
      </c>
      <c r="L2470" s="88" t="str">
        <f>HYPERLINK(AB2 &amp; "/scissors/sn_51e8f39e13810eb3467ca2ad6571afff/rendering/09.obj", "2.79983949661")</f>
        <v>2.79983949661</v>
      </c>
      <c r="M2470" s="129" t="str">
        <f>HYPERLINK(AB2 &amp; "/scissors/sn_51e8f39e13810eb3467ca2ad6571afff/rendering/10.obj", "4.39886617661")</f>
        <v>4.39886617661</v>
      </c>
      <c r="N2470" s="49" t="str">
        <f>HYPERLINK(AB2 &amp; "/scissors/sn_51e8f39e13810eb3467ca2ad6571afff/rendering/11.obj", "2.7792699337")</f>
        <v>2.7792699337</v>
      </c>
      <c r="O2470" s="65" t="str">
        <f>HYPERLINK(AB2 &amp; "/scissors/sn_51e8f39e13810eb3467ca2ad6571afff/rendering/12.obj", "3.04817175865")</f>
        <v>3.04817175865</v>
      </c>
      <c r="P2470" s="33" t="str">
        <f>HYPERLINK(AB2 &amp; "/scissors/sn_51e8f39e13810eb3467ca2ad6571afff/rendering/13.obj", "3.14035654068")</f>
        <v>3.14035654068</v>
      </c>
      <c r="Q2470" s="17" t="str">
        <f>HYPERLINK(AB2 &amp; "/scissors/sn_51e8f39e13810eb3467ca2ad6571afff/rendering/14.obj", "3.44345760345")</f>
        <v>3.44345760345</v>
      </c>
      <c r="R2470" s="76" t="str">
        <f>HYPERLINK(AB2 &amp; "/scissors/sn_51e8f39e13810eb3467ca2ad6571afff/rendering/15.obj", "2.86719894409")</f>
        <v>2.86719894409</v>
      </c>
      <c r="S2470" s="10" t="str">
        <f>HYPERLINK(AB2 &amp; "/scissors/sn_51e8f39e13810eb3467ca2ad6571afff/rendering/16.obj", "3.71476888657")</f>
        <v>3.71476888657</v>
      </c>
      <c r="T2470" s="23" t="str">
        <f>HYPERLINK(AB2 &amp; "/scissors/sn_51e8f39e13810eb3467ca2ad6571afff/rendering/17.obj", "3.37902212143")</f>
        <v>3.37902212143</v>
      </c>
      <c r="U2470" s="109" t="str">
        <f>HYPERLINK(AB2 &amp; "/scissors/sn_51e8f39e13810eb3467ca2ad6571afff/rendering/18.obj", "2.85045003891")</f>
        <v>2.85045003891</v>
      </c>
      <c r="V2470" s="81" t="str">
        <f>HYPERLINK(AB2 &amp; "/scissors/sn_51e8f39e13810eb3467ca2ad6571afff/rendering/19.obj", "2.74509811401")</f>
        <v>2.74509811401</v>
      </c>
      <c r="W2470" s="12" t="s">
        <v>32</v>
      </c>
      <c r="X2470" s="13">
        <v>3.5166893720626828</v>
      </c>
      <c r="Y2470" s="13">
        <v>1.473734435463381</v>
      </c>
      <c r="Z2470" s="132">
        <v>0.41906869772776512</v>
      </c>
    </row>
    <row r="2471" spans="1:26" x14ac:dyDescent="0.2">
      <c r="A2471" s="1">
        <v>2469</v>
      </c>
      <c r="B2471" s="2" t="s">
        <v>526</v>
      </c>
      <c r="C2471" s="13" t="str">
        <f>HYPERLINK(AC2 &amp; "/scissors/sn_51e8f39e13810eb3467ca2ad6571afff/rendering/00.xyz", "0.0")</f>
        <v>0.0</v>
      </c>
      <c r="D2471" s="13" t="str">
        <f>HYPERLINK(AC2 &amp; "/scissors/sn_51e8f39e13810eb3467ca2ad6571afff/rendering/01.xyz", "0.0")</f>
        <v>0.0</v>
      </c>
      <c r="E2471" s="13" t="str">
        <f>HYPERLINK(AC2 &amp; "/scissors/sn_51e8f39e13810eb3467ca2ad6571afff/rendering/02.xyz", "0.0")</f>
        <v>0.0</v>
      </c>
      <c r="F2471" s="13" t="str">
        <f>HYPERLINK(AC2 &amp; "/scissors/sn_51e8f39e13810eb3467ca2ad6571afff/rendering/03.xyz", "0.0")</f>
        <v>0.0</v>
      </c>
      <c r="G2471" s="13" t="str">
        <f>HYPERLINK(AC2 &amp; "/scissors/sn_51e8f39e13810eb3467ca2ad6571afff/rendering/04.xyz", "0.0")</f>
        <v>0.0</v>
      </c>
      <c r="H2471" s="13" t="str">
        <f>HYPERLINK(AC2 &amp; "/scissors/sn_51e8f39e13810eb3467ca2ad6571afff/rendering/05.xyz", "0.0")</f>
        <v>0.0</v>
      </c>
      <c r="I2471" s="13" t="str">
        <f>HYPERLINK(AC2 &amp; "/scissors/sn_51e8f39e13810eb3467ca2ad6571afff/rendering/06.xyz", "0.0")</f>
        <v>0.0</v>
      </c>
      <c r="J2471" s="13" t="str">
        <f>HYPERLINK(AC2 &amp; "/scissors/sn_51e8f39e13810eb3467ca2ad6571afff/rendering/07.xyz", "0.0")</f>
        <v>0.0</v>
      </c>
      <c r="K2471" s="13" t="str">
        <f>HYPERLINK(AC2 &amp; "/scissors/sn_51e8f39e13810eb3467ca2ad6571afff/rendering/08.xyz", "0.0")</f>
        <v>0.0</v>
      </c>
      <c r="L2471" s="13" t="str">
        <f>HYPERLINK(AC2 &amp; "/scissors/sn_51e8f39e13810eb3467ca2ad6571afff/rendering/09.xyz", "0.0")</f>
        <v>0.0</v>
      </c>
      <c r="M2471" s="13" t="str">
        <f>HYPERLINK(AC2 &amp; "/scissors/sn_51e8f39e13810eb3467ca2ad6571afff/rendering/10.xyz", "0.0")</f>
        <v>0.0</v>
      </c>
      <c r="N2471" s="13" t="str">
        <f>HYPERLINK(AC2 &amp; "/scissors/sn_51e8f39e13810eb3467ca2ad6571afff/rendering/11.xyz", "0.0")</f>
        <v>0.0</v>
      </c>
      <c r="O2471" s="13" t="str">
        <f>HYPERLINK(AC2 &amp; "/scissors/sn_51e8f39e13810eb3467ca2ad6571afff/rendering/12.xyz", "0.0")</f>
        <v>0.0</v>
      </c>
      <c r="P2471" s="13" t="str">
        <f>HYPERLINK(AC2 &amp; "/scissors/sn_51e8f39e13810eb3467ca2ad6571afff/rendering/13.xyz", "0.0")</f>
        <v>0.0</v>
      </c>
      <c r="Q2471" s="13" t="str">
        <f>HYPERLINK(AC2 &amp; "/scissors/sn_51e8f39e13810eb3467ca2ad6571afff/rendering/14.xyz", "0.0")</f>
        <v>0.0</v>
      </c>
      <c r="R2471" s="13" t="str">
        <f>HYPERLINK(AC2 &amp; "/scissors/sn_51e8f39e13810eb3467ca2ad6571afff/rendering/15.xyz", "0.0")</f>
        <v>0.0</v>
      </c>
      <c r="S2471" s="13" t="str">
        <f>HYPERLINK(AC2 &amp; "/scissors/sn_51e8f39e13810eb3467ca2ad6571afff/rendering/16.xyz", "0.0")</f>
        <v>0.0</v>
      </c>
      <c r="T2471" s="13" t="str">
        <f>HYPERLINK(AC2 &amp; "/scissors/sn_51e8f39e13810eb3467ca2ad6571afff/rendering/17.xyz", "0.0")</f>
        <v>0.0</v>
      </c>
      <c r="U2471" s="13" t="str">
        <f>HYPERLINK(AC2 &amp; "/scissors/sn_51e8f39e13810eb3467ca2ad6571afff/rendering/18.xyz", "0.0")</f>
        <v>0.0</v>
      </c>
      <c r="V2471" s="13" t="str">
        <f>HYPERLINK(AC2 &amp; "/scissors/sn_51e8f39e13810eb3467ca2ad6571afff/rendering/19.xyz", "0.0")</f>
        <v>0.0</v>
      </c>
      <c r="W2471" s="12" t="s">
        <v>33</v>
      </c>
      <c r="X2471" s="13">
        <v>0</v>
      </c>
      <c r="Y2471" s="13">
        <v>0</v>
      </c>
      <c r="Z2471" s="13">
        <v>0</v>
      </c>
    </row>
    <row r="2472" spans="1:26" x14ac:dyDescent="0.2">
      <c r="A2472" s="1">
        <v>2470</v>
      </c>
      <c r="B2472" s="2" t="s">
        <v>527</v>
      </c>
      <c r="C2472" s="67" t="str">
        <f>HYPERLINK(AA2 &amp; "/scissors/sn_55291bfe37806ab0c147d79beab0bc0d/rendering/00.obj", "5.38610595703")</f>
        <v>5.38610595703</v>
      </c>
      <c r="D2472" s="72" t="str">
        <f>HYPERLINK(AA2 &amp; "/scissors/sn_55291bfe37806ab0c147d79beab0bc0d/rendering/01.obj", "5.74810668945")</f>
        <v>5.74810668945</v>
      </c>
      <c r="E2472" s="47" t="str">
        <f>HYPERLINK(AA2 &amp; "/scissors/sn_55291bfe37806ab0c147d79beab0bc0d/rendering/02.obj", "5.88801391602")</f>
        <v>5.88801391602</v>
      </c>
      <c r="F2472" s="133" t="str">
        <f>HYPERLINK(AA2 &amp; "/scissors/sn_55291bfe37806ab0c147d79beab0bc0d/rendering/03.obj", "5.33422363281")</f>
        <v>5.33422363281</v>
      </c>
      <c r="G2472" s="27" t="str">
        <f>HYPERLINK(AA2 &amp; "/scissors/sn_55291bfe37806ab0c147d79beab0bc0d/rendering/04.obj", "6.37210632324")</f>
        <v>6.37210632324</v>
      </c>
      <c r="H2472" s="6" t="str">
        <f>HYPERLINK(AA2 &amp; "/scissors/sn_55291bfe37806ab0c147d79beab0bc0d/rendering/05.obj", "5.67723388672")</f>
        <v>5.67723388672</v>
      </c>
      <c r="I2472" s="17" t="str">
        <f>HYPERLINK(AA2 &amp; "/scissors/sn_55291bfe37806ab0c147d79beab0bc0d/rendering/06.obj", "5.81475036621")</f>
        <v>5.81475036621</v>
      </c>
      <c r="J2472" s="70" t="str">
        <f>HYPERLINK(AA2 &amp; "/scissors/sn_55291bfe37806ab0c147d79beab0bc0d/rendering/07.obj", "5.19439208984")</f>
        <v>5.19439208984</v>
      </c>
      <c r="K2472" s="71" t="str">
        <f>HYPERLINK(AA2 &amp; "/scissors/sn_55291bfe37806ab0c147d79beab0bc0d/rendering/08.obj", "5.25171508789")</f>
        <v>5.25171508789</v>
      </c>
      <c r="L2472" s="47" t="str">
        <f>HYPERLINK(AA2 &amp; "/scissors/sn_55291bfe37806ab0c147d79beab0bc0d/rendering/09.obj", "5.90046142578")</f>
        <v>5.90046142578</v>
      </c>
      <c r="M2472" s="68" t="str">
        <f>HYPERLINK(AA2 &amp; "/scissors/sn_55291bfe37806ab0c147d79beab0bc0d/rendering/10.obj", "5.69322265625")</f>
        <v>5.69322265625</v>
      </c>
      <c r="N2472" s="84" t="str">
        <f>HYPERLINK(AA2 &amp; "/scissors/sn_55291bfe37806ab0c147d79beab0bc0d/rendering/11.obj", "5.07936035156")</f>
        <v>5.07936035156</v>
      </c>
      <c r="O2472" s="42" t="str">
        <f>HYPERLINK(AA2 &amp; "/scissors/sn_55291bfe37806ab0c147d79beab0bc0d/rendering/12.obj", "5.12759521484")</f>
        <v>5.12759521484</v>
      </c>
      <c r="P2472" s="69" t="str">
        <f>HYPERLINK(AA2 &amp; "/scissors/sn_55291bfe37806ab0c147d79beab0bc0d/rendering/13.obj", "5.76288085938")</f>
        <v>5.76288085938</v>
      </c>
      <c r="Q2472" s="66" t="str">
        <f>HYPERLINK(AA2 &amp; "/scissors/sn_55291bfe37806ab0c147d79beab0bc0d/rendering/14.obj", "4.99087463379")</f>
        <v>4.99087463379</v>
      </c>
      <c r="R2472" s="60" t="str">
        <f>HYPERLINK(AA2 &amp; "/scissors/sn_55291bfe37806ab0c147d79beab0bc0d/rendering/15.obj", "6.25583251953")</f>
        <v>6.25583251953</v>
      </c>
      <c r="S2472" s="186" t="str">
        <f>HYPERLINK(AA2 &amp; "/scissors/sn_55291bfe37806ab0c147d79beab0bc0d/rendering/16.obj", "9.5239263916")</f>
        <v>9.5239263916</v>
      </c>
      <c r="T2472" s="66" t="str">
        <f>HYPERLINK(AA2 &amp; "/scissors/sn_55291bfe37806ab0c147d79beab0bc0d/rendering/17.obj", "4.98720672607")</f>
        <v>4.98720672607</v>
      </c>
      <c r="U2472" s="221" t="str">
        <f>HYPERLINK(AA2 &amp; "/scissors/sn_55291bfe37806ab0c147d79beab0bc0d/rendering/18.obj", "9.2473059082")</f>
        <v>9.2473059082</v>
      </c>
      <c r="V2472" s="60" t="str">
        <f>HYPERLINK(AA2 &amp; "/scissors/sn_55291bfe37806ab0c147d79beab0bc0d/rendering/19.obj", "5.6399822998")</f>
        <v>5.6399822998</v>
      </c>
      <c r="W2472" s="12" t="s">
        <v>29</v>
      </c>
      <c r="X2472" s="13">
        <v>5.9437648468017583</v>
      </c>
      <c r="Y2472" s="13">
        <v>1.210162666844802</v>
      </c>
      <c r="Z2472" s="88">
        <v>0.20360204315552141</v>
      </c>
    </row>
    <row r="2473" spans="1:26" x14ac:dyDescent="0.2">
      <c r="A2473" s="1">
        <v>2471</v>
      </c>
      <c r="B2473" s="2" t="s">
        <v>527</v>
      </c>
      <c r="C2473" s="116" t="str">
        <f>HYPERLINK(AA2 &amp; "/scissors/sn_55291bfe37806ab0c147d79beab0bc0d/rendering/00.obj", "3.49735832214")</f>
        <v>3.49735832214</v>
      </c>
      <c r="D2473" s="38" t="str">
        <f>HYPERLINK(AA2 &amp; "/scissors/sn_55291bfe37806ab0c147d79beab0bc0d/rendering/01.obj", "6.77608251572")</f>
        <v>6.77608251572</v>
      </c>
      <c r="E2473" s="28" t="str">
        <f>HYPERLINK(AA2 &amp; "/scissors/sn_55291bfe37806ab0c147d79beab0bc0d/rendering/02.obj", "5.52482318878")</f>
        <v>5.52482318878</v>
      </c>
      <c r="F2473" s="181" t="str">
        <f>HYPERLINK(AA2 &amp; "/scissors/sn_55291bfe37806ab0c147d79beab0bc0d/rendering/03.obj", "3.46228456497")</f>
        <v>3.46228456497</v>
      </c>
      <c r="G2473" s="75" t="str">
        <f>HYPERLINK(AA2 &amp; "/scissors/sn_55291bfe37806ab0c147d79beab0bc0d/rendering/04.obj", "7.58507680893")</f>
        <v>7.58507680893</v>
      </c>
      <c r="H2473" s="60" t="str">
        <f>HYPERLINK(AA2 &amp; "/scissors/sn_55291bfe37806ab0c147d79beab0bc0d/rendering/05.obj", "6.53020429611")</f>
        <v>6.53020429611</v>
      </c>
      <c r="I2473" s="24" t="str">
        <f>HYPERLINK(AA2 &amp; "/scissors/sn_55291bfe37806ab0c147d79beab0bc0d/rendering/06.obj", "7.25079011917")</f>
        <v>7.25079011917</v>
      </c>
      <c r="J2473" s="23" t="str">
        <f>HYPERLINK(AA2 &amp; "/scissors/sn_55291bfe37806ab0c147d79beab0bc0d/rendering/07.obj", "6.4463391304")</f>
        <v>6.4463391304</v>
      </c>
      <c r="K2473" s="104" t="str">
        <f>HYPERLINK(AA2 &amp; "/scissors/sn_55291bfe37806ab0c147d79beab0bc0d/rendering/08.obj", "3.25631976128")</f>
        <v>3.25631976128</v>
      </c>
      <c r="L2473" s="40" t="str">
        <f>HYPERLINK(AA2 &amp; "/scissors/sn_55291bfe37806ab0c147d79beab0bc0d/rendering/09.obj", "5.14654827118")</f>
        <v>5.14654827118</v>
      </c>
      <c r="M2473" s="113" t="str">
        <f>HYPERLINK(AA2 &amp; "/scissors/sn_55291bfe37806ab0c147d79beab0bc0d/rendering/10.obj", "4.49741029739")</f>
        <v>4.49741029739</v>
      </c>
      <c r="N2473" s="196" t="str">
        <f>HYPERLINK(AA2 &amp; "/scissors/sn_55291bfe37806ab0c147d79beab0bc0d/rendering/11.obj", "3.75263857841")</f>
        <v>3.75263857841</v>
      </c>
      <c r="O2473" s="163" t="str">
        <f>HYPERLINK(AA2 &amp; "/scissors/sn_55291bfe37806ab0c147d79beab0bc0d/rendering/12.obj", "3.47020101547")</f>
        <v>3.47020101547</v>
      </c>
      <c r="P2473" s="65" t="str">
        <f>HYPERLINK(AA2 &amp; "/scissors/sn_55291bfe37806ab0c147d79beab0bc0d/rendering/13.obj", "7.03524637222")</f>
        <v>7.03524637222</v>
      </c>
      <c r="Q2473" s="15" t="str">
        <f>HYPERLINK(AA2 &amp; "/scissors/sn_55291bfe37806ab0c147d79beab0bc0d/rendering/14.obj", "3.07042169571")</f>
        <v>3.07042169571</v>
      </c>
      <c r="R2473" s="44" t="str">
        <f>HYPERLINK(AA2 &amp; "/scissors/sn_55291bfe37806ab0c147d79beab0bc0d/rendering/15.obj", "7.43359041214")</f>
        <v>7.43359041214</v>
      </c>
      <c r="S2473" s="20" t="str">
        <f>HYPERLINK(AA2 &amp; "/scissors/sn_55291bfe37806ab0c147d79beab0bc0d/rendering/16.obj", "20.1712036133")</f>
        <v>20.1712036133</v>
      </c>
      <c r="T2473" s="200" t="str">
        <f>HYPERLINK(AA2 &amp; "/scissors/sn_55291bfe37806ab0c147d79beab0bc0d/rendering/17.obj", "3.24355840683")</f>
        <v>3.24355840683</v>
      </c>
      <c r="U2473" s="20" t="str">
        <f>HYPERLINK(AA2 &amp; "/scissors/sn_55291bfe37806ab0c147d79beab0bc0d/rendering/18.obj", "11.6797075272")</f>
        <v>11.6797075272</v>
      </c>
      <c r="V2473" s="14" t="str">
        <f>HYPERLINK(AA2 &amp; "/scissors/sn_55291bfe37806ab0c147d79beab0bc0d/rendering/19.obj", "4.40890312195")</f>
        <v>4.40890312195</v>
      </c>
      <c r="W2473" s="12" t="s">
        <v>30</v>
      </c>
      <c r="X2473" s="13">
        <v>6.2119354009628296</v>
      </c>
      <c r="Y2473" s="13">
        <v>3.8345515196194411</v>
      </c>
      <c r="Z2473" s="214">
        <v>0.61728773274511162</v>
      </c>
    </row>
    <row r="2474" spans="1:26" x14ac:dyDescent="0.2">
      <c r="A2474" s="1">
        <v>2472</v>
      </c>
      <c r="B2474" s="2" t="s">
        <v>527</v>
      </c>
      <c r="C2474" s="41" t="str">
        <f>HYPERLINK(AB2 &amp; "/scissors/sn_55291bfe37806ab0c147d79beab0bc0d/rendering/00.obj", "5.56773254395")</f>
        <v>5.56773254395</v>
      </c>
      <c r="D2474" s="26" t="str">
        <f>HYPERLINK(AB2 &amp; "/scissors/sn_55291bfe37806ab0c147d79beab0bc0d/rendering/01.obj", "6.34792602539")</f>
        <v>6.34792602539</v>
      </c>
      <c r="E2474" s="10" t="str">
        <f>HYPERLINK(AB2 &amp; "/scissors/sn_55291bfe37806ab0c147d79beab0bc0d/rendering/02.obj", "6.28982910156")</f>
        <v>6.28982910156</v>
      </c>
      <c r="F2474" s="72" t="str">
        <f>HYPERLINK(AB2 &amp; "/scissors/sn_55291bfe37806ab0c147d79beab0bc0d/rendering/03.obj", "5.78022338867")</f>
        <v>5.78022338867</v>
      </c>
      <c r="G2474" s="26" t="str">
        <f>HYPERLINK(AB2 &amp; "/scissors/sn_55291bfe37806ab0c147d79beab0bc0d/rendering/04.obj", "6.35915710449")</f>
        <v>6.35915710449</v>
      </c>
      <c r="H2474" s="5" t="str">
        <f>HYPERLINK(AB2 &amp; "/scissors/sn_55291bfe37806ab0c147d79beab0bc0d/rendering/05.obj", "6.43272949219")</f>
        <v>6.43272949219</v>
      </c>
      <c r="I2474" s="35" t="str">
        <f>HYPERLINK(AB2 &amp; "/scissors/sn_55291bfe37806ab0c147d79beab0bc0d/rendering/06.obj", "6.30884155273")</f>
        <v>6.30884155273</v>
      </c>
      <c r="J2474" s="120" t="str">
        <f>HYPERLINK(AB2 &amp; "/scissors/sn_55291bfe37806ab0c147d79beab0bc0d/rendering/07.obj", "4.70448730469")</f>
        <v>4.70448730469</v>
      </c>
      <c r="K2474" s="27" t="str">
        <f>HYPERLINK(AB2 &amp; "/scissors/sn_55291bfe37806ab0c147d79beab0bc0d/rendering/08.obj", "6.39880004883")</f>
        <v>6.39880004883</v>
      </c>
      <c r="L2474" s="41" t="str">
        <f>HYPERLINK(AB2 &amp; "/scissors/sn_55291bfe37806ab0c147d79beab0bc0d/rendering/09.obj", "6.37562316895")</f>
        <v>6.37562316895</v>
      </c>
      <c r="M2474" s="6" t="str">
        <f>HYPERLINK(AB2 &amp; "/scissors/sn_55291bfe37806ab0c147d79beab0bc0d/rendering/10.obj", "6.2397265625")</f>
        <v>6.2397265625</v>
      </c>
      <c r="N2474" s="72" t="str">
        <f>HYPERLINK(AB2 &amp; "/scissors/sn_55291bfe37806ab0c147d79beab0bc0d/rendering/11.obj", "6.17487609863")</f>
        <v>6.17487609863</v>
      </c>
      <c r="O2474" s="73" t="str">
        <f>HYPERLINK(AB2 &amp; "/scissors/sn_55291bfe37806ab0c147d79beab0bc0d/rendering/12.obj", "6.17765075684")</f>
        <v>6.17765075684</v>
      </c>
      <c r="P2474" s="39" t="str">
        <f>HYPERLINK(AB2 &amp; "/scissors/sn_55291bfe37806ab0c147d79beab0bc0d/rendering/13.obj", "5.45361083984")</f>
        <v>5.45361083984</v>
      </c>
      <c r="Q2474" s="69" t="str">
        <f>HYPERLINK(AB2 &amp; "/scissors/sn_55291bfe37806ab0c147d79beab0bc0d/rendering/14.obj", "6.14598510742")</f>
        <v>6.14598510742</v>
      </c>
      <c r="R2474" s="41" t="str">
        <f>HYPERLINK(AB2 &amp; "/scissors/sn_55291bfe37806ab0c147d79beab0bc0d/rendering/15.obj", "5.56663024902")</f>
        <v>5.56663024902</v>
      </c>
      <c r="S2474" s="78" t="str">
        <f>HYPERLINK(AB2 &amp; "/scissors/sn_55291bfe37806ab0c147d79beab0bc0d/rendering/16.obj", "5.60639282227")</f>
        <v>5.60639282227</v>
      </c>
      <c r="T2474" s="13" t="str">
        <f>HYPERLINK(AB2 &amp; "/scissors/sn_55291bfe37806ab0c147d79beab0bc0d/rendering/17.obj", "5.97272583008")</f>
        <v>5.97272583008</v>
      </c>
      <c r="U2474" s="28" t="str">
        <f>HYPERLINK(AB2 &amp; "/scissors/sn_55291bfe37806ab0c147d79beab0bc0d/rendering/18.obj", "5.31032531738")</f>
        <v>5.31032531738</v>
      </c>
      <c r="V2474" s="73" t="str">
        <f>HYPERLINK(AB2 &amp; "/scissors/sn_55291bfe37806ab0c147d79beab0bc0d/rendering/19.obj", "6.18074890137")</f>
        <v>6.18074890137</v>
      </c>
      <c r="W2474" s="12" t="s">
        <v>31</v>
      </c>
      <c r="X2474" s="13">
        <v>5.9697011108398419</v>
      </c>
      <c r="Y2474" s="13">
        <v>0.45294774612926181</v>
      </c>
      <c r="Z2474" s="5">
        <v>7.5874442910851075E-2</v>
      </c>
    </row>
    <row r="2475" spans="1:26" x14ac:dyDescent="0.2">
      <c r="A2475" s="1">
        <v>2473</v>
      </c>
      <c r="B2475" s="2" t="s">
        <v>527</v>
      </c>
      <c r="C2475" s="11" t="str">
        <f>HYPERLINK(AB2 &amp; "/scissors/sn_55291bfe37806ab0c147d79beab0bc0d/rendering/00.obj", "2.53238868713")</f>
        <v>2.53238868713</v>
      </c>
      <c r="D2475" s="51" t="str">
        <f>HYPERLINK(AB2 &amp; "/scissors/sn_55291bfe37806ab0c147d79beab0bc0d/rendering/01.obj", "3.52695775032")</f>
        <v>3.52695775032</v>
      </c>
      <c r="E2475" s="38" t="str">
        <f>HYPERLINK(AB2 &amp; "/scissors/sn_55291bfe37806ab0c147d79beab0bc0d/rendering/02.obj", "2.97408485413")</f>
        <v>2.97408485413</v>
      </c>
      <c r="F2475" s="182" t="str">
        <f>HYPERLINK(AB2 &amp; "/scissors/sn_55291bfe37806ab0c147d79beab0bc0d/rendering/03.obj", "2.16677379608")</f>
        <v>2.16677379608</v>
      </c>
      <c r="G2475" s="82" t="str">
        <f>HYPERLINK(AB2 &amp; "/scissors/sn_55291bfe37806ab0c147d79beab0bc0d/rendering/04.obj", "3.92651152611")</f>
        <v>3.92651152611</v>
      </c>
      <c r="H2475" s="90" t="str">
        <f>HYPERLINK(AB2 &amp; "/scissors/sn_55291bfe37806ab0c147d79beab0bc0d/rendering/05.obj", "3.57000613213")</f>
        <v>3.57000613213</v>
      </c>
      <c r="I2475" s="69" t="str">
        <f>HYPERLINK(AB2 &amp; "/scissors/sn_55291bfe37806ab0c147d79beab0bc0d/rendering/06.obj", "3.3582367897")</f>
        <v>3.3582367897</v>
      </c>
      <c r="J2475" s="34" t="str">
        <f>HYPERLINK(AB2 &amp; "/scissors/sn_55291bfe37806ab0c147d79beab0bc0d/rendering/07.obj", "3.10583806038")</f>
        <v>3.10583806038</v>
      </c>
      <c r="K2475" s="36" t="str">
        <f>HYPERLINK(AB2 &amp; "/scissors/sn_55291bfe37806ab0c147d79beab0bc0d/rendering/08.obj", "2.55772018433")</f>
        <v>2.55772018433</v>
      </c>
      <c r="L2475" s="19" t="str">
        <f>HYPERLINK(AB2 &amp; "/scissors/sn_55291bfe37806ab0c147d79beab0bc0d/rendering/09.obj", "4.11479663849")</f>
        <v>4.11479663849</v>
      </c>
      <c r="M2475" s="133" t="str">
        <f>HYPERLINK(AB2 &amp; "/scissors/sn_55291bfe37806ab0c147d79beab0bc0d/rendering/10.obj", "2.92919564247")</f>
        <v>2.92919564247</v>
      </c>
      <c r="N2475" s="23" t="str">
        <f>HYPERLINK(AB2 &amp; "/scissors/sn_55291bfe37806ab0c147d79beab0bc0d/rendering/11.obj", "3.39154744148")</f>
        <v>3.39154744148</v>
      </c>
      <c r="O2475" s="109" t="str">
        <f>HYPERLINK(AB2 &amp; "/scissors/sn_55291bfe37806ab0c147d79beab0bc0d/rendering/12.obj", "2.64685463905")</f>
        <v>2.64685463905</v>
      </c>
      <c r="P2475" s="5" t="str">
        <f>HYPERLINK(AB2 &amp; "/scissors/sn_55291bfe37806ab0c147d79beab0bc0d/rendering/13.obj", "3.00737571716")</f>
        <v>3.00737571716</v>
      </c>
      <c r="Q2475" s="74" t="str">
        <f>HYPERLINK(AB2 &amp; "/scissors/sn_55291bfe37806ab0c147d79beab0bc0d/rendering/14.obj", "3.30598425865")</f>
        <v>3.30598425865</v>
      </c>
      <c r="R2475" s="75" t="str">
        <f>HYPERLINK(AB2 &amp; "/scissors/sn_55291bfe37806ab0c147d79beab0bc0d/rendering/15.obj", "2.5351588726")</f>
        <v>2.5351588726</v>
      </c>
      <c r="S2475" s="20" t="str">
        <f>HYPERLINK(AB2 &amp; "/scissors/sn_55291bfe37806ab0c147d79beab0bc0d/rendering/16.obj", "6.77500247955")</f>
        <v>6.77500247955</v>
      </c>
      <c r="T2475" s="76" t="str">
        <f>HYPERLINK(AB2 &amp; "/scissors/sn_55291bfe37806ab0c147d79beab0bc0d/rendering/17.obj", "2.66278743744")</f>
        <v>2.66278743744</v>
      </c>
      <c r="U2475" s="33" t="str">
        <f>HYPERLINK(AB2 &amp; "/scissors/sn_55291bfe37806ab0c147d79beab0bc0d/rendering/18.obj", "3.61165261269")</f>
        <v>3.61165261269</v>
      </c>
      <c r="V2475" s="87" t="str">
        <f>HYPERLINK(AB2 &amp; "/scissors/sn_55291bfe37806ab0c147d79beab0bc0d/rendering/19.obj", "2.52104830742")</f>
        <v>2.52104830742</v>
      </c>
      <c r="W2475" s="12" t="s">
        <v>32</v>
      </c>
      <c r="X2475" s="13">
        <v>3.260996091365814</v>
      </c>
      <c r="Y2475" s="13">
        <v>0.95264930610917897</v>
      </c>
      <c r="Z2475" s="118">
        <v>0.29213445199505822</v>
      </c>
    </row>
    <row r="2476" spans="1:26" x14ac:dyDescent="0.2">
      <c r="A2476" s="1">
        <v>2474</v>
      </c>
      <c r="B2476" s="2" t="s">
        <v>527</v>
      </c>
      <c r="C2476" s="13" t="str">
        <f>HYPERLINK(AC2 &amp; "/scissors/sn_55291bfe37806ab0c147d79beab0bc0d/rendering/00.xyz", "0.0")</f>
        <v>0.0</v>
      </c>
      <c r="D2476" s="13" t="str">
        <f>HYPERLINK(AC2 &amp; "/scissors/sn_55291bfe37806ab0c147d79beab0bc0d/rendering/01.xyz", "0.0")</f>
        <v>0.0</v>
      </c>
      <c r="E2476" s="13" t="str">
        <f>HYPERLINK(AC2 &amp; "/scissors/sn_55291bfe37806ab0c147d79beab0bc0d/rendering/02.xyz", "0.0")</f>
        <v>0.0</v>
      </c>
      <c r="F2476" s="13" t="str">
        <f>HYPERLINK(AC2 &amp; "/scissors/sn_55291bfe37806ab0c147d79beab0bc0d/rendering/03.xyz", "0.0")</f>
        <v>0.0</v>
      </c>
      <c r="G2476" s="13" t="str">
        <f>HYPERLINK(AC2 &amp; "/scissors/sn_55291bfe37806ab0c147d79beab0bc0d/rendering/04.xyz", "0.0")</f>
        <v>0.0</v>
      </c>
      <c r="H2476" s="13" t="str">
        <f>HYPERLINK(AC2 &amp; "/scissors/sn_55291bfe37806ab0c147d79beab0bc0d/rendering/05.xyz", "0.0")</f>
        <v>0.0</v>
      </c>
      <c r="I2476" s="13" t="str">
        <f>HYPERLINK(AC2 &amp; "/scissors/sn_55291bfe37806ab0c147d79beab0bc0d/rendering/06.xyz", "0.0")</f>
        <v>0.0</v>
      </c>
      <c r="J2476" s="13" t="str">
        <f>HYPERLINK(AC2 &amp; "/scissors/sn_55291bfe37806ab0c147d79beab0bc0d/rendering/07.xyz", "0.0")</f>
        <v>0.0</v>
      </c>
      <c r="K2476" s="13" t="str">
        <f>HYPERLINK(AC2 &amp; "/scissors/sn_55291bfe37806ab0c147d79beab0bc0d/rendering/08.xyz", "0.0")</f>
        <v>0.0</v>
      </c>
      <c r="L2476" s="13" t="str">
        <f>HYPERLINK(AC2 &amp; "/scissors/sn_55291bfe37806ab0c147d79beab0bc0d/rendering/09.xyz", "0.0")</f>
        <v>0.0</v>
      </c>
      <c r="M2476" s="13" t="str">
        <f>HYPERLINK(AC2 &amp; "/scissors/sn_55291bfe37806ab0c147d79beab0bc0d/rendering/10.xyz", "0.0")</f>
        <v>0.0</v>
      </c>
      <c r="N2476" s="13" t="str">
        <f>HYPERLINK(AC2 &amp; "/scissors/sn_55291bfe37806ab0c147d79beab0bc0d/rendering/11.xyz", "0.0")</f>
        <v>0.0</v>
      </c>
      <c r="O2476" s="13" t="str">
        <f>HYPERLINK(AC2 &amp; "/scissors/sn_55291bfe37806ab0c147d79beab0bc0d/rendering/12.xyz", "0.0")</f>
        <v>0.0</v>
      </c>
      <c r="P2476" s="13" t="str">
        <f>HYPERLINK(AC2 &amp; "/scissors/sn_55291bfe37806ab0c147d79beab0bc0d/rendering/13.xyz", "0.0")</f>
        <v>0.0</v>
      </c>
      <c r="Q2476" s="13" t="str">
        <f>HYPERLINK(AC2 &amp; "/scissors/sn_55291bfe37806ab0c147d79beab0bc0d/rendering/14.xyz", "0.0")</f>
        <v>0.0</v>
      </c>
      <c r="R2476" s="13" t="str">
        <f>HYPERLINK(AC2 &amp; "/scissors/sn_55291bfe37806ab0c147d79beab0bc0d/rendering/15.xyz", "0.0")</f>
        <v>0.0</v>
      </c>
      <c r="S2476" s="13" t="str">
        <f>HYPERLINK(AC2 &amp; "/scissors/sn_55291bfe37806ab0c147d79beab0bc0d/rendering/16.xyz", "0.0")</f>
        <v>0.0</v>
      </c>
      <c r="T2476" s="13" t="str">
        <f>HYPERLINK(AC2 &amp; "/scissors/sn_55291bfe37806ab0c147d79beab0bc0d/rendering/17.xyz", "0.0")</f>
        <v>0.0</v>
      </c>
      <c r="U2476" s="13" t="str">
        <f>HYPERLINK(AC2 &amp; "/scissors/sn_55291bfe37806ab0c147d79beab0bc0d/rendering/18.xyz", "0.0")</f>
        <v>0.0</v>
      </c>
      <c r="V2476" s="13" t="str">
        <f>HYPERLINK(AC2 &amp; "/scissors/sn_55291bfe37806ab0c147d79beab0bc0d/rendering/19.xyz", "0.0")</f>
        <v>0.0</v>
      </c>
      <c r="W2476" s="12" t="s">
        <v>33</v>
      </c>
      <c r="X2476" s="13">
        <v>0</v>
      </c>
      <c r="Y2476" s="13">
        <v>0</v>
      </c>
      <c r="Z2476" s="13">
        <v>0</v>
      </c>
    </row>
    <row r="2477" spans="1:26" x14ac:dyDescent="0.2">
      <c r="A2477" s="1">
        <v>2475</v>
      </c>
      <c r="B2477" s="2" t="s">
        <v>528</v>
      </c>
      <c r="C2477" s="90" t="str">
        <f>HYPERLINK(AA2 &amp; "/scissors/sn_60ab6f3ec6a2241f64dcee9870d0c27/rendering/00.obj", "5.20120544434")</f>
        <v>5.20120544434</v>
      </c>
      <c r="D2477" s="163" t="str">
        <f>HYPERLINK(AA2 &amp; "/scissors/sn_60ab6f3ec6a2241f64dcee9870d0c27/rendering/01.obj", "2.6502432251")</f>
        <v>2.6502432251</v>
      </c>
      <c r="E2477" s="166" t="str">
        <f>HYPERLINK(AA2 &amp; "/scissors/sn_60ab6f3ec6a2241f64dcee9870d0c27/rendering/02.obj", "3.37647155762")</f>
        <v>3.37647155762</v>
      </c>
      <c r="F2477" s="111" t="str">
        <f>HYPERLINK(AA2 &amp; "/scissors/sn_60ab6f3ec6a2241f64dcee9870d0c27/rendering/03.obj", "2.74569854736")</f>
        <v>2.74569854736</v>
      </c>
      <c r="G2477" s="117" t="str">
        <f>HYPERLINK(AA2 &amp; "/scissors/sn_60ab6f3ec6a2241f64dcee9870d0c27/rendering/04.obj", "3.90566589355")</f>
        <v>3.90566589355</v>
      </c>
      <c r="H2477" s="51" t="str">
        <f>HYPERLINK(AA2 &amp; "/scissors/sn_60ab6f3ec6a2241f64dcee9870d0c27/rendering/05.obj", "4.36701904297")</f>
        <v>4.36701904297</v>
      </c>
      <c r="I2477" s="82" t="str">
        <f>HYPERLINK(AA2 &amp; "/scissors/sn_60ab6f3ec6a2241f64dcee9870d0c27/rendering/06.obj", "3.75972106934")</f>
        <v>3.75972106934</v>
      </c>
      <c r="J2477" s="231" t="str">
        <f>HYPERLINK(AA2 &amp; "/scissors/sn_60ab6f3ec6a2241f64dcee9870d0c27/rendering/07.obj", "7.47169128418")</f>
        <v>7.47169128418</v>
      </c>
      <c r="K2477" s="86" t="str">
        <f>HYPERLINK(AA2 &amp; "/scissors/sn_60ab6f3ec6a2241f64dcee9870d0c27/rendering/08.obj", "3.46349243164")</f>
        <v>3.46349243164</v>
      </c>
      <c r="L2477" s="5" t="str">
        <f>HYPERLINK(AA2 &amp; "/scissors/sn_60ab6f3ec6a2241f64dcee9870d0c27/rendering/09.obj", "4.37235900879")</f>
        <v>4.37235900879</v>
      </c>
      <c r="M2477" s="106" t="str">
        <f>HYPERLINK(AA2 &amp; "/scissors/sn_60ab6f3ec6a2241f64dcee9870d0c27/rendering/10.obj", "4.20203094482")</f>
        <v>4.20203094482</v>
      </c>
      <c r="N2477" s="82" t="str">
        <f>HYPERLINK(AA2 &amp; "/scissors/sn_60ab6f3ec6a2241f64dcee9870d0c27/rendering/11.obj", "3.76359130859")</f>
        <v>3.76359130859</v>
      </c>
      <c r="O2477" s="19" t="str">
        <f>HYPERLINK(AA2 &amp; "/scissors/sn_60ab6f3ec6a2241f64dcee9870d0c27/rendering/12.obj", "3.50506408691")</f>
        <v>3.50506408691</v>
      </c>
      <c r="P2477" s="81" t="str">
        <f>HYPERLINK(AA2 &amp; "/scissors/sn_60ab6f3ec6a2241f64dcee9870d0c27/rendering/13.obj", "3.71420837402")</f>
        <v>3.71420837402</v>
      </c>
      <c r="Q2477" s="59" t="str">
        <f>HYPERLINK(AA2 &amp; "/scissors/sn_60ab6f3ec6a2241f64dcee9870d0c27/rendering/14.obj", "3.6094644165")</f>
        <v>3.6094644165</v>
      </c>
      <c r="R2477" s="211" t="str">
        <f>HYPERLINK(AA2 &amp; "/scissors/sn_60ab6f3ec6a2241f64dcee9870d0c27/rendering/15.obj", "8.38301879883")</f>
        <v>8.38301879883</v>
      </c>
      <c r="S2477" s="79" t="str">
        <f>HYPERLINK(AA2 &amp; "/scissors/sn_60ab6f3ec6a2241f64dcee9870d0c27/rendering/16.obj", "3.99424438477")</f>
        <v>3.99424438477</v>
      </c>
      <c r="T2477" s="20" t="str">
        <f>HYPERLINK(AA2 &amp; "/scissors/sn_60ab6f3ec6a2241f64dcee9870d0c27/rendering/17.obj", "14.379987793")</f>
        <v>14.379987793</v>
      </c>
      <c r="U2477" s="74" t="str">
        <f>HYPERLINK(AA2 &amp; "/scissors/sn_60ab6f3ec6a2241f64dcee9870d0c27/rendering/18.obj", "4.67253051758")</f>
        <v>4.67253051758</v>
      </c>
      <c r="V2477" s="56" t="str">
        <f>HYPERLINK(AA2 &amp; "/scissors/sn_60ab6f3ec6a2241f64dcee9870d0c27/rendering/19.obj", "3.27109985352")</f>
        <v>3.27109985352</v>
      </c>
      <c r="W2477" s="12" t="s">
        <v>29</v>
      </c>
      <c r="X2477" s="13">
        <v>4.7404403991699224</v>
      </c>
      <c r="Y2477" s="13">
        <v>2.602467234341026</v>
      </c>
      <c r="Z2477" s="195">
        <v>0.54899271274389028</v>
      </c>
    </row>
    <row r="2478" spans="1:26" x14ac:dyDescent="0.2">
      <c r="A2478" s="1">
        <v>2476</v>
      </c>
      <c r="B2478" s="2" t="s">
        <v>528</v>
      </c>
      <c r="C2478" s="96" t="str">
        <f>HYPERLINK(AA2 &amp; "/scissors/sn_60ab6f3ec6a2241f64dcee9870d0c27/rendering/00.obj", "2.96071243286")</f>
        <v>2.96071243286</v>
      </c>
      <c r="D2478" s="216" t="str">
        <f>HYPERLINK(AA2 &amp; "/scissors/sn_60ab6f3ec6a2241f64dcee9870d0c27/rendering/01.obj", "1.61275112629")</f>
        <v>1.61275112629</v>
      </c>
      <c r="E2478" s="233" t="str">
        <f>HYPERLINK(AA2 &amp; "/scissors/sn_60ab6f3ec6a2241f64dcee9870d0c27/rendering/02.obj", "1.3843691349")</f>
        <v>1.3843691349</v>
      </c>
      <c r="F2478" s="173" t="str">
        <f>HYPERLINK(AA2 &amp; "/scissors/sn_60ab6f3ec6a2241f64dcee9870d0c27/rendering/03.obj", "1.44870221615")</f>
        <v>1.44870221615</v>
      </c>
      <c r="G2478" s="250" t="str">
        <f>HYPERLINK(AA2 &amp; "/scissors/sn_60ab6f3ec6a2241f64dcee9870d0c27/rendering/04.obj", "1.46058368683")</f>
        <v>1.46058368683</v>
      </c>
      <c r="H2478" s="181" t="str">
        <f>HYPERLINK(AA2 &amp; "/scissors/sn_60ab6f3ec6a2241f64dcee9870d0c27/rendering/05.obj", "2.5794095993")</f>
        <v>2.5794095993</v>
      </c>
      <c r="I2478" s="217" t="str">
        <f>HYPERLINK(AA2 &amp; "/scissors/sn_60ab6f3ec6a2241f64dcee9870d0c27/rendering/06.obj", "1.70402693748")</f>
        <v>1.70402693748</v>
      </c>
      <c r="J2478" s="20" t="str">
        <f>HYPERLINK(AA2 &amp; "/scissors/sn_60ab6f3ec6a2241f64dcee9870d0c27/rendering/07.obj", "11.1802549362")</f>
        <v>11.1802549362</v>
      </c>
      <c r="K2478" s="188" t="str">
        <f>HYPERLINK(AA2 &amp; "/scissors/sn_60ab6f3ec6a2241f64dcee9870d0c27/rendering/08.obj", "1.30630850792")</f>
        <v>1.30630850792</v>
      </c>
      <c r="L2478" s="256" t="str">
        <f>HYPERLINK(AA2 &amp; "/scissors/sn_60ab6f3ec6a2241f64dcee9870d0c27/rendering/09.obj", "1.76417124271")</f>
        <v>1.76417124271</v>
      </c>
      <c r="M2478" s="163" t="str">
        <f>HYPERLINK(AA2 &amp; "/scissors/sn_60ab6f3ec6a2241f64dcee9870d0c27/rendering/10.obj", "2.5942940712")</f>
        <v>2.5942940712</v>
      </c>
      <c r="N2478" s="250" t="str">
        <f>HYPERLINK(AA2 &amp; "/scissors/sn_60ab6f3ec6a2241f64dcee9870d0c27/rendering/11.obj", "1.45937657356")</f>
        <v>1.45937657356</v>
      </c>
      <c r="O2478" s="115" t="str">
        <f>HYPERLINK(AA2 &amp; "/scissors/sn_60ab6f3ec6a2241f64dcee9870d0c27/rendering/12.obj", "1.67909669876")</f>
        <v>1.67909669876</v>
      </c>
      <c r="P2478" s="241" t="str">
        <f>HYPERLINK(AA2 &amp; "/scissors/sn_60ab6f3ec6a2241f64dcee9870d0c27/rendering/13.obj", "1.66795039177")</f>
        <v>1.66795039177</v>
      </c>
      <c r="Q2478" s="112" t="str">
        <f>HYPERLINK(AA2 &amp; "/scissors/sn_60ab6f3ec6a2241f64dcee9870d0c27/rendering/14.obj", "1.88718402386")</f>
        <v>1.88718402386</v>
      </c>
      <c r="R2478" s="20" t="str">
        <f>HYPERLINK(AA2 &amp; "/scissors/sn_60ab6f3ec6a2241f64dcee9870d0c27/rendering/15.obj", "16.8865737915")</f>
        <v>16.8865737915</v>
      </c>
      <c r="S2478" s="22" t="str">
        <f>HYPERLINK(AA2 &amp; "/scissors/sn_60ab6f3ec6a2241f64dcee9870d0c27/rendering/16.obj", "2.22215604782")</f>
        <v>2.22215604782</v>
      </c>
      <c r="T2478" s="20" t="str">
        <f>HYPERLINK(AA2 &amp; "/scissors/sn_60ab6f3ec6a2241f64dcee9870d0c27/rendering/17.obj", "32.0879936218")</f>
        <v>32.0879936218</v>
      </c>
      <c r="U2478" s="119" t="str">
        <f>HYPERLINK(AA2 &amp; "/scissors/sn_60ab6f3ec6a2241f64dcee9870d0c27/rendering/18.obj", "3.40757250786")</f>
        <v>3.40757250786</v>
      </c>
      <c r="V2478" s="250" t="str">
        <f>HYPERLINK(AA2 &amp; "/scissors/sn_60ab6f3ec6a2241f64dcee9870d0c27/rendering/19.obj", "1.46400463581")</f>
        <v>1.46400463581</v>
      </c>
      <c r="W2478" s="12" t="s">
        <v>30</v>
      </c>
      <c r="X2478" s="13">
        <v>4.6378746092319476</v>
      </c>
      <c r="Y2478" s="13">
        <v>7.3423537352328383</v>
      </c>
      <c r="Z2478" s="20">
        <v>1.5831289877086101</v>
      </c>
    </row>
    <row r="2479" spans="1:26" x14ac:dyDescent="0.2">
      <c r="A2479" s="1">
        <v>2477</v>
      </c>
      <c r="B2479" s="2" t="s">
        <v>528</v>
      </c>
      <c r="C2479" s="60" t="str">
        <f>HYPERLINK(AB2 &amp; "/scissors/sn_60ab6f3ec6a2241f64dcee9870d0c27/rendering/00.obj", "4.02095031738")</f>
        <v>4.02095031738</v>
      </c>
      <c r="D2479" s="51" t="str">
        <f>HYPERLINK(AB2 &amp; "/scissors/sn_60ab6f3ec6a2241f64dcee9870d0c27/rendering/01.obj", "3.9048348999")</f>
        <v>3.9048348999</v>
      </c>
      <c r="E2479" s="33" t="str">
        <f>HYPERLINK(AB2 &amp; "/scissors/sn_60ab6f3ec6a2241f64dcee9870d0c27/rendering/02.obj", "4.70487030029")</f>
        <v>4.70487030029</v>
      </c>
      <c r="F2479" s="17" t="str">
        <f>HYPERLINK(AB2 &amp; "/scissors/sn_60ab6f3ec6a2241f64dcee9870d0c27/rendering/03.obj", "4.32670898438")</f>
        <v>4.32670898438</v>
      </c>
      <c r="G2479" s="27" t="str">
        <f>HYPERLINK(AB2 &amp; "/scissors/sn_60ab6f3ec6a2241f64dcee9870d0c27/rendering/04.obj", "4.53635162354")</f>
        <v>4.53635162354</v>
      </c>
      <c r="H2479" s="78" t="str">
        <f>HYPERLINK(AB2 &amp; "/scissors/sn_60ab6f3ec6a2241f64dcee9870d0c27/rendering/05.obj", "4.50311462402")</f>
        <v>4.50311462402</v>
      </c>
      <c r="I2479" s="135" t="str">
        <f>HYPERLINK(AB2 &amp; "/scissors/sn_60ab6f3ec6a2241f64dcee9870d0c27/rendering/06.obj", "3.15239868164")</f>
        <v>3.15239868164</v>
      </c>
      <c r="J2479" s="78" t="str">
        <f>HYPERLINK(AB2 &amp; "/scissors/sn_60ab6f3ec6a2241f64dcee9870d0c27/rendering/07.obj", "3.97865722656")</f>
        <v>3.97865722656</v>
      </c>
      <c r="K2479" s="63" t="str">
        <f>HYPERLINK(AB2 &amp; "/scissors/sn_60ab6f3ec6a2241f64dcee9870d0c27/rendering/08.obj", "4.75770874023")</f>
        <v>4.75770874023</v>
      </c>
      <c r="L2479" s="83" t="str">
        <f>HYPERLINK(AB2 &amp; "/scissors/sn_60ab6f3ec6a2241f64dcee9870d0c27/rendering/09.obj", "4.88460266113")</f>
        <v>4.88460266113</v>
      </c>
      <c r="M2479" s="133" t="str">
        <f>HYPERLINK(AB2 &amp; "/scissors/sn_60ab6f3ec6a2241f64dcee9870d0c27/rendering/10.obj", "3.80773101807")</f>
        <v>3.80773101807</v>
      </c>
      <c r="N2479" s="90" t="str">
        <f>HYPERLINK(AB2 &amp; "/scissors/sn_60ab6f3ec6a2241f64dcee9870d0c27/rendering/11.obj", "4.6408807373")</f>
        <v>4.6408807373</v>
      </c>
      <c r="O2479" s="5" t="str">
        <f>HYPERLINK(AB2 &amp; "/scissors/sn_60ab6f3ec6a2241f64dcee9870d0c27/rendering/12.obj", "4.57207824707")</f>
        <v>4.57207824707</v>
      </c>
      <c r="P2479" s="35" t="str">
        <f>HYPERLINK(AB2 &amp; "/scissors/sn_60ab6f3ec6a2241f64dcee9870d0c27/rendering/13.obj", "4.49245056152")</f>
        <v>4.49245056152</v>
      </c>
      <c r="Q2479" s="10" t="str">
        <f>HYPERLINK(AB2 &amp; "/scissors/sn_60ab6f3ec6a2241f64dcee9870d0c27/rendering/14.obj", "4.0046685791")</f>
        <v>4.0046685791</v>
      </c>
      <c r="R2479" s="5" t="str">
        <f>HYPERLINK(AB2 &amp; "/scissors/sn_60ab6f3ec6a2241f64dcee9870d0c27/rendering/15.obj", "4.55915405273")</f>
        <v>4.55915405273</v>
      </c>
      <c r="S2479" s="26" t="str">
        <f>HYPERLINK(AB2 &amp; "/scissors/sn_60ab6f3ec6a2241f64dcee9870d0c27/rendering/16.obj", "4.51258544922")</f>
        <v>4.51258544922</v>
      </c>
      <c r="T2479" s="70" t="str">
        <f>HYPERLINK(AB2 &amp; "/scissors/sn_60ab6f3ec6a2241f64dcee9870d0c27/rendering/17.obj", "3.70322998047")</f>
        <v>3.70322998047</v>
      </c>
      <c r="U2479" s="5" t="str">
        <f>HYPERLINK(AB2 &amp; "/scissors/sn_60ab6f3ec6a2241f64dcee9870d0c27/rendering/18.obj", "3.91152679443")</f>
        <v>3.91152679443</v>
      </c>
      <c r="V2479" s="110" t="str">
        <f>HYPERLINK(AB2 &amp; "/scissors/sn_60ab6f3ec6a2241f64dcee9870d0c27/rendering/19.obj", "3.82360717773")</f>
        <v>3.82360717773</v>
      </c>
      <c r="W2479" s="12" t="s">
        <v>31</v>
      </c>
      <c r="X2479" s="13">
        <v>4.2399055328369144</v>
      </c>
      <c r="Y2479" s="13">
        <v>0.43578768056278799</v>
      </c>
      <c r="Z2479" s="133">
        <v>0.1027824033313316</v>
      </c>
    </row>
    <row r="2480" spans="1:26" x14ac:dyDescent="0.2">
      <c r="A2480" s="1">
        <v>2478</v>
      </c>
      <c r="B2480" s="2" t="s">
        <v>528</v>
      </c>
      <c r="C2480" s="55" t="str">
        <f>HYPERLINK(AB2 &amp; "/scissors/sn_60ab6f3ec6a2241f64dcee9870d0c27/rendering/00.obj", "1.05555868149")</f>
        <v>1.05555868149</v>
      </c>
      <c r="D2480" s="51" t="str">
        <f>HYPERLINK(AB2 &amp; "/scissors/sn_60ab6f3ec6a2241f64dcee9870d0c27/rendering/01.obj", "1.20270562172")</f>
        <v>1.20270562172</v>
      </c>
      <c r="E2480" s="29" t="str">
        <f>HYPERLINK(AB2 &amp; "/scissors/sn_60ab6f3ec6a2241f64dcee9870d0c27/rendering/02.obj", "1.13557934761")</f>
        <v>1.13557934761</v>
      </c>
      <c r="F2480" s="99" t="str">
        <f>HYPERLINK(AB2 &amp; "/scissors/sn_60ab6f3ec6a2241f64dcee9870d0c27/rendering/03.obj", "1.66058278084")</f>
        <v>1.66058278084</v>
      </c>
      <c r="G2480" s="38" t="str">
        <f>HYPERLINK(AB2 &amp; "/scissors/sn_60ab6f3ec6a2241f64dcee9870d0c27/rendering/04.obj", "1.1867992878")</f>
        <v>1.1867992878</v>
      </c>
      <c r="H2480" s="66" t="str">
        <f>HYPERLINK(AB2 &amp; "/scissors/sn_60ab6f3ec6a2241f64dcee9870d0c27/rendering/05.obj", "1.09598398209")</f>
        <v>1.09598398209</v>
      </c>
      <c r="I2480" s="168" t="str">
        <f>HYPERLINK(AB2 &amp; "/scissors/sn_60ab6f3ec6a2241f64dcee9870d0c27/rendering/06.obj", "1.72477149963")</f>
        <v>1.72477149963</v>
      </c>
      <c r="J2480" s="46" t="str">
        <f>HYPERLINK(AB2 &amp; "/scissors/sn_60ab6f3ec6a2241f64dcee9870d0c27/rendering/07.obj", "1.32650661469")</f>
        <v>1.32650661469</v>
      </c>
      <c r="K2480" s="133" t="str">
        <f>HYPERLINK(AB2 &amp; "/scissors/sn_60ab6f3ec6a2241f64dcee9870d0c27/rendering/08.obj", "1.17199468613")</f>
        <v>1.17199468613</v>
      </c>
      <c r="L2480" s="48" t="str">
        <f>HYPERLINK(AB2 &amp; "/scissors/sn_60ab6f3ec6a2241f64dcee9870d0c27/rendering/09.obj", "1.27683973312")</f>
        <v>1.27683973312</v>
      </c>
      <c r="M2480" s="39" t="str">
        <f>HYPERLINK(AB2 &amp; "/scissors/sn_60ab6f3ec6a2241f64dcee9870d0c27/rendering/10.obj", "1.1945579052")</f>
        <v>1.1945579052</v>
      </c>
      <c r="N2480" s="60" t="str">
        <f>HYPERLINK(AB2 &amp; "/scissors/sn_60ab6f3ec6a2241f64dcee9870d0c27/rendering/11.obj", "1.23764395714")</f>
        <v>1.23764395714</v>
      </c>
      <c r="O2480" s="69" t="str">
        <f>HYPERLINK(AB2 &amp; "/scissors/sn_60ab6f3ec6a2241f64dcee9870d0c27/rendering/12.obj", "1.34359920025")</f>
        <v>1.34359920025</v>
      </c>
      <c r="P2480" s="13" t="str">
        <f>HYPERLINK(AB2 &amp; "/scissors/sn_60ab6f3ec6a2241f64dcee9870d0c27/rendering/13.obj", "1.30829942226")</f>
        <v>1.30829942226</v>
      </c>
      <c r="Q2480" s="78" t="str">
        <f>HYPERLINK(AB2 &amp; "/scissors/sn_60ab6f3ec6a2241f64dcee9870d0c27/rendering/14.obj", "1.38644123077")</f>
        <v>1.38644123077</v>
      </c>
      <c r="R2480" s="50" t="str">
        <f>HYPERLINK(AB2 &amp; "/scissors/sn_60ab6f3ec6a2241f64dcee9870d0c27/rendering/15.obj", "1.56688427925")</f>
        <v>1.56688427925</v>
      </c>
      <c r="S2480" s="93" t="str">
        <f>HYPERLINK(AB2 &amp; "/scissors/sn_60ab6f3ec6a2241f64dcee9870d0c27/rendering/16.obj", "1.12324500084")</f>
        <v>1.12324500084</v>
      </c>
      <c r="T2480" s="28" t="str">
        <f>HYPERLINK(AB2 &amp; "/scissors/sn_60ab6f3ec6a2241f64dcee9870d0c27/rendering/17.obj", "1.45124280453")</f>
        <v>1.45124280453</v>
      </c>
      <c r="U2480" s="28" t="str">
        <f>HYPERLINK(AB2 &amp; "/scissors/sn_60ab6f3ec6a2241f64dcee9870d0c27/rendering/18.obj", "1.45261502266")</f>
        <v>1.45261502266</v>
      </c>
      <c r="V2480" s="94" t="str">
        <f>HYPERLINK(AB2 &amp; "/scissors/sn_60ab6f3ec6a2241f64dcee9870d0c27/rendering/19.obj", "1.20888352394")</f>
        <v>1.20888352394</v>
      </c>
      <c r="W2480" s="12" t="s">
        <v>32</v>
      </c>
      <c r="X2480" s="13">
        <v>1.3055367290973661</v>
      </c>
      <c r="Y2480" s="13">
        <v>0.18159522602496081</v>
      </c>
      <c r="Z2480" s="93">
        <v>0.13909622148318551</v>
      </c>
    </row>
    <row r="2481" spans="1:26" x14ac:dyDescent="0.2">
      <c r="A2481" s="1">
        <v>2479</v>
      </c>
      <c r="B2481" s="2" t="s">
        <v>528</v>
      </c>
      <c r="C2481" s="13" t="str">
        <f>HYPERLINK(AC2 &amp; "/scissors/sn_60ab6f3ec6a2241f64dcee9870d0c27/rendering/00.xyz", "0.0")</f>
        <v>0.0</v>
      </c>
      <c r="D2481" s="13" t="str">
        <f>HYPERLINK(AC2 &amp; "/scissors/sn_60ab6f3ec6a2241f64dcee9870d0c27/rendering/01.xyz", "0.0")</f>
        <v>0.0</v>
      </c>
      <c r="E2481" s="13" t="str">
        <f>HYPERLINK(AC2 &amp; "/scissors/sn_60ab6f3ec6a2241f64dcee9870d0c27/rendering/02.xyz", "0.0")</f>
        <v>0.0</v>
      </c>
      <c r="F2481" s="13" t="str">
        <f>HYPERLINK(AC2 &amp; "/scissors/sn_60ab6f3ec6a2241f64dcee9870d0c27/rendering/03.xyz", "0.0")</f>
        <v>0.0</v>
      </c>
      <c r="G2481" s="13" t="str">
        <f>HYPERLINK(AC2 &amp; "/scissors/sn_60ab6f3ec6a2241f64dcee9870d0c27/rendering/04.xyz", "0.0")</f>
        <v>0.0</v>
      </c>
      <c r="H2481" s="13" t="str">
        <f>HYPERLINK(AC2 &amp; "/scissors/sn_60ab6f3ec6a2241f64dcee9870d0c27/rendering/05.xyz", "0.0")</f>
        <v>0.0</v>
      </c>
      <c r="I2481" s="13" t="str">
        <f>HYPERLINK(AC2 &amp; "/scissors/sn_60ab6f3ec6a2241f64dcee9870d0c27/rendering/06.xyz", "0.0")</f>
        <v>0.0</v>
      </c>
      <c r="J2481" s="13" t="str">
        <f>HYPERLINK(AC2 &amp; "/scissors/sn_60ab6f3ec6a2241f64dcee9870d0c27/rendering/07.xyz", "0.0")</f>
        <v>0.0</v>
      </c>
      <c r="K2481" s="13" t="str">
        <f>HYPERLINK(AC2 &amp; "/scissors/sn_60ab6f3ec6a2241f64dcee9870d0c27/rendering/08.xyz", "0.0")</f>
        <v>0.0</v>
      </c>
      <c r="L2481" s="13" t="str">
        <f>HYPERLINK(AC2 &amp; "/scissors/sn_60ab6f3ec6a2241f64dcee9870d0c27/rendering/09.xyz", "0.0")</f>
        <v>0.0</v>
      </c>
      <c r="M2481" s="13" t="str">
        <f>HYPERLINK(AC2 &amp; "/scissors/sn_60ab6f3ec6a2241f64dcee9870d0c27/rendering/10.xyz", "0.0")</f>
        <v>0.0</v>
      </c>
      <c r="N2481" s="13" t="str">
        <f>HYPERLINK(AC2 &amp; "/scissors/sn_60ab6f3ec6a2241f64dcee9870d0c27/rendering/11.xyz", "0.0")</f>
        <v>0.0</v>
      </c>
      <c r="O2481" s="13" t="str">
        <f>HYPERLINK(AC2 &amp; "/scissors/sn_60ab6f3ec6a2241f64dcee9870d0c27/rendering/12.xyz", "0.0")</f>
        <v>0.0</v>
      </c>
      <c r="P2481" s="13" t="str">
        <f>HYPERLINK(AC2 &amp; "/scissors/sn_60ab6f3ec6a2241f64dcee9870d0c27/rendering/13.xyz", "0.0")</f>
        <v>0.0</v>
      </c>
      <c r="Q2481" s="13" t="str">
        <f>HYPERLINK(AC2 &amp; "/scissors/sn_60ab6f3ec6a2241f64dcee9870d0c27/rendering/14.xyz", "0.0")</f>
        <v>0.0</v>
      </c>
      <c r="R2481" s="13" t="str">
        <f>HYPERLINK(AC2 &amp; "/scissors/sn_60ab6f3ec6a2241f64dcee9870d0c27/rendering/15.xyz", "0.0")</f>
        <v>0.0</v>
      </c>
      <c r="S2481" s="13" t="str">
        <f>HYPERLINK(AC2 &amp; "/scissors/sn_60ab6f3ec6a2241f64dcee9870d0c27/rendering/16.xyz", "0.0")</f>
        <v>0.0</v>
      </c>
      <c r="T2481" s="13" t="str">
        <f>HYPERLINK(AC2 &amp; "/scissors/sn_60ab6f3ec6a2241f64dcee9870d0c27/rendering/17.xyz", "0.0")</f>
        <v>0.0</v>
      </c>
      <c r="U2481" s="13" t="str">
        <f>HYPERLINK(AC2 &amp; "/scissors/sn_60ab6f3ec6a2241f64dcee9870d0c27/rendering/18.xyz", "0.0")</f>
        <v>0.0</v>
      </c>
      <c r="V2481" s="13" t="str">
        <f>HYPERLINK(AC2 &amp; "/scissors/sn_60ab6f3ec6a2241f64dcee9870d0c27/rendering/19.xyz", "0.0")</f>
        <v>0.0</v>
      </c>
      <c r="W2481" s="12" t="s">
        <v>33</v>
      </c>
      <c r="X2481" s="13">
        <v>0</v>
      </c>
      <c r="Y2481" s="13">
        <v>0</v>
      </c>
      <c r="Z2481" s="13">
        <v>0</v>
      </c>
    </row>
    <row r="2482" spans="1:26" x14ac:dyDescent="0.2">
      <c r="A2482" s="1">
        <v>2480</v>
      </c>
      <c r="B2482" s="2" t="s">
        <v>529</v>
      </c>
      <c r="C2482" s="22" t="str">
        <f>HYPERLINK(AA2 &amp; "/scissors/sn_708b57ad408688a5b75a6bd6769f8e18/rendering/00.obj", "4.72967651367")</f>
        <v>4.72967651367</v>
      </c>
      <c r="D2482" s="69" t="str">
        <f>HYPERLINK(AA2 &amp; "/scissors/sn_708b57ad408688a5b75a6bd6769f8e18/rendering/01.obj", "10.1896447754")</f>
        <v>10.1896447754</v>
      </c>
      <c r="E2482" s="82" t="str">
        <f>HYPERLINK(AA2 &amp; "/scissors/sn_708b57ad408688a5b75a6bd6769f8e18/rendering/02.obj", "11.9511987305")</f>
        <v>11.9511987305</v>
      </c>
      <c r="F2482" s="82" t="str">
        <f>HYPERLINK(AA2 &amp; "/scissors/sn_708b57ad408688a5b75a6bd6769f8e18/rendering/03.obj", "11.9302526855")</f>
        <v>11.9302526855</v>
      </c>
      <c r="G2482" s="203" t="str">
        <f>HYPERLINK(AA2 &amp; "/scissors/sn_708b57ad408688a5b75a6bd6769f8e18/rendering/04.obj", "5.29919799805")</f>
        <v>5.29919799805</v>
      </c>
      <c r="H2482" s="225" t="str">
        <f>HYPERLINK(AA2 &amp; "/scissors/sn_708b57ad408688a5b75a6bd6769f8e18/rendering/05.obj", "15.5478466797")</f>
        <v>15.5478466797</v>
      </c>
      <c r="I2482" s="159" t="str">
        <f>HYPERLINK(AA2 &amp; "/scissors/sn_708b57ad408688a5b75a6bd6769f8e18/rendering/06.obj", "5.27612976074")</f>
        <v>5.27612976074</v>
      </c>
      <c r="J2482" s="255" t="str">
        <f>HYPERLINK(AA2 &amp; "/scissors/sn_708b57ad408688a5b75a6bd6769f8e18/rendering/07.obj", "17.0801928711")</f>
        <v>17.0801928711</v>
      </c>
      <c r="K2482" s="195" t="str">
        <f>HYPERLINK(AA2 &amp; "/scissors/sn_708b57ad408688a5b75a6bd6769f8e18/rendering/08.obj", "4.4795892334")</f>
        <v>4.4795892334</v>
      </c>
      <c r="L2482" s="141" t="str">
        <f>HYPERLINK(AA2 &amp; "/scissors/sn_708b57ad408688a5b75a6bd6769f8e18/rendering/09.obj", "4.44742980957")</f>
        <v>4.44742980957</v>
      </c>
      <c r="M2482" s="70" t="str">
        <f>HYPERLINK(AA2 &amp; "/scissors/sn_708b57ad408688a5b75a6bd6769f8e18/rendering/10.obj", "11.1782019043")</f>
        <v>11.1782019043</v>
      </c>
      <c r="N2482" s="138" t="str">
        <f>HYPERLINK(AA2 &amp; "/scissors/sn_708b57ad408688a5b75a6bd6769f8e18/rendering/11.obj", "6.58237487793")</f>
        <v>6.58237487793</v>
      </c>
      <c r="O2482" s="32" t="str">
        <f>HYPERLINK(AA2 &amp; "/scissors/sn_708b57ad408688a5b75a6bd6769f8e18/rendering/12.obj", "10.941784668")</f>
        <v>10.941784668</v>
      </c>
      <c r="P2482" s="174" t="str">
        <f>HYPERLINK(AA2 &amp; "/scissors/sn_708b57ad408688a5b75a6bd6769f8e18/rendering/13.obj", "4.70336120605")</f>
        <v>4.70336120605</v>
      </c>
      <c r="Q2482" s="213" t="str">
        <f>HYPERLINK(AA2 &amp; "/scissors/sn_708b57ad408688a5b75a6bd6769f8e18/rendering/14.obj", "5.0074822998")</f>
        <v>5.0074822998</v>
      </c>
      <c r="R2482" s="45" t="str">
        <f>HYPERLINK(AA2 &amp; "/scissors/sn_708b57ad408688a5b75a6bd6769f8e18/rendering/15.obj", "16.4955310059")</f>
        <v>16.4955310059</v>
      </c>
      <c r="S2482" s="20" t="str">
        <f>HYPERLINK(AA2 &amp; "/scissors/sn_708b57ad408688a5b75a6bd6769f8e18/rendering/16.obj", "22.067019043")</f>
        <v>22.067019043</v>
      </c>
      <c r="T2482" s="80" t="str">
        <f>HYPERLINK(AA2 &amp; "/scissors/sn_708b57ad408688a5b75a6bd6769f8e18/rendering/17.obj", "8.42327941895")</f>
        <v>8.42327941895</v>
      </c>
      <c r="U2482" s="209" t="str">
        <f>HYPERLINK(AA2 &amp; "/scissors/sn_708b57ad408688a5b75a6bd6769f8e18/rendering/18.obj", "17.4127148437")</f>
        <v>17.4127148437</v>
      </c>
      <c r="V2482" s="21" t="str">
        <f>HYPERLINK(AA2 &amp; "/scissors/sn_708b57ad408688a5b75a6bd6769f8e18/rendering/19.obj", "4.43063171387")</f>
        <v>4.43063171387</v>
      </c>
      <c r="W2482" s="12" t="s">
        <v>29</v>
      </c>
      <c r="X2482" s="13">
        <v>9.9086770019531247</v>
      </c>
      <c r="Y2482" s="13">
        <v>5.315057581900982</v>
      </c>
      <c r="Z2482" s="177">
        <v>0.53640436365554323</v>
      </c>
    </row>
    <row r="2483" spans="1:26" x14ac:dyDescent="0.2">
      <c r="A2483" s="1">
        <v>2481</v>
      </c>
      <c r="B2483" s="2" t="s">
        <v>529</v>
      </c>
      <c r="C2483" s="20" t="str">
        <f>HYPERLINK(AA2 &amp; "/scissors/sn_708b57ad408688a5b75a6bd6769f8e18/rendering/00.obj", "3.08382105827")</f>
        <v>3.08382105827</v>
      </c>
      <c r="D2483" s="7" t="str">
        <f>HYPERLINK(AA2 &amp; "/scissors/sn_708b57ad408688a5b75a6bd6769f8e18/rendering/01.obj", "16.5710105896")</f>
        <v>16.5710105896</v>
      </c>
      <c r="E2483" s="238" t="str">
        <f>HYPERLINK(AA2 &amp; "/scissors/sn_708b57ad408688a5b75a6bd6769f8e18/rendering/02.obj", "6.80462312698")</f>
        <v>6.80462312698</v>
      </c>
      <c r="F2483" s="20" t="str">
        <f>HYPERLINK(AA2 &amp; "/scissors/sn_708b57ad408688a5b75a6bd6769f8e18/rendering/03.obj", "44.6691436768")</f>
        <v>44.6691436768</v>
      </c>
      <c r="G2483" s="20" t="str">
        <f>HYPERLINK(AA2 &amp; "/scissors/sn_708b57ad408688a5b75a6bd6769f8e18/rendering/04.obj", "3.47934174538")</f>
        <v>3.47934174538</v>
      </c>
      <c r="H2483" s="63" t="str">
        <f>HYPERLINK(AA2 &amp; "/scissors/sn_708b57ad408688a5b75a6bd6769f8e18/rendering/05.obj", "20.1625099182")</f>
        <v>20.1625099182</v>
      </c>
      <c r="I2483" s="184" t="str">
        <f>HYPERLINK(AA2 &amp; "/scissors/sn_708b57ad408688a5b75a6bd6769f8e18/rendering/06.obj", "6.07825279236")</f>
        <v>6.07825279236</v>
      </c>
      <c r="J2483" s="20" t="str">
        <f>HYPERLINK(AA2 &amp; "/scissors/sn_708b57ad408688a5b75a6bd6769f8e18/rendering/07.obj", "74.6658935547")</f>
        <v>74.6658935547</v>
      </c>
      <c r="K2483" s="20" t="str">
        <f>HYPERLINK(AA2 &amp; "/scissors/sn_708b57ad408688a5b75a6bd6769f8e18/rendering/08.obj", "4.21322154999")</f>
        <v>4.21322154999</v>
      </c>
      <c r="L2483" s="20" t="str">
        <f>HYPERLINK(AA2 &amp; "/scissors/sn_708b57ad408688a5b75a6bd6769f8e18/rendering/09.obj", "2.42807173729")</f>
        <v>2.42807173729</v>
      </c>
      <c r="M2483" s="54" t="str">
        <f>HYPERLINK(AA2 &amp; "/scissors/sn_708b57ad408688a5b75a6bd6769f8e18/rendering/10.obj", "15.3758707047")</f>
        <v>15.3758707047</v>
      </c>
      <c r="N2483" s="233" t="str">
        <f>HYPERLINK(AA2 &amp; "/scissors/sn_708b57ad408688a5b75a6bd6769f8e18/rendering/11.obj", "6.85951089859")</f>
        <v>6.85951089859</v>
      </c>
      <c r="O2483" s="152" t="str">
        <f>HYPERLINK(AA2 &amp; "/scissors/sn_708b57ad408688a5b75a6bd6769f8e18/rendering/12.obj", "32.2130775452")</f>
        <v>32.2130775452</v>
      </c>
      <c r="P2483" s="20" t="str">
        <f>HYPERLINK(AA2 &amp; "/scissors/sn_708b57ad408688a5b75a6bd6769f8e18/rendering/13.obj", "2.96760296822")</f>
        <v>2.96760296822</v>
      </c>
      <c r="Q2483" s="20" t="str">
        <f>HYPERLINK(AA2 &amp; "/scissors/sn_708b57ad408688a5b75a6bd6769f8e18/rendering/14.obj", "3.03589701653")</f>
        <v>3.03589701653</v>
      </c>
      <c r="R2483" s="20" t="str">
        <f>HYPERLINK(AA2 &amp; "/scissors/sn_708b57ad408688a5b75a6bd6769f8e18/rendering/15.obj", "68.3771514893")</f>
        <v>68.3771514893</v>
      </c>
      <c r="S2483" s="20" t="str">
        <f>HYPERLINK(AA2 &amp; "/scissors/sn_708b57ad408688a5b75a6bd6769f8e18/rendering/16.obj", "96.8365478516")</f>
        <v>96.8365478516</v>
      </c>
      <c r="T2483" s="122" t="str">
        <f>HYPERLINK(AA2 &amp; "/scissors/sn_708b57ad408688a5b75a6bd6769f8e18/rendering/17.obj", "13.6605463028")</f>
        <v>13.6605463028</v>
      </c>
      <c r="U2483" s="144" t="str">
        <f>HYPERLINK(AA2 &amp; "/scissors/sn_708b57ad408688a5b75a6bd6769f8e18/rendering/18.obj", "34.4617500305")</f>
        <v>34.4617500305</v>
      </c>
      <c r="V2483" s="20" t="str">
        <f>HYPERLINK(AA2 &amp; "/scissors/sn_708b57ad408688a5b75a6bd6769f8e18/rendering/19.obj", "2.4087202549")</f>
        <v>2.4087202549</v>
      </c>
      <c r="W2483" s="12" t="s">
        <v>30</v>
      </c>
      <c r="X2483" s="13">
        <v>22.91762824058533</v>
      </c>
      <c r="Y2483" s="13">
        <v>27.062485728620739</v>
      </c>
      <c r="Z2483" s="20">
        <v>1.1808589198028441</v>
      </c>
    </row>
    <row r="2484" spans="1:26" x14ac:dyDescent="0.2">
      <c r="A2484" s="1">
        <v>2482</v>
      </c>
      <c r="B2484" s="2" t="s">
        <v>529</v>
      </c>
      <c r="C2484" s="70" t="str">
        <f>HYPERLINK(AB2 &amp; "/scissors/sn_708b57ad408688a5b75a6bd6769f8e18/rendering/00.obj", "5.07577758789")</f>
        <v>5.07577758789</v>
      </c>
      <c r="D2484" s="28" t="str">
        <f>HYPERLINK(AB2 &amp; "/scissors/sn_708b57ad408688a5b75a6bd6769f8e18/rendering/01.obj", "5.01422668457")</f>
        <v>5.01422668457</v>
      </c>
      <c r="E2484" s="90" t="str">
        <f>HYPERLINK(AB2 &amp; "/scissors/sn_708b57ad408688a5b75a6bd6769f8e18/rendering/02.obj", "4.07500732422")</f>
        <v>4.07500732422</v>
      </c>
      <c r="F2484" s="5" t="str">
        <f>HYPERLINK(AB2 &amp; "/scissors/sn_708b57ad408688a5b75a6bd6769f8e18/rendering/03.obj", "4.85764923096")</f>
        <v>4.85764923096</v>
      </c>
      <c r="G2484" s="48" t="str">
        <f>HYPERLINK(AB2 &amp; "/scissors/sn_708b57ad408688a5b75a6bd6769f8e18/rendering/04.obj", "4.61852661133")</f>
        <v>4.61852661133</v>
      </c>
      <c r="H2484" s="69" t="str">
        <f>HYPERLINK(AB2 &amp; "/scissors/sn_708b57ad408688a5b75a6bd6769f8e18/rendering/05.obj", "4.64190551758")</f>
        <v>4.64190551758</v>
      </c>
      <c r="I2484" s="69" t="str">
        <f>HYPERLINK(AB2 &amp; "/scissors/sn_708b57ad408688a5b75a6bd6769f8e18/rendering/06.obj", "4.37864959717")</f>
        <v>4.37864959717</v>
      </c>
      <c r="J2484" s="83" t="str">
        <f>HYPERLINK(AB2 &amp; "/scissors/sn_708b57ad408688a5b75a6bd6769f8e18/rendering/07.obj", "3.81670806885")</f>
        <v>3.81670806885</v>
      </c>
      <c r="K2484" s="68" t="str">
        <f>HYPERLINK(AB2 &amp; "/scissors/sn_708b57ad408688a5b75a6bd6769f8e18/rendering/08.obj", "4.32478240967")</f>
        <v>4.32478240967</v>
      </c>
      <c r="L2484" s="94" t="str">
        <f>HYPERLINK(AB2 &amp; "/scissors/sn_708b57ad408688a5b75a6bd6769f8e18/rendering/09.obj", "4.84162658691")</f>
        <v>4.84162658691</v>
      </c>
      <c r="M2484" s="78" t="str">
        <f>HYPERLINK(AB2 &amp; "/scissors/sn_708b57ad408688a5b75a6bd6769f8e18/rendering/10.obj", "4.7863848877")</f>
        <v>4.7863848877</v>
      </c>
      <c r="N2484" s="28" t="str">
        <f>HYPERLINK(AB2 &amp; "/scissors/sn_708b57ad408688a5b75a6bd6769f8e18/rendering/11.obj", "5.00899108887")</f>
        <v>5.00899108887</v>
      </c>
      <c r="O2484" s="92" t="str">
        <f>HYPERLINK(AB2 &amp; "/scissors/sn_708b57ad408688a5b75a6bd6769f8e18/rendering/12.obj", "3.94664978027")</f>
        <v>3.94664978027</v>
      </c>
      <c r="P2484" s="31" t="str">
        <f>HYPERLINK(AB2 &amp; "/scissors/sn_708b57ad408688a5b75a6bd6769f8e18/rendering/13.obj", "5.21470336914")</f>
        <v>5.21470336914</v>
      </c>
      <c r="Q2484" s="63" t="str">
        <f>HYPERLINK(AB2 &amp; "/scissors/sn_708b57ad408688a5b75a6bd6769f8e18/rendering/14.obj", "5.05977813721")</f>
        <v>5.05977813721</v>
      </c>
      <c r="R2484" s="17" t="str">
        <f>HYPERLINK(AB2 &amp; "/scissors/sn_708b57ad408688a5b75a6bd6769f8e18/rendering/15.obj", "4.41606536865")</f>
        <v>4.41606536865</v>
      </c>
      <c r="S2484" s="93" t="str">
        <f>HYPERLINK(AB2 &amp; "/scissors/sn_708b57ad408688a5b75a6bd6769f8e18/rendering/16.obj", "3.87631866455")</f>
        <v>3.87631866455</v>
      </c>
      <c r="T2484" s="91" t="str">
        <f>HYPERLINK(AB2 &amp; "/scissors/sn_708b57ad408688a5b75a6bd6769f8e18/rendering/17.obj", "4.38430236816")</f>
        <v>4.38430236816</v>
      </c>
      <c r="U2484" s="54" t="str">
        <f>HYPERLINK(AB2 &amp; "/scissors/sn_708b57ad408688a5b75a6bd6769f8e18/rendering/18.obj", "3.03280212402")</f>
        <v>3.03280212402</v>
      </c>
      <c r="V2484" s="41" t="str">
        <f>HYPERLINK(AB2 &amp; "/scissors/sn_708b57ad408688a5b75a6bd6769f8e18/rendering/19.obj", "4.81848632813")</f>
        <v>4.81848632813</v>
      </c>
      <c r="W2484" s="12" t="s">
        <v>31</v>
      </c>
      <c r="X2484" s="13">
        <v>4.5094670867919913</v>
      </c>
      <c r="Y2484" s="13">
        <v>0.53389358863721803</v>
      </c>
      <c r="Z2484" s="71">
        <v>0.1183939428676542</v>
      </c>
    </row>
    <row r="2485" spans="1:26" x14ac:dyDescent="0.2">
      <c r="A2485" s="1">
        <v>2483</v>
      </c>
      <c r="B2485" s="2" t="s">
        <v>529</v>
      </c>
      <c r="C2485" s="80" t="str">
        <f>HYPERLINK(AB2 &amp; "/scissors/sn_708b57ad408688a5b75a6bd6769f8e18/rendering/00.obj", "3.09879255295")</f>
        <v>3.09879255295</v>
      </c>
      <c r="D2485" s="78" t="str">
        <f>HYPERLINK(AB2 &amp; "/scissors/sn_708b57ad408688a5b75a6bd6769f8e18/rendering/01.obj", "2.53076195717")</f>
        <v>2.53076195717</v>
      </c>
      <c r="E2485" s="14" t="str">
        <f>HYPERLINK(AB2 &amp; "/scissors/sn_708b57ad408688a5b75a6bd6769f8e18/rendering/02.obj", "1.91831743717")</f>
        <v>1.91831743717</v>
      </c>
      <c r="F2485" s="36" t="str">
        <f>HYPERLINK(AB2 &amp; "/scissors/sn_708b57ad408688a5b75a6bd6769f8e18/rendering/03.obj", "2.11638951302")</f>
        <v>2.11638951302</v>
      </c>
      <c r="G2485" s="83" t="str">
        <f>HYPERLINK(AB2 &amp; "/scissors/sn_708b57ad408688a5b75a6bd6769f8e18/rendering/04.obj", "2.28686189651")</f>
        <v>2.28686189651</v>
      </c>
      <c r="H2485" s="20" t="str">
        <f>HYPERLINK(AB2 &amp; "/scissors/sn_708b57ad408688a5b75a6bd6769f8e18/rendering/05.obj", "5.86544370651")</f>
        <v>5.86544370651</v>
      </c>
      <c r="I2485" s="55" t="str">
        <f>HYPERLINK(AB2 &amp; "/scissors/sn_708b57ad408688a5b75a6bd6769f8e18/rendering/06.obj", "2.1761932373")</f>
        <v>2.1761932373</v>
      </c>
      <c r="J2485" s="94" t="str">
        <f>HYPERLINK(AB2 &amp; "/scissors/sn_708b57ad408688a5b75a6bd6769f8e18/rendering/07.obj", "2.50251531601")</f>
        <v>2.50251531601</v>
      </c>
      <c r="K2485" s="39" t="str">
        <f>HYPERLINK(AB2 &amp; "/scissors/sn_708b57ad408688a5b75a6bd6769f8e18/rendering/08.obj", "2.93458890915")</f>
        <v>2.93458890915</v>
      </c>
      <c r="L2485" s="13" t="str">
        <f>HYPERLINK(AB2 &amp; "/scissors/sn_708b57ad408688a5b75a6bd6769f8e18/rendering/09.obj", "2.70445966721")</f>
        <v>2.70445966721</v>
      </c>
      <c r="M2485" s="44" t="str">
        <f>HYPERLINK(AB2 &amp; "/scissors/sn_708b57ad408688a5b75a6bd6769f8e18/rendering/10.obj", "2.17271399498")</f>
        <v>2.17271399498</v>
      </c>
      <c r="N2485" s="120" t="str">
        <f>HYPERLINK(AB2 &amp; "/scissors/sn_708b57ad408688a5b75a6bd6769f8e18/rendering/11.obj", "2.12506008148")</f>
        <v>2.12506008148</v>
      </c>
      <c r="O2485" s="63" t="str">
        <f>HYPERLINK(AB2 &amp; "/scissors/sn_708b57ad408688a5b75a6bd6769f8e18/rendering/12.obj", "2.37541365623")</f>
        <v>2.37541365623</v>
      </c>
      <c r="P2485" s="157" t="str">
        <f>HYPERLINK(AB2 &amp; "/scissors/sn_708b57ad408688a5b75a6bd6769f8e18/rendering/13.obj", "3.81851673126")</f>
        <v>3.81851673126</v>
      </c>
      <c r="Q2485" s="182" t="str">
        <f>HYPERLINK(AB2 &amp; "/scissors/sn_708b57ad408688a5b75a6bd6769f8e18/rendering/14.obj", "1.79340672493")</f>
        <v>1.79340672493</v>
      </c>
      <c r="R2485" s="69" t="str">
        <f>HYPERLINK(AB2 &amp; "/scissors/sn_708b57ad408688a5b75a6bd6769f8e18/rendering/15.obj", "2.62036371231")</f>
        <v>2.62036371231</v>
      </c>
      <c r="S2485" s="17" t="str">
        <f>HYPERLINK(AB2 &amp; "/scissors/sn_708b57ad408688a5b75a6bd6769f8e18/rendering/16.obj", "2.75616884232")</f>
        <v>2.75616884232</v>
      </c>
      <c r="T2485" s="29" t="str">
        <f>HYPERLINK(AB2 &amp; "/scissors/sn_708b57ad408688a5b75a6bd6769f8e18/rendering/17.obj", "3.04609417915")</f>
        <v>3.04609417915</v>
      </c>
      <c r="U2485" s="10" t="str">
        <f>HYPERLINK(AB2 &amp; "/scissors/sn_708b57ad408688a5b75a6bd6769f8e18/rendering/18.obj", "2.54742693901")</f>
        <v>2.54742693901</v>
      </c>
      <c r="V2485" s="34" t="str">
        <f>HYPERLINK(AB2 &amp; "/scissors/sn_708b57ad408688a5b75a6bd6769f8e18/rendering/19.obj", "2.57036232948")</f>
        <v>2.57036232948</v>
      </c>
      <c r="W2485" s="12" t="s">
        <v>32</v>
      </c>
      <c r="X2485" s="13">
        <v>2.6979925692081448</v>
      </c>
      <c r="Y2485" s="13">
        <v>0.85599836663621154</v>
      </c>
      <c r="Z2485" s="176">
        <v>0.3172723218016294</v>
      </c>
    </row>
    <row r="2486" spans="1:26" x14ac:dyDescent="0.2">
      <c r="A2486" s="1">
        <v>2484</v>
      </c>
      <c r="B2486" s="2" t="s">
        <v>529</v>
      </c>
      <c r="C2486" s="13" t="str">
        <f>HYPERLINK(AC2 &amp; "/scissors/sn_708b57ad408688a5b75a6bd6769f8e18/rendering/00.xyz", "0.0")</f>
        <v>0.0</v>
      </c>
      <c r="D2486" s="13" t="str">
        <f>HYPERLINK(AC2 &amp; "/scissors/sn_708b57ad408688a5b75a6bd6769f8e18/rendering/01.xyz", "0.0")</f>
        <v>0.0</v>
      </c>
      <c r="E2486" s="13" t="str">
        <f>HYPERLINK(AC2 &amp; "/scissors/sn_708b57ad408688a5b75a6bd6769f8e18/rendering/02.xyz", "0.0")</f>
        <v>0.0</v>
      </c>
      <c r="F2486" s="13" t="str">
        <f>HYPERLINK(AC2 &amp; "/scissors/sn_708b57ad408688a5b75a6bd6769f8e18/rendering/03.xyz", "0.0")</f>
        <v>0.0</v>
      </c>
      <c r="G2486" s="13" t="str">
        <f>HYPERLINK(AC2 &amp; "/scissors/sn_708b57ad408688a5b75a6bd6769f8e18/rendering/04.xyz", "0.0")</f>
        <v>0.0</v>
      </c>
      <c r="H2486" s="13" t="str">
        <f>HYPERLINK(AC2 &amp; "/scissors/sn_708b57ad408688a5b75a6bd6769f8e18/rendering/05.xyz", "0.0")</f>
        <v>0.0</v>
      </c>
      <c r="I2486" s="13" t="str">
        <f>HYPERLINK(AC2 &amp; "/scissors/sn_708b57ad408688a5b75a6bd6769f8e18/rendering/06.xyz", "0.0")</f>
        <v>0.0</v>
      </c>
      <c r="J2486" s="13" t="str">
        <f>HYPERLINK(AC2 &amp; "/scissors/sn_708b57ad408688a5b75a6bd6769f8e18/rendering/07.xyz", "0.0")</f>
        <v>0.0</v>
      </c>
      <c r="K2486" s="13" t="str">
        <f>HYPERLINK(AC2 &amp; "/scissors/sn_708b57ad408688a5b75a6bd6769f8e18/rendering/08.xyz", "0.0")</f>
        <v>0.0</v>
      </c>
      <c r="L2486" s="13" t="str">
        <f>HYPERLINK(AC2 &amp; "/scissors/sn_708b57ad408688a5b75a6bd6769f8e18/rendering/09.xyz", "0.0")</f>
        <v>0.0</v>
      </c>
      <c r="M2486" s="13" t="str">
        <f>HYPERLINK(AC2 &amp; "/scissors/sn_708b57ad408688a5b75a6bd6769f8e18/rendering/10.xyz", "0.0")</f>
        <v>0.0</v>
      </c>
      <c r="N2486" s="13" t="str">
        <f>HYPERLINK(AC2 &amp; "/scissors/sn_708b57ad408688a5b75a6bd6769f8e18/rendering/11.xyz", "0.0")</f>
        <v>0.0</v>
      </c>
      <c r="O2486" s="13" t="str">
        <f>HYPERLINK(AC2 &amp; "/scissors/sn_708b57ad408688a5b75a6bd6769f8e18/rendering/12.xyz", "0.0")</f>
        <v>0.0</v>
      </c>
      <c r="P2486" s="13" t="str">
        <f>HYPERLINK(AC2 &amp; "/scissors/sn_708b57ad408688a5b75a6bd6769f8e18/rendering/13.xyz", "0.0")</f>
        <v>0.0</v>
      </c>
      <c r="Q2486" s="13" t="str">
        <f>HYPERLINK(AC2 &amp; "/scissors/sn_708b57ad408688a5b75a6bd6769f8e18/rendering/14.xyz", "0.0")</f>
        <v>0.0</v>
      </c>
      <c r="R2486" s="13" t="str">
        <f>HYPERLINK(AC2 &amp; "/scissors/sn_708b57ad408688a5b75a6bd6769f8e18/rendering/15.xyz", "0.0")</f>
        <v>0.0</v>
      </c>
      <c r="S2486" s="13" t="str">
        <f>HYPERLINK(AC2 &amp; "/scissors/sn_708b57ad408688a5b75a6bd6769f8e18/rendering/16.xyz", "0.0")</f>
        <v>0.0</v>
      </c>
      <c r="T2486" s="13" t="str">
        <f>HYPERLINK(AC2 &amp; "/scissors/sn_708b57ad408688a5b75a6bd6769f8e18/rendering/17.xyz", "0.0")</f>
        <v>0.0</v>
      </c>
      <c r="U2486" s="13" t="str">
        <f>HYPERLINK(AC2 &amp; "/scissors/sn_708b57ad408688a5b75a6bd6769f8e18/rendering/18.xyz", "0.0")</f>
        <v>0.0</v>
      </c>
      <c r="V2486" s="13" t="str">
        <f>HYPERLINK(AC2 &amp; "/scissors/sn_708b57ad408688a5b75a6bd6769f8e18/rendering/19.xyz", "0.0")</f>
        <v>0.0</v>
      </c>
      <c r="W2486" s="12" t="s">
        <v>33</v>
      </c>
      <c r="X2486" s="13">
        <v>0</v>
      </c>
      <c r="Y2486" s="13">
        <v>0</v>
      </c>
      <c r="Z2486" s="13">
        <v>0</v>
      </c>
    </row>
    <row r="2487" spans="1:26" x14ac:dyDescent="0.2">
      <c r="A2487" s="1">
        <v>2485</v>
      </c>
      <c r="B2487" s="2" t="s">
        <v>530</v>
      </c>
      <c r="C2487" s="110" t="str">
        <f>HYPERLINK(AA2 &amp; "/scissors/sn_963c8788115b26de979f045d8a735f23/rendering/00.obj", "9.6890814209")</f>
        <v>9.6890814209</v>
      </c>
      <c r="D2487" s="129" t="str">
        <f>HYPERLINK(AA2 &amp; "/scissors/sn_963c8788115b26de979f045d8a735f23/rendering/01.obj", "8.07116943359")</f>
        <v>8.07116943359</v>
      </c>
      <c r="E2487" s="25" t="str">
        <f>HYPERLINK(AA2 &amp; "/scissors/sn_963c8788115b26de979f045d8a735f23/rendering/02.obj", "10.6173486328")</f>
        <v>10.6173486328</v>
      </c>
      <c r="F2487" s="200" t="str">
        <f>HYPERLINK(AA2 &amp; "/scissors/sn_963c8788115b26de979f045d8a735f23/rendering/03.obj", "5.60777282715")</f>
        <v>5.60777282715</v>
      </c>
      <c r="G2487" s="179" t="str">
        <f>HYPERLINK(AA2 &amp; "/scissors/sn_963c8788115b26de979f045d8a735f23/rendering/04.obj", "6.12833251953")</f>
        <v>6.12833251953</v>
      </c>
      <c r="H2487" s="96" t="str">
        <f>HYPERLINK(AA2 &amp; "/scissors/sn_963c8788115b26de979f045d8a735f23/rendering/05.obj", "6.83772338867")</f>
        <v>6.83772338867</v>
      </c>
      <c r="I2487" s="121" t="str">
        <f>HYPERLINK(AA2 &amp; "/scissors/sn_963c8788115b26de979f045d8a735f23/rendering/06.obj", "6.94102600098")</f>
        <v>6.94102600098</v>
      </c>
      <c r="J2487" s="20" t="str">
        <f>HYPERLINK(AA2 &amp; "/scissors/sn_963c8788115b26de979f045d8a735f23/rendering/07.obj", "23.7253955078")</f>
        <v>23.7253955078</v>
      </c>
      <c r="K2487" s="53" t="str">
        <f>HYPERLINK(AA2 &amp; "/scissors/sn_963c8788115b26de979f045d8a735f23/rendering/08.obj", "6.29520874023")</f>
        <v>6.29520874023</v>
      </c>
      <c r="L2487" s="96" t="str">
        <f>HYPERLINK(AA2 &amp; "/scissors/sn_963c8788115b26de979f045d8a735f23/rendering/09.obj", "6.84080322266")</f>
        <v>6.84080322266</v>
      </c>
      <c r="M2487" s="30" t="str">
        <f>HYPERLINK(AA2 &amp; "/scissors/sn_963c8788115b26de979f045d8a735f23/rendering/10.obj", "10.6751794434")</f>
        <v>10.6751794434</v>
      </c>
      <c r="N2487" s="101" t="str">
        <f>HYPERLINK(AA2 &amp; "/scissors/sn_963c8788115b26de979f045d8a735f23/rendering/11.obj", "6.66792480469")</f>
        <v>6.66792480469</v>
      </c>
      <c r="O2487" s="19" t="str">
        <f>HYPERLINK(AA2 &amp; "/scissors/sn_963c8788115b26de979f045d8a735f23/rendering/12.obj", "7.92108642578")</f>
        <v>7.92108642578</v>
      </c>
      <c r="P2487" s="168" t="str">
        <f>HYPERLINK(AA2 &amp; "/scissors/sn_963c8788115b26de979f045d8a735f23/rendering/13.obj", "14.1912194824")</f>
        <v>14.1912194824</v>
      </c>
      <c r="Q2487" s="20" t="str">
        <f>HYPERLINK(AA2 &amp; "/scissors/sn_963c8788115b26de979f045d8a735f23/rendering/14.obj", "21.7309033203")</f>
        <v>21.7309033203</v>
      </c>
      <c r="R2487" s="106" t="str">
        <f>HYPERLINK(AA2 &amp; "/scissors/sn_963c8788115b26de979f045d8a735f23/rendering/15.obj", "9.51338806152")</f>
        <v>9.51338806152</v>
      </c>
      <c r="S2487" s="95" t="str">
        <f>HYPERLINK(AA2 &amp; "/scissors/sn_963c8788115b26de979f045d8a735f23/rendering/16.obj", "7.70753173828")</f>
        <v>7.70753173828</v>
      </c>
      <c r="T2487" s="4" t="str">
        <f>HYPERLINK(AA2 &amp; "/scissors/sn_963c8788115b26de979f045d8a735f23/rendering/17.obj", "7.69960205078")</f>
        <v>7.69960205078</v>
      </c>
      <c r="U2487" s="20" t="str">
        <f>HYPERLINK(AA2 &amp; "/scissors/sn_963c8788115b26de979f045d8a735f23/rendering/18.obj", "24.1509936523")</f>
        <v>24.1509936523</v>
      </c>
      <c r="V2487" s="7" t="str">
        <f>HYPERLINK(AA2 &amp; "/scissors/sn_963c8788115b26de979f045d8a735f23/rendering/19.obj", "13.7083789063")</f>
        <v>13.7083789063</v>
      </c>
      <c r="W2487" s="12" t="s">
        <v>29</v>
      </c>
      <c r="X2487" s="13">
        <v>10.73600347900391</v>
      </c>
      <c r="Y2487" s="13">
        <v>5.7225127284028332</v>
      </c>
      <c r="Z2487" s="228">
        <v>0.53302075950275041</v>
      </c>
    </row>
    <row r="2488" spans="1:26" x14ac:dyDescent="0.2">
      <c r="A2488" s="1">
        <v>2486</v>
      </c>
      <c r="B2488" s="2" t="s">
        <v>530</v>
      </c>
      <c r="C2488" s="151" t="str">
        <f>HYPERLINK(AA2 &amp; "/scissors/sn_963c8788115b26de979f045d8a735f23/rendering/00.obj", "25.5793418884")</f>
        <v>25.5793418884</v>
      </c>
      <c r="D2488" s="192" t="str">
        <f>HYPERLINK(AA2 &amp; "/scissors/sn_963c8788115b26de979f045d8a735f23/rendering/01.obj", "25.0868549347")</f>
        <v>25.0868549347</v>
      </c>
      <c r="E2488" s="105" t="str">
        <f>HYPERLINK(AA2 &amp; "/scissors/sn_963c8788115b26de979f045d8a735f23/rendering/02.obj", "19.3924312592")</f>
        <v>19.3924312592</v>
      </c>
      <c r="F2488" s="20" t="str">
        <f>HYPERLINK(AA2 &amp; "/scissors/sn_963c8788115b26de979f045d8a735f23/rendering/03.obj", "6.15130186081")</f>
        <v>6.15130186081</v>
      </c>
      <c r="G2488" s="20" t="str">
        <f>HYPERLINK(AA2 &amp; "/scissors/sn_963c8788115b26de979f045d8a735f23/rendering/04.obj", "5.99108171463")</f>
        <v>5.99108171463</v>
      </c>
      <c r="H2488" s="234" t="str">
        <f>HYPERLINK(AA2 &amp; "/scissors/sn_963c8788115b26de979f045d8a735f23/rendering/05.obj", "10.2799701691")</f>
        <v>10.2799701691</v>
      </c>
      <c r="I2488" s="189" t="str">
        <f>HYPERLINK(AA2 &amp; "/scissors/sn_963c8788115b26de979f045d8a735f23/rendering/06.obj", "14.9659223557")</f>
        <v>14.9659223557</v>
      </c>
      <c r="J2488" s="20" t="str">
        <f>HYPERLINK(AA2 &amp; "/scissors/sn_963c8788115b26de979f045d8a735f23/rendering/07.obj", "86.5159988403")</f>
        <v>86.5159988403</v>
      </c>
      <c r="K2488" s="20" t="str">
        <f>HYPERLINK(AA2 &amp; "/scissors/sn_963c8788115b26de979f045d8a735f23/rendering/08.obj", "6.02231359482")</f>
        <v>6.02231359482</v>
      </c>
      <c r="L2488" s="232" t="str">
        <f>HYPERLINK(AA2 &amp; "/scissors/sn_963c8788115b26de979f045d8a735f23/rendering/09.obj", "8.61221027374")</f>
        <v>8.61221027374</v>
      </c>
      <c r="M2488" s="38" t="str">
        <f>HYPERLINK(AA2 &amp; "/scissors/sn_963c8788115b26de979f045d8a735f23/rendering/10.obj", "36.2539405823")</f>
        <v>36.2539405823</v>
      </c>
      <c r="N2488" s="20" t="str">
        <f>HYPERLINK(AA2 &amp; "/scissors/sn_963c8788115b26de979f045d8a735f23/rendering/11.obj", "6.43859004974")</f>
        <v>6.43859004974</v>
      </c>
      <c r="O2488" s="240" t="str">
        <f>HYPERLINK(AA2 &amp; "/scissors/sn_963c8788115b26de979f045d8a735f23/rendering/12.obj", "13.7705030441")</f>
        <v>13.7705030441</v>
      </c>
      <c r="P2488" s="198" t="str">
        <f>HYPERLINK(AA2 &amp; "/scissors/sn_963c8788115b26de979f045d8a735f23/rendering/13.obj", "55.2739105225")</f>
        <v>55.2739105225</v>
      </c>
      <c r="Q2488" s="20" t="str">
        <f>HYPERLINK(AA2 &amp; "/scissors/sn_963c8788115b26de979f045d8a735f23/rendering/14.obj", "165.93208313")</f>
        <v>165.93208313</v>
      </c>
      <c r="R2488" s="142" t="str">
        <f>HYPERLINK(AA2 &amp; "/scissors/sn_963c8788115b26de979f045d8a735f23/rendering/15.obj", "55.5294380188")</f>
        <v>55.5294380188</v>
      </c>
      <c r="S2488" s="202" t="str">
        <f>HYPERLINK(AA2 &amp; "/scissors/sn_963c8788115b26de979f045d8a735f23/rendering/16.obj", "14.786075592")</f>
        <v>14.786075592</v>
      </c>
      <c r="T2488" s="173" t="str">
        <f>HYPERLINK(AA2 &amp; "/scissors/sn_963c8788115b26de979f045d8a735f23/rendering/17.obj", "12.420955658")</f>
        <v>12.420955658</v>
      </c>
      <c r="U2488" s="20" t="str">
        <f>HYPERLINK(AA2 &amp; "/scissors/sn_963c8788115b26de979f045d8a735f23/rendering/18.obj", "187.376602173")</f>
        <v>187.376602173</v>
      </c>
      <c r="V2488" s="74" t="str">
        <f>HYPERLINK(AA2 &amp; "/scissors/sn_963c8788115b26de979f045d8a735f23/rendering/19.obj", "40.4392929077")</f>
        <v>40.4392929077</v>
      </c>
      <c r="W2488" s="12" t="s">
        <v>30</v>
      </c>
      <c r="X2488" s="13">
        <v>39.840940928459169</v>
      </c>
      <c r="Y2488" s="13">
        <v>50.124045385673931</v>
      </c>
      <c r="Z2488" s="20">
        <v>1.258103955819712</v>
      </c>
    </row>
    <row r="2489" spans="1:26" x14ac:dyDescent="0.2">
      <c r="A2489" s="1">
        <v>2487</v>
      </c>
      <c r="B2489" s="2" t="s">
        <v>530</v>
      </c>
      <c r="C2489" s="78" t="str">
        <f>HYPERLINK(AB2 &amp; "/scissors/sn_963c8788115b26de979f045d8a735f23/rendering/00.obj", "5.21637145996")</f>
        <v>5.21637145996</v>
      </c>
      <c r="D2489" s="119" t="str">
        <f>HYPERLINK(AB2 &amp; "/scissors/sn_963c8788115b26de979f045d8a735f23/rendering/01.obj", "4.08139831543")</f>
        <v>4.08139831543</v>
      </c>
      <c r="E2489" s="20" t="str">
        <f>HYPERLINK(AB2 &amp; "/scissors/sn_963c8788115b26de979f045d8a735f23/rendering/02.obj", "11.3522131348")</f>
        <v>11.3522131348</v>
      </c>
      <c r="F2489" s="106" t="str">
        <f>HYPERLINK(AB2 &amp; "/scissors/sn_963c8788115b26de979f045d8a735f23/rendering/03.obj", "4.9318359375")</f>
        <v>4.9318359375</v>
      </c>
      <c r="G2489" s="63" t="str">
        <f>HYPERLINK(AB2 &amp; "/scissors/sn_963c8788115b26de979f045d8a735f23/rendering/04.obj", "4.89974700928")</f>
        <v>4.89974700928</v>
      </c>
      <c r="H2489" s="90" t="str">
        <f>HYPERLINK(AB2 &amp; "/scissors/sn_963c8788115b26de979f045d8a735f23/rendering/05.obj", "5.03332427979")</f>
        <v>5.03332427979</v>
      </c>
      <c r="I2489" s="37" t="str">
        <f>HYPERLINK(AB2 &amp; "/scissors/sn_963c8788115b26de979f045d8a735f23/rendering/06.obj", "4.59639068604")</f>
        <v>4.59639068604</v>
      </c>
      <c r="J2489" s="5" t="str">
        <f>HYPERLINK(AB2 &amp; "/scissors/sn_963c8788115b26de979f045d8a735f23/rendering/07.obj", "5.12857055664")</f>
        <v>5.12857055664</v>
      </c>
      <c r="K2489" s="71" t="str">
        <f>HYPERLINK(AB2 &amp; "/scissors/sn_963c8788115b26de979f045d8a735f23/rendering/08.obj", "4.90764282227")</f>
        <v>4.90764282227</v>
      </c>
      <c r="L2489" s="37" t="str">
        <f>HYPERLINK(AB2 &amp; "/scissors/sn_963c8788115b26de979f045d8a735f23/rendering/09.obj", "4.59850952148")</f>
        <v>4.59850952148</v>
      </c>
      <c r="M2489" s="47" t="str">
        <f>HYPERLINK(AB2 &amp; "/scissors/sn_963c8788115b26de979f045d8a735f23/rendering/10.obj", "5.61017883301")</f>
        <v>5.61017883301</v>
      </c>
      <c r="N2489" s="36" t="str">
        <f>HYPERLINK(AB2 &amp; "/scissors/sn_963c8788115b26de979f045d8a735f23/rendering/11.obj", "4.36506408691")</f>
        <v>4.36506408691</v>
      </c>
      <c r="O2489" s="10" t="str">
        <f>HYPERLINK(AB2 &amp; "/scissors/sn_963c8788115b26de979f045d8a735f23/rendering/12.obj", "5.26314453125")</f>
        <v>5.26314453125</v>
      </c>
      <c r="P2489" s="13" t="str">
        <f>HYPERLINK(AB2 &amp; "/scissors/sn_963c8788115b26de979f045d8a735f23/rendering/13.obj", "5.57538818359")</f>
        <v>5.57538818359</v>
      </c>
      <c r="Q2489" s="26" t="str">
        <f>HYPERLINK(AB2 &amp; "/scissors/sn_963c8788115b26de979f045d8a735f23/rendering/14.obj", "5.91442626953")</f>
        <v>5.91442626953</v>
      </c>
      <c r="R2489" s="176" t="str">
        <f>HYPERLINK(AB2 &amp; "/scissors/sn_963c8788115b26de979f045d8a735f23/rendering/15.obj", "7.33485107422")</f>
        <v>7.33485107422</v>
      </c>
      <c r="S2489" s="13" t="str">
        <f>HYPERLINK(AB2 &amp; "/scissors/sn_963c8788115b26de979f045d8a735f23/rendering/16.obj", "5.57789978027")</f>
        <v>5.57789978027</v>
      </c>
      <c r="T2489" s="89" t="str">
        <f>HYPERLINK(AB2 &amp; "/scissors/sn_963c8788115b26de979f045d8a735f23/rendering/17.obj", "4.13041748047")</f>
        <v>4.13041748047</v>
      </c>
      <c r="U2489" s="123" t="str">
        <f>HYPERLINK(AB2 &amp; "/scissors/sn_963c8788115b26de979f045d8a735f23/rendering/18.obj", "7.62126708984")</f>
        <v>7.62126708984</v>
      </c>
      <c r="V2489" s="94" t="str">
        <f>HYPERLINK(AB2 &amp; "/scissors/sn_963c8788115b26de979f045d8a735f23/rendering/19.obj", "5.16049682617")</f>
        <v>5.16049682617</v>
      </c>
      <c r="W2489" s="12" t="s">
        <v>31</v>
      </c>
      <c r="X2489" s="13">
        <v>5.5649568939208987</v>
      </c>
      <c r="Y2489" s="13">
        <v>1.591746211438736</v>
      </c>
      <c r="Z2489" s="166">
        <v>0.2860302859088707</v>
      </c>
    </row>
    <row r="2490" spans="1:26" x14ac:dyDescent="0.2">
      <c r="A2490" s="1">
        <v>2488</v>
      </c>
      <c r="B2490" s="2" t="s">
        <v>530</v>
      </c>
      <c r="C2490" s="72" t="str">
        <f>HYPERLINK(AB2 &amp; "/scissors/sn_963c8788115b26de979f045d8a735f23/rendering/00.obj", "5.82693719864")</f>
        <v>5.82693719864</v>
      </c>
      <c r="D2490" s="192" t="str">
        <f>HYPERLINK(AB2 &amp; "/scissors/sn_963c8788115b26de979f045d8a735f23/rendering/01.obj", "3.54230880737")</f>
        <v>3.54230880737</v>
      </c>
      <c r="E2490" s="20" t="str">
        <f>HYPERLINK(AB2 &amp; "/scissors/sn_963c8788115b26de979f045d8a735f23/rendering/02.obj", "20.8877048492")</f>
        <v>20.8877048492</v>
      </c>
      <c r="F2490" s="157" t="str">
        <f>HYPERLINK(AB2 &amp; "/scissors/sn_963c8788115b26de979f045d8a735f23/rendering/03.obj", "3.29401421547")</f>
        <v>3.29401421547</v>
      </c>
      <c r="G2490" s="179" t="str">
        <f>HYPERLINK(AB2 &amp; "/scissors/sn_963c8788115b26de979f045d8a735f23/rendering/04.obj", "3.21491646767")</f>
        <v>3.21491646767</v>
      </c>
      <c r="H2490" s="82" t="str">
        <f>HYPERLINK(AB2 &amp; "/scissors/sn_963c8788115b26de979f045d8a735f23/rendering/05.obj", "4.46968793869")</f>
        <v>4.46968793869</v>
      </c>
      <c r="I2490" s="196" t="str">
        <f>HYPERLINK(AB2 &amp; "/scissors/sn_963c8788115b26de979f045d8a735f23/rendering/06.obj", "3.39480900764")</f>
        <v>3.39480900764</v>
      </c>
      <c r="J2490" s="92" t="str">
        <f>HYPERLINK(AB2 &amp; "/scissors/sn_963c8788115b26de979f045d8a735f23/rendering/07.obj", "4.94240999222")</f>
        <v>4.94240999222</v>
      </c>
      <c r="K2490" s="157" t="str">
        <f>HYPERLINK(AB2 &amp; "/scissors/sn_963c8788115b26de979f045d8a735f23/rendering/08.obj", "3.29879498482")</f>
        <v>3.29879498482</v>
      </c>
      <c r="L2490" s="170" t="str">
        <f>HYPERLINK(AB2 &amp; "/scissors/sn_963c8788115b26de979f045d8a735f23/rendering/09.obj", "4.20719957352")</f>
        <v>4.20719957352</v>
      </c>
      <c r="M2490" s="98" t="str">
        <f>HYPERLINK(AB2 &amp; "/scissors/sn_963c8788115b26de979f045d8a735f23/rendering/10.obj", "6.94329452515")</f>
        <v>6.94329452515</v>
      </c>
      <c r="N2490" s="85" t="str">
        <f>HYPERLINK(AB2 &amp; "/scissors/sn_963c8788115b26de979f045d8a735f23/rendering/11.obj", "3.96925783157")</f>
        <v>3.96925783157</v>
      </c>
      <c r="O2490" s="67" t="str">
        <f>HYPERLINK(AB2 &amp; "/scissors/sn_963c8788115b26de979f045d8a735f23/rendering/12.obj", "5.11303520203")</f>
        <v>5.11303520203</v>
      </c>
      <c r="P2490" s="41" t="str">
        <f>HYPERLINK(AB2 &amp; "/scissors/sn_963c8788115b26de979f045d8a735f23/rendering/13.obj", "6.01130437851")</f>
        <v>6.01130437851</v>
      </c>
      <c r="Q2490" s="176" t="str">
        <f>HYPERLINK(AB2 &amp; "/scissors/sn_963c8788115b26de979f045d8a735f23/rendering/14.obj", "7.42981100082")</f>
        <v>7.42981100082</v>
      </c>
      <c r="R2490" s="65" t="str">
        <f>HYPERLINK(AB2 &amp; "/scissors/sn_963c8788115b26de979f045d8a735f23/rendering/15.obj", "6.39619064331")</f>
        <v>6.39619064331</v>
      </c>
      <c r="S2490" s="75" t="str">
        <f>HYPERLINK(AB2 &amp; "/scissors/sn_963c8788115b26de979f045d8a735f23/rendering/16.obj", "4.3925652504")</f>
        <v>4.3925652504</v>
      </c>
      <c r="T2490" s="191" t="str">
        <f>HYPERLINK(AB2 &amp; "/scissors/sn_963c8788115b26de979f045d8a735f23/rendering/17.obj", "3.07892894745")</f>
        <v>3.07892894745</v>
      </c>
      <c r="U2490" s="226" t="str">
        <f>HYPERLINK(AB2 &amp; "/scissors/sn_963c8788115b26de979f045d8a735f23/rendering/18.obj", "8.8166217804")</f>
        <v>8.8166217804</v>
      </c>
      <c r="V2490" s="124" t="str">
        <f>HYPERLINK(AB2 &amp; "/scissors/sn_963c8788115b26de979f045d8a735f23/rendering/19.obj", "3.48893666267")</f>
        <v>3.48893666267</v>
      </c>
      <c r="W2490" s="12" t="s">
        <v>32</v>
      </c>
      <c r="X2490" s="13">
        <v>5.6359364628791813</v>
      </c>
      <c r="Y2490" s="13">
        <v>3.8357355833254339</v>
      </c>
      <c r="Z2490" s="220">
        <v>0.68058531329962957</v>
      </c>
    </row>
    <row r="2491" spans="1:26" x14ac:dyDescent="0.2">
      <c r="A2491" s="1">
        <v>2489</v>
      </c>
      <c r="B2491" s="2" t="s">
        <v>530</v>
      </c>
      <c r="C2491" s="13" t="str">
        <f>HYPERLINK(AC2 &amp; "/scissors/sn_963c8788115b26de979f045d8a735f23/rendering/00.xyz", "0.0")</f>
        <v>0.0</v>
      </c>
      <c r="D2491" s="13" t="str">
        <f>HYPERLINK(AC2 &amp; "/scissors/sn_963c8788115b26de979f045d8a735f23/rendering/01.xyz", "0.0")</f>
        <v>0.0</v>
      </c>
      <c r="E2491" s="13" t="str">
        <f>HYPERLINK(AC2 &amp; "/scissors/sn_963c8788115b26de979f045d8a735f23/rendering/02.xyz", "0.0")</f>
        <v>0.0</v>
      </c>
      <c r="F2491" s="13" t="str">
        <f>HYPERLINK(AC2 &amp; "/scissors/sn_963c8788115b26de979f045d8a735f23/rendering/03.xyz", "0.0")</f>
        <v>0.0</v>
      </c>
      <c r="G2491" s="13" t="str">
        <f>HYPERLINK(AC2 &amp; "/scissors/sn_963c8788115b26de979f045d8a735f23/rendering/04.xyz", "0.0")</f>
        <v>0.0</v>
      </c>
      <c r="H2491" s="13" t="str">
        <f>HYPERLINK(AC2 &amp; "/scissors/sn_963c8788115b26de979f045d8a735f23/rendering/05.xyz", "0.0")</f>
        <v>0.0</v>
      </c>
      <c r="I2491" s="13" t="str">
        <f>HYPERLINK(AC2 &amp; "/scissors/sn_963c8788115b26de979f045d8a735f23/rendering/06.xyz", "0.0")</f>
        <v>0.0</v>
      </c>
      <c r="J2491" s="13" t="str">
        <f>HYPERLINK(AC2 &amp; "/scissors/sn_963c8788115b26de979f045d8a735f23/rendering/07.xyz", "0.0")</f>
        <v>0.0</v>
      </c>
      <c r="K2491" s="13" t="str">
        <f>HYPERLINK(AC2 &amp; "/scissors/sn_963c8788115b26de979f045d8a735f23/rendering/08.xyz", "0.0")</f>
        <v>0.0</v>
      </c>
      <c r="L2491" s="13" t="str">
        <f>HYPERLINK(AC2 &amp; "/scissors/sn_963c8788115b26de979f045d8a735f23/rendering/09.xyz", "0.0")</f>
        <v>0.0</v>
      </c>
      <c r="M2491" s="13" t="str">
        <f>HYPERLINK(AC2 &amp; "/scissors/sn_963c8788115b26de979f045d8a735f23/rendering/10.xyz", "0.0")</f>
        <v>0.0</v>
      </c>
      <c r="N2491" s="13" t="str">
        <f>HYPERLINK(AC2 &amp; "/scissors/sn_963c8788115b26de979f045d8a735f23/rendering/11.xyz", "0.0")</f>
        <v>0.0</v>
      </c>
      <c r="O2491" s="13" t="str">
        <f>HYPERLINK(AC2 &amp; "/scissors/sn_963c8788115b26de979f045d8a735f23/rendering/12.xyz", "0.0")</f>
        <v>0.0</v>
      </c>
      <c r="P2491" s="13" t="str">
        <f>HYPERLINK(AC2 &amp; "/scissors/sn_963c8788115b26de979f045d8a735f23/rendering/13.xyz", "0.0")</f>
        <v>0.0</v>
      </c>
      <c r="Q2491" s="13" t="str">
        <f>HYPERLINK(AC2 &amp; "/scissors/sn_963c8788115b26de979f045d8a735f23/rendering/14.xyz", "0.0")</f>
        <v>0.0</v>
      </c>
      <c r="R2491" s="13" t="str">
        <f>HYPERLINK(AC2 &amp; "/scissors/sn_963c8788115b26de979f045d8a735f23/rendering/15.xyz", "0.0")</f>
        <v>0.0</v>
      </c>
      <c r="S2491" s="13" t="str">
        <f>HYPERLINK(AC2 &amp; "/scissors/sn_963c8788115b26de979f045d8a735f23/rendering/16.xyz", "0.0")</f>
        <v>0.0</v>
      </c>
      <c r="T2491" s="13" t="str">
        <f>HYPERLINK(AC2 &amp; "/scissors/sn_963c8788115b26de979f045d8a735f23/rendering/17.xyz", "0.0")</f>
        <v>0.0</v>
      </c>
      <c r="U2491" s="13" t="str">
        <f>HYPERLINK(AC2 &amp; "/scissors/sn_963c8788115b26de979f045d8a735f23/rendering/18.xyz", "0.0")</f>
        <v>0.0</v>
      </c>
      <c r="V2491" s="13" t="str">
        <f>HYPERLINK(AC2 &amp; "/scissors/sn_963c8788115b26de979f045d8a735f23/rendering/19.xyz", "0.0")</f>
        <v>0.0</v>
      </c>
      <c r="W2491" s="12" t="s">
        <v>33</v>
      </c>
      <c r="X2491" s="13">
        <v>0</v>
      </c>
      <c r="Y2491" s="13">
        <v>0</v>
      </c>
      <c r="Z2491" s="13">
        <v>0</v>
      </c>
    </row>
    <row r="2492" spans="1:26" x14ac:dyDescent="0.2">
      <c r="A2492" s="1">
        <v>2490</v>
      </c>
      <c r="B2492" s="2" t="s">
        <v>531</v>
      </c>
      <c r="C2492" s="104" t="str">
        <f>HYPERLINK(AA2 &amp; "/scissors/sn_b25873c9339c3a6396c572c1e884a20d/rendering/00.obj", "3.74136962891")</f>
        <v>3.74136962891</v>
      </c>
      <c r="D2492" s="177" t="str">
        <f>HYPERLINK(AA2 &amp; "/scissors/sn_b25873c9339c3a6396c572c1e884a20d/rendering/01.obj", "3.32269622803")</f>
        <v>3.32269622803</v>
      </c>
      <c r="E2492" s="50" t="str">
        <f>HYPERLINK(AA2 &amp; "/scissors/sn_b25873c9339c3a6396c572c1e884a20d/rendering/02.obj", "5.70590332031")</f>
        <v>5.70590332031</v>
      </c>
      <c r="F2492" s="32" t="str">
        <f>HYPERLINK(AA2 &amp; "/scissors/sn_b25873c9339c3a6396c572c1e884a20d/rendering/03.obj", "7.87707580566")</f>
        <v>7.87707580566</v>
      </c>
      <c r="G2492" s="103" t="str">
        <f>HYPERLINK(AA2 &amp; "/scissors/sn_b25873c9339c3a6396c572c1e884a20d/rendering/04.obj", "4.82052703857")</f>
        <v>4.82052703857</v>
      </c>
      <c r="H2492" s="159" t="str">
        <f>HYPERLINK(AA2 &amp; "/scissors/sn_b25873c9339c3a6396c572c1e884a20d/rendering/05.obj", "3.77819091797")</f>
        <v>3.77819091797</v>
      </c>
      <c r="I2492" s="26" t="str">
        <f>HYPERLINK(AA2 &amp; "/scissors/sn_b25873c9339c3a6396c572c1e884a20d/rendering/06.obj", "7.58172302246")</f>
        <v>7.58172302246</v>
      </c>
      <c r="J2492" s="202" t="str">
        <f>HYPERLINK(AA2 &amp; "/scissors/sn_b25873c9339c3a6396c572c1e884a20d/rendering/07.obj", "11.6100048828")</f>
        <v>11.6100048828</v>
      </c>
      <c r="K2492" s="63" t="str">
        <f>HYPERLINK(AA2 &amp; "/scissors/sn_b25873c9339c3a6396c572c1e884a20d/rendering/08.obj", "6.26050354004")</f>
        <v>6.26050354004</v>
      </c>
      <c r="L2492" s="94" t="str">
        <f>HYPERLINK(AA2 &amp; "/scissors/sn_b25873c9339c3a6396c572c1e884a20d/rendering/09.obj", "6.59574584961")</f>
        <v>6.59574584961</v>
      </c>
      <c r="M2492" s="20" t="str">
        <f>HYPERLINK(AA2 &amp; "/scissors/sn_b25873c9339c3a6396c572c1e884a20d/rendering/10.obj", "16.2472485352")</f>
        <v>16.2472485352</v>
      </c>
      <c r="N2492" s="175" t="str">
        <f>HYPERLINK(AA2 &amp; "/scissors/sn_b25873c9339c3a6396c572c1e884a20d/rendering/11.obj", "5.45546875")</f>
        <v>5.45546875</v>
      </c>
      <c r="O2492" s="176" t="str">
        <f>HYPERLINK(AA2 &amp; "/scissors/sn_b25873c9339c3a6396c572c1e884a20d/rendering/12.obj", "4.86295654297")</f>
        <v>4.86295654297</v>
      </c>
      <c r="P2492" s="223" t="str">
        <f>HYPERLINK(AA2 &amp; "/scissors/sn_b25873c9339c3a6396c572c1e884a20d/rendering/13.obj", "3.14647125244")</f>
        <v>3.14647125244</v>
      </c>
      <c r="Q2492" s="141" t="str">
        <f>HYPERLINK(AA2 &amp; "/scissors/sn_b25873c9339c3a6396c572c1e884a20d/rendering/14.obj", "11.0584130859")</f>
        <v>11.0584130859</v>
      </c>
      <c r="R2492" s="177" t="str">
        <f>HYPERLINK(AA2 &amp; "/scissors/sn_b25873c9339c3a6396c572c1e884a20d/rendering/15.obj", "3.31824462891")</f>
        <v>3.31824462891</v>
      </c>
      <c r="S2492" s="51" t="str">
        <f>HYPERLINK(AA2 &amp; "/scissors/sn_b25873c9339c3a6396c572c1e884a20d/rendering/16.obj", "7.69928344727")</f>
        <v>7.69928344727</v>
      </c>
      <c r="T2492" s="20" t="str">
        <f>HYPERLINK(AA2 &amp; "/scissors/sn_b25873c9339c3a6396c572c1e884a20d/rendering/17.obj", "21.6748168945")</f>
        <v>21.6748168945</v>
      </c>
      <c r="U2492" s="116" t="str">
        <f>HYPERLINK(AA2 &amp; "/scissors/sn_b25873c9339c3a6396c572c1e884a20d/rendering/18.obj", "4.00366882324")</f>
        <v>4.00366882324</v>
      </c>
      <c r="V2492" s="191" t="str">
        <f>HYPERLINK(AA2 &amp; "/scissors/sn_b25873c9339c3a6396c572c1e884a20d/rendering/19.obj", "3.89562255859")</f>
        <v>3.89562255859</v>
      </c>
      <c r="W2492" s="12" t="s">
        <v>29</v>
      </c>
      <c r="X2492" s="13">
        <v>7.1327967376708994</v>
      </c>
      <c r="Y2492" s="13">
        <v>4.6661425779400876</v>
      </c>
      <c r="Z2492" s="240">
        <v>0.65418134702990882</v>
      </c>
    </row>
    <row r="2493" spans="1:26" x14ac:dyDescent="0.2">
      <c r="A2493" s="1">
        <v>2491</v>
      </c>
      <c r="B2493" s="2" t="s">
        <v>531</v>
      </c>
      <c r="C2493" s="199" t="str">
        <f>HYPERLINK(AA2 &amp; "/scissors/sn_b25873c9339c3a6396c572c1e884a20d/rendering/00.obj", "1.83191931248")</f>
        <v>1.83191931248</v>
      </c>
      <c r="D2493" s="254" t="str">
        <f>HYPERLINK(AA2 &amp; "/scissors/sn_b25873c9339c3a6396c572c1e884a20d/rendering/01.obj", "1.94863200188")</f>
        <v>1.94863200188</v>
      </c>
      <c r="E2493" s="127" t="str">
        <f>HYPERLINK(AA2 &amp; "/scissors/sn_b25873c9339c3a6396c572c1e884a20d/rendering/02.obj", "4.11509466171")</f>
        <v>4.11509466171</v>
      </c>
      <c r="F2493" s="38" t="str">
        <f>HYPERLINK(AA2 &amp; "/scissors/sn_b25873c9339c3a6396c572c1e884a20d/rendering/03.obj", "9.32217407227")</f>
        <v>9.32217407227</v>
      </c>
      <c r="G2493" s="210" t="str">
        <f>HYPERLINK(AA2 &amp; "/scissors/sn_b25873c9339c3a6396c572c1e884a20d/rendering/04.obj", "1.96648216248")</f>
        <v>1.96648216248</v>
      </c>
      <c r="H2493" s="146" t="str">
        <f>HYPERLINK(AA2 &amp; "/scissors/sn_b25873c9339c3a6396c572c1e884a20d/rendering/05.obj", "1.90466189384")</f>
        <v>1.90466189384</v>
      </c>
      <c r="I2493" s="218" t="str">
        <f>HYPERLINK(AA2 &amp; "/scissors/sn_b25873c9339c3a6396c572c1e884a20d/rendering/06.obj", "4.15345716476")</f>
        <v>4.15345716476</v>
      </c>
      <c r="J2493" s="43" t="str">
        <f>HYPERLINK(AA2 &amp; "/scissors/sn_b25873c9339c3a6396c572c1e884a20d/rendering/07.obj", "11.771279335")</f>
        <v>11.771279335</v>
      </c>
      <c r="K2493" s="148" t="str">
        <f>HYPERLINK(AA2 &amp; "/scissors/sn_b25873c9339c3a6396c572c1e884a20d/rendering/08.obj", "4.41932010651")</f>
        <v>4.41932010651</v>
      </c>
      <c r="L2493" s="122" t="str">
        <f>HYPERLINK(AA2 &amp; "/scissors/sn_b25873c9339c3a6396c572c1e884a20d/rendering/09.obj", "5.12096357346")</f>
        <v>5.12096357346</v>
      </c>
      <c r="M2493" s="20" t="str">
        <f>HYPERLINK(AA2 &amp; "/scissors/sn_b25873c9339c3a6396c572c1e884a20d/rendering/10.obj", "26.4867038727")</f>
        <v>26.4867038727</v>
      </c>
      <c r="N2493" s="230" t="str">
        <f>HYPERLINK(AA2 &amp; "/scissors/sn_b25873c9339c3a6396c572c1e884a20d/rendering/11.obj", "4.65888023376")</f>
        <v>4.65888023376</v>
      </c>
      <c r="O2493" s="257" t="str">
        <f>HYPERLINK(AA2 &amp; "/scissors/sn_b25873c9339c3a6396c572c1e884a20d/rendering/12.obj", "2.44127655029")</f>
        <v>2.44127655029</v>
      </c>
      <c r="P2493" s="20" t="str">
        <f>HYPERLINK(AA2 &amp; "/scissors/sn_b25873c9339c3a6396c572c1e884a20d/rendering/13.obj", "1.48951458931")</f>
        <v>1.48951458931</v>
      </c>
      <c r="Q2493" s="167" t="str">
        <f>HYPERLINK(AA2 &amp; "/scissors/sn_b25873c9339c3a6396c572c1e884a20d/rendering/14.obj", "13.7487392426")</f>
        <v>13.7487392426</v>
      </c>
      <c r="R2493" s="243" t="str">
        <f>HYPERLINK(AA2 &amp; "/scissors/sn_b25873c9339c3a6396c572c1e884a20d/rendering/15.obj", "1.88732743263")</f>
        <v>1.88732743263</v>
      </c>
      <c r="S2493" s="38" t="str">
        <f>HYPERLINK(AA2 &amp; "/scissors/sn_b25873c9339c3a6396c572c1e884a20d/rendering/16.obj", "7.79947757721")</f>
        <v>7.79947757721</v>
      </c>
      <c r="T2493" s="20" t="str">
        <f>HYPERLINK(AA2 &amp; "/scissors/sn_b25873c9339c3a6396c572c1e884a20d/rendering/17.obj", "62.0788497925")</f>
        <v>62.0788497925</v>
      </c>
      <c r="U2493" s="236" t="str">
        <f>HYPERLINK(AA2 &amp; "/scissors/sn_b25873c9339c3a6396c572c1e884a20d/rendering/18.obj", "2.23201441765")</f>
        <v>2.23201441765</v>
      </c>
      <c r="V2493" s="210" t="str">
        <f>HYPERLINK(AA2 &amp; "/scissors/sn_b25873c9339c3a6396c572c1e884a20d/rendering/19.obj", "1.97097110748")</f>
        <v>1.97097110748</v>
      </c>
      <c r="W2493" s="12" t="s">
        <v>30</v>
      </c>
      <c r="X2493" s="13">
        <v>8.5673869550228119</v>
      </c>
      <c r="Y2493" s="13">
        <v>13.600647667745481</v>
      </c>
      <c r="Z2493" s="20">
        <v>1.587490764587423</v>
      </c>
    </row>
    <row r="2494" spans="1:26" x14ac:dyDescent="0.2">
      <c r="A2494" s="1">
        <v>2492</v>
      </c>
      <c r="B2494" s="2" t="s">
        <v>531</v>
      </c>
      <c r="C2494" s="192" t="str">
        <f>HYPERLINK(AB2 &amp; "/scissors/sn_b25873c9339c3a6396c572c1e884a20d/rendering/00.obj", "2.61824645996")</f>
        <v>2.61824645996</v>
      </c>
      <c r="D2494" s="100" t="str">
        <f>HYPERLINK(AB2 &amp; "/scissors/sn_b25873c9339c3a6396c572c1e884a20d/rendering/01.obj", "2.92187683105")</f>
        <v>2.92187683105</v>
      </c>
      <c r="E2494" s="106" t="str">
        <f>HYPERLINK(AB2 &amp; "/scissors/sn_b25873c9339c3a6396c572c1e884a20d/rendering/02.obj", "4.64282592773")</f>
        <v>4.64282592773</v>
      </c>
      <c r="F2494" s="91" t="str">
        <f>HYPERLINK(AB2 &amp; "/scissors/sn_b25873c9339c3a6396c572c1e884a20d/rendering/03.obj", "4.27557617188")</f>
        <v>4.27557617188</v>
      </c>
      <c r="G2494" s="166" t="str">
        <f>HYPERLINK(AB2 &amp; "/scissors/sn_b25873c9339c3a6396c572c1e884a20d/rendering/04.obj", "5.36142089844")</f>
        <v>5.36142089844</v>
      </c>
      <c r="H2494" s="108" t="str">
        <f>HYPERLINK(AB2 &amp; "/scissors/sn_b25873c9339c3a6396c572c1e884a20d/rendering/05.obj", "5.18935668945")</f>
        <v>5.18935668945</v>
      </c>
      <c r="I2494" s="134" t="str">
        <f>HYPERLINK(AB2 &amp; "/scissors/sn_b25873c9339c3a6396c572c1e884a20d/rendering/06.obj", "4.92222625732")</f>
        <v>4.92222625732</v>
      </c>
      <c r="J2494" s="8" t="str">
        <f>HYPERLINK(AB2 &amp; "/scissors/sn_b25873c9339c3a6396c572c1e884a20d/rendering/07.obj", "3.56851348877")</f>
        <v>3.56851348877</v>
      </c>
      <c r="K2494" s="28" t="str">
        <f>HYPERLINK(AB2 &amp; "/scissors/sn_b25873c9339c3a6396c572c1e884a20d/rendering/08.obj", "3.69897155762")</f>
        <v>3.69897155762</v>
      </c>
      <c r="L2494" s="4" t="str">
        <f>HYPERLINK(AB2 &amp; "/scissors/sn_b25873c9339c3a6396c572c1e884a20d/rendering/09.obj", "5.3449597168")</f>
        <v>5.3449597168</v>
      </c>
      <c r="M2494" s="26" t="str">
        <f>HYPERLINK(AB2 &amp; "/scissors/sn_b25873c9339c3a6396c572c1e884a20d/rendering/10.obj", "3.9000604248")</f>
        <v>3.9000604248</v>
      </c>
      <c r="N2494" s="91" t="str">
        <f>HYPERLINK(AB2 &amp; "/scissors/sn_b25873c9339c3a6396c572c1e884a20d/rendering/11.obj", "4.05665893555")</f>
        <v>4.05665893555</v>
      </c>
      <c r="O2494" s="71" t="str">
        <f>HYPERLINK(AB2 &amp; "/scissors/sn_b25873c9339c3a6396c572c1e884a20d/rendering/12.obj", "4.66028930664")</f>
        <v>4.66028930664</v>
      </c>
      <c r="P2494" s="19" t="str">
        <f>HYPERLINK(AB2 &amp; "/scissors/sn_b25873c9339c3a6396c572c1e884a20d/rendering/13.obj", "3.07065246582")</f>
        <v>3.07065246582</v>
      </c>
      <c r="Q2494" s="26" t="str">
        <f>HYPERLINK(AB2 &amp; "/scissors/sn_b25873c9339c3a6396c572c1e884a20d/rendering/14.obj", "4.43260070801")</f>
        <v>4.43260070801</v>
      </c>
      <c r="R2494" s="91" t="str">
        <f>HYPERLINK(AB2 &amp; "/scissors/sn_b25873c9339c3a6396c572c1e884a20d/rendering/15.obj", "4.28305908203")</f>
        <v>4.28305908203</v>
      </c>
      <c r="S2494" s="74" t="str">
        <f>HYPERLINK(AB2 &amp; "/scissors/sn_b25873c9339c3a6396c572c1e884a20d/rendering/16.obj", "4.1112677002")</f>
        <v>4.1112677002</v>
      </c>
      <c r="T2494" s="170" t="str">
        <f>HYPERLINK(AB2 &amp; "/scissors/sn_b25873c9339c3a6396c572c1e884a20d/rendering/17.obj", "3.11621154785")</f>
        <v>3.11621154785</v>
      </c>
      <c r="U2494" s="72" t="str">
        <f>HYPERLINK(AB2 &amp; "/scissors/sn_b25873c9339c3a6396c572c1e884a20d/rendering/18.obj", "4.31016967773")</f>
        <v>4.31016967773</v>
      </c>
      <c r="V2494" s="66" t="str">
        <f>HYPERLINK(AB2 &amp; "/scissors/sn_b25873c9339c3a6396c572c1e884a20d/rendering/19.obj", "4.84598815918")</f>
        <v>4.84598815918</v>
      </c>
      <c r="W2494" s="12" t="s">
        <v>31</v>
      </c>
      <c r="X2494" s="13">
        <v>4.166546600341797</v>
      </c>
      <c r="Y2494" s="13">
        <v>0.78726595735066707</v>
      </c>
      <c r="Z2494" s="109">
        <v>0.18894927451095461</v>
      </c>
    </row>
    <row r="2495" spans="1:26" x14ac:dyDescent="0.2">
      <c r="A2495" s="1">
        <v>2493</v>
      </c>
      <c r="B2495" s="2" t="s">
        <v>531</v>
      </c>
      <c r="C2495" s="46" t="str">
        <f>HYPERLINK(AB2 &amp; "/scissors/sn_b25873c9339c3a6396c572c1e884a20d/rendering/00.obj", "1.5425542593")</f>
        <v>1.5425542593</v>
      </c>
      <c r="D2495" s="74" t="str">
        <f>HYPERLINK(AB2 &amp; "/scissors/sn_b25873c9339c3a6396c572c1e884a20d/rendering/01.obj", "1.59335875511")</f>
        <v>1.59335875511</v>
      </c>
      <c r="E2495" s="83" t="str">
        <f>HYPERLINK(AB2 &amp; "/scissors/sn_b25873c9339c3a6396c572c1e884a20d/rendering/02.obj", "1.81356394291")</f>
        <v>1.81356394291</v>
      </c>
      <c r="F2495" s="91" t="str">
        <f>HYPERLINK(AB2 &amp; "/scissors/sn_b25873c9339c3a6396c572c1e884a20d/rendering/03.obj", "1.53146481514")</f>
        <v>1.53146481514</v>
      </c>
      <c r="G2495" s="14" t="str">
        <f>HYPERLINK(AB2 &amp; "/scissors/sn_b25873c9339c3a6396c572c1e884a20d/rendering/04.obj", "2.02744460106")</f>
        <v>2.02744460106</v>
      </c>
      <c r="H2495" s="30" t="str">
        <f>HYPERLINK(AB2 &amp; "/scissors/sn_b25873c9339c3a6396c572c1e884a20d/rendering/05.obj", "1.56282532215")</f>
        <v>1.56282532215</v>
      </c>
      <c r="I2495" s="66" t="str">
        <f>HYPERLINK(AB2 &amp; "/scissors/sn_b25873c9339c3a6396c572c1e884a20d/rendering/06.obj", "1.82412946224")</f>
        <v>1.82412946224</v>
      </c>
      <c r="J2495" s="17" t="str">
        <f>HYPERLINK(AB2 &amp; "/scissors/sn_b25873c9339c3a6396c572c1e884a20d/rendering/07.obj", "1.54024219513")</f>
        <v>1.54024219513</v>
      </c>
      <c r="K2495" s="133" t="str">
        <f>HYPERLINK(AB2 &amp; "/scissors/sn_b25873c9339c3a6396c572c1e884a20d/rendering/08.obj", "1.41213190556")</f>
        <v>1.41213190556</v>
      </c>
      <c r="L2495" s="48" t="str">
        <f>HYPERLINK(AB2 &amp; "/scissors/sn_b25873c9339c3a6396c572c1e884a20d/rendering/09.obj", "1.53440392017")</f>
        <v>1.53440392017</v>
      </c>
      <c r="M2495" s="5" t="str">
        <f>HYPERLINK(AB2 &amp; "/scissors/sn_b25873c9339c3a6396c572c1e884a20d/rendering/10.obj", "1.69052577019")</f>
        <v>1.69052577019</v>
      </c>
      <c r="N2495" s="10" t="str">
        <f>HYPERLINK(AB2 &amp; "/scissors/sn_b25873c9339c3a6396c572c1e884a20d/rendering/11.obj", "1.48551011086")</f>
        <v>1.48551011086</v>
      </c>
      <c r="O2495" s="117" t="str">
        <f>HYPERLINK(AB2 &amp; "/scissors/sn_b25873c9339c3a6396c572c1e884a20d/rendering/12.obj", "1.29549050331")</f>
        <v>1.29549050331</v>
      </c>
      <c r="P2495" s="74" t="str">
        <f>HYPERLINK(AB2 &amp; "/scissors/sn_b25873c9339c3a6396c572c1e884a20d/rendering/13.obj", "1.548838377")</f>
        <v>1.548838377</v>
      </c>
      <c r="Q2495" s="38" t="str">
        <f>HYPERLINK(AB2 &amp; "/scissors/sn_b25873c9339c3a6396c572c1e884a20d/rendering/14.obj", "1.42917895317")</f>
        <v>1.42917895317</v>
      </c>
      <c r="R2495" s="34" t="str">
        <f>HYPERLINK(AB2 &amp; "/scissors/sn_b25873c9339c3a6396c572c1e884a20d/rendering/15.obj", "1.49391496181")</f>
        <v>1.49391496181</v>
      </c>
      <c r="S2495" s="25" t="str">
        <f>HYPERLINK(AB2 &amp; "/scissors/sn_b25873c9339c3a6396c572c1e884a20d/rendering/16.obj", "1.59121918678")</f>
        <v>1.59121918678</v>
      </c>
      <c r="T2495" s="72" t="str">
        <f>HYPERLINK(AB2 &amp; "/scissors/sn_b25873c9339c3a6396c572c1e884a20d/rendering/17.obj", "1.62570261955")</f>
        <v>1.62570261955</v>
      </c>
      <c r="U2495" s="26" t="str">
        <f>HYPERLINK(AB2 &amp; "/scissors/sn_b25873c9339c3a6396c572c1e884a20d/rendering/18.obj", "1.4690258503")</f>
        <v>1.4690258503</v>
      </c>
      <c r="V2495" s="38" t="str">
        <f>HYPERLINK(AB2 &amp; "/scissors/sn_b25873c9339c3a6396c572c1e884a20d/rendering/19.obj", "1.43069255352")</f>
        <v>1.43069255352</v>
      </c>
      <c r="W2495" s="12" t="s">
        <v>32</v>
      </c>
      <c r="X2495" s="13">
        <v>1.572110903263092</v>
      </c>
      <c r="Y2495" s="13">
        <v>0.16112496122277251</v>
      </c>
      <c r="Z2495" s="133">
        <v>0.1024895641193885</v>
      </c>
    </row>
    <row r="2496" spans="1:26" x14ac:dyDescent="0.2">
      <c r="A2496" s="1">
        <v>2494</v>
      </c>
      <c r="B2496" s="2" t="s">
        <v>531</v>
      </c>
      <c r="C2496" s="13" t="str">
        <f>HYPERLINK(AC2 &amp; "/scissors/sn_b25873c9339c3a6396c572c1e884a20d/rendering/00.xyz", "0.0")</f>
        <v>0.0</v>
      </c>
      <c r="D2496" s="13" t="str">
        <f>HYPERLINK(AC2 &amp; "/scissors/sn_b25873c9339c3a6396c572c1e884a20d/rendering/01.xyz", "0.0")</f>
        <v>0.0</v>
      </c>
      <c r="E2496" s="13" t="str">
        <f>HYPERLINK(AC2 &amp; "/scissors/sn_b25873c9339c3a6396c572c1e884a20d/rendering/02.xyz", "0.0")</f>
        <v>0.0</v>
      </c>
      <c r="F2496" s="13" t="str">
        <f>HYPERLINK(AC2 &amp; "/scissors/sn_b25873c9339c3a6396c572c1e884a20d/rendering/03.xyz", "0.0")</f>
        <v>0.0</v>
      </c>
      <c r="G2496" s="13" t="str">
        <f>HYPERLINK(AC2 &amp; "/scissors/sn_b25873c9339c3a6396c572c1e884a20d/rendering/04.xyz", "0.0")</f>
        <v>0.0</v>
      </c>
      <c r="H2496" s="13" t="str">
        <f>HYPERLINK(AC2 &amp; "/scissors/sn_b25873c9339c3a6396c572c1e884a20d/rendering/05.xyz", "0.0")</f>
        <v>0.0</v>
      </c>
      <c r="I2496" s="13" t="str">
        <f>HYPERLINK(AC2 &amp; "/scissors/sn_b25873c9339c3a6396c572c1e884a20d/rendering/06.xyz", "0.0")</f>
        <v>0.0</v>
      </c>
      <c r="J2496" s="13" t="str">
        <f>HYPERLINK(AC2 &amp; "/scissors/sn_b25873c9339c3a6396c572c1e884a20d/rendering/07.xyz", "0.0")</f>
        <v>0.0</v>
      </c>
      <c r="K2496" s="13" t="str">
        <f>HYPERLINK(AC2 &amp; "/scissors/sn_b25873c9339c3a6396c572c1e884a20d/rendering/08.xyz", "0.0")</f>
        <v>0.0</v>
      </c>
      <c r="L2496" s="13" t="str">
        <f>HYPERLINK(AC2 &amp; "/scissors/sn_b25873c9339c3a6396c572c1e884a20d/rendering/09.xyz", "0.0")</f>
        <v>0.0</v>
      </c>
      <c r="M2496" s="13" t="str">
        <f>HYPERLINK(AC2 &amp; "/scissors/sn_b25873c9339c3a6396c572c1e884a20d/rendering/10.xyz", "0.0")</f>
        <v>0.0</v>
      </c>
      <c r="N2496" s="13" t="str">
        <f>HYPERLINK(AC2 &amp; "/scissors/sn_b25873c9339c3a6396c572c1e884a20d/rendering/11.xyz", "0.0")</f>
        <v>0.0</v>
      </c>
      <c r="O2496" s="13" t="str">
        <f>HYPERLINK(AC2 &amp; "/scissors/sn_b25873c9339c3a6396c572c1e884a20d/rendering/12.xyz", "0.0")</f>
        <v>0.0</v>
      </c>
      <c r="P2496" s="13" t="str">
        <f>HYPERLINK(AC2 &amp; "/scissors/sn_b25873c9339c3a6396c572c1e884a20d/rendering/13.xyz", "0.0")</f>
        <v>0.0</v>
      </c>
      <c r="Q2496" s="13" t="str">
        <f>HYPERLINK(AC2 &amp; "/scissors/sn_b25873c9339c3a6396c572c1e884a20d/rendering/14.xyz", "0.0")</f>
        <v>0.0</v>
      </c>
      <c r="R2496" s="13" t="str">
        <f>HYPERLINK(AC2 &amp; "/scissors/sn_b25873c9339c3a6396c572c1e884a20d/rendering/15.xyz", "0.0")</f>
        <v>0.0</v>
      </c>
      <c r="S2496" s="13" t="str">
        <f>HYPERLINK(AC2 &amp; "/scissors/sn_b25873c9339c3a6396c572c1e884a20d/rendering/16.xyz", "0.0")</f>
        <v>0.0</v>
      </c>
      <c r="T2496" s="13" t="str">
        <f>HYPERLINK(AC2 &amp; "/scissors/sn_b25873c9339c3a6396c572c1e884a20d/rendering/17.xyz", "0.0")</f>
        <v>0.0</v>
      </c>
      <c r="U2496" s="13" t="str">
        <f>HYPERLINK(AC2 &amp; "/scissors/sn_b25873c9339c3a6396c572c1e884a20d/rendering/18.xyz", "0.0")</f>
        <v>0.0</v>
      </c>
      <c r="V2496" s="13" t="str">
        <f>HYPERLINK(AC2 &amp; "/scissors/sn_b25873c9339c3a6396c572c1e884a20d/rendering/19.xyz", "0.0")</f>
        <v>0.0</v>
      </c>
      <c r="W2496" s="12" t="s">
        <v>33</v>
      </c>
      <c r="X2496" s="13">
        <v>0</v>
      </c>
      <c r="Y2496" s="13">
        <v>0</v>
      </c>
      <c r="Z2496" s="13">
        <v>0</v>
      </c>
    </row>
    <row r="2497" spans="1:26" x14ac:dyDescent="0.2">
      <c r="A2497" s="1">
        <v>2495</v>
      </c>
      <c r="B2497" s="2" t="s">
        <v>532</v>
      </c>
      <c r="C2497" s="106" t="str">
        <f>HYPERLINK(AA2 &amp; "/scissors/sn_bf2e40ab28c6b7bac94f6db5c00b15d/rendering/00.obj", "3.50313964844")</f>
        <v>3.50313964844</v>
      </c>
      <c r="D2497" s="28" t="str">
        <f>HYPERLINK(AA2 &amp; "/scissors/sn_bf2e40ab28c6b7bac94f6db5c00b15d/rendering/01.obj", "3.52092803955")</f>
        <v>3.52092803955</v>
      </c>
      <c r="E2497" s="13" t="str">
        <f>HYPERLINK(AA2 &amp; "/scissors/sn_bf2e40ab28c6b7bac94f6db5c00b15d/rendering/02.obj", "3.96447570801")</f>
        <v>3.96447570801</v>
      </c>
      <c r="F2497" s="83" t="str">
        <f>HYPERLINK(AA2 &amp; "/scissors/sn_bf2e40ab28c6b7bac94f6db5c00b15d/rendering/03.obj", "4.56643981934")</f>
        <v>4.56643981934</v>
      </c>
      <c r="G2497" s="73" t="str">
        <f>HYPERLINK(AA2 &amp; "/scissors/sn_bf2e40ab28c6b7bac94f6db5c00b15d/rendering/04.obj", "3.82484558105")</f>
        <v>3.82484558105</v>
      </c>
      <c r="H2497" s="35" t="str">
        <f>HYPERLINK(AA2 &amp; "/scissors/sn_bf2e40ab28c6b7bac94f6db5c00b15d/rendering/05.obj", "3.73231689453")</f>
        <v>3.73231689453</v>
      </c>
      <c r="I2497" s="17" t="str">
        <f>HYPERLINK(AA2 &amp; "/scissors/sn_bf2e40ab28c6b7bac94f6db5c00b15d/rendering/06.obj", "4.04580841064")</f>
        <v>4.04580841064</v>
      </c>
      <c r="J2497" s="35" t="str">
        <f>HYPERLINK(AA2 &amp; "/scissors/sn_bf2e40ab28c6b7bac94f6db5c00b15d/rendering/07.obj", "4.19166259766")</f>
        <v>4.19166259766</v>
      </c>
      <c r="K2497" s="46" t="str">
        <f>HYPERLINK(AA2 &amp; "/scissors/sn_bf2e40ab28c6b7bac94f6db5c00b15d/rendering/08.obj", "4.03509765625")</f>
        <v>4.03509765625</v>
      </c>
      <c r="L2497" s="13" t="str">
        <f>HYPERLINK(AA2 &amp; "/scissors/sn_bf2e40ab28c6b7bac94f6db5c00b15d/rendering/09.obj", "3.95559143066")</f>
        <v>3.95559143066</v>
      </c>
      <c r="M2497" s="60" t="str">
        <f>HYPERLINK(AA2 &amp; "/scissors/sn_bf2e40ab28c6b7bac94f6db5c00b15d/rendering/10.obj", "3.75194671631")</f>
        <v>3.75194671631</v>
      </c>
      <c r="N2497" s="90" t="str">
        <f>HYPERLINK(AA2 &amp; "/scissors/sn_bf2e40ab28c6b7bac94f6db5c00b15d/rendering/11.obj", "4.34752838135")</f>
        <v>4.34752838135</v>
      </c>
      <c r="O2497" s="110" t="str">
        <f>HYPERLINK(AA2 &amp; "/scissors/sn_bf2e40ab28c6b7bac94f6db5c00b15d/rendering/12.obj", "3.56650024414")</f>
        <v>3.56650024414</v>
      </c>
      <c r="P2497" s="84" t="str">
        <f>HYPERLINK(AA2 &amp; "/scissors/sn_bf2e40ab28c6b7bac94f6db5c00b15d/rendering/13.obj", "4.54244476318")</f>
        <v>4.54244476318</v>
      </c>
      <c r="Q2497" s="34" t="str">
        <f>HYPERLINK(AA2 &amp; "/scissors/sn_bf2e40ab28c6b7bac94f6db5c00b15d/rendering/14.obj", "3.7711340332")</f>
        <v>3.7711340332</v>
      </c>
      <c r="R2497" s="58" t="str">
        <f>HYPERLINK(AA2 &amp; "/scissors/sn_bf2e40ab28c6b7bac94f6db5c00b15d/rendering/15.obj", "4.93264343262")</f>
        <v>4.93264343262</v>
      </c>
      <c r="S2497" s="39" t="str">
        <f>HYPERLINK(AA2 &amp; "/scissors/sn_bf2e40ab28c6b7bac94f6db5c00b15d/rendering/16.obj", "4.31061645508")</f>
        <v>4.31061645508</v>
      </c>
      <c r="T2497" s="71" t="str">
        <f>HYPERLINK(AA2 &amp; "/scissors/sn_bf2e40ab28c6b7bac94f6db5c00b15d/rendering/17.obj", "3.49871490479")</f>
        <v>3.49871490479</v>
      </c>
      <c r="U2497" s="110" t="str">
        <f>HYPERLINK(AA2 &amp; "/scissors/sn_bf2e40ab28c6b7bac94f6db5c00b15d/rendering/18.obj", "3.56543670654")</f>
        <v>3.56543670654</v>
      </c>
      <c r="V2497" s="107" t="str">
        <f>HYPERLINK(AA2 &amp; "/scissors/sn_bf2e40ab28c6b7bac94f6db5c00b15d/rendering/19.obj", "3.63292602539")</f>
        <v>3.63292602539</v>
      </c>
      <c r="W2497" s="12" t="s">
        <v>29</v>
      </c>
      <c r="X2497" s="13">
        <v>3.9630098724365239</v>
      </c>
      <c r="Y2497" s="13">
        <v>0.398342635629585</v>
      </c>
      <c r="Z2497" s="133">
        <v>0.10051517620486709</v>
      </c>
    </row>
    <row r="2498" spans="1:26" x14ac:dyDescent="0.2">
      <c r="A2498" s="1">
        <v>2496</v>
      </c>
      <c r="B2498" s="2" t="s">
        <v>532</v>
      </c>
      <c r="C2498" s="85" t="str">
        <f>HYPERLINK(AA2 &amp; "/scissors/sn_bf2e40ab28c6b7bac94f6db5c00b15d/rendering/00.obj", "1.92578530312")</f>
        <v>1.92578530312</v>
      </c>
      <c r="D2498" s="114" t="str">
        <f>HYPERLINK(AA2 &amp; "/scissors/sn_bf2e40ab28c6b7bac94f6db5c00b15d/rendering/01.obj", "1.47525882721")</f>
        <v>1.47525882721</v>
      </c>
      <c r="E2498" s="92" t="str">
        <f>HYPERLINK(AA2 &amp; "/scissors/sn_bf2e40ab28c6b7bac94f6db5c00b15d/rendering/02.obj", "2.40147328377")</f>
        <v>2.40147328377</v>
      </c>
      <c r="F2498" s="6" t="str">
        <f>HYPERLINK(AA2 &amp; "/scissors/sn_bf2e40ab28c6b7bac94f6db5c00b15d/rendering/03.obj", "2.86494326591")</f>
        <v>2.86494326591</v>
      </c>
      <c r="G2498" s="172" t="str">
        <f>HYPERLINK(AA2 &amp; "/scissors/sn_bf2e40ab28c6b7bac94f6db5c00b15d/rendering/04.obj", "1.68759036064")</f>
        <v>1.68759036064</v>
      </c>
      <c r="H2498" s="37" t="str">
        <f>HYPERLINK(AA2 &amp; "/scissors/sn_bf2e40ab28c6b7bac94f6db5c00b15d/rendering/05.obj", "2.25809812546")</f>
        <v>2.25809812546</v>
      </c>
      <c r="I2498" s="73" t="str">
        <f>HYPERLINK(AA2 &amp; "/scissors/sn_bf2e40ab28c6b7bac94f6db5c00b15d/rendering/06.obj", "2.83938860893")</f>
        <v>2.83938860893</v>
      </c>
      <c r="J2498" s="14" t="str">
        <f>HYPERLINK(AA2 &amp; "/scissors/sn_bf2e40ab28c6b7bac94f6db5c00b15d/rendering/07.obj", "1.93994414806")</f>
        <v>1.93994414806</v>
      </c>
      <c r="K2498" s="135" t="str">
        <f>HYPERLINK(AA2 &amp; "/scissors/sn_bf2e40ab28c6b7bac94f6db5c00b15d/rendering/08.obj", "2.03463625908")</f>
        <v>2.03463625908</v>
      </c>
      <c r="L2498" s="96" t="str">
        <f>HYPERLINK(AA2 &amp; "/scissors/sn_bf2e40ab28c6b7bac94f6db5c00b15d/rendering/09.obj", "3.732868433")</f>
        <v>3.732868433</v>
      </c>
      <c r="M2498" s="4" t="str">
        <f>HYPERLINK(AA2 &amp; "/scissors/sn_bf2e40ab28c6b7bac94f6db5c00b15d/rendering/10.obj", "3.51837778091")</f>
        <v>3.51837778091</v>
      </c>
      <c r="N2498" s="17" t="str">
        <f>HYPERLINK(AA2 &amp; "/scissors/sn_bf2e40ab28c6b7bac94f6db5c00b15d/rendering/11.obj", "2.79286623001")</f>
        <v>2.79286623001</v>
      </c>
      <c r="O2498" s="137" t="str">
        <f>HYPERLINK(AA2 &amp; "/scissors/sn_bf2e40ab28c6b7bac94f6db5c00b15d/rendering/12.obj", "1.73252940178")</f>
        <v>1.73252940178</v>
      </c>
      <c r="P2498" s="37" t="str">
        <f>HYPERLINK(AA2 &amp; "/scissors/sn_bf2e40ab28c6b7bac94f6db5c00b15d/rendering/13.obj", "3.20950555801")</f>
        <v>3.20950555801</v>
      </c>
      <c r="Q2498" s="13" t="str">
        <f>HYPERLINK(AA2 &amp; "/scissors/sn_bf2e40ab28c6b7bac94f6db5c00b15d/rendering/14.obj", "2.74206614494")</f>
        <v>2.74206614494</v>
      </c>
      <c r="R2498" s="124" t="str">
        <f>HYPERLINK(AA2 &amp; "/scissors/sn_bf2e40ab28c6b7bac94f6db5c00b15d/rendering/15.obj", "3.78356266022")</f>
        <v>3.78356266022</v>
      </c>
      <c r="S2498" s="20" t="str">
        <f>HYPERLINK(AA2 &amp; "/scissors/sn_bf2e40ab28c6b7bac94f6db5c00b15d/rendering/16.obj", "7.27055835724")</f>
        <v>7.27055835724</v>
      </c>
      <c r="T2498" s="87" t="str">
        <f>HYPERLINK(AA2 &amp; "/scissors/sn_bf2e40ab28c6b7bac94f6db5c00b15d/rendering/17.obj", "2.11658596992")</f>
        <v>2.11658596992</v>
      </c>
      <c r="U2498" s="198" t="str">
        <f>HYPERLINK(AA2 &amp; "/scissors/sn_bf2e40ab28c6b7bac94f6db5c00b15d/rendering/18.obj", "1.68059229851")</f>
        <v>1.68059229851</v>
      </c>
      <c r="V2498" s="13" t="str">
        <f>HYPERLINK(AA2 &amp; "/scissors/sn_bf2e40ab28c6b7bac94f6db5c00b15d/rendering/19.obj", "2.73401713371")</f>
        <v>2.73401713371</v>
      </c>
      <c r="W2498" s="12" t="s">
        <v>30</v>
      </c>
      <c r="X2498" s="13">
        <v>2.737032407522201</v>
      </c>
      <c r="Y2498" s="13">
        <v>1.2416873725655719</v>
      </c>
      <c r="Z2498" s="191">
        <v>0.45366191834376379</v>
      </c>
    </row>
    <row r="2499" spans="1:26" x14ac:dyDescent="0.2">
      <c r="A2499" s="1">
        <v>2497</v>
      </c>
      <c r="B2499" s="2" t="s">
        <v>532</v>
      </c>
      <c r="C2499" s="29" t="str">
        <f>HYPERLINK(AB2 &amp; "/scissors/sn_bf2e40ab28c6b7bac94f6db5c00b15d/rendering/00.obj", "3.31446472168")</f>
        <v>3.31446472168</v>
      </c>
      <c r="D2499" s="51" t="str">
        <f>HYPERLINK(AB2 &amp; "/scissors/sn_bf2e40ab28c6b7bac94f6db5c00b15d/rendering/01.obj", "3.508722229")</f>
        <v>3.508722229</v>
      </c>
      <c r="E2499" s="91" t="str">
        <f>HYPERLINK(AB2 &amp; "/scissors/sn_bf2e40ab28c6b7bac94f6db5c00b15d/rendering/02.obj", "3.91450378418")</f>
        <v>3.91450378418</v>
      </c>
      <c r="F2499" s="30" t="str">
        <f>HYPERLINK(AB2 &amp; "/scissors/sn_bf2e40ab28c6b7bac94f6db5c00b15d/rendering/03.obj", "3.78672241211")</f>
        <v>3.78672241211</v>
      </c>
      <c r="G2499" s="13" t="str">
        <f>HYPERLINK(AB2 &amp; "/scissors/sn_bf2e40ab28c6b7bac94f6db5c00b15d/rendering/04.obj", "3.81009216309")</f>
        <v>3.81009216309</v>
      </c>
      <c r="H2499" s="35" t="str">
        <f>HYPERLINK(AB2 &amp; "/scissors/sn_bf2e40ab28c6b7bac94f6db5c00b15d/rendering/05.obj", "4.02624145508")</f>
        <v>4.02624145508</v>
      </c>
      <c r="I2499" s="107" t="str">
        <f>HYPERLINK(AB2 &amp; "/scissors/sn_bf2e40ab28c6b7bac94f6db5c00b15d/rendering/06.obj", "4.12573120117")</f>
        <v>4.12573120117</v>
      </c>
      <c r="J2499" s="74" t="str">
        <f>HYPERLINK(AB2 &amp; "/scissors/sn_bf2e40ab28c6b7bac94f6db5c00b15d/rendering/07.obj", "3.86667602539")</f>
        <v>3.86667602539</v>
      </c>
      <c r="K2499" s="91" t="str">
        <f>HYPERLINK(AB2 &amp; "/scissors/sn_bf2e40ab28c6b7bac94f6db5c00b15d/rendering/08.obj", "3.91007446289")</f>
        <v>3.91007446289</v>
      </c>
      <c r="L2499" s="35" t="str">
        <f>HYPERLINK(AB2 &amp; "/scissors/sn_bf2e40ab28c6b7bac94f6db5c00b15d/rendering/09.obj", "4.03439849854")</f>
        <v>4.03439849854</v>
      </c>
      <c r="M2499" s="70" t="str">
        <f>HYPERLINK(AB2 &amp; "/scissors/sn_bf2e40ab28c6b7bac94f6db5c00b15d/rendering/10.obj", "3.32027648926")</f>
        <v>3.32027648926</v>
      </c>
      <c r="N2499" s="60" t="str">
        <f>HYPERLINK(AB2 &amp; "/scissors/sn_bf2e40ab28c6b7bac94f6db5c00b15d/rendering/11.obj", "4.00346099854")</f>
        <v>4.00346099854</v>
      </c>
      <c r="O2499" s="107" t="str">
        <f>HYPERLINK(AB2 &amp; "/scissors/sn_bf2e40ab28c6b7bac94f6db5c00b15d/rendering/12.obj", "4.1261618042")</f>
        <v>4.1261618042</v>
      </c>
      <c r="P2499" s="13" t="str">
        <f>HYPERLINK(AB2 &amp; "/scissors/sn_bf2e40ab28c6b7bac94f6db5c00b15d/rendering/13.obj", "3.81846832275")</f>
        <v>3.81846832275</v>
      </c>
      <c r="Q2499" s="70" t="str">
        <f>HYPERLINK(AB2 &amp; "/scissors/sn_bf2e40ab28c6b7bac94f6db5c00b15d/rendering/14.obj", "4.29530822754")</f>
        <v>4.29530822754</v>
      </c>
      <c r="R2499" s="69" t="str">
        <f>HYPERLINK(AB2 &amp; "/scissors/sn_bf2e40ab28c6b7bac94f6db5c00b15d/rendering/15.obj", "3.69782348633")</f>
        <v>3.69782348633</v>
      </c>
      <c r="S2499" s="90" t="str">
        <f>HYPERLINK(AB2 &amp; "/scissors/sn_bf2e40ab28c6b7bac94f6db5c00b15d/rendering/16.obj", "3.44548217773")</f>
        <v>3.44548217773</v>
      </c>
      <c r="T2499" s="39" t="str">
        <f>HYPERLINK(AB2 &amp; "/scissors/sn_bf2e40ab28c6b7bac94f6db5c00b15d/rendering/17.obj", "3.48170593262")</f>
        <v>3.48170593262</v>
      </c>
      <c r="U2499" s="46" t="str">
        <f>HYPERLINK(AB2 &amp; "/scissors/sn_bf2e40ab28c6b7bac94f6db5c00b15d/rendering/18.obj", "3.74050170898")</f>
        <v>3.74050170898</v>
      </c>
      <c r="V2499" s="23" t="str">
        <f>HYPERLINK(AB2 &amp; "/scissors/sn_bf2e40ab28c6b7bac94f6db5c00b15d/rendering/19.obj", "3.96085693359")</f>
        <v>3.96085693359</v>
      </c>
      <c r="W2499" s="12" t="s">
        <v>31</v>
      </c>
      <c r="X2499" s="13">
        <v>3.8093836517333992</v>
      </c>
      <c r="Y2499" s="13">
        <v>0.26939182463902028</v>
      </c>
      <c r="Z2499" s="27">
        <v>7.0717955781754327E-2</v>
      </c>
    </row>
    <row r="2500" spans="1:26" x14ac:dyDescent="0.2">
      <c r="A2500" s="1">
        <v>2498</v>
      </c>
      <c r="B2500" s="2" t="s">
        <v>532</v>
      </c>
      <c r="C2500" s="67" t="str">
        <f>HYPERLINK(AB2 &amp; "/scissors/sn_bf2e40ab28c6b7bac94f6db5c00b15d/rendering/00.obj", "1.5755507946")</f>
        <v>1.5755507946</v>
      </c>
      <c r="D2500" s="90" t="str">
        <f>HYPERLINK(AB2 &amp; "/scissors/sn_bf2e40ab28c6b7bac94f6db5c00b15d/rendering/01.obj", "1.57298779488")</f>
        <v>1.57298779488</v>
      </c>
      <c r="E2500" s="25" t="str">
        <f>HYPERLINK(AB2 &amp; "/scissors/sn_bf2e40ab28c6b7bac94f6db5c00b15d/rendering/02.obj", "1.75539064407")</f>
        <v>1.75539064407</v>
      </c>
      <c r="F2500" s="133" t="str">
        <f>HYPERLINK(AB2 &amp; "/scissors/sn_bf2e40ab28c6b7bac94f6db5c00b15d/rendering/03.obj", "1.56263530254")</f>
        <v>1.56263530254</v>
      </c>
      <c r="G2500" s="80" t="str">
        <f>HYPERLINK(AB2 &amp; "/scissors/sn_bf2e40ab28c6b7bac94f6db5c00b15d/rendering/04.obj", "1.47826504707")</f>
        <v>1.47826504707</v>
      </c>
      <c r="H2500" s="41" t="str">
        <f>HYPERLINK(AB2 &amp; "/scissors/sn_bf2e40ab28c6b7bac94f6db5c00b15d/rendering/05.obj", "1.85638618469")</f>
        <v>1.85638618469</v>
      </c>
      <c r="I2500" s="69" t="str">
        <f>HYPERLINK(AB2 &amp; "/scissors/sn_bf2e40ab28c6b7bac94f6db5c00b15d/rendering/06.obj", "1.68572878838")</f>
        <v>1.68572878838</v>
      </c>
      <c r="J2500" s="83" t="str">
        <f>HYPERLINK(AB2 &amp; "/scissors/sn_bf2e40ab28c6b7bac94f6db5c00b15d/rendering/07.obj", "2.00264644623")</f>
        <v>2.00264644623</v>
      </c>
      <c r="K2500" s="17" t="str">
        <f>HYPERLINK(AB2 &amp; "/scissors/sn_bf2e40ab28c6b7bac94f6db5c00b15d/rendering/08.obj", "1.7018250227")</f>
        <v>1.7018250227</v>
      </c>
      <c r="L2500" s="42" t="str">
        <f>HYPERLINK(AB2 &amp; "/scissors/sn_bf2e40ab28c6b7bac94f6db5c00b15d/rendering/09.obj", "1.97394764423")</f>
        <v>1.97394764423</v>
      </c>
      <c r="M2500" s="40" t="str">
        <f>HYPERLINK(AB2 &amp; "/scissors/sn_bf2e40ab28c6b7bac94f6db5c00b15d/rendering/10.obj", "2.03481316566")</f>
        <v>2.03481316566</v>
      </c>
      <c r="N2500" s="25" t="str">
        <f>HYPERLINK(AB2 &amp; "/scissors/sn_bf2e40ab28c6b7bac94f6db5c00b15d/rendering/11.obj", "1.7547621727")</f>
        <v>1.7547621727</v>
      </c>
      <c r="O2500" s="65" t="str">
        <f>HYPERLINK(AB2 &amp; "/scissors/sn_bf2e40ab28c6b7bac94f6db5c00b15d/rendering/12.obj", "1.50812208652")</f>
        <v>1.50812208652</v>
      </c>
      <c r="P2500" s="90" t="str">
        <f>HYPERLINK(AB2 &amp; "/scissors/sn_bf2e40ab28c6b7bac94f6db5c00b15d/rendering/13.obj", "1.56916844845")</f>
        <v>1.56916844845</v>
      </c>
      <c r="Q2500" s="41" t="str">
        <f>HYPERLINK(AB2 &amp; "/scissors/sn_bf2e40ab28c6b7bac94f6db5c00b15d/rendering/14.obj", "1.85480046272")</f>
        <v>1.85480046272</v>
      </c>
      <c r="R2500" s="6" t="str">
        <f>HYPERLINK(AB2 &amp; "/scissors/sn_bf2e40ab28c6b7bac94f6db5c00b15d/rendering/15.obj", "1.66026341915")</f>
        <v>1.66026341915</v>
      </c>
      <c r="S2500" s="38" t="str">
        <f>HYPERLINK(AB2 &amp; "/scissors/sn_bf2e40ab28c6b7bac94f6db5c00b15d/rendering/16.obj", "1.89053845406")</f>
        <v>1.89053845406</v>
      </c>
      <c r="T2500" s="74" t="str">
        <f>HYPERLINK(AB2 &amp; "/scissors/sn_bf2e40ab28c6b7bac94f6db5c00b15d/rendering/17.obj", "1.71174037457")</f>
        <v>1.71174037457</v>
      </c>
      <c r="U2500" s="6" t="str">
        <f>HYPERLINK(AB2 &amp; "/scissors/sn_bf2e40ab28c6b7bac94f6db5c00b15d/rendering/18.obj", "1.81650745869")</f>
        <v>1.81650745869</v>
      </c>
      <c r="V2500" s="48" t="str">
        <f>HYPERLINK(AB2 &amp; "/scissors/sn_bf2e40ab28c6b7bac94f6db5c00b15d/rendering/19.obj", "1.7778018713")</f>
        <v>1.7778018713</v>
      </c>
      <c r="W2500" s="12" t="s">
        <v>32</v>
      </c>
      <c r="X2500" s="13">
        <v>1.7371940791606899</v>
      </c>
      <c r="Y2500" s="13">
        <v>0.16078027314514659</v>
      </c>
      <c r="Z2500" s="67">
        <v>9.2551704541167984E-2</v>
      </c>
    </row>
    <row r="2501" spans="1:26" x14ac:dyDescent="0.2">
      <c r="A2501" s="1">
        <v>2499</v>
      </c>
      <c r="B2501" s="2" t="s">
        <v>532</v>
      </c>
      <c r="C2501" s="13" t="str">
        <f>HYPERLINK(AC2 &amp; "/scissors/sn_bf2e40ab28c6b7bac94f6db5c00b15d/rendering/00.xyz", "0.0")</f>
        <v>0.0</v>
      </c>
      <c r="D2501" s="13" t="str">
        <f>HYPERLINK(AC2 &amp; "/scissors/sn_bf2e40ab28c6b7bac94f6db5c00b15d/rendering/01.xyz", "0.0")</f>
        <v>0.0</v>
      </c>
      <c r="E2501" s="13" t="str">
        <f>HYPERLINK(AC2 &amp; "/scissors/sn_bf2e40ab28c6b7bac94f6db5c00b15d/rendering/02.xyz", "0.0")</f>
        <v>0.0</v>
      </c>
      <c r="F2501" s="13" t="str">
        <f>HYPERLINK(AC2 &amp; "/scissors/sn_bf2e40ab28c6b7bac94f6db5c00b15d/rendering/03.xyz", "0.0")</f>
        <v>0.0</v>
      </c>
      <c r="G2501" s="13" t="str">
        <f>HYPERLINK(AC2 &amp; "/scissors/sn_bf2e40ab28c6b7bac94f6db5c00b15d/rendering/04.xyz", "0.0")</f>
        <v>0.0</v>
      </c>
      <c r="H2501" s="13" t="str">
        <f>HYPERLINK(AC2 &amp; "/scissors/sn_bf2e40ab28c6b7bac94f6db5c00b15d/rendering/05.xyz", "0.0")</f>
        <v>0.0</v>
      </c>
      <c r="I2501" s="13" t="str">
        <f>HYPERLINK(AC2 &amp; "/scissors/sn_bf2e40ab28c6b7bac94f6db5c00b15d/rendering/06.xyz", "0.0")</f>
        <v>0.0</v>
      </c>
      <c r="J2501" s="13" t="str">
        <f>HYPERLINK(AC2 &amp; "/scissors/sn_bf2e40ab28c6b7bac94f6db5c00b15d/rendering/07.xyz", "0.0")</f>
        <v>0.0</v>
      </c>
      <c r="K2501" s="13" t="str">
        <f>HYPERLINK(AC2 &amp; "/scissors/sn_bf2e40ab28c6b7bac94f6db5c00b15d/rendering/08.xyz", "0.0")</f>
        <v>0.0</v>
      </c>
      <c r="L2501" s="13" t="str">
        <f>HYPERLINK(AC2 &amp; "/scissors/sn_bf2e40ab28c6b7bac94f6db5c00b15d/rendering/09.xyz", "0.0")</f>
        <v>0.0</v>
      </c>
      <c r="M2501" s="13" t="str">
        <f>HYPERLINK(AC2 &amp; "/scissors/sn_bf2e40ab28c6b7bac94f6db5c00b15d/rendering/10.xyz", "0.0")</f>
        <v>0.0</v>
      </c>
      <c r="N2501" s="13" t="str">
        <f>HYPERLINK(AC2 &amp; "/scissors/sn_bf2e40ab28c6b7bac94f6db5c00b15d/rendering/11.xyz", "0.0")</f>
        <v>0.0</v>
      </c>
      <c r="O2501" s="13" t="str">
        <f>HYPERLINK(AC2 &amp; "/scissors/sn_bf2e40ab28c6b7bac94f6db5c00b15d/rendering/12.xyz", "0.0")</f>
        <v>0.0</v>
      </c>
      <c r="P2501" s="13" t="str">
        <f>HYPERLINK(AC2 &amp; "/scissors/sn_bf2e40ab28c6b7bac94f6db5c00b15d/rendering/13.xyz", "0.0")</f>
        <v>0.0</v>
      </c>
      <c r="Q2501" s="13" t="str">
        <f>HYPERLINK(AC2 &amp; "/scissors/sn_bf2e40ab28c6b7bac94f6db5c00b15d/rendering/14.xyz", "0.0")</f>
        <v>0.0</v>
      </c>
      <c r="R2501" s="13" t="str">
        <f>HYPERLINK(AC2 &amp; "/scissors/sn_bf2e40ab28c6b7bac94f6db5c00b15d/rendering/15.xyz", "0.0")</f>
        <v>0.0</v>
      </c>
      <c r="S2501" s="13" t="str">
        <f>HYPERLINK(AC2 &amp; "/scissors/sn_bf2e40ab28c6b7bac94f6db5c00b15d/rendering/16.xyz", "0.0")</f>
        <v>0.0</v>
      </c>
      <c r="T2501" s="13" t="str">
        <f>HYPERLINK(AC2 &amp; "/scissors/sn_bf2e40ab28c6b7bac94f6db5c00b15d/rendering/17.xyz", "0.0")</f>
        <v>0.0</v>
      </c>
      <c r="U2501" s="13" t="str">
        <f>HYPERLINK(AC2 &amp; "/scissors/sn_bf2e40ab28c6b7bac94f6db5c00b15d/rendering/18.xyz", "0.0")</f>
        <v>0.0</v>
      </c>
      <c r="V2501" s="13" t="str">
        <f>HYPERLINK(AC2 &amp; "/scissors/sn_bf2e40ab28c6b7bac94f6db5c00b15d/rendering/19.xyz", "0.0")</f>
        <v>0.0</v>
      </c>
      <c r="W2501" s="12" t="s">
        <v>33</v>
      </c>
      <c r="X2501" s="13">
        <v>0</v>
      </c>
      <c r="Y2501" s="13">
        <v>0</v>
      </c>
      <c r="Z2501" s="13">
        <v>0</v>
      </c>
    </row>
    <row r="2502" spans="1:26" x14ac:dyDescent="0.2">
      <c r="A2502" s="1">
        <v>2500</v>
      </c>
      <c r="B2502" s="2" t="s">
        <v>533</v>
      </c>
      <c r="C2502" s="29" t="str">
        <f>HYPERLINK(AA2 &amp; "/scissors/sn_d5189176b6a6677bdf053ccc645157ff/rendering/00.obj", "3.89965911865")</f>
        <v>3.89965911865</v>
      </c>
      <c r="D2502" s="169" t="str">
        <f>HYPERLINK(AA2 &amp; "/scissors/sn_d5189176b6a6677bdf053ccc645157ff/rendering/01.obj", "5.89334228516")</f>
        <v>5.89334228516</v>
      </c>
      <c r="E2502" s="78" t="str">
        <f>HYPERLINK(AA2 &amp; "/scissors/sn_d5189176b6a6677bdf053ccc645157ff/rendering/02.obj", "4.21600250244")</f>
        <v>4.21600250244</v>
      </c>
      <c r="F2502" s="88" t="str">
        <f>HYPERLINK(AA2 &amp; "/scissors/sn_d5189176b6a6677bdf053ccc645157ff/rendering/03.obj", "5.40082397461")</f>
        <v>5.40082397461</v>
      </c>
      <c r="G2502" s="219" t="str">
        <f>HYPERLINK(AA2 &amp; "/scissors/sn_d5189176b6a6677bdf053ccc645157ff/rendering/04.obj", "7.62951416016")</f>
        <v>7.62951416016</v>
      </c>
      <c r="H2502" s="73" t="str">
        <f>HYPERLINK(AA2 &amp; "/scissors/sn_d5189176b6a6677bdf053ccc645157ff/rendering/05.obj", "4.65784332275")</f>
        <v>4.65784332275</v>
      </c>
      <c r="I2502" s="75" t="str">
        <f>HYPERLINK(AA2 &amp; "/scissors/sn_d5189176b6a6677bdf053ccc645157ff/rendering/06.obj", "3.49422180176")</f>
        <v>3.49422180176</v>
      </c>
      <c r="J2502" s="100" t="str">
        <f>HYPERLINK(AA2 &amp; "/scissors/sn_d5189176b6a6677bdf053ccc645157ff/rendering/07.obj", "3.14670288086")</f>
        <v>3.14670288086</v>
      </c>
      <c r="K2502" s="153" t="str">
        <f>HYPERLINK(AA2 &amp; "/scissors/sn_d5189176b6a6677bdf053ccc645157ff/rendering/08.obj", "2.88819030762")</f>
        <v>2.88819030762</v>
      </c>
      <c r="L2502" s="44" t="str">
        <f>HYPERLINK(AA2 &amp; "/scissors/sn_d5189176b6a6677bdf053ccc645157ff/rendering/09.obj", "3.60483093262")</f>
        <v>3.60483093262</v>
      </c>
      <c r="M2502" s="57" t="str">
        <f>HYPERLINK(AA2 &amp; "/scissors/sn_d5189176b6a6677bdf053ccc645157ff/rendering/10.obj", "3.07214508057")</f>
        <v>3.07214508057</v>
      </c>
      <c r="N2502" s="224" t="str">
        <f>HYPERLINK(AA2 &amp; "/scissors/sn_d5189176b6a6677bdf053ccc645157ff/rendering/11.obj", "7.66676879883")</f>
        <v>7.66676879883</v>
      </c>
      <c r="O2502" s="5" t="str">
        <f>HYPERLINK(AA2 &amp; "/scissors/sn_d5189176b6a6677bdf053ccc645157ff/rendering/12.obj", "4.14336700439")</f>
        <v>4.14336700439</v>
      </c>
      <c r="P2502" s="172" t="str">
        <f>HYPERLINK(AA2 &amp; "/scissors/sn_d5189176b6a6677bdf053ccc645157ff/rendering/13.obj", "6.21502624512")</f>
        <v>6.21502624512</v>
      </c>
      <c r="Q2502" s="17" t="str">
        <f>HYPERLINK(AA2 &amp; "/scissors/sn_d5189176b6a6677bdf053ccc645157ff/rendering/14.obj", "4.58676361084")</f>
        <v>4.58676361084</v>
      </c>
      <c r="R2502" s="80" t="str">
        <f>HYPERLINK(AA2 &amp; "/scissors/sn_d5189176b6a6677bdf053ccc645157ff/rendering/15.obj", "5.1611932373")</f>
        <v>5.1611932373</v>
      </c>
      <c r="S2502" s="96" t="str">
        <f>HYPERLINK(AA2 &amp; "/scissors/sn_d5189176b6a6677bdf053ccc645157ff/rendering/16.obj", "2.85760314941")</f>
        <v>2.85760314941</v>
      </c>
      <c r="T2502" s="63" t="str">
        <f>HYPERLINK(AA2 &amp; "/scissors/sn_d5189176b6a6677bdf053ccc645157ff/rendering/17.obj", "3.94929351807")</f>
        <v>3.94929351807</v>
      </c>
      <c r="U2502" s="34" t="str">
        <f>HYPERLINK(AA2 &amp; "/scissors/sn_d5189176b6a6677bdf053ccc645157ff/rendering/18.obj", "4.26723052979")</f>
        <v>4.26723052979</v>
      </c>
      <c r="V2502" s="103" t="str">
        <f>HYPERLINK(AA2 &amp; "/scissors/sn_d5189176b6a6677bdf053ccc645157ff/rendering/19.obj", "3.03508117676")</f>
        <v>3.03508117676</v>
      </c>
      <c r="W2502" s="12" t="s">
        <v>29</v>
      </c>
      <c r="X2502" s="13">
        <v>4.4892801818847659</v>
      </c>
      <c r="Y2502" s="13">
        <v>1.414814494805317</v>
      </c>
      <c r="Z2502" s="57">
        <v>0.31515397513267401</v>
      </c>
    </row>
    <row r="2503" spans="1:26" x14ac:dyDescent="0.2">
      <c r="A2503" s="1">
        <v>2501</v>
      </c>
      <c r="B2503" s="2" t="s">
        <v>533</v>
      </c>
      <c r="C2503" s="142" t="str">
        <f>HYPERLINK(AA2 &amp; "/scissors/sn_d5189176b6a6677bdf053ccc645157ff/rendering/00.obj", "2.16514420509")</f>
        <v>2.16514420509</v>
      </c>
      <c r="D2503" s="185" t="str">
        <f>HYPERLINK(AA2 &amp; "/scissors/sn_d5189176b6a6677bdf053ccc645157ff/rendering/01.obj", "4.78557777405")</f>
        <v>4.78557777405</v>
      </c>
      <c r="E2503" s="129" t="str">
        <f>HYPERLINK(AA2 &amp; "/scissors/sn_d5189176b6a6677bdf053ccc645157ff/rendering/02.obj", "2.68386006355")</f>
        <v>2.68386006355</v>
      </c>
      <c r="F2503" s="6" t="str">
        <f>HYPERLINK(AA2 &amp; "/scissors/sn_d5189176b6a6677bdf053ccc645157ff/rendering/03.obj", "3.40395975113")</f>
        <v>3.40395975113</v>
      </c>
      <c r="G2503" s="20" t="str">
        <f>HYPERLINK(AA2 &amp; "/scissors/sn_d5189176b6a6677bdf053ccc645157ff/rendering/04.obj", "10.1612968445")</f>
        <v>10.1612968445</v>
      </c>
      <c r="H2503" s="170" t="str">
        <f>HYPERLINK(AA2 &amp; "/scissors/sn_d5189176b6a6677bdf053ccc645157ff/rendering/05.obj", "2.67106246948")</f>
        <v>2.67106246948</v>
      </c>
      <c r="I2503" s="136" t="str">
        <f>HYPERLINK(AA2 &amp; "/scissors/sn_d5189176b6a6677bdf053ccc645157ff/rendering/06.obj", "2.72259998322")</f>
        <v>2.72259998322</v>
      </c>
      <c r="J2503" s="212" t="str">
        <f>HYPERLINK(AA2 &amp; "/scissors/sn_d5189176b6a6677bdf053ccc645157ff/rendering/07.obj", "2.02924108505")</f>
        <v>2.02924108505</v>
      </c>
      <c r="K2503" s="102" t="str">
        <f>HYPERLINK(AA2 &amp; "/scissors/sn_d5189176b6a6677bdf053ccc645157ff/rendering/08.obj", "1.792578578")</f>
        <v>1.792578578</v>
      </c>
      <c r="L2503" s="61" t="str">
        <f>HYPERLINK(AA2 &amp; "/scissors/sn_d5189176b6a6677bdf053ccc645157ff/rendering/09.obj", "2.49114537239")</f>
        <v>2.49114537239</v>
      </c>
      <c r="M2503" s="147" t="str">
        <f>HYPERLINK(AA2 &amp; "/scissors/sn_d5189176b6a6677bdf053ccc645157ff/rendering/10.obj", "1.82380247116")</f>
        <v>1.82380247116</v>
      </c>
      <c r="N2503" s="20" t="str">
        <f>HYPERLINK(AA2 &amp; "/scissors/sn_d5189176b6a6677bdf053ccc645157ff/rendering/11.obj", "9.11662006378")</f>
        <v>9.11662006378</v>
      </c>
      <c r="O2503" s="19" t="str">
        <f>HYPERLINK(AA2 &amp; "/scissors/sn_d5189176b6a6677bdf053ccc645157ff/rendering/12.obj", "2.6319103241")</f>
        <v>2.6319103241</v>
      </c>
      <c r="P2503" s="162" t="str">
        <f>HYPERLINK(AA2 &amp; "/scissors/sn_d5189176b6a6677bdf053ccc645157ff/rendering/13.obj", "5.09149074554")</f>
        <v>5.09149074554</v>
      </c>
      <c r="Q2503" s="51" t="str">
        <f>HYPERLINK(AA2 &amp; "/scissors/sn_d5189176b6a6677bdf053ccc645157ff/rendering/14.obj", "3.28678512573")</f>
        <v>3.28678512573</v>
      </c>
      <c r="R2503" s="151" t="str">
        <f>HYPERLINK(AA2 &amp; "/scissors/sn_d5189176b6a6677bdf053ccc645157ff/rendering/15.obj", "4.84964609146")</f>
        <v>4.84964609146</v>
      </c>
      <c r="S2503" s="145" t="str">
        <f>HYPERLINK(AA2 &amp; "/scissors/sn_d5189176b6a6677bdf053ccc645157ff/rendering/16.obj", "1.81467366219")</f>
        <v>1.81467366219</v>
      </c>
      <c r="T2503" s="89" t="str">
        <f>HYPERLINK(AA2 &amp; "/scissors/sn_d5189176b6a6677bdf053ccc645157ff/rendering/17.obj", "2.6434431076")</f>
        <v>2.6434431076</v>
      </c>
      <c r="U2503" s="73" t="str">
        <f>HYPERLINK(AA2 &amp; "/scissors/sn_d5189176b6a6677bdf053ccc645157ff/rendering/18.obj", "3.44285178185")</f>
        <v>3.44285178185</v>
      </c>
      <c r="V2503" s="126" t="str">
        <f>HYPERLINK(AA2 &amp; "/scissors/sn_d5189176b6a6677bdf053ccc645157ff/rendering/19.obj", "1.77826690674")</f>
        <v>1.77826690674</v>
      </c>
      <c r="W2503" s="12" t="s">
        <v>30</v>
      </c>
      <c r="X2503" s="13">
        <v>3.5692978203296661</v>
      </c>
      <c r="Y2503" s="13">
        <v>2.256385581692069</v>
      </c>
      <c r="Z2503" s="217">
        <v>0.63216511909999884</v>
      </c>
    </row>
    <row r="2504" spans="1:26" x14ac:dyDescent="0.2">
      <c r="A2504" s="1">
        <v>2502</v>
      </c>
      <c r="B2504" s="2" t="s">
        <v>533</v>
      </c>
      <c r="C2504" s="118" t="str">
        <f>HYPERLINK(AB2 &amp; "/scissors/sn_d5189176b6a6677bdf053ccc645157ff/rendering/00.obj", "4.60262481689")</f>
        <v>4.60262481689</v>
      </c>
      <c r="D2504" s="80" t="str">
        <f>HYPERLINK(AB2 &amp; "/scissors/sn_d5189176b6a6677bdf053ccc645157ff/rendering/01.obj", "3.02286193848")</f>
        <v>3.02286193848</v>
      </c>
      <c r="E2504" s="35" t="str">
        <f>HYPERLINK(AB2 &amp; "/scissors/sn_d5189176b6a6677bdf053ccc645157ff/rendering/02.obj", "3.34633789063")</f>
        <v>3.34633789063</v>
      </c>
      <c r="F2504" s="30" t="str">
        <f>HYPERLINK(AB2 &amp; "/scissors/sn_d5189176b6a6677bdf053ccc645157ff/rendering/03.obj", "3.53338500977")</f>
        <v>3.53338500977</v>
      </c>
      <c r="G2504" s="41" t="str">
        <f>HYPERLINK(AB2 &amp; "/scissors/sn_d5189176b6a6677bdf053ccc645157ff/rendering/04.obj", "3.31640441895")</f>
        <v>3.31640441895</v>
      </c>
      <c r="H2504" s="26" t="str">
        <f>HYPERLINK(AB2 &amp; "/scissors/sn_d5189176b6a6677bdf053ccc645157ff/rendering/05.obj", "3.32605102539")</f>
        <v>3.32605102539</v>
      </c>
      <c r="I2504" s="107" t="str">
        <f>HYPERLINK(AB2 &amp; "/scissors/sn_d5189176b6a6677bdf053ccc645157ff/rendering/06.obj", "3.25493835449")</f>
        <v>3.25493835449</v>
      </c>
      <c r="J2504" s="107" t="str">
        <f>HYPERLINK(AB2 &amp; "/scissors/sn_d5189176b6a6677bdf053ccc645157ff/rendering/07.obj", "3.26149597168")</f>
        <v>3.26149597168</v>
      </c>
      <c r="K2504" s="92" t="str">
        <f>HYPERLINK(AB2 &amp; "/scissors/sn_d5189176b6a6677bdf053ccc645157ff/rendering/08.obj", "3.11247436523")</f>
        <v>3.11247436523</v>
      </c>
      <c r="L2504" s="110" t="str">
        <f>HYPERLINK(AB2 &amp; "/scissors/sn_d5189176b6a6677bdf053ccc645157ff/rendering/09.obj", "3.91015808105")</f>
        <v>3.91015808105</v>
      </c>
      <c r="M2504" s="29" t="str">
        <f>HYPERLINK(AB2 &amp; "/scissors/sn_d5189176b6a6677bdf053ccc645157ff/rendering/10.obj", "4.01466827393")</f>
        <v>4.01466827393</v>
      </c>
      <c r="N2504" s="66" t="str">
        <f>HYPERLINK(AB2 &amp; "/scissors/sn_d5189176b6a6677bdf053ccc645157ff/rendering/11.obj", "2.97618835449")</f>
        <v>2.97618835449</v>
      </c>
      <c r="O2504" s="46" t="str">
        <f>HYPERLINK(AB2 &amp; "/scissors/sn_d5189176b6a6677bdf053ccc645157ff/rendering/12.obj", "3.49263183594")</f>
        <v>3.49263183594</v>
      </c>
      <c r="P2504" s="69" t="str">
        <f>HYPERLINK(AB2 &amp; "/scissors/sn_d5189176b6a6677bdf053ccc645157ff/rendering/13.obj", "3.45102722168")</f>
        <v>3.45102722168</v>
      </c>
      <c r="Q2504" s="90" t="str">
        <f>HYPERLINK(AB2 &amp; "/scissors/sn_d5189176b6a6677bdf053ccc645157ff/rendering/14.obj", "3.2129309082")</f>
        <v>3.2129309082</v>
      </c>
      <c r="R2504" s="91" t="str">
        <f>HYPERLINK(AB2 &amp; "/scissors/sn_d5189176b6a6677bdf053ccc645157ff/rendering/15.obj", "3.64953369141")</f>
        <v>3.64953369141</v>
      </c>
      <c r="S2504" s="23" t="str">
        <f>HYPERLINK(AB2 &amp; "/scissors/sn_d5189176b6a6677bdf053ccc645157ff/rendering/16.obj", "3.6982623291")</f>
        <v>3.6982623291</v>
      </c>
      <c r="T2504" s="60" t="str">
        <f>HYPERLINK(AB2 &amp; "/scissors/sn_d5189176b6a6677bdf053ccc645157ff/rendering/17.obj", "3.74467254639")</f>
        <v>3.74467254639</v>
      </c>
      <c r="U2504" s="29" t="str">
        <f>HYPERLINK(AB2 &amp; "/scissors/sn_d5189176b6a6677bdf053ccc645157ff/rendering/18.obj", "4.015831604")</f>
        <v>4.015831604</v>
      </c>
      <c r="V2504" s="40" t="str">
        <f>HYPERLINK(AB2 &amp; "/scissors/sn_d5189176b6a6677bdf053ccc645157ff/rendering/19.obj", "4.16857666016")</f>
        <v>4.16857666016</v>
      </c>
      <c r="W2504" s="12" t="s">
        <v>31</v>
      </c>
      <c r="X2504" s="13">
        <v>3.5555527648925769</v>
      </c>
      <c r="Y2504" s="13">
        <v>0.41015184036165442</v>
      </c>
      <c r="Z2504" s="106">
        <v>0.11535529564108329</v>
      </c>
    </row>
    <row r="2505" spans="1:26" x14ac:dyDescent="0.2">
      <c r="A2505" s="1">
        <v>2503</v>
      </c>
      <c r="B2505" s="2" t="s">
        <v>533</v>
      </c>
      <c r="C2505" s="74" t="str">
        <f>HYPERLINK(AB2 &amp; "/scissors/sn_d5189176b6a6677bdf053ccc645157ff/rendering/00.obj", "1.86949181557")</f>
        <v>1.86949181557</v>
      </c>
      <c r="D2505" s="32" t="str">
        <f>HYPERLINK(AB2 &amp; "/scissors/sn_d5189176b6a6677bdf053ccc645157ff/rendering/01.obj", "1.64982175827")</f>
        <v>1.64982175827</v>
      </c>
      <c r="E2505" s="48" t="str">
        <f>HYPERLINK(AB2 &amp; "/scissors/sn_d5189176b6a6677bdf053ccc645157ff/rendering/02.obj", "1.8834373951")</f>
        <v>1.8834373951</v>
      </c>
      <c r="F2505" s="5" t="str">
        <f>HYPERLINK(AB2 &amp; "/scissors/sn_d5189176b6a6677bdf053ccc645157ff/rendering/03.obj", "1.70183265209")</f>
        <v>1.70183265209</v>
      </c>
      <c r="G2505" s="6" t="str">
        <f>HYPERLINK(AB2 &amp; "/scissors/sn_d5189176b6a6677bdf053ccc645157ff/rendering/04.obj", "1.75540363789")</f>
        <v>1.75540363789</v>
      </c>
      <c r="H2505" s="33" t="str">
        <f>HYPERLINK(AB2 &amp; "/scissors/sn_d5189176b6a6677bdf053ccc645157ff/rendering/05.obj", "1.64254307747")</f>
        <v>1.64254307747</v>
      </c>
      <c r="I2505" s="10" t="str">
        <f>HYPERLINK(AB2 &amp; "/scissors/sn_d5189176b6a6677bdf053ccc645157ff/rendering/06.obj", "1.73699271679")</f>
        <v>1.73699271679</v>
      </c>
      <c r="J2505" s="34" t="str">
        <f>HYPERLINK(AB2 &amp; "/scissors/sn_d5189176b6a6677bdf053ccc645157ff/rendering/07.obj", "1.74904227257")</f>
        <v>1.74904227257</v>
      </c>
      <c r="K2505" s="30" t="str">
        <f>HYPERLINK(AB2 &amp; "/scissors/sn_d5189176b6a6677bdf053ccc645157ff/rendering/08.obj", "1.82960653305")</f>
        <v>1.82960653305</v>
      </c>
      <c r="L2505" s="78" t="str">
        <f>HYPERLINK(AB2 &amp; "/scissors/sn_d5189176b6a6677bdf053ccc645157ff/rendering/09.obj", "1.9523704052")</f>
        <v>1.9523704052</v>
      </c>
      <c r="M2505" s="117" t="str">
        <f>HYPERLINK(AB2 &amp; "/scissors/sn_d5189176b6a6677bdf053ccc645157ff/rendering/10.obj", "2.16674828529")</f>
        <v>2.16674828529</v>
      </c>
      <c r="N2505" s="77" t="str">
        <f>HYPERLINK(AB2 &amp; "/scissors/sn_d5189176b6a6677bdf053ccc645157ff/rendering/11.obj", "2.18407058716")</f>
        <v>2.18407058716</v>
      </c>
      <c r="O2505" s="34" t="str">
        <f>HYPERLINK(AB2 &amp; "/scissors/sn_d5189176b6a6677bdf053ccc645157ff/rendering/12.obj", "1.75246191025")</f>
        <v>1.75246191025</v>
      </c>
      <c r="P2505" s="47" t="str">
        <f>HYPERLINK(AB2 &amp; "/scissors/sn_d5189176b6a6677bdf053ccc645157ff/rendering/13.obj", "1.85538089275")</f>
        <v>1.85538089275</v>
      </c>
      <c r="Q2505" s="90" t="str">
        <f>HYPERLINK(AB2 &amp; "/scissors/sn_d5189176b6a6677bdf053ccc645157ff/rendering/14.obj", "1.66339039803")</f>
        <v>1.66339039803</v>
      </c>
      <c r="R2505" s="37" t="str">
        <f>HYPERLINK(AB2 &amp; "/scissors/sn_d5189176b6a6677bdf053ccc645157ff/rendering/15.obj", "2.16234207153")</f>
        <v>2.16234207153</v>
      </c>
      <c r="S2505" s="27" t="str">
        <f>HYPERLINK(AB2 &amp; "/scissors/sn_d5189176b6a6677bdf053ccc645157ff/rendering/16.obj", "1.96953558922")</f>
        <v>1.96953558922</v>
      </c>
      <c r="T2505" s="107" t="str">
        <f>HYPERLINK(AB2 &amp; "/scissors/sn_d5189176b6a6677bdf053ccc645157ff/rendering/17.obj", "1.68633425236")</f>
        <v>1.68633425236</v>
      </c>
      <c r="U2505" s="17" t="str">
        <f>HYPERLINK(AB2 &amp; "/scissors/sn_d5189176b6a6677bdf053ccc645157ff/rendering/18.obj", "1.80538845062")</f>
        <v>1.80538845062</v>
      </c>
      <c r="V2505" s="48" t="str">
        <f>HYPERLINK(AB2 &amp; "/scissors/sn_d5189176b6a6677bdf053ccc645157ff/rendering/19.obj", "1.79691123962")</f>
        <v>1.79691123962</v>
      </c>
      <c r="W2505" s="12" t="s">
        <v>32</v>
      </c>
      <c r="X2505" s="13">
        <v>1.8406552970409391</v>
      </c>
      <c r="Y2505" s="13">
        <v>0.16543303498300471</v>
      </c>
      <c r="Z2505" s="38">
        <v>8.9877249286684419E-2</v>
      </c>
    </row>
    <row r="2506" spans="1:26" x14ac:dyDescent="0.2">
      <c r="A2506" s="1">
        <v>2504</v>
      </c>
      <c r="B2506" s="2" t="s">
        <v>533</v>
      </c>
      <c r="C2506" s="13" t="str">
        <f>HYPERLINK(AC2 &amp; "/scissors/sn_d5189176b6a6677bdf053ccc645157ff/rendering/00.xyz", "0.0")</f>
        <v>0.0</v>
      </c>
      <c r="D2506" s="13" t="str">
        <f>HYPERLINK(AC2 &amp; "/scissors/sn_d5189176b6a6677bdf053ccc645157ff/rendering/01.xyz", "0.0")</f>
        <v>0.0</v>
      </c>
      <c r="E2506" s="13" t="str">
        <f>HYPERLINK(AC2 &amp; "/scissors/sn_d5189176b6a6677bdf053ccc645157ff/rendering/02.xyz", "0.0")</f>
        <v>0.0</v>
      </c>
      <c r="F2506" s="13" t="str">
        <f>HYPERLINK(AC2 &amp; "/scissors/sn_d5189176b6a6677bdf053ccc645157ff/rendering/03.xyz", "0.0")</f>
        <v>0.0</v>
      </c>
      <c r="G2506" s="13" t="str">
        <f>HYPERLINK(AC2 &amp; "/scissors/sn_d5189176b6a6677bdf053ccc645157ff/rendering/04.xyz", "0.0")</f>
        <v>0.0</v>
      </c>
      <c r="H2506" s="13" t="str">
        <f>HYPERLINK(AC2 &amp; "/scissors/sn_d5189176b6a6677bdf053ccc645157ff/rendering/05.xyz", "0.0")</f>
        <v>0.0</v>
      </c>
      <c r="I2506" s="13" t="str">
        <f>HYPERLINK(AC2 &amp; "/scissors/sn_d5189176b6a6677bdf053ccc645157ff/rendering/06.xyz", "0.0")</f>
        <v>0.0</v>
      </c>
      <c r="J2506" s="13" t="str">
        <f>HYPERLINK(AC2 &amp; "/scissors/sn_d5189176b6a6677bdf053ccc645157ff/rendering/07.xyz", "0.0")</f>
        <v>0.0</v>
      </c>
      <c r="K2506" s="13" t="str">
        <f>HYPERLINK(AC2 &amp; "/scissors/sn_d5189176b6a6677bdf053ccc645157ff/rendering/08.xyz", "0.0")</f>
        <v>0.0</v>
      </c>
      <c r="L2506" s="13" t="str">
        <f>HYPERLINK(AC2 &amp; "/scissors/sn_d5189176b6a6677bdf053ccc645157ff/rendering/09.xyz", "0.0")</f>
        <v>0.0</v>
      </c>
      <c r="M2506" s="13" t="str">
        <f>HYPERLINK(AC2 &amp; "/scissors/sn_d5189176b6a6677bdf053ccc645157ff/rendering/10.xyz", "0.0")</f>
        <v>0.0</v>
      </c>
      <c r="N2506" s="13" t="str">
        <f>HYPERLINK(AC2 &amp; "/scissors/sn_d5189176b6a6677bdf053ccc645157ff/rendering/11.xyz", "0.0")</f>
        <v>0.0</v>
      </c>
      <c r="O2506" s="13" t="str">
        <f>HYPERLINK(AC2 &amp; "/scissors/sn_d5189176b6a6677bdf053ccc645157ff/rendering/12.xyz", "0.0")</f>
        <v>0.0</v>
      </c>
      <c r="P2506" s="13" t="str">
        <f>HYPERLINK(AC2 &amp; "/scissors/sn_d5189176b6a6677bdf053ccc645157ff/rendering/13.xyz", "0.0")</f>
        <v>0.0</v>
      </c>
      <c r="Q2506" s="13" t="str">
        <f>HYPERLINK(AC2 &amp; "/scissors/sn_d5189176b6a6677bdf053ccc645157ff/rendering/14.xyz", "0.0")</f>
        <v>0.0</v>
      </c>
      <c r="R2506" s="13" t="str">
        <f>HYPERLINK(AC2 &amp; "/scissors/sn_d5189176b6a6677bdf053ccc645157ff/rendering/15.xyz", "0.0")</f>
        <v>0.0</v>
      </c>
      <c r="S2506" s="13" t="str">
        <f>HYPERLINK(AC2 &amp; "/scissors/sn_d5189176b6a6677bdf053ccc645157ff/rendering/16.xyz", "0.0")</f>
        <v>0.0</v>
      </c>
      <c r="T2506" s="13" t="str">
        <f>HYPERLINK(AC2 &amp; "/scissors/sn_d5189176b6a6677bdf053ccc645157ff/rendering/17.xyz", "0.0")</f>
        <v>0.0</v>
      </c>
      <c r="U2506" s="13" t="str">
        <f>HYPERLINK(AC2 &amp; "/scissors/sn_d5189176b6a6677bdf053ccc645157ff/rendering/18.xyz", "0.0")</f>
        <v>0.0</v>
      </c>
      <c r="V2506" s="13" t="str">
        <f>HYPERLINK(AC2 &amp; "/scissors/sn_d5189176b6a6677bdf053ccc645157ff/rendering/19.xyz", "0.0")</f>
        <v>0.0</v>
      </c>
      <c r="W2506" s="12" t="s">
        <v>33</v>
      </c>
      <c r="X2506" s="13">
        <v>0</v>
      </c>
      <c r="Y2506" s="13">
        <v>0</v>
      </c>
      <c r="Z2506" s="13">
        <v>0</v>
      </c>
    </row>
    <row r="2507" spans="1:26" x14ac:dyDescent="0.2">
      <c r="A2507" s="1">
        <v>2505</v>
      </c>
      <c r="B2507" s="2" t="s">
        <v>534</v>
      </c>
      <c r="C2507" s="119" t="str">
        <f>HYPERLINK(AA2 &amp; "/scissors/sn_d8af138e1f763dd72c42422bf722d7b/rendering/00.obj", "11.5112817383")</f>
        <v>11.5112817383</v>
      </c>
      <c r="D2507" s="127" t="str">
        <f>HYPERLINK(AA2 &amp; "/scissors/sn_d8af138e1f763dd72c42422bf722d7b/rendering/01.obj", "13.7984606934")</f>
        <v>13.7984606934</v>
      </c>
      <c r="E2507" s="60" t="str">
        <f>HYPERLINK(AA2 &amp; "/scissors/sn_d8af138e1f763dd72c42422bf722d7b/rendering/02.obj", "9.55147033691")</f>
        <v>9.55147033691</v>
      </c>
      <c r="F2507" s="78" t="str">
        <f>HYPERLINK(AA2 &amp; "/scissors/sn_d8af138e1f763dd72c42422bf722d7b/rendering/03.obj", "8.53816650391")</f>
        <v>8.53816650391</v>
      </c>
      <c r="G2507" s="28" t="str">
        <f>HYPERLINK(AA2 &amp; "/scissors/sn_d8af138e1f763dd72c42422bf722d7b/rendering/04.obj", "8.06423461914")</f>
        <v>8.06423461914</v>
      </c>
      <c r="H2507" s="153" t="str">
        <f>HYPERLINK(AA2 &amp; "/scissors/sn_d8af138e1f763dd72c42422bf722d7b/rendering/05.obj", "5.85681396484")</f>
        <v>5.85681396484</v>
      </c>
      <c r="I2507" s="81" t="str">
        <f>HYPERLINK(AA2 &amp; "/scissors/sn_d8af138e1f763dd72c42422bf722d7b/rendering/06.obj", "7.09862060547")</f>
        <v>7.09862060547</v>
      </c>
      <c r="J2507" s="84" t="str">
        <f>HYPERLINK(AA2 &amp; "/scissors/sn_d8af138e1f763dd72c42422bf722d7b/rendering/07.obj", "7.75139648438")</f>
        <v>7.75139648438</v>
      </c>
      <c r="K2507" s="111" t="str">
        <f>HYPERLINK(AA2 &amp; "/scissors/sn_d8af138e1f763dd72c42422bf722d7b/rendering/08.obj", "12.9136791992")</f>
        <v>12.9136791992</v>
      </c>
      <c r="L2507" s="90" t="str">
        <f>HYPERLINK(AA2 &amp; "/scissors/sn_d8af138e1f763dd72c42422bf722d7b/rendering/09.obj", "9.97131103516")</f>
        <v>9.97131103516</v>
      </c>
      <c r="M2507" s="73" t="str">
        <f>HYPERLINK(AA2 &amp; "/scissors/sn_d8af138e1f763dd72c42422bf722d7b/rendering/10.obj", "8.74784423828")</f>
        <v>8.74784423828</v>
      </c>
      <c r="N2507" s="31" t="str">
        <f>HYPERLINK(AA2 &amp; "/scissors/sn_d8af138e1f763dd72c42422bf722d7b/rendering/11.obj", "10.5100109863")</f>
        <v>10.5100109863</v>
      </c>
      <c r="O2507" s="10" t="str">
        <f>HYPERLINK(AA2 &amp; "/scissors/sn_d8af138e1f763dd72c42422bf722d7b/rendering/12.obj", "8.59642456055")</f>
        <v>8.59642456055</v>
      </c>
      <c r="P2507" s="54" t="str">
        <f>HYPERLINK(AA2 &amp; "/scissors/sn_d8af138e1f763dd72c42422bf722d7b/rendering/13.obj", "12.0551672363")</f>
        <v>12.0551672363</v>
      </c>
      <c r="Q2507" s="185" t="str">
        <f>HYPERLINK(AA2 &amp; "/scissors/sn_d8af138e1f763dd72c42422bf722d7b/rendering/14.obj", "5.99668823242")</f>
        <v>5.99668823242</v>
      </c>
      <c r="R2507" s="30" t="str">
        <f>HYPERLINK(AA2 &amp; "/scissors/sn_d8af138e1f763dd72c42422bf722d7b/rendering/15.obj", "9.04375793457")</f>
        <v>9.04375793457</v>
      </c>
      <c r="S2507" s="87" t="str">
        <f>HYPERLINK(AA2 &amp; "/scissors/sn_d8af138e1f763dd72c42422bf722d7b/rendering/16.obj", "7.02866210938")</f>
        <v>7.02866210938</v>
      </c>
      <c r="T2507" s="14" t="str">
        <f>HYPERLINK(AA2 &amp; "/scissors/sn_d8af138e1f763dd72c42422bf722d7b/rendering/17.obj", "6.44916503906")</f>
        <v>6.44916503906</v>
      </c>
      <c r="U2507" s="119" t="str">
        <f>HYPERLINK(AA2 &amp; "/scissors/sn_d8af138e1f763dd72c42422bf722d7b/rendering/18.obj", "11.5098193359")</f>
        <v>11.5098193359</v>
      </c>
      <c r="V2507" s="135" t="str">
        <f>HYPERLINK(AA2 &amp; "/scissors/sn_d8af138e1f763dd72c42422bf722d7b/rendering/19.obj", "6.77261352539")</f>
        <v>6.77261352539</v>
      </c>
      <c r="W2507" s="12" t="s">
        <v>29</v>
      </c>
      <c r="X2507" s="13">
        <v>9.0882794189453122</v>
      </c>
      <c r="Y2507" s="13">
        <v>2.2847206933126372</v>
      </c>
      <c r="Z2507" s="170">
        <v>0.25139199489728897</v>
      </c>
    </row>
    <row r="2508" spans="1:26" x14ac:dyDescent="0.2">
      <c r="A2508" s="1">
        <v>2506</v>
      </c>
      <c r="B2508" s="2" t="s">
        <v>534</v>
      </c>
      <c r="C2508" s="204" t="str">
        <f>HYPERLINK(AA2 &amp; "/scissors/sn_d8af138e1f763dd72c42422bf722d7b/rendering/00.obj", "37.635269165")</f>
        <v>37.635269165</v>
      </c>
      <c r="D2508" s="20" t="str">
        <f>HYPERLINK(AA2 &amp; "/scissors/sn_d8af138e1f763dd72c42422bf722d7b/rendering/01.obj", "67.20677948")</f>
        <v>67.20677948</v>
      </c>
      <c r="E2508" s="165" t="str">
        <f>HYPERLINK(AA2 &amp; "/scissors/sn_d8af138e1f763dd72c42422bf722d7b/rendering/02.obj", "6.43325614929")</f>
        <v>6.43325614929</v>
      </c>
      <c r="F2508" s="76" t="str">
        <f>HYPERLINK(AA2 &amp; "/scissors/sn_d8af138e1f763dd72c42422bf722d7b/rendering/03.obj", "24.778793335")</f>
        <v>24.778793335</v>
      </c>
      <c r="G2508" s="8" t="str">
        <f>HYPERLINK(AA2 &amp; "/scissors/sn_d8af138e1f763dd72c42422bf722d7b/rendering/04.obj", "23.9090824127")</f>
        <v>23.9090824127</v>
      </c>
      <c r="H2508" s="206" t="str">
        <f>HYPERLINK(AA2 &amp; "/scissors/sn_d8af138e1f763dd72c42422bf722d7b/rendering/05.obj", "8.56526851654")</f>
        <v>8.56526851654</v>
      </c>
      <c r="I2508" s="224" t="str">
        <f>HYPERLINK(AA2 &amp; "/scissors/sn_d8af138e1f763dd72c42422bf722d7b/rendering/06.obj", "6.16165018082")</f>
        <v>6.16165018082</v>
      </c>
      <c r="J2508" s="257" t="str">
        <f>HYPERLINK(AA2 &amp; "/scissors/sn_d8af138e1f763dd72c42422bf722d7b/rendering/07.obj", "5.97039985657")</f>
        <v>5.97039985657</v>
      </c>
      <c r="K2508" s="20" t="str">
        <f>HYPERLINK(AA2 &amp; "/scissors/sn_d8af138e1f763dd72c42422bf722d7b/rendering/08.obj", "54.3733673096")</f>
        <v>54.3733673096</v>
      </c>
      <c r="L2508" s="20" t="str">
        <f>HYPERLINK(AA2 &amp; "/scissors/sn_d8af138e1f763dd72c42422bf722d7b/rendering/09.obj", "37.7567863464")</f>
        <v>37.7567863464</v>
      </c>
      <c r="M2508" s="44" t="str">
        <f>HYPERLINK(AA2 &amp; "/scissors/sn_d8af138e1f763dd72c42422bf722d7b/rendering/10.obj", "16.8276481628")</f>
        <v>16.8276481628</v>
      </c>
      <c r="N2508" s="81" t="str">
        <f>HYPERLINK(AA2 &amp; "/scissors/sn_d8af138e1f763dd72c42422bf722d7b/rendering/11.obj", "25.5292301178")</f>
        <v>25.5292301178</v>
      </c>
      <c r="O2508" s="31" t="str">
        <f>HYPERLINK(AA2 &amp; "/scissors/sn_d8af138e1f763dd72c42422bf722d7b/rendering/12.obj", "17.7214660645")</f>
        <v>17.7214660645</v>
      </c>
      <c r="P2508" s="72" t="str">
        <f>HYPERLINK(AA2 &amp; "/scissors/sn_d8af138e1f763dd72c42422bf722d7b/rendering/13.obj", "21.6193199158")</f>
        <v>21.6193199158</v>
      </c>
      <c r="Q2508" s="199" t="str">
        <f>HYPERLINK(AA2 &amp; "/scissors/sn_d8af138e1f763dd72c42422bf722d7b/rendering/14.obj", "4.48186254501")</f>
        <v>4.48186254501</v>
      </c>
      <c r="R2508" s="162" t="str">
        <f>HYPERLINK(AA2 &amp; "/scissors/sn_d8af138e1f763dd72c42422bf722d7b/rendering/15.obj", "12.016831398")</f>
        <v>12.016831398</v>
      </c>
      <c r="S2508" s="194" t="str">
        <f>HYPERLINK(AA2 &amp; "/scissors/sn_d8af138e1f763dd72c42422bf722d7b/rendering/16.obj", "7.89816141129")</f>
        <v>7.89816141129</v>
      </c>
      <c r="T2508" s="164" t="str">
        <f>HYPERLINK(AA2 &amp; "/scissors/sn_d8af138e1f763dd72c42422bf722d7b/rendering/17.obj", "7.6174287796")</f>
        <v>7.6174287796</v>
      </c>
      <c r="U2508" s="82" t="str">
        <f>HYPERLINK(AA2 &amp; "/scissors/sn_d8af138e1f763dd72c42422bf722d7b/rendering/18.obj", "25.2803859711")</f>
        <v>25.2803859711</v>
      </c>
      <c r="V2508" s="240" t="str">
        <f>HYPERLINK(AA2 &amp; "/scissors/sn_d8af138e1f763dd72c42422bf722d7b/rendering/19.obj", "7.2388792038")</f>
        <v>7.2388792038</v>
      </c>
      <c r="W2508" s="12" t="s">
        <v>30</v>
      </c>
      <c r="X2508" s="13">
        <v>20.95109331607819</v>
      </c>
      <c r="Y2508" s="13">
        <v>16.737659592640089</v>
      </c>
      <c r="Z2508" s="20">
        <v>0.79889194039317046</v>
      </c>
    </row>
    <row r="2509" spans="1:26" x14ac:dyDescent="0.2">
      <c r="A2509" s="1">
        <v>2507</v>
      </c>
      <c r="B2509" s="2" t="s">
        <v>534</v>
      </c>
      <c r="C2509" s="64" t="str">
        <f>HYPERLINK(AB2 &amp; "/scissors/sn_d8af138e1f763dd72c42422bf722d7b/rendering/00.obj", "4.12731811523")</f>
        <v>4.12731811523</v>
      </c>
      <c r="D2509" s="91" t="str">
        <f>HYPERLINK(AB2 &amp; "/scissors/sn_d8af138e1f763dd72c42422bf722d7b/rendering/01.obj", "4.81328735352")</f>
        <v>4.81328735352</v>
      </c>
      <c r="E2509" s="166" t="str">
        <f>HYPERLINK(AB2 &amp; "/scissors/sn_d8af138e1f763dd72c42422bf722d7b/rendering/02.obj", "6.36561401367")</f>
        <v>6.36561401367</v>
      </c>
      <c r="F2509" s="5" t="str">
        <f>HYPERLINK(AB2 &amp; "/scissors/sn_d8af138e1f763dd72c42422bf722d7b/rendering/03.obj", "5.33282836914")</f>
        <v>5.33282836914</v>
      </c>
      <c r="G2509" s="73" t="str">
        <f>HYPERLINK(AB2 &amp; "/scissors/sn_d8af138e1f763dd72c42422bf722d7b/rendering/04.obj", "4.76762939453")</f>
        <v>4.76762939453</v>
      </c>
      <c r="H2509" s="69" t="str">
        <f>HYPERLINK(AB2 &amp; "/scissors/sn_d8af138e1f763dd72c42422bf722d7b/rendering/05.obj", "4.80323791504")</f>
        <v>4.80323791504</v>
      </c>
      <c r="I2509" s="66" t="str">
        <f>HYPERLINK(AB2 &amp; "/scissors/sn_d8af138e1f763dd72c42422bf722d7b/rendering/06.obj", "4.15164733887")</f>
        <v>4.15164733887</v>
      </c>
      <c r="J2509" s="17" t="str">
        <f>HYPERLINK(AB2 &amp; "/scissors/sn_d8af138e1f763dd72c42422bf722d7b/rendering/07.obj", "5.04913269043")</f>
        <v>5.04913269043</v>
      </c>
      <c r="K2509" s="47" t="str">
        <f>HYPERLINK(AB2 &amp; "/scissors/sn_d8af138e1f763dd72c42422bf722d7b/rendering/08.obj", "4.99366210938")</f>
        <v>4.99366210938</v>
      </c>
      <c r="L2509" s="133" t="str">
        <f>HYPERLINK(AB2 &amp; "/scissors/sn_d8af138e1f763dd72c42422bf722d7b/rendering/09.obj", "5.44720458984")</f>
        <v>5.44720458984</v>
      </c>
      <c r="M2509" s="10" t="str">
        <f>HYPERLINK(AB2 &amp; "/scissors/sn_d8af138e1f763dd72c42422bf722d7b/rendering/10.obj", "4.68315917969")</f>
        <v>4.68315917969</v>
      </c>
      <c r="N2509" s="25" t="str">
        <f>HYPERLINK(AB2 &amp; "/scissors/sn_d8af138e1f763dd72c42422bf722d7b/rendering/11.obj", "4.88804992676")</f>
        <v>4.88804992676</v>
      </c>
      <c r="O2509" s="34" t="str">
        <f>HYPERLINK(AB2 &amp; "/scissors/sn_d8af138e1f763dd72c42422bf722d7b/rendering/12.obj", "4.70253265381")</f>
        <v>4.70253265381</v>
      </c>
      <c r="P2509" s="9" t="str">
        <f>HYPERLINK(AB2 &amp; "/scissors/sn_d8af138e1f763dd72c42422bf722d7b/rendering/13.obj", "8.1947857666")</f>
        <v>8.1947857666</v>
      </c>
      <c r="Q2509" s="133" t="str">
        <f>HYPERLINK(AB2 &amp; "/scissors/sn_d8af138e1f763dd72c42422bf722d7b/rendering/14.obj", "4.45013977051")</f>
        <v>4.45013977051</v>
      </c>
      <c r="R2509" s="6" t="str">
        <f>HYPERLINK(AB2 &amp; "/scissors/sn_d8af138e1f763dd72c42422bf722d7b/rendering/15.obj", "4.71847839355")</f>
        <v>4.71847839355</v>
      </c>
      <c r="S2509" s="88" t="str">
        <f>HYPERLINK(AB2 &amp; "/scissors/sn_d8af138e1f763dd72c42422bf722d7b/rendering/16.obj", "3.94711151123")</f>
        <v>3.94711151123</v>
      </c>
      <c r="T2509" s="46" t="str">
        <f>HYPERLINK(AB2 &amp; "/scissors/sn_d8af138e1f763dd72c42422bf722d7b/rendering/17.obj", "4.86864837646")</f>
        <v>4.86864837646</v>
      </c>
      <c r="U2509" s="33" t="str">
        <f>HYPERLINK(AB2 &amp; "/scissors/sn_d8af138e1f763dd72c42422bf722d7b/rendering/18.obj", "4.41123779297")</f>
        <v>4.41123779297</v>
      </c>
      <c r="V2509" s="8" t="str">
        <f>HYPERLINK(AB2 &amp; "/scissors/sn_d8af138e1f763dd72c42422bf722d7b/rendering/19.obj", "4.23465545654")</f>
        <v>4.23465545654</v>
      </c>
      <c r="W2509" s="12" t="s">
        <v>31</v>
      </c>
      <c r="X2509" s="13">
        <v>4.9475180358886721</v>
      </c>
      <c r="Y2509" s="13">
        <v>0.91048804092395819</v>
      </c>
      <c r="Z2509" s="76">
        <v>0.18402925149931601</v>
      </c>
    </row>
    <row r="2510" spans="1:26" x14ac:dyDescent="0.2">
      <c r="A2510" s="1">
        <v>2508</v>
      </c>
      <c r="B2510" s="2" t="s">
        <v>534</v>
      </c>
      <c r="C2510" s="75" t="str">
        <f>HYPERLINK(AB2 &amp; "/scissors/sn_d8af138e1f763dd72c42422bf722d7b/rendering/00.obj", "2.79870343208")</f>
        <v>2.79870343208</v>
      </c>
      <c r="D2510" s="28" t="str">
        <f>HYPERLINK(AB2 &amp; "/scissors/sn_d8af138e1f763dd72c42422bf722d7b/rendering/01.obj", "3.20127153397")</f>
        <v>3.20127153397</v>
      </c>
      <c r="E2510" s="230" t="str">
        <f>HYPERLINK(AB2 &amp; "/scissors/sn_d8af138e1f763dd72c42422bf722d7b/rendering/02.obj", "5.2379784584")</f>
        <v>5.2379784584</v>
      </c>
      <c r="F2510" s="78" t="str">
        <f>HYPERLINK(AB2 &amp; "/scissors/sn_d8af138e1f763dd72c42422bf722d7b/rendering/03.obj", "3.81556463242")</f>
        <v>3.81556463242</v>
      </c>
      <c r="G2510" s="65" t="str">
        <f>HYPERLINK(AB2 &amp; "/scissors/sn_d8af138e1f763dd72c42422bf722d7b/rendering/04.obj", "3.12230467796")</f>
        <v>3.12230467796</v>
      </c>
      <c r="H2510" s="19" t="str">
        <f>HYPERLINK(AB2 &amp; "/scissors/sn_d8af138e1f763dd72c42422bf722d7b/rendering/05.obj", "2.66043925285")</f>
        <v>2.66043925285</v>
      </c>
      <c r="I2510" s="79" t="str">
        <f>HYPERLINK(AB2 &amp; "/scissors/sn_d8af138e1f763dd72c42422bf722d7b/rendering/06.obj", "3.03201508522")</f>
        <v>3.03201508522</v>
      </c>
      <c r="J2510" s="38" t="str">
        <f>HYPERLINK(AB2 &amp; "/scissors/sn_d8af138e1f763dd72c42422bf722d7b/rendering/07.obj", "3.91556167603")</f>
        <v>3.91556167603</v>
      </c>
      <c r="K2510" s="74" t="str">
        <f>HYPERLINK(AB2 &amp; "/scissors/sn_d8af138e1f763dd72c42422bf722d7b/rendering/08.obj", "3.64761137962")</f>
        <v>3.64761137962</v>
      </c>
      <c r="L2510" s="106" t="str">
        <f>HYPERLINK(AB2 &amp; "/scissors/sn_d8af138e1f763dd72c42422bf722d7b/rendering/09.obj", "4.01462697983")</f>
        <v>4.01462697983</v>
      </c>
      <c r="M2510" s="140" t="str">
        <f>HYPERLINK(AB2 &amp; "/scissors/sn_d8af138e1f763dd72c42422bf722d7b/rendering/10.obj", "2.35086750984")</f>
        <v>2.35086750984</v>
      </c>
      <c r="N2510" s="110" t="str">
        <f>HYPERLINK(AB2 &amp; "/scissors/sn_d8af138e1f763dd72c42422bf722d7b/rendering/11.obj", "3.23842144012")</f>
        <v>3.23842144012</v>
      </c>
      <c r="O2510" s="149" t="str">
        <f>HYPERLINK(AB2 &amp; "/scissors/sn_d8af138e1f763dd72c42422bf722d7b/rendering/12.obj", "2.36027741432")</f>
        <v>2.36027741432</v>
      </c>
      <c r="P2510" s="20" t="str">
        <f>HYPERLINK(AB2 &amp; "/scissors/sn_d8af138e1f763dd72c42422bf722d7b/rendering/13.obj", "11.3279943466")</f>
        <v>11.3279943466</v>
      </c>
      <c r="Q2510" s="10" t="str">
        <f>HYPERLINK(AB2 &amp; "/scissors/sn_d8af138e1f763dd72c42422bf722d7b/rendering/14.obj", "3.39525699615")</f>
        <v>3.39525699615</v>
      </c>
      <c r="R2510" s="49" t="str">
        <f>HYPERLINK(AB2 &amp; "/scissors/sn_d8af138e1f763dd72c42422bf722d7b/rendering/15.obj", "2.84276413918")</f>
        <v>2.84276413918</v>
      </c>
      <c r="S2510" s="75" t="str">
        <f>HYPERLINK(AB2 &amp; "/scissors/sn_d8af138e1f763dd72c42422bf722d7b/rendering/16.obj", "2.80380630493")</f>
        <v>2.80380630493</v>
      </c>
      <c r="T2510" s="171" t="str">
        <f>HYPERLINK(AB2 &amp; "/scissors/sn_d8af138e1f763dd72c42422bf722d7b/rendering/17.obj", "2.4935362339")</f>
        <v>2.4935362339</v>
      </c>
      <c r="U2510" s="117" t="str">
        <f>HYPERLINK(AB2 &amp; "/scissors/sn_d8af138e1f763dd72c42422bf722d7b/rendering/18.obj", "2.95630455017")</f>
        <v>2.95630455017</v>
      </c>
      <c r="V2510" s="59" t="str">
        <f>HYPERLINK(AB2 &amp; "/scissors/sn_d8af138e1f763dd72c42422bf722d7b/rendering/19.obj", "2.73166060448")</f>
        <v>2.73166060448</v>
      </c>
      <c r="W2510" s="12" t="s">
        <v>32</v>
      </c>
      <c r="X2510" s="13">
        <v>3.5973483324050899</v>
      </c>
      <c r="Y2510" s="13">
        <v>1.8951180216074941</v>
      </c>
      <c r="Z2510" s="174">
        <v>0.52680970717686082</v>
      </c>
    </row>
    <row r="2511" spans="1:26" x14ac:dyDescent="0.2">
      <c r="A2511" s="1">
        <v>2509</v>
      </c>
      <c r="B2511" s="2" t="s">
        <v>534</v>
      </c>
      <c r="C2511" s="13" t="str">
        <f>HYPERLINK(AC2 &amp; "/scissors/sn_d8af138e1f763dd72c42422bf722d7b/rendering/00.xyz", "0.0")</f>
        <v>0.0</v>
      </c>
      <c r="D2511" s="13" t="str">
        <f>HYPERLINK(AC2 &amp; "/scissors/sn_d8af138e1f763dd72c42422bf722d7b/rendering/01.xyz", "0.0")</f>
        <v>0.0</v>
      </c>
      <c r="E2511" s="13" t="str">
        <f>HYPERLINK(AC2 &amp; "/scissors/sn_d8af138e1f763dd72c42422bf722d7b/rendering/02.xyz", "0.0")</f>
        <v>0.0</v>
      </c>
      <c r="F2511" s="13" t="str">
        <f>HYPERLINK(AC2 &amp; "/scissors/sn_d8af138e1f763dd72c42422bf722d7b/rendering/03.xyz", "0.0")</f>
        <v>0.0</v>
      </c>
      <c r="G2511" s="13" t="str">
        <f>HYPERLINK(AC2 &amp; "/scissors/sn_d8af138e1f763dd72c42422bf722d7b/rendering/04.xyz", "0.0")</f>
        <v>0.0</v>
      </c>
      <c r="H2511" s="13" t="str">
        <f>HYPERLINK(AC2 &amp; "/scissors/sn_d8af138e1f763dd72c42422bf722d7b/rendering/05.xyz", "0.0")</f>
        <v>0.0</v>
      </c>
      <c r="I2511" s="13" t="str">
        <f>HYPERLINK(AC2 &amp; "/scissors/sn_d8af138e1f763dd72c42422bf722d7b/rendering/06.xyz", "0.0")</f>
        <v>0.0</v>
      </c>
      <c r="J2511" s="13" t="str">
        <f>HYPERLINK(AC2 &amp; "/scissors/sn_d8af138e1f763dd72c42422bf722d7b/rendering/07.xyz", "0.0")</f>
        <v>0.0</v>
      </c>
      <c r="K2511" s="13" t="str">
        <f>HYPERLINK(AC2 &amp; "/scissors/sn_d8af138e1f763dd72c42422bf722d7b/rendering/08.xyz", "0.0")</f>
        <v>0.0</v>
      </c>
      <c r="L2511" s="13" t="str">
        <f>HYPERLINK(AC2 &amp; "/scissors/sn_d8af138e1f763dd72c42422bf722d7b/rendering/09.xyz", "0.0")</f>
        <v>0.0</v>
      </c>
      <c r="M2511" s="13" t="str">
        <f>HYPERLINK(AC2 &amp; "/scissors/sn_d8af138e1f763dd72c42422bf722d7b/rendering/10.xyz", "0.0")</f>
        <v>0.0</v>
      </c>
      <c r="N2511" s="13" t="str">
        <f>HYPERLINK(AC2 &amp; "/scissors/sn_d8af138e1f763dd72c42422bf722d7b/rendering/11.xyz", "0.0")</f>
        <v>0.0</v>
      </c>
      <c r="O2511" s="13" t="str">
        <f>HYPERLINK(AC2 &amp; "/scissors/sn_d8af138e1f763dd72c42422bf722d7b/rendering/12.xyz", "0.0")</f>
        <v>0.0</v>
      </c>
      <c r="P2511" s="13" t="str">
        <f>HYPERLINK(AC2 &amp; "/scissors/sn_d8af138e1f763dd72c42422bf722d7b/rendering/13.xyz", "0.0")</f>
        <v>0.0</v>
      </c>
      <c r="Q2511" s="13" t="str">
        <f>HYPERLINK(AC2 &amp; "/scissors/sn_d8af138e1f763dd72c42422bf722d7b/rendering/14.xyz", "0.0")</f>
        <v>0.0</v>
      </c>
      <c r="R2511" s="13" t="str">
        <f>HYPERLINK(AC2 &amp; "/scissors/sn_d8af138e1f763dd72c42422bf722d7b/rendering/15.xyz", "0.0")</f>
        <v>0.0</v>
      </c>
      <c r="S2511" s="13" t="str">
        <f>HYPERLINK(AC2 &amp; "/scissors/sn_d8af138e1f763dd72c42422bf722d7b/rendering/16.xyz", "0.0")</f>
        <v>0.0</v>
      </c>
      <c r="T2511" s="13" t="str">
        <f>HYPERLINK(AC2 &amp; "/scissors/sn_d8af138e1f763dd72c42422bf722d7b/rendering/17.xyz", "0.0")</f>
        <v>0.0</v>
      </c>
      <c r="U2511" s="13" t="str">
        <f>HYPERLINK(AC2 &amp; "/scissors/sn_d8af138e1f763dd72c42422bf722d7b/rendering/18.xyz", "0.0")</f>
        <v>0.0</v>
      </c>
      <c r="V2511" s="13" t="str">
        <f>HYPERLINK(AC2 &amp; "/scissors/sn_d8af138e1f763dd72c42422bf722d7b/rendering/19.xyz", "0.0")</f>
        <v>0.0</v>
      </c>
      <c r="W2511" s="12" t="s">
        <v>33</v>
      </c>
      <c r="X2511" s="13">
        <v>0</v>
      </c>
      <c r="Y2511" s="13">
        <v>0</v>
      </c>
      <c r="Z2511" s="13">
        <v>0</v>
      </c>
    </row>
    <row r="2512" spans="1:26" x14ac:dyDescent="0.2">
      <c r="A2512" s="1">
        <v>2510</v>
      </c>
      <c r="B2512" s="2" t="s">
        <v>535</v>
      </c>
      <c r="C2512" s="32" t="str">
        <f>HYPERLINK(AA2 &amp; "/scissors/sn_ec46d0cc7ac00f16cb72f5e3f9027736/rendering/00.obj", "5.04910614014")</f>
        <v>5.04910614014</v>
      </c>
      <c r="D2512" s="71" t="str">
        <f>HYPERLINK(AA2 &amp; "/scissors/sn_ec46d0cc7ac00f16cb72f5e3f9027736/rendering/01.obj", "6.29942749023")</f>
        <v>6.29942749023</v>
      </c>
      <c r="E2512" s="133" t="str">
        <f>HYPERLINK(AA2 &amp; "/scissors/sn_ec46d0cc7ac00f16cb72f5e3f9027736/rendering/02.obj", "6.21801757812")</f>
        <v>6.21801757812</v>
      </c>
      <c r="F2512" s="29" t="str">
        <f>HYPERLINK(AA2 &amp; "/scissors/sn_ec46d0cc7ac00f16cb72f5e3f9027736/rendering/03.obj", "4.90656616211")</f>
        <v>4.90656616211</v>
      </c>
      <c r="G2512" s="109" t="str">
        <f>HYPERLINK(AA2 &amp; "/scissors/sn_ec46d0cc7ac00f16cb72f5e3f9027736/rendering/04.obj", "6.70841796875")</f>
        <v>6.70841796875</v>
      </c>
      <c r="H2512" s="94" t="str">
        <f>HYPERLINK(AA2 &amp; "/scissors/sn_ec46d0cc7ac00f16cb72f5e3f9027736/rendering/05.obj", "6.04741516113")</f>
        <v>6.04741516113</v>
      </c>
      <c r="I2512" s="10" t="str">
        <f>HYPERLINK(AA2 &amp; "/scissors/sn_ec46d0cc7ac00f16cb72f5e3f9027736/rendering/06.obj", "5.94076843262")</f>
        <v>5.94076843262</v>
      </c>
      <c r="J2512" s="83" t="str">
        <f>HYPERLINK(AA2 &amp; "/scissors/sn_ec46d0cc7ac00f16cb72f5e3f9027736/rendering/07.obj", "4.77721282959")</f>
        <v>4.77721282959</v>
      </c>
      <c r="K2512" s="93" t="str">
        <f>HYPERLINK(AA2 &amp; "/scissors/sn_ec46d0cc7ac00f16cb72f5e3f9027736/rendering/08.obj", "4.85925537109")</f>
        <v>4.85925537109</v>
      </c>
      <c r="L2512" s="92" t="str">
        <f>HYPERLINK(AA2 &amp; "/scissors/sn_ec46d0cc7ac00f16cb72f5e3f9027736/rendering/09.obj", "6.34500427246")</f>
        <v>6.34500427246</v>
      </c>
      <c r="M2512" s="78" t="str">
        <f>HYPERLINK(AA2 &amp; "/scissors/sn_ec46d0cc7ac00f16cb72f5e3f9027736/rendering/10.obj", "5.97640319824")</f>
        <v>5.97640319824</v>
      </c>
      <c r="N2512" s="68" t="str">
        <f>HYPERLINK(AA2 &amp; "/scissors/sn_ec46d0cc7ac00f16cb72f5e3f9027736/rendering/11.obj", "5.39783813477")</f>
        <v>5.39783813477</v>
      </c>
      <c r="O2512" s="72" t="str">
        <f>HYPERLINK(AA2 &amp; "/scissors/sn_ec46d0cc7ac00f16cb72f5e3f9027736/rendering/12.obj", "5.45758850098")</f>
        <v>5.45758850098</v>
      </c>
      <c r="P2512" s="69" t="str">
        <f>HYPERLINK(AA2 &amp; "/scissors/sn_ec46d0cc7ac00f16cb72f5e3f9027736/rendering/13.obj", "5.80995666504")</f>
        <v>5.80995666504</v>
      </c>
      <c r="Q2512" s="71" t="str">
        <f>HYPERLINK(AA2 &amp; "/scissors/sn_ec46d0cc7ac00f16cb72f5e3f9027736/rendering/14.obj", "4.97322631836")</f>
        <v>4.97322631836</v>
      </c>
      <c r="R2512" s="41" t="str">
        <f>HYPERLINK(AA2 &amp; "/scissors/sn_ec46d0cc7ac00f16cb72f5e3f9027736/rendering/15.obj", "5.26596679688")</f>
        <v>5.26596679688</v>
      </c>
      <c r="S2512" s="29" t="str">
        <f>HYPERLINK(AA2 &amp; "/scissors/sn_ec46d0cc7ac00f16cb72f5e3f9027736/rendering/16.obj", "4.91142578125")</f>
        <v>4.91142578125</v>
      </c>
      <c r="T2512" s="44" t="str">
        <f>HYPERLINK(AA2 &amp; "/scissors/sn_ec46d0cc7ac00f16cb72f5e3f9027736/rendering/17.obj", "6.74252319336")</f>
        <v>6.74252319336</v>
      </c>
      <c r="U2512" s="41" t="str">
        <f>HYPERLINK(AA2 &amp; "/scissors/sn_ec46d0cc7ac00f16cb72f5e3f9027736/rendering/18.obj", "6.01534179688")</f>
        <v>6.01534179688</v>
      </c>
      <c r="V2512" s="90" t="str">
        <f>HYPERLINK(AA2 &amp; "/scissors/sn_ec46d0cc7ac00f16cb72f5e3f9027736/rendering/19.obj", "5.09669128418")</f>
        <v>5.09669128418</v>
      </c>
      <c r="W2512" s="12" t="s">
        <v>29</v>
      </c>
      <c r="X2512" s="13">
        <v>5.6399076538085939</v>
      </c>
      <c r="Y2512" s="13">
        <v>0.62872451942096796</v>
      </c>
      <c r="Z2512" s="28">
        <v>0.1114778038956709</v>
      </c>
    </row>
    <row r="2513" spans="1:26" x14ac:dyDescent="0.2">
      <c r="A2513" s="1">
        <v>2511</v>
      </c>
      <c r="B2513" s="2" t="s">
        <v>535</v>
      </c>
      <c r="C2513" s="89" t="str">
        <f>HYPERLINK(AA2 &amp; "/scissors/sn_ec46d0cc7ac00f16cb72f5e3f9027736/rendering/00.obj", "2.65373444557")</f>
        <v>2.65373444557</v>
      </c>
      <c r="D2513" s="20" t="str">
        <f>HYPERLINK(AA2 &amp; "/scissors/sn_ec46d0cc7ac00f16cb72f5e3f9027736/rendering/01.obj", "6.97640991211")</f>
        <v>6.97640991211</v>
      </c>
      <c r="E2513" s="27" t="str">
        <f>HYPERLINK(AA2 &amp; "/scissors/sn_ec46d0cc7ac00f16cb72f5e3f9027736/rendering/02.obj", "3.32164645195")</f>
        <v>3.32164645195</v>
      </c>
      <c r="F2513" s="54" t="str">
        <f>HYPERLINK(AA2 &amp; "/scissors/sn_ec46d0cc7ac00f16cb72f5e3f9027736/rendering/03.obj", "2.40585613251")</f>
        <v>2.40585613251</v>
      </c>
      <c r="G2513" s="20" t="str">
        <f>HYPERLINK(AA2 &amp; "/scissors/sn_ec46d0cc7ac00f16cb72f5e3f9027736/rendering/04.obj", "7.62825632095")</f>
        <v>7.62825632095</v>
      </c>
      <c r="H2513" s="134" t="str">
        <f>HYPERLINK(AA2 &amp; "/scissors/sn_ec46d0cc7ac00f16cb72f5e3f9027736/rendering/05.obj", "4.21636819839")</f>
        <v>4.21636819839</v>
      </c>
      <c r="I2513" s="111" t="str">
        <f>HYPERLINK(AA2 &amp; "/scissors/sn_ec46d0cc7ac00f16cb72f5e3f9027736/rendering/06.obj", "2.06918096542")</f>
        <v>2.06918096542</v>
      </c>
      <c r="J2513" s="4" t="str">
        <f>HYPERLINK(AA2 &amp; "/scissors/sn_ec46d0cc7ac00f16cb72f5e3f9027736/rendering/07.obj", "2.55960536003")</f>
        <v>2.55960536003</v>
      </c>
      <c r="K2513" s="193" t="str">
        <f>HYPERLINK(AA2 &amp; "/scissors/sn_ec46d0cc7ac00f16cb72f5e3f9027736/rendering/08.obj", "2.3884704113")</f>
        <v>2.3884704113</v>
      </c>
      <c r="L2513" s="166" t="str">
        <f>HYPERLINK(AA2 &amp; "/scissors/sn_ec46d0cc7ac00f16cb72f5e3f9027736/rendering/09.obj", "2.55414414406")</f>
        <v>2.55414414406</v>
      </c>
      <c r="M2513" s="5" t="str">
        <f>HYPERLINK(AA2 &amp; "/scissors/sn_ec46d0cc7ac00f16cb72f5e3f9027736/rendering/10.obj", "3.30300402641")</f>
        <v>3.30300402641</v>
      </c>
      <c r="N2513" s="95" t="str">
        <f>HYPERLINK(AA2 &amp; "/scissors/sn_ec46d0cc7ac00f16cb72f5e3f9027736/rendering/11.obj", "2.57421135902")</f>
        <v>2.57421135902</v>
      </c>
      <c r="O2513" s="212" t="str">
        <f>HYPERLINK(AA2 &amp; "/scissors/sn_ec46d0cc7ac00f16cb72f5e3f9027736/rendering/12.obj", "2.02865099907")</f>
        <v>2.02865099907</v>
      </c>
      <c r="P2513" s="69" t="str">
        <f>HYPERLINK(AA2 &amp; "/scissors/sn_ec46d0cc7ac00f16cb72f5e3f9027736/rendering/13.obj", "3.68022084236")</f>
        <v>3.68022084236</v>
      </c>
      <c r="Q2513" s="73" t="str">
        <f>HYPERLINK(AA2 &amp; "/scissors/sn_ec46d0cc7ac00f16cb72f5e3f9027736/rendering/14.obj", "3.7036986351")</f>
        <v>3.7036986351</v>
      </c>
      <c r="R2513" s="116" t="str">
        <f>HYPERLINK(AA2 &amp; "/scissors/sn_ec46d0cc7ac00f16cb72f5e3f9027736/rendering/15.obj", "2.01589345932")</f>
        <v>2.01589345932</v>
      </c>
      <c r="S2513" s="147" t="str">
        <f>HYPERLINK(AA2 &amp; "/scissors/sn_ec46d0cc7ac00f16cb72f5e3f9027736/rendering/16.obj", "1.83278787136")</f>
        <v>1.83278787136</v>
      </c>
      <c r="T2513" s="20" t="str">
        <f>HYPERLINK(AA2 &amp; "/scissors/sn_ec46d0cc7ac00f16cb72f5e3f9027736/rendering/17.obj", "7.17052507401")</f>
        <v>7.17052507401</v>
      </c>
      <c r="U2513" s="183" t="str">
        <f>HYPERLINK(AA2 &amp; "/scissors/sn_ec46d0cc7ac00f16cb72f5e3f9027736/rendering/18.obj", "6.25854873657")</f>
        <v>6.25854873657</v>
      </c>
      <c r="V2513" s="196" t="str">
        <f>HYPERLINK(AA2 &amp; "/scissors/sn_ec46d0cc7ac00f16cb72f5e3f9027736/rendering/19.obj", "2.15689086914")</f>
        <v>2.15689086914</v>
      </c>
      <c r="W2513" s="12" t="s">
        <v>30</v>
      </c>
      <c r="X2513" s="13">
        <v>3.5749052107334141</v>
      </c>
      <c r="Y2513" s="13">
        <v>1.8376470701866079</v>
      </c>
      <c r="Z2513" s="105">
        <v>0.51404078202386905</v>
      </c>
    </row>
    <row r="2514" spans="1:26" x14ac:dyDescent="0.2">
      <c r="A2514" s="1">
        <v>2512</v>
      </c>
      <c r="B2514" s="2" t="s">
        <v>535</v>
      </c>
      <c r="C2514" s="94" t="str">
        <f>HYPERLINK(AB2 &amp; "/scissors/sn_ec46d0cc7ac00f16cb72f5e3f9027736/rendering/00.obj", "5.36785217285")</f>
        <v>5.36785217285</v>
      </c>
      <c r="D2514" s="46" t="str">
        <f>HYPERLINK(AB2 &amp; "/scissors/sn_ec46d0cc7ac00f16cb72f5e3f9027736/rendering/01.obj", "5.88414672852")</f>
        <v>5.88414672852</v>
      </c>
      <c r="E2514" s="25" t="str">
        <f>HYPERLINK(AB2 &amp; "/scissors/sn_ec46d0cc7ac00f16cb72f5e3f9027736/rendering/02.obj", "5.72516357422")</f>
        <v>5.72516357422</v>
      </c>
      <c r="F2514" s="47" t="str">
        <f>HYPERLINK(AB2 &amp; "/scissors/sn_ec46d0cc7ac00f16cb72f5e3f9027736/rendering/03.obj", "5.74302001953")</f>
        <v>5.74302001953</v>
      </c>
      <c r="G2514" s="27" t="str">
        <f>HYPERLINK(AB2 &amp; "/scissors/sn_ec46d0cc7ac00f16cb72f5e3f9027736/rendering/04.obj", "6.19695556641")</f>
        <v>6.19695556641</v>
      </c>
      <c r="H2514" s="91" t="str">
        <f>HYPERLINK(AB2 &amp; "/scissors/sn_ec46d0cc7ac00f16cb72f5e3f9027736/rendering/05.obj", "5.95394165039")</f>
        <v>5.95394165039</v>
      </c>
      <c r="I2514" s="68" t="str">
        <f>HYPERLINK(AB2 &amp; "/scissors/sn_ec46d0cc7ac00f16cb72f5e3f9027736/rendering/06.obj", "6.0317565918")</f>
        <v>6.0317565918</v>
      </c>
      <c r="J2514" s="68" t="str">
        <f>HYPERLINK(AB2 &amp; "/scissors/sn_ec46d0cc7ac00f16cb72f5e3f9027736/rendering/07.obj", "5.55242431641")</f>
        <v>5.55242431641</v>
      </c>
      <c r="K2514" s="25" t="str">
        <f>HYPERLINK(AB2 &amp; "/scissors/sn_ec46d0cc7ac00f16cb72f5e3f9027736/rendering/08.obj", "5.85172851563")</f>
        <v>5.85172851563</v>
      </c>
      <c r="L2514" s="6" t="str">
        <f>HYPERLINK(AB2 &amp; "/scissors/sn_ec46d0cc7ac00f16cb72f5e3f9027736/rendering/09.obj", "5.52852294922")</f>
        <v>5.52852294922</v>
      </c>
      <c r="M2514" s="74" t="str">
        <f>HYPERLINK(AB2 &amp; "/scissors/sn_ec46d0cc7ac00f16cb72f5e3f9027736/rendering/10.obj", "5.86854980469")</f>
        <v>5.86854980469</v>
      </c>
      <c r="N2514" s="13" t="str">
        <f>HYPERLINK(AB2 &amp; "/scissors/sn_ec46d0cc7ac00f16cb72f5e3f9027736/rendering/11.obj", "5.80422058105")</f>
        <v>5.80422058105</v>
      </c>
      <c r="O2514" s="35" t="str">
        <f>HYPERLINK(AB2 &amp; "/scissors/sn_ec46d0cc7ac00f16cb72f5e3f9027736/rendering/12.obj", "6.13394287109")</f>
        <v>6.13394287109</v>
      </c>
      <c r="P2514" s="48" t="str">
        <f>HYPERLINK(AB2 &amp; "/scissors/sn_ec46d0cc7ac00f16cb72f5e3f9027736/rendering/13.obj", "5.66033508301")</f>
        <v>5.66033508301</v>
      </c>
      <c r="Q2514" s="30" t="str">
        <f>HYPERLINK(AB2 &amp; "/scissors/sn_ec46d0cc7ac00f16cb72f5e3f9027736/rendering/14.obj", "5.75854370117")</f>
        <v>5.75854370117</v>
      </c>
      <c r="R2514" s="91" t="str">
        <f>HYPERLINK(AB2 &amp; "/scissors/sn_ec46d0cc7ac00f16cb72f5e3f9027736/rendering/15.obj", "5.63689208984")</f>
        <v>5.63689208984</v>
      </c>
      <c r="S2514" s="6" t="str">
        <f>HYPERLINK(AB2 &amp; "/scissors/sn_ec46d0cc7ac00f16cb72f5e3f9027736/rendering/16.obj", "5.52857543945")</f>
        <v>5.52857543945</v>
      </c>
      <c r="T2514" s="26" t="str">
        <f>HYPERLINK(AB2 &amp; "/scissors/sn_ec46d0cc7ac00f16cb72f5e3f9027736/rendering/17.obj", "6.17130004883")</f>
        <v>6.17130004883</v>
      </c>
      <c r="U2514" s="67" t="str">
        <f>HYPERLINK(AB2 &amp; "/scissors/sn_ec46d0cc7ac00f16cb72f5e3f9027736/rendering/18.obj", "5.25478393555")</f>
        <v>5.25478393555</v>
      </c>
      <c r="V2514" s="27" t="str">
        <f>HYPERLINK(AB2 &amp; "/scissors/sn_ec46d0cc7ac00f16cb72f5e3f9027736/rendering/19.obj", "6.1930078125")</f>
        <v>6.1930078125</v>
      </c>
      <c r="W2514" s="12" t="s">
        <v>31</v>
      </c>
      <c r="X2514" s="13">
        <v>5.7922831726074211</v>
      </c>
      <c r="Y2514" s="13">
        <v>0.26471261830239118</v>
      </c>
      <c r="Z2514" s="6">
        <v>4.5700911093963258E-2</v>
      </c>
    </row>
    <row r="2515" spans="1:26" x14ac:dyDescent="0.2">
      <c r="A2515" s="1">
        <v>2513</v>
      </c>
      <c r="B2515" s="2" t="s">
        <v>535</v>
      </c>
      <c r="C2515" s="90" t="str">
        <f>HYPERLINK(AB2 &amp; "/scissors/sn_ec46d0cc7ac00f16cb72f5e3f9027736/rendering/00.obj", "1.69390928745")</f>
        <v>1.69390928745</v>
      </c>
      <c r="D2515" s="69" t="str">
        <f>HYPERLINK(AB2 &amp; "/scissors/sn_ec46d0cc7ac00f16cb72f5e3f9027736/rendering/01.obj", "1.82201504707")</f>
        <v>1.82201504707</v>
      </c>
      <c r="E2515" s="23" t="str">
        <f>HYPERLINK(AB2 &amp; "/scissors/sn_ec46d0cc7ac00f16cb72f5e3f9027736/rendering/02.obj", "1.80333805084")</f>
        <v>1.80333805084</v>
      </c>
      <c r="F2515" s="137" t="str">
        <f>HYPERLINK(AB2 &amp; "/scissors/sn_ec46d0cc7ac00f16cb72f5e3f9027736/rendering/03.obj", "2.55966448784")</f>
        <v>2.55966448784</v>
      </c>
      <c r="G2515" s="92" t="str">
        <f>HYPERLINK(AB2 &amp; "/scissors/sn_ec46d0cc7ac00f16cb72f5e3f9027736/rendering/04.obj", "1.64489173889")</f>
        <v>1.64489173889</v>
      </c>
      <c r="H2515" s="79" t="str">
        <f>HYPERLINK(AB2 &amp; "/scissors/sn_ec46d0cc7ac00f16cb72f5e3f9027736/rendering/05.obj", "1.58108258247")</f>
        <v>1.58108258247</v>
      </c>
      <c r="I2515" s="35" t="str">
        <f>HYPERLINK(AB2 &amp; "/scissors/sn_ec46d0cc7ac00f16cb72f5e3f9027736/rendering/06.obj", "1.7690423727")</f>
        <v>1.7690423727</v>
      </c>
      <c r="J2515" s="33" t="str">
        <f>HYPERLINK(AB2 &amp; "/scissors/sn_ec46d0cc7ac00f16cb72f5e3f9027736/rendering/07.obj", "2.07922911644")</f>
        <v>2.07922911644</v>
      </c>
      <c r="K2515" s="85" t="str">
        <f>HYPERLINK(AB2 &amp; "/scissors/sn_ec46d0cc7ac00f16cb72f5e3f9027736/rendering/08.obj", "2.43005943298")</f>
        <v>2.43005943298</v>
      </c>
      <c r="L2515" s="92" t="str">
        <f>HYPERLINK(AB2 &amp; "/scissors/sn_ec46d0cc7ac00f16cb72f5e3f9027736/rendering/09.obj", "1.64577150345")</f>
        <v>1.64577150345</v>
      </c>
      <c r="M2515" s="13" t="str">
        <f>HYPERLINK(AB2 &amp; "/scissors/sn_ec46d0cc7ac00f16cb72f5e3f9027736/rendering/10.obj", "1.87375569344")</f>
        <v>1.87375569344</v>
      </c>
      <c r="N2515" s="8" t="str">
        <f>HYPERLINK(AB2 &amp; "/scissors/sn_ec46d0cc7ac00f16cb72f5e3f9027736/rendering/11.obj", "1.60575485229")</f>
        <v>1.60575485229</v>
      </c>
      <c r="O2515" s="92" t="str">
        <f>HYPERLINK(AB2 &amp; "/scissors/sn_ec46d0cc7ac00f16cb72f5e3f9027736/rendering/12.obj", "1.64560413361")</f>
        <v>1.64560413361</v>
      </c>
      <c r="P2515" s="107" t="str">
        <f>HYPERLINK(AB2 &amp; "/scissors/sn_ec46d0cc7ac00f16cb72f5e3f9027736/rendering/13.obj", "1.72212934494")</f>
        <v>1.72212934494</v>
      </c>
      <c r="Q2515" s="30" t="str">
        <f>HYPERLINK(AB2 &amp; "/scissors/sn_ec46d0cc7ac00f16cb72f5e3f9027736/rendering/14.obj", "1.88294827938")</f>
        <v>1.88294827938</v>
      </c>
      <c r="R2515" s="25" t="str">
        <f>HYPERLINK(AB2 &amp; "/scissors/sn_ec46d0cc7ac00f16cb72f5e3f9027736/rendering/15.obj", "1.89666473866")</f>
        <v>1.89666473866</v>
      </c>
      <c r="S2515" s="13" t="str">
        <f>HYPERLINK(AB2 &amp; "/scissors/sn_ec46d0cc7ac00f16cb72f5e3f9027736/rendering/16.obj", "1.88187003136")</f>
        <v>1.88187003136</v>
      </c>
      <c r="T2515" s="38" t="str">
        <f>HYPERLINK(AB2 &amp; "/scissors/sn_ec46d0cc7ac00f16cb72f5e3f9027736/rendering/17.obj", "1.70936751366")</f>
        <v>1.70936751366</v>
      </c>
      <c r="U2515" s="82" t="str">
        <f>HYPERLINK(AB2 &amp; "/scissors/sn_ec46d0cc7ac00f16cb72f5e3f9027736/rendering/18.obj", "2.26315331459")</f>
        <v>2.26315331459</v>
      </c>
      <c r="V2515" s="27" t="str">
        <f>HYPERLINK(AB2 &amp; "/scissors/sn_ec46d0cc7ac00f16cb72f5e3f9027736/rendering/19.obj", "2.00979733467")</f>
        <v>2.00979733467</v>
      </c>
      <c r="W2515" s="12" t="s">
        <v>32</v>
      </c>
      <c r="X2515" s="13">
        <v>1.876002442836761</v>
      </c>
      <c r="Y2515" s="13">
        <v>0.26530417521064081</v>
      </c>
      <c r="Z2515" s="8">
        <v>0.1414199518895434</v>
      </c>
    </row>
    <row r="2516" spans="1:26" x14ac:dyDescent="0.2">
      <c r="A2516" s="1">
        <v>2514</v>
      </c>
      <c r="B2516" s="2" t="s">
        <v>535</v>
      </c>
      <c r="C2516" s="13" t="str">
        <f>HYPERLINK(AC2 &amp; "/scissors/sn_ec46d0cc7ac00f16cb72f5e3f9027736/rendering/00.xyz", "0.0")</f>
        <v>0.0</v>
      </c>
      <c r="D2516" s="13" t="str">
        <f>HYPERLINK(AC2 &amp; "/scissors/sn_ec46d0cc7ac00f16cb72f5e3f9027736/rendering/01.xyz", "0.0")</f>
        <v>0.0</v>
      </c>
      <c r="E2516" s="13" t="str">
        <f>HYPERLINK(AC2 &amp; "/scissors/sn_ec46d0cc7ac00f16cb72f5e3f9027736/rendering/02.xyz", "0.0")</f>
        <v>0.0</v>
      </c>
      <c r="F2516" s="13" t="str">
        <f>HYPERLINK(AC2 &amp; "/scissors/sn_ec46d0cc7ac00f16cb72f5e3f9027736/rendering/03.xyz", "0.0")</f>
        <v>0.0</v>
      </c>
      <c r="G2516" s="13" t="str">
        <f>HYPERLINK(AC2 &amp; "/scissors/sn_ec46d0cc7ac00f16cb72f5e3f9027736/rendering/04.xyz", "0.0")</f>
        <v>0.0</v>
      </c>
      <c r="H2516" s="13" t="str">
        <f>HYPERLINK(AC2 &amp; "/scissors/sn_ec46d0cc7ac00f16cb72f5e3f9027736/rendering/05.xyz", "0.0")</f>
        <v>0.0</v>
      </c>
      <c r="I2516" s="13" t="str">
        <f>HYPERLINK(AC2 &amp; "/scissors/sn_ec46d0cc7ac00f16cb72f5e3f9027736/rendering/06.xyz", "0.0")</f>
        <v>0.0</v>
      </c>
      <c r="J2516" s="13" t="str">
        <f>HYPERLINK(AC2 &amp; "/scissors/sn_ec46d0cc7ac00f16cb72f5e3f9027736/rendering/07.xyz", "0.0")</f>
        <v>0.0</v>
      </c>
      <c r="K2516" s="13" t="str">
        <f>HYPERLINK(AC2 &amp; "/scissors/sn_ec46d0cc7ac00f16cb72f5e3f9027736/rendering/08.xyz", "0.0")</f>
        <v>0.0</v>
      </c>
      <c r="L2516" s="13" t="str">
        <f>HYPERLINK(AC2 &amp; "/scissors/sn_ec46d0cc7ac00f16cb72f5e3f9027736/rendering/09.xyz", "0.0")</f>
        <v>0.0</v>
      </c>
      <c r="M2516" s="13" t="str">
        <f>HYPERLINK(AC2 &amp; "/scissors/sn_ec46d0cc7ac00f16cb72f5e3f9027736/rendering/10.xyz", "0.0")</f>
        <v>0.0</v>
      </c>
      <c r="N2516" s="13" t="str">
        <f>HYPERLINK(AC2 &amp; "/scissors/sn_ec46d0cc7ac00f16cb72f5e3f9027736/rendering/11.xyz", "0.0")</f>
        <v>0.0</v>
      </c>
      <c r="O2516" s="13" t="str">
        <f>HYPERLINK(AC2 &amp; "/scissors/sn_ec46d0cc7ac00f16cb72f5e3f9027736/rendering/12.xyz", "0.0")</f>
        <v>0.0</v>
      </c>
      <c r="P2516" s="13" t="str">
        <f>HYPERLINK(AC2 &amp; "/scissors/sn_ec46d0cc7ac00f16cb72f5e3f9027736/rendering/13.xyz", "0.0")</f>
        <v>0.0</v>
      </c>
      <c r="Q2516" s="13" t="str">
        <f>HYPERLINK(AC2 &amp; "/scissors/sn_ec46d0cc7ac00f16cb72f5e3f9027736/rendering/14.xyz", "0.0")</f>
        <v>0.0</v>
      </c>
      <c r="R2516" s="13" t="str">
        <f>HYPERLINK(AC2 &amp; "/scissors/sn_ec46d0cc7ac00f16cb72f5e3f9027736/rendering/15.xyz", "0.0")</f>
        <v>0.0</v>
      </c>
      <c r="S2516" s="13" t="str">
        <f>HYPERLINK(AC2 &amp; "/scissors/sn_ec46d0cc7ac00f16cb72f5e3f9027736/rendering/16.xyz", "0.0")</f>
        <v>0.0</v>
      </c>
      <c r="T2516" s="13" t="str">
        <f>HYPERLINK(AC2 &amp; "/scissors/sn_ec46d0cc7ac00f16cb72f5e3f9027736/rendering/17.xyz", "0.0")</f>
        <v>0.0</v>
      </c>
      <c r="U2516" s="13" t="str">
        <f>HYPERLINK(AC2 &amp; "/scissors/sn_ec46d0cc7ac00f16cb72f5e3f9027736/rendering/18.xyz", "0.0")</f>
        <v>0.0</v>
      </c>
      <c r="V2516" s="13" t="str">
        <f>HYPERLINK(AC2 &amp; "/scissors/sn_ec46d0cc7ac00f16cb72f5e3f9027736/rendering/19.xyz", "0.0")</f>
        <v>0.0</v>
      </c>
      <c r="W2516" s="12" t="s">
        <v>33</v>
      </c>
      <c r="X2516" s="13">
        <v>0</v>
      </c>
      <c r="Y2516" s="13">
        <v>0</v>
      </c>
      <c r="Z2516" s="13">
        <v>0</v>
      </c>
    </row>
    <row r="2517" spans="1:26" x14ac:dyDescent="0.2">
      <c r="A2517" s="1">
        <v>2515</v>
      </c>
      <c r="B2517" s="2" t="s">
        <v>536</v>
      </c>
      <c r="C2517" s="89" t="str">
        <f>HYPERLINK(AA2 &amp; "/scissors/sn_f8d822a69e1637613478e03415bd563d/rendering/00.obj", "4.88118865967")</f>
        <v>4.88118865967</v>
      </c>
      <c r="D2517" s="50" t="str">
        <f>HYPERLINK(AA2 &amp; "/scissors/sn_f8d822a69e1637613478e03415bd563d/rendering/01.obj", "5.28382446289")</f>
        <v>5.28382446289</v>
      </c>
      <c r="E2517" s="137" t="str">
        <f>HYPERLINK(AA2 &amp; "/scissors/sn_f8d822a69e1637613478e03415bd563d/rendering/02.obj", "9.00148803711")</f>
        <v>9.00148803711</v>
      </c>
      <c r="F2517" s="33" t="str">
        <f>HYPERLINK(AA2 &amp; "/scissors/sn_f8d822a69e1637613478e03415bd563d/rendering/03.obj", "5.86506896973")</f>
        <v>5.86506896973</v>
      </c>
      <c r="G2517" s="8" t="str">
        <f>HYPERLINK(AA2 &amp; "/scissors/sn_f8d822a69e1637613478e03415bd563d/rendering/04.obj", "5.64674316406")</f>
        <v>5.64674316406</v>
      </c>
      <c r="H2517" s="83" t="str">
        <f>HYPERLINK(AA2 &amp; "/scissors/sn_f8d822a69e1637613478e03415bd563d/rendering/05.obj", "7.58925170898")</f>
        <v>7.58925170898</v>
      </c>
      <c r="I2517" s="33" t="str">
        <f>HYPERLINK(AA2 &amp; "/scissors/sn_f8d822a69e1637613478e03415bd563d/rendering/06.obj", "5.87725158691")</f>
        <v>5.87725158691</v>
      </c>
      <c r="J2517" s="65" t="str">
        <f>HYPERLINK(AA2 &amp; "/scissors/sn_f8d822a69e1637613478e03415bd563d/rendering/07.obj", "7.47150756836")</f>
        <v>7.47150756836</v>
      </c>
      <c r="K2517" s="13" t="str">
        <f>HYPERLINK(AA2 &amp; "/scissors/sn_f8d822a69e1637613478e03415bd563d/rendering/08.obj", "6.56661682129")</f>
        <v>6.56661682129</v>
      </c>
      <c r="L2517" s="77" t="str">
        <f>HYPERLINK(AA2 &amp; "/scissors/sn_f8d822a69e1637613478e03415bd563d/rendering/09.obj", "5.35594970703")</f>
        <v>5.35594970703</v>
      </c>
      <c r="M2517" s="61" t="str">
        <f>HYPERLINK(AA2 &amp; "/scissors/sn_f8d822a69e1637613478e03415bd563d/rendering/10.obj", "8.58214111328")</f>
        <v>8.58214111328</v>
      </c>
      <c r="N2517" s="108" t="str">
        <f>HYPERLINK(AA2 &amp; "/scissors/sn_f8d822a69e1637613478e03415bd563d/rendering/11.obj", "4.9689831543")</f>
        <v>4.9689831543</v>
      </c>
      <c r="O2517" s="123" t="str">
        <f>HYPERLINK(AA2 &amp; "/scissors/sn_f8d822a69e1637613478e03415bd563d/rendering/12.obj", "9.01975585937")</f>
        <v>9.01975585937</v>
      </c>
      <c r="P2517" s="78" t="str">
        <f>HYPERLINK(AA2 &amp; "/scissors/sn_f8d822a69e1637613478e03415bd563d/rendering/13.obj", "6.17916381836")</f>
        <v>6.17916381836</v>
      </c>
      <c r="Q2517" s="17" t="str">
        <f>HYPERLINK(AA2 &amp; "/scissors/sn_f8d822a69e1637613478e03415bd563d/rendering/14.obj", "6.71374389648")</f>
        <v>6.71374389648</v>
      </c>
      <c r="R2517" s="67" t="str">
        <f>HYPERLINK(AA2 &amp; "/scissors/sn_f8d822a69e1637613478e03415bd563d/rendering/15.obj", "5.96704223633")</f>
        <v>5.96704223633</v>
      </c>
      <c r="S2517" s="91" t="str">
        <f>HYPERLINK(AA2 &amp; "/scissors/sn_f8d822a69e1637613478e03415bd563d/rendering/16.obj", "6.75239624023")</f>
        <v>6.75239624023</v>
      </c>
      <c r="T2517" s="138" t="str">
        <f>HYPERLINK(AA2 &amp; "/scissors/sn_f8d822a69e1637613478e03415bd563d/rendering/17.obj", "8.81321044922")</f>
        <v>8.81321044922</v>
      </c>
      <c r="U2517" s="28" t="str">
        <f>HYPERLINK(AA2 &amp; "/scissors/sn_f8d822a69e1637613478e03415bd563d/rendering/18.obj", "5.85410339355")</f>
        <v>5.85410339355</v>
      </c>
      <c r="V2517" s="109" t="str">
        <f>HYPERLINK(AA2 &amp; "/scissors/sn_f8d822a69e1637613478e03415bd563d/rendering/19.obj", "5.33314331055")</f>
        <v>5.33314331055</v>
      </c>
      <c r="W2517" s="12" t="s">
        <v>29</v>
      </c>
      <c r="X2517" s="13">
        <v>6.5861287078857433</v>
      </c>
      <c r="Y2517" s="13">
        <v>1.3383915949228671</v>
      </c>
      <c r="Z2517" s="88">
        <v>0.20321370174870351</v>
      </c>
    </row>
    <row r="2518" spans="1:26" x14ac:dyDescent="0.2">
      <c r="A2518" s="1">
        <v>2516</v>
      </c>
      <c r="B2518" s="2" t="s">
        <v>536</v>
      </c>
      <c r="C2518" s="132" t="str">
        <f>HYPERLINK(AA2 &amp; "/scissors/sn_f8d822a69e1637613478e03415bd563d/rendering/00.obj", "5.89368343353")</f>
        <v>5.89368343353</v>
      </c>
      <c r="D2518" s="179" t="str">
        <f>HYPERLINK(AA2 &amp; "/scissors/sn_f8d822a69e1637613478e03415bd563d/rendering/01.obj", "5.79350566864")</f>
        <v>5.79350566864</v>
      </c>
      <c r="E2518" s="254" t="str">
        <f>HYPERLINK(AA2 &amp; "/scissors/sn_f8d822a69e1637613478e03415bd563d/rendering/02.obj", "17.9427909851")</f>
        <v>17.9427909851</v>
      </c>
      <c r="F2518" s="132" t="str">
        <f>HYPERLINK(AA2 &amp; "/scissors/sn_f8d822a69e1637613478e03415bd563d/rendering/03.obj", "5.87403345108")</f>
        <v>5.87403345108</v>
      </c>
      <c r="G2518" s="7" t="str">
        <f>HYPERLINK(AA2 &amp; "/scissors/sn_f8d822a69e1637613478e03415bd563d/rendering/04.obj", "7.30585098267")</f>
        <v>7.30585098267</v>
      </c>
      <c r="H2518" s="86" t="str">
        <f>HYPERLINK(AA2 &amp; "/scissors/sn_f8d822a69e1637613478e03415bd563d/rendering/05.obj", "7.38724708557")</f>
        <v>7.38724708557</v>
      </c>
      <c r="I2518" s="152" t="str">
        <f>HYPERLINK(AA2 &amp; "/scissors/sn_f8d822a69e1637613478e03415bd563d/rendering/06.obj", "5.99876737595")</f>
        <v>5.99876737595</v>
      </c>
      <c r="J2518" s="218" t="str">
        <f>HYPERLINK(AA2 &amp; "/scissors/sn_f8d822a69e1637613478e03415bd563d/rendering/07.obj", "15.3455343246")</f>
        <v>15.3455343246</v>
      </c>
      <c r="K2518" s="153" t="str">
        <f>HYPERLINK(AA2 &amp; "/scissors/sn_f8d822a69e1637613478e03415bd563d/rendering/08.obj", "6.52075815201")</f>
        <v>6.52075815201</v>
      </c>
      <c r="L2518" s="122" t="str">
        <f>HYPERLINK(AA2 &amp; "/scissors/sn_f8d822a69e1637613478e03415bd563d/rendering/09.obj", "6.05201196671")</f>
        <v>6.05201196671</v>
      </c>
      <c r="M2518" s="148" t="str">
        <f>HYPERLINK(AA2 &amp; "/scissors/sn_f8d822a69e1637613478e03415bd563d/rendering/10.obj", "15.0048809052")</f>
        <v>15.0048809052</v>
      </c>
      <c r="N2518" s="56" t="str">
        <f>HYPERLINK(AA2 &amp; "/scissors/sn_f8d822a69e1637613478e03415bd563d/rendering/11.obj", "6.99239206314")</f>
        <v>6.99239206314</v>
      </c>
      <c r="O2518" s="20" t="str">
        <f>HYPERLINK(AA2 &amp; "/scissors/sn_f8d822a69e1637613478e03415bd563d/rendering/12.obj", "23.6163539886")</f>
        <v>23.6163539886</v>
      </c>
      <c r="P2518" s="91" t="str">
        <f>HYPERLINK(AA2 &amp; "/scissors/sn_f8d822a69e1637613478e03415bd563d/rendering/13.obj", "10.3891296387")</f>
        <v>10.3891296387</v>
      </c>
      <c r="Q2518" s="87" t="str">
        <f>HYPERLINK(AA2 &amp; "/scissors/sn_f8d822a69e1637613478e03415bd563d/rendering/14.obj", "7.82555961609")</f>
        <v>7.82555961609</v>
      </c>
      <c r="R2518" s="109" t="str">
        <f>HYPERLINK(AA2 &amp; "/scissors/sn_f8d822a69e1637613478e03415bd563d/rendering/15.obj", "8.17973899841")</f>
        <v>8.17973899841</v>
      </c>
      <c r="S2518" s="107" t="str">
        <f>HYPERLINK(AA2 &amp; "/scissors/sn_f8d822a69e1637613478e03415bd563d/rendering/16.obj", "9.2681350708")</f>
        <v>9.2681350708</v>
      </c>
      <c r="T2518" s="20" t="str">
        <f>HYPERLINK(AA2 &amp; "/scissors/sn_f8d822a69e1637613478e03415bd563d/rendering/17.obj", "20.213727951")</f>
        <v>20.213727951</v>
      </c>
      <c r="U2518" s="71" t="str">
        <f>HYPERLINK(AA2 &amp; "/scissors/sn_f8d822a69e1637613478e03415bd563d/rendering/18.obj", "8.93558311462")</f>
        <v>8.93558311462</v>
      </c>
      <c r="V2518" s="175" t="str">
        <f>HYPERLINK(AA2 &amp; "/scissors/sn_f8d822a69e1637613478e03415bd563d/rendering/19.obj", "7.7470536232")</f>
        <v>7.7470536232</v>
      </c>
      <c r="W2518" s="12" t="s">
        <v>30</v>
      </c>
      <c r="X2518" s="13">
        <v>10.114336919784551</v>
      </c>
      <c r="Y2518" s="13">
        <v>5.1938663969102592</v>
      </c>
      <c r="Z2518" s="105">
        <v>0.51351526433241446</v>
      </c>
    </row>
    <row r="2519" spans="1:26" x14ac:dyDescent="0.2">
      <c r="A2519" s="1">
        <v>2517</v>
      </c>
      <c r="B2519" s="2" t="s">
        <v>536</v>
      </c>
      <c r="C2519" s="69" t="str">
        <f>HYPERLINK(AB2 &amp; "/scissors/sn_f8d822a69e1637613478e03415bd563d/rendering/00.obj", "4.2615512085")</f>
        <v>4.2615512085</v>
      </c>
      <c r="D2519" s="94" t="str">
        <f>HYPERLINK(AB2 &amp; "/scissors/sn_f8d822a69e1637613478e03415bd563d/rendering/01.obj", "4.70629943848")</f>
        <v>4.70629943848</v>
      </c>
      <c r="E2519" s="67" t="str">
        <f>HYPERLINK(AB2 &amp; "/scissors/sn_f8d822a69e1637613478e03415bd563d/rendering/02.obj", "4.78758728027")</f>
        <v>4.78758728027</v>
      </c>
      <c r="F2519" s="32" t="str">
        <f>HYPERLINK(AB2 &amp; "/scissors/sn_f8d822a69e1637613478e03415bd563d/rendering/03.obj", "3.91935058594")</f>
        <v>3.91935058594</v>
      </c>
      <c r="G2519" s="34" t="str">
        <f>HYPERLINK(AB2 &amp; "/scissors/sn_f8d822a69e1637613478e03415bd563d/rendering/04.obj", "4.5965625")</f>
        <v>4.5965625</v>
      </c>
      <c r="H2519" s="28" t="str">
        <f>HYPERLINK(AB2 &amp; "/scissors/sn_f8d822a69e1637613478e03415bd563d/rendering/05.obj", "4.87557006836")</f>
        <v>4.87557006836</v>
      </c>
      <c r="I2519" s="25" t="str">
        <f>HYPERLINK(AB2 &amp; "/scissors/sn_f8d822a69e1637613478e03415bd563d/rendering/06.obj", "4.3358795166")</f>
        <v>4.3358795166</v>
      </c>
      <c r="J2519" s="69" t="str">
        <f>HYPERLINK(AB2 &amp; "/scissors/sn_f8d822a69e1637613478e03415bd563d/rendering/07.obj", "4.51734313965")</f>
        <v>4.51734313965</v>
      </c>
      <c r="K2519" s="120" t="str">
        <f>HYPERLINK(AB2 &amp; "/scissors/sn_f8d822a69e1637613478e03415bd563d/rendering/08.obj", "3.45148681641")</f>
        <v>3.45148681641</v>
      </c>
      <c r="L2519" s="25" t="str">
        <f>HYPERLINK(AB2 &amp; "/scissors/sn_f8d822a69e1637613478e03415bd563d/rendering/09.obj", "4.33544799805")</f>
        <v>4.33544799805</v>
      </c>
      <c r="M2519" s="73" t="str">
        <f>HYPERLINK(AB2 &amp; "/scissors/sn_f8d822a69e1637613478e03415bd563d/rendering/10.obj", "4.54911468506")</f>
        <v>4.54911468506</v>
      </c>
      <c r="N2519" s="48" t="str">
        <f>HYPERLINK(AB2 &amp; "/scissors/sn_f8d822a69e1637613478e03415bd563d/rendering/11.obj", "4.49151916504")</f>
        <v>4.49151916504</v>
      </c>
      <c r="O2519" s="90" t="str">
        <f>HYPERLINK(AB2 &amp; "/scissors/sn_f8d822a69e1637613478e03415bd563d/rendering/12.obj", "3.96004180908")</f>
        <v>3.96004180908</v>
      </c>
      <c r="P2519" s="106" t="str">
        <f>HYPERLINK(AB2 &amp; "/scissors/sn_f8d822a69e1637613478e03415bd563d/rendering/13.obj", "4.88249633789")</f>
        <v>4.88249633789</v>
      </c>
      <c r="Q2519" s="35" t="str">
        <f>HYPERLINK(AB2 &amp; "/scissors/sn_f8d822a69e1637613478e03415bd563d/rendering/14.obj", "4.12907714844")</f>
        <v>4.12907714844</v>
      </c>
      <c r="R2519" s="47" t="str">
        <f>HYPERLINK(AB2 &amp; "/scissors/sn_f8d822a69e1637613478e03415bd563d/rendering/15.obj", "4.42480285645")</f>
        <v>4.42480285645</v>
      </c>
      <c r="S2519" s="69" t="str">
        <f>HYPERLINK(AB2 &amp; "/scissors/sn_f8d822a69e1637613478e03415bd563d/rendering/16.obj", "4.51477172852")</f>
        <v>4.51477172852</v>
      </c>
      <c r="T2519" s="84" t="str">
        <f>HYPERLINK(AB2 &amp; "/scissors/sn_f8d822a69e1637613478e03415bd563d/rendering/17.obj", "5.02720367432")</f>
        <v>5.02720367432</v>
      </c>
      <c r="U2519" s="34" t="str">
        <f>HYPERLINK(AB2 &amp; "/scissors/sn_f8d822a69e1637613478e03415bd563d/rendering/18.obj", "4.17050964355")</f>
        <v>4.17050964355</v>
      </c>
      <c r="V2519" s="93" t="str">
        <f>HYPERLINK(AB2 &amp; "/scissors/sn_f8d822a69e1637613478e03415bd563d/rendering/19.obj", "3.77199035645")</f>
        <v>3.77199035645</v>
      </c>
      <c r="W2519" s="12" t="s">
        <v>31</v>
      </c>
      <c r="X2519" s="13">
        <v>4.3854302978515634</v>
      </c>
      <c r="Y2519" s="13">
        <v>0.39122427102702528</v>
      </c>
      <c r="Z2519" s="38">
        <v>8.9210007788446066E-2</v>
      </c>
    </row>
    <row r="2520" spans="1:26" x14ac:dyDescent="0.2">
      <c r="A2520" s="1">
        <v>2518</v>
      </c>
      <c r="B2520" s="2" t="s">
        <v>536</v>
      </c>
      <c r="C2520" s="120" t="str">
        <f>HYPERLINK(AB2 &amp; "/scissors/sn_f8d822a69e1637613478e03415bd563d/rendering/00.obj", "1.44496905804")</f>
        <v>1.44496905804</v>
      </c>
      <c r="D2520" s="29" t="str">
        <f>HYPERLINK(AB2 &amp; "/scissors/sn_f8d822a69e1637613478e03415bd563d/rendering/01.obj", "2.07060909271")</f>
        <v>2.07060909271</v>
      </c>
      <c r="E2520" s="229" t="str">
        <f>HYPERLINK(AB2 &amp; "/scissors/sn_f8d822a69e1637613478e03415bd563d/rendering/02.obj", "3.08214330673")</f>
        <v>3.08214330673</v>
      </c>
      <c r="F2520" s="34" t="str">
        <f>HYPERLINK(AB2 &amp; "/scissors/sn_f8d822a69e1637613478e03415bd563d/rendering/03.obj", "1.74514627457")</f>
        <v>1.74514627457</v>
      </c>
      <c r="G2520" s="138" t="str">
        <f>HYPERLINK(AB2 &amp; "/scissors/sn_f8d822a69e1637613478e03415bd563d/rendering/04.obj", "2.45158410072")</f>
        <v>2.45158410072</v>
      </c>
      <c r="H2520" s="91" t="str">
        <f>HYPERLINK(AB2 &amp; "/scissors/sn_f8d822a69e1637613478e03415bd563d/rendering/05.obj", "1.78264904022")</f>
        <v>1.78264904022</v>
      </c>
      <c r="I2520" s="80" t="str">
        <f>HYPERLINK(AB2 &amp; "/scissors/sn_f8d822a69e1637613478e03415bd563d/rendering/06.obj", "2.1069791317")</f>
        <v>2.1069791317</v>
      </c>
      <c r="J2520" s="28" t="str">
        <f>HYPERLINK(AB2 &amp; "/scissors/sn_f8d822a69e1637613478e03415bd563d/rendering/07.obj", "1.63043224812")</f>
        <v>1.63043224812</v>
      </c>
      <c r="K2520" s="10" t="str">
        <f>HYPERLINK(AB2 &amp; "/scissors/sn_f8d822a69e1637613478e03415bd563d/rendering/08.obj", "1.73515367508")</f>
        <v>1.73515367508</v>
      </c>
      <c r="L2520" s="120" t="str">
        <f>HYPERLINK(AB2 &amp; "/scissors/sn_f8d822a69e1637613478e03415bd563d/rendering/09.obj", "1.4475684166")</f>
        <v>1.4475684166</v>
      </c>
      <c r="M2520" s="6" t="str">
        <f>HYPERLINK(AB2 &amp; "/scissors/sn_f8d822a69e1637613478e03415bd563d/rendering/10.obj", "1.74732220173")</f>
        <v>1.74732220173</v>
      </c>
      <c r="N2520" s="49" t="str">
        <f>HYPERLINK(AB2 &amp; "/scissors/sn_f8d822a69e1637613478e03415bd563d/rendering/11.obj", "1.45195698738")</f>
        <v>1.45195698738</v>
      </c>
      <c r="O2520" s="6" t="str">
        <f>HYPERLINK(AB2 &amp; "/scissors/sn_f8d822a69e1637613478e03415bd563d/rendering/12.obj", "1.74899339676")</f>
        <v>1.74899339676</v>
      </c>
      <c r="P2520" s="67" t="str">
        <f>HYPERLINK(AB2 &amp; "/scissors/sn_f8d822a69e1637613478e03415bd563d/rendering/13.obj", "1.66634511948")</f>
        <v>1.66634511948</v>
      </c>
      <c r="Q2520" s="172" t="str">
        <f>HYPERLINK(AB2 &amp; "/scissors/sn_f8d822a69e1637613478e03415bd563d/rendering/14.obj", "2.53967952728")</f>
        <v>2.53967952728</v>
      </c>
      <c r="R2520" s="37" t="str">
        <f>HYPERLINK(AB2 &amp; "/scissors/sn_f8d822a69e1637613478e03415bd563d/rendering/15.obj", "1.51189887524")</f>
        <v>1.51189887524</v>
      </c>
      <c r="S2520" s="24" t="str">
        <f>HYPERLINK(AB2 &amp; "/scissors/sn_f8d822a69e1637613478e03415bd563d/rendering/16.obj", "1.52306163311")</f>
        <v>1.52306163311</v>
      </c>
      <c r="T2520" s="133" t="str">
        <f>HYPERLINK(AB2 &amp; "/scissors/sn_f8d822a69e1637613478e03415bd563d/rendering/17.obj", "1.64854693413")</f>
        <v>1.64854693413</v>
      </c>
      <c r="U2520" s="109" t="str">
        <f>HYPERLINK(AB2 &amp; "/scissors/sn_f8d822a69e1637613478e03415bd563d/rendering/18.obj", "1.48477113247")</f>
        <v>1.48477113247</v>
      </c>
      <c r="V2520" s="47" t="str">
        <f>HYPERLINK(AB2 &amp; "/scissors/sn_f8d822a69e1637613478e03415bd563d/rendering/19.obj", "1.84897351265")</f>
        <v>1.84897351265</v>
      </c>
      <c r="W2520" s="12" t="s">
        <v>32</v>
      </c>
      <c r="X2520" s="13">
        <v>1.833439183235168</v>
      </c>
      <c r="Y2520" s="13">
        <v>0.41689214547702019</v>
      </c>
      <c r="Z2520" s="87">
        <v>0.2273825874831579</v>
      </c>
    </row>
    <row r="2521" spans="1:26" x14ac:dyDescent="0.2">
      <c r="A2521" s="1">
        <v>2519</v>
      </c>
      <c r="B2521" s="2" t="s">
        <v>536</v>
      </c>
      <c r="C2521" s="13" t="str">
        <f>HYPERLINK(AC2 &amp; "/scissors/sn_f8d822a69e1637613478e03415bd563d/rendering/00.xyz", "0.0")</f>
        <v>0.0</v>
      </c>
      <c r="D2521" s="13" t="str">
        <f>HYPERLINK(AC2 &amp; "/scissors/sn_f8d822a69e1637613478e03415bd563d/rendering/01.xyz", "0.0")</f>
        <v>0.0</v>
      </c>
      <c r="E2521" s="13" t="str">
        <f>HYPERLINK(AC2 &amp; "/scissors/sn_f8d822a69e1637613478e03415bd563d/rendering/02.xyz", "0.0")</f>
        <v>0.0</v>
      </c>
      <c r="F2521" s="13" t="str">
        <f>HYPERLINK(AC2 &amp; "/scissors/sn_f8d822a69e1637613478e03415bd563d/rendering/03.xyz", "0.0")</f>
        <v>0.0</v>
      </c>
      <c r="G2521" s="13" t="str">
        <f>HYPERLINK(AC2 &amp; "/scissors/sn_f8d822a69e1637613478e03415bd563d/rendering/04.xyz", "0.0")</f>
        <v>0.0</v>
      </c>
      <c r="H2521" s="13" t="str">
        <f>HYPERLINK(AC2 &amp; "/scissors/sn_f8d822a69e1637613478e03415bd563d/rendering/05.xyz", "0.0")</f>
        <v>0.0</v>
      </c>
      <c r="I2521" s="13" t="str">
        <f>HYPERLINK(AC2 &amp; "/scissors/sn_f8d822a69e1637613478e03415bd563d/rendering/06.xyz", "0.0")</f>
        <v>0.0</v>
      </c>
      <c r="J2521" s="13" t="str">
        <f>HYPERLINK(AC2 &amp; "/scissors/sn_f8d822a69e1637613478e03415bd563d/rendering/07.xyz", "0.0")</f>
        <v>0.0</v>
      </c>
      <c r="K2521" s="13" t="str">
        <f>HYPERLINK(AC2 &amp; "/scissors/sn_f8d822a69e1637613478e03415bd563d/rendering/08.xyz", "0.0")</f>
        <v>0.0</v>
      </c>
      <c r="L2521" s="13" t="str">
        <f>HYPERLINK(AC2 &amp; "/scissors/sn_f8d822a69e1637613478e03415bd563d/rendering/09.xyz", "0.0")</f>
        <v>0.0</v>
      </c>
      <c r="M2521" s="13" t="str">
        <f>HYPERLINK(AC2 &amp; "/scissors/sn_f8d822a69e1637613478e03415bd563d/rendering/10.xyz", "0.0")</f>
        <v>0.0</v>
      </c>
      <c r="N2521" s="13" t="str">
        <f>HYPERLINK(AC2 &amp; "/scissors/sn_f8d822a69e1637613478e03415bd563d/rendering/11.xyz", "0.0")</f>
        <v>0.0</v>
      </c>
      <c r="O2521" s="13" t="str">
        <f>HYPERLINK(AC2 &amp; "/scissors/sn_f8d822a69e1637613478e03415bd563d/rendering/12.xyz", "0.0")</f>
        <v>0.0</v>
      </c>
      <c r="P2521" s="13" t="str">
        <f>HYPERLINK(AC2 &amp; "/scissors/sn_f8d822a69e1637613478e03415bd563d/rendering/13.xyz", "0.0")</f>
        <v>0.0</v>
      </c>
      <c r="Q2521" s="13" t="str">
        <f>HYPERLINK(AC2 &amp; "/scissors/sn_f8d822a69e1637613478e03415bd563d/rendering/14.xyz", "0.0")</f>
        <v>0.0</v>
      </c>
      <c r="R2521" s="13" t="str">
        <f>HYPERLINK(AC2 &amp; "/scissors/sn_f8d822a69e1637613478e03415bd563d/rendering/15.xyz", "0.0")</f>
        <v>0.0</v>
      </c>
      <c r="S2521" s="13" t="str">
        <f>HYPERLINK(AC2 &amp; "/scissors/sn_f8d822a69e1637613478e03415bd563d/rendering/16.xyz", "0.0")</f>
        <v>0.0</v>
      </c>
      <c r="T2521" s="13" t="str">
        <f>HYPERLINK(AC2 &amp; "/scissors/sn_f8d822a69e1637613478e03415bd563d/rendering/17.xyz", "0.0")</f>
        <v>0.0</v>
      </c>
      <c r="U2521" s="13" t="str">
        <f>HYPERLINK(AC2 &amp; "/scissors/sn_f8d822a69e1637613478e03415bd563d/rendering/18.xyz", "0.0")</f>
        <v>0.0</v>
      </c>
      <c r="V2521" s="13" t="str">
        <f>HYPERLINK(AC2 &amp; "/scissors/sn_f8d822a69e1637613478e03415bd563d/rendering/19.xyz", "0.0")</f>
        <v>0.0</v>
      </c>
      <c r="W2521" s="12" t="s">
        <v>33</v>
      </c>
      <c r="X2521" s="13">
        <v>0</v>
      </c>
      <c r="Y2521" s="13">
        <v>0</v>
      </c>
      <c r="Z2521" s="13">
        <v>0</v>
      </c>
    </row>
    <row r="2522" spans="1:26" x14ac:dyDescent="0.2">
      <c r="A2522" s="1">
        <v>2520</v>
      </c>
      <c r="B2522" s="2" t="s">
        <v>537</v>
      </c>
      <c r="C2522" s="3" t="str">
        <f>HYPERLINK(AA2 &amp; "/screwdriver/sn_618a2ac2a00f0c2cc29d9a7082e987b0/rendering/00.obj", "nan")</f>
        <v>nan</v>
      </c>
      <c r="D2522" s="3" t="str">
        <f>HYPERLINK(AA2 &amp; "/screwdriver/sn_618a2ac2a00f0c2cc29d9a7082e987b0/rendering/01.obj", "nan")</f>
        <v>nan</v>
      </c>
      <c r="E2522" s="3" t="str">
        <f>HYPERLINK(AA2 &amp; "/screwdriver/sn_618a2ac2a00f0c2cc29d9a7082e987b0/rendering/02.obj", "nan")</f>
        <v>nan</v>
      </c>
      <c r="F2522" s="3" t="str">
        <f>HYPERLINK(AA2 &amp; "/screwdriver/sn_618a2ac2a00f0c2cc29d9a7082e987b0/rendering/03.obj", "nan")</f>
        <v>nan</v>
      </c>
      <c r="G2522" s="3" t="str">
        <f>HYPERLINK(AA2 &amp; "/screwdriver/sn_618a2ac2a00f0c2cc29d9a7082e987b0/rendering/04.obj", "nan")</f>
        <v>nan</v>
      </c>
      <c r="H2522" s="3" t="str">
        <f>HYPERLINK(AA2 &amp; "/screwdriver/sn_618a2ac2a00f0c2cc29d9a7082e987b0/rendering/05.obj", "nan")</f>
        <v>nan</v>
      </c>
      <c r="I2522" s="3" t="str">
        <f>HYPERLINK(AA2 &amp; "/screwdriver/sn_618a2ac2a00f0c2cc29d9a7082e987b0/rendering/06.obj", "nan")</f>
        <v>nan</v>
      </c>
      <c r="J2522" s="3" t="str">
        <f>HYPERLINK(AA2 &amp; "/screwdriver/sn_618a2ac2a00f0c2cc29d9a7082e987b0/rendering/07.obj", "nan")</f>
        <v>nan</v>
      </c>
      <c r="K2522" s="3" t="str">
        <f>HYPERLINK(AA2 &amp; "/screwdriver/sn_618a2ac2a00f0c2cc29d9a7082e987b0/rendering/08.obj", "nan")</f>
        <v>nan</v>
      </c>
      <c r="L2522" s="3" t="str">
        <f>HYPERLINK(AA2 &amp; "/screwdriver/sn_618a2ac2a00f0c2cc29d9a7082e987b0/rendering/09.obj", "nan")</f>
        <v>nan</v>
      </c>
      <c r="M2522" s="3" t="str">
        <f>HYPERLINK(AA2 &amp; "/screwdriver/sn_618a2ac2a00f0c2cc29d9a7082e987b0/rendering/10.obj", "nan")</f>
        <v>nan</v>
      </c>
      <c r="N2522" s="3" t="str">
        <f>HYPERLINK(AA2 &amp; "/screwdriver/sn_618a2ac2a00f0c2cc29d9a7082e987b0/rendering/11.obj", "nan")</f>
        <v>nan</v>
      </c>
      <c r="O2522" s="3" t="str">
        <f>HYPERLINK(AA2 &amp; "/screwdriver/sn_618a2ac2a00f0c2cc29d9a7082e987b0/rendering/12.obj", "nan")</f>
        <v>nan</v>
      </c>
      <c r="P2522" s="3" t="str">
        <f>HYPERLINK(AA2 &amp; "/screwdriver/sn_618a2ac2a00f0c2cc29d9a7082e987b0/rendering/13.obj", "nan")</f>
        <v>nan</v>
      </c>
      <c r="Q2522" s="3" t="str">
        <f>HYPERLINK(AA2 &amp; "/screwdriver/sn_618a2ac2a00f0c2cc29d9a7082e987b0/rendering/14.obj", "nan")</f>
        <v>nan</v>
      </c>
      <c r="R2522" s="3" t="str">
        <f>HYPERLINK(AA2 &amp; "/screwdriver/sn_618a2ac2a00f0c2cc29d9a7082e987b0/rendering/15.obj", "nan")</f>
        <v>nan</v>
      </c>
      <c r="S2522" s="91" t="str">
        <f>HYPERLINK(AA2 &amp; "/screwdriver/sn_618a2ac2a00f0c2cc29d9a7082e987b0/rendering/16.obj", "2.94123168945")</f>
        <v>2.94123168945</v>
      </c>
      <c r="T2522" s="110" t="str">
        <f>HYPERLINK(AA2 &amp; "/screwdriver/sn_618a2ac2a00f0c2cc29d9a7082e987b0/rendering/17.obj", "3.3266204834")</f>
        <v>3.3266204834</v>
      </c>
      <c r="U2522" s="68" t="str">
        <f>HYPERLINK(AA2 &amp; "/screwdriver/sn_618a2ac2a00f0c2cc29d9a7082e987b0/rendering/18.obj", "2.89804260254")</f>
        <v>2.89804260254</v>
      </c>
      <c r="V2522" s="72" t="str">
        <f>HYPERLINK(AA2 &amp; "/screwdriver/sn_618a2ac2a00f0c2cc29d9a7082e987b0/rendering/19.obj", "2.92707702637")</f>
        <v>2.92707702637</v>
      </c>
      <c r="W2522" s="12" t="s">
        <v>29</v>
      </c>
      <c r="X2522" s="13">
        <v>3.0232429504394531</v>
      </c>
      <c r="Y2522" s="13">
        <v>0.17584566137660229</v>
      </c>
      <c r="Z2522" s="35">
        <v>5.8164581629485561E-2</v>
      </c>
    </row>
    <row r="2523" spans="1:26" x14ac:dyDescent="0.2">
      <c r="A2523" s="1">
        <v>2521</v>
      </c>
      <c r="B2523" s="2" t="s">
        <v>537</v>
      </c>
      <c r="C2523" s="3" t="str">
        <f>HYPERLINK(AA2 &amp; "/screwdriver/sn_618a2ac2a00f0c2cc29d9a7082e987b0/rendering/00.obj", "nan")</f>
        <v>nan</v>
      </c>
      <c r="D2523" s="3" t="str">
        <f>HYPERLINK(AA2 &amp; "/screwdriver/sn_618a2ac2a00f0c2cc29d9a7082e987b0/rendering/01.obj", "nan")</f>
        <v>nan</v>
      </c>
      <c r="E2523" s="3" t="str">
        <f>HYPERLINK(AA2 &amp; "/screwdriver/sn_618a2ac2a00f0c2cc29d9a7082e987b0/rendering/02.obj", "nan")</f>
        <v>nan</v>
      </c>
      <c r="F2523" s="3" t="str">
        <f>HYPERLINK(AA2 &amp; "/screwdriver/sn_618a2ac2a00f0c2cc29d9a7082e987b0/rendering/03.obj", "nan")</f>
        <v>nan</v>
      </c>
      <c r="G2523" s="3" t="str">
        <f>HYPERLINK(AA2 &amp; "/screwdriver/sn_618a2ac2a00f0c2cc29d9a7082e987b0/rendering/04.obj", "nan")</f>
        <v>nan</v>
      </c>
      <c r="H2523" s="3" t="str">
        <f>HYPERLINK(AA2 &amp; "/screwdriver/sn_618a2ac2a00f0c2cc29d9a7082e987b0/rendering/05.obj", "nan")</f>
        <v>nan</v>
      </c>
      <c r="I2523" s="3" t="str">
        <f>HYPERLINK(AA2 &amp; "/screwdriver/sn_618a2ac2a00f0c2cc29d9a7082e987b0/rendering/06.obj", "nan")</f>
        <v>nan</v>
      </c>
      <c r="J2523" s="3" t="str">
        <f>HYPERLINK(AA2 &amp; "/screwdriver/sn_618a2ac2a00f0c2cc29d9a7082e987b0/rendering/07.obj", "nan")</f>
        <v>nan</v>
      </c>
      <c r="K2523" s="3" t="str">
        <f>HYPERLINK(AA2 &amp; "/screwdriver/sn_618a2ac2a00f0c2cc29d9a7082e987b0/rendering/08.obj", "nan")</f>
        <v>nan</v>
      </c>
      <c r="L2523" s="3" t="str">
        <f>HYPERLINK(AA2 &amp; "/screwdriver/sn_618a2ac2a00f0c2cc29d9a7082e987b0/rendering/09.obj", "nan")</f>
        <v>nan</v>
      </c>
      <c r="M2523" s="3" t="str">
        <f>HYPERLINK(AA2 &amp; "/screwdriver/sn_618a2ac2a00f0c2cc29d9a7082e987b0/rendering/10.obj", "nan")</f>
        <v>nan</v>
      </c>
      <c r="N2523" s="3" t="str">
        <f>HYPERLINK(AA2 &amp; "/screwdriver/sn_618a2ac2a00f0c2cc29d9a7082e987b0/rendering/11.obj", "nan")</f>
        <v>nan</v>
      </c>
      <c r="O2523" s="3" t="str">
        <f>HYPERLINK(AA2 &amp; "/screwdriver/sn_618a2ac2a00f0c2cc29d9a7082e987b0/rendering/12.obj", "nan")</f>
        <v>nan</v>
      </c>
      <c r="P2523" s="3" t="str">
        <f>HYPERLINK(AA2 &amp; "/screwdriver/sn_618a2ac2a00f0c2cc29d9a7082e987b0/rendering/13.obj", "nan")</f>
        <v>nan</v>
      </c>
      <c r="Q2523" s="3" t="str">
        <f>HYPERLINK(AA2 &amp; "/screwdriver/sn_618a2ac2a00f0c2cc29d9a7082e987b0/rendering/14.obj", "nan")</f>
        <v>nan</v>
      </c>
      <c r="R2523" s="3" t="str">
        <f>HYPERLINK(AA2 &amp; "/screwdriver/sn_618a2ac2a00f0c2cc29d9a7082e987b0/rendering/15.obj", "nan")</f>
        <v>nan</v>
      </c>
      <c r="S2523" s="120" t="str">
        <f>HYPERLINK(AA2 &amp; "/screwdriver/sn_618a2ac2a00f0c2cc29d9a7082e987b0/rendering/16.obj", "1.07930040359")</f>
        <v>1.07930040359</v>
      </c>
      <c r="T2523" s="97" t="str">
        <f>HYPERLINK(AA2 &amp; "/screwdriver/sn_618a2ac2a00f0c2cc29d9a7082e987b0/rendering/17.obj", "1.96553313732")</f>
        <v>1.96553313732</v>
      </c>
      <c r="U2523" s="6" t="str">
        <f>HYPERLINK(AA2 &amp; "/screwdriver/sn_618a2ac2a00f0c2cc29d9a7082e987b0/rendering/18.obj", "1.30853843689")</f>
        <v>1.30853843689</v>
      </c>
      <c r="V2523" s="117" t="str">
        <f>HYPERLINK(AA2 &amp; "/screwdriver/sn_618a2ac2a00f0c2cc29d9a7082e987b0/rendering/19.obj", "1.12555503845")</f>
        <v>1.12555503845</v>
      </c>
      <c r="W2523" s="12" t="s">
        <v>30</v>
      </c>
      <c r="X2523" s="13">
        <v>1.3697317540645599</v>
      </c>
      <c r="Y2523" s="13">
        <v>0.3545054823767092</v>
      </c>
      <c r="Z2523" s="89">
        <v>0.25881380155256312</v>
      </c>
    </row>
    <row r="2524" spans="1:26" x14ac:dyDescent="0.2">
      <c r="A2524" s="1">
        <v>2522</v>
      </c>
      <c r="B2524" s="2" t="s">
        <v>537</v>
      </c>
      <c r="C2524" s="3" t="str">
        <f>HYPERLINK(AB2 &amp; "/screwdriver/sn_618a2ac2a00f0c2cc29d9a7082e987b0/rendering/00.obj", "nan")</f>
        <v>nan</v>
      </c>
      <c r="D2524" s="3" t="str">
        <f>HYPERLINK(AB2 &amp; "/screwdriver/sn_618a2ac2a00f0c2cc29d9a7082e987b0/rendering/01.obj", "nan")</f>
        <v>nan</v>
      </c>
      <c r="E2524" s="3" t="str">
        <f>HYPERLINK(AB2 &amp; "/screwdriver/sn_618a2ac2a00f0c2cc29d9a7082e987b0/rendering/02.obj", "nan")</f>
        <v>nan</v>
      </c>
      <c r="F2524" s="3" t="str">
        <f>HYPERLINK(AB2 &amp; "/screwdriver/sn_618a2ac2a00f0c2cc29d9a7082e987b0/rendering/03.obj", "nan")</f>
        <v>nan</v>
      </c>
      <c r="G2524" s="3" t="str">
        <f>HYPERLINK(AB2 &amp; "/screwdriver/sn_618a2ac2a00f0c2cc29d9a7082e987b0/rendering/04.obj", "nan")</f>
        <v>nan</v>
      </c>
      <c r="H2524" s="3" t="str">
        <f>HYPERLINK(AB2 &amp; "/screwdriver/sn_618a2ac2a00f0c2cc29d9a7082e987b0/rendering/05.obj", "nan")</f>
        <v>nan</v>
      </c>
      <c r="I2524" s="3" t="str">
        <f>HYPERLINK(AB2 &amp; "/screwdriver/sn_618a2ac2a00f0c2cc29d9a7082e987b0/rendering/06.obj", "nan")</f>
        <v>nan</v>
      </c>
      <c r="J2524" s="3" t="str">
        <f>HYPERLINK(AB2 &amp; "/screwdriver/sn_618a2ac2a00f0c2cc29d9a7082e987b0/rendering/07.obj", "nan")</f>
        <v>nan</v>
      </c>
      <c r="K2524" s="3" t="str">
        <f>HYPERLINK(AB2 &amp; "/screwdriver/sn_618a2ac2a00f0c2cc29d9a7082e987b0/rendering/08.obj", "nan")</f>
        <v>nan</v>
      </c>
      <c r="L2524" s="3" t="str">
        <f>HYPERLINK(AB2 &amp; "/screwdriver/sn_618a2ac2a00f0c2cc29d9a7082e987b0/rendering/09.obj", "nan")</f>
        <v>nan</v>
      </c>
      <c r="M2524" s="3" t="str">
        <f>HYPERLINK(AB2 &amp; "/screwdriver/sn_618a2ac2a00f0c2cc29d9a7082e987b0/rendering/10.obj", "nan")</f>
        <v>nan</v>
      </c>
      <c r="N2524" s="3" t="str">
        <f>HYPERLINK(AB2 &amp; "/screwdriver/sn_618a2ac2a00f0c2cc29d9a7082e987b0/rendering/11.obj", "nan")</f>
        <v>nan</v>
      </c>
      <c r="O2524" s="3" t="str">
        <f>HYPERLINK(AB2 &amp; "/screwdriver/sn_618a2ac2a00f0c2cc29d9a7082e987b0/rendering/12.obj", "nan")</f>
        <v>nan</v>
      </c>
      <c r="P2524" s="3" t="str">
        <f>HYPERLINK(AB2 &amp; "/screwdriver/sn_618a2ac2a00f0c2cc29d9a7082e987b0/rendering/13.obj", "nan")</f>
        <v>nan</v>
      </c>
      <c r="Q2524" s="3" t="str">
        <f>HYPERLINK(AB2 &amp; "/screwdriver/sn_618a2ac2a00f0c2cc29d9a7082e987b0/rendering/14.obj", "nan")</f>
        <v>nan</v>
      </c>
      <c r="R2524" s="3" t="str">
        <f>HYPERLINK(AB2 &amp; "/screwdriver/sn_618a2ac2a00f0c2cc29d9a7082e987b0/rendering/15.obj", "nan")</f>
        <v>nan</v>
      </c>
      <c r="S2524" s="13" t="str">
        <f>HYPERLINK(AB2 &amp; "/screwdriver/sn_618a2ac2a00f0c2cc29d9a7082e987b0/rendering/16.obj", "3.55583496094")</f>
        <v>3.55583496094</v>
      </c>
      <c r="T2524" s="74" t="str">
        <f>HYPERLINK(AB2 &amp; "/screwdriver/sn_618a2ac2a00f0c2cc29d9a7082e987b0/rendering/17.obj", "3.60510101318")</f>
        <v>3.60510101318</v>
      </c>
      <c r="U2524" s="47" t="str">
        <f>HYPERLINK(AB2 &amp; "/screwdriver/sn_618a2ac2a00f0c2cc29d9a7082e987b0/rendering/18.obj", "3.58661621094")</f>
        <v>3.58661621094</v>
      </c>
      <c r="V2524" s="17" t="str">
        <f>HYPERLINK(AB2 &amp; "/screwdriver/sn_618a2ac2a00f0c2cc29d9a7082e987b0/rendering/19.obj", "3.47944702148")</f>
        <v>3.47944702148</v>
      </c>
      <c r="W2524" s="12" t="s">
        <v>31</v>
      </c>
      <c r="X2524" s="13">
        <v>3.5567498016357422</v>
      </c>
      <c r="Y2524" s="13">
        <v>4.7974990399579469E-2</v>
      </c>
      <c r="Z2524" s="74">
        <v>1.348843553108961E-2</v>
      </c>
    </row>
    <row r="2525" spans="1:26" x14ac:dyDescent="0.2">
      <c r="A2525" s="1">
        <v>2523</v>
      </c>
      <c r="B2525" s="2" t="s">
        <v>537</v>
      </c>
      <c r="C2525" s="3" t="str">
        <f>HYPERLINK(AB2 &amp; "/screwdriver/sn_618a2ac2a00f0c2cc29d9a7082e987b0/rendering/00.obj", "nan")</f>
        <v>nan</v>
      </c>
      <c r="D2525" s="3" t="str">
        <f>HYPERLINK(AB2 &amp; "/screwdriver/sn_618a2ac2a00f0c2cc29d9a7082e987b0/rendering/01.obj", "nan")</f>
        <v>nan</v>
      </c>
      <c r="E2525" s="3" t="str">
        <f>HYPERLINK(AB2 &amp; "/screwdriver/sn_618a2ac2a00f0c2cc29d9a7082e987b0/rendering/02.obj", "nan")</f>
        <v>nan</v>
      </c>
      <c r="F2525" s="3" t="str">
        <f>HYPERLINK(AB2 &amp; "/screwdriver/sn_618a2ac2a00f0c2cc29d9a7082e987b0/rendering/03.obj", "nan")</f>
        <v>nan</v>
      </c>
      <c r="G2525" s="3" t="str">
        <f>HYPERLINK(AB2 &amp; "/screwdriver/sn_618a2ac2a00f0c2cc29d9a7082e987b0/rendering/04.obj", "nan")</f>
        <v>nan</v>
      </c>
      <c r="H2525" s="3" t="str">
        <f>HYPERLINK(AB2 &amp; "/screwdriver/sn_618a2ac2a00f0c2cc29d9a7082e987b0/rendering/05.obj", "nan")</f>
        <v>nan</v>
      </c>
      <c r="I2525" s="3" t="str">
        <f>HYPERLINK(AB2 &amp; "/screwdriver/sn_618a2ac2a00f0c2cc29d9a7082e987b0/rendering/06.obj", "nan")</f>
        <v>nan</v>
      </c>
      <c r="J2525" s="3" t="str">
        <f>HYPERLINK(AB2 &amp; "/screwdriver/sn_618a2ac2a00f0c2cc29d9a7082e987b0/rendering/07.obj", "nan")</f>
        <v>nan</v>
      </c>
      <c r="K2525" s="3" t="str">
        <f>HYPERLINK(AB2 &amp; "/screwdriver/sn_618a2ac2a00f0c2cc29d9a7082e987b0/rendering/08.obj", "nan")</f>
        <v>nan</v>
      </c>
      <c r="L2525" s="3" t="str">
        <f>HYPERLINK(AB2 &amp; "/screwdriver/sn_618a2ac2a00f0c2cc29d9a7082e987b0/rendering/09.obj", "nan")</f>
        <v>nan</v>
      </c>
      <c r="M2525" s="3" t="str">
        <f>HYPERLINK(AB2 &amp; "/screwdriver/sn_618a2ac2a00f0c2cc29d9a7082e987b0/rendering/10.obj", "nan")</f>
        <v>nan</v>
      </c>
      <c r="N2525" s="3" t="str">
        <f>HYPERLINK(AB2 &amp; "/screwdriver/sn_618a2ac2a00f0c2cc29d9a7082e987b0/rendering/11.obj", "nan")</f>
        <v>nan</v>
      </c>
      <c r="O2525" s="3" t="str">
        <f>HYPERLINK(AB2 &amp; "/screwdriver/sn_618a2ac2a00f0c2cc29d9a7082e987b0/rendering/12.obj", "nan")</f>
        <v>nan</v>
      </c>
      <c r="P2525" s="3" t="str">
        <f>HYPERLINK(AB2 &amp; "/screwdriver/sn_618a2ac2a00f0c2cc29d9a7082e987b0/rendering/13.obj", "nan")</f>
        <v>nan</v>
      </c>
      <c r="Q2525" s="3" t="str">
        <f>HYPERLINK(AB2 &amp; "/screwdriver/sn_618a2ac2a00f0c2cc29d9a7082e987b0/rendering/14.obj", "nan")</f>
        <v>nan</v>
      </c>
      <c r="R2525" s="3" t="str">
        <f>HYPERLINK(AB2 &amp; "/screwdriver/sn_618a2ac2a00f0c2cc29d9a7082e987b0/rendering/15.obj", "nan")</f>
        <v>nan</v>
      </c>
      <c r="S2525" s="110" t="str">
        <f>HYPERLINK(AB2 &amp; "/screwdriver/sn_618a2ac2a00f0c2cc29d9a7082e987b0/rendering/16.obj", "1.49952936172")</f>
        <v>1.49952936172</v>
      </c>
      <c r="T2525" s="10" t="str">
        <f>HYPERLINK(AB2 &amp; "/screwdriver/sn_618a2ac2a00f0c2cc29d9a7082e987b0/rendering/17.obj", "1.28727602959")</f>
        <v>1.28727602959</v>
      </c>
      <c r="U2525" s="46" t="str">
        <f>HYPERLINK(AB2 &amp; "/screwdriver/sn_618a2ac2a00f0c2cc29d9a7082e987b0/rendering/18.obj", "1.34014892578")</f>
        <v>1.34014892578</v>
      </c>
      <c r="V2525" s="91" t="str">
        <f>HYPERLINK(AB2 &amp; "/screwdriver/sn_618a2ac2a00f0c2cc29d9a7082e987b0/rendering/19.obj", "1.32542562485")</f>
        <v>1.32542562485</v>
      </c>
      <c r="W2525" s="12" t="s">
        <v>32</v>
      </c>
      <c r="X2525" s="13">
        <v>1.3630949854850769</v>
      </c>
      <c r="Y2525" s="13">
        <v>8.1099253202827071E-2</v>
      </c>
      <c r="Z2525" s="35">
        <v>5.9496406388705729E-2</v>
      </c>
    </row>
    <row r="2526" spans="1:26" x14ac:dyDescent="0.2">
      <c r="A2526" s="1">
        <v>2524</v>
      </c>
      <c r="B2526" s="2" t="s">
        <v>537</v>
      </c>
      <c r="C2526" s="13" t="str">
        <f>HYPERLINK(AC2 &amp; "/screwdriver/sn_618a2ac2a00f0c2cc29d9a7082e987b0/rendering/00.xyz", "0.0")</f>
        <v>0.0</v>
      </c>
      <c r="D2526" s="13" t="str">
        <f>HYPERLINK(AC2 &amp; "/screwdriver/sn_618a2ac2a00f0c2cc29d9a7082e987b0/rendering/01.xyz", "0.0")</f>
        <v>0.0</v>
      </c>
      <c r="E2526" s="13" t="str">
        <f>HYPERLINK(AC2 &amp; "/screwdriver/sn_618a2ac2a00f0c2cc29d9a7082e987b0/rendering/02.xyz", "0.0")</f>
        <v>0.0</v>
      </c>
      <c r="F2526" s="13" t="str">
        <f>HYPERLINK(AC2 &amp; "/screwdriver/sn_618a2ac2a00f0c2cc29d9a7082e987b0/rendering/03.xyz", "0.0")</f>
        <v>0.0</v>
      </c>
      <c r="G2526" s="13" t="str">
        <f>HYPERLINK(AC2 &amp; "/screwdriver/sn_618a2ac2a00f0c2cc29d9a7082e987b0/rendering/04.xyz", "0.0")</f>
        <v>0.0</v>
      </c>
      <c r="H2526" s="13" t="str">
        <f>HYPERLINK(AC2 &amp; "/screwdriver/sn_618a2ac2a00f0c2cc29d9a7082e987b0/rendering/05.xyz", "0.0")</f>
        <v>0.0</v>
      </c>
      <c r="I2526" s="13" t="str">
        <f>HYPERLINK(AC2 &amp; "/screwdriver/sn_618a2ac2a00f0c2cc29d9a7082e987b0/rendering/06.xyz", "0.0")</f>
        <v>0.0</v>
      </c>
      <c r="J2526" s="13" t="str">
        <f>HYPERLINK(AC2 &amp; "/screwdriver/sn_618a2ac2a00f0c2cc29d9a7082e987b0/rendering/07.xyz", "0.0")</f>
        <v>0.0</v>
      </c>
      <c r="K2526" s="13" t="str">
        <f>HYPERLINK(AC2 &amp; "/screwdriver/sn_618a2ac2a00f0c2cc29d9a7082e987b0/rendering/08.xyz", "0.0")</f>
        <v>0.0</v>
      </c>
      <c r="L2526" s="13" t="str">
        <f>HYPERLINK(AC2 &amp; "/screwdriver/sn_618a2ac2a00f0c2cc29d9a7082e987b0/rendering/09.xyz", "0.0")</f>
        <v>0.0</v>
      </c>
      <c r="M2526" s="13" t="str">
        <f>HYPERLINK(AC2 &amp; "/screwdriver/sn_618a2ac2a00f0c2cc29d9a7082e987b0/rendering/10.xyz", "0.0")</f>
        <v>0.0</v>
      </c>
      <c r="N2526" s="13" t="str">
        <f>HYPERLINK(AC2 &amp; "/screwdriver/sn_618a2ac2a00f0c2cc29d9a7082e987b0/rendering/11.xyz", "0.0")</f>
        <v>0.0</v>
      </c>
      <c r="O2526" s="13" t="str">
        <f>HYPERLINK(AC2 &amp; "/screwdriver/sn_618a2ac2a00f0c2cc29d9a7082e987b0/rendering/12.xyz", "0.0")</f>
        <v>0.0</v>
      </c>
      <c r="P2526" s="13" t="str">
        <f>HYPERLINK(AC2 &amp; "/screwdriver/sn_618a2ac2a00f0c2cc29d9a7082e987b0/rendering/13.xyz", "0.0")</f>
        <v>0.0</v>
      </c>
      <c r="Q2526" s="13" t="str">
        <f>HYPERLINK(AC2 &amp; "/screwdriver/sn_618a2ac2a00f0c2cc29d9a7082e987b0/rendering/14.xyz", "0.0")</f>
        <v>0.0</v>
      </c>
      <c r="R2526" s="13" t="str">
        <f>HYPERLINK(AC2 &amp; "/screwdriver/sn_618a2ac2a00f0c2cc29d9a7082e987b0/rendering/15.xyz", "0.0")</f>
        <v>0.0</v>
      </c>
      <c r="S2526" s="13" t="str">
        <f>HYPERLINK(AC2 &amp; "/screwdriver/sn_618a2ac2a00f0c2cc29d9a7082e987b0/rendering/16.xyz", "0.0")</f>
        <v>0.0</v>
      </c>
      <c r="T2526" s="13" t="str">
        <f>HYPERLINK(AC2 &amp; "/screwdriver/sn_618a2ac2a00f0c2cc29d9a7082e987b0/rendering/17.xyz", "0.0")</f>
        <v>0.0</v>
      </c>
      <c r="U2526" s="13" t="str">
        <f>HYPERLINK(AC2 &amp; "/screwdriver/sn_618a2ac2a00f0c2cc29d9a7082e987b0/rendering/18.xyz", "0.0")</f>
        <v>0.0</v>
      </c>
      <c r="V2526" s="13" t="str">
        <f>HYPERLINK(AC2 &amp; "/screwdriver/sn_618a2ac2a00f0c2cc29d9a7082e987b0/rendering/19.xyz", "0.0")</f>
        <v>0.0</v>
      </c>
      <c r="W2526" s="12" t="s">
        <v>33</v>
      </c>
      <c r="X2526" s="13">
        <v>0</v>
      </c>
      <c r="Y2526" s="13">
        <v>0</v>
      </c>
      <c r="Z2526" s="13">
        <v>0</v>
      </c>
    </row>
    <row r="2527" spans="1:26" x14ac:dyDescent="0.2">
      <c r="A2527" s="1">
        <v>2525</v>
      </c>
      <c r="B2527" s="2" t="s">
        <v>538</v>
      </c>
      <c r="C2527" s="60" t="str">
        <f>HYPERLINK(AA2 &amp; "/screwdriver/sn_63330766856180dfcb13f5acafd1fdef/rendering/00.obj", "3.63938842773")</f>
        <v>3.63938842773</v>
      </c>
      <c r="D2527" s="79" t="str">
        <f>HYPERLINK(AA2 &amp; "/screwdriver/sn_63330766856180dfcb13f5acafd1fdef/rendering/01.obj", "4.01255187988")</f>
        <v>4.01255187988</v>
      </c>
      <c r="E2527" s="26" t="str">
        <f>HYPERLINK(AA2 &amp; "/screwdriver/sn_63330766856180dfcb13f5acafd1fdef/rendering/02.obj", "3.24574462891")</f>
        <v>3.24574462891</v>
      </c>
      <c r="F2527" s="46" t="str">
        <f>HYPERLINK(AA2 &amp; "/screwdriver/sn_63330766856180dfcb13f5acafd1fdef/rendering/03.obj", "3.40940551758")</f>
        <v>3.40940551758</v>
      </c>
      <c r="G2527" s="34" t="str">
        <f>HYPERLINK(AA2 &amp; "/screwdriver/sn_63330766856180dfcb13f5acafd1fdef/rendering/04.obj", "3.63577880859")</f>
        <v>3.63577880859</v>
      </c>
      <c r="H2527" s="17" t="str">
        <f>HYPERLINK(AA2 &amp; "/screwdriver/sn_63330766856180dfcb13f5acafd1fdef/rendering/05.obj", "3.39243621826")</f>
        <v>3.39243621826</v>
      </c>
      <c r="I2527" s="84" t="str">
        <f>HYPERLINK(AA2 &amp; "/screwdriver/sn_63330766856180dfcb13f5acafd1fdef/rendering/06.obj", "2.95971252441")</f>
        <v>2.95971252441</v>
      </c>
      <c r="J2527" s="34" t="str">
        <f>HYPERLINK(AA2 &amp; "/screwdriver/sn_63330766856180dfcb13f5acafd1fdef/rendering/07.obj", "3.63161529541")</f>
        <v>3.63161529541</v>
      </c>
      <c r="K2527" s="32" t="str">
        <f>HYPERLINK(AA2 &amp; "/screwdriver/sn_63330766856180dfcb13f5acafd1fdef/rendering/08.obj", "3.83403106689")</f>
        <v>3.83403106689</v>
      </c>
      <c r="L2527" s="26" t="str">
        <f>HYPERLINK(AA2 &amp; "/screwdriver/sn_63330766856180dfcb13f5acafd1fdef/rendering/09.obj", "3.23844207764")</f>
        <v>3.23844207764</v>
      </c>
      <c r="M2527" s="69" t="str">
        <f>HYPERLINK(AA2 &amp; "/screwdriver/sn_63330766856180dfcb13f5acafd1fdef/rendering/10.obj", "3.56335449219")</f>
        <v>3.56335449219</v>
      </c>
      <c r="N2527" s="83" t="str">
        <f>HYPERLINK(AA2 &amp; "/screwdriver/sn_63330766856180dfcb13f5acafd1fdef/rendering/11.obj", "3.98753356934")</f>
        <v>3.98753356934</v>
      </c>
      <c r="O2527" s="73" t="str">
        <f>HYPERLINK(AA2 &amp; "/screwdriver/sn_63330766856180dfcb13f5acafd1fdef/rendering/12.obj", "3.59019256592")</f>
        <v>3.59019256592</v>
      </c>
      <c r="P2527" s="33" t="str">
        <f>HYPERLINK(AA2 &amp; "/screwdriver/sn_63330766856180dfcb13f5acafd1fdef/rendering/13.obj", "3.08972167969")</f>
        <v>3.08972167969</v>
      </c>
      <c r="Q2527" s="35" t="str">
        <f>HYPERLINK(AA2 &amp; "/screwdriver/sn_63330766856180dfcb13f5acafd1fdef/rendering/14.obj", "3.26761566162")</f>
        <v>3.26761566162</v>
      </c>
      <c r="R2527" s="25" t="str">
        <f>HYPERLINK(AA2 &amp; "/screwdriver/sn_63330766856180dfcb13f5acafd1fdef/rendering/15.obj", "3.42529785156")</f>
        <v>3.42529785156</v>
      </c>
      <c r="S2527" s="92" t="str">
        <f>HYPERLINK(AA2 &amp; "/screwdriver/sn_63330766856180dfcb13f5acafd1fdef/rendering/16.obj", "3.89024780273")</f>
        <v>3.89024780273</v>
      </c>
      <c r="T2527" s="133" t="str">
        <f>HYPERLINK(AA2 &amp; "/screwdriver/sn_63330766856180dfcb13f5acafd1fdef/rendering/17.obj", "3.11291351318")</f>
        <v>3.11291351318</v>
      </c>
      <c r="U2527" s="74" t="str">
        <f>HYPERLINK(AA2 &amp; "/screwdriver/sn_63330766856180dfcb13f5acafd1fdef/rendering/18.obj", "3.41943969727")</f>
        <v>3.41943969727</v>
      </c>
      <c r="V2527" s="84" t="str">
        <f>HYPERLINK(AA2 &amp; "/screwdriver/sn_63330766856180dfcb13f5acafd1fdef/rendering/19.obj", "2.95427490234")</f>
        <v>2.95427490234</v>
      </c>
      <c r="W2527" s="12" t="s">
        <v>29</v>
      </c>
      <c r="X2527" s="13">
        <v>3.464984909057617</v>
      </c>
      <c r="Y2527" s="13">
        <v>0.31095680441260898</v>
      </c>
      <c r="Z2527" s="38">
        <v>8.9742614347252919E-2</v>
      </c>
    </row>
    <row r="2528" spans="1:26" x14ac:dyDescent="0.2">
      <c r="A2528" s="1">
        <v>2526</v>
      </c>
      <c r="B2528" s="2" t="s">
        <v>538</v>
      </c>
      <c r="C2528" s="29" t="str">
        <f>HYPERLINK(AA2 &amp; "/screwdriver/sn_63330766856180dfcb13f5acafd1fdef/rendering/00.obj", "5.903175354")</f>
        <v>5.903175354</v>
      </c>
      <c r="D2528" s="120" t="str">
        <f>HYPERLINK(AA2 &amp; "/screwdriver/sn_63330766856180dfcb13f5acafd1fdef/rendering/01.obj", "6.32417201996")</f>
        <v>6.32417201996</v>
      </c>
      <c r="E2528" s="110" t="str">
        <f>HYPERLINK(AA2 &amp; "/screwdriver/sn_63330766856180dfcb13f5acafd1fdef/rendering/02.obj", "4.70975017548")</f>
        <v>4.70975017548</v>
      </c>
      <c r="F2528" s="78" t="str">
        <f>HYPERLINK(AA2 &amp; "/screwdriver/sn_63330766856180dfcb13f5acafd1fdef/rendering/03.obj", "4.89905548096")</f>
        <v>4.89905548096</v>
      </c>
      <c r="G2528" s="69" t="str">
        <f>HYPERLINK(AA2 &amp; "/screwdriver/sn_63330766856180dfcb13f5acafd1fdef/rendering/04.obj", "5.06751346588")</f>
        <v>5.06751346588</v>
      </c>
      <c r="H2528" s="13" t="str">
        <f>HYPERLINK(AA2 &amp; "/screwdriver/sn_63330766856180dfcb13f5acafd1fdef/rendering/05.obj", "5.20533180237")</f>
        <v>5.20533180237</v>
      </c>
      <c r="I2528" s="117" t="str">
        <f>HYPERLINK(AA2 &amp; "/screwdriver/sn_63330766856180dfcb13f5acafd1fdef/rendering/06.obj", "4.30398893356")</f>
        <v>4.30398893356</v>
      </c>
      <c r="J2528" s="69" t="str">
        <f>HYPERLINK(AA2 &amp; "/screwdriver/sn_63330766856180dfcb13f5acafd1fdef/rendering/07.obj", "5.37981510162")</f>
        <v>5.37981510162</v>
      </c>
      <c r="K2528" s="72" t="str">
        <f>HYPERLINK(AA2 &amp; "/screwdriver/sn_63330766856180dfcb13f5acafd1fdef/rendering/08.obj", "5.39055538177")</f>
        <v>5.39055538177</v>
      </c>
      <c r="L2528" s="68" t="str">
        <f>HYPERLINK(AA2 &amp; "/screwdriver/sn_63330766856180dfcb13f5acafd1fdef/rendering/09.obj", "5.44301176071")</f>
        <v>5.44301176071</v>
      </c>
      <c r="M2528" s="69" t="str">
        <f>HYPERLINK(AA2 &amp; "/screwdriver/sn_63330766856180dfcb13f5acafd1fdef/rendering/10.obj", "5.06507062912")</f>
        <v>5.06507062912</v>
      </c>
      <c r="N2528" s="86" t="str">
        <f>HYPERLINK(AA2 &amp; "/screwdriver/sn_63330766856180dfcb13f5acafd1fdef/rendering/11.obj", "6.62060117722")</f>
        <v>6.62060117722</v>
      </c>
      <c r="O2528" s="78" t="str">
        <f>HYPERLINK(AA2 &amp; "/screwdriver/sn_63330766856180dfcb13f5acafd1fdef/rendering/12.obj", "5.541223526")</f>
        <v>5.541223526</v>
      </c>
      <c r="P2528" s="106" t="str">
        <f>HYPERLINK(AA2 &amp; "/screwdriver/sn_63330766856180dfcb13f5acafd1fdef/rendering/13.obj", "4.61821842194")</f>
        <v>4.61821842194</v>
      </c>
      <c r="Q2528" s="41" t="str">
        <f>HYPERLINK(AA2 &amp; "/screwdriver/sn_63330766856180dfcb13f5acafd1fdef/rendering/14.obj", "4.87624263763")</f>
        <v>4.87624263763</v>
      </c>
      <c r="R2528" s="23" t="str">
        <f>HYPERLINK(AA2 &amp; "/screwdriver/sn_63330766856180dfcb13f5acafd1fdef/rendering/15.obj", "5.0153002739")</f>
        <v>5.0153002739</v>
      </c>
      <c r="S2528" s="88" t="str">
        <f>HYPERLINK(AA2 &amp; "/screwdriver/sn_63330766856180dfcb13f5acafd1fdef/rendering/16.obj", "6.27256441116")</f>
        <v>6.27256441116</v>
      </c>
      <c r="T2528" s="28" t="str">
        <f>HYPERLINK(AA2 &amp; "/screwdriver/sn_63330766856180dfcb13f5acafd1fdef/rendering/17.obj", "4.64269638062")</f>
        <v>4.64269638062</v>
      </c>
      <c r="U2528" s="39" t="str">
        <f>HYPERLINK(AA2 &amp; "/screwdriver/sn_63330766856180dfcb13f5acafd1fdef/rendering/18.obj", "4.77077388763")</f>
        <v>4.77077388763</v>
      </c>
      <c r="V2528" s="66" t="str">
        <f>HYPERLINK(AA2 &amp; "/screwdriver/sn_63330766856180dfcb13f5acafd1fdef/rendering/19.obj", "4.3830704689")</f>
        <v>4.3830704689</v>
      </c>
      <c r="W2528" s="12" t="s">
        <v>30</v>
      </c>
      <c r="X2528" s="13">
        <v>5.2216065645217897</v>
      </c>
      <c r="Y2528" s="13">
        <v>0.63129433799428447</v>
      </c>
      <c r="Z2528" s="63">
        <v>0.12090040300692401</v>
      </c>
    </row>
    <row r="2529" spans="1:26" x14ac:dyDescent="0.2">
      <c r="A2529" s="1">
        <v>2527</v>
      </c>
      <c r="B2529" s="2" t="s">
        <v>538</v>
      </c>
      <c r="C2529" s="69" t="str">
        <f>HYPERLINK(AB2 &amp; "/screwdriver/sn_63330766856180dfcb13f5acafd1fdef/rendering/00.obj", "3.54805267334")</f>
        <v>3.54805267334</v>
      </c>
      <c r="D2529" s="106" t="str">
        <f>HYPERLINK(AB2 &amp; "/screwdriver/sn_63330766856180dfcb13f5acafd1fdef/rendering/01.obj", "3.24156097412")</f>
        <v>3.24156097412</v>
      </c>
      <c r="E2529" s="73" t="str">
        <f>HYPERLINK(AB2 &amp; "/screwdriver/sn_63330766856180dfcb13f5acafd1fdef/rendering/02.obj", "3.78908325195")</f>
        <v>3.78908325195</v>
      </c>
      <c r="F2529" s="17" t="str">
        <f>HYPERLINK(AB2 &amp; "/screwdriver/sn_63330766856180dfcb13f5acafd1fdef/rendering/03.obj", "3.73425079346")</f>
        <v>3.73425079346</v>
      </c>
      <c r="G2529" s="26" t="str">
        <f>HYPERLINK(AB2 &amp; "/screwdriver/sn_63330766856180dfcb13f5acafd1fdef/rendering/04.obj", "3.89537841797")</f>
        <v>3.89537841797</v>
      </c>
      <c r="H2529" s="92" t="str">
        <f>HYPERLINK(AB2 &amp; "/screwdriver/sn_63330766856180dfcb13f5acafd1fdef/rendering/05.obj", "3.20915771484")</f>
        <v>3.20915771484</v>
      </c>
      <c r="I2529" s="28" t="str">
        <f>HYPERLINK(AB2 &amp; "/screwdriver/sn_63330766856180dfcb13f5acafd1fdef/rendering/06.obj", "4.06770965576")</f>
        <v>4.06770965576</v>
      </c>
      <c r="J2529" s="69" t="str">
        <f>HYPERLINK(AB2 &amp; "/screwdriver/sn_63330766856180dfcb13f5acafd1fdef/rendering/07.obj", "3.77265167236")</f>
        <v>3.77265167236</v>
      </c>
      <c r="K2529" s="23" t="str">
        <f>HYPERLINK(AB2 &amp; "/screwdriver/sn_63330766856180dfcb13f5acafd1fdef/rendering/08.obj", "3.80544830322")</f>
        <v>3.80544830322</v>
      </c>
      <c r="L2529" s="107" t="str">
        <f>HYPERLINK(AB2 &amp; "/screwdriver/sn_63330766856180dfcb13f5acafd1fdef/rendering/09.obj", "3.35241119385")</f>
        <v>3.35241119385</v>
      </c>
      <c r="M2529" s="13" t="str">
        <f>HYPERLINK(AB2 &amp; "/screwdriver/sn_63330766856180dfcb13f5acafd1fdef/rendering/10.obj", "3.66643310547")</f>
        <v>3.66643310547</v>
      </c>
      <c r="N2529" s="94" t="str">
        <f>HYPERLINK(AB2 &amp; "/screwdriver/sn_63330766856180dfcb13f5acafd1fdef/rendering/11.obj", "3.92329193115")</f>
        <v>3.92329193115</v>
      </c>
      <c r="O2529" s="46" t="str">
        <f>HYPERLINK(AB2 &amp; "/screwdriver/sn_63330766856180dfcb13f5acafd1fdef/rendering/12.obj", "3.59372192383")</f>
        <v>3.59372192383</v>
      </c>
      <c r="P2529" s="28" t="str">
        <f>HYPERLINK(AB2 &amp; "/screwdriver/sn_63330766856180dfcb13f5acafd1fdef/rendering/13.obj", "4.0664541626")</f>
        <v>4.0664541626</v>
      </c>
      <c r="Q2529" s="106" t="str">
        <f>HYPERLINK(AB2 &amp; "/screwdriver/sn_63330766856180dfcb13f5acafd1fdef/rendering/14.obj", "3.23649841309")</f>
        <v>3.23649841309</v>
      </c>
      <c r="R2529" s="78" t="str">
        <f>HYPERLINK(AB2 &amp; "/screwdriver/sn_63330766856180dfcb13f5acafd1fdef/rendering/15.obj", "3.42995727539")</f>
        <v>3.42995727539</v>
      </c>
      <c r="S2529" s="23" t="str">
        <f>HYPERLINK(AB2 &amp; "/screwdriver/sn_63330766856180dfcb13f5acafd1fdef/rendering/16.obj", "3.79824523926")</f>
        <v>3.79824523926</v>
      </c>
      <c r="T2529" s="17" t="str">
        <f>HYPERLINK(AB2 &amp; "/screwdriver/sn_63330766856180dfcb13f5acafd1fdef/rendering/17.obj", "3.73143981934")</f>
        <v>3.73143981934</v>
      </c>
      <c r="U2529" s="90" t="str">
        <f>HYPERLINK(AB2 &amp; "/screwdriver/sn_63330766856180dfcb13f5acafd1fdef/rendering/18.obj", "4.01155731201")</f>
        <v>4.01155731201</v>
      </c>
      <c r="V2529" s="110" t="str">
        <f>HYPERLINK(AB2 &amp; "/screwdriver/sn_63330766856180dfcb13f5acafd1fdef/rendering/19.obj", "3.29785705566")</f>
        <v>3.29785705566</v>
      </c>
      <c r="W2529" s="12" t="s">
        <v>31</v>
      </c>
      <c r="X2529" s="13">
        <v>3.6585580444335939</v>
      </c>
      <c r="Y2529" s="13">
        <v>0.27507211866979692</v>
      </c>
      <c r="Z2529" s="94">
        <v>7.5185938101573188E-2</v>
      </c>
    </row>
    <row r="2530" spans="1:26" x14ac:dyDescent="0.2">
      <c r="A2530" s="1">
        <v>2528</v>
      </c>
      <c r="B2530" s="2" t="s">
        <v>538</v>
      </c>
      <c r="C2530" s="47" t="str">
        <f>HYPERLINK(AB2 &amp; "/screwdriver/sn_63330766856180dfcb13f5acafd1fdef/rendering/00.obj", "5.36904287338")</f>
        <v>5.36904287338</v>
      </c>
      <c r="D2530" s="67" t="str">
        <f>HYPERLINK(AB2 &amp; "/screwdriver/sn_63330766856180dfcb13f5acafd1fdef/rendering/01.obj", "4.90701723099")</f>
        <v>4.90701723099</v>
      </c>
      <c r="E2530" s="74" t="str">
        <f>HYPERLINK(AB2 &amp; "/screwdriver/sn_63330766856180dfcb13f5acafd1fdef/rendering/02.obj", "5.47771692276")</f>
        <v>5.47771692276</v>
      </c>
      <c r="F2530" s="10" t="str">
        <f>HYPERLINK(AB2 &amp; "/screwdriver/sn_63330766856180dfcb13f5acafd1fdef/rendering/03.obj", "5.10073518753")</f>
        <v>5.10073518753</v>
      </c>
      <c r="G2530" s="27" t="str">
        <f>HYPERLINK(AB2 &amp; "/screwdriver/sn_63330766856180dfcb13f5acafd1fdef/rendering/04.obj", "5.78908109665")</f>
        <v>5.78908109665</v>
      </c>
      <c r="H2530" s="35" t="str">
        <f>HYPERLINK(AB2 &amp; "/screwdriver/sn_63330766856180dfcb13f5acafd1fdef/rendering/05.obj", "5.09231805801")</f>
        <v>5.09231805801</v>
      </c>
      <c r="I2530" s="28" t="str">
        <f>HYPERLINK(AB2 &amp; "/screwdriver/sn_63330766856180dfcb13f5acafd1fdef/rendering/06.obj", "6.00348949432")</f>
        <v>6.00348949432</v>
      </c>
      <c r="J2530" s="26" t="str">
        <f>HYPERLINK(AB2 &amp; "/screwdriver/sn_63330766856180dfcb13f5acafd1fdef/rendering/07.obj", "5.75122594833")</f>
        <v>5.75122594833</v>
      </c>
      <c r="K2530" s="78" t="str">
        <f>HYPERLINK(AB2 &amp; "/screwdriver/sn_63330766856180dfcb13f5acafd1fdef/rendering/08.obj", "5.73632669449")</f>
        <v>5.73632669449</v>
      </c>
      <c r="L2530" s="25" t="str">
        <f>HYPERLINK(AB2 &amp; "/screwdriver/sn_63330766856180dfcb13f5acafd1fdef/rendering/09.obj", "5.46971511841")</f>
        <v>5.46971511841</v>
      </c>
      <c r="M2530" s="94" t="str">
        <f>HYPERLINK(AB2 &amp; "/screwdriver/sn_63330766856180dfcb13f5acafd1fdef/rendering/10.obj", "5.0052022934")</f>
        <v>5.0052022934</v>
      </c>
      <c r="N2530" s="107" t="str">
        <f>HYPERLINK(AB2 &amp; "/screwdriver/sn_63330766856180dfcb13f5acafd1fdef/rendering/11.obj", "5.85204648972")</f>
        <v>5.85204648972</v>
      </c>
      <c r="O2530" s="73" t="str">
        <f>HYPERLINK(AB2 &amp; "/screwdriver/sn_63330766856180dfcb13f5acafd1fdef/rendering/12.obj", "5.59449529648")</f>
        <v>5.59449529648</v>
      </c>
      <c r="P2530" s="69" t="str">
        <f>HYPERLINK(AB2 &amp; "/screwdriver/sn_63330766856180dfcb13f5acafd1fdef/rendering/13.obj", "5.56355619431")</f>
        <v>5.56355619431</v>
      </c>
      <c r="Q2530" s="26" t="str">
        <f>HYPERLINK(AB2 &amp; "/screwdriver/sn_63330766856180dfcb13f5acafd1fdef/rendering/14.obj", "5.05897855759")</f>
        <v>5.05897855759</v>
      </c>
      <c r="R2530" s="78" t="str">
        <f>HYPERLINK(AB2 &amp; "/screwdriver/sn_63330766856180dfcb13f5acafd1fdef/rendering/15.obj", "5.08031797409")</f>
        <v>5.08031797409</v>
      </c>
      <c r="S2530" s="73" t="str">
        <f>HYPERLINK(AB2 &amp; "/screwdriver/sn_63330766856180dfcb13f5acafd1fdef/rendering/16.obj", "5.21005916595")</f>
        <v>5.21005916595</v>
      </c>
      <c r="T2530" s="35" t="str">
        <f>HYPERLINK(AB2 &amp; "/screwdriver/sn_63330766856180dfcb13f5acafd1fdef/rendering/17.obj", "5.08287096024")</f>
        <v>5.08287096024</v>
      </c>
      <c r="U2530" s="51" t="str">
        <f>HYPERLINK(AB2 &amp; "/screwdriver/sn_63330766856180dfcb13f5acafd1fdef/rendering/18.obj", "5.83036518097")</f>
        <v>5.83036518097</v>
      </c>
      <c r="V2530" s="60" t="str">
        <f>HYPERLINK(AB2 &amp; "/screwdriver/sn_63330766856180dfcb13f5acafd1fdef/rendering/19.obj", "5.121073246")</f>
        <v>5.121073246</v>
      </c>
      <c r="W2530" s="12" t="s">
        <v>32</v>
      </c>
      <c r="X2530" s="13">
        <v>5.404781699180603</v>
      </c>
      <c r="Y2530" s="13">
        <v>0.33419043721849329</v>
      </c>
      <c r="Z2530" s="78">
        <v>6.183236545319834E-2</v>
      </c>
    </row>
    <row r="2531" spans="1:26" x14ac:dyDescent="0.2">
      <c r="A2531" s="1">
        <v>2529</v>
      </c>
      <c r="B2531" s="2" t="s">
        <v>538</v>
      </c>
      <c r="C2531" s="13" t="str">
        <f>HYPERLINK(AC2 &amp; "/screwdriver/sn_63330766856180dfcb13f5acafd1fdef/rendering/00.xyz", "0.0")</f>
        <v>0.0</v>
      </c>
      <c r="D2531" s="13" t="str">
        <f>HYPERLINK(AC2 &amp; "/screwdriver/sn_63330766856180dfcb13f5acafd1fdef/rendering/01.xyz", "0.0")</f>
        <v>0.0</v>
      </c>
      <c r="E2531" s="13" t="str">
        <f>HYPERLINK(AC2 &amp; "/screwdriver/sn_63330766856180dfcb13f5acafd1fdef/rendering/02.xyz", "0.0")</f>
        <v>0.0</v>
      </c>
      <c r="F2531" s="13" t="str">
        <f>HYPERLINK(AC2 &amp; "/screwdriver/sn_63330766856180dfcb13f5acafd1fdef/rendering/03.xyz", "0.0")</f>
        <v>0.0</v>
      </c>
      <c r="G2531" s="13" t="str">
        <f>HYPERLINK(AC2 &amp; "/screwdriver/sn_63330766856180dfcb13f5acafd1fdef/rendering/04.xyz", "0.0")</f>
        <v>0.0</v>
      </c>
      <c r="H2531" s="13" t="str">
        <f>HYPERLINK(AC2 &amp; "/screwdriver/sn_63330766856180dfcb13f5acafd1fdef/rendering/05.xyz", "0.0")</f>
        <v>0.0</v>
      </c>
      <c r="I2531" s="13" t="str">
        <f>HYPERLINK(AC2 &amp; "/screwdriver/sn_63330766856180dfcb13f5acafd1fdef/rendering/06.xyz", "0.0")</f>
        <v>0.0</v>
      </c>
      <c r="J2531" s="13" t="str">
        <f>HYPERLINK(AC2 &amp; "/screwdriver/sn_63330766856180dfcb13f5acafd1fdef/rendering/07.xyz", "0.0")</f>
        <v>0.0</v>
      </c>
      <c r="K2531" s="13" t="str">
        <f>HYPERLINK(AC2 &amp; "/screwdriver/sn_63330766856180dfcb13f5acafd1fdef/rendering/08.xyz", "0.0")</f>
        <v>0.0</v>
      </c>
      <c r="L2531" s="13" t="str">
        <f>HYPERLINK(AC2 &amp; "/screwdriver/sn_63330766856180dfcb13f5acafd1fdef/rendering/09.xyz", "0.0")</f>
        <v>0.0</v>
      </c>
      <c r="M2531" s="13" t="str">
        <f>HYPERLINK(AC2 &amp; "/screwdriver/sn_63330766856180dfcb13f5acafd1fdef/rendering/10.xyz", "0.0")</f>
        <v>0.0</v>
      </c>
      <c r="N2531" s="13" t="str">
        <f>HYPERLINK(AC2 &amp; "/screwdriver/sn_63330766856180dfcb13f5acafd1fdef/rendering/11.xyz", "0.0")</f>
        <v>0.0</v>
      </c>
      <c r="O2531" s="13" t="str">
        <f>HYPERLINK(AC2 &amp; "/screwdriver/sn_63330766856180dfcb13f5acafd1fdef/rendering/12.xyz", "0.0")</f>
        <v>0.0</v>
      </c>
      <c r="P2531" s="13" t="str">
        <f>HYPERLINK(AC2 &amp; "/screwdriver/sn_63330766856180dfcb13f5acafd1fdef/rendering/13.xyz", "0.0")</f>
        <v>0.0</v>
      </c>
      <c r="Q2531" s="13" t="str">
        <f>HYPERLINK(AC2 &amp; "/screwdriver/sn_63330766856180dfcb13f5acafd1fdef/rendering/14.xyz", "0.0")</f>
        <v>0.0</v>
      </c>
      <c r="R2531" s="13" t="str">
        <f>HYPERLINK(AC2 &amp; "/screwdriver/sn_63330766856180dfcb13f5acafd1fdef/rendering/15.xyz", "0.0")</f>
        <v>0.0</v>
      </c>
      <c r="S2531" s="13" t="str">
        <f>HYPERLINK(AC2 &amp; "/screwdriver/sn_63330766856180dfcb13f5acafd1fdef/rendering/16.xyz", "0.0")</f>
        <v>0.0</v>
      </c>
      <c r="T2531" s="13" t="str">
        <f>HYPERLINK(AC2 &amp; "/screwdriver/sn_63330766856180dfcb13f5acafd1fdef/rendering/17.xyz", "0.0")</f>
        <v>0.0</v>
      </c>
      <c r="U2531" s="13" t="str">
        <f>HYPERLINK(AC2 &amp; "/screwdriver/sn_63330766856180dfcb13f5acafd1fdef/rendering/18.xyz", "0.0")</f>
        <v>0.0</v>
      </c>
      <c r="V2531" s="13" t="str">
        <f>HYPERLINK(AC2 &amp; "/screwdriver/sn_63330766856180dfcb13f5acafd1fdef/rendering/19.xyz", "0.0")</f>
        <v>0.0</v>
      </c>
      <c r="W2531" s="12" t="s">
        <v>33</v>
      </c>
      <c r="X2531" s="13">
        <v>0</v>
      </c>
      <c r="Y2531" s="13">
        <v>0</v>
      </c>
      <c r="Z2531" s="13">
        <v>0</v>
      </c>
    </row>
    <row r="2532" spans="1:26" x14ac:dyDescent="0.2">
      <c r="A2532" s="1">
        <v>2530</v>
      </c>
      <c r="B2532" s="2" t="s">
        <v>539</v>
      </c>
      <c r="C2532" s="90" t="str">
        <f>HYPERLINK(AA2 &amp; "/screwdriver/sn_89a3ff8c52d49d4dae6e8e83682ca453/rendering/00.obj", "4.49130371094")</f>
        <v>4.49130371094</v>
      </c>
      <c r="D2532" s="68" t="str">
        <f>HYPERLINK(AA2 &amp; "/screwdriver/sn_89a3ff8c52d49d4dae6e8e83682ca453/rendering/01.obj", "4.74859436035")</f>
        <v>4.74859436035</v>
      </c>
      <c r="E2532" s="47" t="str">
        <f>HYPERLINK(AA2 &amp; "/screwdriver/sn_89a3ff8c52d49d4dae6e8e83682ca453/rendering/02.obj", "4.91479949951")</f>
        <v>4.91479949951</v>
      </c>
      <c r="F2532" s="68" t="str">
        <f>HYPERLINK(AA2 &amp; "/screwdriver/sn_89a3ff8c52d49d4dae6e8e83682ca453/rendering/03.obj", "4.75188720703")</f>
        <v>4.75188720703</v>
      </c>
      <c r="G2532" s="74" t="str">
        <f>HYPERLINK(AA2 &amp; "/screwdriver/sn_89a3ff8c52d49d4dae6e8e83682ca453/rendering/04.obj", "5.0304864502")</f>
        <v>5.0304864502</v>
      </c>
      <c r="H2532" s="46" t="str">
        <f>HYPERLINK(AA2 &amp; "/screwdriver/sn_89a3ff8c52d49d4dae6e8e83682ca453/rendering/05.obj", "5.03827880859")</f>
        <v>5.03827880859</v>
      </c>
      <c r="I2532" s="41" t="str">
        <f>HYPERLINK(AA2 &amp; "/screwdriver/sn_89a3ff8c52d49d4dae6e8e83682ca453/rendering/06.obj", "5.29931274414")</f>
        <v>5.29931274414</v>
      </c>
      <c r="J2532" s="46" t="str">
        <f>HYPERLINK(AA2 &amp; "/screwdriver/sn_89a3ff8c52d49d4dae6e8e83682ca453/rendering/07.obj", "4.87048950195")</f>
        <v>4.87048950195</v>
      </c>
      <c r="K2532" s="68" t="str">
        <f>HYPERLINK(AA2 &amp; "/screwdriver/sn_89a3ff8c52d49d4dae6e8e83682ca453/rendering/08.obj", "4.75194122314")</f>
        <v>4.75194122314</v>
      </c>
      <c r="L2532" s="68" t="str">
        <f>HYPERLINK(AA2 &amp; "/screwdriver/sn_89a3ff8c52d49d4dae6e8e83682ca453/rendering/09.obj", "5.16319458008")</f>
        <v>5.16319458008</v>
      </c>
      <c r="M2532" s="94" t="str">
        <f>HYPERLINK(AA2 &amp; "/screwdriver/sn_89a3ff8c52d49d4dae6e8e83682ca453/rendering/10.obj", "5.32284790039")</f>
        <v>5.32284790039</v>
      </c>
      <c r="N2532" s="74" t="str">
        <f>HYPERLINK(AA2 &amp; "/screwdriver/sn_89a3ff8c52d49d4dae6e8e83682ca453/rendering/11.obj", "5.03536071777")</f>
        <v>5.03536071777</v>
      </c>
      <c r="O2532" s="47" t="str">
        <f>HYPERLINK(AA2 &amp; "/screwdriver/sn_89a3ff8c52d49d4dae6e8e83682ca453/rendering/12.obj", "4.92208892822")</f>
        <v>4.92208892822</v>
      </c>
      <c r="P2532" s="74" t="str">
        <f>HYPERLINK(AA2 &amp; "/screwdriver/sn_89a3ff8c52d49d4dae6e8e83682ca453/rendering/13.obj", "5.03741333008")</f>
        <v>5.03741333008</v>
      </c>
      <c r="Q2532" s="6" t="str">
        <f>HYPERLINK(AA2 &amp; "/screwdriver/sn_89a3ff8c52d49d4dae6e8e83682ca453/rendering/14.obj", "5.17970214844")</f>
        <v>5.17970214844</v>
      </c>
      <c r="R2532" s="94" t="str">
        <f>HYPERLINK(AA2 &amp; "/screwdriver/sn_89a3ff8c52d49d4dae6e8e83682ca453/rendering/15.obj", "5.32012268066")</f>
        <v>5.32012268066</v>
      </c>
      <c r="S2532" s="34" t="str">
        <f>HYPERLINK(AA2 &amp; "/screwdriver/sn_89a3ff8c52d49d4dae6e8e83682ca453/rendering/16.obj", "4.71595794678")</f>
        <v>4.71595794678</v>
      </c>
      <c r="T2532" s="23" t="str">
        <f>HYPERLINK(AA2 &amp; "/screwdriver/sn_89a3ff8c52d49d4dae6e8e83682ca453/rendering/17.obj", "4.75967529297")</f>
        <v>4.75967529297</v>
      </c>
      <c r="U2532" s="13" t="str">
        <f>HYPERLINK(AA2 &amp; "/screwdriver/sn_89a3ff8c52d49d4dae6e8e83682ca453/rendering/18.obj", "4.95855407715")</f>
        <v>4.95855407715</v>
      </c>
      <c r="V2532" s="74" t="str">
        <f>HYPERLINK(AA2 &amp; "/screwdriver/sn_89a3ff8c52d49d4dae6e8e83682ca453/rendering/19.obj", "4.88350799561")</f>
        <v>4.88350799561</v>
      </c>
      <c r="W2532" s="12" t="s">
        <v>29</v>
      </c>
      <c r="X2532" s="13">
        <v>4.959775955200195</v>
      </c>
      <c r="Y2532" s="13">
        <v>0.21872404544555391</v>
      </c>
      <c r="Z2532" s="6">
        <v>4.4099581799905203E-2</v>
      </c>
    </row>
    <row r="2533" spans="1:26" x14ac:dyDescent="0.2">
      <c r="A2533" s="1">
        <v>2531</v>
      </c>
      <c r="B2533" s="2" t="s">
        <v>539</v>
      </c>
      <c r="C2533" s="37" t="str">
        <f>HYPERLINK(AA2 &amp; "/screwdriver/sn_89a3ff8c52d49d4dae6e8e83682ca453/rendering/00.obj", "2.862169981")</f>
        <v>2.862169981</v>
      </c>
      <c r="D2533" s="28" t="str">
        <f>HYPERLINK(AA2 &amp; "/screwdriver/sn_89a3ff8c52d49d4dae6e8e83682ca453/rendering/01.obj", "2.7133500576")</f>
        <v>2.7133500576</v>
      </c>
      <c r="E2533" s="31" t="str">
        <f>HYPERLINK(AA2 &amp; "/screwdriver/sn_89a3ff8c52d49d4dae6e8e83682ca453/rendering/02.obj", "2.06360793114")</f>
        <v>2.06360793114</v>
      </c>
      <c r="F2533" s="37" t="str">
        <f>HYPERLINK(AA2 &amp; "/screwdriver/sn_89a3ff8c52d49d4dae6e8e83682ca453/rendering/03.obj", "2.86732840538")</f>
        <v>2.86732840538</v>
      </c>
      <c r="G2533" s="55" t="str">
        <f>HYPERLINK(AA2 &amp; "/screwdriver/sn_89a3ff8c52d49d4dae6e8e83682ca453/rendering/04.obj", "1.96961343288")</f>
        <v>1.96961343288</v>
      </c>
      <c r="H2533" s="98" t="str">
        <f>HYPERLINK(AA2 &amp; "/screwdriver/sn_89a3ff8c52d49d4dae6e8e83682ca453/rendering/05.obj", "3.00510215759")</f>
        <v>3.00510215759</v>
      </c>
      <c r="I2533" s="94" t="str">
        <f>HYPERLINK(AA2 &amp; "/screwdriver/sn_89a3ff8c52d49d4dae6e8e83682ca453/rendering/06.obj", "2.26373291016")</f>
        <v>2.26373291016</v>
      </c>
      <c r="J2533" s="94" t="str">
        <f>HYPERLINK(AA2 &amp; "/screwdriver/sn_89a3ff8c52d49d4dae6e8e83682ca453/rendering/07.obj", "2.26178050041")</f>
        <v>2.26178050041</v>
      </c>
      <c r="K2533" s="98" t="str">
        <f>HYPERLINK(AA2 &amp; "/screwdriver/sn_89a3ff8c52d49d4dae6e8e83682ca453/rendering/08.obj", "2.9997279644")</f>
        <v>2.9997279644</v>
      </c>
      <c r="L2533" s="83" t="str">
        <f>HYPERLINK(AA2 &amp; "/screwdriver/sn_89a3ff8c52d49d4dae6e8e83682ca453/rendering/09.obj", "2.06626057625")</f>
        <v>2.06626057625</v>
      </c>
      <c r="M2533" s="25" t="str">
        <f>HYPERLINK(AA2 &amp; "/screwdriver/sn_89a3ff8c52d49d4dae6e8e83682ca453/rendering/10.obj", "2.47074818611")</f>
        <v>2.47074818611</v>
      </c>
      <c r="N2533" s="72" t="str">
        <f>HYPERLINK(AA2 &amp; "/screwdriver/sn_89a3ff8c52d49d4dae6e8e83682ca453/rendering/11.obj", "2.36291742325")</f>
        <v>2.36291742325</v>
      </c>
      <c r="O2533" s="91" t="str">
        <f>HYPERLINK(AA2 &amp; "/screwdriver/sn_89a3ff8c52d49d4dae6e8e83682ca453/rendering/12.obj", "2.37388467789")</f>
        <v>2.37388467789</v>
      </c>
      <c r="P2533" s="58" t="str">
        <f>HYPERLINK(AA2 &amp; "/screwdriver/sn_89a3ff8c52d49d4dae6e8e83682ca453/rendering/13.obj", "1.84855914116")</f>
        <v>1.84855914116</v>
      </c>
      <c r="Q2533" s="75" t="str">
        <f>HYPERLINK(AA2 &amp; "/screwdriver/sn_89a3ff8c52d49d4dae6e8e83682ca453/rendering/14.obj", "1.8982796669")</f>
        <v>1.8982796669</v>
      </c>
      <c r="R2533" s="79" t="str">
        <f>HYPERLINK(AA2 &amp; "/screwdriver/sn_89a3ff8c52d49d4dae6e8e83682ca453/rendering/15.obj", "2.05499505997")</f>
        <v>2.05499505997</v>
      </c>
      <c r="S2533" s="60" t="str">
        <f>HYPERLINK(AA2 &amp; "/screwdriver/sn_89a3ff8c52d49d4dae6e8e83682ca453/rendering/16.obj", "2.56626272202")</f>
        <v>2.56626272202</v>
      </c>
      <c r="T2533" s="171" t="str">
        <f>HYPERLINK(AA2 &amp; "/screwdriver/sn_89a3ff8c52d49d4dae6e8e83682ca453/rendering/17.obj", "3.18844652176")</f>
        <v>3.18844652176</v>
      </c>
      <c r="U2533" s="94" t="str">
        <f>HYPERLINK(AA2 &amp; "/screwdriver/sn_89a3ff8c52d49d4dae6e8e83682ca453/rendering/18.obj", "2.61880636215")</f>
        <v>2.61880636215</v>
      </c>
      <c r="V2533" s="72" t="str">
        <f>HYPERLINK(AA2 &amp; "/screwdriver/sn_89a3ff8c52d49d4dae6e8e83682ca453/rendering/19.obj", "2.35686993599")</f>
        <v>2.35686993599</v>
      </c>
      <c r="W2533" s="12" t="s">
        <v>30</v>
      </c>
      <c r="X2533" s="13">
        <v>2.4406221807003021</v>
      </c>
      <c r="Y2533" s="13">
        <v>0.39060085611168011</v>
      </c>
      <c r="Z2533" s="66">
        <v>0.16004150875970599</v>
      </c>
    </row>
    <row r="2534" spans="1:26" x14ac:dyDescent="0.2">
      <c r="A2534" s="1">
        <v>2532</v>
      </c>
      <c r="B2534" s="2" t="s">
        <v>539</v>
      </c>
      <c r="C2534" s="41" t="str">
        <f>HYPERLINK(AB2 &amp; "/screwdriver/sn_89a3ff8c52d49d4dae6e8e83682ca453/rendering/00.obj", "3.6461895752")</f>
        <v>3.6461895752</v>
      </c>
      <c r="D2534" s="23" t="str">
        <f>HYPERLINK(AB2 &amp; "/screwdriver/sn_89a3ff8c52d49d4dae6e8e83682ca453/rendering/01.obj", "3.54490112305")</f>
        <v>3.54490112305</v>
      </c>
      <c r="E2534" s="90" t="str">
        <f>HYPERLINK(AB2 &amp; "/screwdriver/sn_89a3ff8c52d49d4dae6e8e83682ca453/rendering/02.obj", "3.7362902832")</f>
        <v>3.7362902832</v>
      </c>
      <c r="F2534" s="68" t="str">
        <f>HYPERLINK(AB2 &amp; "/screwdriver/sn_89a3ff8c52d49d4dae6e8e83682ca453/rendering/03.obj", "3.27270324707")</f>
        <v>3.27270324707</v>
      </c>
      <c r="G2534" s="38" t="str">
        <f>HYPERLINK(AB2 &amp; "/screwdriver/sn_89a3ff8c52d49d4dae6e8e83682ca453/rendering/04.obj", "3.10823059082")</f>
        <v>3.10823059082</v>
      </c>
      <c r="H2534" s="25" t="str">
        <f>HYPERLINK(AB2 &amp; "/screwdriver/sn_89a3ff8c52d49d4dae6e8e83682ca453/rendering/05.obj", "3.45307006836")</f>
        <v>3.45307006836</v>
      </c>
      <c r="I2534" s="25" t="str">
        <f>HYPERLINK(AB2 &amp; "/screwdriver/sn_89a3ff8c52d49d4dae6e8e83682ca453/rendering/06.obj", "3.37885559082")</f>
        <v>3.37885559082</v>
      </c>
      <c r="J2534" s="68" t="str">
        <f>HYPERLINK(AB2 &amp; "/screwdriver/sn_89a3ff8c52d49d4dae6e8e83682ca453/rendering/07.obj", "3.26936035156")</f>
        <v>3.26936035156</v>
      </c>
      <c r="K2534" s="74" t="str">
        <f>HYPERLINK(AB2 &amp; "/screwdriver/sn_89a3ff8c52d49d4dae6e8e83682ca453/rendering/08.obj", "3.46109191895")</f>
        <v>3.46109191895</v>
      </c>
      <c r="L2534" s="48" t="str">
        <f>HYPERLINK(AB2 &amp; "/screwdriver/sn_89a3ff8c52d49d4dae6e8e83682ca453/rendering/09.obj", "3.33787231445")</f>
        <v>3.33787231445</v>
      </c>
      <c r="M2534" s="48" t="str">
        <f>HYPERLINK(AB2 &amp; "/screwdriver/sn_89a3ff8c52d49d4dae6e8e83682ca453/rendering/10.obj", "3.48988464355")</f>
        <v>3.48988464355</v>
      </c>
      <c r="N2534" s="33" t="str">
        <f>HYPERLINK(AB2 &amp; "/screwdriver/sn_89a3ff8c52d49d4dae6e8e83682ca453/rendering/11.obj", "3.78038818359")</f>
        <v>3.78038818359</v>
      </c>
      <c r="O2534" s="74" t="str">
        <f>HYPERLINK(AB2 &amp; "/screwdriver/sn_89a3ff8c52d49d4dae6e8e83682ca453/rendering/12.obj", "3.36813049316")</f>
        <v>3.36813049316</v>
      </c>
      <c r="P2534" s="60" t="str">
        <f>HYPERLINK(AB2 &amp; "/screwdriver/sn_89a3ff8c52d49d4dae6e8e83682ca453/rendering/13.obj", "3.23810546875")</f>
        <v>3.23810546875</v>
      </c>
      <c r="Q2534" s="6" t="str">
        <f>HYPERLINK(AB2 &amp; "/screwdriver/sn_89a3ff8c52d49d4dae6e8e83682ca453/rendering/14.obj", "3.56517059326")</f>
        <v>3.56517059326</v>
      </c>
      <c r="R2534" s="60" t="str">
        <f>HYPERLINK(AB2 &amp; "/screwdriver/sn_89a3ff8c52d49d4dae6e8e83682ca453/rendering/15.obj", "3.23569519043")</f>
        <v>3.23569519043</v>
      </c>
      <c r="S2534" s="60" t="str">
        <f>HYPERLINK(AB2 &amp; "/screwdriver/sn_89a3ff8c52d49d4dae6e8e83682ca453/rendering/16.obj", "3.23453155518")</f>
        <v>3.23453155518</v>
      </c>
      <c r="T2534" s="46" t="str">
        <f>HYPERLINK(AB2 &amp; "/screwdriver/sn_89a3ff8c52d49d4dae6e8e83682ca453/rendering/17.obj", "3.47453277588")</f>
        <v>3.47453277588</v>
      </c>
      <c r="U2534" s="69" t="str">
        <f>HYPERLINK(AB2 &amp; "/screwdriver/sn_89a3ff8c52d49d4dae6e8e83682ca453/rendering/18.obj", "3.31581848145")</f>
        <v>3.31581848145</v>
      </c>
      <c r="V2534" s="46" t="str">
        <f>HYPERLINK(AB2 &amp; "/screwdriver/sn_89a3ff8c52d49d4dae6e8e83682ca453/rendering/19.obj", "3.35580871582")</f>
        <v>3.35580871582</v>
      </c>
      <c r="W2534" s="12" t="s">
        <v>31</v>
      </c>
      <c r="X2534" s="13">
        <v>3.4133315582275392</v>
      </c>
      <c r="Y2534" s="13">
        <v>0.17272087385561749</v>
      </c>
      <c r="Z2534" s="60">
        <v>5.060184482790394E-2</v>
      </c>
    </row>
    <row r="2535" spans="1:26" x14ac:dyDescent="0.2">
      <c r="A2535" s="1">
        <v>2533</v>
      </c>
      <c r="B2535" s="2" t="s">
        <v>539</v>
      </c>
      <c r="C2535" s="65" t="str">
        <f>HYPERLINK(AB2 &amp; "/screwdriver/sn_89a3ff8c52d49d4dae6e8e83682ca453/rendering/00.obj", "2.13078403473")</f>
        <v>2.13078403473</v>
      </c>
      <c r="D2535" s="78" t="str">
        <f>HYPERLINK(AB2 &amp; "/screwdriver/sn_89a3ff8c52d49d4dae6e8e83682ca453/rendering/01.obj", "1.99743855")</f>
        <v>1.99743855</v>
      </c>
      <c r="E2535" s="158" t="str">
        <f>HYPERLINK(AB2 &amp; "/screwdriver/sn_89a3ff8c52d49d4dae6e8e83682ca453/rendering/02.obj", "2.6522102356")</f>
        <v>2.6522102356</v>
      </c>
      <c r="F2535" s="34" t="str">
        <f>HYPERLINK(AB2 &amp; "/screwdriver/sn_89a3ff8c52d49d4dae6e8e83682ca453/rendering/03.obj", "1.78711092472")</f>
        <v>1.78711092472</v>
      </c>
      <c r="G2535" s="60" t="str">
        <f>HYPERLINK(AB2 &amp; "/screwdriver/sn_89a3ff8c52d49d4dae6e8e83682ca453/rendering/04.obj", "1.78355431557")</f>
        <v>1.78355431557</v>
      </c>
      <c r="H2535" s="73" t="str">
        <f>HYPERLINK(AB2 &amp; "/screwdriver/sn_89a3ff8c52d49d4dae6e8e83682ca453/rendering/05.obj", "1.81423532963")</f>
        <v>1.81423532963</v>
      </c>
      <c r="I2535" s="33" t="str">
        <f>HYPERLINK(AB2 &amp; "/screwdriver/sn_89a3ff8c52d49d4dae6e8e83682ca453/rendering/06.obj", "1.67859280109")</f>
        <v>1.67859280109</v>
      </c>
      <c r="J2535" s="26" t="str">
        <f>HYPERLINK(AB2 &amp; "/screwdriver/sn_89a3ff8c52d49d4dae6e8e83682ca453/rendering/07.obj", "1.75991475582")</f>
        <v>1.75991475582</v>
      </c>
      <c r="K2535" s="6" t="str">
        <f>HYPERLINK(AB2 &amp; "/screwdriver/sn_89a3ff8c52d49d4dae6e8e83682ca453/rendering/08.obj", "1.96515107155")</f>
        <v>1.96515107155</v>
      </c>
      <c r="L2535" s="39" t="str">
        <f>HYPERLINK(AB2 &amp; "/screwdriver/sn_89a3ff8c52d49d4dae6e8e83682ca453/rendering/09.obj", "1.72200644016")</f>
        <v>1.72200644016</v>
      </c>
      <c r="M2535" s="34" t="str">
        <f>HYPERLINK(AB2 &amp; "/screwdriver/sn_89a3ff8c52d49d4dae6e8e83682ca453/rendering/10.obj", "1.79065775871")</f>
        <v>1.79065775871</v>
      </c>
      <c r="N2535" s="68" t="str">
        <f>HYPERLINK(AB2 &amp; "/screwdriver/sn_89a3ff8c52d49d4dae6e8e83682ca453/rendering/11.obj", "1.96393179893")</f>
        <v>1.96393179893</v>
      </c>
      <c r="O2535" s="67" t="str">
        <f>HYPERLINK(AB2 &amp; "/screwdriver/sn_89a3ff8c52d49d4dae6e8e83682ca453/rendering/12.obj", "1.70885670185")</f>
        <v>1.70885670185</v>
      </c>
      <c r="P2535" s="5" t="str">
        <f>HYPERLINK(AB2 &amp; "/screwdriver/sn_89a3ff8c52d49d4dae6e8e83682ca453/rendering/13.obj", "2.02442336082")</f>
        <v>2.02442336082</v>
      </c>
      <c r="Q2535" s="13" t="str">
        <f>HYPERLINK(AB2 &amp; "/screwdriver/sn_89a3ff8c52d49d4dae6e8e83682ca453/rendering/14.obj", "1.88650083542")</f>
        <v>1.88650083542</v>
      </c>
      <c r="R2535" s="41" t="str">
        <f>HYPERLINK(AB2 &amp; "/screwdriver/sn_89a3ff8c52d49d4dae6e8e83682ca453/rendering/15.obj", "2.00816559792")</f>
        <v>2.00816559792</v>
      </c>
      <c r="S2535" s="41" t="str">
        <f>HYPERLINK(AB2 &amp; "/screwdriver/sn_89a3ff8c52d49d4dae6e8e83682ca453/rendering/16.obj", "1.75347971916")</f>
        <v>1.75347971916</v>
      </c>
      <c r="T2535" s="94" t="str">
        <f>HYPERLINK(AB2 &amp; "/screwdriver/sn_89a3ff8c52d49d4dae6e8e83682ca453/rendering/17.obj", "1.74217808247")</f>
        <v>1.74217808247</v>
      </c>
      <c r="U2535" s="28" t="str">
        <f>HYPERLINK(AB2 &amp; "/screwdriver/sn_89a3ff8c52d49d4dae6e8e83682ca453/rendering/18.obj", "1.67480039597")</f>
        <v>1.67480039597</v>
      </c>
      <c r="V2535" s="60" t="str">
        <f>HYPERLINK(AB2 &amp; "/screwdriver/sn_89a3ff8c52d49d4dae6e8e83682ca453/rendering/19.obj", "1.78434181213")</f>
        <v>1.78434181213</v>
      </c>
      <c r="W2535" s="12" t="s">
        <v>32</v>
      </c>
      <c r="X2535" s="13">
        <v>1.881416726112366</v>
      </c>
      <c r="Y2535" s="13">
        <v>0.21798040248732931</v>
      </c>
      <c r="Z2535" s="106">
        <v>0.11585971330113</v>
      </c>
    </row>
    <row r="2536" spans="1:26" x14ac:dyDescent="0.2">
      <c r="A2536" s="1">
        <v>2534</v>
      </c>
      <c r="B2536" s="2" t="s">
        <v>539</v>
      </c>
      <c r="C2536" s="13" t="str">
        <f>HYPERLINK(AC2 &amp; "/screwdriver/sn_89a3ff8c52d49d4dae6e8e83682ca453/rendering/00.xyz", "0.0")</f>
        <v>0.0</v>
      </c>
      <c r="D2536" s="13" t="str">
        <f>HYPERLINK(AC2 &amp; "/screwdriver/sn_89a3ff8c52d49d4dae6e8e83682ca453/rendering/01.xyz", "0.0")</f>
        <v>0.0</v>
      </c>
      <c r="E2536" s="13" t="str">
        <f>HYPERLINK(AC2 &amp; "/screwdriver/sn_89a3ff8c52d49d4dae6e8e83682ca453/rendering/02.xyz", "0.0")</f>
        <v>0.0</v>
      </c>
      <c r="F2536" s="13" t="str">
        <f>HYPERLINK(AC2 &amp; "/screwdriver/sn_89a3ff8c52d49d4dae6e8e83682ca453/rendering/03.xyz", "0.0")</f>
        <v>0.0</v>
      </c>
      <c r="G2536" s="13" t="str">
        <f>HYPERLINK(AC2 &amp; "/screwdriver/sn_89a3ff8c52d49d4dae6e8e83682ca453/rendering/04.xyz", "0.0")</f>
        <v>0.0</v>
      </c>
      <c r="H2536" s="13" t="str">
        <f>HYPERLINK(AC2 &amp; "/screwdriver/sn_89a3ff8c52d49d4dae6e8e83682ca453/rendering/05.xyz", "0.0")</f>
        <v>0.0</v>
      </c>
      <c r="I2536" s="13" t="str">
        <f>HYPERLINK(AC2 &amp; "/screwdriver/sn_89a3ff8c52d49d4dae6e8e83682ca453/rendering/06.xyz", "0.0")</f>
        <v>0.0</v>
      </c>
      <c r="J2536" s="13" t="str">
        <f>HYPERLINK(AC2 &amp; "/screwdriver/sn_89a3ff8c52d49d4dae6e8e83682ca453/rendering/07.xyz", "0.0")</f>
        <v>0.0</v>
      </c>
      <c r="K2536" s="13" t="str">
        <f>HYPERLINK(AC2 &amp; "/screwdriver/sn_89a3ff8c52d49d4dae6e8e83682ca453/rendering/08.xyz", "0.0")</f>
        <v>0.0</v>
      </c>
      <c r="L2536" s="13" t="str">
        <f>HYPERLINK(AC2 &amp; "/screwdriver/sn_89a3ff8c52d49d4dae6e8e83682ca453/rendering/09.xyz", "0.0")</f>
        <v>0.0</v>
      </c>
      <c r="M2536" s="13" t="str">
        <f>HYPERLINK(AC2 &amp; "/screwdriver/sn_89a3ff8c52d49d4dae6e8e83682ca453/rendering/10.xyz", "0.0")</f>
        <v>0.0</v>
      </c>
      <c r="N2536" s="13" t="str">
        <f>HYPERLINK(AC2 &amp; "/screwdriver/sn_89a3ff8c52d49d4dae6e8e83682ca453/rendering/11.xyz", "0.0")</f>
        <v>0.0</v>
      </c>
      <c r="O2536" s="13" t="str">
        <f>HYPERLINK(AC2 &amp; "/screwdriver/sn_89a3ff8c52d49d4dae6e8e83682ca453/rendering/12.xyz", "0.0")</f>
        <v>0.0</v>
      </c>
      <c r="P2536" s="13" t="str">
        <f>HYPERLINK(AC2 &amp; "/screwdriver/sn_89a3ff8c52d49d4dae6e8e83682ca453/rendering/13.xyz", "0.0")</f>
        <v>0.0</v>
      </c>
      <c r="Q2536" s="13" t="str">
        <f>HYPERLINK(AC2 &amp; "/screwdriver/sn_89a3ff8c52d49d4dae6e8e83682ca453/rendering/14.xyz", "0.0")</f>
        <v>0.0</v>
      </c>
      <c r="R2536" s="13" t="str">
        <f>HYPERLINK(AC2 &amp; "/screwdriver/sn_89a3ff8c52d49d4dae6e8e83682ca453/rendering/15.xyz", "0.0")</f>
        <v>0.0</v>
      </c>
      <c r="S2536" s="13" t="str">
        <f>HYPERLINK(AC2 &amp; "/screwdriver/sn_89a3ff8c52d49d4dae6e8e83682ca453/rendering/16.xyz", "0.0")</f>
        <v>0.0</v>
      </c>
      <c r="T2536" s="13" t="str">
        <f>HYPERLINK(AC2 &amp; "/screwdriver/sn_89a3ff8c52d49d4dae6e8e83682ca453/rendering/17.xyz", "0.0")</f>
        <v>0.0</v>
      </c>
      <c r="U2536" s="13" t="str">
        <f>HYPERLINK(AC2 &amp; "/screwdriver/sn_89a3ff8c52d49d4dae6e8e83682ca453/rendering/18.xyz", "0.0")</f>
        <v>0.0</v>
      </c>
      <c r="V2536" s="13" t="str">
        <f>HYPERLINK(AC2 &amp; "/screwdriver/sn_89a3ff8c52d49d4dae6e8e83682ca453/rendering/19.xyz", "0.0")</f>
        <v>0.0</v>
      </c>
      <c r="W2536" s="12" t="s">
        <v>33</v>
      </c>
      <c r="X2536" s="13">
        <v>0</v>
      </c>
      <c r="Y2536" s="13">
        <v>0</v>
      </c>
      <c r="Z2536" s="13">
        <v>0</v>
      </c>
    </row>
    <row r="2537" spans="1:26" x14ac:dyDescent="0.2">
      <c r="A2537" s="1">
        <v>2535</v>
      </c>
      <c r="B2537" s="2" t="s">
        <v>540</v>
      </c>
      <c r="C2537" s="39" t="str">
        <f>HYPERLINK(AA2 &amp; "/screwdriver/sn_91b2aa09148e3866e97426e55fb77981/rendering/00.obj", "2.91300964355")</f>
        <v>2.91300964355</v>
      </c>
      <c r="D2537" s="32" t="str">
        <f>HYPERLINK(AA2 &amp; "/screwdriver/sn_91b2aa09148e3866e97426e55fb77981/rendering/01.obj", "3.52946166992")</f>
        <v>3.52946166992</v>
      </c>
      <c r="E2537" s="70" t="str">
        <f>HYPERLINK(AA2 &amp; "/screwdriver/sn_91b2aa09148e3866e97426e55fb77981/rendering/02.obj", "3.5914074707")</f>
        <v>3.5914074707</v>
      </c>
      <c r="F2537" s="30" t="str">
        <f>HYPERLINK(AA2 &amp; "/screwdriver/sn_91b2aa09148e3866e97426e55fb77981/rendering/03.obj", "3.21009033203")</f>
        <v>3.21009033203</v>
      </c>
      <c r="G2537" s="17" t="str">
        <f>HYPERLINK(AA2 &amp; "/screwdriver/sn_91b2aa09148e3866e97426e55fb77981/rendering/04.obj", "3.25898132324")</f>
        <v>3.25898132324</v>
      </c>
      <c r="H2537" s="67" t="str">
        <f>HYPERLINK(AA2 &amp; "/screwdriver/sn_91b2aa09148e3866e97426e55fb77981/rendering/05.obj", "3.48822509766")</f>
        <v>3.48822509766</v>
      </c>
      <c r="I2537" s="73" t="str">
        <f>HYPERLINK(AA2 &amp; "/screwdriver/sn_91b2aa09148e3866e97426e55fb77981/rendering/06.obj", "3.30198730469")</f>
        <v>3.30198730469</v>
      </c>
      <c r="J2537" s="10" t="str">
        <f>HYPERLINK(AA2 &amp; "/screwdriver/sn_91b2aa09148e3866e97426e55fb77981/rendering/07.obj", "3.01160339355")</f>
        <v>3.01160339355</v>
      </c>
      <c r="K2537" s="6" t="str">
        <f>HYPERLINK(AA2 &amp; "/screwdriver/sn_91b2aa09148e3866e97426e55fb77981/rendering/08.obj", "3.04147338867")</f>
        <v>3.04147338867</v>
      </c>
      <c r="L2537" s="60" t="str">
        <f>HYPERLINK(AA2 &amp; "/screwdriver/sn_91b2aa09148e3866e97426e55fb77981/rendering/09.obj", "3.02458129883")</f>
        <v>3.02458129883</v>
      </c>
      <c r="M2537" s="91" t="str">
        <f>HYPERLINK(AA2 &amp; "/screwdriver/sn_91b2aa09148e3866e97426e55fb77981/rendering/10.obj", "3.27158843994")</f>
        <v>3.27158843994</v>
      </c>
      <c r="N2537" s="34" t="str">
        <f>HYPERLINK(AA2 &amp; "/screwdriver/sn_91b2aa09148e3866e97426e55fb77981/rendering/11.obj", "3.03787109375")</f>
        <v>3.03787109375</v>
      </c>
      <c r="O2537" s="35" t="str">
        <f>HYPERLINK(AA2 &amp; "/screwdriver/sn_91b2aa09148e3866e97426e55fb77981/rendering/12.obj", "3.00420593262")</f>
        <v>3.00420593262</v>
      </c>
      <c r="P2537" s="25" t="str">
        <f>HYPERLINK(AA2 &amp; "/screwdriver/sn_91b2aa09148e3866e97426e55fb77981/rendering/13.obj", "3.15488464355")</f>
        <v>3.15488464355</v>
      </c>
      <c r="Q2537" s="68" t="str">
        <f>HYPERLINK(AA2 &amp; "/screwdriver/sn_91b2aa09148e3866e97426e55fb77981/rendering/14.obj", "3.05145324707")</f>
        <v>3.05145324707</v>
      </c>
      <c r="R2537" s="6" t="str">
        <f>HYPERLINK(AA2 &amp; "/screwdriver/sn_91b2aa09148e3866e97426e55fb77981/rendering/15.obj", "3.04391357422")</f>
        <v>3.04391357422</v>
      </c>
      <c r="S2537" s="68" t="str">
        <f>HYPERLINK(AA2 &amp; "/screwdriver/sn_91b2aa09148e3866e97426e55fb77981/rendering/16.obj", "3.05914916992")</f>
        <v>3.05914916992</v>
      </c>
      <c r="T2537" s="13" t="str">
        <f>HYPERLINK(AA2 &amp; "/screwdriver/sn_91b2aa09148e3866e97426e55fb77981/rendering/17.obj", "3.18147460937")</f>
        <v>3.18147460937</v>
      </c>
      <c r="U2537" s="23" t="str">
        <f>HYPERLINK(AA2 &amp; "/screwdriver/sn_91b2aa09148e3866e97426e55fb77981/rendering/18.obj", "3.31741333008")</f>
        <v>3.31741333008</v>
      </c>
      <c r="V2537" s="23" t="str">
        <f>HYPERLINK(AA2 &amp; "/screwdriver/sn_91b2aa09148e3866e97426e55fb77981/rendering/19.obj", "3.31320526123")</f>
        <v>3.31320526123</v>
      </c>
      <c r="W2537" s="12" t="s">
        <v>29</v>
      </c>
      <c r="X2537" s="13">
        <v>3.190299011230469</v>
      </c>
      <c r="Y2537" s="13">
        <v>0.18650354891452781</v>
      </c>
      <c r="Z2537" s="35">
        <v>5.8459582709332041E-2</v>
      </c>
    </row>
    <row r="2538" spans="1:26" x14ac:dyDescent="0.2">
      <c r="A2538" s="1">
        <v>2536</v>
      </c>
      <c r="B2538" s="2" t="s">
        <v>540</v>
      </c>
      <c r="C2538" s="70" t="str">
        <f>HYPERLINK(AA2 &amp; "/screwdriver/sn_91b2aa09148e3866e97426e55fb77981/rendering/00.obj", "0.949578821659")</f>
        <v>0.949578821659</v>
      </c>
      <c r="D2538" s="46" t="str">
        <f>HYPERLINK(AA2 &amp; "/screwdriver/sn_91b2aa09148e3866e97426e55fb77981/rendering/01.obj", "1.06767570972")</f>
        <v>1.06767570972</v>
      </c>
      <c r="E2538" s="84" t="str">
        <f>HYPERLINK(AA2 &amp; "/screwdriver/sn_91b2aa09148e3866e97426e55fb77981/rendering/02.obj", "1.24692058563")</f>
        <v>1.24692058563</v>
      </c>
      <c r="F2538" s="116" t="str">
        <f>HYPERLINK(AA2 &amp; "/screwdriver/sn_91b2aa09148e3866e97426e55fb77981/rendering/03.obj", "1.56424343586")</f>
        <v>1.56424343586</v>
      </c>
      <c r="G2538" s="26" t="str">
        <f>HYPERLINK(AA2 &amp; "/screwdriver/sn_91b2aa09148e3866e97426e55fb77981/rendering/04.obj", "1.0195684433")</f>
        <v>1.0195684433</v>
      </c>
      <c r="H2538" s="65" t="str">
        <f>HYPERLINK(AA2 &amp; "/screwdriver/sn_91b2aa09148e3866e97426e55fb77981/rendering/05.obj", "1.23402893543")</f>
        <v>1.23402893543</v>
      </c>
      <c r="I2538" s="72" t="str">
        <f>HYPERLINK(AA2 &amp; "/screwdriver/sn_91b2aa09148e3866e97426e55fb77981/rendering/06.obj", "1.05234742165")</f>
        <v>1.05234742165</v>
      </c>
      <c r="J2538" s="63" t="str">
        <f>HYPERLINK(AA2 &amp; "/screwdriver/sn_91b2aa09148e3866e97426e55fb77981/rendering/07.obj", "0.956055104733")</f>
        <v>0.956055104733</v>
      </c>
      <c r="K2538" s="107" t="str">
        <f>HYPERLINK(AA2 &amp; "/screwdriver/sn_91b2aa09148e3866e97426e55fb77981/rendering/08.obj", "0.997871756554")</f>
        <v>0.997871756554</v>
      </c>
      <c r="L2538" s="83" t="str">
        <f>HYPERLINK(AA2 &amp; "/screwdriver/sn_91b2aa09148e3866e97426e55fb77981/rendering/09.obj", "0.922174751759")</f>
        <v>0.922174751759</v>
      </c>
      <c r="M2538" s="174" t="str">
        <f>HYPERLINK(AA2 &amp; "/screwdriver/sn_91b2aa09148e3866e97426e55fb77981/rendering/10.obj", "1.6587985754")</f>
        <v>1.6587985754</v>
      </c>
      <c r="N2538" s="5" t="str">
        <f>HYPERLINK(AA2 &amp; "/screwdriver/sn_91b2aa09148e3866e97426e55fb77981/rendering/11.obj", "1.0054346323")</f>
        <v>1.0054346323</v>
      </c>
      <c r="O2538" s="90" t="str">
        <f>HYPERLINK(AA2 &amp; "/screwdriver/sn_91b2aa09148e3866e97426e55fb77981/rendering/12.obj", "0.984381079674")</f>
        <v>0.984381079674</v>
      </c>
      <c r="P2538" s="71" t="str">
        <f>HYPERLINK(AA2 &amp; "/screwdriver/sn_91b2aa09148e3866e97426e55fb77981/rendering/13.obj", "0.959162056446")</f>
        <v>0.959162056446</v>
      </c>
      <c r="Q2538" s="63" t="str">
        <f>HYPERLINK(AA2 &amp; "/screwdriver/sn_91b2aa09148e3866e97426e55fb77981/rendering/14.obj", "0.956862092018")</f>
        <v>0.956862092018</v>
      </c>
      <c r="R2538" s="27" t="str">
        <f>HYPERLINK(AA2 &amp; "/screwdriver/sn_91b2aa09148e3866e97426e55fb77981/rendering/15.obj", "1.01150810719")</f>
        <v>1.01150810719</v>
      </c>
      <c r="S2538" s="17" t="str">
        <f>HYPERLINK(AA2 &amp; "/screwdriver/sn_91b2aa09148e3866e97426e55fb77981/rendering/16.obj", "1.06683731079")</f>
        <v>1.06683731079</v>
      </c>
      <c r="T2538" s="29" t="str">
        <f>HYPERLINK(AA2 &amp; "/screwdriver/sn_91b2aa09148e3866e97426e55fb77981/rendering/17.obj", "0.947718143463")</f>
        <v>0.947718143463</v>
      </c>
      <c r="U2538" s="74" t="str">
        <f>HYPERLINK(AA2 &amp; "/screwdriver/sn_91b2aa09148e3866e97426e55fb77981/rendering/18.obj", "1.10508596897")</f>
        <v>1.10508596897</v>
      </c>
      <c r="V2538" s="69" t="str">
        <f>HYPERLINK(AA2 &amp; "/screwdriver/sn_91b2aa09148e3866e97426e55fb77981/rendering/19.obj", "1.05467832088")</f>
        <v>1.05467832088</v>
      </c>
      <c r="W2538" s="12" t="s">
        <v>30</v>
      </c>
      <c r="X2538" s="13">
        <v>1.0880465626716611</v>
      </c>
      <c r="Y2538" s="13">
        <v>0.1944848908685122</v>
      </c>
      <c r="Z2538" s="117">
        <v>0.17874684553109671</v>
      </c>
    </row>
    <row r="2539" spans="1:26" x14ac:dyDescent="0.2">
      <c r="A2539" s="1">
        <v>2537</v>
      </c>
      <c r="B2539" s="2" t="s">
        <v>540</v>
      </c>
      <c r="C2539" s="78" t="str">
        <f>HYPERLINK(AB2 &amp; "/screwdriver/sn_91b2aa09148e3866e97426e55fb77981/rendering/00.obj", "3.5631817627")</f>
        <v>3.5631817627</v>
      </c>
      <c r="D2539" s="60" t="str">
        <f>HYPERLINK(AB2 &amp; "/screwdriver/sn_91b2aa09148e3866e97426e55fb77981/rendering/01.obj", "3.99874176025")</f>
        <v>3.99874176025</v>
      </c>
      <c r="E2539" s="13" t="str">
        <f>HYPERLINK(AB2 &amp; "/screwdriver/sn_91b2aa09148e3866e97426e55fb77981/rendering/02.obj", "3.79619506836")</f>
        <v>3.79619506836</v>
      </c>
      <c r="F2539" s="91" t="str">
        <f>HYPERLINK(AB2 &amp; "/screwdriver/sn_91b2aa09148e3866e97426e55fb77981/rendering/03.obj", "3.70220397949")</f>
        <v>3.70220397949</v>
      </c>
      <c r="G2539" s="13" t="str">
        <f>HYPERLINK(AB2 &amp; "/screwdriver/sn_91b2aa09148e3866e97426e55fb77981/rendering/04.obj", "3.7996484375")</f>
        <v>3.7996484375</v>
      </c>
      <c r="H2539" s="46" t="str">
        <f>HYPERLINK(AB2 &amp; "/screwdriver/sn_91b2aa09148e3866e97426e55fb77981/rendering/05.obj", "3.73340332031")</f>
        <v>3.73340332031</v>
      </c>
      <c r="I2539" s="69" t="str">
        <f>HYPERLINK(AB2 &amp; "/screwdriver/sn_91b2aa09148e3866e97426e55fb77981/rendering/06.obj", "3.91784667969")</f>
        <v>3.91784667969</v>
      </c>
      <c r="J2539" s="91" t="str">
        <f>HYPERLINK(AB2 &amp; "/screwdriver/sn_91b2aa09148e3866e97426e55fb77981/rendering/07.obj", "3.70491943359")</f>
        <v>3.70491943359</v>
      </c>
      <c r="K2539" s="34" t="str">
        <f>HYPERLINK(AB2 &amp; "/screwdriver/sn_91b2aa09148e3866e97426e55fb77981/rendering/08.obj", "3.61674377441")</f>
        <v>3.61674377441</v>
      </c>
      <c r="L2539" s="13" t="str">
        <f>HYPERLINK(AB2 &amp; "/screwdriver/sn_91b2aa09148e3866e97426e55fb77981/rendering/09.obj", "3.79699829102")</f>
        <v>3.79699829102</v>
      </c>
      <c r="M2539" s="17" t="str">
        <f>HYPERLINK(AB2 &amp; "/screwdriver/sn_91b2aa09148e3866e97426e55fb77981/rendering/10.obj", "3.72331359863")</f>
        <v>3.72331359863</v>
      </c>
      <c r="N2539" s="48" t="str">
        <f>HYPERLINK(AB2 &amp; "/screwdriver/sn_91b2aa09148e3866e97426e55fb77981/rendering/11.obj", "3.89663513184")</f>
        <v>3.89663513184</v>
      </c>
      <c r="O2539" s="27" t="str">
        <f>HYPERLINK(AB2 &amp; "/screwdriver/sn_91b2aa09148e3866e97426e55fb77981/rendering/12.obj", "4.06385681152")</f>
        <v>4.06385681152</v>
      </c>
      <c r="P2539" s="6" t="str">
        <f>HYPERLINK(AB2 &amp; "/screwdriver/sn_91b2aa09148e3866e97426e55fb77981/rendering/13.obj", "3.62926025391")</f>
        <v>3.62926025391</v>
      </c>
      <c r="Q2539" s="17" t="str">
        <f>HYPERLINK(AB2 &amp; "/screwdriver/sn_91b2aa09148e3866e97426e55fb77981/rendering/14.obj", "3.7245300293")</f>
        <v>3.7245300293</v>
      </c>
      <c r="R2539" s="73" t="str">
        <f>HYPERLINK(AB2 &amp; "/screwdriver/sn_91b2aa09148e3866e97426e55fb77981/rendering/15.obj", "3.93304321289")</f>
        <v>3.93304321289</v>
      </c>
      <c r="S2539" s="17" t="str">
        <f>HYPERLINK(AB2 &amp; "/screwdriver/sn_91b2aa09148e3866e97426e55fb77981/rendering/16.obj", "3.87598907471")</f>
        <v>3.87598907471</v>
      </c>
      <c r="T2539" s="23" t="str">
        <f>HYPERLINK(AB2 &amp; "/screwdriver/sn_91b2aa09148e3866e97426e55fb77981/rendering/17.obj", "3.65494995117")</f>
        <v>3.65494995117</v>
      </c>
      <c r="U2539" s="32" t="str">
        <f>HYPERLINK(AB2 &amp; "/screwdriver/sn_91b2aa09148e3866e97426e55fb77981/rendering/18.obj", "4.19800506592")</f>
        <v>4.19800506592</v>
      </c>
      <c r="V2539" s="91" t="str">
        <f>HYPERLINK(AB2 &amp; "/screwdriver/sn_91b2aa09148e3866e97426e55fb77981/rendering/19.obj", "3.6978024292")</f>
        <v>3.6978024292</v>
      </c>
      <c r="W2539" s="12" t="s">
        <v>31</v>
      </c>
      <c r="X2539" s="13">
        <v>3.801363403320313</v>
      </c>
      <c r="Y2539" s="13">
        <v>0.157976557155738</v>
      </c>
      <c r="Z2539" s="68">
        <v>4.1557867637109593E-2</v>
      </c>
    </row>
    <row r="2540" spans="1:26" x14ac:dyDescent="0.2">
      <c r="A2540" s="1">
        <v>2538</v>
      </c>
      <c r="B2540" s="2" t="s">
        <v>540</v>
      </c>
      <c r="C2540" s="79" t="str">
        <f>HYPERLINK(AB2 &amp; "/screwdriver/sn_91b2aa09148e3866e97426e55fb77981/rendering/00.obj", "1.09957230091")</f>
        <v>1.09957230091</v>
      </c>
      <c r="D2540" s="37" t="str">
        <f>HYPERLINK(AB2 &amp; "/screwdriver/sn_91b2aa09148e3866e97426e55fb77981/rendering/01.obj", "1.52983474731")</f>
        <v>1.52983474731</v>
      </c>
      <c r="E2540" s="90" t="str">
        <f>HYPERLINK(AB2 &amp; "/screwdriver/sn_91b2aa09148e3866e97426e55fb77981/rendering/02.obj", "1.18093597889")</f>
        <v>1.18093597889</v>
      </c>
      <c r="F2540" s="23" t="str">
        <f>HYPERLINK(AB2 &amp; "/screwdriver/sn_91b2aa09148e3866e97426e55fb77981/rendering/03.obj", "1.25454282761")</f>
        <v>1.25454282761</v>
      </c>
      <c r="G2540" s="84" t="str">
        <f>HYPERLINK(AB2 &amp; "/screwdriver/sn_91b2aa09148e3866e97426e55fb77981/rendering/04.obj", "1.11624908447")</f>
        <v>1.11624908447</v>
      </c>
      <c r="H2540" s="67" t="str">
        <f>HYPERLINK(AB2 &amp; "/screwdriver/sn_91b2aa09148e3866e97426e55fb77981/rendering/05.obj", "1.18237829208")</f>
        <v>1.18237829208</v>
      </c>
      <c r="I2540" s="107" t="str">
        <f>HYPERLINK(AB2 &amp; "/screwdriver/sn_91b2aa09148e3866e97426e55fb77981/rendering/06.obj", "1.41204476357")</f>
        <v>1.41204476357</v>
      </c>
      <c r="J2540" s="66" t="str">
        <f>HYPERLINK(AB2 &amp; "/screwdriver/sn_91b2aa09148e3866e97426e55fb77981/rendering/07.obj", "1.09587574005")</f>
        <v>1.09587574005</v>
      </c>
      <c r="K2540" s="55" t="str">
        <f>HYPERLINK(AB2 &amp; "/screwdriver/sn_91b2aa09148e3866e97426e55fb77981/rendering/08.obj", "1.05415582657")</f>
        <v>1.05415582657</v>
      </c>
      <c r="L2540" s="46" t="str">
        <f>HYPERLINK(AB2 &amp; "/screwdriver/sn_91b2aa09148e3866e97426e55fb77981/rendering/09.obj", "1.32730865479")</f>
        <v>1.32730865479</v>
      </c>
      <c r="M2540" s="73" t="str">
        <f>HYPERLINK(AB2 &amp; "/screwdriver/sn_91b2aa09148e3866e97426e55fb77981/rendering/10.obj", "1.25719952583")</f>
        <v>1.25719952583</v>
      </c>
      <c r="N2540" s="32" t="str">
        <f>HYPERLINK(AB2 &amp; "/screwdriver/sn_91b2aa09148e3866e97426e55fb77981/rendering/11.obj", "1.44162249565")</f>
        <v>1.44162249565</v>
      </c>
      <c r="O2540" s="86" t="str">
        <f>HYPERLINK(AB2 &amp; "/screwdriver/sn_91b2aa09148e3866e97426e55fb77981/rendering/12.obj", "1.65378808975")</f>
        <v>1.65378808975</v>
      </c>
      <c r="P2540" s="5" t="str">
        <f>HYPERLINK(AB2 &amp; "/screwdriver/sn_91b2aa09148e3866e97426e55fb77981/rendering/13.obj", "1.20432710648")</f>
        <v>1.20432710648</v>
      </c>
      <c r="Q2540" s="78" t="str">
        <f>HYPERLINK(AB2 &amp; "/screwdriver/sn_91b2aa09148e3866e97426e55fb77981/rendering/14.obj", "1.22340607643")</f>
        <v>1.22340607643</v>
      </c>
      <c r="R2540" s="92" t="str">
        <f>HYPERLINK(AB2 &amp; "/screwdriver/sn_91b2aa09148e3866e97426e55fb77981/rendering/15.obj", "1.4659589529")</f>
        <v>1.4659589529</v>
      </c>
      <c r="S2540" s="32" t="str">
        <f>HYPERLINK(AB2 &amp; "/screwdriver/sn_91b2aa09148e3866e97426e55fb77981/rendering/16.obj", "1.43980932236")</f>
        <v>1.43980932236</v>
      </c>
      <c r="T2540" s="65" t="str">
        <f>HYPERLINK(AB2 &amp; "/screwdriver/sn_91b2aa09148e3866e97426e55fb77981/rendering/17.obj", "1.12950193882")</f>
        <v>1.12950193882</v>
      </c>
      <c r="U2540" s="43" t="str">
        <f>HYPERLINK(AB2 &amp; "/screwdriver/sn_91b2aa09148e3866e97426e55fb77981/rendering/18.obj", "1.79202759266")</f>
        <v>1.79202759266</v>
      </c>
      <c r="V2540" s="10" t="str">
        <f>HYPERLINK(AB2 &amp; "/screwdriver/sn_91b2aa09148e3866e97426e55fb77981/rendering/19.obj", "1.23293757439")</f>
        <v>1.23293757439</v>
      </c>
      <c r="W2540" s="12" t="s">
        <v>32</v>
      </c>
      <c r="X2540" s="13">
        <v>1.3046738445758821</v>
      </c>
      <c r="Y2540" s="13">
        <v>0.19450295462066081</v>
      </c>
      <c r="Z2540" s="80">
        <v>0.1490816692840877</v>
      </c>
    </row>
    <row r="2541" spans="1:26" x14ac:dyDescent="0.2">
      <c r="A2541" s="1">
        <v>2539</v>
      </c>
      <c r="B2541" s="2" t="s">
        <v>540</v>
      </c>
      <c r="C2541" s="13" t="str">
        <f>HYPERLINK(AC2 &amp; "/screwdriver/sn_91b2aa09148e3866e97426e55fb77981/rendering/00.xyz", "0.0")</f>
        <v>0.0</v>
      </c>
      <c r="D2541" s="13" t="str">
        <f>HYPERLINK(AC2 &amp; "/screwdriver/sn_91b2aa09148e3866e97426e55fb77981/rendering/01.xyz", "0.0")</f>
        <v>0.0</v>
      </c>
      <c r="E2541" s="13" t="str">
        <f>HYPERLINK(AC2 &amp; "/screwdriver/sn_91b2aa09148e3866e97426e55fb77981/rendering/02.xyz", "0.0")</f>
        <v>0.0</v>
      </c>
      <c r="F2541" s="13" t="str">
        <f>HYPERLINK(AC2 &amp; "/screwdriver/sn_91b2aa09148e3866e97426e55fb77981/rendering/03.xyz", "0.0")</f>
        <v>0.0</v>
      </c>
      <c r="G2541" s="13" t="str">
        <f>HYPERLINK(AC2 &amp; "/screwdriver/sn_91b2aa09148e3866e97426e55fb77981/rendering/04.xyz", "0.0")</f>
        <v>0.0</v>
      </c>
      <c r="H2541" s="13" t="str">
        <f>HYPERLINK(AC2 &amp; "/screwdriver/sn_91b2aa09148e3866e97426e55fb77981/rendering/05.xyz", "0.0")</f>
        <v>0.0</v>
      </c>
      <c r="I2541" s="13" t="str">
        <f>HYPERLINK(AC2 &amp; "/screwdriver/sn_91b2aa09148e3866e97426e55fb77981/rendering/06.xyz", "0.0")</f>
        <v>0.0</v>
      </c>
      <c r="J2541" s="13" t="str">
        <f>HYPERLINK(AC2 &amp; "/screwdriver/sn_91b2aa09148e3866e97426e55fb77981/rendering/07.xyz", "0.0")</f>
        <v>0.0</v>
      </c>
      <c r="K2541" s="13" t="str">
        <f>HYPERLINK(AC2 &amp; "/screwdriver/sn_91b2aa09148e3866e97426e55fb77981/rendering/08.xyz", "0.0")</f>
        <v>0.0</v>
      </c>
      <c r="L2541" s="13" t="str">
        <f>HYPERLINK(AC2 &amp; "/screwdriver/sn_91b2aa09148e3866e97426e55fb77981/rendering/09.xyz", "0.0")</f>
        <v>0.0</v>
      </c>
      <c r="M2541" s="13" t="str">
        <f>HYPERLINK(AC2 &amp; "/screwdriver/sn_91b2aa09148e3866e97426e55fb77981/rendering/10.xyz", "0.0")</f>
        <v>0.0</v>
      </c>
      <c r="N2541" s="13" t="str">
        <f>HYPERLINK(AC2 &amp; "/screwdriver/sn_91b2aa09148e3866e97426e55fb77981/rendering/11.xyz", "0.0")</f>
        <v>0.0</v>
      </c>
      <c r="O2541" s="13" t="str">
        <f>HYPERLINK(AC2 &amp; "/screwdriver/sn_91b2aa09148e3866e97426e55fb77981/rendering/12.xyz", "0.0")</f>
        <v>0.0</v>
      </c>
      <c r="P2541" s="13" t="str">
        <f>HYPERLINK(AC2 &amp; "/screwdriver/sn_91b2aa09148e3866e97426e55fb77981/rendering/13.xyz", "0.0")</f>
        <v>0.0</v>
      </c>
      <c r="Q2541" s="13" t="str">
        <f>HYPERLINK(AC2 &amp; "/screwdriver/sn_91b2aa09148e3866e97426e55fb77981/rendering/14.xyz", "0.0")</f>
        <v>0.0</v>
      </c>
      <c r="R2541" s="13" t="str">
        <f>HYPERLINK(AC2 &amp; "/screwdriver/sn_91b2aa09148e3866e97426e55fb77981/rendering/15.xyz", "0.0")</f>
        <v>0.0</v>
      </c>
      <c r="S2541" s="13" t="str">
        <f>HYPERLINK(AC2 &amp; "/screwdriver/sn_91b2aa09148e3866e97426e55fb77981/rendering/16.xyz", "0.0")</f>
        <v>0.0</v>
      </c>
      <c r="T2541" s="13" t="str">
        <f>HYPERLINK(AC2 &amp; "/screwdriver/sn_91b2aa09148e3866e97426e55fb77981/rendering/17.xyz", "0.0")</f>
        <v>0.0</v>
      </c>
      <c r="U2541" s="13" t="str">
        <f>HYPERLINK(AC2 &amp; "/screwdriver/sn_91b2aa09148e3866e97426e55fb77981/rendering/18.xyz", "0.0")</f>
        <v>0.0</v>
      </c>
      <c r="V2541" s="13" t="str">
        <f>HYPERLINK(AC2 &amp; "/screwdriver/sn_91b2aa09148e3866e97426e55fb77981/rendering/19.xyz", "0.0")</f>
        <v>0.0</v>
      </c>
      <c r="W2541" s="12" t="s">
        <v>33</v>
      </c>
      <c r="X2541" s="13">
        <v>0</v>
      </c>
      <c r="Y2541" s="13">
        <v>0</v>
      </c>
      <c r="Z2541" s="13">
        <v>0</v>
      </c>
    </row>
    <row r="2542" spans="1:26" x14ac:dyDescent="0.2">
      <c r="A2542" s="1">
        <v>2540</v>
      </c>
      <c r="B2542" s="2" t="s">
        <v>541</v>
      </c>
      <c r="C2542" s="92" t="str">
        <f>HYPERLINK(AA2 &amp; "/screwdriver/sn_99e21e6b78b6d38a5901d93c937a07e/rendering/00.obj", "2.50156616211")</f>
        <v>2.50156616211</v>
      </c>
      <c r="D2542" s="124" t="str">
        <f>HYPERLINK(AA2 &amp; "/screwdriver/sn_99e21e6b78b6d38a5901d93c937a07e/rendering/01.obj", "3.93477966309")</f>
        <v>3.93477966309</v>
      </c>
      <c r="E2542" s="39" t="str">
        <f>HYPERLINK(AA2 &amp; "/screwdriver/sn_99e21e6b78b6d38a5901d93c937a07e/rendering/02.obj", "2.60335144043")</f>
        <v>2.60335144043</v>
      </c>
      <c r="F2542" s="64" t="str">
        <f>HYPERLINK(AA2 &amp; "/screwdriver/sn_99e21e6b78b6d38a5901d93c937a07e/rendering/03.obj", "3.31938110352")</f>
        <v>3.31938110352</v>
      </c>
      <c r="G2542" s="13" t="str">
        <f>HYPERLINK(AA2 &amp; "/screwdriver/sn_99e21e6b78b6d38a5901d93c937a07e/rendering/04.obj", "2.85497589111")</f>
        <v>2.85497589111</v>
      </c>
      <c r="H2542" s="23" t="str">
        <f>HYPERLINK(AA2 &amp; "/screwdriver/sn_99e21e6b78b6d38a5901d93c937a07e/rendering/05.obj", "2.96135467529")</f>
        <v>2.96135467529</v>
      </c>
      <c r="I2542" s="78" t="str">
        <f>HYPERLINK(AA2 &amp; "/screwdriver/sn_99e21e6b78b6d38a5901d93c937a07e/rendering/06.obj", "2.6737121582")</f>
        <v>2.6737121582</v>
      </c>
      <c r="J2542" s="72" t="str">
        <f>HYPERLINK(AA2 &amp; "/screwdriver/sn_99e21e6b78b6d38a5901d93c937a07e/rendering/07.obj", "2.94058105469")</f>
        <v>2.94058105469</v>
      </c>
      <c r="K2542" s="34" t="str">
        <f>HYPERLINK(AA2 &amp; "/screwdriver/sn_99e21e6b78b6d38a5901d93c937a07e/rendering/08.obj", "2.99342376709")</f>
        <v>2.99342376709</v>
      </c>
      <c r="L2542" s="64" t="str">
        <f>HYPERLINK(AA2 &amp; "/screwdriver/sn_99e21e6b78b6d38a5901d93c937a07e/rendering/09.obj", "3.32327636719")</f>
        <v>3.32327636719</v>
      </c>
      <c r="M2542" s="39" t="str">
        <f>HYPERLINK(AA2 &amp; "/screwdriver/sn_99e21e6b78b6d38a5901d93c937a07e/rendering/10.obj", "2.60132568359")</f>
        <v>2.60132568359</v>
      </c>
      <c r="N2542" s="10" t="str">
        <f>HYPERLINK(AA2 &amp; "/screwdriver/sn_99e21e6b78b6d38a5901d93c937a07e/rendering/11.obj", "2.69017150879")</f>
        <v>2.69017150879</v>
      </c>
      <c r="O2542" s="90" t="str">
        <f>HYPERLINK(AA2 &amp; "/screwdriver/sn_99e21e6b78b6d38a5901d93c937a07e/rendering/12.obj", "2.57490905762")</f>
        <v>2.57490905762</v>
      </c>
      <c r="P2542" s="91" t="str">
        <f>HYPERLINK(AA2 &amp; "/screwdriver/sn_99e21e6b78b6d38a5901d93c937a07e/rendering/13.obj", "2.77583587646")</f>
        <v>2.77583587646</v>
      </c>
      <c r="Q2542" s="67" t="str">
        <f>HYPERLINK(AA2 &amp; "/screwdriver/sn_99e21e6b78b6d38a5901d93c937a07e/rendering/14.obj", "2.58789306641")</f>
        <v>2.58789306641</v>
      </c>
      <c r="R2542" s="23" t="str">
        <f>HYPERLINK(AA2 &amp; "/screwdriver/sn_99e21e6b78b6d38a5901d93c937a07e/rendering/15.obj", "2.96061035156")</f>
        <v>2.96061035156</v>
      </c>
      <c r="S2542" s="67" t="str">
        <f>HYPERLINK(AA2 &amp; "/screwdriver/sn_99e21e6b78b6d38a5901d93c937a07e/rendering/16.obj", "2.58584472656")</f>
        <v>2.58584472656</v>
      </c>
      <c r="T2542" s="23" t="str">
        <f>HYPERLINK(AA2 &amp; "/screwdriver/sn_99e21e6b78b6d38a5901d93c937a07e/rendering/17.obj", "2.73440460205")</f>
        <v>2.73440460205</v>
      </c>
      <c r="U2542" s="39" t="str">
        <f>HYPERLINK(AA2 &amp; "/screwdriver/sn_99e21e6b78b6d38a5901d93c937a07e/rendering/18.obj", "2.60477355957")</f>
        <v>2.60477355957</v>
      </c>
      <c r="V2542" s="17" t="str">
        <f>HYPERLINK(AA2 &amp; "/screwdriver/sn_99e21e6b78b6d38a5901d93c937a07e/rendering/19.obj", "2.78868896484")</f>
        <v>2.78868896484</v>
      </c>
      <c r="W2542" s="12" t="s">
        <v>29</v>
      </c>
      <c r="X2542" s="13">
        <v>2.850542984008789</v>
      </c>
      <c r="Y2542" s="13">
        <v>0.33705330425610192</v>
      </c>
      <c r="Z2542" s="71">
        <v>0.1182417897737137</v>
      </c>
    </row>
    <row r="2543" spans="1:26" x14ac:dyDescent="0.2">
      <c r="A2543" s="1">
        <v>2541</v>
      </c>
      <c r="B2543" s="2" t="s">
        <v>541</v>
      </c>
      <c r="C2543" s="23" t="str">
        <f>HYPERLINK(AA2 &amp; "/screwdriver/sn_99e21e6b78b6d38a5901d93c937a07e/rendering/00.obj", "1.5100826025")</f>
        <v>1.5100826025</v>
      </c>
      <c r="D2543" s="142" t="str">
        <f>HYPERLINK(AA2 &amp; "/screwdriver/sn_99e21e6b78b6d38a5901d93c937a07e/rendering/01.obj", "2.19080781937")</f>
        <v>2.19080781937</v>
      </c>
      <c r="E2543" s="41" t="str">
        <f>HYPERLINK(AA2 &amp; "/screwdriver/sn_99e21e6b78b6d38a5901d93c937a07e/rendering/02.obj", "1.67452573776")</f>
        <v>1.67452573776</v>
      </c>
      <c r="F2543" s="90" t="str">
        <f>HYPERLINK(AA2 &amp; "/screwdriver/sn_99e21e6b78b6d38a5901d93c937a07e/rendering/03.obj", "1.7229719162")</f>
        <v>1.7229719162</v>
      </c>
      <c r="G2543" s="110" t="str">
        <f>HYPERLINK(AA2 &amp; "/screwdriver/sn_99e21e6b78b6d38a5901d93c937a07e/rendering/04.obj", "1.41593635082")</f>
        <v>1.41593635082</v>
      </c>
      <c r="H2543" s="48" t="str">
        <f>HYPERLINK(AA2 &amp; "/screwdriver/sn_99e21e6b78b6d38a5901d93c937a07e/rendering/05.obj", "1.53346467018")</f>
        <v>1.53346467018</v>
      </c>
      <c r="I2543" s="68" t="str">
        <f>HYPERLINK(AA2 &amp; "/screwdriver/sn_99e21e6b78b6d38a5901d93c937a07e/rendering/06.obj", "1.50157821178")</f>
        <v>1.50157821178</v>
      </c>
      <c r="J2543" s="94" t="str">
        <f>HYPERLINK(AA2 &amp; "/screwdriver/sn_99e21e6b78b6d38a5901d93c937a07e/rendering/07.obj", "1.45364677906")</f>
        <v>1.45364677906</v>
      </c>
      <c r="K2543" s="30" t="str">
        <f>HYPERLINK(AA2 &amp; "/screwdriver/sn_99e21e6b78b6d38a5901d93c937a07e/rendering/08.obj", "1.57846128941")</f>
        <v>1.57846128941</v>
      </c>
      <c r="L2543" s="71" t="str">
        <f>HYPERLINK(AA2 &amp; "/screwdriver/sn_99e21e6b78b6d38a5901d93c937a07e/rendering/09.obj", "1.75761079788")</f>
        <v>1.75761079788</v>
      </c>
      <c r="M2543" s="26" t="str">
        <f>HYPERLINK(AA2 &amp; "/screwdriver/sn_99e21e6b78b6d38a5901d93c937a07e/rendering/10.obj", "1.47027599812")</f>
        <v>1.47027599812</v>
      </c>
      <c r="N2543" s="26" t="str">
        <f>HYPERLINK(AA2 &amp; "/screwdriver/sn_99e21e6b78b6d38a5901d93c937a07e/rendering/11.obj", "1.47177624702")</f>
        <v>1.47177624702</v>
      </c>
      <c r="O2543" s="10" t="str">
        <f>HYPERLINK(AA2 &amp; "/screwdriver/sn_99e21e6b78b6d38a5901d93c937a07e/rendering/12.obj", "1.48563873768")</f>
        <v>1.48563873768</v>
      </c>
      <c r="P2543" s="34" t="str">
        <f>HYPERLINK(AA2 &amp; "/screwdriver/sn_99e21e6b78b6d38a5901d93c937a07e/rendering/13.obj", "1.49199950695")</f>
        <v>1.49199950695</v>
      </c>
      <c r="Q2543" s="133" t="str">
        <f>HYPERLINK(AA2 &amp; "/screwdriver/sn_99e21e6b78b6d38a5901d93c937a07e/rendering/14.obj", "1.73256659508")</f>
        <v>1.73256659508</v>
      </c>
      <c r="R2543" s="41" t="str">
        <f>HYPERLINK(AA2 &amp; "/screwdriver/sn_99e21e6b78b6d38a5901d93c937a07e/rendering/15.obj", "1.46306025982")</f>
        <v>1.46306025982</v>
      </c>
      <c r="S2543" s="68" t="str">
        <f>HYPERLINK(AA2 &amp; "/screwdriver/sn_99e21e6b78b6d38a5901d93c937a07e/rendering/16.obj", "1.63490974903")</f>
        <v>1.63490974903</v>
      </c>
      <c r="T2543" s="107" t="str">
        <f>HYPERLINK(AA2 &amp; "/screwdriver/sn_99e21e6b78b6d38a5901d93c937a07e/rendering/17.obj", "1.44099164009")</f>
        <v>1.44099164009</v>
      </c>
      <c r="U2543" s="39" t="str">
        <f>HYPERLINK(AA2 &amp; "/screwdriver/sn_99e21e6b78b6d38a5901d93c937a07e/rendering/18.obj", "1.4332215786")</f>
        <v>1.4332215786</v>
      </c>
      <c r="V2543" s="51" t="str">
        <f>HYPERLINK(AA2 &amp; "/screwdriver/sn_99e21e6b78b6d38a5901d93c937a07e/rendering/19.obj", "1.44541406631")</f>
        <v>1.44541406631</v>
      </c>
      <c r="W2543" s="12" t="s">
        <v>30</v>
      </c>
      <c r="X2543" s="13">
        <v>1.5704470276832581</v>
      </c>
      <c r="Y2543" s="13">
        <v>0.1771465567298586</v>
      </c>
      <c r="Z2543" s="28">
        <v>0.1128000840570772</v>
      </c>
    </row>
    <row r="2544" spans="1:26" x14ac:dyDescent="0.2">
      <c r="A2544" s="1">
        <v>2542</v>
      </c>
      <c r="B2544" s="2" t="s">
        <v>541</v>
      </c>
      <c r="C2544" s="23" t="str">
        <f>HYPERLINK(AB2 &amp; "/screwdriver/sn_99e21e6b78b6d38a5901d93c937a07e/rendering/00.obj", "3.24203735352")</f>
        <v>3.24203735352</v>
      </c>
      <c r="D2544" s="91" t="str">
        <f>HYPERLINK(AB2 &amp; "/screwdriver/sn_99e21e6b78b6d38a5901d93c937a07e/rendering/01.obj", "3.27822113037")</f>
        <v>3.27822113037</v>
      </c>
      <c r="E2544" s="48" t="str">
        <f>HYPERLINK(AB2 &amp; "/screwdriver/sn_99e21e6b78b6d38a5901d93c937a07e/rendering/02.obj", "3.45500305176")</f>
        <v>3.45500305176</v>
      </c>
      <c r="F2544" s="91" t="str">
        <f>HYPERLINK(AB2 &amp; "/screwdriver/sn_99e21e6b78b6d38a5901d93c937a07e/rendering/03.obj", "3.28393371582")</f>
        <v>3.28393371582</v>
      </c>
      <c r="G2544" s="48" t="str">
        <f>HYPERLINK(AB2 &amp; "/screwdriver/sn_99e21e6b78b6d38a5901d93c937a07e/rendering/04.obj", "3.29033172607")</f>
        <v>3.29033172607</v>
      </c>
      <c r="H2544" s="38" t="str">
        <f>HYPERLINK(AB2 &amp; "/screwdriver/sn_99e21e6b78b6d38a5901d93c937a07e/rendering/05.obj", "3.67451812744")</f>
        <v>3.67451812744</v>
      </c>
      <c r="I2544" s="17" t="str">
        <f>HYPERLINK(AB2 &amp; "/screwdriver/sn_99e21e6b78b6d38a5901d93c937a07e/rendering/06.obj", "3.30041809082")</f>
        <v>3.30041809082</v>
      </c>
      <c r="J2544" s="13" t="str">
        <f>HYPERLINK(AB2 &amp; "/screwdriver/sn_99e21e6b78b6d38a5901d93c937a07e/rendering/07.obj", "3.38213684082")</f>
        <v>3.38213684082</v>
      </c>
      <c r="K2544" s="46" t="str">
        <f>HYPERLINK(AB2 &amp; "/screwdriver/sn_99e21e6b78b6d38a5901d93c937a07e/rendering/08.obj", "3.31256164551")</f>
        <v>3.31256164551</v>
      </c>
      <c r="L2544" s="10" t="str">
        <f>HYPERLINK(AB2 &amp; "/screwdriver/sn_99e21e6b78b6d38a5901d93c937a07e/rendering/09.obj", "3.55829284668")</f>
        <v>3.55829284668</v>
      </c>
      <c r="M2544" s="47" t="str">
        <f>HYPERLINK(AB2 &amp; "/screwdriver/sn_99e21e6b78b6d38a5901d93c937a07e/rendering/10.obj", "3.40220794678")</f>
        <v>3.40220794678</v>
      </c>
      <c r="N2544" s="78" t="str">
        <f>HYPERLINK(AB2 &amp; "/screwdriver/sn_99e21e6b78b6d38a5901d93c937a07e/rendering/11.obj", "3.16887054443")</f>
        <v>3.16887054443</v>
      </c>
      <c r="O2544" s="17" t="str">
        <f>HYPERLINK(AB2 &amp; "/screwdriver/sn_99e21e6b78b6d38a5901d93c937a07e/rendering/12.obj", "3.30419342041")</f>
        <v>3.30419342041</v>
      </c>
      <c r="P2544" s="46" t="str">
        <f>HYPERLINK(AB2 &amp; "/screwdriver/sn_99e21e6b78b6d38a5901d93c937a07e/rendering/13.obj", "3.43094055176")</f>
        <v>3.43094055176</v>
      </c>
      <c r="Q2544" s="30" t="str">
        <f>HYPERLINK(AB2 &amp; "/screwdriver/sn_99e21e6b78b6d38a5901d93c937a07e/rendering/14.obj", "3.35724395752")</f>
        <v>3.35724395752</v>
      </c>
      <c r="R2544" s="38" t="str">
        <f>HYPERLINK(AB2 &amp; "/screwdriver/sn_99e21e6b78b6d38a5901d93c937a07e/rendering/15.obj", "3.67035461426")</f>
        <v>3.67035461426</v>
      </c>
      <c r="S2544" s="30" t="str">
        <f>HYPERLINK(AB2 &amp; "/screwdriver/sn_99e21e6b78b6d38a5901d93c937a07e/rendering/16.obj", "3.3611126709")</f>
        <v>3.3611126709</v>
      </c>
      <c r="T2544" s="6" t="str">
        <f>HYPERLINK(AB2 &amp; "/screwdriver/sn_99e21e6b78b6d38a5901d93c937a07e/rendering/17.obj", "3.21411254883")</f>
        <v>3.21411254883</v>
      </c>
      <c r="U2544" s="25" t="str">
        <f>HYPERLINK(AB2 &amp; "/screwdriver/sn_99e21e6b78b6d38a5901d93c937a07e/rendering/18.obj", "3.4087310791")</f>
        <v>3.4087310791</v>
      </c>
      <c r="V2544" s="30" t="str">
        <f>HYPERLINK(AB2 &amp; "/screwdriver/sn_99e21e6b78b6d38a5901d93c937a07e/rendering/19.obj", "3.35826873779")</f>
        <v>3.35826873779</v>
      </c>
      <c r="W2544" s="12" t="s">
        <v>31</v>
      </c>
      <c r="X2544" s="13">
        <v>3.3726745300292968</v>
      </c>
      <c r="Y2544" s="13">
        <v>0.13191591443483319</v>
      </c>
      <c r="Z2544" s="23">
        <v>3.9113146928437037E-2</v>
      </c>
    </row>
    <row r="2545" spans="1:26" x14ac:dyDescent="0.2">
      <c r="A2545" s="1">
        <v>2543</v>
      </c>
      <c r="B2545" s="2" t="s">
        <v>541</v>
      </c>
      <c r="C2545" s="25" t="str">
        <f>HYPERLINK(AB2 &amp; "/screwdriver/sn_99e21e6b78b6d38a5901d93c937a07e/rendering/00.obj", "1.56441855431")</f>
        <v>1.56441855431</v>
      </c>
      <c r="D2545" s="60" t="str">
        <f>HYPERLINK(AB2 &amp; "/screwdriver/sn_99e21e6b78b6d38a5901d93c937a07e/rendering/01.obj", "1.46658408642")</f>
        <v>1.46658408642</v>
      </c>
      <c r="E2545" s="92" t="str">
        <f>HYPERLINK(AB2 &amp; "/screwdriver/sn_99e21e6b78b6d38a5901d93c937a07e/rendering/02.obj", "1.73797547817")</f>
        <v>1.73797547817</v>
      </c>
      <c r="F2545" s="5" t="str">
        <f>HYPERLINK(AB2 &amp; "/screwdriver/sn_99e21e6b78b6d38a5901d93c937a07e/rendering/03.obj", "1.66462135315")</f>
        <v>1.66462135315</v>
      </c>
      <c r="G2545" s="60" t="str">
        <f>HYPERLINK(AB2 &amp; "/screwdriver/sn_99e21e6b78b6d38a5901d93c937a07e/rendering/04.obj", "1.62505078316")</f>
        <v>1.62505078316</v>
      </c>
      <c r="H2545" s="23" t="str">
        <f>HYPERLINK(AB2 &amp; "/screwdriver/sn_99e21e6b78b6d38a5901d93c937a07e/rendering/05.obj", "1.4858007431")</f>
        <v>1.4858007431</v>
      </c>
      <c r="I2545" s="35" t="str">
        <f>HYPERLINK(AB2 &amp; "/screwdriver/sn_99e21e6b78b6d38a5901d93c937a07e/rendering/06.obj", "1.63459134102")</f>
        <v>1.63459134102</v>
      </c>
      <c r="J2545" s="72" t="str">
        <f>HYPERLINK(AB2 &amp; "/screwdriver/sn_99e21e6b78b6d38a5901d93c937a07e/rendering/07.obj", "1.49642550945")</f>
        <v>1.49642550945</v>
      </c>
      <c r="K2545" s="68" t="str">
        <f>HYPERLINK(AB2 &amp; "/screwdriver/sn_99e21e6b78b6d38a5901d93c937a07e/rendering/08.obj", "1.60969209671")</f>
        <v>1.60969209671</v>
      </c>
      <c r="L2545" s="90" t="str">
        <f>HYPERLINK(AB2 &amp; "/screwdriver/sn_99e21e6b78b6d38a5901d93c937a07e/rendering/09.obj", "1.39744353294")</f>
        <v>1.39744353294</v>
      </c>
      <c r="M2545" s="72" t="str">
        <f>HYPERLINK(AB2 &amp; "/screwdriver/sn_99e21e6b78b6d38a5901d93c937a07e/rendering/10.obj", "1.49581563473")</f>
        <v>1.49581563473</v>
      </c>
      <c r="N2545" s="34" t="str">
        <f>HYPERLINK(AB2 &amp; "/screwdriver/sn_99e21e6b78b6d38a5901d93c937a07e/rendering/11.obj", "1.47310721874")</f>
        <v>1.47310721874</v>
      </c>
      <c r="O2545" s="48" t="str">
        <f>HYPERLINK(AB2 &amp; "/screwdriver/sn_99e21e6b78b6d38a5901d93c937a07e/rendering/12.obj", "1.5808109045")</f>
        <v>1.5808109045</v>
      </c>
      <c r="P2545" s="69" t="str">
        <f>HYPERLINK(AB2 &amp; "/screwdriver/sn_99e21e6b78b6d38a5901d93c937a07e/rendering/13.obj", "1.49798178673")</f>
        <v>1.49798178673</v>
      </c>
      <c r="Q2545" s="6" t="str">
        <f>HYPERLINK(AB2 &amp; "/screwdriver/sn_99e21e6b78b6d38a5901d93c937a07e/rendering/14.obj", "1.61775350571")</f>
        <v>1.61775350571</v>
      </c>
      <c r="R2545" s="107" t="str">
        <f>HYPERLINK(AB2 &amp; "/screwdriver/sn_99e21e6b78b6d38a5901d93c937a07e/rendering/15.obj", "1.41650152206")</f>
        <v>1.41650152206</v>
      </c>
      <c r="S2545" s="25" t="str">
        <f>HYPERLINK(AB2 &amp; "/screwdriver/sn_99e21e6b78b6d38a5901d93c937a07e/rendering/16.obj", "1.53090727329")</f>
        <v>1.53090727329</v>
      </c>
      <c r="T2545" s="48" t="str">
        <f>HYPERLINK(AB2 &amp; "/screwdriver/sn_99e21e6b78b6d38a5901d93c937a07e/rendering/17.obj", "1.51162970066")</f>
        <v>1.51162970066</v>
      </c>
      <c r="U2545" s="41" t="str">
        <f>HYPERLINK(AB2 &amp; "/screwdriver/sn_99e21e6b78b6d38a5901d93c937a07e/rendering/18.obj", "1.65032744408")</f>
        <v>1.65032744408</v>
      </c>
      <c r="V2545" s="60" t="str">
        <f>HYPERLINK(AB2 &amp; "/screwdriver/sn_99e21e6b78b6d38a5901d93c937a07e/rendering/19.obj", "1.46855521202")</f>
        <v>1.46855521202</v>
      </c>
      <c r="W2545" s="12" t="s">
        <v>32</v>
      </c>
      <c r="X2545" s="13">
        <v>1.546299684047699</v>
      </c>
      <c r="Y2545" s="13">
        <v>8.8157103976549647E-2</v>
      </c>
      <c r="Z2545" s="35">
        <v>5.7011654911409942E-2</v>
      </c>
    </row>
    <row r="2546" spans="1:26" x14ac:dyDescent="0.2">
      <c r="A2546" s="1">
        <v>2544</v>
      </c>
      <c r="B2546" s="2" t="s">
        <v>541</v>
      </c>
      <c r="C2546" s="13" t="str">
        <f>HYPERLINK(AC2 &amp; "/screwdriver/sn_99e21e6b78b6d38a5901d93c937a07e/rendering/00.xyz", "0.0")</f>
        <v>0.0</v>
      </c>
      <c r="D2546" s="13" t="str">
        <f>HYPERLINK(AC2 &amp; "/screwdriver/sn_99e21e6b78b6d38a5901d93c937a07e/rendering/01.xyz", "0.0")</f>
        <v>0.0</v>
      </c>
      <c r="E2546" s="13" t="str">
        <f>HYPERLINK(AC2 &amp; "/screwdriver/sn_99e21e6b78b6d38a5901d93c937a07e/rendering/02.xyz", "0.0")</f>
        <v>0.0</v>
      </c>
      <c r="F2546" s="13" t="str">
        <f>HYPERLINK(AC2 &amp; "/screwdriver/sn_99e21e6b78b6d38a5901d93c937a07e/rendering/03.xyz", "0.0")</f>
        <v>0.0</v>
      </c>
      <c r="G2546" s="13" t="str">
        <f>HYPERLINK(AC2 &amp; "/screwdriver/sn_99e21e6b78b6d38a5901d93c937a07e/rendering/04.xyz", "0.0")</f>
        <v>0.0</v>
      </c>
      <c r="H2546" s="13" t="str">
        <f>HYPERLINK(AC2 &amp; "/screwdriver/sn_99e21e6b78b6d38a5901d93c937a07e/rendering/05.xyz", "0.0")</f>
        <v>0.0</v>
      </c>
      <c r="I2546" s="13" t="str">
        <f>HYPERLINK(AC2 &amp; "/screwdriver/sn_99e21e6b78b6d38a5901d93c937a07e/rendering/06.xyz", "0.0")</f>
        <v>0.0</v>
      </c>
      <c r="J2546" s="13" t="str">
        <f>HYPERLINK(AC2 &amp; "/screwdriver/sn_99e21e6b78b6d38a5901d93c937a07e/rendering/07.xyz", "0.0")</f>
        <v>0.0</v>
      </c>
      <c r="K2546" s="13" t="str">
        <f>HYPERLINK(AC2 &amp; "/screwdriver/sn_99e21e6b78b6d38a5901d93c937a07e/rendering/08.xyz", "0.0")</f>
        <v>0.0</v>
      </c>
      <c r="L2546" s="13" t="str">
        <f>HYPERLINK(AC2 &amp; "/screwdriver/sn_99e21e6b78b6d38a5901d93c937a07e/rendering/09.xyz", "0.0")</f>
        <v>0.0</v>
      </c>
      <c r="M2546" s="13" t="str">
        <f>HYPERLINK(AC2 &amp; "/screwdriver/sn_99e21e6b78b6d38a5901d93c937a07e/rendering/10.xyz", "0.0")</f>
        <v>0.0</v>
      </c>
      <c r="N2546" s="13" t="str">
        <f>HYPERLINK(AC2 &amp; "/screwdriver/sn_99e21e6b78b6d38a5901d93c937a07e/rendering/11.xyz", "0.0")</f>
        <v>0.0</v>
      </c>
      <c r="O2546" s="13" t="str">
        <f>HYPERLINK(AC2 &amp; "/screwdriver/sn_99e21e6b78b6d38a5901d93c937a07e/rendering/12.xyz", "0.0")</f>
        <v>0.0</v>
      </c>
      <c r="P2546" s="13" t="str">
        <f>HYPERLINK(AC2 &amp; "/screwdriver/sn_99e21e6b78b6d38a5901d93c937a07e/rendering/13.xyz", "0.0")</f>
        <v>0.0</v>
      </c>
      <c r="Q2546" s="13" t="str">
        <f>HYPERLINK(AC2 &amp; "/screwdriver/sn_99e21e6b78b6d38a5901d93c937a07e/rendering/14.xyz", "0.0")</f>
        <v>0.0</v>
      </c>
      <c r="R2546" s="13" t="str">
        <f>HYPERLINK(AC2 &amp; "/screwdriver/sn_99e21e6b78b6d38a5901d93c937a07e/rendering/15.xyz", "0.0")</f>
        <v>0.0</v>
      </c>
      <c r="S2546" s="13" t="str">
        <f>HYPERLINK(AC2 &amp; "/screwdriver/sn_99e21e6b78b6d38a5901d93c937a07e/rendering/16.xyz", "0.0")</f>
        <v>0.0</v>
      </c>
      <c r="T2546" s="13" t="str">
        <f>HYPERLINK(AC2 &amp; "/screwdriver/sn_99e21e6b78b6d38a5901d93c937a07e/rendering/17.xyz", "0.0")</f>
        <v>0.0</v>
      </c>
      <c r="U2546" s="13" t="str">
        <f>HYPERLINK(AC2 &amp; "/screwdriver/sn_99e21e6b78b6d38a5901d93c937a07e/rendering/18.xyz", "0.0")</f>
        <v>0.0</v>
      </c>
      <c r="V2546" s="13" t="str">
        <f>HYPERLINK(AC2 &amp; "/screwdriver/sn_99e21e6b78b6d38a5901d93c937a07e/rendering/19.xyz", "0.0")</f>
        <v>0.0</v>
      </c>
      <c r="W2546" s="12" t="s">
        <v>33</v>
      </c>
      <c r="X2546" s="13">
        <v>0</v>
      </c>
      <c r="Y2546" s="13">
        <v>0</v>
      </c>
      <c r="Z2546" s="13">
        <v>0</v>
      </c>
    </row>
    <row r="2547" spans="1:26" x14ac:dyDescent="0.2">
      <c r="A2547" s="1">
        <v>2545</v>
      </c>
      <c r="B2547" s="2" t="s">
        <v>542</v>
      </c>
      <c r="C2547" s="35" t="str">
        <f>HYPERLINK(AA2 &amp; "/screwdriver/sn_9a65ee8f544ce558965094dba2eb878a/rendering/00.obj", "2.59608886719")</f>
        <v>2.59608886719</v>
      </c>
      <c r="D2547" s="91" t="str">
        <f>HYPERLINK(AA2 &amp; "/screwdriver/sn_9a65ee8f544ce558965094dba2eb878a/rendering/01.obj", "2.68210510254")</f>
        <v>2.68210510254</v>
      </c>
      <c r="E2547" s="34" t="str">
        <f>HYPERLINK(AA2 &amp; "/screwdriver/sn_9a65ee8f544ce558965094dba2eb878a/rendering/02.obj", "2.61693115234")</f>
        <v>2.61693115234</v>
      </c>
      <c r="F2547" s="17" t="str">
        <f>HYPERLINK(AA2 &amp; "/screwdriver/sn_9a65ee8f544ce558965094dba2eb878a/rendering/03.obj", "2.81140991211")</f>
        <v>2.81140991211</v>
      </c>
      <c r="G2547" s="90" t="str">
        <f>HYPERLINK(AA2 &amp; "/screwdriver/sn_9a65ee8f544ce558965094dba2eb878a/rendering/04.obj", "3.01694091797")</f>
        <v>3.01694091797</v>
      </c>
      <c r="H2547" s="23" t="str">
        <f>HYPERLINK(AA2 &amp; "/screwdriver/sn_9a65ee8f544ce558965094dba2eb878a/rendering/05.obj", "2.86461853027")</f>
        <v>2.86461853027</v>
      </c>
      <c r="I2547" s="74" t="str">
        <f>HYPERLINK(AA2 &amp; "/screwdriver/sn_9a65ee8f544ce558965094dba2eb878a/rendering/06.obj", "2.71798034668")</f>
        <v>2.71798034668</v>
      </c>
      <c r="J2547" s="35" t="str">
        <f>HYPERLINK(AA2 &amp; "/screwdriver/sn_9a65ee8f544ce558965094dba2eb878a/rendering/07.obj", "2.59847900391")</f>
        <v>2.59847900391</v>
      </c>
      <c r="K2547" s="60" t="str">
        <f>HYPERLINK(AA2 &amp; "/screwdriver/sn_9a65ee8f544ce558965094dba2eb878a/rendering/08.obj", "2.61056335449")</f>
        <v>2.61056335449</v>
      </c>
      <c r="L2547" s="23" t="str">
        <f>HYPERLINK(AA2 &amp; "/screwdriver/sn_9a65ee8f544ce558965094dba2eb878a/rendering/09.obj", "2.64978027344")</f>
        <v>2.64978027344</v>
      </c>
      <c r="M2547" s="13" t="str">
        <f>HYPERLINK(AA2 &amp; "/screwdriver/sn_9a65ee8f544ce558965094dba2eb878a/rendering/10.obj", "2.74991119385")</f>
        <v>2.74991119385</v>
      </c>
      <c r="N2547" s="84" t="str">
        <f>HYPERLINK(AA2 &amp; "/screwdriver/sn_9a65ee8f544ce558965094dba2eb878a/rendering/11.obj", "2.35715637207")</f>
        <v>2.35715637207</v>
      </c>
      <c r="O2547" s="5" t="str">
        <f>HYPERLINK(AA2 &amp; "/screwdriver/sn_9a65ee8f544ce558965094dba2eb878a/rendering/12.obj", "2.96326965332")</f>
        <v>2.96326965332</v>
      </c>
      <c r="P2547" s="8" t="str">
        <f>HYPERLINK(AA2 &amp; "/screwdriver/sn_9a65ee8f544ce558965094dba2eb878a/rendering/13.obj", "3.1453314209")</f>
        <v>3.1453314209</v>
      </c>
      <c r="Q2547" s="48" t="str">
        <f>HYPERLINK(AA2 &amp; "/screwdriver/sn_9a65ee8f544ce558965094dba2eb878a/rendering/14.obj", "2.68678039551")</f>
        <v>2.68678039551</v>
      </c>
      <c r="R2547" s="10" t="str">
        <f>HYPERLINK(AA2 &amp; "/screwdriver/sn_9a65ee8f544ce558965094dba2eb878a/rendering/15.obj", "2.60174499512")</f>
        <v>2.60174499512</v>
      </c>
      <c r="S2547" s="30" t="str">
        <f>HYPERLINK(AA2 &amp; "/screwdriver/sn_9a65ee8f544ce558965094dba2eb878a/rendering/16.obj", "2.76869384766")</f>
        <v>2.76869384766</v>
      </c>
      <c r="T2547" s="90" t="str">
        <f>HYPERLINK(AA2 &amp; "/screwdriver/sn_9a65ee8f544ce558965094dba2eb878a/rendering/17.obj", "3.018359375")</f>
        <v>3.018359375</v>
      </c>
      <c r="U2547" s="5" t="str">
        <f>HYPERLINK(AA2 &amp; "/screwdriver/sn_9a65ee8f544ce558965094dba2eb878a/rendering/18.obj", "2.96756530762")</f>
        <v>2.96756530762</v>
      </c>
      <c r="V2547" s="69" t="str">
        <f>HYPERLINK(AA2 &amp; "/screwdriver/sn_9a65ee8f544ce558965094dba2eb878a/rendering/19.obj", "2.6739074707")</f>
        <v>2.6739074707</v>
      </c>
      <c r="W2547" s="12" t="s">
        <v>29</v>
      </c>
      <c r="X2547" s="13">
        <v>2.7548808746337889</v>
      </c>
      <c r="Y2547" s="13">
        <v>0.1863772934569802</v>
      </c>
      <c r="Z2547" s="41">
        <v>6.7653485554708667E-2</v>
      </c>
    </row>
    <row r="2548" spans="1:26" x14ac:dyDescent="0.2">
      <c r="A2548" s="1">
        <v>2546</v>
      </c>
      <c r="B2548" s="2" t="s">
        <v>542</v>
      </c>
      <c r="C2548" s="23" t="str">
        <f>HYPERLINK(AA2 &amp; "/screwdriver/sn_9a65ee8f544ce558965094dba2eb878a/rendering/00.obj", "1.05325114727")</f>
        <v>1.05325114727</v>
      </c>
      <c r="D2548" s="27" t="str">
        <f>HYPERLINK(AA2 &amp; "/screwdriver/sn_9a65ee8f544ce558965094dba2eb878a/rendering/01.obj", "1.0204795599")</f>
        <v>1.0204795599</v>
      </c>
      <c r="E2548" s="13" t="str">
        <f>HYPERLINK(AA2 &amp; "/screwdriver/sn_9a65ee8f544ce558965094dba2eb878a/rendering/02.obj", "1.09559381008")</f>
        <v>1.09559381008</v>
      </c>
      <c r="F2548" s="33" t="str">
        <f>HYPERLINK(AA2 &amp; "/screwdriver/sn_9a65ee8f544ce558965094dba2eb878a/rendering/03.obj", "0.977596580982")</f>
        <v>0.977596580982</v>
      </c>
      <c r="G2548" s="75" t="str">
        <f>HYPERLINK(AA2 &amp; "/screwdriver/sn_9a65ee8f544ce558965094dba2eb878a/rendering/04.obj", "1.33936858177")</f>
        <v>1.33936858177</v>
      </c>
      <c r="H2548" s="90" t="str">
        <f>HYPERLINK(AA2 &amp; "/screwdriver/sn_9a65ee8f544ce558965094dba2eb878a/rendering/05.obj", "0.991074860096")</f>
        <v>0.991074860096</v>
      </c>
      <c r="I2548" s="99" t="str">
        <f>HYPERLINK(AA2 &amp; "/screwdriver/sn_9a65ee8f544ce558965094dba2eb878a/rendering/06.obj", "1.3940885067")</f>
        <v>1.3940885067</v>
      </c>
      <c r="J2548" s="106" t="str">
        <f>HYPERLINK(AA2 &amp; "/screwdriver/sn_9a65ee8f544ce558965094dba2eb878a/rendering/07.obj", "0.97195994854")</f>
        <v>0.97195994854</v>
      </c>
      <c r="K2548" s="47" t="str">
        <f>HYPERLINK(AA2 &amp; "/screwdriver/sn_9a65ee8f544ce558965094dba2eb878a/rendering/08.obj", "1.10500025749")</f>
        <v>1.10500025749</v>
      </c>
      <c r="L2548" s="29" t="str">
        <f>HYPERLINK(AA2 &amp; "/screwdriver/sn_9a65ee8f544ce558965094dba2eb878a/rendering/09.obj", "0.953624904156")</f>
        <v>0.953624904156</v>
      </c>
      <c r="M2548" s="17" t="str">
        <f>HYPERLINK(AA2 &amp; "/screwdriver/sn_9a65ee8f544ce558965094dba2eb878a/rendering/10.obj", "1.07353627682")</f>
        <v>1.07353627682</v>
      </c>
      <c r="N2548" s="42" t="str">
        <f>HYPERLINK(AA2 &amp; "/screwdriver/sn_9a65ee8f544ce558965094dba2eb878a/rendering/11.obj", "1.24594569206")</f>
        <v>1.24594569206</v>
      </c>
      <c r="O2548" s="94" t="str">
        <f>HYPERLINK(AA2 &amp; "/screwdriver/sn_9a65ee8f544ce558965094dba2eb878a/rendering/12.obj", "1.01626586914")</f>
        <v>1.01626586914</v>
      </c>
      <c r="P2548" s="35" t="str">
        <f>HYPERLINK(AA2 &amp; "/screwdriver/sn_9a65ee8f544ce558965094dba2eb878a/rendering/13.obj", "1.16152107716")</f>
        <v>1.16152107716</v>
      </c>
      <c r="Q2548" s="6" t="str">
        <f>HYPERLINK(AA2 &amp; "/screwdriver/sn_9a65ee8f544ce558965094dba2eb878a/rendering/14.obj", "1.04871571064")</f>
        <v>1.04871571064</v>
      </c>
      <c r="R2548" s="8" t="str">
        <f>HYPERLINK(AA2 &amp; "/screwdriver/sn_9a65ee8f544ce558965094dba2eb878a/rendering/15.obj", "0.939083695412")</f>
        <v>0.939083695412</v>
      </c>
      <c r="S2548" s="60" t="str">
        <f>HYPERLINK(AA2 &amp; "/screwdriver/sn_9a65ee8f544ce558965094dba2eb878a/rendering/16.obj", "1.04050529003")</f>
        <v>1.04050529003</v>
      </c>
      <c r="T2548" s="63" t="str">
        <f>HYPERLINK(AA2 &amp; "/screwdriver/sn_9a65ee8f544ce558965094dba2eb878a/rendering/17.obj", "1.22833812237")</f>
        <v>1.22833812237</v>
      </c>
      <c r="U2548" s="24" t="str">
        <f>HYPERLINK(AA2 &amp; "/screwdriver/sn_9a65ee8f544ce558965094dba2eb878a/rendering/18.obj", "1.28194725513")</f>
        <v>1.28194725513</v>
      </c>
      <c r="V2548" s="51" t="str">
        <f>HYPERLINK(AA2 &amp; "/screwdriver/sn_9a65ee8f544ce558965094dba2eb878a/rendering/19.obj", "1.01113641262")</f>
        <v>1.01113641262</v>
      </c>
      <c r="W2548" s="12" t="s">
        <v>30</v>
      </c>
      <c r="X2548" s="13">
        <v>1.097451677918434</v>
      </c>
      <c r="Y2548" s="13">
        <v>0.1302322463416756</v>
      </c>
      <c r="Z2548" s="71">
        <v>0.1186678638905455</v>
      </c>
    </row>
    <row r="2549" spans="1:26" x14ac:dyDescent="0.2">
      <c r="A2549" s="1">
        <v>2547</v>
      </c>
      <c r="B2549" s="2" t="s">
        <v>542</v>
      </c>
      <c r="C2549" s="38" t="str">
        <f>HYPERLINK(AB2 &amp; "/screwdriver/sn_9a65ee8f544ce558965094dba2eb878a/rendering/00.obj", "2.59512329102")</f>
        <v>2.59512329102</v>
      </c>
      <c r="D2549" s="38" t="str">
        <f>HYPERLINK(AB2 &amp; "/screwdriver/sn_9a65ee8f544ce558965094dba2eb878a/rendering/01.obj", "2.59239501953")</f>
        <v>2.59239501953</v>
      </c>
      <c r="E2549" s="38" t="str">
        <f>HYPERLINK(AB2 &amp; "/screwdriver/sn_9a65ee8f544ce558965094dba2eb878a/rendering/02.obj", "2.58856719971")</f>
        <v>2.58856719971</v>
      </c>
      <c r="F2549" s="51" t="str">
        <f>HYPERLINK(AB2 &amp; "/screwdriver/sn_9a65ee8f544ce558965094dba2eb878a/rendering/03.obj", "3.07742004395")</f>
        <v>3.07742004395</v>
      </c>
      <c r="G2549" s="34" t="str">
        <f>HYPERLINK(AB2 &amp; "/screwdriver/sn_9a65ee8f544ce558965094dba2eb878a/rendering/04.obj", "2.98642059326")</f>
        <v>2.98642059326</v>
      </c>
      <c r="H2549" s="23" t="str">
        <f>HYPERLINK(AB2 &amp; "/screwdriver/sn_9a65ee8f544ce558965094dba2eb878a/rendering/05.obj", "2.95566772461")</f>
        <v>2.95566772461</v>
      </c>
      <c r="I2549" s="51" t="str">
        <f>HYPERLINK(AB2 &amp; "/screwdriver/sn_9a65ee8f544ce558965094dba2eb878a/rendering/06.obj", "2.61970611572")</f>
        <v>2.61970611572</v>
      </c>
      <c r="J2549" s="74" t="str">
        <f>HYPERLINK(AB2 &amp; "/screwdriver/sn_9a65ee8f544ce558965094dba2eb878a/rendering/07.obj", "2.88323669434")</f>
        <v>2.88323669434</v>
      </c>
      <c r="K2549" s="110" t="str">
        <f>HYPERLINK(AB2 &amp; "/screwdriver/sn_9a65ee8f544ce558965094dba2eb878a/rendering/08.obj", "2.56778656006")</f>
        <v>2.56778656006</v>
      </c>
      <c r="L2549" s="110" t="str">
        <f>HYPERLINK(AB2 &amp; "/screwdriver/sn_9a65ee8f544ce558965094dba2eb878a/rendering/09.obj", "2.56176879883")</f>
        <v>2.56176879883</v>
      </c>
      <c r="M2549" s="76" t="str">
        <f>HYPERLINK(AB2 &amp; "/screwdriver/sn_9a65ee8f544ce558965094dba2eb878a/rendering/10.obj", "3.36585021973")</f>
        <v>3.36585021973</v>
      </c>
      <c r="N2549" s="71" t="str">
        <f>HYPERLINK(AB2 &amp; "/screwdriver/sn_9a65ee8f544ce558965094dba2eb878a/rendering/11.obj", "2.51598602295")</f>
        <v>2.51598602295</v>
      </c>
      <c r="O2549" s="64" t="str">
        <f>HYPERLINK(AB2 &amp; "/screwdriver/sn_9a65ee8f544ce558965094dba2eb878a/rendering/12.obj", "3.31327392578")</f>
        <v>3.31327392578</v>
      </c>
      <c r="P2549" s="67" t="str">
        <f>HYPERLINK(AB2 &amp; "/screwdriver/sn_9a65ee8f544ce558965094dba2eb878a/rendering/13.obj", "2.58635253906")</f>
        <v>2.58635253906</v>
      </c>
      <c r="Q2549" s="133" t="str">
        <f>HYPERLINK(AB2 &amp; "/screwdriver/sn_9a65ee8f544ce558965094dba2eb878a/rendering/14.obj", "2.55709625244")</f>
        <v>2.55709625244</v>
      </c>
      <c r="R2549" s="110" t="str">
        <f>HYPERLINK(AB2 &amp; "/screwdriver/sn_9a65ee8f544ce558965094dba2eb878a/rendering/15.obj", "2.56797729492")</f>
        <v>2.56797729492</v>
      </c>
      <c r="S2549" s="83" t="str">
        <f>HYPERLINK(AB2 &amp; "/screwdriver/sn_9a65ee8f544ce558965094dba2eb878a/rendering/16.obj", "3.28290283203")</f>
        <v>3.28290283203</v>
      </c>
      <c r="T2549" s="42" t="str">
        <f>HYPERLINK(AB2 &amp; "/screwdriver/sn_9a65ee8f544ce558965094dba2eb878a/rendering/17.obj", "3.23527954102")</f>
        <v>3.23527954102</v>
      </c>
      <c r="U2549" s="41" t="str">
        <f>HYPERLINK(AB2 &amp; "/screwdriver/sn_9a65ee8f544ce558965094dba2eb878a/rendering/18.obj", "2.65535675049")</f>
        <v>2.65535675049</v>
      </c>
      <c r="V2549" s="82" t="str">
        <f>HYPERLINK(AB2 &amp; "/screwdriver/sn_9a65ee8f544ce558965094dba2eb878a/rendering/19.obj", "3.43456970215")</f>
        <v>3.43456970215</v>
      </c>
      <c r="W2549" s="12" t="s">
        <v>31</v>
      </c>
      <c r="X2549" s="13">
        <v>2.8471368560791008</v>
      </c>
      <c r="Y2549" s="13">
        <v>0.31940923390870191</v>
      </c>
      <c r="Z2549" s="28">
        <v>0.112186118916873</v>
      </c>
    </row>
    <row r="2550" spans="1:26" x14ac:dyDescent="0.2">
      <c r="A2550" s="1">
        <v>2548</v>
      </c>
      <c r="B2550" s="2" t="s">
        <v>542</v>
      </c>
      <c r="C2550" s="23" t="str">
        <f>HYPERLINK(AB2 &amp; "/screwdriver/sn_9a65ee8f544ce558965094dba2eb878a/rendering/00.obj", "1.30327963829")</f>
        <v>1.30327963829</v>
      </c>
      <c r="D2550" s="41" t="str">
        <f>HYPERLINK(AB2 &amp; "/screwdriver/sn_9a65ee8f544ce558965094dba2eb878a/rendering/01.obj", "1.33815336227")</f>
        <v>1.33815336227</v>
      </c>
      <c r="E2550" s="72" t="str">
        <f>HYPERLINK(AB2 &amp; "/screwdriver/sn_9a65ee8f544ce558965094dba2eb878a/rendering/02.obj", "1.21341919899")</f>
        <v>1.21341919899</v>
      </c>
      <c r="F2550" s="27" t="str">
        <f>HYPERLINK(AB2 &amp; "/screwdriver/sn_9a65ee8f544ce558965094dba2eb878a/rendering/03.obj", "1.34125316143")</f>
        <v>1.34125316143</v>
      </c>
      <c r="G2550" s="27" t="str">
        <f>HYPERLINK(AB2 &amp; "/screwdriver/sn_9a65ee8f544ce558965094dba2eb878a/rendering/04.obj", "1.34406578541")</f>
        <v>1.34406578541</v>
      </c>
      <c r="H2550" s="68" t="str">
        <f>HYPERLINK(AB2 &amp; "/screwdriver/sn_9a65ee8f544ce558965094dba2eb878a/rendering/05.obj", "1.20142436028")</f>
        <v>1.20142436028</v>
      </c>
      <c r="I2550" s="92" t="str">
        <f>HYPERLINK(AB2 &amp; "/screwdriver/sn_9a65ee8f544ce558965094dba2eb878a/rendering/06.obj", "1.40836322308")</f>
        <v>1.40836322308</v>
      </c>
      <c r="J2550" s="74" t="str">
        <f>HYPERLINK(AB2 &amp; "/screwdriver/sn_9a65ee8f544ce558965094dba2eb878a/rendering/07.obj", "1.2736093998")</f>
        <v>1.2736093998</v>
      </c>
      <c r="K2550" s="26" t="str">
        <f>HYPERLINK(AB2 &amp; "/screwdriver/sn_9a65ee8f544ce558965094dba2eb878a/rendering/08.obj", "1.17523026466")</f>
        <v>1.17523026466</v>
      </c>
      <c r="L2550" s="35" t="str">
        <f>HYPERLINK(AB2 &amp; "/screwdriver/sn_9a65ee8f544ce558965094dba2eb878a/rendering/09.obj", "1.1809669733")</f>
        <v>1.1809669733</v>
      </c>
      <c r="M2550" s="39" t="str">
        <f>HYPERLINK(AB2 &amp; "/screwdriver/sn_9a65ee8f544ce558965094dba2eb878a/rendering/10.obj", "1.14446365833")</f>
        <v>1.14446365833</v>
      </c>
      <c r="N2550" s="73" t="str">
        <f>HYPERLINK(AB2 &amp; "/screwdriver/sn_9a65ee8f544ce558965094dba2eb878a/rendering/11.obj", "1.20806396008")</f>
        <v>1.20806396008</v>
      </c>
      <c r="O2550" s="35" t="str">
        <f>HYPERLINK(AB2 &amp; "/screwdriver/sn_9a65ee8f544ce558965094dba2eb878a/rendering/12.obj", "1.18264365196")</f>
        <v>1.18264365196</v>
      </c>
      <c r="P2550" s="6" t="str">
        <f>HYPERLINK(AB2 &amp; "/screwdriver/sn_9a65ee8f544ce558965094dba2eb878a/rendering/13.obj", "1.31152832508")</f>
        <v>1.31152832508</v>
      </c>
      <c r="Q2550" s="26" t="str">
        <f>HYPERLINK(AB2 &amp; "/screwdriver/sn_9a65ee8f544ce558965094dba2eb878a/rendering/14.obj", "1.17196464539")</f>
        <v>1.17196464539</v>
      </c>
      <c r="R2550" s="74" t="str">
        <f>HYPERLINK(AB2 &amp; "/screwdriver/sn_9a65ee8f544ce558965094dba2eb878a/rendering/15.obj", "1.23468112946")</f>
        <v>1.23468112946</v>
      </c>
      <c r="S2550" s="107" t="str">
        <f>HYPERLINK(AB2 &amp; "/screwdriver/sn_9a65ee8f544ce558965094dba2eb878a/rendering/16.obj", "1.15096783638")</f>
        <v>1.15096783638</v>
      </c>
      <c r="T2550" s="73" t="str">
        <f>HYPERLINK(AB2 &amp; "/screwdriver/sn_9a65ee8f544ce558965094dba2eb878a/rendering/17.obj", "1.20885157585")</f>
        <v>1.20885157585</v>
      </c>
      <c r="U2550" s="82" t="str">
        <f>HYPERLINK(AB2 &amp; "/screwdriver/sn_9a65ee8f544ce558965094dba2eb878a/rendering/18.obj", "1.51257812977")</f>
        <v>1.51257812977</v>
      </c>
      <c r="V2550" s="35" t="str">
        <f>HYPERLINK(AB2 &amp; "/screwdriver/sn_9a65ee8f544ce558965094dba2eb878a/rendering/19.obj", "1.18012797832")</f>
        <v>1.18012797832</v>
      </c>
      <c r="W2550" s="12" t="s">
        <v>32</v>
      </c>
      <c r="X2550" s="13">
        <v>1.2542818129062649</v>
      </c>
      <c r="Y2550" s="13">
        <v>9.4863582509106537E-2</v>
      </c>
      <c r="Z2550" s="5">
        <v>7.563179305717628E-2</v>
      </c>
    </row>
    <row r="2551" spans="1:26" x14ac:dyDescent="0.2">
      <c r="A2551" s="1">
        <v>2549</v>
      </c>
      <c r="B2551" s="2" t="s">
        <v>542</v>
      </c>
      <c r="C2551" s="13" t="str">
        <f>HYPERLINK(AC2 &amp; "/screwdriver/sn_9a65ee8f544ce558965094dba2eb878a/rendering/00.xyz", "0.0")</f>
        <v>0.0</v>
      </c>
      <c r="D2551" s="13" t="str">
        <f>HYPERLINK(AC2 &amp; "/screwdriver/sn_9a65ee8f544ce558965094dba2eb878a/rendering/01.xyz", "0.0")</f>
        <v>0.0</v>
      </c>
      <c r="E2551" s="13" t="str">
        <f>HYPERLINK(AC2 &amp; "/screwdriver/sn_9a65ee8f544ce558965094dba2eb878a/rendering/02.xyz", "0.0")</f>
        <v>0.0</v>
      </c>
      <c r="F2551" s="13" t="str">
        <f>HYPERLINK(AC2 &amp; "/screwdriver/sn_9a65ee8f544ce558965094dba2eb878a/rendering/03.xyz", "0.0")</f>
        <v>0.0</v>
      </c>
      <c r="G2551" s="13" t="str">
        <f>HYPERLINK(AC2 &amp; "/screwdriver/sn_9a65ee8f544ce558965094dba2eb878a/rendering/04.xyz", "0.0")</f>
        <v>0.0</v>
      </c>
      <c r="H2551" s="13" t="str">
        <f>HYPERLINK(AC2 &amp; "/screwdriver/sn_9a65ee8f544ce558965094dba2eb878a/rendering/05.xyz", "0.0")</f>
        <v>0.0</v>
      </c>
      <c r="I2551" s="13" t="str">
        <f>HYPERLINK(AC2 &amp; "/screwdriver/sn_9a65ee8f544ce558965094dba2eb878a/rendering/06.xyz", "0.0")</f>
        <v>0.0</v>
      </c>
      <c r="J2551" s="13" t="str">
        <f>HYPERLINK(AC2 &amp; "/screwdriver/sn_9a65ee8f544ce558965094dba2eb878a/rendering/07.xyz", "0.0")</f>
        <v>0.0</v>
      </c>
      <c r="K2551" s="13" t="str">
        <f>HYPERLINK(AC2 &amp; "/screwdriver/sn_9a65ee8f544ce558965094dba2eb878a/rendering/08.xyz", "0.0")</f>
        <v>0.0</v>
      </c>
      <c r="L2551" s="13" t="str">
        <f>HYPERLINK(AC2 &amp; "/screwdriver/sn_9a65ee8f544ce558965094dba2eb878a/rendering/09.xyz", "0.0")</f>
        <v>0.0</v>
      </c>
      <c r="M2551" s="13" t="str">
        <f>HYPERLINK(AC2 &amp; "/screwdriver/sn_9a65ee8f544ce558965094dba2eb878a/rendering/10.xyz", "0.0")</f>
        <v>0.0</v>
      </c>
      <c r="N2551" s="13" t="str">
        <f>HYPERLINK(AC2 &amp; "/screwdriver/sn_9a65ee8f544ce558965094dba2eb878a/rendering/11.xyz", "0.0")</f>
        <v>0.0</v>
      </c>
      <c r="O2551" s="13" t="str">
        <f>HYPERLINK(AC2 &amp; "/screwdriver/sn_9a65ee8f544ce558965094dba2eb878a/rendering/12.xyz", "0.0")</f>
        <v>0.0</v>
      </c>
      <c r="P2551" s="13" t="str">
        <f>HYPERLINK(AC2 &amp; "/screwdriver/sn_9a65ee8f544ce558965094dba2eb878a/rendering/13.xyz", "0.0")</f>
        <v>0.0</v>
      </c>
      <c r="Q2551" s="13" t="str">
        <f>HYPERLINK(AC2 &amp; "/screwdriver/sn_9a65ee8f544ce558965094dba2eb878a/rendering/14.xyz", "0.0")</f>
        <v>0.0</v>
      </c>
      <c r="R2551" s="13" t="str">
        <f>HYPERLINK(AC2 &amp; "/screwdriver/sn_9a65ee8f544ce558965094dba2eb878a/rendering/15.xyz", "0.0")</f>
        <v>0.0</v>
      </c>
      <c r="S2551" s="13" t="str">
        <f>HYPERLINK(AC2 &amp; "/screwdriver/sn_9a65ee8f544ce558965094dba2eb878a/rendering/16.xyz", "0.0")</f>
        <v>0.0</v>
      </c>
      <c r="T2551" s="13" t="str">
        <f>HYPERLINK(AC2 &amp; "/screwdriver/sn_9a65ee8f544ce558965094dba2eb878a/rendering/17.xyz", "0.0")</f>
        <v>0.0</v>
      </c>
      <c r="U2551" s="13" t="str">
        <f>HYPERLINK(AC2 &amp; "/screwdriver/sn_9a65ee8f544ce558965094dba2eb878a/rendering/18.xyz", "0.0")</f>
        <v>0.0</v>
      </c>
      <c r="V2551" s="13" t="str">
        <f>HYPERLINK(AC2 &amp; "/screwdriver/sn_9a65ee8f544ce558965094dba2eb878a/rendering/19.xyz", "0.0")</f>
        <v>0.0</v>
      </c>
      <c r="W2551" s="12" t="s">
        <v>33</v>
      </c>
      <c r="X2551" s="13">
        <v>0</v>
      </c>
      <c r="Y2551" s="13">
        <v>0</v>
      </c>
      <c r="Z2551" s="13">
        <v>0</v>
      </c>
    </row>
    <row r="2552" spans="1:26" x14ac:dyDescent="0.2">
      <c r="A2552" s="1">
        <v>2550</v>
      </c>
      <c r="B2552" s="2" t="s">
        <v>543</v>
      </c>
      <c r="C2552" s="106" t="str">
        <f>HYPERLINK(AA2 &amp; "/screwdriver/sn_9bf8a3f92e11770d36318ac57c15a46/rendering/00.obj", "3.84687957764")</f>
        <v>3.84687957764</v>
      </c>
      <c r="D2552" s="94" t="str">
        <f>HYPERLINK(AA2 &amp; "/screwdriver/sn_9bf8a3f92e11770d36318ac57c15a46/rendering/01.obj", "4.01968688965")</f>
        <v>4.01968688965</v>
      </c>
      <c r="E2552" s="64" t="str">
        <f>HYPERLINK(AA2 &amp; "/screwdriver/sn_9bf8a3f92e11770d36318ac57c15a46/rendering/02.obj", "3.6319039917")</f>
        <v>3.6319039917</v>
      </c>
      <c r="F2552" s="119" t="str">
        <f>HYPERLINK(AA2 &amp; "/screwdriver/sn_9bf8a3f92e11770d36318ac57c15a46/rendering/03.obj", "5.49154174805")</f>
        <v>5.49154174805</v>
      </c>
      <c r="G2552" s="84" t="str">
        <f>HYPERLINK(AA2 &amp; "/screwdriver/sn_9bf8a3f92e11770d36318ac57c15a46/rendering/04.obj", "3.70123840332")</f>
        <v>3.70123840332</v>
      </c>
      <c r="H2552" s="99" t="str">
        <f>HYPERLINK(AA2 &amp; "/screwdriver/sn_9bf8a3f92e11770d36318ac57c15a46/rendering/05.obj", "5.51601623535")</f>
        <v>5.51601623535</v>
      </c>
      <c r="I2552" s="24" t="str">
        <f>HYPERLINK(AA2 &amp; "/screwdriver/sn_9bf8a3f92e11770d36318ac57c15a46/rendering/06.obj", "3.61869812012")</f>
        <v>3.61869812012</v>
      </c>
      <c r="J2552" s="79" t="str">
        <f>HYPERLINK(AA2 &amp; "/screwdriver/sn_9bf8a3f92e11770d36318ac57c15a46/rendering/07.obj", "3.64734405518")</f>
        <v>3.64734405518</v>
      </c>
      <c r="K2552" s="153" t="str">
        <f>HYPERLINK(AA2 &amp; "/screwdriver/sn_9bf8a3f92e11770d36318ac57c15a46/rendering/08.obj", "2.7970614624")</f>
        <v>2.7970614624</v>
      </c>
      <c r="L2552" s="66" t="str">
        <f>HYPERLINK(AA2 &amp; "/screwdriver/sn_9bf8a3f92e11770d36318ac57c15a46/rendering/09.obj", "3.63261230469")</f>
        <v>3.63261230469</v>
      </c>
      <c r="M2552" s="83" t="str">
        <f>HYPERLINK(AA2 &amp; "/screwdriver/sn_9bf8a3f92e11770d36318ac57c15a46/rendering/10.obj", "3.68419677734")</f>
        <v>3.68419677734</v>
      </c>
      <c r="N2552" s="234" t="str">
        <f>HYPERLINK(AA2 &amp; "/screwdriver/sn_9bf8a3f92e11770d36318ac57c15a46/rendering/11.obj", "7.55662353516")</f>
        <v>7.55662353516</v>
      </c>
      <c r="O2552" s="83" t="str">
        <f>HYPERLINK(AA2 &amp; "/screwdriver/sn_9bf8a3f92e11770d36318ac57c15a46/rendering/12.obj", "5.00158477783")</f>
        <v>5.00158477783</v>
      </c>
      <c r="P2552" s="81" t="str">
        <f>HYPERLINK(AA2 &amp; "/screwdriver/sn_9bf8a3f92e11770d36318ac57c15a46/rendering/13.obj", "3.38749511719")</f>
        <v>3.38749511719</v>
      </c>
      <c r="Q2552" s="38" t="str">
        <f>HYPERLINK(AA2 &amp; "/screwdriver/sn_9bf8a3f92e11770d36318ac57c15a46/rendering/14.obj", "3.95883605957")</f>
        <v>3.95883605957</v>
      </c>
      <c r="R2552" s="20" t="str">
        <f>HYPERLINK(AA2 &amp; "/screwdriver/sn_9bf8a3f92e11770d36318ac57c15a46/rendering/15.obj", "9.60700561523")</f>
        <v>9.60700561523</v>
      </c>
      <c r="S2552" s="123" t="str">
        <f>HYPERLINK(AA2 &amp; "/screwdriver/sn_9bf8a3f92e11770d36318ac57c15a46/rendering/16.obj", "2.74374633789")</f>
        <v>2.74374633789</v>
      </c>
      <c r="T2552" s="42" t="str">
        <f>HYPERLINK(AA2 &amp; "/screwdriver/sn_9bf8a3f92e11770d36318ac57c15a46/rendering/17.obj", "3.74322753906")</f>
        <v>3.74322753906</v>
      </c>
      <c r="U2552" s="28" t="str">
        <f>HYPERLINK(AA2 &amp; "/screwdriver/sn_9bf8a3f92e11770d36318ac57c15a46/rendering/18.obj", "3.86028991699")</f>
        <v>3.86028991699</v>
      </c>
      <c r="V2552" s="11" t="str">
        <f>HYPERLINK(AA2 &amp; "/screwdriver/sn_9bf8a3f92e11770d36318ac57c15a46/rendering/19.obj", "3.36829986572")</f>
        <v>3.36829986572</v>
      </c>
      <c r="W2552" s="12" t="s">
        <v>29</v>
      </c>
      <c r="X2552" s="13">
        <v>4.3407144165039062</v>
      </c>
      <c r="Y2552" s="13">
        <v>1.6113995040709079</v>
      </c>
      <c r="Z2552" s="192">
        <v>0.37122909951048089</v>
      </c>
    </row>
    <row r="2553" spans="1:26" x14ac:dyDescent="0.2">
      <c r="A2553" s="1">
        <v>2551</v>
      </c>
      <c r="B2553" s="2" t="s">
        <v>543</v>
      </c>
      <c r="C2553" s="123" t="str">
        <f>HYPERLINK(AA2 &amp; "/screwdriver/sn_9bf8a3f92e11770d36318ac57c15a46/rendering/00.obj", "1.74640667439")</f>
        <v>1.74640667439</v>
      </c>
      <c r="D2553" s="68" t="str">
        <f>HYPERLINK(AA2 &amp; "/screwdriver/sn_9bf8a3f92e11770d36318ac57c15a46/rendering/01.obj", "2.65870761871")</f>
        <v>2.65870761871</v>
      </c>
      <c r="E2553" s="129" t="str">
        <f>HYPERLINK(AA2 &amp; "/screwdriver/sn_9bf8a3f92e11770d36318ac57c15a46/rendering/02.obj", "2.08481669426")</f>
        <v>2.08481669426</v>
      </c>
      <c r="F2553" s="91" t="str">
        <f>HYPERLINK(AA2 &amp; "/screwdriver/sn_9bf8a3f92e11770d36318ac57c15a46/rendering/03.obj", "2.69490861893")</f>
        <v>2.69490861893</v>
      </c>
      <c r="G2553" s="130" t="str">
        <f>HYPERLINK(AA2 &amp; "/screwdriver/sn_9bf8a3f92e11770d36318ac57c15a46/rendering/04.obj", "1.52020394802")</f>
        <v>1.52020394802</v>
      </c>
      <c r="H2553" s="93" t="str">
        <f>HYPERLINK(AA2 &amp; "/screwdriver/sn_9bf8a3f92e11770d36318ac57c15a46/rendering/05.obj", "3.15669226646")</f>
        <v>3.15669226646</v>
      </c>
      <c r="I2553" s="84" t="str">
        <f>HYPERLINK(AA2 &amp; "/screwdriver/sn_9bf8a3f92e11770d36318ac57c15a46/rendering/06.obj", "2.36845541")</f>
        <v>2.36845541</v>
      </c>
      <c r="J2553" s="57" t="str">
        <f>HYPERLINK(AA2 &amp; "/screwdriver/sn_9bf8a3f92e11770d36318ac57c15a46/rendering/07.obj", "1.89501440525")</f>
        <v>1.89501440525</v>
      </c>
      <c r="K2553" s="151" t="str">
        <f>HYPERLINK(AA2 &amp; "/screwdriver/sn_9bf8a3f92e11770d36318ac57c15a46/rendering/08.obj", "1.77430462837")</f>
        <v>1.77430462837</v>
      </c>
      <c r="L2553" s="129" t="str">
        <f>HYPERLINK(AA2 &amp; "/screwdriver/sn_9bf8a3f92e11770d36318ac57c15a46/rendering/09.obj", "2.07860040665")</f>
        <v>2.07860040665</v>
      </c>
      <c r="M2553" s="78" t="str">
        <f>HYPERLINK(AA2 &amp; "/screwdriver/sn_9bf8a3f92e11770d36318ac57c15a46/rendering/10.obj", "2.59923148155")</f>
        <v>2.59923148155</v>
      </c>
      <c r="N2553" s="20" t="str">
        <f>HYPERLINK(AA2 &amp; "/screwdriver/sn_9bf8a3f92e11770d36318ac57c15a46/rendering/11.obj", "5.8645195961")</f>
        <v>5.8645195961</v>
      </c>
      <c r="O2553" s="67" t="str">
        <f>HYPERLINK(AA2 &amp; "/screwdriver/sn_9bf8a3f92e11770d36318ac57c15a46/rendering/12.obj", "3.0288438797")</f>
        <v>3.0288438797</v>
      </c>
      <c r="P2553" s="176" t="str">
        <f>HYPERLINK(AA2 &amp; "/screwdriver/sn_9bf8a3f92e11770d36318ac57c15a46/rendering/13.obj", "1.88943111897")</f>
        <v>1.88943111897</v>
      </c>
      <c r="Q2553" s="128" t="str">
        <f>HYPERLINK(AA2 &amp; "/screwdriver/sn_9bf8a3f92e11770d36318ac57c15a46/rendering/14.obj", "1.6852337122")</f>
        <v>1.6852337122</v>
      </c>
      <c r="R2553" s="20" t="str">
        <f>HYPERLINK(AA2 &amp; "/screwdriver/sn_9bf8a3f92e11770d36318ac57c15a46/rendering/15.obj", "10.4995918274")</f>
        <v>10.4995918274</v>
      </c>
      <c r="S2553" s="230" t="str">
        <f>HYPERLINK(AA2 &amp; "/screwdriver/sn_9bf8a3f92e11770d36318ac57c15a46/rendering/16.obj", "1.50748825073")</f>
        <v>1.50748825073</v>
      </c>
      <c r="T2553" s="176" t="str">
        <f>HYPERLINK(AA2 &amp; "/screwdriver/sn_9bf8a3f92e11770d36318ac57c15a46/rendering/17.obj", "1.88748407364")</f>
        <v>1.88748407364</v>
      </c>
      <c r="U2553" s="55" t="str">
        <f>HYPERLINK(AA2 &amp; "/screwdriver/sn_9bf8a3f92e11770d36318ac57c15a46/rendering/18.obj", "2.24120688438")</f>
        <v>2.24120688438</v>
      </c>
      <c r="V2553" s="76" t="str">
        <f>HYPERLINK(AA2 &amp; "/screwdriver/sn_9bf8a3f92e11770d36318ac57c15a46/rendering/19.obj", "2.26354217529")</f>
        <v>2.26354217529</v>
      </c>
      <c r="W2553" s="12" t="s">
        <v>30</v>
      </c>
      <c r="X2553" s="13">
        <v>2.7722341835498812</v>
      </c>
      <c r="Y2553" s="13">
        <v>1.999034276151896</v>
      </c>
      <c r="Z2553" s="245">
        <v>0.72109141717317249</v>
      </c>
    </row>
    <row r="2554" spans="1:26" x14ac:dyDescent="0.2">
      <c r="A2554" s="1">
        <v>2552</v>
      </c>
      <c r="B2554" s="2" t="s">
        <v>543</v>
      </c>
      <c r="C2554" s="117" t="str">
        <f>HYPERLINK(AB2 &amp; "/screwdriver/sn_9bf8a3f92e11770d36318ac57c15a46/rendering/00.obj", "4.18458282471")</f>
        <v>4.18458282471</v>
      </c>
      <c r="D2554" s="31" t="str">
        <f>HYPERLINK(AB2 &amp; "/screwdriver/sn_9bf8a3f92e11770d36318ac57c15a46/rendering/01.obj", "3.0002355957")</f>
        <v>3.0002355957</v>
      </c>
      <c r="E2554" s="80" t="str">
        <f>HYPERLINK(AB2 &amp; "/screwdriver/sn_9bf8a3f92e11770d36318ac57c15a46/rendering/02.obj", "3.02828857422")</f>
        <v>3.02828857422</v>
      </c>
      <c r="F2554" s="44" t="str">
        <f>HYPERLINK(AB2 &amp; "/screwdriver/sn_9bf8a3f92e11770d36318ac57c15a46/rendering/03.obj", "2.85596496582")</f>
        <v>2.85596496582</v>
      </c>
      <c r="G2554" s="7" t="str">
        <f>HYPERLINK(AB2 &amp; "/screwdriver/sn_9bf8a3f92e11770d36318ac57c15a46/rendering/04.obj", "4.54803588867")</f>
        <v>4.54803588867</v>
      </c>
      <c r="H2554" s="181" t="str">
        <f>HYPERLINK(AB2 &amp; "/screwdriver/sn_9bf8a3f92e11770d36318ac57c15a46/rendering/05.obj", "5.13249633789")</f>
        <v>5.13249633789</v>
      </c>
      <c r="I2554" s="163" t="str">
        <f>HYPERLINK(AB2 &amp; "/screwdriver/sn_9bf8a3f92e11770d36318ac57c15a46/rendering/06.obj", "5.11984710693")</f>
        <v>5.11984710693</v>
      </c>
      <c r="J2554" s="88" t="str">
        <f>HYPERLINK(AB2 &amp; "/screwdriver/sn_9bf8a3f92e11770d36318ac57c15a46/rendering/07.obj", "2.83746856689")</f>
        <v>2.83746856689</v>
      </c>
      <c r="K2554" s="119" t="str">
        <f>HYPERLINK(AB2 &amp; "/screwdriver/sn_9bf8a3f92e11770d36318ac57c15a46/rendering/08.obj", "2.61100494385")</f>
        <v>2.61100494385</v>
      </c>
      <c r="L2554" s="66" t="str">
        <f>HYPERLINK(AB2 &amp; "/screwdriver/sn_9bf8a3f92e11770d36318ac57c15a46/rendering/09.obj", "4.1333782959")</f>
        <v>4.1333782959</v>
      </c>
      <c r="M2554" s="94" t="str">
        <f>HYPERLINK(AB2 &amp; "/screwdriver/sn_9bf8a3f92e11770d36318ac57c15a46/rendering/10.obj", "3.82331787109")</f>
        <v>3.82331787109</v>
      </c>
      <c r="N2554" s="70" t="str">
        <f>HYPERLINK(AB2 &amp; "/screwdriver/sn_9bf8a3f92e11770d36318ac57c15a46/rendering/11.obj", "3.10809020996")</f>
        <v>3.10809020996</v>
      </c>
      <c r="O2554" s="175" t="str">
        <f>HYPERLINK(AB2 &amp; "/screwdriver/sn_9bf8a3f92e11770d36318ac57c15a46/rendering/12.obj", "4.39077056885")</f>
        <v>4.39077056885</v>
      </c>
      <c r="P2554" s="86" t="str">
        <f>HYPERLINK(AB2 &amp; "/screwdriver/sn_9bf8a3f92e11770d36318ac57c15a46/rendering/13.obj", "2.604246521")</f>
        <v>2.604246521</v>
      </c>
      <c r="Q2554" s="29" t="str">
        <f>HYPERLINK(AB2 &amp; "/screwdriver/sn_9bf8a3f92e11770d36318ac57c15a46/rendering/14.obj", "3.08981262207")</f>
        <v>3.08981262207</v>
      </c>
      <c r="R2554" s="27" t="str">
        <f>HYPERLINK(AB2 &amp; "/screwdriver/sn_9bf8a3f92e11770d36318ac57c15a46/rendering/15.obj", "3.80174499512")</f>
        <v>3.80174499512</v>
      </c>
      <c r="S2554" s="95" t="str">
        <f>HYPERLINK(AB2 &amp; "/screwdriver/sn_9bf8a3f92e11770d36318ac57c15a46/rendering/16.obj", "2.55192367554")</f>
        <v>2.55192367554</v>
      </c>
      <c r="T2554" s="78" t="str">
        <f>HYPERLINK(AB2 &amp; "/screwdriver/sn_9bf8a3f92e11770d36318ac57c15a46/rendering/17.obj", "3.77356079102")</f>
        <v>3.77356079102</v>
      </c>
      <c r="U2554" s="24" t="str">
        <f>HYPERLINK(AB2 &amp; "/screwdriver/sn_9bf8a3f92e11770d36318ac57c15a46/rendering/18.obj", "2.96448364258")</f>
        <v>2.96448364258</v>
      </c>
      <c r="V2554" s="13" t="str">
        <f>HYPERLINK(AB2 &amp; "/screwdriver/sn_9bf8a3f92e11770d36318ac57c15a46/rendering/19.obj", "3.55800354004")</f>
        <v>3.55800354004</v>
      </c>
      <c r="W2554" s="12" t="s">
        <v>31</v>
      </c>
      <c r="X2554" s="13">
        <v>3.5558628768920899</v>
      </c>
      <c r="Y2554" s="13">
        <v>0.79649728126566155</v>
      </c>
      <c r="Z2554" s="11">
        <v>0.22399549950076231</v>
      </c>
    </row>
    <row r="2555" spans="1:26" x14ac:dyDescent="0.2">
      <c r="A2555" s="1">
        <v>2553</v>
      </c>
      <c r="B2555" s="2" t="s">
        <v>543</v>
      </c>
      <c r="C2555" s="26" t="str">
        <f>HYPERLINK(AB2 &amp; "/screwdriver/sn_9bf8a3f92e11770d36318ac57c15a46/rendering/00.obj", "1.47033429146")</f>
        <v>1.47033429146</v>
      </c>
      <c r="D2555" s="90" t="str">
        <f>HYPERLINK(AB2 &amp; "/screwdriver/sn_9bf8a3f92e11770d36318ac57c15a46/rendering/01.obj", "1.42144203186")</f>
        <v>1.42144203186</v>
      </c>
      <c r="E2555" s="28" t="str">
        <f>HYPERLINK(AB2 &amp; "/screwdriver/sn_9bf8a3f92e11770d36318ac57c15a46/rendering/02.obj", "1.39641165733")</f>
        <v>1.39641165733</v>
      </c>
      <c r="F2555" s="69" t="str">
        <f>HYPERLINK(AB2 &amp; "/screwdriver/sn_9bf8a3f92e11770d36318ac57c15a46/rendering/03.obj", "1.61486196518")</f>
        <v>1.61486196518</v>
      </c>
      <c r="G2555" s="47" t="str">
        <f>HYPERLINK(AB2 &amp; "/screwdriver/sn_9bf8a3f92e11770d36318ac57c15a46/rendering/04.obj", "1.58216071129")</f>
        <v>1.58216071129</v>
      </c>
      <c r="H2555" s="66" t="str">
        <f>HYPERLINK(AB2 &amp; "/screwdriver/sn_9bf8a3f92e11770d36318ac57c15a46/rendering/05.obj", "1.82511901855")</f>
        <v>1.82511901855</v>
      </c>
      <c r="I2555" s="107" t="str">
        <f>HYPERLINK(AB2 &amp; "/screwdriver/sn_9bf8a3f92e11770d36318ac57c15a46/rendering/06.obj", "1.70219302177")</f>
        <v>1.70219302177</v>
      </c>
      <c r="J2555" s="90" t="str">
        <f>HYPERLINK(AB2 &amp; "/screwdriver/sn_9bf8a3f92e11770d36318ac57c15a46/rendering/07.obj", "1.41879618168")</f>
        <v>1.41879618168</v>
      </c>
      <c r="K2555" s="48" t="str">
        <f>HYPERLINK(AB2 &amp; "/screwdriver/sn_9bf8a3f92e11770d36318ac57c15a46/rendering/08.obj", "1.60757637024")</f>
        <v>1.60757637024</v>
      </c>
      <c r="L2555" s="74" t="str">
        <f>HYPERLINK(AB2 &amp; "/screwdriver/sn_9bf8a3f92e11770d36318ac57c15a46/rendering/09.obj", "1.54930508137")</f>
        <v>1.54930508137</v>
      </c>
      <c r="M2555" s="6" t="str">
        <f>HYPERLINK(AB2 &amp; "/screwdriver/sn_9bf8a3f92e11770d36318ac57c15a46/rendering/10.obj", "1.64012265205")</f>
        <v>1.64012265205</v>
      </c>
      <c r="N2555" s="90" t="str">
        <f>HYPERLINK(AB2 &amp; "/screwdriver/sn_9bf8a3f92e11770d36318ac57c15a46/rendering/11.obj", "1.41884934902")</f>
        <v>1.41884934902</v>
      </c>
      <c r="O2555" s="17" t="str">
        <f>HYPERLINK(AB2 &amp; "/screwdriver/sn_9bf8a3f92e11770d36318ac57c15a46/rendering/12.obj", "1.60433650017")</f>
        <v>1.60433650017</v>
      </c>
      <c r="P2555" s="23" t="str">
        <f>HYPERLINK(AB2 &amp; "/screwdriver/sn_9bf8a3f92e11770d36318ac57c15a46/rendering/13.obj", "1.51073360443")</f>
        <v>1.51073360443</v>
      </c>
      <c r="Q2555" s="68" t="str">
        <f>HYPERLINK(AB2 &amp; "/screwdriver/sn_9bf8a3f92e11770d36318ac57c15a46/rendering/14.obj", "1.5046646595")</f>
        <v>1.5046646595</v>
      </c>
      <c r="R2555" s="23" t="str">
        <f>HYPERLINK(AB2 &amp; "/screwdriver/sn_9bf8a3f92e11770d36318ac57c15a46/rendering/15.obj", "1.63202869892")</f>
        <v>1.63202869892</v>
      </c>
      <c r="S2555" s="46" t="str">
        <f>HYPERLINK(AB2 &amp; "/screwdriver/sn_9bf8a3f92e11770d36318ac57c15a46/rendering/16.obj", "1.59669697285")</f>
        <v>1.59669697285</v>
      </c>
      <c r="T2555" s="79" t="str">
        <f>HYPERLINK(AB2 &amp; "/screwdriver/sn_9bf8a3f92e11770d36318ac57c15a46/rendering/17.obj", "1.82055103779")</f>
        <v>1.82055103779</v>
      </c>
      <c r="U2555" s="32" t="str">
        <f>HYPERLINK(AB2 &amp; "/screwdriver/sn_9bf8a3f92e11770d36318ac57c15a46/rendering/18.obj", "1.40748643875")</f>
        <v>1.40748643875</v>
      </c>
      <c r="V2555" s="27" t="str">
        <f>HYPERLINK(AB2 &amp; "/screwdriver/sn_9bf8a3f92e11770d36318ac57c15a46/rendering/19.obj", "1.68045020103")</f>
        <v>1.68045020103</v>
      </c>
      <c r="W2555" s="12" t="s">
        <v>32</v>
      </c>
      <c r="X2555" s="13">
        <v>1.5702060222625731</v>
      </c>
      <c r="Y2555" s="13">
        <v>0.1253452752720973</v>
      </c>
      <c r="Z2555" s="51">
        <v>7.9827279665812378E-2</v>
      </c>
    </row>
    <row r="2556" spans="1:26" x14ac:dyDescent="0.2">
      <c r="A2556" s="1">
        <v>2554</v>
      </c>
      <c r="B2556" s="2" t="s">
        <v>543</v>
      </c>
      <c r="C2556" s="13" t="str">
        <f>HYPERLINK(AC2 &amp; "/screwdriver/sn_9bf8a3f92e11770d36318ac57c15a46/rendering/00.xyz", "0.0")</f>
        <v>0.0</v>
      </c>
      <c r="D2556" s="13" t="str">
        <f>HYPERLINK(AC2 &amp; "/screwdriver/sn_9bf8a3f92e11770d36318ac57c15a46/rendering/01.xyz", "0.0")</f>
        <v>0.0</v>
      </c>
      <c r="E2556" s="13" t="str">
        <f>HYPERLINK(AC2 &amp; "/screwdriver/sn_9bf8a3f92e11770d36318ac57c15a46/rendering/02.xyz", "0.0")</f>
        <v>0.0</v>
      </c>
      <c r="F2556" s="13" t="str">
        <f>HYPERLINK(AC2 &amp; "/screwdriver/sn_9bf8a3f92e11770d36318ac57c15a46/rendering/03.xyz", "0.0")</f>
        <v>0.0</v>
      </c>
      <c r="G2556" s="13" t="str">
        <f>HYPERLINK(AC2 &amp; "/screwdriver/sn_9bf8a3f92e11770d36318ac57c15a46/rendering/04.xyz", "0.0")</f>
        <v>0.0</v>
      </c>
      <c r="H2556" s="13" t="str">
        <f>HYPERLINK(AC2 &amp; "/screwdriver/sn_9bf8a3f92e11770d36318ac57c15a46/rendering/05.xyz", "0.0")</f>
        <v>0.0</v>
      </c>
      <c r="I2556" s="13" t="str">
        <f>HYPERLINK(AC2 &amp; "/screwdriver/sn_9bf8a3f92e11770d36318ac57c15a46/rendering/06.xyz", "0.0")</f>
        <v>0.0</v>
      </c>
      <c r="J2556" s="13" t="str">
        <f>HYPERLINK(AC2 &amp; "/screwdriver/sn_9bf8a3f92e11770d36318ac57c15a46/rendering/07.xyz", "0.0")</f>
        <v>0.0</v>
      </c>
      <c r="K2556" s="13" t="str">
        <f>HYPERLINK(AC2 &amp; "/screwdriver/sn_9bf8a3f92e11770d36318ac57c15a46/rendering/08.xyz", "0.0")</f>
        <v>0.0</v>
      </c>
      <c r="L2556" s="13" t="str">
        <f>HYPERLINK(AC2 &amp; "/screwdriver/sn_9bf8a3f92e11770d36318ac57c15a46/rendering/09.xyz", "0.0")</f>
        <v>0.0</v>
      </c>
      <c r="M2556" s="13" t="str">
        <f>HYPERLINK(AC2 &amp; "/screwdriver/sn_9bf8a3f92e11770d36318ac57c15a46/rendering/10.xyz", "0.0")</f>
        <v>0.0</v>
      </c>
      <c r="N2556" s="13" t="str">
        <f>HYPERLINK(AC2 &amp; "/screwdriver/sn_9bf8a3f92e11770d36318ac57c15a46/rendering/11.xyz", "0.0")</f>
        <v>0.0</v>
      </c>
      <c r="O2556" s="13" t="str">
        <f>HYPERLINK(AC2 &amp; "/screwdriver/sn_9bf8a3f92e11770d36318ac57c15a46/rendering/12.xyz", "0.0")</f>
        <v>0.0</v>
      </c>
      <c r="P2556" s="13" t="str">
        <f>HYPERLINK(AC2 &amp; "/screwdriver/sn_9bf8a3f92e11770d36318ac57c15a46/rendering/13.xyz", "0.0")</f>
        <v>0.0</v>
      </c>
      <c r="Q2556" s="13" t="str">
        <f>HYPERLINK(AC2 &amp; "/screwdriver/sn_9bf8a3f92e11770d36318ac57c15a46/rendering/14.xyz", "0.0")</f>
        <v>0.0</v>
      </c>
      <c r="R2556" s="13" t="str">
        <f>HYPERLINK(AC2 &amp; "/screwdriver/sn_9bf8a3f92e11770d36318ac57c15a46/rendering/15.xyz", "0.0")</f>
        <v>0.0</v>
      </c>
      <c r="S2556" s="13" t="str">
        <f>HYPERLINK(AC2 &amp; "/screwdriver/sn_9bf8a3f92e11770d36318ac57c15a46/rendering/16.xyz", "0.0")</f>
        <v>0.0</v>
      </c>
      <c r="T2556" s="13" t="str">
        <f>HYPERLINK(AC2 &amp; "/screwdriver/sn_9bf8a3f92e11770d36318ac57c15a46/rendering/17.xyz", "0.0")</f>
        <v>0.0</v>
      </c>
      <c r="U2556" s="13" t="str">
        <f>HYPERLINK(AC2 &amp; "/screwdriver/sn_9bf8a3f92e11770d36318ac57c15a46/rendering/18.xyz", "0.0")</f>
        <v>0.0</v>
      </c>
      <c r="V2556" s="13" t="str">
        <f>HYPERLINK(AC2 &amp; "/screwdriver/sn_9bf8a3f92e11770d36318ac57c15a46/rendering/19.xyz", "0.0")</f>
        <v>0.0</v>
      </c>
      <c r="W2556" s="12" t="s">
        <v>33</v>
      </c>
      <c r="X2556" s="13">
        <v>0</v>
      </c>
      <c r="Y2556" s="13">
        <v>0</v>
      </c>
      <c r="Z2556" s="13">
        <v>0</v>
      </c>
    </row>
    <row r="2557" spans="1:26" x14ac:dyDescent="0.2">
      <c r="A2557" s="1">
        <v>2555</v>
      </c>
      <c r="B2557" s="2" t="s">
        <v>544</v>
      </c>
      <c r="C2557" s="138" t="str">
        <f>HYPERLINK(AA2 &amp; "/screwdriver/sn_aecfe1b63799872cf015676d8305f05c/rendering/00.obj", "2.97101501465")</f>
        <v>2.97101501465</v>
      </c>
      <c r="D2557" s="198" t="str">
        <f>HYPERLINK(AA2 &amp; "/screwdriver/sn_aecfe1b63799872cf015676d8305f05c/rendering/01.obj", "2.74538848877")</f>
        <v>2.74538848877</v>
      </c>
      <c r="E2557" s="140" t="str">
        <f>HYPERLINK(AA2 &amp; "/screwdriver/sn_aecfe1b63799872cf015676d8305f05c/rendering/02.obj", "6.03317016602")</f>
        <v>6.03317016602</v>
      </c>
      <c r="F2557" s="99" t="str">
        <f>HYPERLINK(AA2 &amp; "/screwdriver/sn_aecfe1b63799872cf015676d8305f05c/rendering/03.obj", "3.26984191895")</f>
        <v>3.26984191895</v>
      </c>
      <c r="G2557" s="55" t="str">
        <f>HYPERLINK(AA2 &amp; "/screwdriver/sn_aecfe1b63799872cf015676d8305f05c/rendering/04.obj", "3.61192749023")</f>
        <v>3.61192749023</v>
      </c>
      <c r="H2557" s="7" t="str">
        <f>HYPERLINK(AA2 &amp; "/screwdriver/sn_aecfe1b63799872cf015676d8305f05c/rendering/05.obj", "3.2367288208")</f>
        <v>3.2367288208</v>
      </c>
      <c r="I2557" s="179" t="str">
        <f>HYPERLINK(AA2 &amp; "/screwdriver/sn_aecfe1b63799872cf015676d8305f05c/rendering/06.obj", "6.4068157959")</f>
        <v>6.4068157959</v>
      </c>
      <c r="J2557" s="94" t="str">
        <f>HYPERLINK(AA2 &amp; "/screwdriver/sn_aecfe1b63799872cf015676d8305f05c/rendering/07.obj", "4.15123687744")</f>
        <v>4.15123687744</v>
      </c>
      <c r="K2557" s="113" t="str">
        <f>HYPERLINK(AA2 &amp; "/screwdriver/sn_aecfe1b63799872cf015676d8305f05c/rendering/08.obj", "3.25021606445")</f>
        <v>3.25021606445</v>
      </c>
      <c r="L2557" s="156" t="str">
        <f>HYPERLINK(AA2 &amp; "/screwdriver/sn_aecfe1b63799872cf015676d8305f05c/rendering/09.obj", "2.47805603027")</f>
        <v>2.47805603027</v>
      </c>
      <c r="M2557" s="185" t="str">
        <f>HYPERLINK(AA2 &amp; "/screwdriver/sn_aecfe1b63799872cf015676d8305f05c/rendering/10.obj", "6.00767944336")</f>
        <v>6.00767944336</v>
      </c>
      <c r="N2557" s="103" t="str">
        <f>HYPERLINK(AA2 &amp; "/screwdriver/sn_aecfe1b63799872cf015676d8305f05c/rendering/11.obj", "3.02374206543")</f>
        <v>3.02374206543</v>
      </c>
      <c r="O2557" s="81" t="str">
        <f>HYPERLINK(AA2 &amp; "/screwdriver/sn_aecfe1b63799872cf015676d8305f05c/rendering/12.obj", "3.51205780029")</f>
        <v>3.51205780029</v>
      </c>
      <c r="P2557" s="80" t="str">
        <f>HYPERLINK(AA2 &amp; "/screwdriver/sn_aecfe1b63799872cf015676d8305f05c/rendering/13.obj", "3.82160400391")</f>
        <v>3.82160400391</v>
      </c>
      <c r="Q2557" s="20" t="str">
        <f>HYPERLINK(AA2 &amp; "/screwdriver/sn_aecfe1b63799872cf015676d8305f05c/rendering/14.obj", "10.331114502")</f>
        <v>10.331114502</v>
      </c>
      <c r="R2557" s="58" t="str">
        <f>HYPERLINK(AA2 &amp; "/screwdriver/sn_aecfe1b63799872cf015676d8305f05c/rendering/15.obj", "3.39711212158")</f>
        <v>3.39711212158</v>
      </c>
      <c r="S2557" s="99" t="str">
        <f>HYPERLINK(AA2 &amp; "/screwdriver/sn_aecfe1b63799872cf015676d8305f05c/rendering/16.obj", "3.27381896973")</f>
        <v>3.27381896973</v>
      </c>
      <c r="T2557" s="20" t="str">
        <f>HYPERLINK(AA2 &amp; "/screwdriver/sn_aecfe1b63799872cf015676d8305f05c/rendering/17.obj", "8.86101196289")</f>
        <v>8.86101196289</v>
      </c>
      <c r="U2557" s="96" t="str">
        <f>HYPERLINK(AA2 &amp; "/screwdriver/sn_aecfe1b63799872cf015676d8305f05c/rendering/18.obj", "6.11128295898")</f>
        <v>6.11128295898</v>
      </c>
      <c r="V2557" s="14" t="str">
        <f>HYPERLINK(AA2 &amp; "/screwdriver/sn_aecfe1b63799872cf015676d8305f05c/rendering/19.obj", "3.18670532227")</f>
        <v>3.18670532227</v>
      </c>
      <c r="W2557" s="12" t="s">
        <v>29</v>
      </c>
      <c r="X2557" s="13">
        <v>4.4840262908935546</v>
      </c>
      <c r="Y2557" s="13">
        <v>2.0858744464812018</v>
      </c>
      <c r="Z2557" s="203">
        <v>0.46517890644783427</v>
      </c>
    </row>
    <row r="2558" spans="1:26" x14ac:dyDescent="0.2">
      <c r="A2558" s="1">
        <v>2556</v>
      </c>
      <c r="B2558" s="2" t="s">
        <v>544</v>
      </c>
      <c r="C2558" s="57" t="str">
        <f>HYPERLINK(AA2 &amp; "/screwdriver/sn_aecfe1b63799872cf015676d8305f05c/rendering/00.obj", "2.05735206604")</f>
        <v>2.05735206604</v>
      </c>
      <c r="D2558" s="150" t="str">
        <f>HYPERLINK(AA2 &amp; "/screwdriver/sn_aecfe1b63799872cf015676d8305f05c/rendering/01.obj", "1.39149928093")</f>
        <v>1.39149928093</v>
      </c>
      <c r="E2558" s="49" t="str">
        <f>HYPERLINK(AA2 &amp; "/screwdriver/sn_aecfe1b63799872cf015676d8305f05c/rendering/02.obj", "2.37970280647")</f>
        <v>2.37970280647</v>
      </c>
      <c r="F2558" s="109" t="str">
        <f>HYPERLINK(AA2 &amp; "/screwdriver/sn_aecfe1b63799872cf015676d8305f05c/rendering/03.obj", "2.44048643112")</f>
        <v>2.44048643112</v>
      </c>
      <c r="G2558" s="132" t="str">
        <f>HYPERLINK(AA2 &amp; "/screwdriver/sn_aecfe1b63799872cf015676d8305f05c/rendering/04.obj", "1.74952876568")</f>
        <v>1.74952876568</v>
      </c>
      <c r="H2558" s="221" t="str">
        <f>HYPERLINK(AA2 &amp; "/screwdriver/sn_aecfe1b63799872cf015676d8305f05c/rendering/05.obj", "1.33590769768")</f>
        <v>1.33590769768</v>
      </c>
      <c r="I2558" s="65" t="str">
        <f>HYPERLINK(AA2 &amp; "/screwdriver/sn_aecfe1b63799872cf015676d8305f05c/rendering/06.obj", "3.40905165672")</f>
        <v>3.40905165672</v>
      </c>
      <c r="J2558" s="158" t="str">
        <f>HYPERLINK(AA2 &amp; "/screwdriver/sn_aecfe1b63799872cf015676d8305f05c/rendering/07.obj", "1.78107023239")</f>
        <v>1.78107023239</v>
      </c>
      <c r="K2558" s="141" t="str">
        <f>HYPERLINK(AA2 &amp; "/screwdriver/sn_aecfe1b63799872cf015676d8305f05c/rendering/08.obj", "1.35599327087")</f>
        <v>1.35599327087</v>
      </c>
      <c r="L2558" s="127" t="str">
        <f>HYPERLINK(AA2 &amp; "/screwdriver/sn_aecfe1b63799872cf015676d8305f05c/rendering/09.obj", "1.4479393959")</f>
        <v>1.4479393959</v>
      </c>
      <c r="M2558" s="106" t="str">
        <f>HYPERLINK(AA2 &amp; "/screwdriver/sn_aecfe1b63799872cf015676d8305f05c/rendering/10.obj", "2.66585946083")</f>
        <v>2.66585946083</v>
      </c>
      <c r="N2558" s="121" t="str">
        <f>HYPERLINK(AA2 &amp; "/screwdriver/sn_aecfe1b63799872cf015676d8305f05c/rendering/11.obj", "1.94565320015")</f>
        <v>1.94565320015</v>
      </c>
      <c r="O2558" s="107" t="str">
        <f>HYPERLINK(AA2 &amp; "/screwdriver/sn_aecfe1b63799872cf015676d8305f05c/rendering/12.obj", "2.75577163696")</f>
        <v>2.75577163696</v>
      </c>
      <c r="P2558" s="218" t="str">
        <f>HYPERLINK(AA2 &amp; "/screwdriver/sn_aecfe1b63799872cf015676d8305f05c/rendering/13.obj", "1.45617818832")</f>
        <v>1.45617818832</v>
      </c>
      <c r="Q2558" s="20" t="str">
        <f>HYPERLINK(AA2 &amp; "/screwdriver/sn_aecfe1b63799872cf015676d8305f05c/rendering/14.obj", "13.7301054001")</f>
        <v>13.7301054001</v>
      </c>
      <c r="R2558" s="195" t="str">
        <f>HYPERLINK(AA2 &amp; "/screwdriver/sn_aecfe1b63799872cf015676d8305f05c/rendering/15.obj", "1.36535096169")</f>
        <v>1.36535096169</v>
      </c>
      <c r="S2558" s="141" t="str">
        <f>HYPERLINK(AA2 &amp; "/screwdriver/sn_aecfe1b63799872cf015676d8305f05c/rendering/16.obj", "1.35515999794")</f>
        <v>1.35515999794</v>
      </c>
      <c r="T2558" s="20" t="str">
        <f>HYPERLINK(AA2 &amp; "/screwdriver/sn_aecfe1b63799872cf015676d8305f05c/rendering/17.obj", "6.54461812973")</f>
        <v>6.54461812973</v>
      </c>
      <c r="U2558" s="20" t="str">
        <f>HYPERLINK(AA2 &amp; "/screwdriver/sn_aecfe1b63799872cf015676d8305f05c/rendering/18.obj", "6.37219715118")</f>
        <v>6.37219715118</v>
      </c>
      <c r="V2558" s="63" t="str">
        <f>HYPERLINK(AA2 &amp; "/screwdriver/sn_aecfe1b63799872cf015676d8305f05c/rendering/19.obj", "2.64528679848")</f>
        <v>2.64528679848</v>
      </c>
      <c r="W2558" s="12" t="s">
        <v>30</v>
      </c>
      <c r="X2558" s="13">
        <v>3.0092356264591218</v>
      </c>
      <c r="Y2558" s="13">
        <v>2.8592878807904141</v>
      </c>
      <c r="Z2558" s="20">
        <v>0.95017081934353298</v>
      </c>
    </row>
    <row r="2559" spans="1:26" x14ac:dyDescent="0.2">
      <c r="A2559" s="1">
        <v>2557</v>
      </c>
      <c r="B2559" s="2" t="s">
        <v>544</v>
      </c>
      <c r="C2559" s="73" t="str">
        <f>HYPERLINK(AB2 &amp; "/screwdriver/sn_aecfe1b63799872cf015676d8305f05c/rendering/00.obj", "3.58615631104")</f>
        <v>3.58615631104</v>
      </c>
      <c r="D2559" s="109" t="str">
        <f>HYPERLINK(AB2 &amp; "/screwdriver/sn_aecfe1b63799872cf015676d8305f05c/rendering/01.obj", "4.12029693604")</f>
        <v>4.12029693604</v>
      </c>
      <c r="E2559" s="57" t="str">
        <f>HYPERLINK(AB2 &amp; "/screwdriver/sn_aecfe1b63799872cf015676d8305f05c/rendering/02.obj", "4.55596557617")</f>
        <v>4.55596557617</v>
      </c>
      <c r="F2559" s="98" t="str">
        <f>HYPERLINK(AB2 &amp; "/screwdriver/sn_aecfe1b63799872cf015676d8305f05c/rendering/03.obj", "4.25602874756")</f>
        <v>4.25602874756</v>
      </c>
      <c r="G2559" s="36" t="str">
        <f>HYPERLINK(AB2 &amp; "/screwdriver/sn_aecfe1b63799872cf015676d8305f05c/rendering/04.obj", "2.71389068604")</f>
        <v>2.71389068604</v>
      </c>
      <c r="H2559" s="17" t="str">
        <f>HYPERLINK(AB2 &amp; "/screwdriver/sn_aecfe1b63799872cf015676d8305f05c/rendering/05.obj", "3.3882623291")</f>
        <v>3.3882623291</v>
      </c>
      <c r="I2559" s="166" t="str">
        <f>HYPERLINK(AB2 &amp; "/screwdriver/sn_aecfe1b63799872cf015676d8305f05c/rendering/06.obj", "2.47073562622")</f>
        <v>2.47073562622</v>
      </c>
      <c r="J2559" s="47" t="str">
        <f>HYPERLINK(AB2 &amp; "/screwdriver/sn_aecfe1b63799872cf015676d8305f05c/rendering/07.obj", "3.48297729492")</f>
        <v>3.48297729492</v>
      </c>
      <c r="K2559" s="95" t="str">
        <f>HYPERLINK(AB2 &amp; "/screwdriver/sn_aecfe1b63799872cf015676d8305f05c/rendering/08.obj", "4.43034698486")</f>
        <v>4.43034698486</v>
      </c>
      <c r="L2559" s="94" t="str">
        <f>HYPERLINK(AB2 &amp; "/screwdriver/sn_aecfe1b63799872cf015676d8305f05c/rendering/09.obj", "3.20145965576")</f>
        <v>3.20145965576</v>
      </c>
      <c r="M2559" s="119" t="str">
        <f>HYPERLINK(AB2 &amp; "/screwdriver/sn_aecfe1b63799872cf015676d8305f05c/rendering/10.obj", "4.37412719727")</f>
        <v>4.37412719727</v>
      </c>
      <c r="N2559" s="77" t="str">
        <f>HYPERLINK(AB2 &amp; "/screwdriver/sn_aecfe1b63799872cf015676d8305f05c/rendering/11.obj", "2.80918212891")</f>
        <v>2.80918212891</v>
      </c>
      <c r="O2559" s="169" t="str">
        <f>HYPERLINK(AB2 &amp; "/screwdriver/sn_aecfe1b63799872cf015676d8305f05c/rendering/12.obj", "2.38175354004")</f>
        <v>2.38175354004</v>
      </c>
      <c r="P2559" s="30" t="str">
        <f>HYPERLINK(AB2 &amp; "/screwdriver/sn_aecfe1b63799872cf015676d8305f05c/rendering/13.obj", "3.47281829834")</f>
        <v>3.47281829834</v>
      </c>
      <c r="Q2559" s="86" t="str">
        <f>HYPERLINK(AB2 &amp; "/screwdriver/sn_aecfe1b63799872cf015676d8305f05c/rendering/14.obj", "2.53033462524")</f>
        <v>2.53033462524</v>
      </c>
      <c r="R2559" s="94" t="str">
        <f>HYPERLINK(AB2 &amp; "/screwdriver/sn_aecfe1b63799872cf015676d8305f05c/rendering/15.obj", "3.20750335693")</f>
        <v>3.20750335693</v>
      </c>
      <c r="S2559" s="206" t="str">
        <f>HYPERLINK(AB2 &amp; "/screwdriver/sn_aecfe1b63799872cf015676d8305f05c/rendering/16.obj", "5.50180664063")</f>
        <v>5.50180664063</v>
      </c>
      <c r="T2559" s="135" t="str">
        <f>HYPERLINK(AB2 &amp; "/screwdriver/sn_aecfe1b63799872cf015676d8305f05c/rendering/17.obj", "2.57441101074")</f>
        <v>2.57441101074</v>
      </c>
      <c r="U2559" s="58" t="str">
        <f>HYPERLINK(AB2 &amp; "/screwdriver/sn_aecfe1b63799872cf015676d8305f05c/rendering/18.obj", "2.61653137207")</f>
        <v>2.61653137207</v>
      </c>
      <c r="V2559" s="17" t="str">
        <f>HYPERLINK(AB2 &amp; "/screwdriver/sn_aecfe1b63799872cf015676d8305f05c/rendering/19.obj", "3.53558837891")</f>
        <v>3.53558837891</v>
      </c>
      <c r="W2559" s="12" t="s">
        <v>31</v>
      </c>
      <c r="X2559" s="13">
        <v>3.4605088348388682</v>
      </c>
      <c r="Y2559" s="13">
        <v>0.83236163748545566</v>
      </c>
      <c r="Z2559" s="59">
        <v>0.2405315741736036</v>
      </c>
    </row>
    <row r="2560" spans="1:26" x14ac:dyDescent="0.2">
      <c r="A2560" s="1">
        <v>2558</v>
      </c>
      <c r="B2560" s="2" t="s">
        <v>544</v>
      </c>
      <c r="C2560" s="32" t="str">
        <f>HYPERLINK(AB2 &amp; "/screwdriver/sn_aecfe1b63799872cf015676d8305f05c/rendering/00.obj", "1.51914525032")</f>
        <v>1.51914525032</v>
      </c>
      <c r="D2560" s="63" t="str">
        <f>HYPERLINK(AB2 &amp; "/screwdriver/sn_aecfe1b63799872cf015676d8305f05c/rendering/01.obj", "1.20875072479")</f>
        <v>1.20875072479</v>
      </c>
      <c r="E2560" s="94" t="str">
        <f>HYPERLINK(AB2 &amp; "/screwdriver/sn_aecfe1b63799872cf015676d8305f05c/rendering/02.obj", "1.47706305981")</f>
        <v>1.47706305981</v>
      </c>
      <c r="F2560" s="35" t="str">
        <f>HYPERLINK(AB2 &amp; "/screwdriver/sn_aecfe1b63799872cf015676d8305f05c/rendering/03.obj", "1.29220974445")</f>
        <v>1.29220974445</v>
      </c>
      <c r="G2560" s="136" t="str">
        <f>HYPERLINK(AB2 &amp; "/screwdriver/sn_aecfe1b63799872cf015676d8305f05c/rendering/04.obj", "1.04761183262")</f>
        <v>1.04761183262</v>
      </c>
      <c r="H2560" s="94" t="str">
        <f>HYPERLINK(AB2 &amp; "/screwdriver/sn_aecfe1b63799872cf015676d8305f05c/rendering/05.obj", "1.47568321228")</f>
        <v>1.47568321228</v>
      </c>
      <c r="I2560" s="6" t="str">
        <f>HYPERLINK(AB2 &amp; "/screwdriver/sn_aecfe1b63799872cf015676d8305f05c/rendering/06.obj", "1.31122565269")</f>
        <v>1.31122565269</v>
      </c>
      <c r="J2560" s="38" t="str">
        <f>HYPERLINK(AB2 &amp; "/screwdriver/sn_aecfe1b63799872cf015676d8305f05c/rendering/07.obj", "1.25044631958")</f>
        <v>1.25044631958</v>
      </c>
      <c r="K2560" s="90" t="str">
        <f>HYPERLINK(AB2 &amp; "/screwdriver/sn_aecfe1b63799872cf015676d8305f05c/rendering/08.obj", "1.24426937103")</f>
        <v>1.24426937103</v>
      </c>
      <c r="L2560" s="60" t="str">
        <f>HYPERLINK(AB2 &amp; "/screwdriver/sn_aecfe1b63799872cf015676d8305f05c/rendering/09.obj", "1.44631826878")</f>
        <v>1.44631826878</v>
      </c>
      <c r="M2560" s="90" t="str">
        <f>HYPERLINK(AB2 &amp; "/screwdriver/sn_aecfe1b63799872cf015676d8305f05c/rendering/10.obj", "1.243227005")</f>
        <v>1.243227005</v>
      </c>
      <c r="N2560" s="31" t="str">
        <f>HYPERLINK(AB2 &amp; "/screwdriver/sn_aecfe1b63799872cf015676d8305f05c/rendering/11.obj", "1.16213428974")</f>
        <v>1.16213428974</v>
      </c>
      <c r="O2560" s="38" t="str">
        <f>HYPERLINK(AB2 &amp; "/screwdriver/sn_aecfe1b63799872cf015676d8305f05c/rendering/12.obj", "1.49626755714")</f>
        <v>1.49626755714</v>
      </c>
      <c r="P2560" s="90" t="str">
        <f>HYPERLINK(AB2 &amp; "/screwdriver/sn_aecfe1b63799872cf015676d8305f05c/rendering/13.obj", "1.50726687908")</f>
        <v>1.50726687908</v>
      </c>
      <c r="Q2560" s="176" t="str">
        <f>HYPERLINK(AB2 &amp; "/screwdriver/sn_aecfe1b63799872cf015676d8305f05c/rendering/14.obj", "1.81072843075")</f>
        <v>1.81072843075</v>
      </c>
      <c r="R2560" s="8" t="str">
        <f>HYPERLINK(AB2 &amp; "/screwdriver/sn_aecfe1b63799872cf015676d8305f05c/rendering/15.obj", "1.56937170029")</f>
        <v>1.56937170029</v>
      </c>
      <c r="S2560" s="46" t="str">
        <f>HYPERLINK(AB2 &amp; "/screwdriver/sn_aecfe1b63799872cf015676d8305f05c/rendering/16.obj", "1.34991204739")</f>
        <v>1.34991204739</v>
      </c>
      <c r="T2560" s="26" t="str">
        <f>HYPERLINK(AB2 &amp; "/screwdriver/sn_aecfe1b63799872cf015676d8305f05c/rendering/17.obj", "1.28699862957")</f>
        <v>1.28699862957</v>
      </c>
      <c r="U2560" s="38" t="str">
        <f>HYPERLINK(AB2 &amp; "/screwdriver/sn_aecfe1b63799872cf015676d8305f05c/rendering/18.obj", "1.24878907204")</f>
        <v>1.24878907204</v>
      </c>
      <c r="V2560" s="28" t="str">
        <f>HYPERLINK(AB2 &amp; "/screwdriver/sn_aecfe1b63799872cf015676d8305f05c/rendering/19.obj", "1.52737176418")</f>
        <v>1.52737176418</v>
      </c>
      <c r="W2560" s="12" t="s">
        <v>32</v>
      </c>
      <c r="X2560" s="13">
        <v>1.373739540576935</v>
      </c>
      <c r="Y2560" s="13">
        <v>0.17244848479822911</v>
      </c>
      <c r="Z2560" s="70">
        <v>0.12553215489874101</v>
      </c>
    </row>
    <row r="2561" spans="1:26" x14ac:dyDescent="0.2">
      <c r="A2561" s="1">
        <v>2559</v>
      </c>
      <c r="B2561" s="2" t="s">
        <v>544</v>
      </c>
      <c r="C2561" s="13" t="str">
        <f>HYPERLINK(AC2 &amp; "/screwdriver/sn_aecfe1b63799872cf015676d8305f05c/rendering/00.xyz", "0.0")</f>
        <v>0.0</v>
      </c>
      <c r="D2561" s="13" t="str">
        <f>HYPERLINK(AC2 &amp; "/screwdriver/sn_aecfe1b63799872cf015676d8305f05c/rendering/01.xyz", "0.0")</f>
        <v>0.0</v>
      </c>
      <c r="E2561" s="13" t="str">
        <f>HYPERLINK(AC2 &amp; "/screwdriver/sn_aecfe1b63799872cf015676d8305f05c/rendering/02.xyz", "0.0")</f>
        <v>0.0</v>
      </c>
      <c r="F2561" s="13" t="str">
        <f>HYPERLINK(AC2 &amp; "/screwdriver/sn_aecfe1b63799872cf015676d8305f05c/rendering/03.xyz", "0.0")</f>
        <v>0.0</v>
      </c>
      <c r="G2561" s="13" t="str">
        <f>HYPERLINK(AC2 &amp; "/screwdriver/sn_aecfe1b63799872cf015676d8305f05c/rendering/04.xyz", "0.0")</f>
        <v>0.0</v>
      </c>
      <c r="H2561" s="13" t="str">
        <f>HYPERLINK(AC2 &amp; "/screwdriver/sn_aecfe1b63799872cf015676d8305f05c/rendering/05.xyz", "0.0")</f>
        <v>0.0</v>
      </c>
      <c r="I2561" s="13" t="str">
        <f>HYPERLINK(AC2 &amp; "/screwdriver/sn_aecfe1b63799872cf015676d8305f05c/rendering/06.xyz", "0.0")</f>
        <v>0.0</v>
      </c>
      <c r="J2561" s="13" t="str">
        <f>HYPERLINK(AC2 &amp; "/screwdriver/sn_aecfe1b63799872cf015676d8305f05c/rendering/07.xyz", "0.0")</f>
        <v>0.0</v>
      </c>
      <c r="K2561" s="13" t="str">
        <f>HYPERLINK(AC2 &amp; "/screwdriver/sn_aecfe1b63799872cf015676d8305f05c/rendering/08.xyz", "0.0")</f>
        <v>0.0</v>
      </c>
      <c r="L2561" s="13" t="str">
        <f>HYPERLINK(AC2 &amp; "/screwdriver/sn_aecfe1b63799872cf015676d8305f05c/rendering/09.xyz", "0.0")</f>
        <v>0.0</v>
      </c>
      <c r="M2561" s="13" t="str">
        <f>HYPERLINK(AC2 &amp; "/screwdriver/sn_aecfe1b63799872cf015676d8305f05c/rendering/10.xyz", "0.0")</f>
        <v>0.0</v>
      </c>
      <c r="N2561" s="13" t="str">
        <f>HYPERLINK(AC2 &amp; "/screwdriver/sn_aecfe1b63799872cf015676d8305f05c/rendering/11.xyz", "0.0")</f>
        <v>0.0</v>
      </c>
      <c r="O2561" s="13" t="str">
        <f>HYPERLINK(AC2 &amp; "/screwdriver/sn_aecfe1b63799872cf015676d8305f05c/rendering/12.xyz", "0.0")</f>
        <v>0.0</v>
      </c>
      <c r="P2561" s="13" t="str">
        <f>HYPERLINK(AC2 &amp; "/screwdriver/sn_aecfe1b63799872cf015676d8305f05c/rendering/13.xyz", "0.0")</f>
        <v>0.0</v>
      </c>
      <c r="Q2561" s="13" t="str">
        <f>HYPERLINK(AC2 &amp; "/screwdriver/sn_aecfe1b63799872cf015676d8305f05c/rendering/14.xyz", "0.0")</f>
        <v>0.0</v>
      </c>
      <c r="R2561" s="13" t="str">
        <f>HYPERLINK(AC2 &amp; "/screwdriver/sn_aecfe1b63799872cf015676d8305f05c/rendering/15.xyz", "0.0")</f>
        <v>0.0</v>
      </c>
      <c r="S2561" s="13" t="str">
        <f>HYPERLINK(AC2 &amp; "/screwdriver/sn_aecfe1b63799872cf015676d8305f05c/rendering/16.xyz", "0.0")</f>
        <v>0.0</v>
      </c>
      <c r="T2561" s="13" t="str">
        <f>HYPERLINK(AC2 &amp; "/screwdriver/sn_aecfe1b63799872cf015676d8305f05c/rendering/17.xyz", "0.0")</f>
        <v>0.0</v>
      </c>
      <c r="U2561" s="13" t="str">
        <f>HYPERLINK(AC2 &amp; "/screwdriver/sn_aecfe1b63799872cf015676d8305f05c/rendering/18.xyz", "0.0")</f>
        <v>0.0</v>
      </c>
      <c r="V2561" s="13" t="str">
        <f>HYPERLINK(AC2 &amp; "/screwdriver/sn_aecfe1b63799872cf015676d8305f05c/rendering/19.xyz", "0.0")</f>
        <v>0.0</v>
      </c>
      <c r="W2561" s="12" t="s">
        <v>33</v>
      </c>
      <c r="X2561" s="13">
        <v>0</v>
      </c>
      <c r="Y2561" s="13">
        <v>0</v>
      </c>
      <c r="Z2561" s="13">
        <v>0</v>
      </c>
    </row>
    <row r="2562" spans="1:26" x14ac:dyDescent="0.2">
      <c r="A2562" s="1">
        <v>2560</v>
      </c>
      <c r="B2562" s="2" t="s">
        <v>545</v>
      </c>
      <c r="C2562" s="186" t="str">
        <f>HYPERLINK(AA2 &amp; "/screwdriver/sn_af125e42204928abd9d3572bbd9cf789/rendering/00.obj", "5.67425292969")</f>
        <v>5.67425292969</v>
      </c>
      <c r="D2562" s="58" t="str">
        <f>HYPERLINK(AA2 &amp; "/screwdriver/sn_af125e42204928abd9d3572bbd9cf789/rendering/01.obj", "2.68105102539")</f>
        <v>2.68105102539</v>
      </c>
      <c r="E2562" s="134" t="str">
        <f>HYPERLINK(AA2 &amp; "/screwdriver/sn_af125e42204928abd9d3572bbd9cf789/rendering/02.obj", "2.90613037109")</f>
        <v>2.90613037109</v>
      </c>
      <c r="F2562" s="42" t="str">
        <f>HYPERLINK(AA2 &amp; "/screwdriver/sn_af125e42204928abd9d3572bbd9cf789/rendering/03.obj", "3.06708129883")</f>
        <v>3.06708129883</v>
      </c>
      <c r="G2562" s="14" t="str">
        <f>HYPERLINK(AA2 &amp; "/screwdriver/sn_af125e42204928abd9d3572bbd9cf789/rendering/04.obj", "2.51365188599")</f>
        <v>2.51365188599</v>
      </c>
      <c r="H2562" s="82" t="str">
        <f>HYPERLINK(AA2 &amp; "/screwdriver/sn_af125e42204928abd9d3572bbd9cf789/rendering/05.obj", "2.81912109375")</f>
        <v>2.81912109375</v>
      </c>
      <c r="I2562" s="29" t="str">
        <f>HYPERLINK(AA2 &amp; "/screwdriver/sn_af125e42204928abd9d3572bbd9cf789/rendering/06.obj", "3.08712921143")</f>
        <v>3.08712921143</v>
      </c>
      <c r="J2562" s="149" t="str">
        <f>HYPERLINK(AA2 &amp; "/screwdriver/sn_af125e42204928abd9d3572bbd9cf789/rendering/07.obj", "2.32351806641")</f>
        <v>2.32351806641</v>
      </c>
      <c r="K2562" s="153" t="str">
        <f>HYPERLINK(AA2 &amp; "/screwdriver/sn_af125e42204928abd9d3572bbd9cf789/rendering/08.obj", "2.28757537842")</f>
        <v>2.28757537842</v>
      </c>
      <c r="L2562" s="25" t="str">
        <f>HYPERLINK(AA2 &amp; "/screwdriver/sn_af125e42204928abd9d3572bbd9cf789/rendering/09.obj", "3.50983825684")</f>
        <v>3.50983825684</v>
      </c>
      <c r="M2562" s="75" t="str">
        <f>HYPERLINK(AA2 &amp; "/screwdriver/sn_af125e42204928abd9d3572bbd9cf789/rendering/10.obj", "2.76089752197")</f>
        <v>2.76089752197</v>
      </c>
      <c r="N2562" s="95" t="str">
        <f>HYPERLINK(AA2 &amp; "/screwdriver/sn_af125e42204928abd9d3572bbd9cf789/rendering/11.obj", "2.54981689453")</f>
        <v>2.54981689453</v>
      </c>
      <c r="O2562" s="81" t="str">
        <f>HYPERLINK(AA2 &amp; "/screwdriver/sn_af125e42204928abd9d3572bbd9cf789/rendering/12.obj", "2.77634033203")</f>
        <v>2.77634033203</v>
      </c>
      <c r="P2562" s="48" t="str">
        <f>HYPERLINK(AA2 &amp; "/screwdriver/sn_af125e42204928abd9d3572bbd9cf789/rendering/13.obj", "3.46023193359")</f>
        <v>3.46023193359</v>
      </c>
      <c r="Q2562" s="47" t="str">
        <f>HYPERLINK(AA2 &amp; "/screwdriver/sn_af125e42204928abd9d3572bbd9cf789/rendering/14.obj", "3.5196206665")</f>
        <v>3.5196206665</v>
      </c>
      <c r="R2562" s="20" t="str">
        <f>HYPERLINK(AA2 &amp; "/screwdriver/sn_af125e42204928abd9d3572bbd9cf789/rendering/15.obj", "10.0754107666")</f>
        <v>10.0754107666</v>
      </c>
      <c r="S2562" s="129" t="str">
        <f>HYPERLINK(AA2 &amp; "/screwdriver/sn_af125e42204928abd9d3572bbd9cf789/rendering/16.obj", "2.66529083252")</f>
        <v>2.66529083252</v>
      </c>
      <c r="T2562" s="48" t="str">
        <f>HYPERLINK(AA2 &amp; "/screwdriver/sn_af125e42204928abd9d3572bbd9cf789/rendering/17.obj", "3.63043518066")</f>
        <v>3.63043518066</v>
      </c>
      <c r="U2562" s="175" t="str">
        <f>HYPERLINK(AA2 &amp; "/screwdriver/sn_af125e42204928abd9d3572bbd9cf789/rendering/18.obj", "4.37500061035")</f>
        <v>4.37500061035</v>
      </c>
      <c r="V2562" s="44" t="str">
        <f>HYPERLINK(AA2 &amp; "/screwdriver/sn_af125e42204928abd9d3572bbd9cf789/rendering/19.obj", "4.24400726318")</f>
        <v>4.24400726318</v>
      </c>
      <c r="W2562" s="12" t="s">
        <v>29</v>
      </c>
      <c r="X2562" s="13">
        <v>3.5463200759887692</v>
      </c>
      <c r="Y2562" s="13">
        <v>1.6970575342557419</v>
      </c>
      <c r="Z2562" s="200">
        <v>0.47854043004919022</v>
      </c>
    </row>
    <row r="2563" spans="1:26" x14ac:dyDescent="0.2">
      <c r="A2563" s="1">
        <v>2561</v>
      </c>
      <c r="B2563" s="2" t="s">
        <v>545</v>
      </c>
      <c r="C2563" s="163" t="str">
        <f>HYPERLINK(AA2 &amp; "/screwdriver/sn_af125e42204928abd9d3572bbd9cf789/rendering/00.obj", "2.84692525864")</f>
        <v>2.84692525864</v>
      </c>
      <c r="D2563" s="193" t="str">
        <f>HYPERLINK(AA2 &amp; "/screwdriver/sn_af125e42204928abd9d3572bbd9cf789/rendering/01.obj", "1.32296276093")</f>
        <v>1.32296276093</v>
      </c>
      <c r="E2563" s="193" t="str">
        <f>HYPERLINK(AA2 &amp; "/screwdriver/sn_af125e42204928abd9d3572bbd9cf789/rendering/02.obj", "1.32134783268")</f>
        <v>1.32134783268</v>
      </c>
      <c r="F2563" s="52" t="str">
        <f>HYPERLINK(AA2 &amp; "/screwdriver/sn_af125e42204928abd9d3572bbd9cf789/rendering/03.obj", "1.18855309486")</f>
        <v>1.18855309486</v>
      </c>
      <c r="G2563" s="128" t="str">
        <f>HYPERLINK(AA2 &amp; "/screwdriver/sn_af125e42204928abd9d3572bbd9cf789/rendering/04.obj", "1.20404827595")</f>
        <v>1.20404827595</v>
      </c>
      <c r="H2563" s="136" t="str">
        <f>HYPERLINK(AA2 &amp; "/screwdriver/sn_af125e42204928abd9d3572bbd9cf789/rendering/05.obj", "2.44832324982")</f>
        <v>2.44832324982</v>
      </c>
      <c r="I2563" s="142" t="str">
        <f>HYPERLINK(AA2 &amp; "/screwdriver/sn_af125e42204928abd9d3572bbd9cf789/rendering/06.obj", "1.19808828831")</f>
        <v>1.19808828831</v>
      </c>
      <c r="J2563" s="196" t="str">
        <f>HYPERLINK(AA2 &amp; "/screwdriver/sn_af125e42204928abd9d3572bbd9cf789/rendering/07.obj", "1.19055020809")</f>
        <v>1.19055020809</v>
      </c>
      <c r="K2563" s="158" t="str">
        <f>HYPERLINK(AA2 &amp; "/screwdriver/sn_af125e42204928abd9d3572bbd9cf789/rendering/08.obj", "1.16781902313")</f>
        <v>1.16781902313</v>
      </c>
      <c r="L2563" s="119" t="str">
        <f>HYPERLINK(AA2 &amp; "/screwdriver/sn_af125e42204928abd9d3572bbd9cf789/rendering/09.obj", "1.45211541653")</f>
        <v>1.45211541653</v>
      </c>
      <c r="M2563" s="118" t="str">
        <f>HYPERLINK(AA2 &amp; "/screwdriver/sn_af125e42204928abd9d3572bbd9cf789/rendering/10.obj", "1.39987099171")</f>
        <v>1.39987099171</v>
      </c>
      <c r="N2563" s="111" t="str">
        <f>HYPERLINK(AA2 &amp; "/screwdriver/sn_af125e42204928abd9d3572bbd9cf789/rendering/11.obj", "1.1423637867")</f>
        <v>1.1423637867</v>
      </c>
      <c r="O2563" s="7" t="str">
        <f>HYPERLINK(AA2 &amp; "/screwdriver/sn_af125e42204928abd9d3572bbd9cf789/rendering/12.obj", "1.42730176449")</f>
        <v>1.42730176449</v>
      </c>
      <c r="P2563" s="14" t="str">
        <f>HYPERLINK(AA2 &amp; "/screwdriver/sn_af125e42204928abd9d3572bbd9cf789/rendering/13.obj", "1.40307939053")</f>
        <v>1.40307939053</v>
      </c>
      <c r="Q2563" s="20" t="str">
        <f>HYPERLINK(AA2 &amp; "/screwdriver/sn_af125e42204928abd9d3572bbd9cf789/rendering/14.obj", "3.81333184242")</f>
        <v>3.81333184242</v>
      </c>
      <c r="R2563" s="20" t="str">
        <f>HYPERLINK(AA2 &amp; "/screwdriver/sn_af125e42204928abd9d3572bbd9cf789/rendering/15.obj", "8.35021114349")</f>
        <v>8.35021114349</v>
      </c>
      <c r="S2563" s="74" t="str">
        <f>HYPERLINK(AA2 &amp; "/screwdriver/sn_af125e42204928abd9d3572bbd9cf789/rendering/16.obj", "1.95244848728")</f>
        <v>1.95244848728</v>
      </c>
      <c r="T2563" s="85" t="str">
        <f>HYPERLINK(AA2 &amp; "/screwdriver/sn_af125e42204928abd9d3572bbd9cf789/rendering/17.obj", "1.39063763618")</f>
        <v>1.39063763618</v>
      </c>
      <c r="U2563" s="24" t="str">
        <f>HYPERLINK(AA2 &amp; "/screwdriver/sn_af125e42204928abd9d3572bbd9cf789/rendering/18.obj", "1.64386200905")</f>
        <v>1.64386200905</v>
      </c>
      <c r="V2563" s="80" t="str">
        <f>HYPERLINK(AA2 &amp; "/screwdriver/sn_af125e42204928abd9d3572bbd9cf789/rendering/19.obj", "1.68189823627")</f>
        <v>1.68189823627</v>
      </c>
      <c r="W2563" s="12" t="s">
        <v>30</v>
      </c>
      <c r="X2563" s="13">
        <v>1.9772869348526001</v>
      </c>
      <c r="Y2563" s="13">
        <v>1.603197097845489</v>
      </c>
      <c r="Z2563" s="20">
        <v>0.81080649934350679</v>
      </c>
    </row>
    <row r="2564" spans="1:26" x14ac:dyDescent="0.2">
      <c r="A2564" s="1">
        <v>2562</v>
      </c>
      <c r="B2564" s="2" t="s">
        <v>545</v>
      </c>
      <c r="C2564" s="214" t="str">
        <f>HYPERLINK(AB2 &amp; "/screwdriver/sn_af125e42204928abd9d3572bbd9cf789/rendering/00.obj", "5.88951416016")</f>
        <v>5.88951416016</v>
      </c>
      <c r="D2564" s="63" t="str">
        <f>HYPERLINK(AB2 &amp; "/screwdriver/sn_af125e42204928abd9d3572bbd9cf789/rendering/01.obj", "3.2075692749")</f>
        <v>3.2075692749</v>
      </c>
      <c r="E2564" s="51" t="str">
        <f>HYPERLINK(AB2 &amp; "/screwdriver/sn_af125e42204928abd9d3572bbd9cf789/rendering/02.obj", "3.93834472656")</f>
        <v>3.93834472656</v>
      </c>
      <c r="F2564" s="19" t="str">
        <f>HYPERLINK(AB2 &amp; "/screwdriver/sn_af125e42204928abd9d3572bbd9cf789/rendering/03.obj", "2.68918518066")</f>
        <v>2.68918518066</v>
      </c>
      <c r="G2564" s="58" t="str">
        <f>HYPERLINK(AB2 &amp; "/screwdriver/sn_af125e42204928abd9d3572bbd9cf789/rendering/04.obj", "2.7550479126")</f>
        <v>2.7550479126</v>
      </c>
      <c r="H2564" s="91" t="str">
        <f>HYPERLINK(AB2 &amp; "/screwdriver/sn_af125e42204928abd9d3572bbd9cf789/rendering/05.obj", "3.55334960938")</f>
        <v>3.55334960938</v>
      </c>
      <c r="I2564" s="87" t="str">
        <f>HYPERLINK(AB2 &amp; "/screwdriver/sn_af125e42204928abd9d3572bbd9cf789/rendering/06.obj", "2.81192810059")</f>
        <v>2.81192810059</v>
      </c>
      <c r="J2564" s="80" t="str">
        <f>HYPERLINK(AB2 &amp; "/screwdriver/sn_af125e42204928abd9d3572bbd9cf789/rendering/07.obj", "4.19102478027")</f>
        <v>4.19102478027</v>
      </c>
      <c r="K2564" s="42" t="str">
        <f>HYPERLINK(AB2 &amp; "/screwdriver/sn_af125e42204928abd9d3572bbd9cf789/rendering/08.obj", "4.14420532227")</f>
        <v>4.14420532227</v>
      </c>
      <c r="L2564" s="198" t="str">
        <f>HYPERLINK(AB2 &amp; "/screwdriver/sn_af125e42204928abd9d3572bbd9cf789/rendering/09.obj", "2.23460662842")</f>
        <v>2.23460662842</v>
      </c>
      <c r="M2564" s="162" t="str">
        <f>HYPERLINK(AB2 &amp; "/screwdriver/sn_af125e42204928abd9d3572bbd9cf789/rendering/10.obj", "2.09070465088")</f>
        <v>2.09070465088</v>
      </c>
      <c r="N2564" s="5" t="str">
        <f>HYPERLINK(AB2 &amp; "/screwdriver/sn_af125e42204928abd9d3572bbd9cf789/rendering/11.obj", "3.9293270874")</f>
        <v>3.9293270874</v>
      </c>
      <c r="O2564" s="76" t="str">
        <f>HYPERLINK(AB2 &amp; "/screwdriver/sn_af125e42204928abd9d3572bbd9cf789/rendering/12.obj", "4.31555480957")</f>
        <v>4.31555480957</v>
      </c>
      <c r="P2564" s="136" t="str">
        <f>HYPERLINK(AB2 &amp; "/screwdriver/sn_af125e42204928abd9d3572bbd9cf789/rendering/13.obj", "4.50346740723")</f>
        <v>4.50346740723</v>
      </c>
      <c r="Q2564" s="89" t="str">
        <f>HYPERLINK(AB2 &amp; "/screwdriver/sn_af125e42204928abd9d3572bbd9cf789/rendering/14.obj", "2.69995239258")</f>
        <v>2.69995239258</v>
      </c>
      <c r="R2564" s="39" t="str">
        <f>HYPERLINK(AB2 &amp; "/screwdriver/sn_af125e42204928abd9d3572bbd9cf789/rendering/15.obj", "3.95812133789")</f>
        <v>3.95812133789</v>
      </c>
      <c r="S2564" s="98" t="str">
        <f>HYPERLINK(AB2 &amp; "/screwdriver/sn_af125e42204928abd9d3572bbd9cf789/rendering/16.obj", "4.49057373047")</f>
        <v>4.49057373047</v>
      </c>
      <c r="T2564" s="117" t="str">
        <f>HYPERLINK(AB2 &amp; "/screwdriver/sn_af125e42204928abd9d3572bbd9cf789/rendering/17.obj", "4.29583953857")</f>
        <v>4.29583953857</v>
      </c>
      <c r="U2564" s="53" t="str">
        <f>HYPERLINK(AB2 &amp; "/screwdriver/sn_af125e42204928abd9d3572bbd9cf789/rendering/18.obj", "5.14995239258")</f>
        <v>5.14995239258</v>
      </c>
      <c r="V2564" s="97" t="str">
        <f>HYPERLINK(AB2 &amp; "/screwdriver/sn_af125e42204928abd9d3572bbd9cf789/rendering/19.obj", "2.06367004395")</f>
        <v>2.06367004395</v>
      </c>
      <c r="W2564" s="12" t="s">
        <v>31</v>
      </c>
      <c r="X2564" s="13">
        <v>3.6455969543457032</v>
      </c>
      <c r="Y2564" s="13">
        <v>1.0207427760029359</v>
      </c>
      <c r="Z2564" s="95">
        <v>0.27999331489076662</v>
      </c>
    </row>
    <row r="2565" spans="1:26" x14ac:dyDescent="0.2">
      <c r="A2565" s="1">
        <v>2563</v>
      </c>
      <c r="B2565" s="2" t="s">
        <v>545</v>
      </c>
      <c r="C2565" s="69" t="str">
        <f>HYPERLINK(AB2 &amp; "/screwdriver/sn_af125e42204928abd9d3572bbd9cf789/rendering/00.obj", "1.30045378208")</f>
        <v>1.30045378208</v>
      </c>
      <c r="D2565" s="17" t="str">
        <f>HYPERLINK(AB2 &amp; "/screwdriver/sn_af125e42204928abd9d3572bbd9cf789/rendering/01.obj", "1.31344139576")</f>
        <v>1.31344139576</v>
      </c>
      <c r="E2565" s="47" t="str">
        <f>HYPERLINK(AB2 &amp; "/screwdriver/sn_af125e42204928abd9d3572bbd9cf789/rendering/02.obj", "1.32744193077")</f>
        <v>1.32744193077</v>
      </c>
      <c r="F2565" s="83" t="str">
        <f>HYPERLINK(AB2 &amp; "/screwdriver/sn_af125e42204928abd9d3572bbd9cf789/rendering/03.obj", "1.13698458672")</f>
        <v>1.13698458672</v>
      </c>
      <c r="G2565" s="31" t="str">
        <f>HYPERLINK(AB2 &amp; "/screwdriver/sn_af125e42204928abd9d3572bbd9cf789/rendering/04.obj", "1.13087129593")</f>
        <v>1.13087129593</v>
      </c>
      <c r="H2565" s="14" t="str">
        <f>HYPERLINK(AB2 &amp; "/screwdriver/sn_af125e42204928abd9d3572bbd9cf789/rendering/05.obj", "1.72691297531")</f>
        <v>1.72691297531</v>
      </c>
      <c r="I2565" s="51" t="str">
        <f>HYPERLINK(AB2 &amp; "/screwdriver/sn_af125e42204928abd9d3572bbd9cf789/rendering/06.obj", "1.23204052448")</f>
        <v>1.23204052448</v>
      </c>
      <c r="J2565" s="26" t="str">
        <f>HYPERLINK(AB2 &amp; "/screwdriver/sn_af125e42204928abd9d3572bbd9cf789/rendering/07.obj", "1.25333201885")</f>
        <v>1.25333201885</v>
      </c>
      <c r="K2565" s="38" t="str">
        <f>HYPERLINK(AB2 &amp; "/screwdriver/sn_af125e42204928abd9d3572bbd9cf789/rendering/08.obj", "1.22086286545")</f>
        <v>1.22086286545</v>
      </c>
      <c r="L2565" s="79" t="str">
        <f>HYPERLINK(AB2 &amp; "/screwdriver/sn_af125e42204928abd9d3572bbd9cf789/rendering/09.obj", "1.12665271759")</f>
        <v>1.12665271759</v>
      </c>
      <c r="M2565" s="25" t="str">
        <f>HYPERLINK(AB2 &amp; "/screwdriver/sn_af125e42204928abd9d3572bbd9cf789/rendering/10.obj", "1.35527086258")</f>
        <v>1.35527086258</v>
      </c>
      <c r="N2565" s="60" t="str">
        <f>HYPERLINK(AB2 &amp; "/screwdriver/sn_af125e42204928abd9d3572bbd9cf789/rendering/11.obj", "1.26844620705")</f>
        <v>1.26844620705</v>
      </c>
      <c r="O2565" s="28" t="str">
        <f>HYPERLINK(AB2 &amp; "/screwdriver/sn_af125e42204928abd9d3572bbd9cf789/rendering/12.obj", "1.48758387566")</f>
        <v>1.48758387566</v>
      </c>
      <c r="P2565" s="133" t="str">
        <f>HYPERLINK(AB2 &amp; "/screwdriver/sn_af125e42204928abd9d3572bbd9cf789/rendering/13.obj", "1.47670173645")</f>
        <v>1.47670173645</v>
      </c>
      <c r="Q2565" s="80" t="str">
        <f>HYPERLINK(AB2 &amp; "/screwdriver/sn_af125e42204928abd9d3572bbd9cf789/rendering/14.obj", "1.13882243633")</f>
        <v>1.13882243633</v>
      </c>
      <c r="R2565" s="33" t="str">
        <f>HYPERLINK(AB2 &amp; "/screwdriver/sn_af125e42204928abd9d3572bbd9cf789/rendering/15.obj", "1.48312056065")</f>
        <v>1.48312056065</v>
      </c>
      <c r="S2565" s="10" t="str">
        <f>HYPERLINK(AB2 &amp; "/screwdriver/sn_af125e42204928abd9d3572bbd9cf789/rendering/16.obj", "1.41358757019")</f>
        <v>1.41358757019</v>
      </c>
      <c r="T2565" s="34" t="str">
        <f>HYPERLINK(AB2 &amp; "/screwdriver/sn_af125e42204928abd9d3572bbd9cf789/rendering/17.obj", "1.40528655052")</f>
        <v>1.40528655052</v>
      </c>
      <c r="U2565" s="109" t="str">
        <f>HYPERLINK(AB2 &amp; "/screwdriver/sn_af125e42204928abd9d3572bbd9cf789/rendering/18.obj", "1.59269988537")</f>
        <v>1.59269988537</v>
      </c>
      <c r="V2565" s="73" t="str">
        <f>HYPERLINK(AB2 &amp; "/screwdriver/sn_af125e42204928abd9d3572bbd9cf789/rendering/19.obj", "1.3874014616")</f>
        <v>1.3874014616</v>
      </c>
      <c r="W2565" s="12" t="s">
        <v>32</v>
      </c>
      <c r="X2565" s="13">
        <v>1.338895761966705</v>
      </c>
      <c r="Y2565" s="13">
        <v>0.15787504915615999</v>
      </c>
      <c r="Z2565" s="71">
        <v>0.11791436916960379</v>
      </c>
    </row>
    <row r="2566" spans="1:26" x14ac:dyDescent="0.2">
      <c r="A2566" s="1">
        <v>2564</v>
      </c>
      <c r="B2566" s="2" t="s">
        <v>545</v>
      </c>
      <c r="C2566" s="13" t="str">
        <f>HYPERLINK(AC2 &amp; "/screwdriver/sn_af125e42204928abd9d3572bbd9cf789/rendering/00.xyz", "0.0")</f>
        <v>0.0</v>
      </c>
      <c r="D2566" s="13" t="str">
        <f>HYPERLINK(AC2 &amp; "/screwdriver/sn_af125e42204928abd9d3572bbd9cf789/rendering/01.xyz", "0.0")</f>
        <v>0.0</v>
      </c>
      <c r="E2566" s="13" t="str">
        <f>HYPERLINK(AC2 &amp; "/screwdriver/sn_af125e42204928abd9d3572bbd9cf789/rendering/02.xyz", "0.0")</f>
        <v>0.0</v>
      </c>
      <c r="F2566" s="13" t="str">
        <f>HYPERLINK(AC2 &amp; "/screwdriver/sn_af125e42204928abd9d3572bbd9cf789/rendering/03.xyz", "0.0")</f>
        <v>0.0</v>
      </c>
      <c r="G2566" s="13" t="str">
        <f>HYPERLINK(AC2 &amp; "/screwdriver/sn_af125e42204928abd9d3572bbd9cf789/rendering/04.xyz", "0.0")</f>
        <v>0.0</v>
      </c>
      <c r="H2566" s="13" t="str">
        <f>HYPERLINK(AC2 &amp; "/screwdriver/sn_af125e42204928abd9d3572bbd9cf789/rendering/05.xyz", "0.0")</f>
        <v>0.0</v>
      </c>
      <c r="I2566" s="13" t="str">
        <f>HYPERLINK(AC2 &amp; "/screwdriver/sn_af125e42204928abd9d3572bbd9cf789/rendering/06.xyz", "0.0")</f>
        <v>0.0</v>
      </c>
      <c r="J2566" s="13" t="str">
        <f>HYPERLINK(AC2 &amp; "/screwdriver/sn_af125e42204928abd9d3572bbd9cf789/rendering/07.xyz", "0.0")</f>
        <v>0.0</v>
      </c>
      <c r="K2566" s="13" t="str">
        <f>HYPERLINK(AC2 &amp; "/screwdriver/sn_af125e42204928abd9d3572bbd9cf789/rendering/08.xyz", "0.0")</f>
        <v>0.0</v>
      </c>
      <c r="L2566" s="13" t="str">
        <f>HYPERLINK(AC2 &amp; "/screwdriver/sn_af125e42204928abd9d3572bbd9cf789/rendering/09.xyz", "0.0")</f>
        <v>0.0</v>
      </c>
      <c r="M2566" s="13" t="str">
        <f>HYPERLINK(AC2 &amp; "/screwdriver/sn_af125e42204928abd9d3572bbd9cf789/rendering/10.xyz", "0.0")</f>
        <v>0.0</v>
      </c>
      <c r="N2566" s="13" t="str">
        <f>HYPERLINK(AC2 &amp; "/screwdriver/sn_af125e42204928abd9d3572bbd9cf789/rendering/11.xyz", "0.0")</f>
        <v>0.0</v>
      </c>
      <c r="O2566" s="13" t="str">
        <f>HYPERLINK(AC2 &amp; "/screwdriver/sn_af125e42204928abd9d3572bbd9cf789/rendering/12.xyz", "0.0")</f>
        <v>0.0</v>
      </c>
      <c r="P2566" s="13" t="str">
        <f>HYPERLINK(AC2 &amp; "/screwdriver/sn_af125e42204928abd9d3572bbd9cf789/rendering/13.xyz", "0.0")</f>
        <v>0.0</v>
      </c>
      <c r="Q2566" s="13" t="str">
        <f>HYPERLINK(AC2 &amp; "/screwdriver/sn_af125e42204928abd9d3572bbd9cf789/rendering/14.xyz", "0.0")</f>
        <v>0.0</v>
      </c>
      <c r="R2566" s="13" t="str">
        <f>HYPERLINK(AC2 &amp; "/screwdriver/sn_af125e42204928abd9d3572bbd9cf789/rendering/15.xyz", "0.0")</f>
        <v>0.0</v>
      </c>
      <c r="S2566" s="13" t="str">
        <f>HYPERLINK(AC2 &amp; "/screwdriver/sn_af125e42204928abd9d3572bbd9cf789/rendering/16.xyz", "0.0")</f>
        <v>0.0</v>
      </c>
      <c r="T2566" s="13" t="str">
        <f>HYPERLINK(AC2 &amp; "/screwdriver/sn_af125e42204928abd9d3572bbd9cf789/rendering/17.xyz", "0.0")</f>
        <v>0.0</v>
      </c>
      <c r="U2566" s="13" t="str">
        <f>HYPERLINK(AC2 &amp; "/screwdriver/sn_af125e42204928abd9d3572bbd9cf789/rendering/18.xyz", "0.0")</f>
        <v>0.0</v>
      </c>
      <c r="V2566" s="13" t="str">
        <f>HYPERLINK(AC2 &amp; "/screwdriver/sn_af125e42204928abd9d3572bbd9cf789/rendering/19.xyz", "0.0")</f>
        <v>0.0</v>
      </c>
      <c r="W2566" s="12" t="s">
        <v>33</v>
      </c>
      <c r="X2566" s="13">
        <v>0</v>
      </c>
      <c r="Y2566" s="13">
        <v>0</v>
      </c>
      <c r="Z2566" s="13">
        <v>0</v>
      </c>
    </row>
    <row r="2567" spans="1:26" x14ac:dyDescent="0.2">
      <c r="A2567" s="1">
        <v>2565</v>
      </c>
      <c r="B2567" s="2" t="s">
        <v>546</v>
      </c>
      <c r="C2567" s="121" t="str">
        <f>HYPERLINK(AA2 &amp; "/screwdriver/sn_bcdb7d9d6a873800cb9c7bfbbc4da1ef/rendering/00.obj", "2.54089111328")</f>
        <v>2.54089111328</v>
      </c>
      <c r="D2567" s="108" t="str">
        <f>HYPERLINK(AA2 &amp; "/screwdriver/sn_bcdb7d9d6a873800cb9c7bfbbc4da1ef/rendering/01.obj", "2.96645996094")</f>
        <v>2.96645996094</v>
      </c>
      <c r="E2567" s="152" t="str">
        <f>HYPERLINK(AA2 &amp; "/screwdriver/sn_bcdb7d9d6a873800cb9c7bfbbc4da1ef/rendering/02.obj", "2.33428894043")</f>
        <v>2.33428894043</v>
      </c>
      <c r="F2567" s="26" t="str">
        <f>HYPERLINK(AA2 &amp; "/screwdriver/sn_bcdb7d9d6a873800cb9c7bfbbc4da1ef/rendering/03.obj", "3.6799230957")</f>
        <v>3.6799230957</v>
      </c>
      <c r="G2567" s="250" t="str">
        <f>HYPERLINK(AA2 &amp; "/screwdriver/sn_bcdb7d9d6a873800cb9c7bfbbc4da1ef/rendering/04.obj", "6.6238104248")</f>
        <v>6.6238104248</v>
      </c>
      <c r="H2567" s="20" t="str">
        <f>HYPERLINK(AA2 &amp; "/screwdriver/sn_bcdb7d9d6a873800cb9c7bfbbc4da1ef/rendering/05.obj", "8.29052612305")</f>
        <v>8.29052612305</v>
      </c>
      <c r="I2567" s="67" t="str">
        <f>HYPERLINK(AA2 &amp; "/screwdriver/sn_bcdb7d9d6a873800cb9c7bfbbc4da1ef/rendering/06.obj", "3.56014648438")</f>
        <v>3.56014648438</v>
      </c>
      <c r="J2567" s="172" t="str">
        <f>HYPERLINK(AA2 &amp; "/screwdriver/sn_bcdb7d9d6a873800cb9c7bfbbc4da1ef/rendering/07.obj", "5.43262573242")</f>
        <v>5.43262573242</v>
      </c>
      <c r="K2567" s="176" t="str">
        <f>HYPERLINK(AA2 &amp; "/screwdriver/sn_bcdb7d9d6a873800cb9c7bfbbc4da1ef/rendering/08.obj", "2.67647888184")</f>
        <v>2.67647888184</v>
      </c>
      <c r="L2567" s="122" t="str">
        <f>HYPERLINK(AA2 &amp; "/screwdriver/sn_bcdb7d9d6a873800cb9c7bfbbc4da1ef/rendering/09.obj", "2.34913085938")</f>
        <v>2.34913085938</v>
      </c>
      <c r="M2567" s="73" t="str">
        <f>HYPERLINK(AA2 &amp; "/screwdriver/sn_bcdb7d9d6a873800cb9c7bfbbc4da1ef/rendering/10.obj", "3.78308074951")</f>
        <v>3.78308074951</v>
      </c>
      <c r="N2567" s="103" t="str">
        <f>HYPERLINK(AA2 &amp; "/screwdriver/sn_bcdb7d9d6a873800cb9c7bfbbc4da1ef/rendering/11.obj", "2.65527069092")</f>
        <v>2.65527069092</v>
      </c>
      <c r="O2567" s="140" t="str">
        <f>HYPERLINK(AA2 &amp; "/screwdriver/sn_bcdb7d9d6a873800cb9c7bfbbc4da1ef/rendering/12.obj", "2.56137817383")</f>
        <v>2.56137817383</v>
      </c>
      <c r="P2567" s="192" t="str">
        <f>HYPERLINK(AA2 &amp; "/screwdriver/sn_bcdb7d9d6a873800cb9c7bfbbc4da1ef/rendering/13.obj", "2.46919006348")</f>
        <v>2.46919006348</v>
      </c>
      <c r="Q2567" s="7" t="str">
        <f>HYPERLINK(AA2 &amp; "/screwdriver/sn_bcdb7d9d6a873800cb9c7bfbbc4da1ef/rendering/14.obj", "2.84199401855")</f>
        <v>2.84199401855</v>
      </c>
      <c r="R2567" s="83" t="str">
        <f>HYPERLINK(AA2 &amp; "/screwdriver/sn_bcdb7d9d6a873800cb9c7bfbbc4da1ef/rendering/15.obj", "3.33449829102")</f>
        <v>3.33449829102</v>
      </c>
      <c r="S2567" s="98" t="str">
        <f>HYPERLINK(AA2 &amp; "/screwdriver/sn_bcdb7d9d6a873800cb9c7bfbbc4da1ef/rendering/16.obj", "4.83499023437")</f>
        <v>4.83499023437</v>
      </c>
      <c r="T2567" s="20" t="str">
        <f>HYPERLINK(AA2 &amp; "/screwdriver/sn_bcdb7d9d6a873800cb9c7bfbbc4da1ef/rendering/17.obj", "8.96398071289")</f>
        <v>8.96398071289</v>
      </c>
      <c r="U2567" s="98" t="str">
        <f>HYPERLINK(AA2 &amp; "/screwdriver/sn_bcdb7d9d6a873800cb9c7bfbbc4da1ef/rendering/18.obj", "3.01958435059")</f>
        <v>3.01958435059</v>
      </c>
      <c r="V2567" s="27" t="str">
        <f>HYPERLINK(AA2 &amp; "/screwdriver/sn_bcdb7d9d6a873800cb9c7bfbbc4da1ef/rendering/19.obj", "3.64693878174")</f>
        <v>3.64693878174</v>
      </c>
      <c r="W2567" s="12" t="s">
        <v>29</v>
      </c>
      <c r="X2567" s="13">
        <v>3.928259384155274</v>
      </c>
      <c r="Y2567" s="13">
        <v>1.90346638504699</v>
      </c>
      <c r="Z2567" s="148">
        <v>0.48455720432430338</v>
      </c>
    </row>
    <row r="2568" spans="1:26" x14ac:dyDescent="0.2">
      <c r="A2568" s="1">
        <v>2566</v>
      </c>
      <c r="B2568" s="2" t="s">
        <v>546</v>
      </c>
      <c r="C2568" s="126" t="str">
        <f>HYPERLINK(AA2 &amp; "/screwdriver/sn_bcdb7d9d6a873800cb9c7bfbbc4da1ef/rendering/00.obj", "1.32073056698")</f>
        <v>1.32073056698</v>
      </c>
      <c r="D2568" s="163" t="str">
        <f>HYPERLINK(AA2 &amp; "/screwdriver/sn_bcdb7d9d6a873800cb9c7bfbbc4da1ef/rendering/01.obj", "1.47522592545")</f>
        <v>1.47522592545</v>
      </c>
      <c r="E2568" s="230" t="str">
        <f>HYPERLINK(AA2 &amp; "/screwdriver/sn_bcdb7d9d6a873800cb9c7bfbbc4da1ef/rendering/02.obj", "1.4360550642")</f>
        <v>1.4360550642</v>
      </c>
      <c r="F2568" s="29" t="str">
        <f>HYPERLINK(AA2 &amp; "/screwdriver/sn_bcdb7d9d6a873800cb9c7bfbbc4da1ef/rendering/03.obj", "2.29136633873")</f>
        <v>2.29136633873</v>
      </c>
      <c r="G2568" s="59" t="str">
        <f>HYPERLINK(AA2 &amp; "/screwdriver/sn_bcdb7d9d6a873800cb9c7bfbbc4da1ef/rendering/04.obj", "3.27342391014")</f>
        <v>3.27342391014</v>
      </c>
      <c r="H2568" s="20" t="str">
        <f>HYPERLINK(AA2 &amp; "/screwdriver/sn_bcdb7d9d6a873800cb9c7bfbbc4da1ef/rendering/05.obj", "6.92587614059")</f>
        <v>6.92587614059</v>
      </c>
      <c r="I2568" s="79" t="str">
        <f>HYPERLINK(AA2 &amp; "/screwdriver/sn_bcdb7d9d6a873800cb9c7bfbbc4da1ef/rendering/06.obj", "2.223310709")</f>
        <v>2.223310709</v>
      </c>
      <c r="J2568" s="20" t="str">
        <f>HYPERLINK(AA2 &amp; "/screwdriver/sn_bcdb7d9d6a873800cb9c7bfbbc4da1ef/rendering/07.obj", "6.2539973259")</f>
        <v>6.2539973259</v>
      </c>
      <c r="K2568" s="116" t="str">
        <f>HYPERLINK(AA2 &amp; "/screwdriver/sn_bcdb7d9d6a873800cb9c7bfbbc4da1ef/rendering/08.obj", "1.48005080223")</f>
        <v>1.48005080223</v>
      </c>
      <c r="L2568" s="158" t="str">
        <f>HYPERLINK(AA2 &amp; "/screwdriver/sn_bcdb7d9d6a873800cb9c7bfbbc4da1ef/rendering/09.obj", "1.55517852306")</f>
        <v>1.55517852306</v>
      </c>
      <c r="M2568" s="39" t="str">
        <f>HYPERLINK(AA2 &amp; "/screwdriver/sn_bcdb7d9d6a873800cb9c7bfbbc4da1ef/rendering/10.obj", "2.86365818977")</f>
        <v>2.86365818977</v>
      </c>
      <c r="N2568" s="149" t="str">
        <f>HYPERLINK(AA2 &amp; "/screwdriver/sn_bcdb7d9d6a873800cb9c7bfbbc4da1ef/rendering/11.obj", "1.73167252541")</f>
        <v>1.73167252541</v>
      </c>
      <c r="O2568" s="102" t="str">
        <f>HYPERLINK(AA2 &amp; "/screwdriver/sn_bcdb7d9d6a873800cb9c7bfbbc4da1ef/rendering/12.obj", "1.32744705677")</f>
        <v>1.32744705677</v>
      </c>
      <c r="P2568" s="15" t="str">
        <f>HYPERLINK(AA2 &amp; "/screwdriver/sn_bcdb7d9d6a873800cb9c7bfbbc4da1ef/rendering/13.obj", "1.29828441143")</f>
        <v>1.29828441143</v>
      </c>
      <c r="Q2568" s="163" t="str">
        <f>HYPERLINK(AA2 &amp; "/screwdriver/sn_bcdb7d9d6a873800cb9c7bfbbc4da1ef/rendering/14.obj", "1.47508215904")</f>
        <v>1.47508215904</v>
      </c>
      <c r="R2568" s="91" t="str">
        <f>HYPERLINK(AA2 &amp; "/screwdriver/sn_bcdb7d9d6a873800cb9c7bfbbc4da1ef/rendering/15.obj", "2.56384682655")</f>
        <v>2.56384682655</v>
      </c>
      <c r="S2568" s="66" t="str">
        <f>HYPERLINK(AA2 &amp; "/screwdriver/sn_bcdb7d9d6a873800cb9c7bfbbc4da1ef/rendering/16.obj", "2.21113991737")</f>
        <v>2.21113991737</v>
      </c>
      <c r="T2568" s="20" t="str">
        <f>HYPERLINK(AA2 &amp; "/screwdriver/sn_bcdb7d9d6a873800cb9c7bfbbc4da1ef/rendering/17.obj", "7.02167510986")</f>
        <v>7.02167510986</v>
      </c>
      <c r="U2568" s="152" t="str">
        <f>HYPERLINK(AA2 &amp; "/screwdriver/sn_bcdb7d9d6a873800cb9c7bfbbc4da1ef/rendering/18.obj", "1.56568920612")</f>
        <v>1.56568920612</v>
      </c>
      <c r="V2568" s="41" t="str">
        <f>HYPERLINK(AA2 &amp; "/screwdriver/sn_bcdb7d9d6a873800cb9c7bfbbc4da1ef/rendering/19.obj", "2.4570646286")</f>
        <v>2.4570646286</v>
      </c>
      <c r="W2568" s="12" t="s">
        <v>30</v>
      </c>
      <c r="X2568" s="13">
        <v>2.637538766860962</v>
      </c>
      <c r="Y2568" s="13">
        <v>1.810061906581818</v>
      </c>
      <c r="Z2568" s="250">
        <v>0.68626930884357906</v>
      </c>
    </row>
    <row r="2569" spans="1:26" x14ac:dyDescent="0.2">
      <c r="A2569" s="1">
        <v>2567</v>
      </c>
      <c r="B2569" s="2" t="s">
        <v>546</v>
      </c>
      <c r="C2569" s="40" t="str">
        <f>HYPERLINK(AB2 &amp; "/screwdriver/sn_bcdb7d9d6a873800cb9c7bfbbc4da1ef/rendering/00.obj", "3.4966784668")</f>
        <v>3.4966784668</v>
      </c>
      <c r="D2569" s="68" t="str">
        <f>HYPERLINK(AB2 &amp; "/screwdriver/sn_bcdb7d9d6a873800cb9c7bfbbc4da1ef/rendering/01.obj", "3.11452301025")</f>
        <v>3.11452301025</v>
      </c>
      <c r="E2569" s="106" t="str">
        <f>HYPERLINK(AB2 &amp; "/screwdriver/sn_bcdb7d9d6a873800cb9c7bfbbc4da1ef/rendering/02.obj", "3.32549987793")</f>
        <v>3.32549987793</v>
      </c>
      <c r="F2569" s="77" t="str">
        <f>HYPERLINK(AB2 &amp; "/screwdriver/sn_bcdb7d9d6a873800cb9c7bfbbc4da1ef/rendering/03.obj", "2.42708831787")</f>
        <v>2.42708831787</v>
      </c>
      <c r="G2569" s="127" t="str">
        <f>HYPERLINK(AB2 &amp; "/screwdriver/sn_bcdb7d9d6a873800cb9c7bfbbc4da1ef/rendering/04.obj", "4.5369039917")</f>
        <v>4.5369039917</v>
      </c>
      <c r="H2569" s="5" t="str">
        <f>HYPERLINK(AB2 &amp; "/screwdriver/sn_bcdb7d9d6a873800cb9c7bfbbc4da1ef/rendering/05.obj", "3.21650909424")</f>
        <v>3.21650909424</v>
      </c>
      <c r="I2569" s="65" t="str">
        <f>HYPERLINK(AB2 &amp; "/screwdriver/sn_bcdb7d9d6a873800cb9c7bfbbc4da1ef/rendering/06.obj", "2.59067169189")</f>
        <v>2.59067169189</v>
      </c>
      <c r="J2569" s="140" t="str">
        <f>HYPERLINK(AB2 &amp; "/screwdriver/sn_bcdb7d9d6a873800cb9c7bfbbc4da1ef/rendering/07.obj", "1.94940979004")</f>
        <v>1.94940979004</v>
      </c>
      <c r="K2569" s="29" t="str">
        <f>HYPERLINK(AB2 &amp; "/screwdriver/sn_bcdb7d9d6a873800cb9c7bfbbc4da1ef/rendering/08.obj", "2.59844848633")</f>
        <v>2.59844848633</v>
      </c>
      <c r="L2569" s="128" t="str">
        <f>HYPERLINK(AB2 &amp; "/screwdriver/sn_bcdb7d9d6a873800cb9c7bfbbc4da1ef/rendering/09.obj", "1.82133880615")</f>
        <v>1.82133880615</v>
      </c>
      <c r="M2569" s="23" t="str">
        <f>HYPERLINK(AB2 &amp; "/screwdriver/sn_bcdb7d9d6a873800cb9c7bfbbc4da1ef/rendering/10.obj", "2.86337097168")</f>
        <v>2.86337097168</v>
      </c>
      <c r="N2569" s="120" t="str">
        <f>HYPERLINK(AB2 &amp; "/screwdriver/sn_bcdb7d9d6a873800cb9c7bfbbc4da1ef/rendering/11.obj", "2.35331329346")</f>
        <v>2.35331329346</v>
      </c>
      <c r="O2569" s="135" t="str">
        <f>HYPERLINK(AB2 &amp; "/screwdriver/sn_bcdb7d9d6a873800cb9c7bfbbc4da1ef/rendering/12.obj", "2.21990600586")</f>
        <v>2.21990600586</v>
      </c>
      <c r="P2569" s="44" t="str">
        <f>HYPERLINK(AB2 &amp; "/screwdriver/sn_bcdb7d9d6a873800cb9c7bfbbc4da1ef/rendering/13.obj", "2.40367523193")</f>
        <v>2.40367523193</v>
      </c>
      <c r="Q2569" s="27" t="str">
        <f>HYPERLINK(AB2 &amp; "/screwdriver/sn_bcdb7d9d6a873800cb9c7bfbbc4da1ef/rendering/14.obj", "2.77818786621")</f>
        <v>2.77818786621</v>
      </c>
      <c r="R2569" s="166" t="str">
        <f>HYPERLINK(AB2 &amp; "/screwdriver/sn_bcdb7d9d6a873800cb9c7bfbbc4da1ef/rendering/15.obj", "2.12351226807")</f>
        <v>2.12351226807</v>
      </c>
      <c r="S2569" s="183" t="str">
        <f>HYPERLINK(AB2 &amp; "/screwdriver/sn_bcdb7d9d6a873800cb9c7bfbbc4da1ef/rendering/16.obj", "5.22758666992")</f>
        <v>5.22758666992</v>
      </c>
      <c r="T2569" s="82" t="str">
        <f>HYPERLINK(AB2 &amp; "/screwdriver/sn_bcdb7d9d6a873800cb9c7bfbbc4da1ef/rendering/17.obj", "3.59720153809")</f>
        <v>3.59720153809</v>
      </c>
      <c r="U2569" s="9" t="str">
        <f>HYPERLINK(AB2 &amp; "/screwdriver/sn_bcdb7d9d6a873800cb9c7bfbbc4da1ef/rendering/18.obj", "4.94849975586")</f>
        <v>4.94849975586</v>
      </c>
      <c r="V2569" s="100" t="str">
        <f>HYPERLINK(AB2 &amp; "/screwdriver/sn_bcdb7d9d6a873800cb9c7bfbbc4da1ef/rendering/19.obj", "2.09362426758")</f>
        <v>2.09362426758</v>
      </c>
      <c r="W2569" s="12" t="s">
        <v>31</v>
      </c>
      <c r="X2569" s="13">
        <v>2.9842974700927729</v>
      </c>
      <c r="Y2569" s="13">
        <v>0.95066265532331329</v>
      </c>
      <c r="Z2569" s="176">
        <v>0.31855492451754808</v>
      </c>
    </row>
    <row r="2570" spans="1:26" x14ac:dyDescent="0.2">
      <c r="A2570" s="1">
        <v>2568</v>
      </c>
      <c r="B2570" s="2" t="s">
        <v>546</v>
      </c>
      <c r="C2570" s="110" t="str">
        <f>HYPERLINK(AB2 &amp; "/screwdriver/sn_bcdb7d9d6a873800cb9c7bfbbc4da1ef/rendering/00.obj", "1.31176877022")</f>
        <v>1.31176877022</v>
      </c>
      <c r="D2570" s="78" t="str">
        <f>HYPERLINK(AB2 &amp; "/screwdriver/sn_bcdb7d9d6a873800cb9c7bfbbc4da1ef/rendering/01.obj", "1.54887938499")</f>
        <v>1.54887938499</v>
      </c>
      <c r="E2570" s="80" t="str">
        <f>HYPERLINK(AB2 &amp; "/screwdriver/sn_bcdb7d9d6a873800cb9c7bfbbc4da1ef/rendering/02.obj", "1.67298150063")</f>
        <v>1.67298150063</v>
      </c>
      <c r="F2570" s="31" t="str">
        <f>HYPERLINK(AB2 &amp; "/screwdriver/sn_bcdb7d9d6a873800cb9c7bfbbc4da1ef/rendering/03.obj", "1.23327064514")</f>
        <v>1.23327064514</v>
      </c>
      <c r="G2570" s="7" t="str">
        <f>HYPERLINK(AB2 &amp; "/screwdriver/sn_bcdb7d9d6a873800cb9c7bfbbc4da1ef/rendering/04.obj", "1.86212193966")</f>
        <v>1.86212193966</v>
      </c>
      <c r="H2570" s="142" t="str">
        <f>HYPERLINK(AB2 &amp; "/screwdriver/sn_bcdb7d9d6a873800cb9c7bfbbc4da1ef/rendering/05.obj", "2.02972626686")</f>
        <v>2.02972626686</v>
      </c>
      <c r="I2570" s="6" t="str">
        <f>HYPERLINK(AB2 &amp; "/screwdriver/sn_bcdb7d9d6a873800cb9c7bfbbc4da1ef/rendering/06.obj", "1.52509558201")</f>
        <v>1.52509558201</v>
      </c>
      <c r="J2570" s="80" t="str">
        <f>HYPERLINK(AB2 &amp; "/screwdriver/sn_bcdb7d9d6a873800cb9c7bfbbc4da1ef/rendering/07.obj", "1.24085426331")</f>
        <v>1.24085426331</v>
      </c>
      <c r="K2570" s="51" t="str">
        <f>HYPERLINK(AB2 &amp; "/screwdriver/sn_bcdb7d9d6a873800cb9c7bfbbc4da1ef/rendering/08.obj", "1.34045600891")</f>
        <v>1.34045600891</v>
      </c>
      <c r="L2570" s="66" t="str">
        <f>HYPERLINK(AB2 &amp; "/screwdriver/sn_bcdb7d9d6a873800cb9c7bfbbc4da1ef/rendering/09.obj", "1.22422075272")</f>
        <v>1.22422075272</v>
      </c>
      <c r="M2570" s="6" t="str">
        <f>HYPERLINK(AB2 &amp; "/screwdriver/sn_bcdb7d9d6a873800cb9c7bfbbc4da1ef/rendering/10.obj", "1.52461946011")</f>
        <v>1.52461946011</v>
      </c>
      <c r="N2570" s="27" t="str">
        <f>HYPERLINK(AB2 &amp; "/screwdriver/sn_bcdb7d9d6a873800cb9c7bfbbc4da1ef/rendering/11.obj", "1.35430645943")</f>
        <v>1.35430645943</v>
      </c>
      <c r="O2570" s="65" t="str">
        <f>HYPERLINK(AB2 &amp; "/screwdriver/sn_bcdb7d9d6a873800cb9c7bfbbc4da1ef/rendering/12.obj", "1.26561927795")</f>
        <v>1.26561927795</v>
      </c>
      <c r="P2570" s="34" t="str">
        <f>HYPERLINK(AB2 &amp; "/screwdriver/sn_bcdb7d9d6a873800cb9c7bfbbc4da1ef/rendering/13.obj", "1.38916301727")</f>
        <v>1.38916301727</v>
      </c>
      <c r="Q2570" s="71" t="str">
        <f>HYPERLINK(AB2 &amp; "/screwdriver/sn_bcdb7d9d6a873800cb9c7bfbbc4da1ef/rendering/14.obj", "1.28496611118")</f>
        <v>1.28496611118</v>
      </c>
      <c r="R2570" s="107" t="str">
        <f>HYPERLINK(AB2 &amp; "/screwdriver/sn_bcdb7d9d6a873800cb9c7bfbbc4da1ef/rendering/15.obj", "1.33760178089")</f>
        <v>1.33760178089</v>
      </c>
      <c r="S2570" s="99" t="str">
        <f>HYPERLINK(AB2 &amp; "/screwdriver/sn_bcdb7d9d6a873800cb9c7bfbbc4da1ef/rendering/16.obj", "1.8530728817")</f>
        <v>1.8530728817</v>
      </c>
      <c r="T2570" s="25" t="str">
        <f>HYPERLINK(AB2 &amp; "/screwdriver/sn_bcdb7d9d6a873800cb9c7bfbbc4da1ef/rendering/17.obj", "1.47294592857")</f>
        <v>1.47294592857</v>
      </c>
      <c r="U2570" s="91" t="str">
        <f>HYPERLINK(AB2 &amp; "/screwdriver/sn_bcdb7d9d6a873800cb9c7bfbbc4da1ef/rendering/18.obj", "1.49509119987")</f>
        <v>1.49509119987</v>
      </c>
      <c r="V2570" s="76" t="str">
        <f>HYPERLINK(AB2 &amp; "/screwdriver/sn_bcdb7d9d6a873800cb9c7bfbbc4da1ef/rendering/19.obj", "1.19043731689")</f>
        <v>1.19043731689</v>
      </c>
      <c r="W2570" s="12" t="s">
        <v>32</v>
      </c>
      <c r="X2570" s="13">
        <v>1.4578599274158479</v>
      </c>
      <c r="Y2570" s="13">
        <v>0.23101069177079309</v>
      </c>
      <c r="Z2570" s="79">
        <v>0.15845877057631641</v>
      </c>
    </row>
    <row r="2571" spans="1:26" x14ac:dyDescent="0.2">
      <c r="A2571" s="1">
        <v>2569</v>
      </c>
      <c r="B2571" s="2" t="s">
        <v>546</v>
      </c>
      <c r="C2571" s="13" t="str">
        <f>HYPERLINK(AC2 &amp; "/screwdriver/sn_bcdb7d9d6a873800cb9c7bfbbc4da1ef/rendering/00.xyz", "0.0")</f>
        <v>0.0</v>
      </c>
      <c r="D2571" s="13" t="str">
        <f>HYPERLINK(AC2 &amp; "/screwdriver/sn_bcdb7d9d6a873800cb9c7bfbbc4da1ef/rendering/01.xyz", "0.0")</f>
        <v>0.0</v>
      </c>
      <c r="E2571" s="13" t="str">
        <f>HYPERLINK(AC2 &amp; "/screwdriver/sn_bcdb7d9d6a873800cb9c7bfbbc4da1ef/rendering/02.xyz", "0.0")</f>
        <v>0.0</v>
      </c>
      <c r="F2571" s="13" t="str">
        <f>HYPERLINK(AC2 &amp; "/screwdriver/sn_bcdb7d9d6a873800cb9c7bfbbc4da1ef/rendering/03.xyz", "0.0")</f>
        <v>0.0</v>
      </c>
      <c r="G2571" s="13" t="str">
        <f>HYPERLINK(AC2 &amp; "/screwdriver/sn_bcdb7d9d6a873800cb9c7bfbbc4da1ef/rendering/04.xyz", "0.0")</f>
        <v>0.0</v>
      </c>
      <c r="H2571" s="13" t="str">
        <f>HYPERLINK(AC2 &amp; "/screwdriver/sn_bcdb7d9d6a873800cb9c7bfbbc4da1ef/rendering/05.xyz", "0.0")</f>
        <v>0.0</v>
      </c>
      <c r="I2571" s="13" t="str">
        <f>HYPERLINK(AC2 &amp; "/screwdriver/sn_bcdb7d9d6a873800cb9c7bfbbc4da1ef/rendering/06.xyz", "0.0")</f>
        <v>0.0</v>
      </c>
      <c r="J2571" s="13" t="str">
        <f>HYPERLINK(AC2 &amp; "/screwdriver/sn_bcdb7d9d6a873800cb9c7bfbbc4da1ef/rendering/07.xyz", "0.0")</f>
        <v>0.0</v>
      </c>
      <c r="K2571" s="13" t="str">
        <f>HYPERLINK(AC2 &amp; "/screwdriver/sn_bcdb7d9d6a873800cb9c7bfbbc4da1ef/rendering/08.xyz", "0.0")</f>
        <v>0.0</v>
      </c>
      <c r="L2571" s="13" t="str">
        <f>HYPERLINK(AC2 &amp; "/screwdriver/sn_bcdb7d9d6a873800cb9c7bfbbc4da1ef/rendering/09.xyz", "0.0")</f>
        <v>0.0</v>
      </c>
      <c r="M2571" s="13" t="str">
        <f>HYPERLINK(AC2 &amp; "/screwdriver/sn_bcdb7d9d6a873800cb9c7bfbbc4da1ef/rendering/10.xyz", "0.0")</f>
        <v>0.0</v>
      </c>
      <c r="N2571" s="13" t="str">
        <f>HYPERLINK(AC2 &amp; "/screwdriver/sn_bcdb7d9d6a873800cb9c7bfbbc4da1ef/rendering/11.xyz", "0.0")</f>
        <v>0.0</v>
      </c>
      <c r="O2571" s="13" t="str">
        <f>HYPERLINK(AC2 &amp; "/screwdriver/sn_bcdb7d9d6a873800cb9c7bfbbc4da1ef/rendering/12.xyz", "0.0")</f>
        <v>0.0</v>
      </c>
      <c r="P2571" s="13" t="str">
        <f>HYPERLINK(AC2 &amp; "/screwdriver/sn_bcdb7d9d6a873800cb9c7bfbbc4da1ef/rendering/13.xyz", "0.0")</f>
        <v>0.0</v>
      </c>
      <c r="Q2571" s="13" t="str">
        <f>HYPERLINK(AC2 &amp; "/screwdriver/sn_bcdb7d9d6a873800cb9c7bfbbc4da1ef/rendering/14.xyz", "0.0")</f>
        <v>0.0</v>
      </c>
      <c r="R2571" s="13" t="str">
        <f>HYPERLINK(AC2 &amp; "/screwdriver/sn_bcdb7d9d6a873800cb9c7bfbbc4da1ef/rendering/15.xyz", "0.0")</f>
        <v>0.0</v>
      </c>
      <c r="S2571" s="13" t="str">
        <f>HYPERLINK(AC2 &amp; "/screwdriver/sn_bcdb7d9d6a873800cb9c7bfbbc4da1ef/rendering/16.xyz", "0.0")</f>
        <v>0.0</v>
      </c>
      <c r="T2571" s="13" t="str">
        <f>HYPERLINK(AC2 &amp; "/screwdriver/sn_bcdb7d9d6a873800cb9c7bfbbc4da1ef/rendering/17.xyz", "0.0")</f>
        <v>0.0</v>
      </c>
      <c r="U2571" s="13" t="str">
        <f>HYPERLINK(AC2 &amp; "/screwdriver/sn_bcdb7d9d6a873800cb9c7bfbbc4da1ef/rendering/18.xyz", "0.0")</f>
        <v>0.0</v>
      </c>
      <c r="V2571" s="13" t="str">
        <f>HYPERLINK(AC2 &amp; "/screwdriver/sn_bcdb7d9d6a873800cb9c7bfbbc4da1ef/rendering/19.xyz", "0.0")</f>
        <v>0.0</v>
      </c>
      <c r="W2571" s="12" t="s">
        <v>33</v>
      </c>
      <c r="X2571" s="13">
        <v>0</v>
      </c>
      <c r="Y2571" s="13">
        <v>0</v>
      </c>
      <c r="Z2571" s="13">
        <v>0</v>
      </c>
    </row>
    <row r="2572" spans="1:26" x14ac:dyDescent="0.2">
      <c r="A2572" s="1">
        <v>2570</v>
      </c>
      <c r="B2572" s="2" t="s">
        <v>547</v>
      </c>
      <c r="C2572" s="81" t="str">
        <f>HYPERLINK(AA2 &amp; "/screwdriver/sn_c4d2c5d527a0fbd1bc539d76bf348fa1/rendering/00.obj", "2.66712890625")</f>
        <v>2.66712890625</v>
      </c>
      <c r="D2572" s="82" t="str">
        <f>HYPERLINK(AA2 &amp; "/screwdriver/sn_c4d2c5d527a0fbd1bc539d76bf348fa1/rendering/01.obj", "2.70579467773")</f>
        <v>2.70579467773</v>
      </c>
      <c r="E2572" s="179" t="str">
        <f>HYPERLINK(AA2 &amp; "/screwdriver/sn_c4d2c5d527a0fbd1bc539d76bf348fa1/rendering/02.obj", "4.87137695312")</f>
        <v>4.87137695312</v>
      </c>
      <c r="F2572" s="185" t="str">
        <f>HYPERLINK(AA2 &amp; "/screwdriver/sn_c4d2c5d527a0fbd1bc539d76bf348fa1/rendering/03.obj", "4.57053649902")</f>
        <v>4.57053649902</v>
      </c>
      <c r="G2572" s="7" t="str">
        <f>HYPERLINK(AA2 &amp; "/screwdriver/sn_c4d2c5d527a0fbd1bc539d76bf348fa1/rendering/04.obj", "4.35474121094")</f>
        <v>4.35474121094</v>
      </c>
      <c r="H2572" s="6" t="str">
        <f>HYPERLINK(AA2 &amp; "/screwdriver/sn_c4d2c5d527a0fbd1bc539d76bf348fa1/rendering/05.obj", "3.25725524902")</f>
        <v>3.25725524902</v>
      </c>
      <c r="I2572" s="63" t="str">
        <f>HYPERLINK(AA2 &amp; "/screwdriver/sn_c4d2c5d527a0fbd1bc539d76bf348fa1/rendering/06.obj", "2.99979797363")</f>
        <v>2.99979797363</v>
      </c>
      <c r="J2572" s="95" t="str">
        <f>HYPERLINK(AA2 &amp; "/screwdriver/sn_c4d2c5d527a0fbd1bc539d76bf348fa1/rendering/07.obj", "2.4477520752")</f>
        <v>2.4477520752</v>
      </c>
      <c r="K2572" s="82" t="str">
        <f>HYPERLINK(AA2 &amp; "/screwdriver/sn_c4d2c5d527a0fbd1bc539d76bf348fa1/rendering/08.obj", "4.11136077881")</f>
        <v>4.11136077881</v>
      </c>
      <c r="L2572" s="166" t="str">
        <f>HYPERLINK(AA2 &amp; "/screwdriver/sn_c4d2c5d527a0fbd1bc539d76bf348fa1/rendering/09.obj", "2.43393264771")</f>
        <v>2.43393264771</v>
      </c>
      <c r="M2572" s="25" t="str">
        <f>HYPERLINK(AA2 &amp; "/screwdriver/sn_c4d2c5d527a0fbd1bc539d76bf348fa1/rendering/10.obj", "3.36818847656")</f>
        <v>3.36818847656</v>
      </c>
      <c r="N2572" s="26" t="str">
        <f>HYPERLINK(AA2 &amp; "/screwdriver/sn_c4d2c5d527a0fbd1bc539d76bf348fa1/rendering/11.obj", "3.6258114624")</f>
        <v>3.6258114624</v>
      </c>
      <c r="O2572" s="83" t="str">
        <f>HYPERLINK(AA2 &amp; "/screwdriver/sn_c4d2c5d527a0fbd1bc539d76bf348fa1/rendering/12.obj", "2.89452606201")</f>
        <v>2.89452606201</v>
      </c>
      <c r="P2572" s="137" t="str">
        <f>HYPERLINK(AA2 &amp; "/screwdriver/sn_c4d2c5d527a0fbd1bc539d76bf348fa1/rendering/13.obj", "2.16068847656")</f>
        <v>2.16068847656</v>
      </c>
      <c r="Q2572" s="76" t="str">
        <f>HYPERLINK(AA2 &amp; "/screwdriver/sn_c4d2c5d527a0fbd1bc539d76bf348fa1/rendering/14.obj", "2.78821502686")</f>
        <v>2.78821502686</v>
      </c>
      <c r="R2572" s="87" t="str">
        <f>HYPERLINK(AA2 &amp; "/screwdriver/sn_c4d2c5d527a0fbd1bc539d76bf348fa1/rendering/15.obj", "2.63131164551")</f>
        <v>2.63131164551</v>
      </c>
      <c r="S2572" s="20" t="str">
        <f>HYPERLINK(AA2 &amp; "/screwdriver/sn_c4d2c5d527a0fbd1bc539d76bf348fa1/rendering/16.obj", "9.36385131836")</f>
        <v>9.36385131836</v>
      </c>
      <c r="T2572" s="124" t="str">
        <f>HYPERLINK(AA2 &amp; "/screwdriver/sn_c4d2c5d527a0fbd1bc539d76bf348fa1/rendering/17.obj", "2.11489212036")</f>
        <v>2.11489212036</v>
      </c>
      <c r="U2572" s="85" t="str">
        <f>HYPERLINK(AA2 &amp; "/screwdriver/sn_c4d2c5d527a0fbd1bc539d76bf348fa1/rendering/18.obj", "2.39925598145")</f>
        <v>2.39925598145</v>
      </c>
      <c r="V2572" s="14" t="str">
        <f>HYPERLINK(AA2 &amp; "/screwdriver/sn_c4d2c5d527a0fbd1bc539d76bf348fa1/rendering/19.obj", "2.42515380859")</f>
        <v>2.42515380859</v>
      </c>
      <c r="W2572" s="12" t="s">
        <v>29</v>
      </c>
      <c r="X2572" s="13">
        <v>3.409578567504882</v>
      </c>
      <c r="Y2572" s="13">
        <v>1.580662166746851</v>
      </c>
      <c r="Z2572" s="131">
        <v>0.46359458667748921</v>
      </c>
    </row>
    <row r="2573" spans="1:26" x14ac:dyDescent="0.2">
      <c r="A2573" s="1">
        <v>2571</v>
      </c>
      <c r="B2573" s="2" t="s">
        <v>547</v>
      </c>
      <c r="C2573" s="89" t="str">
        <f>HYPERLINK(AA2 &amp; "/screwdriver/sn_c4d2c5d527a0fbd1bc539d76bf348fa1/rendering/00.obj", "1.81859266758")</f>
        <v>1.81859266758</v>
      </c>
      <c r="D2573" s="157" t="str">
        <f>HYPERLINK(AA2 &amp; "/screwdriver/sn_c4d2c5d527a0fbd1bc539d76bf348fa1/rendering/01.obj", "1.43783175945")</f>
        <v>1.43783175945</v>
      </c>
      <c r="E2573" s="20" t="str">
        <f>HYPERLINK(AA2 &amp; "/screwdriver/sn_c4d2c5d527a0fbd1bc539d76bf348fa1/rendering/02.obj", "5.60430622101")</f>
        <v>5.60430622101</v>
      </c>
      <c r="F2573" s="102" t="str">
        <f>HYPERLINK(AA2 &amp; "/screwdriver/sn_c4d2c5d527a0fbd1bc539d76bf348fa1/rendering/03.obj", "3.67761158943")</f>
        <v>3.67761158943</v>
      </c>
      <c r="G2573" s="225" t="str">
        <f>HYPERLINK(AA2 &amp; "/screwdriver/sn_c4d2c5d527a0fbd1bc539d76bf348fa1/rendering/04.obj", "3.85362505913")</f>
        <v>3.85362505913</v>
      </c>
      <c r="H2573" s="198" t="str">
        <f>HYPERLINK(AA2 &amp; "/screwdriver/sn_c4d2c5d527a0fbd1bc539d76bf348fa1/rendering/05.obj", "1.5052498579")</f>
        <v>1.5052498579</v>
      </c>
      <c r="I2573" s="77" t="str">
        <f>HYPERLINK(AA2 &amp; "/screwdriver/sn_c4d2c5d527a0fbd1bc539d76bf348fa1/rendering/06.obj", "1.99666404724")</f>
        <v>1.99666404724</v>
      </c>
      <c r="J2573" s="145" t="str">
        <f>HYPERLINK(AA2 &amp; "/screwdriver/sn_c4d2c5d527a0fbd1bc539d76bf348fa1/rendering/07.obj", "1.25317823887")</f>
        <v>1.25317823887</v>
      </c>
      <c r="K2573" s="121" t="str">
        <f>HYPERLINK(AA2 &amp; "/screwdriver/sn_c4d2c5d527a0fbd1bc539d76bf348fa1/rendering/08.obj", "3.32427382469")</f>
        <v>3.32427382469</v>
      </c>
      <c r="L2573" s="123" t="str">
        <f>HYPERLINK(AA2 &amp; "/screwdriver/sn_c4d2c5d527a0fbd1bc539d76bf348fa1/rendering/09.obj", "1.5491257906")</f>
        <v>1.5491257906</v>
      </c>
      <c r="M2573" s="101" t="str">
        <f>HYPERLINK(AA2 &amp; "/screwdriver/sn_c4d2c5d527a0fbd1bc539d76bf348fa1/rendering/10.obj", "1.53089010715")</f>
        <v>1.53089010715</v>
      </c>
      <c r="N2573" s="47" t="str">
        <f>HYPERLINK(AA2 &amp; "/screwdriver/sn_c4d2c5d527a0fbd1bc539d76bf348fa1/rendering/11.obj", "2.47570204735")</f>
        <v>2.47570204735</v>
      </c>
      <c r="O2573" s="43" t="str">
        <f>HYPERLINK(AA2 &amp; "/screwdriver/sn_c4d2c5d527a0fbd1bc539d76bf348fa1/rendering/12.obj", "1.5368616581")</f>
        <v>1.5368616581</v>
      </c>
      <c r="P2573" s="230" t="str">
        <f>HYPERLINK(AA2 &amp; "/screwdriver/sn_c4d2c5d527a0fbd1bc539d76bf348fa1/rendering/13.obj", "1.33730733395")</f>
        <v>1.33730733395</v>
      </c>
      <c r="Q2573" s="98" t="str">
        <f>HYPERLINK(AA2 &amp; "/screwdriver/sn_c4d2c5d527a0fbd1bc539d76bf348fa1/rendering/14.obj", "1.88854670525")</f>
        <v>1.88854670525</v>
      </c>
      <c r="R2573" s="169" t="str">
        <f>HYPERLINK(AA2 &amp; "/screwdriver/sn_c4d2c5d527a0fbd1bc539d76bf348fa1/rendering/15.obj", "1.69267129898")</f>
        <v>1.69267129898</v>
      </c>
      <c r="S2573" s="20" t="str">
        <f>HYPERLINK(AA2 &amp; "/screwdriver/sn_c4d2c5d527a0fbd1bc539d76bf348fa1/rendering/16.obj", "8.65861988068")</f>
        <v>8.65861988068</v>
      </c>
      <c r="T2573" s="131" t="str">
        <f>HYPERLINK(AA2 &amp; "/screwdriver/sn_c4d2c5d527a0fbd1bc539d76bf348fa1/rendering/17.obj", "1.31805419922")</f>
        <v>1.31805419922</v>
      </c>
      <c r="U2573" s="156" t="str">
        <f>HYPERLINK(AA2 &amp; "/screwdriver/sn_c4d2c5d527a0fbd1bc539d76bf348fa1/rendering/18.obj", "1.36017155647")</f>
        <v>1.36017155647</v>
      </c>
      <c r="V2573" s="131" t="str">
        <f>HYPERLINK(AA2 &amp; "/screwdriver/sn_c4d2c5d527a0fbd1bc539d76bf348fa1/rendering/19.obj", "1.32215368748")</f>
        <v>1.32215368748</v>
      </c>
      <c r="W2573" s="12" t="s">
        <v>30</v>
      </c>
      <c r="X2573" s="13">
        <v>2.457071876525879</v>
      </c>
      <c r="Y2573" s="13">
        <v>1.8034620971296149</v>
      </c>
      <c r="Z2573" s="242">
        <v>0.73398833561172805</v>
      </c>
    </row>
    <row r="2574" spans="1:26" x14ac:dyDescent="0.2">
      <c r="A2574" s="1">
        <v>2572</v>
      </c>
      <c r="B2574" s="2" t="s">
        <v>547</v>
      </c>
      <c r="C2574" s="101" t="str">
        <f>HYPERLINK(AB2 &amp; "/screwdriver/sn_c4d2c5d527a0fbd1bc539d76bf348fa1/rendering/00.obj", "4.22326324463")</f>
        <v>4.22326324463</v>
      </c>
      <c r="D2574" s="85" t="str">
        <f>HYPERLINK(AB2 &amp; "/screwdriver/sn_c4d2c5d527a0fbd1bc539d76bf348fa1/rendering/01.obj", "2.15250701904")</f>
        <v>2.15250701904</v>
      </c>
      <c r="E2574" s="51" t="str">
        <f>HYPERLINK(AB2 &amp; "/screwdriver/sn_c4d2c5d527a0fbd1bc539d76bf348fa1/rendering/02.obj", "3.31163085938")</f>
        <v>3.31163085938</v>
      </c>
      <c r="F2574" s="48" t="str">
        <f>HYPERLINK(AB2 &amp; "/screwdriver/sn_c4d2c5d527a0fbd1bc539d76bf348fa1/rendering/03.obj", "3.1339541626")</f>
        <v>3.1339541626</v>
      </c>
      <c r="G2574" s="187" t="str">
        <f>HYPERLINK(AB2 &amp; "/screwdriver/sn_c4d2c5d527a0fbd1bc539d76bf348fa1/rendering/04.obj", "1.99706268311")</f>
        <v>1.99706268311</v>
      </c>
      <c r="H2574" s="178" t="str">
        <f>HYPERLINK(AB2 &amp; "/screwdriver/sn_c4d2c5d527a0fbd1bc539d76bf348fa1/rendering/05.obj", "5.04903137207")</f>
        <v>5.04903137207</v>
      </c>
      <c r="I2574" s="169" t="str">
        <f>HYPERLINK(AB2 &amp; "/screwdriver/sn_c4d2c5d527a0fbd1bc539d76bf348fa1/rendering/06.obj", "2.11187011719")</f>
        <v>2.11187011719</v>
      </c>
      <c r="J2574" s="187" t="str">
        <f>HYPERLINK(AB2 &amp; "/screwdriver/sn_c4d2c5d527a0fbd1bc539d76bf348fa1/rendering/07.obj", "1.99544464111")</f>
        <v>1.99544464111</v>
      </c>
      <c r="K2574" s="30" t="str">
        <f>HYPERLINK(AB2 &amp; "/screwdriver/sn_c4d2c5d527a0fbd1bc539d76bf348fa1/rendering/08.obj", "3.07570068359")</f>
        <v>3.07570068359</v>
      </c>
      <c r="L2574" s="64" t="str">
        <f>HYPERLINK(AB2 &amp; "/screwdriver/sn_c4d2c5d527a0fbd1bc539d76bf348fa1/rendering/09.obj", "3.56868377686")</f>
        <v>3.56868377686</v>
      </c>
      <c r="M2574" s="215" t="str">
        <f>HYPERLINK(AB2 &amp; "/screwdriver/sn_c4d2c5d527a0fbd1bc539d76bf348fa1/rendering/10.obj", "5.11684082031")</f>
        <v>5.11684082031</v>
      </c>
      <c r="N2574" s="29" t="str">
        <f>HYPERLINK(AB2 &amp; "/screwdriver/sn_c4d2c5d527a0fbd1bc539d76bf348fa1/rendering/11.obj", "2.67012268066")</f>
        <v>2.67012268066</v>
      </c>
      <c r="O2574" s="42" t="str">
        <f>HYPERLINK(AB2 &amp; "/screwdriver/sn_c4d2c5d527a0fbd1bc539d76bf348fa1/rendering/12.obj", "3.48152770996")</f>
        <v>3.48152770996</v>
      </c>
      <c r="P2574" s="58" t="str">
        <f>HYPERLINK(AB2 &amp; "/screwdriver/sn_c4d2c5d527a0fbd1bc539d76bf348fa1/rendering/13.obj", "3.81364379883")</f>
        <v>3.81364379883</v>
      </c>
      <c r="Q2574" s="70" t="str">
        <f>HYPERLINK(AB2 &amp; "/screwdriver/sn_c4d2c5d527a0fbd1bc539d76bf348fa1/rendering/14.obj", "3.45766876221")</f>
        <v>3.45766876221</v>
      </c>
      <c r="R2574" s="171" t="str">
        <f>HYPERLINK(AB2 &amp; "/screwdriver/sn_c4d2c5d527a0fbd1bc539d76bf348fa1/rendering/15.obj", "2.12852539063")</f>
        <v>2.12852539063</v>
      </c>
      <c r="S2574" s="61" t="str">
        <f>HYPERLINK(AB2 &amp; "/screwdriver/sn_c4d2c5d527a0fbd1bc539d76bf348fa1/rendering/16.obj", "2.13873687744")</f>
        <v>2.13873687744</v>
      </c>
      <c r="T2574" s="117" t="str">
        <f>HYPERLINK(AB2 &amp; "/screwdriver/sn_c4d2c5d527a0fbd1bc539d76bf348fa1/rendering/17.obj", "3.60492553711")</f>
        <v>3.60492553711</v>
      </c>
      <c r="U2574" s="140" t="str">
        <f>HYPERLINK(AB2 &amp; "/screwdriver/sn_c4d2c5d527a0fbd1bc539d76bf348fa1/rendering/18.obj", "2.00569519043")</f>
        <v>2.00569519043</v>
      </c>
      <c r="V2574" s="19" t="str">
        <f>HYPERLINK(AB2 &amp; "/screwdriver/sn_c4d2c5d527a0fbd1bc539d76bf348fa1/rendering/19.obj", "2.26199462891")</f>
        <v>2.26199462891</v>
      </c>
      <c r="W2574" s="12" t="s">
        <v>31</v>
      </c>
      <c r="X2574" s="13">
        <v>3.0649414978027338</v>
      </c>
      <c r="Y2574" s="13">
        <v>0.96618912994032746</v>
      </c>
      <c r="Z2574" s="57">
        <v>0.31523901210936373</v>
      </c>
    </row>
    <row r="2575" spans="1:26" x14ac:dyDescent="0.2">
      <c r="A2575" s="1">
        <v>2573</v>
      </c>
      <c r="B2575" s="2" t="s">
        <v>547</v>
      </c>
      <c r="C2575" s="79" t="str">
        <f>HYPERLINK(AB2 &amp; "/screwdriver/sn_c4d2c5d527a0fbd1bc539d76bf348fa1/rendering/00.obj", "1.52052390575")</f>
        <v>1.52052390575</v>
      </c>
      <c r="D2575" s="69" t="str">
        <f>HYPERLINK(AB2 &amp; "/screwdriver/sn_c4d2c5d527a0fbd1bc539d76bf348fa1/rendering/01.obj", "1.27251338959")</f>
        <v>1.27251338959</v>
      </c>
      <c r="E2575" s="55" t="str">
        <f>HYPERLINK(AB2 &amp; "/screwdriver/sn_c4d2c5d527a0fbd1bc539d76bf348fa1/rendering/02.obj", "1.56418371201")</f>
        <v>1.56418371201</v>
      </c>
      <c r="F2575" s="87" t="str">
        <f>HYPERLINK(AB2 &amp; "/screwdriver/sn_c4d2c5d527a0fbd1bc539d76bf348fa1/rendering/03.obj", "1.60722994804")</f>
        <v>1.60722994804</v>
      </c>
      <c r="G2575" s="66" t="str">
        <f>HYPERLINK(AB2 &amp; "/screwdriver/sn_c4d2c5d527a0fbd1bc539d76bf348fa1/rendering/04.obj", "1.10063385963")</f>
        <v>1.10063385963</v>
      </c>
      <c r="H2575" s="52" t="str">
        <f>HYPERLINK(AB2 &amp; "/screwdriver/sn_c4d2c5d527a0fbd1bc539d76bf348fa1/rendering/05.obj", "1.83640265465")</f>
        <v>1.83640265465</v>
      </c>
      <c r="I2575" s="29" t="str">
        <f>HYPERLINK(AB2 &amp; "/screwdriver/sn_c4d2c5d527a0fbd1bc539d76bf348fa1/rendering/06.obj", "1.13942122459")</f>
        <v>1.13942122459</v>
      </c>
      <c r="J2575" s="117" t="str">
        <f>HYPERLINK(AB2 &amp; "/screwdriver/sn_c4d2c5d527a0fbd1bc539d76bf348fa1/rendering/07.obj", "1.07906973362")</f>
        <v>1.07906973362</v>
      </c>
      <c r="K2575" s="29" t="str">
        <f>HYPERLINK(AB2 &amp; "/screwdriver/sn_c4d2c5d527a0fbd1bc539d76bf348fa1/rendering/08.obj", "1.48078370094")</f>
        <v>1.48078370094</v>
      </c>
      <c r="L2575" s="47" t="str">
        <f>HYPERLINK(AB2 &amp; "/screwdriver/sn_c4d2c5d527a0fbd1bc539d76bf348fa1/rendering/09.obj", "1.30183160305")</f>
        <v>1.30183160305</v>
      </c>
      <c r="M2575" s="60" t="str">
        <f>HYPERLINK(AB2 &amp; "/screwdriver/sn_c4d2c5d527a0fbd1bc539d76bf348fa1/rendering/10.obj", "1.24445068836")</f>
        <v>1.24445068836</v>
      </c>
      <c r="N2575" s="91" t="str">
        <f>HYPERLINK(AB2 &amp; "/screwdriver/sn_c4d2c5d527a0fbd1bc539d76bf348fa1/rendering/11.obj", "1.27684020996")</f>
        <v>1.27684020996</v>
      </c>
      <c r="O2575" s="6" t="str">
        <f>HYPERLINK(AB2 &amp; "/screwdriver/sn_c4d2c5d527a0fbd1bc539d76bf348fa1/rendering/12.obj", "1.36857688427")</f>
        <v>1.36857688427</v>
      </c>
      <c r="P2575" s="29" t="str">
        <f>HYPERLINK(AB2 &amp; "/screwdriver/sn_c4d2c5d527a0fbd1bc539d76bf348fa1/rendering/13.obj", "1.13830947876")</f>
        <v>1.13830947876</v>
      </c>
      <c r="Q2575" s="106" t="str">
        <f>HYPERLINK(AB2 &amp; "/screwdriver/sn_c4d2c5d527a0fbd1bc539d76bf348fa1/rendering/14.obj", "1.16178178787")</f>
        <v>1.16178178787</v>
      </c>
      <c r="R2575" s="63" t="str">
        <f>HYPERLINK(AB2 &amp; "/screwdriver/sn_c4d2c5d527a0fbd1bc539d76bf348fa1/rendering/15.obj", "1.15297245979")</f>
        <v>1.15297245979</v>
      </c>
      <c r="S2575" s="78" t="str">
        <f>HYPERLINK(AB2 &amp; "/screwdriver/sn_c4d2c5d527a0fbd1bc539d76bf348fa1/rendering/16.obj", "1.39022612572")</f>
        <v>1.39022612572</v>
      </c>
      <c r="T2575" s="13" t="str">
        <f>HYPERLINK(AB2 &amp; "/screwdriver/sn_c4d2c5d527a0fbd1bc539d76bf348fa1/rendering/17.obj", "1.31214296818")</f>
        <v>1.31214296818</v>
      </c>
      <c r="U2575" s="93" t="str">
        <f>HYPERLINK(AB2 &amp; "/screwdriver/sn_c4d2c5d527a0fbd1bc539d76bf348fa1/rendering/18.obj", "1.12736213207")</f>
        <v>1.12736213207</v>
      </c>
      <c r="V2575" s="29" t="str">
        <f>HYPERLINK(AB2 &amp; "/screwdriver/sn_c4d2c5d527a0fbd1bc539d76bf348fa1/rendering/19.obj", "1.1416734457")</f>
        <v>1.1416734457</v>
      </c>
      <c r="W2575" s="12" t="s">
        <v>32</v>
      </c>
      <c r="X2575" s="13">
        <v>1.310846495628357</v>
      </c>
      <c r="Y2575" s="13">
        <v>0.19803062502518451</v>
      </c>
      <c r="Z2575" s="83">
        <v>0.15107079714185609</v>
      </c>
    </row>
    <row r="2576" spans="1:26" x14ac:dyDescent="0.2">
      <c r="A2576" s="1">
        <v>2574</v>
      </c>
      <c r="B2576" s="2" t="s">
        <v>547</v>
      </c>
      <c r="C2576" s="13" t="str">
        <f>HYPERLINK(AC2 &amp; "/screwdriver/sn_c4d2c5d527a0fbd1bc539d76bf348fa1/rendering/00.xyz", "0.0")</f>
        <v>0.0</v>
      </c>
      <c r="D2576" s="13" t="str">
        <f>HYPERLINK(AC2 &amp; "/screwdriver/sn_c4d2c5d527a0fbd1bc539d76bf348fa1/rendering/01.xyz", "0.0")</f>
        <v>0.0</v>
      </c>
      <c r="E2576" s="13" t="str">
        <f>HYPERLINK(AC2 &amp; "/screwdriver/sn_c4d2c5d527a0fbd1bc539d76bf348fa1/rendering/02.xyz", "0.0")</f>
        <v>0.0</v>
      </c>
      <c r="F2576" s="13" t="str">
        <f>HYPERLINK(AC2 &amp; "/screwdriver/sn_c4d2c5d527a0fbd1bc539d76bf348fa1/rendering/03.xyz", "0.0")</f>
        <v>0.0</v>
      </c>
      <c r="G2576" s="13" t="str">
        <f>HYPERLINK(AC2 &amp; "/screwdriver/sn_c4d2c5d527a0fbd1bc539d76bf348fa1/rendering/04.xyz", "0.0")</f>
        <v>0.0</v>
      </c>
      <c r="H2576" s="13" t="str">
        <f>HYPERLINK(AC2 &amp; "/screwdriver/sn_c4d2c5d527a0fbd1bc539d76bf348fa1/rendering/05.xyz", "0.0")</f>
        <v>0.0</v>
      </c>
      <c r="I2576" s="13" t="str">
        <f>HYPERLINK(AC2 &amp; "/screwdriver/sn_c4d2c5d527a0fbd1bc539d76bf348fa1/rendering/06.xyz", "0.0")</f>
        <v>0.0</v>
      </c>
      <c r="J2576" s="13" t="str">
        <f>HYPERLINK(AC2 &amp; "/screwdriver/sn_c4d2c5d527a0fbd1bc539d76bf348fa1/rendering/07.xyz", "0.0")</f>
        <v>0.0</v>
      </c>
      <c r="K2576" s="13" t="str">
        <f>HYPERLINK(AC2 &amp; "/screwdriver/sn_c4d2c5d527a0fbd1bc539d76bf348fa1/rendering/08.xyz", "0.0")</f>
        <v>0.0</v>
      </c>
      <c r="L2576" s="13" t="str">
        <f>HYPERLINK(AC2 &amp; "/screwdriver/sn_c4d2c5d527a0fbd1bc539d76bf348fa1/rendering/09.xyz", "0.0")</f>
        <v>0.0</v>
      </c>
      <c r="M2576" s="13" t="str">
        <f>HYPERLINK(AC2 &amp; "/screwdriver/sn_c4d2c5d527a0fbd1bc539d76bf348fa1/rendering/10.xyz", "0.0")</f>
        <v>0.0</v>
      </c>
      <c r="N2576" s="13" t="str">
        <f>HYPERLINK(AC2 &amp; "/screwdriver/sn_c4d2c5d527a0fbd1bc539d76bf348fa1/rendering/11.xyz", "0.0")</f>
        <v>0.0</v>
      </c>
      <c r="O2576" s="13" t="str">
        <f>HYPERLINK(AC2 &amp; "/screwdriver/sn_c4d2c5d527a0fbd1bc539d76bf348fa1/rendering/12.xyz", "0.0")</f>
        <v>0.0</v>
      </c>
      <c r="P2576" s="13" t="str">
        <f>HYPERLINK(AC2 &amp; "/screwdriver/sn_c4d2c5d527a0fbd1bc539d76bf348fa1/rendering/13.xyz", "0.0")</f>
        <v>0.0</v>
      </c>
      <c r="Q2576" s="13" t="str">
        <f>HYPERLINK(AC2 &amp; "/screwdriver/sn_c4d2c5d527a0fbd1bc539d76bf348fa1/rendering/14.xyz", "0.0")</f>
        <v>0.0</v>
      </c>
      <c r="R2576" s="13" t="str">
        <f>HYPERLINK(AC2 &amp; "/screwdriver/sn_c4d2c5d527a0fbd1bc539d76bf348fa1/rendering/15.xyz", "0.0")</f>
        <v>0.0</v>
      </c>
      <c r="S2576" s="13" t="str">
        <f>HYPERLINK(AC2 &amp; "/screwdriver/sn_c4d2c5d527a0fbd1bc539d76bf348fa1/rendering/16.xyz", "0.0")</f>
        <v>0.0</v>
      </c>
      <c r="T2576" s="13" t="str">
        <f>HYPERLINK(AC2 &amp; "/screwdriver/sn_c4d2c5d527a0fbd1bc539d76bf348fa1/rendering/17.xyz", "0.0")</f>
        <v>0.0</v>
      </c>
      <c r="U2576" s="13" t="str">
        <f>HYPERLINK(AC2 &amp; "/screwdriver/sn_c4d2c5d527a0fbd1bc539d76bf348fa1/rendering/18.xyz", "0.0")</f>
        <v>0.0</v>
      </c>
      <c r="V2576" s="13" t="str">
        <f>HYPERLINK(AC2 &amp; "/screwdriver/sn_c4d2c5d527a0fbd1bc539d76bf348fa1/rendering/19.xyz", "0.0")</f>
        <v>0.0</v>
      </c>
      <c r="W2576" s="12" t="s">
        <v>33</v>
      </c>
      <c r="X2576" s="13">
        <v>0</v>
      </c>
      <c r="Y2576" s="13">
        <v>0</v>
      </c>
      <c r="Z2576" s="13">
        <v>0</v>
      </c>
    </row>
    <row r="2577" spans="1:26" x14ac:dyDescent="0.2">
      <c r="A2577" s="1">
        <v>2575</v>
      </c>
      <c r="B2577" s="2" t="s">
        <v>548</v>
      </c>
      <c r="C2577" s="142" t="str">
        <f>HYPERLINK(AA2 &amp; "/screwdriver/sn_c6b41c0585ef6e7401998cd4bf7d99a/rendering/00.obj", "1.81567581177")</f>
        <v>1.81567581177</v>
      </c>
      <c r="D2577" s="20" t="str">
        <f>HYPERLINK(AA2 &amp; "/screwdriver/sn_c6b41c0585ef6e7401998cd4bf7d99a/rendering/01.obj", "6.47812316895")</f>
        <v>6.47812316895</v>
      </c>
      <c r="E2577" s="52" t="str">
        <f>HYPERLINK(AA2 &amp; "/screwdriver/sn_c6b41c0585ef6e7401998cd4bf7d99a/rendering/02.obj", "1.80059997559")</f>
        <v>1.80059997559</v>
      </c>
      <c r="F2577" s="159" t="str">
        <f>HYPERLINK(AA2 &amp; "/screwdriver/sn_c6b41c0585ef6e7401998cd4bf7d99a/rendering/03.obj", "1.59596069336")</f>
        <v>1.59596069336</v>
      </c>
      <c r="G2577" s="152" t="str">
        <f>HYPERLINK(AA2 &amp; "/screwdriver/sn_c6b41c0585ef6e7401998cd4bf7d99a/rendering/04.obj", "1.78018432617")</f>
        <v>1.78018432617</v>
      </c>
      <c r="H2577" s="70" t="str">
        <f>HYPERLINK(AA2 &amp; "/screwdriver/sn_c6b41c0585ef6e7401998cd4bf7d99a/rendering/05.obj", "2.62072753906")</f>
        <v>2.62072753906</v>
      </c>
      <c r="I2577" s="58" t="str">
        <f>HYPERLINK(AA2 &amp; "/screwdriver/sn_c6b41c0585ef6e7401998cd4bf7d99a/rendering/06.obj", "2.27110900879")</f>
        <v>2.27110900879</v>
      </c>
      <c r="J2577" s="185" t="str">
        <f>HYPERLINK(AA2 &amp; "/screwdriver/sn_c6b41c0585ef6e7401998cd4bf7d99a/rendering/07.obj", "1.97852310181")</f>
        <v>1.97852310181</v>
      </c>
      <c r="K2577" s="84" t="str">
        <f>HYPERLINK(AA2 &amp; "/screwdriver/sn_c6b41c0585ef6e7401998cd4bf7d99a/rendering/08.obj", "2.56322998047")</f>
        <v>2.56322998047</v>
      </c>
      <c r="L2577" s="27" t="str">
        <f>HYPERLINK(AA2 &amp; "/screwdriver/sn_c6b41c0585ef6e7401998cd4bf7d99a/rendering/09.obj", "2.78658782959")</f>
        <v>2.78658782959</v>
      </c>
      <c r="M2577" s="117" t="str">
        <f>HYPERLINK(AA2 &amp; "/screwdriver/sn_c6b41c0585ef6e7401998cd4bf7d99a/rendering/10.obj", "2.4641015625")</f>
        <v>2.4641015625</v>
      </c>
      <c r="N2577" s="117" t="str">
        <f>HYPERLINK(AA2 &amp; "/screwdriver/sn_c6b41c0585ef6e7401998cd4bf7d99a/rendering/11.obj", "2.46641876221")</f>
        <v>2.46641876221</v>
      </c>
      <c r="O2577" s="20" t="str">
        <f>HYPERLINK(AA2 &amp; "/screwdriver/sn_c6b41c0585ef6e7401998cd4bf7d99a/rendering/12.obj", "5.92710266113")</f>
        <v>5.92710266113</v>
      </c>
      <c r="P2577" s="149" t="str">
        <f>HYPERLINK(AA2 &amp; "/screwdriver/sn_c6b41c0585ef6e7401998cd4bf7d99a/rendering/13.obj", "1.96771820068")</f>
        <v>1.96771820068</v>
      </c>
      <c r="Q2577" s="46" t="str">
        <f>HYPERLINK(AA2 &amp; "/screwdriver/sn_c6b41c0585ef6e7401998cd4bf7d99a/rendering/14.obj", "3.04610473633")</f>
        <v>3.04610473633</v>
      </c>
      <c r="R2577" s="185" t="str">
        <f>HYPERLINK(AA2 &amp; "/screwdriver/sn_c6b41c0585ef6e7401998cd4bf7d99a/rendering/15.obj", "1.98074493408")</f>
        <v>1.98074493408</v>
      </c>
      <c r="S2577" s="168" t="str">
        <f>HYPERLINK(AA2 &amp; "/screwdriver/sn_c6b41c0585ef6e7401998cd4bf7d99a/rendering/16.obj", "3.96123413086")</f>
        <v>3.96123413086</v>
      </c>
      <c r="T2577" s="68" t="str">
        <f>HYPERLINK(AA2 &amp; "/screwdriver/sn_c6b41c0585ef6e7401998cd4bf7d99a/rendering/17.obj", "3.12666625977")</f>
        <v>3.12666625977</v>
      </c>
      <c r="U2577" s="20" t="str">
        <f>HYPERLINK(AA2 &amp; "/screwdriver/sn_c6b41c0585ef6e7401998cd4bf7d99a/rendering/18.obj", "5.94226867676")</f>
        <v>5.94226867676</v>
      </c>
      <c r="V2577" s="65" t="str">
        <f>HYPERLINK(AA2 &amp; "/screwdriver/sn_c6b41c0585ef6e7401998cd4bf7d99a/rendering/19.obj", "3.39886993408")</f>
        <v>3.39886993408</v>
      </c>
      <c r="W2577" s="12" t="s">
        <v>29</v>
      </c>
      <c r="X2577" s="13">
        <v>2.998597564697266</v>
      </c>
      <c r="Y2577" s="13">
        <v>1.4379693273439429</v>
      </c>
      <c r="Z2577" s="200">
        <v>0.47954728712958122</v>
      </c>
    </row>
    <row r="2578" spans="1:26" x14ac:dyDescent="0.2">
      <c r="A2578" s="1">
        <v>2576</v>
      </c>
      <c r="B2578" s="2" t="s">
        <v>548</v>
      </c>
      <c r="C2578" s="231" t="str">
        <f>HYPERLINK(AA2 &amp; "/screwdriver/sn_c6b41c0585ef6e7401998cd4bf7d99a/rendering/00.obj", "1.10295331478")</f>
        <v>1.10295331478</v>
      </c>
      <c r="D2578" s="20" t="str">
        <f>HYPERLINK(AA2 &amp; "/screwdriver/sn_c6b41c0585ef6e7401998cd4bf7d99a/rendering/01.obj", "9.18501567841")</f>
        <v>9.18501567841</v>
      </c>
      <c r="E2578" s="195" t="str">
        <f>HYPERLINK(AA2 &amp; "/screwdriver/sn_c6b41c0585ef6e7401998cd4bf7d99a/rendering/02.obj", "1.18200075626")</f>
        <v>1.18200075626</v>
      </c>
      <c r="F2578" s="195" t="str">
        <f>HYPERLINK(AA2 &amp; "/screwdriver/sn_c6b41c0585ef6e7401998cd4bf7d99a/rendering/03.obj", "1.18338096142")</f>
        <v>1.18338096142</v>
      </c>
      <c r="G2578" s="122" t="str">
        <f>HYPERLINK(AA2 &amp; "/screwdriver/sn_c6b41c0585ef6e7401998cd4bf7d99a/rendering/04.obj", "1.55403745174")</f>
        <v>1.55403745174</v>
      </c>
      <c r="H2578" s="235" t="str">
        <f>HYPERLINK(AA2 &amp; "/screwdriver/sn_c6b41c0585ef6e7401998cd4bf7d99a/rendering/05.obj", "1.1997885704")</f>
        <v>1.1997885704</v>
      </c>
      <c r="I2578" s="130" t="str">
        <f>HYPERLINK(AA2 &amp; "/screwdriver/sn_c6b41c0585ef6e7401998cd4bf7d99a/rendering/06.obj", "1.43119239807")</f>
        <v>1.43119239807</v>
      </c>
      <c r="J2578" s="200" t="str">
        <f>HYPERLINK(AA2 &amp; "/screwdriver/sn_c6b41c0585ef6e7401998cd4bf7d99a/rendering/07.obj", "1.36247420311")</f>
        <v>1.36247420311</v>
      </c>
      <c r="K2578" s="118" t="str">
        <f>HYPERLINK(AA2 &amp; "/screwdriver/sn_c6b41c0585ef6e7401998cd4bf7d99a/rendering/08.obj", "1.84128701687")</f>
        <v>1.84128701687</v>
      </c>
      <c r="L2578" s="103" t="str">
        <f>HYPERLINK(AA2 &amp; "/screwdriver/sn_c6b41c0585ef6e7401998cd4bf7d99a/rendering/09.obj", "1.75685119629")</f>
        <v>1.75685119629</v>
      </c>
      <c r="M2578" s="7" t="str">
        <f>HYPERLINK(AA2 &amp; "/screwdriver/sn_c6b41c0585ef6e7401998cd4bf7d99a/rendering/10.obj", "1.88289213181")</f>
        <v>1.88289213181</v>
      </c>
      <c r="N2578" s="16" t="str">
        <f>HYPERLINK(AA2 &amp; "/screwdriver/sn_c6b41c0585ef6e7401998cd4bf7d99a/rendering/11.obj", "1.18405628204")</f>
        <v>1.18405628204</v>
      </c>
      <c r="O2578" s="20" t="str">
        <f>HYPERLINK(AA2 &amp; "/screwdriver/sn_c6b41c0585ef6e7401998cd4bf7d99a/rendering/12.obj", "7.20884466171")</f>
        <v>7.20884466171</v>
      </c>
      <c r="P2578" s="95" t="str">
        <f>HYPERLINK(AA2 &amp; "/screwdriver/sn_c6b41c0585ef6e7401998cd4bf7d99a/rendering/13.obj", "1.87672996521")</f>
        <v>1.87672996521</v>
      </c>
      <c r="Q2578" s="26" t="str">
        <f>HYPERLINK(AA2 &amp; "/screwdriver/sn_c6b41c0585ef6e7401998cd4bf7d99a/rendering/14.obj", "2.77464985847")</f>
        <v>2.77464985847</v>
      </c>
      <c r="R2578" s="62" t="str">
        <f>HYPERLINK(AA2 &amp; "/screwdriver/sn_c6b41c0585ef6e7401998cd4bf7d99a/rendering/15.obj", "1.05005788803")</f>
        <v>1.05005788803</v>
      </c>
      <c r="S2578" s="224" t="str">
        <f>HYPERLINK(AA2 &amp; "/screwdriver/sn_c6b41c0585ef6e7401998cd4bf7d99a/rendering/16.obj", "4.45291185379")</f>
        <v>4.45291185379</v>
      </c>
      <c r="T2578" s="88" t="str">
        <f>HYPERLINK(AA2 &amp; "/screwdriver/sn_c6b41c0585ef6e7401998cd4bf7d99a/rendering/17.obj", "2.08056139946")</f>
        <v>2.08056139946</v>
      </c>
      <c r="U2578" s="20" t="str">
        <f>HYPERLINK(AA2 &amp; "/screwdriver/sn_c6b41c0585ef6e7401998cd4bf7d99a/rendering/18.obj", "5.35572385788")</f>
        <v>5.35572385788</v>
      </c>
      <c r="V2578" s="34" t="str">
        <f>HYPERLINK(AA2 &amp; "/screwdriver/sn_c6b41c0585ef6e7401998cd4bf7d99a/rendering/19.obj", "2.48124074936")</f>
        <v>2.48124074936</v>
      </c>
      <c r="W2578" s="12" t="s">
        <v>30</v>
      </c>
      <c r="X2578" s="13">
        <v>2.607332509756088</v>
      </c>
      <c r="Y2578" s="13">
        <v>2.178147621675651</v>
      </c>
      <c r="Z2578" s="20">
        <v>0.83539311289430174</v>
      </c>
    </row>
    <row r="2579" spans="1:26" x14ac:dyDescent="0.2">
      <c r="A2579" s="1">
        <v>2577</v>
      </c>
      <c r="B2579" s="2" t="s">
        <v>548</v>
      </c>
      <c r="C2579" s="13" t="str">
        <f>HYPERLINK(AB2 &amp; "/screwdriver/sn_c6b41c0585ef6e7401998cd4bf7d99a/rendering/00.obj", "1.84289642334")</f>
        <v>1.84289642334</v>
      </c>
      <c r="D2579" s="100" t="str">
        <f>HYPERLINK(AB2 &amp; "/screwdriver/sn_c6b41c0585ef6e7401998cd4bf7d99a/rendering/01.obj", "2.39734893799")</f>
        <v>2.39734893799</v>
      </c>
      <c r="E2579" s="29" t="str">
        <f>HYPERLINK(AB2 &amp; "/screwdriver/sn_c6b41c0585ef6e7401998cd4bf7d99a/rendering/02.obj", "2.08165527344")</f>
        <v>2.08165527344</v>
      </c>
      <c r="F2579" s="65" t="str">
        <f>HYPERLINK(AB2 &amp; "/screwdriver/sn_c6b41c0585ef6e7401998cd4bf7d99a/rendering/03.obj", "1.59881240845")</f>
        <v>1.59881240845</v>
      </c>
      <c r="G2579" s="90" t="str">
        <f>HYPERLINK(AB2 &amp; "/screwdriver/sn_c6b41c0585ef6e7401998cd4bf7d99a/rendering/04.obj", "1.66934753418")</f>
        <v>1.66934753418</v>
      </c>
      <c r="H2579" s="5" t="str">
        <f>HYPERLINK(AB2 &amp; "/screwdriver/sn_c6b41c0585ef6e7401998cd4bf7d99a/rendering/05.obj", "1.70302230835")</f>
        <v>1.70302230835</v>
      </c>
      <c r="I2579" s="72" t="str">
        <f>HYPERLINK(AB2 &amp; "/screwdriver/sn_c6b41c0585ef6e7401998cd4bf7d99a/rendering/06.obj", "1.90420578003")</f>
        <v>1.90420578003</v>
      </c>
      <c r="J2579" s="72" t="str">
        <f>HYPERLINK(AB2 &amp; "/screwdriver/sn_c6b41c0585ef6e7401998cd4bf7d99a/rendering/07.obj", "1.90647583008")</f>
        <v>1.90647583008</v>
      </c>
      <c r="K2579" s="69" t="str">
        <f>HYPERLINK(AB2 &amp; "/screwdriver/sn_c6b41c0585ef6e7401998cd4bf7d99a/rendering/08.obj", "1.78988128662")</f>
        <v>1.78988128662</v>
      </c>
      <c r="L2579" s="73" t="str">
        <f>HYPERLINK(AB2 &amp; "/screwdriver/sn_c6b41c0585ef6e7401998cd4bf7d99a/rendering/09.obj", "1.7752507019")</f>
        <v>1.7752507019</v>
      </c>
      <c r="M2579" s="8" t="str">
        <f>HYPERLINK(AB2 &amp; "/screwdriver/sn_c6b41c0585ef6e7401998cd4bf7d99a/rendering/10.obj", "2.10734649658")</f>
        <v>2.10734649658</v>
      </c>
      <c r="N2579" s="70" t="str">
        <f>HYPERLINK(AB2 &amp; "/screwdriver/sn_c6b41c0585ef6e7401998cd4bf7d99a/rendering/11.obj", "1.61160125732")</f>
        <v>1.61160125732</v>
      </c>
      <c r="O2579" s="31" t="str">
        <f>HYPERLINK(AB2 &amp; "/screwdriver/sn_c6b41c0585ef6e7401998cd4bf7d99a/rendering/12.obj", "1.55912750244")</f>
        <v>1.55912750244</v>
      </c>
      <c r="P2579" s="90" t="str">
        <f>HYPERLINK(AB2 &amp; "/screwdriver/sn_c6b41c0585ef6e7401998cd4bf7d99a/rendering/13.obj", "1.66816467285")</f>
        <v>1.66816467285</v>
      </c>
      <c r="Q2579" s="133" t="str">
        <f>HYPERLINK(AB2 &amp; "/screwdriver/sn_c6b41c0585ef6e7401998cd4bf7d99a/rendering/14.obj", "1.6536932373")</f>
        <v>1.6536932373</v>
      </c>
      <c r="R2579" s="23" t="str">
        <f>HYPERLINK(AB2 &amp; "/screwdriver/sn_c6b41c0585ef6e7401998cd4bf7d99a/rendering/15.obj", "1.77285888672")</f>
        <v>1.77285888672</v>
      </c>
      <c r="S2579" s="107" t="str">
        <f>HYPERLINK(AB2 &amp; "/screwdriver/sn_c6b41c0585ef6e7401998cd4bf7d99a/rendering/16.obj", "1.99704101563")</f>
        <v>1.99704101563</v>
      </c>
      <c r="T2579" s="71" t="str">
        <f>HYPERLINK(AB2 &amp; "/screwdriver/sn_c6b41c0585ef6e7401998cd4bf7d99a/rendering/17.obj", "2.05796813965")</f>
        <v>2.05796813965</v>
      </c>
      <c r="U2579" s="78" t="str">
        <f>HYPERLINK(AB2 &amp; "/screwdriver/sn_c6b41c0585ef6e7401998cd4bf7d99a/rendering/18.obj", "1.95540756226")</f>
        <v>1.95540756226</v>
      </c>
      <c r="V2579" s="46" t="str">
        <f>HYPERLINK(AB2 &amp; "/screwdriver/sn_c6b41c0585ef6e7401998cd4bf7d99a/rendering/19.obj", "1.81132354736")</f>
        <v>1.81132354736</v>
      </c>
      <c r="W2579" s="12" t="s">
        <v>31</v>
      </c>
      <c r="X2579" s="13">
        <v>1.8431714401245121</v>
      </c>
      <c r="Y2579" s="13">
        <v>0.2058801797533899</v>
      </c>
      <c r="Z2579" s="28">
        <v>0.11169887687684769</v>
      </c>
    </row>
    <row r="2580" spans="1:26" x14ac:dyDescent="0.2">
      <c r="A2580" s="1">
        <v>2578</v>
      </c>
      <c r="B2580" s="2" t="s">
        <v>548</v>
      </c>
      <c r="C2580" s="117" t="str">
        <f>HYPERLINK(AB2 &amp; "/screwdriver/sn_c6b41c0585ef6e7401998cd4bf7d99a/rendering/00.obj", "0.944175362587")</f>
        <v>0.944175362587</v>
      </c>
      <c r="D2580" s="60" t="str">
        <f>HYPERLINK(AB2 &amp; "/screwdriver/sn_c6b41c0585ef6e7401998cd4bf7d99a/rendering/01.obj", "1.20712780952")</f>
        <v>1.20712780952</v>
      </c>
      <c r="E2580" s="92" t="str">
        <f>HYPERLINK(AB2 &amp; "/screwdriver/sn_c6b41c0585ef6e7401998cd4bf7d99a/rendering/02.obj", "1.29014992714")</f>
        <v>1.29014992714</v>
      </c>
      <c r="F2580" s="79" t="str">
        <f>HYPERLINK(AB2 &amp; "/screwdriver/sn_c6b41c0585ef6e7401998cd4bf7d99a/rendering/03.obj", "0.965864360332")</f>
        <v>0.965864360332</v>
      </c>
      <c r="G2580" s="107" t="str">
        <f>HYPERLINK(AB2 &amp; "/screwdriver/sn_c6b41c0585ef6e7401998cd4bf7d99a/rendering/04.obj", "1.05112624168")</f>
        <v>1.05112624168</v>
      </c>
      <c r="H2580" s="13" t="str">
        <f>HYPERLINK(AB2 &amp; "/screwdriver/sn_c6b41c0585ef6e7401998cd4bf7d99a/rendering/05.obj", "1.14287388325")</f>
        <v>1.14287388325</v>
      </c>
      <c r="I2580" s="66" t="str">
        <f>HYPERLINK(AB2 &amp; "/screwdriver/sn_c6b41c0585ef6e7401998cd4bf7d99a/rendering/06.obj", "1.33330619335")</f>
        <v>1.33330619335</v>
      </c>
      <c r="J2580" s="63" t="str">
        <f>HYPERLINK(AB2 &amp; "/screwdriver/sn_c6b41c0585ef6e7401998cd4bf7d99a/rendering/07.obj", "1.28364515305")</f>
        <v>1.28364515305</v>
      </c>
      <c r="K2580" s="8" t="str">
        <f>HYPERLINK(AB2 &amp; "/screwdriver/sn_c6b41c0585ef6e7401998cd4bf7d99a/rendering/08.obj", "0.981528222561")</f>
        <v>0.981528222561</v>
      </c>
      <c r="L2580" s="51" t="str">
        <f>HYPERLINK(AB2 &amp; "/screwdriver/sn_c6b41c0585ef6e7401998cd4bf7d99a/rendering/09.obj", "1.05445432663")</f>
        <v>1.05445432663</v>
      </c>
      <c r="M2580" s="34" t="str">
        <f>HYPERLINK(AB2 &amp; "/screwdriver/sn_c6b41c0585ef6e7401998cd4bf7d99a/rendering/10.obj", "1.09087395668")</f>
        <v>1.09087395668</v>
      </c>
      <c r="N2580" s="32" t="str">
        <f>HYPERLINK(AB2 &amp; "/screwdriver/sn_c6b41c0585ef6e7401998cd4bf7d99a/rendering/11.obj", "1.0248966217")</f>
        <v>1.0248966217</v>
      </c>
      <c r="O2580" s="33" t="str">
        <f>HYPERLINK(AB2 &amp; "/screwdriver/sn_c6b41c0585ef6e7401998cd4bf7d99a/rendering/12.obj", "1.02368783951")</f>
        <v>1.02368783951</v>
      </c>
      <c r="P2580" s="39" t="str">
        <f>HYPERLINK(AB2 &amp; "/screwdriver/sn_c6b41c0585ef6e7401998cd4bf7d99a/rendering/13.obj", "1.04628312588")</f>
        <v>1.04628312588</v>
      </c>
      <c r="Q2580" s="47" t="str">
        <f>HYPERLINK(AB2 &amp; "/screwdriver/sn_c6b41c0585ef6e7401998cd4bf7d99a/rendering/14.obj", "1.15424358845")</f>
        <v>1.15424358845</v>
      </c>
      <c r="R2580" s="27" t="str">
        <f>HYPERLINK(AB2 &amp; "/screwdriver/sn_c6b41c0585ef6e7401998cd4bf7d99a/rendering/15.obj", "1.22580528259")</f>
        <v>1.22580528259</v>
      </c>
      <c r="S2580" s="79" t="str">
        <f>HYPERLINK(AB2 &amp; "/screwdriver/sn_c6b41c0585ef6e7401998cd4bf7d99a/rendering/16.obj", "1.32951664925")</f>
        <v>1.32951664925</v>
      </c>
      <c r="T2580" s="116" t="str">
        <f>HYPERLINK(AB2 &amp; "/screwdriver/sn_c6b41c0585ef6e7401998cd4bf7d99a/rendering/17.obj", "1.64861881733")</f>
        <v>1.64861881733</v>
      </c>
      <c r="U2580" s="10" t="str">
        <f>HYPERLINK(AB2 &amp; "/screwdriver/sn_c6b41c0585ef6e7401998cd4bf7d99a/rendering/18.obj", "1.08249056339")</f>
        <v>1.08249056339</v>
      </c>
      <c r="V2580" s="39" t="str">
        <f>HYPERLINK(AB2 &amp; "/screwdriver/sn_c6b41c0585ef6e7401998cd4bf7d99a/rendering/19.obj", "1.04753375053")</f>
        <v>1.04753375053</v>
      </c>
      <c r="W2580" s="12" t="s">
        <v>32</v>
      </c>
      <c r="X2580" s="13">
        <v>1.146410083770752</v>
      </c>
      <c r="Y2580" s="13">
        <v>0.1651128723267416</v>
      </c>
      <c r="Z2580" s="8">
        <v>0.14402601186449371</v>
      </c>
    </row>
    <row r="2581" spans="1:26" x14ac:dyDescent="0.2">
      <c r="A2581" s="1">
        <v>2579</v>
      </c>
      <c r="B2581" s="2" t="s">
        <v>548</v>
      </c>
      <c r="C2581" s="13" t="str">
        <f>HYPERLINK(AC2 &amp; "/screwdriver/sn_c6b41c0585ef6e7401998cd4bf7d99a/rendering/00.xyz", "0.0")</f>
        <v>0.0</v>
      </c>
      <c r="D2581" s="13" t="str">
        <f>HYPERLINK(AC2 &amp; "/screwdriver/sn_c6b41c0585ef6e7401998cd4bf7d99a/rendering/01.xyz", "0.0")</f>
        <v>0.0</v>
      </c>
      <c r="E2581" s="13" t="str">
        <f>HYPERLINK(AC2 &amp; "/screwdriver/sn_c6b41c0585ef6e7401998cd4bf7d99a/rendering/02.xyz", "0.0")</f>
        <v>0.0</v>
      </c>
      <c r="F2581" s="13" t="str">
        <f>HYPERLINK(AC2 &amp; "/screwdriver/sn_c6b41c0585ef6e7401998cd4bf7d99a/rendering/03.xyz", "0.0")</f>
        <v>0.0</v>
      </c>
      <c r="G2581" s="13" t="str">
        <f>HYPERLINK(AC2 &amp; "/screwdriver/sn_c6b41c0585ef6e7401998cd4bf7d99a/rendering/04.xyz", "0.0")</f>
        <v>0.0</v>
      </c>
      <c r="H2581" s="13" t="str">
        <f>HYPERLINK(AC2 &amp; "/screwdriver/sn_c6b41c0585ef6e7401998cd4bf7d99a/rendering/05.xyz", "0.0")</f>
        <v>0.0</v>
      </c>
      <c r="I2581" s="13" t="str">
        <f>HYPERLINK(AC2 &amp; "/screwdriver/sn_c6b41c0585ef6e7401998cd4bf7d99a/rendering/06.xyz", "0.0")</f>
        <v>0.0</v>
      </c>
      <c r="J2581" s="13" t="str">
        <f>HYPERLINK(AC2 &amp; "/screwdriver/sn_c6b41c0585ef6e7401998cd4bf7d99a/rendering/07.xyz", "0.0")</f>
        <v>0.0</v>
      </c>
      <c r="K2581" s="13" t="str">
        <f>HYPERLINK(AC2 &amp; "/screwdriver/sn_c6b41c0585ef6e7401998cd4bf7d99a/rendering/08.xyz", "0.0")</f>
        <v>0.0</v>
      </c>
      <c r="L2581" s="13" t="str">
        <f>HYPERLINK(AC2 &amp; "/screwdriver/sn_c6b41c0585ef6e7401998cd4bf7d99a/rendering/09.xyz", "0.0")</f>
        <v>0.0</v>
      </c>
      <c r="M2581" s="13" t="str">
        <f>HYPERLINK(AC2 &amp; "/screwdriver/sn_c6b41c0585ef6e7401998cd4bf7d99a/rendering/10.xyz", "0.0")</f>
        <v>0.0</v>
      </c>
      <c r="N2581" s="13" t="str">
        <f>HYPERLINK(AC2 &amp; "/screwdriver/sn_c6b41c0585ef6e7401998cd4bf7d99a/rendering/11.xyz", "0.0")</f>
        <v>0.0</v>
      </c>
      <c r="O2581" s="13" t="str">
        <f>HYPERLINK(AC2 &amp; "/screwdriver/sn_c6b41c0585ef6e7401998cd4bf7d99a/rendering/12.xyz", "0.0")</f>
        <v>0.0</v>
      </c>
      <c r="P2581" s="13" t="str">
        <f>HYPERLINK(AC2 &amp; "/screwdriver/sn_c6b41c0585ef6e7401998cd4bf7d99a/rendering/13.xyz", "0.0")</f>
        <v>0.0</v>
      </c>
      <c r="Q2581" s="13" t="str">
        <f>HYPERLINK(AC2 &amp; "/screwdriver/sn_c6b41c0585ef6e7401998cd4bf7d99a/rendering/14.xyz", "0.0")</f>
        <v>0.0</v>
      </c>
      <c r="R2581" s="13" t="str">
        <f>HYPERLINK(AC2 &amp; "/screwdriver/sn_c6b41c0585ef6e7401998cd4bf7d99a/rendering/15.xyz", "0.0")</f>
        <v>0.0</v>
      </c>
      <c r="S2581" s="13" t="str">
        <f>HYPERLINK(AC2 &amp; "/screwdriver/sn_c6b41c0585ef6e7401998cd4bf7d99a/rendering/16.xyz", "0.0")</f>
        <v>0.0</v>
      </c>
      <c r="T2581" s="13" t="str">
        <f>HYPERLINK(AC2 &amp; "/screwdriver/sn_c6b41c0585ef6e7401998cd4bf7d99a/rendering/17.xyz", "0.0")</f>
        <v>0.0</v>
      </c>
      <c r="U2581" s="13" t="str">
        <f>HYPERLINK(AC2 &amp; "/screwdriver/sn_c6b41c0585ef6e7401998cd4bf7d99a/rendering/18.xyz", "0.0")</f>
        <v>0.0</v>
      </c>
      <c r="V2581" s="13" t="str">
        <f>HYPERLINK(AC2 &amp; "/screwdriver/sn_c6b41c0585ef6e7401998cd4bf7d99a/rendering/19.xyz", "0.0")</f>
        <v>0.0</v>
      </c>
      <c r="W2581" s="12" t="s">
        <v>33</v>
      </c>
      <c r="X2581" s="13">
        <v>0</v>
      </c>
      <c r="Y2581" s="13">
        <v>0</v>
      </c>
      <c r="Z2581" s="13">
        <v>0</v>
      </c>
    </row>
    <row r="2582" spans="1:26" x14ac:dyDescent="0.2">
      <c r="A2582" s="1">
        <v>2580</v>
      </c>
      <c r="B2582" s="2" t="s">
        <v>549</v>
      </c>
      <c r="C2582" s="46" t="str">
        <f>HYPERLINK(AA2 &amp; "/screwdriver/sn_e3d518fbd0d52617f7c4ed45ce654123/rendering/00.obj", "3.82430786133")</f>
        <v>3.82430786133</v>
      </c>
      <c r="D2582" s="69" t="str">
        <f>HYPERLINK(AA2 &amp; "/screwdriver/sn_e3d518fbd0d52617f7c4ed45ce654123/rendering/01.obj", "3.88024597168")</f>
        <v>3.88024597168</v>
      </c>
      <c r="E2582" s="60" t="str">
        <f>HYPERLINK(AA2 &amp; "/screwdriver/sn_e3d518fbd0d52617f7c4ed45ce654123/rendering/02.obj", "3.95753692627")</f>
        <v>3.95753692627</v>
      </c>
      <c r="F2582" s="7" t="str">
        <f>HYPERLINK(AA2 &amp; "/screwdriver/sn_e3d518fbd0d52617f7c4ed45ce654123/rendering/03.obj", "4.80725067139")</f>
        <v>4.80725067139</v>
      </c>
      <c r="G2582" s="63" t="str">
        <f>HYPERLINK(AA2 &amp; "/screwdriver/sn_e3d518fbd0d52617f7c4ed45ce654123/rendering/04.obj", "4.21663818359")</f>
        <v>4.21663818359</v>
      </c>
      <c r="H2582" s="30" t="str">
        <f>HYPERLINK(AA2 &amp; "/screwdriver/sn_e3d518fbd0d52617f7c4ed45ce654123/rendering/05.obj", "3.74045959473")</f>
        <v>3.74045959473</v>
      </c>
      <c r="I2582" s="83" t="str">
        <f>HYPERLINK(AA2 &amp; "/screwdriver/sn_e3d518fbd0d52617f7c4ed45ce654123/rendering/06.obj", "3.19115966797")</f>
        <v>3.19115966797</v>
      </c>
      <c r="J2582" s="10" t="str">
        <f>HYPERLINK(AA2 &amp; "/screwdriver/sn_e3d518fbd0d52617f7c4ed45ce654123/rendering/07.obj", "3.56154968262")</f>
        <v>3.56154968262</v>
      </c>
      <c r="K2582" s="124" t="str">
        <f>HYPERLINK(AA2 &amp; "/screwdriver/sn_e3d518fbd0d52617f7c4ed45ce654123/rendering/08.obj", "5.1966003418")</f>
        <v>5.1966003418</v>
      </c>
      <c r="L2582" s="6" t="str">
        <f>HYPERLINK(AA2 &amp; "/screwdriver/sn_e3d518fbd0d52617f7c4ed45ce654123/rendering/09.obj", "3.58647277832")</f>
        <v>3.58647277832</v>
      </c>
      <c r="M2582" s="120" t="str">
        <f>HYPERLINK(AA2 &amp; "/screwdriver/sn_e3d518fbd0d52617f7c4ed45ce654123/rendering/10.obj", "2.96469970703")</f>
        <v>2.96469970703</v>
      </c>
      <c r="N2582" s="133" t="str">
        <f>HYPERLINK(AA2 &amp; "/screwdriver/sn_e3d518fbd0d52617f7c4ed45ce654123/rendering/11.obj", "3.3788671875")</f>
        <v>3.3788671875</v>
      </c>
      <c r="O2582" s="34" t="str">
        <f>HYPERLINK(AA2 &amp; "/screwdriver/sn_e3d518fbd0d52617f7c4ed45ce654123/rendering/12.obj", "3.57782836914")</f>
        <v>3.57782836914</v>
      </c>
      <c r="P2582" s="63" t="str">
        <f>HYPERLINK(AA2 &amp; "/screwdriver/sn_e3d518fbd0d52617f7c4ed45ce654123/rendering/13.obj", "4.21491699219")</f>
        <v>4.21491699219</v>
      </c>
      <c r="Q2582" s="46" t="str">
        <f>HYPERLINK(AA2 &amp; "/screwdriver/sn_e3d518fbd0d52617f7c4ed45ce654123/rendering/14.obj", "3.8223223877")</f>
        <v>3.8223223877</v>
      </c>
      <c r="R2582" s="5" t="str">
        <f>HYPERLINK(AA2 &amp; "/screwdriver/sn_e3d518fbd0d52617f7c4ed45ce654123/rendering/15.obj", "3.47066894531")</f>
        <v>3.47066894531</v>
      </c>
      <c r="S2582" s="38" t="str">
        <f>HYPERLINK(AA2 &amp; "/screwdriver/sn_e3d518fbd0d52617f7c4ed45ce654123/rendering/16.obj", "3.42308746338")</f>
        <v>3.42308746338</v>
      </c>
      <c r="T2582" s="69" t="str">
        <f>HYPERLINK(AA2 &amp; "/screwdriver/sn_e3d518fbd0d52617f7c4ed45ce654123/rendering/17.obj", "3.87102264404")</f>
        <v>3.87102264404</v>
      </c>
      <c r="U2582" s="29" t="str">
        <f>HYPERLINK(AA2 &amp; "/screwdriver/sn_e3d518fbd0d52617f7c4ed45ce654123/rendering/18.obj", "3.27270202637")</f>
        <v>3.27270202637</v>
      </c>
      <c r="V2582" s="70" t="str">
        <f>HYPERLINK(AA2 &amp; "/screwdriver/sn_e3d518fbd0d52617f7c4ed45ce654123/rendering/19.obj", "3.28604431152")</f>
        <v>3.28604431152</v>
      </c>
      <c r="W2582" s="12" t="s">
        <v>29</v>
      </c>
      <c r="X2582" s="13">
        <v>3.7622190856933591</v>
      </c>
      <c r="Y2582" s="13">
        <v>0.52504628110127438</v>
      </c>
      <c r="Z2582" s="93">
        <v>0.13955760394121511</v>
      </c>
    </row>
    <row r="2583" spans="1:26" x14ac:dyDescent="0.2">
      <c r="A2583" s="1">
        <v>2581</v>
      </c>
      <c r="B2583" s="2" t="s">
        <v>549</v>
      </c>
      <c r="C2583" s="83" t="str">
        <f>HYPERLINK(AA2 &amp; "/screwdriver/sn_e3d518fbd0d52617f7c4ed45ce654123/rendering/00.obj", "1.93398296833")</f>
        <v>1.93398296833</v>
      </c>
      <c r="D2583" s="64" t="str">
        <f>HYPERLINK(AA2 &amp; "/screwdriver/sn_e3d518fbd0d52617f7c4ed45ce654123/rendering/01.obj", "1.39912831783")</f>
        <v>1.39912831783</v>
      </c>
      <c r="E2583" s="175" t="str">
        <f>HYPERLINK(AA2 &amp; "/screwdriver/sn_e3d518fbd0d52617f7c4ed45ce654123/rendering/02.obj", "1.28348779678")</f>
        <v>1.28348779678</v>
      </c>
      <c r="F2583" s="243" t="str">
        <f>HYPERLINK(AA2 &amp; "/screwdriver/sn_e3d518fbd0d52617f7c4ed45ce654123/rendering/03.obj", "2.9816505909")</f>
        <v>2.9816505909</v>
      </c>
      <c r="G2583" s="20" t="str">
        <f>HYPERLINK(AA2 &amp; "/screwdriver/sn_e3d518fbd0d52617f7c4ed45ce654123/rendering/04.obj", "3.19283914566")</f>
        <v>3.19283914566</v>
      </c>
      <c r="H2583" s="116" t="str">
        <f>HYPERLINK(AA2 &amp; "/screwdriver/sn_e3d518fbd0d52617f7c4ed45ce654123/rendering/05.obj", "2.41058158875")</f>
        <v>2.41058158875</v>
      </c>
      <c r="I2583" s="13" t="str">
        <f>HYPERLINK(AA2 &amp; "/screwdriver/sn_e3d518fbd0d52617f7c4ed45ce654123/rendering/06.obj", "1.6806050539")</f>
        <v>1.6806050539</v>
      </c>
      <c r="J2583" s="5" t="str">
        <f>HYPERLINK(AA2 &amp; "/screwdriver/sn_e3d518fbd0d52617f7c4ed45ce654123/rendering/07.obj", "1.80793023109")</f>
        <v>1.80793023109</v>
      </c>
      <c r="K2583" s="74" t="str">
        <f>HYPERLINK(AA2 &amp; "/screwdriver/sn_e3d518fbd0d52617f7c4ed45ce654123/rendering/08.obj", "1.65432548523")</f>
        <v>1.65432548523</v>
      </c>
      <c r="L2583" s="170" t="str">
        <f>HYPERLINK(AA2 &amp; "/screwdriver/sn_e3d518fbd0d52617f7c4ed45ce654123/rendering/09.obj", "1.25244438648")</f>
        <v>1.25244438648</v>
      </c>
      <c r="M2583" s="95" t="str">
        <f>HYPERLINK(AA2 &amp; "/screwdriver/sn_e3d518fbd0d52617f7c4ed45ce654123/rendering/10.obj", "1.20628619194")</f>
        <v>1.20628619194</v>
      </c>
      <c r="N2583" s="23" t="str">
        <f>HYPERLINK(AA2 &amp; "/screwdriver/sn_e3d518fbd0d52617f7c4ed45ce654123/rendering/11.obj", "1.74460458755")</f>
        <v>1.74460458755</v>
      </c>
      <c r="O2583" s="82" t="str">
        <f>HYPERLINK(AA2 &amp; "/screwdriver/sn_e3d518fbd0d52617f7c4ed45ce654123/rendering/12.obj", "1.33282625675")</f>
        <v>1.33282625675</v>
      </c>
      <c r="P2583" s="93" t="str">
        <f>HYPERLINK(AA2 &amp; "/screwdriver/sn_e3d518fbd0d52617f7c4ed45ce654123/rendering/13.obj", "1.44080626965")</f>
        <v>1.44080626965</v>
      </c>
      <c r="Q2583" s="59" t="str">
        <f>HYPERLINK(AA2 &amp; "/screwdriver/sn_e3d518fbd0d52617f7c4ed45ce654123/rendering/14.obj", "1.2721657753")</f>
        <v>1.2721657753</v>
      </c>
      <c r="R2583" s="66" t="str">
        <f>HYPERLINK(AA2 &amp; "/screwdriver/sn_e3d518fbd0d52617f7c4ed45ce654123/rendering/15.obj", "1.40415287018")</f>
        <v>1.40415287018</v>
      </c>
      <c r="S2583" s="55" t="str">
        <f>HYPERLINK(AA2 &amp; "/screwdriver/sn_e3d518fbd0d52617f7c4ed45ce654123/rendering/16.obj", "1.35497736931")</f>
        <v>1.35497736931</v>
      </c>
      <c r="T2583" s="120" t="str">
        <f>HYPERLINK(AA2 &amp; "/screwdriver/sn_e3d518fbd0d52617f7c4ed45ce654123/rendering/17.obj", "1.32300829887")</f>
        <v>1.32300829887</v>
      </c>
      <c r="U2583" s="65" t="str">
        <f>HYPERLINK(AA2 &amp; "/screwdriver/sn_e3d518fbd0d52617f7c4ed45ce654123/rendering/18.obj", "1.45374619961")</f>
        <v>1.45374619961</v>
      </c>
      <c r="V2583" s="64" t="str">
        <f>HYPERLINK(AA2 &amp; "/screwdriver/sn_e3d518fbd0d52617f7c4ed45ce654123/rendering/19.obj", "1.400198102")</f>
        <v>1.400198102</v>
      </c>
      <c r="W2583" s="12" t="s">
        <v>30</v>
      </c>
      <c r="X2583" s="13">
        <v>1.6764873743057249</v>
      </c>
      <c r="Y2583" s="13">
        <v>0.54900964180586143</v>
      </c>
      <c r="Z2583" s="54">
        <v>0.32747615652830059</v>
      </c>
    </row>
    <row r="2584" spans="1:26" x14ac:dyDescent="0.2">
      <c r="A2584" s="1">
        <v>2582</v>
      </c>
      <c r="B2584" s="2" t="s">
        <v>549</v>
      </c>
      <c r="C2584" s="44" t="str">
        <f>HYPERLINK(AB2 &amp; "/screwdriver/sn_e3d518fbd0d52617f7c4ed45ce654123/rendering/00.obj", "2.95002593994")</f>
        <v>2.95002593994</v>
      </c>
      <c r="D2584" s="47" t="str">
        <f>HYPERLINK(AB2 &amp; "/screwdriver/sn_e3d518fbd0d52617f7c4ed45ce654123/rendering/01.obj", "3.63163146973")</f>
        <v>3.63163146973</v>
      </c>
      <c r="E2584" s="51" t="str">
        <f>HYPERLINK(AB2 &amp; "/screwdriver/sn_e3d518fbd0d52617f7c4ed45ce654123/rendering/02.obj", "3.37343994141")</f>
        <v>3.37343994141</v>
      </c>
      <c r="F2584" s="93" t="str">
        <f>HYPERLINK(AB2 &amp; "/screwdriver/sn_e3d518fbd0d52617f7c4ed45ce654123/rendering/03.obj", "3.15113220215")</f>
        <v>3.15113220215</v>
      </c>
      <c r="G2584" s="26" t="str">
        <f>HYPERLINK(AB2 &amp; "/screwdriver/sn_e3d518fbd0d52617f7c4ed45ce654123/rendering/04.obj", "3.42657409668")</f>
        <v>3.42657409668</v>
      </c>
      <c r="H2584" s="34" t="str">
        <f>HYPERLINK(AB2 &amp; "/screwdriver/sn_e3d518fbd0d52617f7c4ed45ce654123/rendering/05.obj", "3.48185882568")</f>
        <v>3.48185882568</v>
      </c>
      <c r="I2584" s="28" t="str">
        <f>HYPERLINK(AB2 &amp; "/screwdriver/sn_e3d518fbd0d52617f7c4ed45ce654123/rendering/06.obj", "4.06961364746")</f>
        <v>4.06961364746</v>
      </c>
      <c r="J2584" s="35" t="str">
        <f>HYPERLINK(AB2 &amp; "/screwdriver/sn_e3d518fbd0d52617f7c4ed45ce654123/rendering/07.obj", "3.44929260254")</f>
        <v>3.44929260254</v>
      </c>
      <c r="K2584" s="29" t="str">
        <f>HYPERLINK(AB2 &amp; "/screwdriver/sn_e3d518fbd0d52617f7c4ed45ce654123/rendering/08.obj", "4.13734313965")</f>
        <v>4.13734313965</v>
      </c>
      <c r="L2584" s="57" t="str">
        <f>HYPERLINK(AB2 &amp; "/screwdriver/sn_e3d518fbd0d52617f7c4ed45ce654123/rendering/09.obj", "4.81683685303")</f>
        <v>4.81683685303</v>
      </c>
      <c r="M2584" s="44" t="str">
        <f>HYPERLINK(AB2 &amp; "/screwdriver/sn_e3d518fbd0d52617f7c4ed45ce654123/rendering/10.obj", "2.94000549316")</f>
        <v>2.94000549316</v>
      </c>
      <c r="N2584" s="90" t="str">
        <f>HYPERLINK(AB2 &amp; "/screwdriver/sn_e3d518fbd0d52617f7c4ed45ce654123/rendering/11.obj", "4.01660461426")</f>
        <v>4.01660461426</v>
      </c>
      <c r="O2584" s="118" t="str">
        <f>HYPERLINK(AB2 &amp; "/screwdriver/sn_e3d518fbd0d52617f7c4ed45ce654123/rendering/12.obj", "4.73953735352")</f>
        <v>4.73953735352</v>
      </c>
      <c r="P2584" s="107" t="str">
        <f>HYPERLINK(AB2 &amp; "/screwdriver/sn_e3d518fbd0d52617f7c4ed45ce654123/rendering/13.obj", "3.35464477539")</f>
        <v>3.35464477539</v>
      </c>
      <c r="Q2584" s="26" t="str">
        <f>HYPERLINK(AB2 &amp; "/screwdriver/sn_e3d518fbd0d52617f7c4ed45ce654123/rendering/14.obj", "3.89585693359")</f>
        <v>3.89585693359</v>
      </c>
      <c r="R2584" s="35" t="str">
        <f>HYPERLINK(AB2 &amp; "/screwdriver/sn_e3d518fbd0d52617f7c4ed45ce654123/rendering/15.obj", "3.87133758545")</f>
        <v>3.87133758545</v>
      </c>
      <c r="S2584" s="74" t="str">
        <f>HYPERLINK(AB2 &amp; "/screwdriver/sn_e3d518fbd0d52617f7c4ed45ce654123/rendering/16.obj", "3.61075286865")</f>
        <v>3.61075286865</v>
      </c>
      <c r="T2584" s="110" t="str">
        <f>HYPERLINK(AB2 &amp; "/screwdriver/sn_e3d518fbd0d52617f7c4ed45ce654123/rendering/17.obj", "3.30296234131")</f>
        <v>3.30296234131</v>
      </c>
      <c r="U2584" s="51" t="str">
        <f>HYPERLINK(AB2 &amp; "/screwdriver/sn_e3d518fbd0d52617f7c4ed45ce654123/rendering/18.obj", "3.95846496582")</f>
        <v>3.95846496582</v>
      </c>
      <c r="V2584" s="31" t="str">
        <f>HYPERLINK(AB2 &amp; "/screwdriver/sn_e3d518fbd0d52617f7c4ed45ce654123/rendering/19.obj", "3.09886352539")</f>
        <v>3.09886352539</v>
      </c>
      <c r="W2584" s="12" t="s">
        <v>31</v>
      </c>
      <c r="X2584" s="13">
        <v>3.663838958740234</v>
      </c>
      <c r="Y2584" s="13">
        <v>0.51227519528062671</v>
      </c>
      <c r="Z2584" s="93">
        <v>0.1398192445272666</v>
      </c>
    </row>
    <row r="2585" spans="1:26" x14ac:dyDescent="0.2">
      <c r="A2585" s="1">
        <v>2583</v>
      </c>
      <c r="B2585" s="2" t="s">
        <v>549</v>
      </c>
      <c r="C2585" s="69" t="str">
        <f>HYPERLINK(AB2 &amp; "/screwdriver/sn_e3d518fbd0d52617f7c4ed45ce654123/rendering/00.obj", "1.22535657883")</f>
        <v>1.22535657883</v>
      </c>
      <c r="D2585" s="35" t="str">
        <f>HYPERLINK(AB2 &amp; "/screwdriver/sn_e3d518fbd0d52617f7c4ed45ce654123/rendering/01.obj", "1.33704042435")</f>
        <v>1.33704042435</v>
      </c>
      <c r="E2585" s="25" t="str">
        <f>HYPERLINK(AB2 &amp; "/screwdriver/sn_e3d518fbd0d52617f7c4ed45ce654123/rendering/02.obj", "1.25222086906")</f>
        <v>1.25222086906</v>
      </c>
      <c r="F2585" s="47" t="str">
        <f>HYPERLINK(AB2 &amp; "/screwdriver/sn_e3d518fbd0d52617f7c4ed45ce654123/rendering/03.obj", "1.27351379395")</f>
        <v>1.27351379395</v>
      </c>
      <c r="G2585" s="13" t="str">
        <f>HYPERLINK(AB2 &amp; "/screwdriver/sn_e3d518fbd0d52617f7c4ed45ce654123/rendering/04.obj", "1.26857292652")</f>
        <v>1.26857292652</v>
      </c>
      <c r="H2585" s="63" t="str">
        <f>HYPERLINK(AB2 &amp; "/screwdriver/sn_e3d518fbd0d52617f7c4ed45ce654123/rendering/05.obj", "1.41937673092")</f>
        <v>1.41937673092</v>
      </c>
      <c r="I2585" s="72" t="str">
        <f>HYPERLINK(AB2 &amp; "/screwdriver/sn_e3d518fbd0d52617f7c4ed45ce654123/rendering/06.obj", "1.30670499802")</f>
        <v>1.30670499802</v>
      </c>
      <c r="J2585" s="26" t="str">
        <f>HYPERLINK(AB2 &amp; "/screwdriver/sn_e3d518fbd0d52617f7c4ed45ce654123/rendering/07.obj", "1.18293964863")</f>
        <v>1.18293964863</v>
      </c>
      <c r="K2585" s="13" t="str">
        <f>HYPERLINK(AB2 &amp; "/screwdriver/sn_e3d518fbd0d52617f7c4ed45ce654123/rendering/08.obj", "1.26078760624")</f>
        <v>1.26078760624</v>
      </c>
      <c r="L2585" s="35" t="str">
        <f>HYPERLINK(AB2 &amp; "/screwdriver/sn_e3d518fbd0d52617f7c4ed45ce654123/rendering/09.obj", "1.189463377")</f>
        <v>1.189463377</v>
      </c>
      <c r="M2585" s="47" t="str">
        <f>HYPERLINK(AB2 &amp; "/screwdriver/sn_e3d518fbd0d52617f7c4ed45ce654123/rendering/10.obj", "1.27338027954")</f>
        <v>1.27338027954</v>
      </c>
      <c r="N2585" s="48" t="str">
        <f>HYPERLINK(AB2 &amp; "/screwdriver/sn_e3d518fbd0d52617f7c4ed45ce654123/rendering/11.obj", "1.23620426655")</f>
        <v>1.23620426655</v>
      </c>
      <c r="O2585" s="25" t="str">
        <f>HYPERLINK(AB2 &amp; "/screwdriver/sn_e3d518fbd0d52617f7c4ed45ce654123/rendering/12.obj", "1.24958300591")</f>
        <v>1.24958300591</v>
      </c>
      <c r="P2585" s="34" t="str">
        <f>HYPERLINK(AB2 &amp; "/screwdriver/sn_e3d518fbd0d52617f7c4ed45ce654123/rendering/13.obj", "1.32501518726")</f>
        <v>1.32501518726</v>
      </c>
      <c r="Q2585" s="107" t="str">
        <f>HYPERLINK(AB2 &amp; "/screwdriver/sn_e3d518fbd0d52617f7c4ed45ce654123/rendering/14.obj", "1.15911614895")</f>
        <v>1.15911614895</v>
      </c>
      <c r="R2585" s="94" t="str">
        <f>HYPERLINK(AB2 &amp; "/screwdriver/sn_e3d518fbd0d52617f7c4ed45ce654123/rendering/15.obj", "1.17153000832")</f>
        <v>1.17153000832</v>
      </c>
      <c r="S2585" s="73" t="str">
        <f>HYPERLINK(AB2 &amp; "/screwdriver/sn_e3d518fbd0d52617f7c4ed45ce654123/rendering/16.obj", "1.2189437151")</f>
        <v>1.2189437151</v>
      </c>
      <c r="T2585" s="17" t="str">
        <f>HYPERLINK(AB2 &amp; "/screwdriver/sn_e3d518fbd0d52617f7c4ed45ce654123/rendering/17.obj", "1.23778247833")</f>
        <v>1.23778247833</v>
      </c>
      <c r="U2585" s="46" t="str">
        <f>HYPERLINK(AB2 &amp; "/screwdriver/sn_e3d518fbd0d52617f7c4ed45ce654123/rendering/18.obj", "1.24109125137")</f>
        <v>1.24109125137</v>
      </c>
      <c r="V2585" s="79" t="str">
        <f>HYPERLINK(AB2 &amp; "/screwdriver/sn_e3d518fbd0d52617f7c4ed45ce654123/rendering/19.obj", "1.46473228931")</f>
        <v>1.46473228931</v>
      </c>
      <c r="W2585" s="12" t="s">
        <v>32</v>
      </c>
      <c r="X2585" s="13">
        <v>1.2646677792072301</v>
      </c>
      <c r="Y2585" s="13">
        <v>7.518318669704116E-2</v>
      </c>
      <c r="Z2585" s="35">
        <v>5.9448961959140387E-2</v>
      </c>
    </row>
    <row r="2586" spans="1:26" x14ac:dyDescent="0.2">
      <c r="A2586" s="1">
        <v>2584</v>
      </c>
      <c r="B2586" s="2" t="s">
        <v>549</v>
      </c>
      <c r="C2586" s="13" t="str">
        <f>HYPERLINK(AC2 &amp; "/screwdriver/sn_e3d518fbd0d52617f7c4ed45ce654123/rendering/00.xyz", "0.0")</f>
        <v>0.0</v>
      </c>
      <c r="D2586" s="13" t="str">
        <f>HYPERLINK(AC2 &amp; "/screwdriver/sn_e3d518fbd0d52617f7c4ed45ce654123/rendering/01.xyz", "0.0")</f>
        <v>0.0</v>
      </c>
      <c r="E2586" s="13" t="str">
        <f>HYPERLINK(AC2 &amp; "/screwdriver/sn_e3d518fbd0d52617f7c4ed45ce654123/rendering/02.xyz", "0.0")</f>
        <v>0.0</v>
      </c>
      <c r="F2586" s="13" t="str">
        <f>HYPERLINK(AC2 &amp; "/screwdriver/sn_e3d518fbd0d52617f7c4ed45ce654123/rendering/03.xyz", "0.0")</f>
        <v>0.0</v>
      </c>
      <c r="G2586" s="13" t="str">
        <f>HYPERLINK(AC2 &amp; "/screwdriver/sn_e3d518fbd0d52617f7c4ed45ce654123/rendering/04.xyz", "0.0")</f>
        <v>0.0</v>
      </c>
      <c r="H2586" s="13" t="str">
        <f>HYPERLINK(AC2 &amp; "/screwdriver/sn_e3d518fbd0d52617f7c4ed45ce654123/rendering/05.xyz", "0.0")</f>
        <v>0.0</v>
      </c>
      <c r="I2586" s="13" t="str">
        <f>HYPERLINK(AC2 &amp; "/screwdriver/sn_e3d518fbd0d52617f7c4ed45ce654123/rendering/06.xyz", "0.0")</f>
        <v>0.0</v>
      </c>
      <c r="J2586" s="13" t="str">
        <f>HYPERLINK(AC2 &amp; "/screwdriver/sn_e3d518fbd0d52617f7c4ed45ce654123/rendering/07.xyz", "0.0")</f>
        <v>0.0</v>
      </c>
      <c r="K2586" s="13" t="str">
        <f>HYPERLINK(AC2 &amp; "/screwdriver/sn_e3d518fbd0d52617f7c4ed45ce654123/rendering/08.xyz", "0.0")</f>
        <v>0.0</v>
      </c>
      <c r="L2586" s="13" t="str">
        <f>HYPERLINK(AC2 &amp; "/screwdriver/sn_e3d518fbd0d52617f7c4ed45ce654123/rendering/09.xyz", "0.0")</f>
        <v>0.0</v>
      </c>
      <c r="M2586" s="13" t="str">
        <f>HYPERLINK(AC2 &amp; "/screwdriver/sn_e3d518fbd0d52617f7c4ed45ce654123/rendering/10.xyz", "0.0")</f>
        <v>0.0</v>
      </c>
      <c r="N2586" s="13" t="str">
        <f>HYPERLINK(AC2 &amp; "/screwdriver/sn_e3d518fbd0d52617f7c4ed45ce654123/rendering/11.xyz", "0.0")</f>
        <v>0.0</v>
      </c>
      <c r="O2586" s="13" t="str">
        <f>HYPERLINK(AC2 &amp; "/screwdriver/sn_e3d518fbd0d52617f7c4ed45ce654123/rendering/12.xyz", "0.0")</f>
        <v>0.0</v>
      </c>
      <c r="P2586" s="13" t="str">
        <f>HYPERLINK(AC2 &amp; "/screwdriver/sn_e3d518fbd0d52617f7c4ed45ce654123/rendering/13.xyz", "0.0")</f>
        <v>0.0</v>
      </c>
      <c r="Q2586" s="13" t="str">
        <f>HYPERLINK(AC2 &amp; "/screwdriver/sn_e3d518fbd0d52617f7c4ed45ce654123/rendering/14.xyz", "0.0")</f>
        <v>0.0</v>
      </c>
      <c r="R2586" s="13" t="str">
        <f>HYPERLINK(AC2 &amp; "/screwdriver/sn_e3d518fbd0d52617f7c4ed45ce654123/rendering/15.xyz", "0.0")</f>
        <v>0.0</v>
      </c>
      <c r="S2586" s="13" t="str">
        <f>HYPERLINK(AC2 &amp; "/screwdriver/sn_e3d518fbd0d52617f7c4ed45ce654123/rendering/16.xyz", "0.0")</f>
        <v>0.0</v>
      </c>
      <c r="T2586" s="13" t="str">
        <f>HYPERLINK(AC2 &amp; "/screwdriver/sn_e3d518fbd0d52617f7c4ed45ce654123/rendering/17.xyz", "0.0")</f>
        <v>0.0</v>
      </c>
      <c r="U2586" s="13" t="str">
        <f>HYPERLINK(AC2 &amp; "/screwdriver/sn_e3d518fbd0d52617f7c4ed45ce654123/rendering/18.xyz", "0.0")</f>
        <v>0.0</v>
      </c>
      <c r="V2586" s="13" t="str">
        <f>HYPERLINK(AC2 &amp; "/screwdriver/sn_e3d518fbd0d52617f7c4ed45ce654123/rendering/19.xyz", "0.0")</f>
        <v>0.0</v>
      </c>
      <c r="W2586" s="12" t="s">
        <v>33</v>
      </c>
      <c r="X2586" s="13">
        <v>0</v>
      </c>
      <c r="Y2586" s="13">
        <v>0</v>
      </c>
      <c r="Z2586" s="13">
        <v>0</v>
      </c>
    </row>
    <row r="2587" spans="1:26" x14ac:dyDescent="0.2">
      <c r="A2587" s="1">
        <v>2585</v>
      </c>
      <c r="B2587" s="2" t="s">
        <v>550</v>
      </c>
      <c r="C2587" s="49" t="str">
        <f>HYPERLINK(AA2 &amp; "/screwdriver/sn_e8733ce7bbacdf63cfdfe3f21f42a111/rendering/00.obj", "4.05800476074")</f>
        <v>4.05800476074</v>
      </c>
      <c r="D2587" s="79" t="str">
        <f>HYPERLINK(AA2 &amp; "/screwdriver/sn_e8733ce7bbacdf63cfdfe3f21f42a111/rendering/01.obj", "4.30761505127")</f>
        <v>4.30761505127</v>
      </c>
      <c r="E2587" s="20" t="str">
        <f>HYPERLINK(AA2 &amp; "/screwdriver/sn_e8733ce7bbacdf63cfdfe3f21f42a111/rendering/02.obj", "13.2864013672")</f>
        <v>13.2864013672</v>
      </c>
      <c r="F2587" s="75" t="str">
        <f>HYPERLINK(AA2 &amp; "/screwdriver/sn_e8733ce7bbacdf63cfdfe3f21f42a111/rendering/03.obj", "3.99479492188")</f>
        <v>3.99479492188</v>
      </c>
      <c r="G2587" s="109" t="str">
        <f>HYPERLINK(AA2 &amp; "/screwdriver/sn_e8733ce7bbacdf63cfdfe3f21f42a111/rendering/04.obj", "4.14470550537")</f>
        <v>4.14470550537</v>
      </c>
      <c r="H2587" s="133" t="str">
        <f>HYPERLINK(AA2 &amp; "/screwdriver/sn_e8733ce7bbacdf63cfdfe3f21f42a111/rendering/05.obj", "4.5984552002")</f>
        <v>4.5984552002</v>
      </c>
      <c r="I2587" s="33" t="str">
        <f>HYPERLINK(AA2 &amp; "/screwdriver/sn_e8733ce7bbacdf63cfdfe3f21f42a111/rendering/06.obj", "4.56922454834")</f>
        <v>4.56922454834</v>
      </c>
      <c r="J2587" s="49" t="str">
        <f>HYPERLINK(AA2 &amp; "/screwdriver/sn_e8733ce7bbacdf63cfdfe3f21f42a111/rendering/07.obj", "4.04868560791")</f>
        <v>4.04868560791</v>
      </c>
      <c r="K2587" s="11" t="str">
        <f>HYPERLINK(AA2 &amp; "/screwdriver/sn_e8733ce7bbacdf63cfdfe3f21f42a111/rendering/08.obj", "3.9800390625")</f>
        <v>3.9800390625</v>
      </c>
      <c r="L2587" s="66" t="str">
        <f>HYPERLINK(AA2 &amp; "/screwdriver/sn_e8733ce7bbacdf63cfdfe3f21f42a111/rendering/09.obj", "4.30043640137")</f>
        <v>4.30043640137</v>
      </c>
      <c r="M2587" s="39" t="str">
        <f>HYPERLINK(AA2 &amp; "/screwdriver/sn_e8733ce7bbacdf63cfdfe3f21f42a111/rendering/10.obj", "4.67965454102")</f>
        <v>4.67965454102</v>
      </c>
      <c r="N2587" s="32" t="str">
        <f>HYPERLINK(AA2 &amp; "/screwdriver/sn_e8733ce7bbacdf63cfdfe3f21f42a111/rendering/11.obj", "4.57981109619")</f>
        <v>4.57981109619</v>
      </c>
      <c r="O2587" s="36" t="str">
        <f>HYPERLINK(AA2 &amp; "/screwdriver/sn_e8733ce7bbacdf63cfdfe3f21f42a111/rendering/12.obj", "4.02147125244")</f>
        <v>4.02147125244</v>
      </c>
      <c r="P2587" s="10" t="str">
        <f>HYPERLINK(AA2 &amp; "/screwdriver/sn_e8733ce7bbacdf63cfdfe3f21f42a111/rendering/13.obj", "4.83616394043")</f>
        <v>4.83616394043</v>
      </c>
      <c r="Q2587" s="91" t="str">
        <f>HYPERLINK(AA2 &amp; "/screwdriver/sn_e8733ce7bbacdf63cfdfe3f21f42a111/rendering/14.obj", "4.98305877686")</f>
        <v>4.98305877686</v>
      </c>
      <c r="R2587" s="20" t="str">
        <f>HYPERLINK(AA2 &amp; "/screwdriver/sn_e8733ce7bbacdf63cfdfe3f21f42a111/rendering/15.obj", "10.6468896484")</f>
        <v>10.6468896484</v>
      </c>
      <c r="S2587" s="70" t="str">
        <f>HYPERLINK(AA2 &amp; "/screwdriver/sn_e8733ce7bbacdf63cfdfe3f21f42a111/rendering/16.obj", "4.47507659912")</f>
        <v>4.47507659912</v>
      </c>
      <c r="T2587" s="11" t="str">
        <f>HYPERLINK(AA2 &amp; "/screwdriver/sn_e8733ce7bbacdf63cfdfe3f21f42a111/rendering/17.obj", "3.9761114502")</f>
        <v>3.9761114502</v>
      </c>
      <c r="U2587" s="23" t="str">
        <f>HYPERLINK(AA2 &amp; "/screwdriver/sn_e8733ce7bbacdf63cfdfe3f21f42a111/rendering/18.obj", "5.32863769531")</f>
        <v>5.32863769531</v>
      </c>
      <c r="V2587" s="95" t="str">
        <f>HYPERLINK(AA2 &amp; "/screwdriver/sn_e8733ce7bbacdf63cfdfe3f21f42a111/rendering/19.obj", "3.67809417725")</f>
        <v>3.67809417725</v>
      </c>
      <c r="W2587" s="12" t="s">
        <v>29</v>
      </c>
      <c r="X2587" s="13">
        <v>5.1246665802001958</v>
      </c>
      <c r="Y2587" s="13">
        <v>2.3513226615209288</v>
      </c>
      <c r="Z2587" s="114">
        <v>0.45882451564860133</v>
      </c>
    </row>
    <row r="2588" spans="1:26" x14ac:dyDescent="0.2">
      <c r="A2588" s="1">
        <v>2586</v>
      </c>
      <c r="B2588" s="2" t="s">
        <v>550</v>
      </c>
      <c r="C2588" s="203" t="str">
        <f>HYPERLINK(AA2 &amp; "/screwdriver/sn_e8733ce7bbacdf63cfdfe3f21f42a111/rendering/00.obj", "1.28025901318")</f>
        <v>1.28025901318</v>
      </c>
      <c r="D2588" s="139" t="str">
        <f>HYPERLINK(AA2 &amp; "/screwdriver/sn_e8733ce7bbacdf63cfdfe3f21f42a111/rendering/01.obj", "1.23939526081")</f>
        <v>1.23939526081</v>
      </c>
      <c r="E2588" s="20" t="str">
        <f>HYPERLINK(AA2 &amp; "/screwdriver/sn_e8733ce7bbacdf63cfdfe3f21f42a111/rendering/02.obj", "13.256439209")</f>
        <v>13.256439209</v>
      </c>
      <c r="F2588" s="197" t="str">
        <f>HYPERLINK(AA2 &amp; "/screwdriver/sn_e8733ce7bbacdf63cfdfe3f21f42a111/rendering/03.obj", "1.03696274757")</f>
        <v>1.03696274757</v>
      </c>
      <c r="G2588" s="77" t="str">
        <f>HYPERLINK(AA2 &amp; "/screwdriver/sn_e8733ce7bbacdf63cfdfe3f21f42a111/rendering/04.obj", "2.84095406532")</f>
        <v>2.84095406532</v>
      </c>
      <c r="H2588" s="144" t="str">
        <f>HYPERLINK(AA2 &amp; "/screwdriver/sn_e8733ce7bbacdf63cfdfe3f21f42a111/rendering/05.obj", "1.18566906452")</f>
        <v>1.18566906452</v>
      </c>
      <c r="I2588" s="139" t="str">
        <f>HYPERLINK(AA2 &amp; "/screwdriver/sn_e8733ce7bbacdf63cfdfe3f21f42a111/rendering/06.obj", "1.24389362335")</f>
        <v>1.24389362335</v>
      </c>
      <c r="J2588" s="161" t="str">
        <f>HYPERLINK(AA2 &amp; "/screwdriver/sn_e8733ce7bbacdf63cfdfe3f21f42a111/rendering/07.obj", "0.991490006447")</f>
        <v>0.991490006447</v>
      </c>
      <c r="K2588" s="195" t="str">
        <f>HYPERLINK(AA2 &amp; "/screwdriver/sn_e8733ce7bbacdf63cfdfe3f21f42a111/rendering/08.obj", "1.0842243433")</f>
        <v>1.0842243433</v>
      </c>
      <c r="L2588" s="163" t="str">
        <f>HYPERLINK(AA2 &amp; "/screwdriver/sn_e8733ce7bbacdf63cfdfe3f21f42a111/rendering/09.obj", "1.3361093998")</f>
        <v>1.3361093998</v>
      </c>
      <c r="M2588" s="150" t="str">
        <f>HYPERLINK(AA2 &amp; "/screwdriver/sn_e8733ce7bbacdf63cfdfe3f21f42a111/rendering/10.obj", "1.10472619534")</f>
        <v>1.10472619534</v>
      </c>
      <c r="N2588" s="153" t="str">
        <f>HYPERLINK(AA2 &amp; "/screwdriver/sn_e8733ce7bbacdf63cfdfe3f21f42a111/rendering/11.obj", "1.54203259945")</f>
        <v>1.54203259945</v>
      </c>
      <c r="O2588" s="226" t="str">
        <f>HYPERLINK(AA2 &amp; "/screwdriver/sn_e8733ce7bbacdf63cfdfe3f21f42a111/rendering/12.obj", "1.04449903965")</f>
        <v>1.04449903965</v>
      </c>
      <c r="P2588" s="82" t="str">
        <f>HYPERLINK(AA2 &amp; "/screwdriver/sn_e8733ce7bbacdf63cfdfe3f21f42a111/rendering/13.obj", "1.90562045574")</f>
        <v>1.90562045574</v>
      </c>
      <c r="Q2588" s="74" t="str">
        <f>HYPERLINK(AA2 &amp; "/screwdriver/sn_e8733ce7bbacdf63cfdfe3f21f42a111/rendering/14.obj", "2.36040902138")</f>
        <v>2.36040902138</v>
      </c>
      <c r="R2588" s="20" t="str">
        <f>HYPERLINK(AA2 &amp; "/screwdriver/sn_e8733ce7bbacdf63cfdfe3f21f42a111/rendering/15.obj", "9.8163728714")</f>
        <v>9.8163728714</v>
      </c>
      <c r="S2588" s="104" t="str">
        <f>HYPERLINK(AA2 &amp; "/screwdriver/sn_e8733ce7bbacdf63cfdfe3f21f42a111/rendering/16.obj", "1.25747394562")</f>
        <v>1.25747394562</v>
      </c>
      <c r="T2588" s="160" t="str">
        <f>HYPERLINK(AA2 &amp; "/screwdriver/sn_e8733ce7bbacdf63cfdfe3f21f42a111/rendering/17.obj", "1.13133132458")</f>
        <v>1.13133132458</v>
      </c>
      <c r="U2588" s="181" t="str">
        <f>HYPERLINK(AA2 &amp; "/screwdriver/sn_e8733ce7bbacdf63cfdfe3f21f42a111/rendering/18.obj", "1.3321839571")</f>
        <v>1.3321839571</v>
      </c>
      <c r="V2588" s="214" t="str">
        <f>HYPERLINK(AA2 &amp; "/screwdriver/sn_e8733ce7bbacdf63cfdfe3f21f42a111/rendering/19.obj", "0.920940518379")</f>
        <v>0.920940518379</v>
      </c>
      <c r="W2588" s="12" t="s">
        <v>30</v>
      </c>
      <c r="X2588" s="13">
        <v>2.3955493330955511</v>
      </c>
      <c r="Y2588" s="13">
        <v>3.1298222434071539</v>
      </c>
      <c r="Z2588" s="20">
        <v>1.3065154618889729</v>
      </c>
    </row>
    <row r="2589" spans="1:26" x14ac:dyDescent="0.2">
      <c r="A2589" s="1">
        <v>2587</v>
      </c>
      <c r="B2589" s="2" t="s">
        <v>550</v>
      </c>
      <c r="C2589" s="72" t="str">
        <f>HYPERLINK(AB2 &amp; "/screwdriver/sn_e8733ce7bbacdf63cfdfe3f21f42a111/rendering/00.obj", "4.02685424805")</f>
        <v>4.02685424805</v>
      </c>
      <c r="D2589" s="74" t="str">
        <f>HYPERLINK(AB2 &amp; "/screwdriver/sn_e8733ce7bbacdf63cfdfe3f21f42a111/rendering/01.obj", "3.94688537598")</f>
        <v>3.94688537598</v>
      </c>
      <c r="E2589" s="63" t="str">
        <f>HYPERLINK(AB2 &amp; "/screwdriver/sn_e8733ce7bbacdf63cfdfe3f21f42a111/rendering/02.obj", "4.35952575684")</f>
        <v>4.35952575684</v>
      </c>
      <c r="F2589" s="94" t="str">
        <f>HYPERLINK(AB2 &amp; "/screwdriver/sn_e8733ce7bbacdf63cfdfe3f21f42a111/rendering/03.obj", "4.17666625977")</f>
        <v>4.17666625977</v>
      </c>
      <c r="G2589" s="47" t="str">
        <f>HYPERLINK(AB2 &amp; "/screwdriver/sn_e8733ce7bbacdf63cfdfe3f21f42a111/rendering/04.obj", "3.92913665771")</f>
        <v>3.92913665771</v>
      </c>
      <c r="H2589" s="93" t="str">
        <f>HYPERLINK(AB2 &amp; "/screwdriver/sn_e8733ce7bbacdf63cfdfe3f21f42a111/rendering/05.obj", "3.35495727539")</f>
        <v>3.35495727539</v>
      </c>
      <c r="I2589" s="42" t="str">
        <f>HYPERLINK(AB2 &amp; "/screwdriver/sn_e8733ce7bbacdf63cfdfe3f21f42a111/rendering/06.obj", "4.41943054199")</f>
        <v>4.41943054199</v>
      </c>
      <c r="J2589" s="6" t="str">
        <f>HYPERLINK(AB2 &amp; "/screwdriver/sn_e8733ce7bbacdf63cfdfe3f21f42a111/rendering/07.obj", "3.71525878906")</f>
        <v>3.71525878906</v>
      </c>
      <c r="K2589" s="13" t="str">
        <f>HYPERLINK(AB2 &amp; "/screwdriver/sn_e8733ce7bbacdf63cfdfe3f21f42a111/rendering/08.obj", "3.88190673828")</f>
        <v>3.88190673828</v>
      </c>
      <c r="L2589" s="94" t="str">
        <f>HYPERLINK(AB2 &amp; "/screwdriver/sn_e8733ce7bbacdf63cfdfe3f21f42a111/rendering/09.obj", "3.60971679687")</f>
        <v>3.60971679687</v>
      </c>
      <c r="M2589" s="109" t="str">
        <f>HYPERLINK(AB2 &amp; "/screwdriver/sn_e8733ce7bbacdf63cfdfe3f21f42a111/rendering/10.obj", "4.63816345215")</f>
        <v>4.63816345215</v>
      </c>
      <c r="N2589" s="27" t="str">
        <f>HYPERLINK(AB2 &amp; "/screwdriver/sn_e8733ce7bbacdf63cfdfe3f21f42a111/rendering/11.obj", "3.61505310059")</f>
        <v>3.61505310059</v>
      </c>
      <c r="O2589" s="25" t="str">
        <f>HYPERLINK(AB2 &amp; "/screwdriver/sn_e8733ce7bbacdf63cfdfe3f21f42a111/rendering/12.obj", "3.85150634766")</f>
        <v>3.85150634766</v>
      </c>
      <c r="P2589" s="42" t="str">
        <f>HYPERLINK(AB2 &amp; "/screwdriver/sn_e8733ce7bbacdf63cfdfe3f21f42a111/rendering/13.obj", "3.36585266113")</f>
        <v>3.36585266113</v>
      </c>
      <c r="Q2589" s="23" t="str">
        <f>HYPERLINK(AB2 &amp; "/screwdriver/sn_e8733ce7bbacdf63cfdfe3f21f42a111/rendering/14.obj", "3.73508850098")</f>
        <v>3.73508850098</v>
      </c>
      <c r="R2589" s="41" t="str">
        <f>HYPERLINK(AB2 &amp; "/screwdriver/sn_e8733ce7bbacdf63cfdfe3f21f42a111/rendering/15.obj", "4.15864959717")</f>
        <v>4.15864959717</v>
      </c>
      <c r="S2589" s="70" t="str">
        <f>HYPERLINK(AB2 &amp; "/screwdriver/sn_e8733ce7bbacdf63cfdfe3f21f42a111/rendering/16.obj", "3.39988311768")</f>
        <v>3.39988311768</v>
      </c>
      <c r="T2589" s="41" t="str">
        <f>HYPERLINK(AB2 &amp; "/screwdriver/sn_e8733ce7bbacdf63cfdfe3f21f42a111/rendering/17.obj", "3.63012756348")</f>
        <v>3.63012756348</v>
      </c>
      <c r="U2589" s="68" t="str">
        <f>HYPERLINK(AB2 &amp; "/screwdriver/sn_e8733ce7bbacdf63cfdfe3f21f42a111/rendering/18.obj", "4.05835021973")</f>
        <v>4.05835021973</v>
      </c>
      <c r="V2589" s="48" t="str">
        <f>HYPERLINK(AB2 &amp; "/screwdriver/sn_e8733ce7bbacdf63cfdfe3f21f42a111/rendering/19.obj", "3.99015777588")</f>
        <v>3.99015777588</v>
      </c>
      <c r="W2589" s="12" t="s">
        <v>31</v>
      </c>
      <c r="X2589" s="13">
        <v>3.8931585388183598</v>
      </c>
      <c r="Y2589" s="13">
        <v>0.34318388538294869</v>
      </c>
      <c r="Z2589" s="38">
        <v>8.8150503495064675E-2</v>
      </c>
    </row>
    <row r="2590" spans="1:26" x14ac:dyDescent="0.2">
      <c r="A2590" s="1">
        <v>2588</v>
      </c>
      <c r="B2590" s="2" t="s">
        <v>550</v>
      </c>
      <c r="C2590" s="68" t="str">
        <f>HYPERLINK(AB2 &amp; "/screwdriver/sn_e8733ce7bbacdf63cfdfe3f21f42a111/rendering/00.obj", "1.04408252239")</f>
        <v>1.04408252239</v>
      </c>
      <c r="D2590" s="65" t="str">
        <f>HYPERLINK(AB2 &amp; "/screwdriver/sn_e8733ce7bbacdf63cfdfe3f21f42a111/rendering/01.obj", "0.944258570671")</f>
        <v>0.944258570671</v>
      </c>
      <c r="E2590" s="29" t="str">
        <f>HYPERLINK(AB2 &amp; "/screwdriver/sn_e8733ce7bbacdf63cfdfe3f21f42a111/rendering/02.obj", "1.22989737988")</f>
        <v>1.22989737988</v>
      </c>
      <c r="F2590" s="44" t="str">
        <f>HYPERLINK(AB2 &amp; "/screwdriver/sn_e8733ce7bbacdf63cfdfe3f21f42a111/rendering/03.obj", "0.8762383461")</f>
        <v>0.8762383461</v>
      </c>
      <c r="G2590" s="27" t="str">
        <f>HYPERLINK(AB2 &amp; "/screwdriver/sn_e8733ce7bbacdf63cfdfe3f21f42a111/rendering/04.obj", "1.01171970367")</f>
        <v>1.01171970367</v>
      </c>
      <c r="H2590" s="17" t="str">
        <f>HYPERLINK(AB2 &amp; "/screwdriver/sn_e8733ce7bbacdf63cfdfe3f21f42a111/rendering/05.obj", "1.06547927856")</f>
        <v>1.06547927856</v>
      </c>
      <c r="I2590" s="13" t="str">
        <f>HYPERLINK(AB2 &amp; "/screwdriver/sn_e8733ce7bbacdf63cfdfe3f21f42a111/rendering/06.obj", "1.09100866318")</f>
        <v>1.09100866318</v>
      </c>
      <c r="J2590" s="107" t="str">
        <f>HYPERLINK(AB2 &amp; "/screwdriver/sn_e8733ce7bbacdf63cfdfe3f21f42a111/rendering/07.obj", "1.1802945137")</f>
        <v>1.1802945137</v>
      </c>
      <c r="K2590" s="42" t="str">
        <f>HYPERLINK(AB2 &amp; "/screwdriver/sn_e8733ce7bbacdf63cfdfe3f21f42a111/rendering/08.obj", "0.939454734325")</f>
        <v>0.939454734325</v>
      </c>
      <c r="L2590" s="86" t="str">
        <f>HYPERLINK(AB2 &amp; "/screwdriver/sn_e8733ce7bbacdf63cfdfe3f21f42a111/rendering/09.obj", "0.796607613564")</f>
        <v>0.796607613564</v>
      </c>
      <c r="M2590" s="65" t="str">
        <f>HYPERLINK(AB2 &amp; "/screwdriver/sn_e8733ce7bbacdf63cfdfe3f21f42a111/rendering/10.obj", "1.23304104805")</f>
        <v>1.23304104805</v>
      </c>
      <c r="N2590" s="19" t="str">
        <f>HYPERLINK(AB2 &amp; "/screwdriver/sn_e8733ce7bbacdf63cfdfe3f21f42a111/rendering/11.obj", "0.801973819733")</f>
        <v>0.801973819733</v>
      </c>
      <c r="O2590" s="122" t="str">
        <f>HYPERLINK(AB2 &amp; "/screwdriver/sn_e8733ce7bbacdf63cfdfe3f21f42a111/rendering/12.obj", "1.52646076679")</f>
        <v>1.52646076679</v>
      </c>
      <c r="P2590" s="69" t="str">
        <f>HYPERLINK(AB2 &amp; "/screwdriver/sn_e8733ce7bbacdf63cfdfe3f21f42a111/rendering/13.obj", "1.12087225914")</f>
        <v>1.12087225914</v>
      </c>
      <c r="Q2590" s="134" t="str">
        <f>HYPERLINK(AB2 &amp; "/screwdriver/sn_e8733ce7bbacdf63cfdfe3f21f42a111/rendering/14.obj", "0.893587529659")</f>
        <v>0.893587529659</v>
      </c>
      <c r="R2590" s="178" t="str">
        <f>HYPERLINK(AB2 &amp; "/screwdriver/sn_e8733ce7bbacdf63cfdfe3f21f42a111/rendering/15.obj", "1.7949552536")</f>
        <v>1.7949552536</v>
      </c>
      <c r="S2590" s="83" t="str">
        <f>HYPERLINK(AB2 &amp; "/screwdriver/sn_e8733ce7bbacdf63cfdfe3f21f42a111/rendering/16.obj", "0.922644436359")</f>
        <v>0.922644436359</v>
      </c>
      <c r="T2590" s="34" t="str">
        <f>HYPERLINK(AB2 &amp; "/screwdriver/sn_e8733ce7bbacdf63cfdfe3f21f42a111/rendering/17.obj", "1.14300334454")</f>
        <v>1.14300334454</v>
      </c>
      <c r="U2590" s="76" t="str">
        <f>HYPERLINK(AB2 &amp; "/screwdriver/sn_e8733ce7bbacdf63cfdfe3f21f42a111/rendering/18.obj", "1.28697264194")</f>
        <v>1.28697264194</v>
      </c>
      <c r="V2590" s="50" t="str">
        <f>HYPERLINK(AB2 &amp; "/screwdriver/sn_e8733ce7bbacdf63cfdfe3f21f42a111/rendering/19.obj", "0.873415112495")</f>
        <v>0.873415112495</v>
      </c>
      <c r="W2590" s="12" t="s">
        <v>32</v>
      </c>
      <c r="X2590" s="13">
        <v>1.0887983769178391</v>
      </c>
      <c r="Y2590" s="13">
        <v>0.24074330114765019</v>
      </c>
      <c r="Z2590" s="75">
        <v>0.2211091660782451</v>
      </c>
    </row>
    <row r="2591" spans="1:26" x14ac:dyDescent="0.2">
      <c r="A2591" s="1">
        <v>2589</v>
      </c>
      <c r="B2591" s="2" t="s">
        <v>550</v>
      </c>
      <c r="C2591" s="13" t="str">
        <f>HYPERLINK(AC2 &amp; "/screwdriver/sn_e8733ce7bbacdf63cfdfe3f21f42a111/rendering/00.xyz", "0.0")</f>
        <v>0.0</v>
      </c>
      <c r="D2591" s="13" t="str">
        <f>HYPERLINK(AC2 &amp; "/screwdriver/sn_e8733ce7bbacdf63cfdfe3f21f42a111/rendering/01.xyz", "0.0")</f>
        <v>0.0</v>
      </c>
      <c r="E2591" s="13" t="str">
        <f>HYPERLINK(AC2 &amp; "/screwdriver/sn_e8733ce7bbacdf63cfdfe3f21f42a111/rendering/02.xyz", "0.0")</f>
        <v>0.0</v>
      </c>
      <c r="F2591" s="13" t="str">
        <f>HYPERLINK(AC2 &amp; "/screwdriver/sn_e8733ce7bbacdf63cfdfe3f21f42a111/rendering/03.xyz", "0.0")</f>
        <v>0.0</v>
      </c>
      <c r="G2591" s="13" t="str">
        <f>HYPERLINK(AC2 &amp; "/screwdriver/sn_e8733ce7bbacdf63cfdfe3f21f42a111/rendering/04.xyz", "0.0")</f>
        <v>0.0</v>
      </c>
      <c r="H2591" s="13" t="str">
        <f>HYPERLINK(AC2 &amp; "/screwdriver/sn_e8733ce7bbacdf63cfdfe3f21f42a111/rendering/05.xyz", "0.0")</f>
        <v>0.0</v>
      </c>
      <c r="I2591" s="13" t="str">
        <f>HYPERLINK(AC2 &amp; "/screwdriver/sn_e8733ce7bbacdf63cfdfe3f21f42a111/rendering/06.xyz", "0.0")</f>
        <v>0.0</v>
      </c>
      <c r="J2591" s="13" t="str">
        <f>HYPERLINK(AC2 &amp; "/screwdriver/sn_e8733ce7bbacdf63cfdfe3f21f42a111/rendering/07.xyz", "0.0")</f>
        <v>0.0</v>
      </c>
      <c r="K2591" s="13" t="str">
        <f>HYPERLINK(AC2 &amp; "/screwdriver/sn_e8733ce7bbacdf63cfdfe3f21f42a111/rendering/08.xyz", "0.0")</f>
        <v>0.0</v>
      </c>
      <c r="L2591" s="13" t="str">
        <f>HYPERLINK(AC2 &amp; "/screwdriver/sn_e8733ce7bbacdf63cfdfe3f21f42a111/rendering/09.xyz", "0.0")</f>
        <v>0.0</v>
      </c>
      <c r="M2591" s="13" t="str">
        <f>HYPERLINK(AC2 &amp; "/screwdriver/sn_e8733ce7bbacdf63cfdfe3f21f42a111/rendering/10.xyz", "0.0")</f>
        <v>0.0</v>
      </c>
      <c r="N2591" s="13" t="str">
        <f>HYPERLINK(AC2 &amp; "/screwdriver/sn_e8733ce7bbacdf63cfdfe3f21f42a111/rendering/11.xyz", "0.0")</f>
        <v>0.0</v>
      </c>
      <c r="O2591" s="13" t="str">
        <f>HYPERLINK(AC2 &amp; "/screwdriver/sn_e8733ce7bbacdf63cfdfe3f21f42a111/rendering/12.xyz", "0.0")</f>
        <v>0.0</v>
      </c>
      <c r="P2591" s="13" t="str">
        <f>HYPERLINK(AC2 &amp; "/screwdriver/sn_e8733ce7bbacdf63cfdfe3f21f42a111/rendering/13.xyz", "0.0")</f>
        <v>0.0</v>
      </c>
      <c r="Q2591" s="13" t="str">
        <f>HYPERLINK(AC2 &amp; "/screwdriver/sn_e8733ce7bbacdf63cfdfe3f21f42a111/rendering/14.xyz", "0.0")</f>
        <v>0.0</v>
      </c>
      <c r="R2591" s="13" t="str">
        <f>HYPERLINK(AC2 &amp; "/screwdriver/sn_e8733ce7bbacdf63cfdfe3f21f42a111/rendering/15.xyz", "0.0")</f>
        <v>0.0</v>
      </c>
      <c r="S2591" s="13" t="str">
        <f>HYPERLINK(AC2 &amp; "/screwdriver/sn_e8733ce7bbacdf63cfdfe3f21f42a111/rendering/16.xyz", "0.0")</f>
        <v>0.0</v>
      </c>
      <c r="T2591" s="13" t="str">
        <f>HYPERLINK(AC2 &amp; "/screwdriver/sn_e8733ce7bbacdf63cfdfe3f21f42a111/rendering/17.xyz", "0.0")</f>
        <v>0.0</v>
      </c>
      <c r="U2591" s="13" t="str">
        <f>HYPERLINK(AC2 &amp; "/screwdriver/sn_e8733ce7bbacdf63cfdfe3f21f42a111/rendering/18.xyz", "0.0")</f>
        <v>0.0</v>
      </c>
      <c r="V2591" s="13" t="str">
        <f>HYPERLINK(AC2 &amp; "/screwdriver/sn_e8733ce7bbacdf63cfdfe3f21f42a111/rendering/19.xyz", "0.0")</f>
        <v>0.0</v>
      </c>
      <c r="W2591" s="12" t="s">
        <v>33</v>
      </c>
      <c r="X2591" s="13">
        <v>0</v>
      </c>
      <c r="Y2591" s="13">
        <v>0</v>
      </c>
      <c r="Z2591" s="13">
        <v>0</v>
      </c>
    </row>
    <row r="2592" spans="1:26" x14ac:dyDescent="0.2">
      <c r="A2592" s="1">
        <v>2590</v>
      </c>
      <c r="B2592" s="2" t="s">
        <v>551</v>
      </c>
      <c r="C2592" s="73" t="str">
        <f>HYPERLINK(AA2 &amp; "/screwdriver/sn_ee5d64abb16bebb6ba2dc6b0ec935a93/rendering/00.obj", "5.23154418945")</f>
        <v>5.23154418945</v>
      </c>
      <c r="D2592" s="69" t="str">
        <f>HYPERLINK(AA2 &amp; "/screwdriver/sn_ee5d64abb16bebb6ba2dc6b0ec935a93/rendering/01.obj", "5.20401062012")</f>
        <v>5.20401062012</v>
      </c>
      <c r="E2592" s="47" t="str">
        <f>HYPERLINK(AA2 &amp; "/screwdriver/sn_ee5d64abb16bebb6ba2dc6b0ec935a93/rendering/02.obj", "5.00755096436")</f>
        <v>5.00755096436</v>
      </c>
      <c r="F2592" s="13" t="str">
        <f>HYPERLINK(AA2 &amp; "/screwdriver/sn_ee5d64abb16bebb6ba2dc6b0ec935a93/rendering/03.obj", "5.04640350342")</f>
        <v>5.04640350342</v>
      </c>
      <c r="G2592" s="91" t="str">
        <f>HYPERLINK(AA2 &amp; "/screwdriver/sn_ee5d64abb16bebb6ba2dc6b0ec935a93/rendering/04.obj", "4.91773834229")</f>
        <v>4.91773834229</v>
      </c>
      <c r="H2592" s="47" t="str">
        <f>HYPERLINK(AA2 &amp; "/screwdriver/sn_ee5d64abb16bebb6ba2dc6b0ec935a93/rendering/05.obj", "5.0125012207")</f>
        <v>5.0125012207</v>
      </c>
      <c r="I2592" s="47" t="str">
        <f>HYPERLINK(AA2 &amp; "/screwdriver/sn_ee5d64abb16bebb6ba2dc6b0ec935a93/rendering/06.obj", "5.01233428955")</f>
        <v>5.01233428955</v>
      </c>
      <c r="J2592" s="30" t="str">
        <f>HYPERLINK(AA2 &amp; "/screwdriver/sn_ee5d64abb16bebb6ba2dc6b0ec935a93/rendering/07.obj", "5.06407836914")</f>
        <v>5.06407836914</v>
      </c>
      <c r="K2592" s="91" t="str">
        <f>HYPERLINK(AA2 &amp; "/screwdriver/sn_ee5d64abb16bebb6ba2dc6b0ec935a93/rendering/08.obj", "4.91236053467")</f>
        <v>4.91236053467</v>
      </c>
      <c r="L2592" s="25" t="str">
        <f>HYPERLINK(AA2 &amp; "/screwdriver/sn_ee5d64abb16bebb6ba2dc6b0ec935a93/rendering/09.obj", "5.10288665771")</f>
        <v>5.10288665771</v>
      </c>
      <c r="M2592" s="68" t="str">
        <f>HYPERLINK(AA2 &amp; "/screwdriver/sn_ee5d64abb16bebb6ba2dc6b0ec935a93/rendering/10.obj", "5.25680664063")</f>
        <v>5.25680664063</v>
      </c>
      <c r="N2592" s="48" t="str">
        <f>HYPERLINK(AA2 &amp; "/screwdriver/sn_ee5d64abb16bebb6ba2dc6b0ec935a93/rendering/11.obj", "4.93223175049")</f>
        <v>4.93223175049</v>
      </c>
      <c r="O2592" s="25" t="str">
        <f>HYPERLINK(AA2 &amp; "/screwdriver/sn_ee5d64abb16bebb6ba2dc6b0ec935a93/rendering/12.obj", "4.98614929199")</f>
        <v>4.98614929199</v>
      </c>
      <c r="P2592" s="17" t="str">
        <f>HYPERLINK(AA2 &amp; "/screwdriver/sn_ee5d64abb16bebb6ba2dc6b0ec935a93/rendering/13.obj", "5.15553100586")</f>
        <v>5.15553100586</v>
      </c>
      <c r="Q2592" s="46" t="str">
        <f>HYPERLINK(AA2 &amp; "/screwdriver/sn_ee5d64abb16bebb6ba2dc6b0ec935a93/rendering/14.obj", "4.96610321045")</f>
        <v>4.96610321045</v>
      </c>
      <c r="R2592" s="73" t="str">
        <f>HYPERLINK(AA2 &amp; "/screwdriver/sn_ee5d64abb16bebb6ba2dc6b0ec935a93/rendering/15.obj", "4.8679019165")</f>
        <v>4.8679019165</v>
      </c>
      <c r="S2592" s="48" t="str">
        <f>HYPERLINK(AA2 &amp; "/screwdriver/sn_ee5d64abb16bebb6ba2dc6b0ec935a93/rendering/16.obj", "4.92440643311")</f>
        <v>4.92440643311</v>
      </c>
      <c r="T2592" s="13" t="str">
        <f>HYPERLINK(AA2 &amp; "/screwdriver/sn_ee5d64abb16bebb6ba2dc6b0ec935a93/rendering/17.obj", "5.05366912842")</f>
        <v>5.05366912842</v>
      </c>
      <c r="U2592" s="72" t="str">
        <f>HYPERLINK(AA2 &amp; "/screwdriver/sn_ee5d64abb16bebb6ba2dc6b0ec935a93/rendering/18.obj", "5.21825866699")</f>
        <v>5.21825866699</v>
      </c>
      <c r="V2592" s="30" t="str">
        <f>HYPERLINK(AA2 &amp; "/screwdriver/sn_ee5d64abb16bebb6ba2dc6b0ec935a93/rendering/19.obj", "5.06904907227")</f>
        <v>5.06904907227</v>
      </c>
      <c r="W2592" s="12" t="s">
        <v>29</v>
      </c>
      <c r="X2592" s="13">
        <v>5.0470757904052741</v>
      </c>
      <c r="Y2592" s="13">
        <v>0.1133778462281347</v>
      </c>
      <c r="Z2592" s="48">
        <v>2.246406650830789E-2</v>
      </c>
    </row>
    <row r="2593" spans="1:26" x14ac:dyDescent="0.2">
      <c r="A2593" s="1">
        <v>2591</v>
      </c>
      <c r="B2593" s="2" t="s">
        <v>551</v>
      </c>
      <c r="C2593" s="58" t="str">
        <f>HYPERLINK(AA2 &amp; "/screwdriver/sn_ee5d64abb16bebb6ba2dc6b0ec935a93/rendering/00.obj", "2.10150408745")</f>
        <v>2.10150408745</v>
      </c>
      <c r="D2593" s="31" t="str">
        <f>HYPERLINK(AA2 &amp; "/screwdriver/sn_ee5d64abb16bebb6ba2dc6b0ec935a93/rendering/01.obj", "1.95493888855")</f>
        <v>1.95493888855</v>
      </c>
      <c r="E2593" s="39" t="str">
        <f>HYPERLINK(AA2 &amp; "/screwdriver/sn_ee5d64abb16bebb6ba2dc6b0ec935a93/rendering/02.obj", "1.54715228081")</f>
        <v>1.54715228081</v>
      </c>
      <c r="F2593" s="72" t="str">
        <f>HYPERLINK(AA2 &amp; "/screwdriver/sn_ee5d64abb16bebb6ba2dc6b0ec935a93/rendering/03.obj", "1.63710141182")</f>
        <v>1.63710141182</v>
      </c>
      <c r="G2593" s="26" t="str">
        <f>HYPERLINK(AA2 &amp; "/screwdriver/sn_ee5d64abb16bebb6ba2dc6b0ec935a93/rendering/04.obj", "1.58397376537")</f>
        <v>1.58397376537</v>
      </c>
      <c r="H2593" s="60" t="str">
        <f>HYPERLINK(AA2 &amp; "/screwdriver/sn_ee5d64abb16bebb6ba2dc6b0ec935a93/rendering/05.obj", "1.60218918324")</f>
        <v>1.60218918324</v>
      </c>
      <c r="I2593" s="72" t="str">
        <f>HYPERLINK(AA2 &amp; "/screwdriver/sn_ee5d64abb16bebb6ba2dc6b0ec935a93/rendering/06.obj", "1.74898445606")</f>
        <v>1.74898445606</v>
      </c>
      <c r="J2593" s="78" t="str">
        <f>HYPERLINK(AA2 &amp; "/screwdriver/sn_ee5d64abb16bebb6ba2dc6b0ec935a93/rendering/07.obj", "1.58955144882")</f>
        <v>1.58955144882</v>
      </c>
      <c r="K2593" s="17" t="str">
        <f>HYPERLINK(AA2 &amp; "/screwdriver/sn_ee5d64abb16bebb6ba2dc6b0ec935a93/rendering/08.obj", "1.72421956062")</f>
        <v>1.72421956062</v>
      </c>
      <c r="L2593" s="27" t="str">
        <f>HYPERLINK(AA2 &amp; "/screwdriver/sn_ee5d64abb16bebb6ba2dc6b0ec935a93/rendering/09.obj", "1.81032121181")</f>
        <v>1.81032121181</v>
      </c>
      <c r="M2593" s="6" t="str">
        <f>HYPERLINK(AA2 &amp; "/screwdriver/sn_ee5d64abb16bebb6ba2dc6b0ec935a93/rendering/10.obj", "1.6162635088")</f>
        <v>1.6162635088</v>
      </c>
      <c r="N2593" s="28" t="str">
        <f>HYPERLINK(AA2 &amp; "/screwdriver/sn_ee5d64abb16bebb6ba2dc6b0ec935a93/rendering/11.obj", "1.50184738636")</f>
        <v>1.50184738636</v>
      </c>
      <c r="O2593" s="175" t="str">
        <f>HYPERLINK(AA2 &amp; "/screwdriver/sn_ee5d64abb16bebb6ba2dc6b0ec935a93/rendering/12.obj", "2.08709669113")</f>
        <v>2.08709669113</v>
      </c>
      <c r="P2593" s="25" t="str">
        <f>HYPERLINK(AA2 &amp; "/screwdriver/sn_ee5d64abb16bebb6ba2dc6b0ec935a93/rendering/13.obj", "1.70685589314")</f>
        <v>1.70685589314</v>
      </c>
      <c r="Q2593" s="23" t="str">
        <f>HYPERLINK(AA2 &amp; "/screwdriver/sn_ee5d64abb16bebb6ba2dc6b0ec935a93/rendering/14.obj", "1.75800526142")</f>
        <v>1.75800526142</v>
      </c>
      <c r="R2593" s="35" t="str">
        <f>HYPERLINK(AA2 &amp; "/screwdriver/sn_ee5d64abb16bebb6ba2dc6b0ec935a93/rendering/15.obj", "1.59310281277")</f>
        <v>1.59310281277</v>
      </c>
      <c r="S2593" s="90" t="str">
        <f>HYPERLINK(AA2 &amp; "/screwdriver/sn_ee5d64abb16bebb6ba2dc6b0ec935a93/rendering/16.obj", "1.52691435814")</f>
        <v>1.52691435814</v>
      </c>
      <c r="T2593" s="27" t="str">
        <f>HYPERLINK(AA2 &amp; "/screwdriver/sn_ee5d64abb16bebb6ba2dc6b0ec935a93/rendering/17.obj", "1.56963193417")</f>
        <v>1.56963193417</v>
      </c>
      <c r="U2593" s="5" t="str">
        <f>HYPERLINK(AA2 &amp; "/screwdriver/sn_ee5d64abb16bebb6ba2dc6b0ec935a93/rendering/18.obj", "1.56213927269")</f>
        <v>1.56213927269</v>
      </c>
      <c r="V2593" s="35" t="str">
        <f>HYPERLINK(AA2 &amp; "/screwdriver/sn_ee5d64abb16bebb6ba2dc6b0ec935a93/rendering/19.obj", "1.5934278965")</f>
        <v>1.5934278965</v>
      </c>
      <c r="W2593" s="12" t="s">
        <v>30</v>
      </c>
      <c r="X2593" s="13">
        <v>1.6907610654830929</v>
      </c>
      <c r="Y2593" s="13">
        <v>0.17182433210090939</v>
      </c>
      <c r="Z2593" s="133">
        <v>0.1016254369755166</v>
      </c>
    </row>
    <row r="2594" spans="1:26" x14ac:dyDescent="0.2">
      <c r="A2594" s="1">
        <v>2592</v>
      </c>
      <c r="B2594" s="2" t="s">
        <v>551</v>
      </c>
      <c r="C2594" s="30" t="str">
        <f>HYPERLINK(AB2 &amp; "/screwdriver/sn_ee5d64abb16bebb6ba2dc6b0ec935a93/rendering/00.obj", "4.12282623291")</f>
        <v>4.12282623291</v>
      </c>
      <c r="D2594" s="35" t="str">
        <f>HYPERLINK(AB2 &amp; "/screwdriver/sn_ee5d64abb16bebb6ba2dc6b0ec935a93/rendering/01.obj", "3.90599700928")</f>
        <v>3.90599700928</v>
      </c>
      <c r="E2594" s="30" t="str">
        <f>HYPERLINK(AB2 &amp; "/screwdriver/sn_ee5d64abb16bebb6ba2dc6b0ec935a93/rendering/02.obj", "4.1652520752")</f>
        <v>4.1652520752</v>
      </c>
      <c r="F2594" s="30" t="str">
        <f>HYPERLINK(AB2 &amp; "/screwdriver/sn_ee5d64abb16bebb6ba2dc6b0ec935a93/rendering/03.obj", "4.12990936279")</f>
        <v>4.12990936279</v>
      </c>
      <c r="G2594" s="68" t="str">
        <f>HYPERLINK(AB2 &amp; "/screwdriver/sn_ee5d64abb16bebb6ba2dc6b0ec935a93/rendering/04.obj", "3.96971405029")</f>
        <v>3.96971405029</v>
      </c>
      <c r="H2594" s="74" t="str">
        <f>HYPERLINK(AB2 &amp; "/screwdriver/sn_ee5d64abb16bebb6ba2dc6b0ec935a93/rendering/05.obj", "4.0888470459")</f>
        <v>4.0888470459</v>
      </c>
      <c r="I2594" s="48" t="str">
        <f>HYPERLINK(AB2 &amp; "/screwdriver/sn_ee5d64abb16bebb6ba2dc6b0ec935a93/rendering/06.obj", "4.04568817139")</f>
        <v>4.04568817139</v>
      </c>
      <c r="J2594" s="71" t="str">
        <f>HYPERLINK(AB2 &amp; "/screwdriver/sn_ee5d64abb16bebb6ba2dc6b0ec935a93/rendering/07.obj", "4.63948486328")</f>
        <v>4.63948486328</v>
      </c>
      <c r="K2594" s="72" t="str">
        <f>HYPERLINK(AB2 &amp; "/screwdriver/sn_ee5d64abb16bebb6ba2dc6b0ec935a93/rendering/08.obj", "4.00989135742")</f>
        <v>4.00989135742</v>
      </c>
      <c r="L2594" s="23" t="str">
        <f>HYPERLINK(AB2 &amp; "/screwdriver/sn_ee5d64abb16bebb6ba2dc6b0ec935a93/rendering/09.obj", "3.98578674316")</f>
        <v>3.98578674316</v>
      </c>
      <c r="M2594" s="51" t="str">
        <f>HYPERLINK(AB2 &amp; "/screwdriver/sn_ee5d64abb16bebb6ba2dc6b0ec935a93/rendering/10.obj", "4.47728515625")</f>
        <v>4.47728515625</v>
      </c>
      <c r="N2594" s="48" t="str">
        <f>HYPERLINK(AB2 &amp; "/screwdriver/sn_ee5d64abb16bebb6ba2dc6b0ec935a93/rendering/11.obj", "4.24394287109")</f>
        <v>4.24394287109</v>
      </c>
      <c r="O2594" s="23" t="str">
        <f>HYPERLINK(AB2 &amp; "/screwdriver/sn_ee5d64abb16bebb6ba2dc6b0ec935a93/rendering/12.obj", "3.98329345703")</f>
        <v>3.98329345703</v>
      </c>
      <c r="P2594" s="51" t="str">
        <f>HYPERLINK(AB2 &amp; "/screwdriver/sn_ee5d64abb16bebb6ba2dc6b0ec935a93/rendering/13.obj", "4.47732910156")</f>
        <v>4.47732910156</v>
      </c>
      <c r="Q2594" s="13" t="str">
        <f>HYPERLINK(AB2 &amp; "/screwdriver/sn_ee5d64abb16bebb6ba2dc6b0ec935a93/rendering/14.obj", "4.14039581299")</f>
        <v>4.14039581299</v>
      </c>
      <c r="R2594" s="91" t="str">
        <f>HYPERLINK(AB2 &amp; "/screwdriver/sn_ee5d64abb16bebb6ba2dc6b0ec935a93/rendering/15.obj", "4.03219360352")</f>
        <v>4.03219360352</v>
      </c>
      <c r="S2594" s="27" t="str">
        <f>HYPERLINK(AB2 &amp; "/screwdriver/sn_ee5d64abb16bebb6ba2dc6b0ec935a93/rendering/16.obj", "3.85178741455")</f>
        <v>3.85178741455</v>
      </c>
      <c r="T2594" s="46" t="str">
        <f>HYPERLINK(AB2 &amp; "/screwdriver/sn_ee5d64abb16bebb6ba2dc6b0ec935a93/rendering/17.obj", "4.07561981201")</f>
        <v>4.07561981201</v>
      </c>
      <c r="U2594" s="72" t="str">
        <f>HYPERLINK(AB2 &amp; "/screwdriver/sn_ee5d64abb16bebb6ba2dc6b0ec935a93/rendering/18.obj", "4.28220092773")</f>
        <v>4.28220092773</v>
      </c>
      <c r="V2594" s="68" t="str">
        <f>HYPERLINK(AB2 &amp; "/screwdriver/sn_ee5d64abb16bebb6ba2dc6b0ec935a93/rendering/19.obj", "4.32766418457")</f>
        <v>4.32766418457</v>
      </c>
      <c r="W2594" s="12" t="s">
        <v>31</v>
      </c>
      <c r="X2594" s="13">
        <v>4.1477554626464848</v>
      </c>
      <c r="Y2594" s="13">
        <v>0.2003095776496111</v>
      </c>
      <c r="Z2594" s="34">
        <v>4.8293487755857997E-2</v>
      </c>
    </row>
    <row r="2595" spans="1:26" x14ac:dyDescent="0.2">
      <c r="A2595" s="1">
        <v>2593</v>
      </c>
      <c r="B2595" s="2" t="s">
        <v>551</v>
      </c>
      <c r="C2595" s="74" t="str">
        <f>HYPERLINK(AB2 &amp; "/screwdriver/sn_ee5d64abb16bebb6ba2dc6b0ec935a93/rendering/00.obj", "1.58095812798")</f>
        <v>1.58095812798</v>
      </c>
      <c r="D2595" s="51" t="str">
        <f>HYPERLINK(AB2 &amp; "/screwdriver/sn_ee5d64abb16bebb6ba2dc6b0ec935a93/rendering/01.obj", "1.47589921951")</f>
        <v>1.47589921951</v>
      </c>
      <c r="E2595" s="30" t="str">
        <f>HYPERLINK(AB2 &amp; "/screwdriver/sn_ee5d64abb16bebb6ba2dc6b0ec935a93/rendering/02.obj", "1.61013686657")</f>
        <v>1.61013686657</v>
      </c>
      <c r="F2595" s="47" t="str">
        <f>HYPERLINK(AB2 &amp; "/screwdriver/sn_ee5d64abb16bebb6ba2dc6b0ec935a93/rendering/03.obj", "1.58785057068")</f>
        <v>1.58785057068</v>
      </c>
      <c r="G2595" s="6" t="str">
        <f>HYPERLINK(AB2 &amp; "/screwdriver/sn_ee5d64abb16bebb6ba2dc6b0ec935a93/rendering/04.obj", "1.52841484547")</f>
        <v>1.52841484547</v>
      </c>
      <c r="H2595" s="48" t="str">
        <f>HYPERLINK(AB2 &amp; "/screwdriver/sn_ee5d64abb16bebb6ba2dc6b0ec935a93/rendering/05.obj", "1.56674981117")</f>
        <v>1.56674981117</v>
      </c>
      <c r="I2595" s="17" t="str">
        <f>HYPERLINK(AB2 &amp; "/screwdriver/sn_ee5d64abb16bebb6ba2dc6b0ec935a93/rendering/06.obj", "1.63629519939")</f>
        <v>1.63629519939</v>
      </c>
      <c r="J2595" s="90" t="str">
        <f>HYPERLINK(AB2 &amp; "/screwdriver/sn_ee5d64abb16bebb6ba2dc6b0ec935a93/rendering/07.obj", "1.75790679455")</f>
        <v>1.75790679455</v>
      </c>
      <c r="K2595" s="68" t="str">
        <f>HYPERLINK(AB2 &amp; "/screwdriver/sn_ee5d64abb16bebb6ba2dc6b0ec935a93/rendering/08.obj", "1.53676700592")</f>
        <v>1.53676700592</v>
      </c>
      <c r="L2595" s="74" t="str">
        <f>HYPERLINK(AB2 &amp; "/screwdriver/sn_ee5d64abb16bebb6ba2dc6b0ec935a93/rendering/09.obj", "1.58056139946")</f>
        <v>1.58056139946</v>
      </c>
      <c r="M2595" s="17" t="str">
        <f>HYPERLINK(AB2 &amp; "/screwdriver/sn_ee5d64abb16bebb6ba2dc6b0ec935a93/rendering/10.obj", "1.6353456974")</f>
        <v>1.6353456974</v>
      </c>
      <c r="N2595" s="69" t="str">
        <f>HYPERLINK(AB2 &amp; "/screwdriver/sn_ee5d64abb16bebb6ba2dc6b0ec935a93/rendering/11.obj", "1.64737844467")</f>
        <v>1.64737844467</v>
      </c>
      <c r="O2595" s="34" t="str">
        <f>HYPERLINK(AB2 &amp; "/screwdriver/sn_ee5d64abb16bebb6ba2dc6b0ec935a93/rendering/12.obj", "1.52276694775")</f>
        <v>1.52276694775</v>
      </c>
      <c r="P2595" s="92" t="str">
        <f>HYPERLINK(AB2 &amp; "/screwdriver/sn_ee5d64abb16bebb6ba2dc6b0ec935a93/rendering/13.obj", "1.79944491386")</f>
        <v>1.79944491386</v>
      </c>
      <c r="Q2595" s="69" t="str">
        <f>HYPERLINK(AB2 &amp; "/screwdriver/sn_ee5d64abb16bebb6ba2dc6b0ec935a93/rendering/14.obj", "1.64776086807")</f>
        <v>1.64776086807</v>
      </c>
      <c r="R2595" s="6" t="str">
        <f>HYPERLINK(AB2 &amp; "/screwdriver/sn_ee5d64abb16bebb6ba2dc6b0ec935a93/rendering/15.obj", "1.53078186512")</f>
        <v>1.53078186512</v>
      </c>
      <c r="S2595" s="107" t="str">
        <f>HYPERLINK(AB2 &amp; "/screwdriver/sn_ee5d64abb16bebb6ba2dc6b0ec935a93/rendering/16.obj", "1.46993803978")</f>
        <v>1.46993803978</v>
      </c>
      <c r="T2595" s="68" t="str">
        <f>HYPERLINK(AB2 &amp; "/screwdriver/sn_ee5d64abb16bebb6ba2dc6b0ec935a93/rendering/17.obj", "1.53253293037")</f>
        <v>1.53253293037</v>
      </c>
      <c r="U2595" s="6" t="str">
        <f>HYPERLINK(AB2 &amp; "/screwdriver/sn_ee5d64abb16bebb6ba2dc6b0ec935a93/rendering/18.obj", "1.67467272282")</f>
        <v>1.67467272282</v>
      </c>
      <c r="V2595" s="94" t="str">
        <f>HYPERLINK(AB2 &amp; "/screwdriver/sn_ee5d64abb16bebb6ba2dc6b0ec935a93/rendering/19.obj", "1.72002124786")</f>
        <v>1.72002124786</v>
      </c>
      <c r="W2595" s="12" t="s">
        <v>32</v>
      </c>
      <c r="X2595" s="13">
        <v>1.602109175920486</v>
      </c>
      <c r="Y2595" s="13">
        <v>8.67587761505276E-2</v>
      </c>
      <c r="Z2595" s="10">
        <v>5.415284891598017E-2</v>
      </c>
    </row>
    <row r="2596" spans="1:26" x14ac:dyDescent="0.2">
      <c r="A2596" s="1">
        <v>2594</v>
      </c>
      <c r="B2596" s="2" t="s">
        <v>551</v>
      </c>
      <c r="C2596" s="13" t="str">
        <f>HYPERLINK(AC2 &amp; "/screwdriver/sn_ee5d64abb16bebb6ba2dc6b0ec935a93/rendering/00.xyz", "0.0")</f>
        <v>0.0</v>
      </c>
      <c r="D2596" s="13" t="str">
        <f>HYPERLINK(AC2 &amp; "/screwdriver/sn_ee5d64abb16bebb6ba2dc6b0ec935a93/rendering/01.xyz", "0.0")</f>
        <v>0.0</v>
      </c>
      <c r="E2596" s="13" t="str">
        <f>HYPERLINK(AC2 &amp; "/screwdriver/sn_ee5d64abb16bebb6ba2dc6b0ec935a93/rendering/02.xyz", "0.0")</f>
        <v>0.0</v>
      </c>
      <c r="F2596" s="13" t="str">
        <f>HYPERLINK(AC2 &amp; "/screwdriver/sn_ee5d64abb16bebb6ba2dc6b0ec935a93/rendering/03.xyz", "0.0")</f>
        <v>0.0</v>
      </c>
      <c r="G2596" s="13" t="str">
        <f>HYPERLINK(AC2 &amp; "/screwdriver/sn_ee5d64abb16bebb6ba2dc6b0ec935a93/rendering/04.xyz", "0.0")</f>
        <v>0.0</v>
      </c>
      <c r="H2596" s="13" t="str">
        <f>HYPERLINK(AC2 &amp; "/screwdriver/sn_ee5d64abb16bebb6ba2dc6b0ec935a93/rendering/05.xyz", "0.0")</f>
        <v>0.0</v>
      </c>
      <c r="I2596" s="13" t="str">
        <f>HYPERLINK(AC2 &amp; "/screwdriver/sn_ee5d64abb16bebb6ba2dc6b0ec935a93/rendering/06.xyz", "0.0")</f>
        <v>0.0</v>
      </c>
      <c r="J2596" s="13" t="str">
        <f>HYPERLINK(AC2 &amp; "/screwdriver/sn_ee5d64abb16bebb6ba2dc6b0ec935a93/rendering/07.xyz", "0.0")</f>
        <v>0.0</v>
      </c>
      <c r="K2596" s="13" t="str">
        <f>HYPERLINK(AC2 &amp; "/screwdriver/sn_ee5d64abb16bebb6ba2dc6b0ec935a93/rendering/08.xyz", "0.0")</f>
        <v>0.0</v>
      </c>
      <c r="L2596" s="13" t="str">
        <f>HYPERLINK(AC2 &amp; "/screwdriver/sn_ee5d64abb16bebb6ba2dc6b0ec935a93/rendering/09.xyz", "0.0")</f>
        <v>0.0</v>
      </c>
      <c r="M2596" s="13" t="str">
        <f>HYPERLINK(AC2 &amp; "/screwdriver/sn_ee5d64abb16bebb6ba2dc6b0ec935a93/rendering/10.xyz", "0.0")</f>
        <v>0.0</v>
      </c>
      <c r="N2596" s="13" t="str">
        <f>HYPERLINK(AC2 &amp; "/screwdriver/sn_ee5d64abb16bebb6ba2dc6b0ec935a93/rendering/11.xyz", "0.0")</f>
        <v>0.0</v>
      </c>
      <c r="O2596" s="13" t="str">
        <f>HYPERLINK(AC2 &amp; "/screwdriver/sn_ee5d64abb16bebb6ba2dc6b0ec935a93/rendering/12.xyz", "0.0")</f>
        <v>0.0</v>
      </c>
      <c r="P2596" s="13" t="str">
        <f>HYPERLINK(AC2 &amp; "/screwdriver/sn_ee5d64abb16bebb6ba2dc6b0ec935a93/rendering/13.xyz", "0.0")</f>
        <v>0.0</v>
      </c>
      <c r="Q2596" s="13" t="str">
        <f>HYPERLINK(AC2 &amp; "/screwdriver/sn_ee5d64abb16bebb6ba2dc6b0ec935a93/rendering/14.xyz", "0.0")</f>
        <v>0.0</v>
      </c>
      <c r="R2596" s="13" t="str">
        <f>HYPERLINK(AC2 &amp; "/screwdriver/sn_ee5d64abb16bebb6ba2dc6b0ec935a93/rendering/15.xyz", "0.0")</f>
        <v>0.0</v>
      </c>
      <c r="S2596" s="13" t="str">
        <f>HYPERLINK(AC2 &amp; "/screwdriver/sn_ee5d64abb16bebb6ba2dc6b0ec935a93/rendering/16.xyz", "0.0")</f>
        <v>0.0</v>
      </c>
      <c r="T2596" s="13" t="str">
        <f>HYPERLINK(AC2 &amp; "/screwdriver/sn_ee5d64abb16bebb6ba2dc6b0ec935a93/rendering/17.xyz", "0.0")</f>
        <v>0.0</v>
      </c>
      <c r="U2596" s="13" t="str">
        <f>HYPERLINK(AC2 &amp; "/screwdriver/sn_ee5d64abb16bebb6ba2dc6b0ec935a93/rendering/18.xyz", "0.0")</f>
        <v>0.0</v>
      </c>
      <c r="V2596" s="13" t="str">
        <f>HYPERLINK(AC2 &amp; "/screwdriver/sn_ee5d64abb16bebb6ba2dc6b0ec935a93/rendering/19.xyz", "0.0")</f>
        <v>0.0</v>
      </c>
      <c r="W2596" s="12" t="s">
        <v>33</v>
      </c>
      <c r="X2596" s="13">
        <v>0</v>
      </c>
      <c r="Y2596" s="13">
        <v>0</v>
      </c>
      <c r="Z2596" s="13">
        <v>0</v>
      </c>
    </row>
    <row r="2597" spans="1:26" x14ac:dyDescent="0.2">
      <c r="A2597" s="1">
        <v>2595</v>
      </c>
      <c r="B2597" s="2" t="s">
        <v>552</v>
      </c>
      <c r="C2597" s="32" t="str">
        <f>HYPERLINK(AA2 &amp; "/screwdriver/sn_f5720ebc170fa50e9c8620c32cbd5c0/rendering/00.obj", "3.89673156738")</f>
        <v>3.89673156738</v>
      </c>
      <c r="D2597" s="43" t="str">
        <f>HYPERLINK(AA2 &amp; "/screwdriver/sn_f5720ebc170fa50e9c8620c32cbd5c0/rendering/01.obj", "2.71993103027")</f>
        <v>2.71993103027</v>
      </c>
      <c r="E2597" s="76" t="str">
        <f>HYPERLINK(AA2 &amp; "/screwdriver/sn_f5720ebc170fa50e9c8620c32cbd5c0/rendering/02.obj", "3.54464477539")</f>
        <v>3.54464477539</v>
      </c>
      <c r="F2597" s="24" t="str">
        <f>HYPERLINK(AA2 &amp; "/screwdriver/sn_f5720ebc170fa50e9c8620c32cbd5c0/rendering/03.obj", "5.07599975586")</f>
        <v>5.07599975586</v>
      </c>
      <c r="G2597" s="33" t="str">
        <f>HYPERLINK(AA2 &amp; "/screwdriver/sn_f5720ebc170fa50e9c8620c32cbd5c0/rendering/04.obj", "3.88039886475")</f>
        <v>3.88039886475</v>
      </c>
      <c r="H2597" s="149" t="str">
        <f>HYPERLINK(AA2 &amp; "/screwdriver/sn_f5720ebc170fa50e9c8620c32cbd5c0/rendering/05.obj", "2.85039001465")</f>
        <v>2.85039001465</v>
      </c>
      <c r="I2597" s="134" t="str">
        <f>HYPERLINK(AA2 &amp; "/screwdriver/sn_f5720ebc170fa50e9c8620c32cbd5c0/rendering/06.obj", "5.13721374512")</f>
        <v>5.13721374512</v>
      </c>
      <c r="J2597" s="61" t="str">
        <f>HYPERLINK(AA2 &amp; "/screwdriver/sn_f5720ebc170fa50e9c8620c32cbd5c0/rendering/07.obj", "3.0338394165")</f>
        <v>3.0338394165</v>
      </c>
      <c r="K2597" s="29" t="str">
        <f>HYPERLINK(AA2 &amp; "/screwdriver/sn_f5720ebc170fa50e9c8620c32cbd5c0/rendering/08.obj", "3.77489562988")</f>
        <v>3.77489562988</v>
      </c>
      <c r="L2597" s="81" t="str">
        <f>HYPERLINK(AA2 &amp; "/screwdriver/sn_f5720ebc170fa50e9c8620c32cbd5c0/rendering/09.obj", "3.40323181152")</f>
        <v>3.40323181152</v>
      </c>
      <c r="M2597" s="50" t="str">
        <f>HYPERLINK(AA2 &amp; "/screwdriver/sn_f5720ebc170fa50e9c8620c32cbd5c0/rendering/10.obj", "3.47881286621")</f>
        <v>3.47881286621</v>
      </c>
      <c r="N2597" s="75" t="str">
        <f>HYPERLINK(AA2 &amp; "/screwdriver/sn_f5720ebc170fa50e9c8620c32cbd5c0/rendering/11.obj", "3.38466369629")</f>
        <v>3.38466369629</v>
      </c>
      <c r="O2597" s="8" t="str">
        <f>HYPERLINK(AA2 &amp; "/screwdriver/sn_f5720ebc170fa50e9c8620c32cbd5c0/rendering/12.obj", "3.72054748535")</f>
        <v>3.72054748535</v>
      </c>
      <c r="P2597" s="106" t="str">
        <f>HYPERLINK(AA2 &amp; "/screwdriver/sn_f5720ebc170fa50e9c8620c32cbd5c0/rendering/13.obj", "3.84674865723")</f>
        <v>3.84674865723</v>
      </c>
      <c r="Q2597" s="65" t="str">
        <f>HYPERLINK(AA2 &amp; "/screwdriver/sn_f5720ebc170fa50e9c8620c32cbd5c0/rendering/14.obj", "4.92211395264")</f>
        <v>4.92211395264</v>
      </c>
      <c r="R2597" s="20" t="str">
        <f>HYPERLINK(AA2 &amp; "/screwdriver/sn_f5720ebc170fa50e9c8620c32cbd5c0/rendering/15.obj", "13.2705322266")</f>
        <v>13.2705322266</v>
      </c>
      <c r="S2597" s="31" t="str">
        <f>HYPERLINK(AA2 &amp; "/screwdriver/sn_f5720ebc170fa50e9c8620c32cbd5c0/rendering/16.obj", "5.02704101563")</f>
        <v>5.02704101563</v>
      </c>
      <c r="T2597" s="70" t="str">
        <f>HYPERLINK(AA2 &amp; "/screwdriver/sn_f5720ebc170fa50e9c8620c32cbd5c0/rendering/17.obj", "3.79146911621")</f>
        <v>3.79146911621</v>
      </c>
      <c r="U2597" s="29" t="str">
        <f>HYPERLINK(AA2 &amp; "/screwdriver/sn_f5720ebc170fa50e9c8620c32cbd5c0/rendering/18.obj", "3.786512146")</f>
        <v>3.786512146</v>
      </c>
      <c r="V2597" s="74" t="str">
        <f>HYPERLINK(AA2 &amp; "/screwdriver/sn_f5720ebc170fa50e9c8620c32cbd5c0/rendering/19.obj", "4.40556213379")</f>
        <v>4.40556213379</v>
      </c>
      <c r="W2597" s="12" t="s">
        <v>29</v>
      </c>
      <c r="X2597" s="13">
        <v>4.3475639953613294</v>
      </c>
      <c r="Y2597" s="13">
        <v>2.1612618515058659</v>
      </c>
      <c r="Z2597" s="102">
        <v>0.4971201927819448</v>
      </c>
    </row>
    <row r="2598" spans="1:26" x14ac:dyDescent="0.2">
      <c r="A2598" s="1">
        <v>2596</v>
      </c>
      <c r="B2598" s="2" t="s">
        <v>552</v>
      </c>
      <c r="C2598" s="21" t="str">
        <f>HYPERLINK(AA2 &amp; "/screwdriver/sn_f5720ebc170fa50e9c8620c32cbd5c0/rendering/00.obj", "1.32307934761")</f>
        <v>1.32307934761</v>
      </c>
      <c r="D2598" s="87" t="str">
        <f>HYPERLINK(AA2 &amp; "/screwdriver/sn_f5720ebc170fa50e9c8620c32cbd5c0/rendering/01.obj", "2.28811097145")</f>
        <v>2.28811097145</v>
      </c>
      <c r="E2598" s="230" t="str">
        <f>HYPERLINK(AA2 &amp; "/screwdriver/sn_f5720ebc170fa50e9c8620c32cbd5c0/rendering/02.obj", "1.61448287964")</f>
        <v>1.61448287964</v>
      </c>
      <c r="F2598" s="63" t="str">
        <f>HYPERLINK(AA2 &amp; "/screwdriver/sn_f5720ebc170fa50e9c8620c32cbd5c0/rendering/03.obj", "2.60738277435")</f>
        <v>2.60738277435</v>
      </c>
      <c r="G2598" s="90" t="str">
        <f>HYPERLINK(AA2 &amp; "/screwdriver/sn_f5720ebc170fa50e9c8620c32cbd5c0/rendering/04.obj", "2.68302035332")</f>
        <v>2.68302035332</v>
      </c>
      <c r="H2598" s="52" t="str">
        <f>HYPERLINK(AA2 &amp; "/screwdriver/sn_f5720ebc170fa50e9c8620c32cbd5c0/rendering/05.obj", "1.78317475319")</f>
        <v>1.78317475319</v>
      </c>
      <c r="I2598" s="65" t="str">
        <f>HYPERLINK(AA2 &amp; "/screwdriver/sn_f5720ebc170fa50e9c8620c32cbd5c0/rendering/06.obj", "2.56592607498")</f>
        <v>2.56592607498</v>
      </c>
      <c r="J2598" s="131" t="str">
        <f>HYPERLINK(AA2 &amp; "/screwdriver/sn_f5720ebc170fa50e9c8620c32cbd5c0/rendering/07.obj", "1.5880048275")</f>
        <v>1.5880048275</v>
      </c>
      <c r="K2598" s="145" t="str">
        <f>HYPERLINK(AA2 &amp; "/screwdriver/sn_f5720ebc170fa50e9c8620c32cbd5c0/rendering/08.obj", "1.50736284256")</f>
        <v>1.50736284256</v>
      </c>
      <c r="L2598" s="148" t="str">
        <f>HYPERLINK(AA2 &amp; "/screwdriver/sn_f5720ebc170fa50e9c8620c32cbd5c0/rendering/09.obj", "1.52881002426")</f>
        <v>1.52881002426</v>
      </c>
      <c r="M2598" s="89" t="str">
        <f>HYPERLINK(AA2 &amp; "/screwdriver/sn_f5720ebc170fa50e9c8620c32cbd5c0/rendering/10.obj", "2.19663906097")</f>
        <v>2.19663906097</v>
      </c>
      <c r="N2598" s="187" t="str">
        <f>HYPERLINK(AA2 &amp; "/screwdriver/sn_f5720ebc170fa50e9c8620c32cbd5c0/rendering/11.obj", "1.92544770241")</f>
        <v>1.92544770241</v>
      </c>
      <c r="O2598" s="168" t="str">
        <f>HYPERLINK(AA2 &amp; "/screwdriver/sn_f5720ebc170fa50e9c8620c32cbd5c0/rendering/12.obj", "2.01418161392")</f>
        <v>2.01418161392</v>
      </c>
      <c r="P2598" s="27" t="str">
        <f>HYPERLINK(AA2 &amp; "/screwdriver/sn_f5720ebc170fa50e9c8620c32cbd5c0/rendering/13.obj", "3.17179727554")</f>
        <v>3.17179727554</v>
      </c>
      <c r="Q2598" s="141" t="str">
        <f>HYPERLINK(AA2 &amp; "/screwdriver/sn_f5720ebc170fa50e9c8620c32cbd5c0/rendering/14.obj", "4.59610509872")</f>
        <v>4.59610509872</v>
      </c>
      <c r="R2598" s="20" t="str">
        <f>HYPERLINK(AA2 &amp; "/screwdriver/sn_f5720ebc170fa50e9c8620c32cbd5c0/rendering/15.obj", "13.3947868347")</f>
        <v>13.3947868347</v>
      </c>
      <c r="S2598" s="119" t="str">
        <f>HYPERLINK(AA2 &amp; "/screwdriver/sn_f5720ebc170fa50e9c8620c32cbd5c0/rendering/16.obj", "3.74631047249")</f>
        <v>3.74631047249</v>
      </c>
      <c r="T2598" s="140" t="str">
        <f>HYPERLINK(AA2 &amp; "/screwdriver/sn_f5720ebc170fa50e9c8620c32cbd5c0/rendering/17.obj", "1.93320178986")</f>
        <v>1.93320178986</v>
      </c>
      <c r="U2598" s="130" t="str">
        <f>HYPERLINK(AA2 &amp; "/screwdriver/sn_f5720ebc170fa50e9c8620c32cbd5c0/rendering/18.obj", "1.63099503517")</f>
        <v>1.63099503517</v>
      </c>
      <c r="V2598" s="222" t="str">
        <f>HYPERLINK(AA2 &amp; "/screwdriver/sn_f5720ebc170fa50e9c8620c32cbd5c0/rendering/19.obj", "5.18674707413")</f>
        <v>5.18674707413</v>
      </c>
      <c r="W2598" s="12" t="s">
        <v>30</v>
      </c>
      <c r="X2598" s="13">
        <v>2.9642783403396611</v>
      </c>
      <c r="Y2598" s="13">
        <v>2.600715417025206</v>
      </c>
      <c r="Z2598" s="20">
        <v>0.87735196173487684</v>
      </c>
    </row>
    <row r="2599" spans="1:26" x14ac:dyDescent="0.2">
      <c r="A2599" s="1">
        <v>2597</v>
      </c>
      <c r="B2599" s="2" t="s">
        <v>552</v>
      </c>
      <c r="C2599" s="60" t="str">
        <f>HYPERLINK(AB2 &amp; "/screwdriver/sn_f5720ebc170fa50e9c8620c32cbd5c0/rendering/00.obj", "4.1528326416")</f>
        <v>4.1528326416</v>
      </c>
      <c r="D2599" s="128" t="str">
        <f>HYPERLINK(AB2 &amp; "/screwdriver/sn_f5720ebc170fa50e9c8620c32cbd5c0/rendering/01.obj", "2.40209136963")</f>
        <v>2.40209136963</v>
      </c>
      <c r="E2599" s="24" t="str">
        <f>HYPERLINK(AB2 &amp; "/screwdriver/sn_f5720ebc170fa50e9c8620c32cbd5c0/rendering/02.obj", "3.28406311035")</f>
        <v>3.28406311035</v>
      </c>
      <c r="F2599" s="227" t="str">
        <f>HYPERLINK(AB2 &amp; "/screwdriver/sn_f5720ebc170fa50e9c8620c32cbd5c0/rendering/03.obj", "5.9567565918")</f>
        <v>5.9567565918</v>
      </c>
      <c r="G2599" s="106" t="str">
        <f>HYPERLINK(AB2 &amp; "/screwdriver/sn_f5720ebc170fa50e9c8620c32cbd5c0/rendering/04.obj", "4.39629394531")</f>
        <v>4.39629394531</v>
      </c>
      <c r="H2599" s="67" t="str">
        <f>HYPERLINK(AB2 &amp; "/screwdriver/sn_f5720ebc170fa50e9c8620c32cbd5c0/rendering/05.obj", "3.5796194458")</f>
        <v>3.5796194458</v>
      </c>
      <c r="I2599" s="24" t="str">
        <f>HYPERLINK(AB2 &amp; "/screwdriver/sn_f5720ebc170fa50e9c8620c32cbd5c0/rendering/06.obj", "4.60979736328")</f>
        <v>4.60979736328</v>
      </c>
      <c r="J2599" s="185" t="str">
        <f>HYPERLINK(AB2 &amp; "/screwdriver/sn_f5720ebc170fa50e9c8620c32cbd5c0/rendering/07.obj", "2.60296020508")</f>
        <v>2.60296020508</v>
      </c>
      <c r="K2599" s="34" t="str">
        <f>HYPERLINK(AB2 &amp; "/screwdriver/sn_f5720ebc170fa50e9c8620c32cbd5c0/rendering/08.obj", "4.13095550537")</f>
        <v>4.13095550537</v>
      </c>
      <c r="L2599" s="121" t="str">
        <f>HYPERLINK(AB2 &amp; "/screwdriver/sn_f5720ebc170fa50e9c8620c32cbd5c0/rendering/09.obj", "5.3406072998")</f>
        <v>5.3406072998</v>
      </c>
      <c r="M2599" s="149" t="str">
        <f>HYPERLINK(AB2 &amp; "/screwdriver/sn_f5720ebc170fa50e9c8620c32cbd5c0/rendering/10.obj", "2.58661437988")</f>
        <v>2.58661437988</v>
      </c>
      <c r="N2599" s="78" t="str">
        <f>HYPERLINK(AB2 &amp; "/screwdriver/sn_f5720ebc170fa50e9c8620c32cbd5c0/rendering/11.obj", "4.17977264404")</f>
        <v>4.17977264404</v>
      </c>
      <c r="O2599" s="50" t="str">
        <f>HYPERLINK(AB2 &amp; "/screwdriver/sn_f5720ebc170fa50e9c8620c32cbd5c0/rendering/12.obj", "4.7313494873")</f>
        <v>4.7313494873</v>
      </c>
      <c r="P2599" s="68" t="str">
        <f>HYPERLINK(AB2 &amp; "/screwdriver/sn_f5720ebc170fa50e9c8620c32cbd5c0/rendering/13.obj", "3.77237579346")</f>
        <v>3.77237579346</v>
      </c>
      <c r="Q2599" s="168" t="str">
        <f>HYPERLINK(AB2 &amp; "/screwdriver/sn_f5720ebc170fa50e9c8620c32cbd5c0/rendering/14.obj", "2.6732321167")</f>
        <v>2.6732321167</v>
      </c>
      <c r="R2599" s="43" t="str">
        <f>HYPERLINK(AB2 &amp; "/screwdriver/sn_f5720ebc170fa50e9c8620c32cbd5c0/rendering/15.obj", "5.42762390137")</f>
        <v>5.42762390137</v>
      </c>
      <c r="S2599" s="140" t="str">
        <f>HYPERLINK(AB2 &amp; "/screwdriver/sn_f5720ebc170fa50e9c8620c32cbd5c0/rendering/16.obj", "2.5791192627")</f>
        <v>2.5791192627</v>
      </c>
      <c r="T2599" s="116" t="str">
        <f>HYPERLINK(AB2 &amp; "/screwdriver/sn_f5720ebc170fa50e9c8620c32cbd5c0/rendering/17.obj", "5.66624633789")</f>
        <v>5.66624633789</v>
      </c>
      <c r="U2599" s="40" t="str">
        <f>HYPERLINK(AB2 &amp; "/screwdriver/sn_f5720ebc170fa50e9c8620c32cbd5c0/rendering/18.obj", "3.27491455078")</f>
        <v>3.27491455078</v>
      </c>
      <c r="V2599" s="133" t="str">
        <f>HYPERLINK(AB2 &amp; "/screwdriver/sn_f5720ebc170fa50e9c8620c32cbd5c0/rendering/19.obj", "3.54552154541")</f>
        <v>3.54552154541</v>
      </c>
      <c r="W2599" s="12" t="s">
        <v>31</v>
      </c>
      <c r="X2599" s="13">
        <v>3.9446373748779289</v>
      </c>
      <c r="Y2599" s="13">
        <v>1.078684705364672</v>
      </c>
      <c r="Z2599" s="113">
        <v>0.27345598666038418</v>
      </c>
    </row>
    <row r="2600" spans="1:26" x14ac:dyDescent="0.2">
      <c r="A2600" s="1">
        <v>2598</v>
      </c>
      <c r="B2600" s="2" t="s">
        <v>552</v>
      </c>
      <c r="C2600" s="106" t="str">
        <f>HYPERLINK(AB2 &amp; "/screwdriver/sn_f5720ebc170fa50e9c8620c32cbd5c0/rendering/00.obj", "1.53445374966")</f>
        <v>1.53445374966</v>
      </c>
      <c r="D2600" s="71" t="str">
        <f>HYPERLINK(AB2 &amp; "/screwdriver/sn_f5720ebc170fa50e9c8620c32cbd5c0/rendering/01.obj", "1.215508461")</f>
        <v>1.215508461</v>
      </c>
      <c r="E2600" s="30" t="str">
        <f>HYPERLINK(AB2 &amp; "/screwdriver/sn_f5720ebc170fa50e9c8620c32cbd5c0/rendering/02.obj", "1.36749243736")</f>
        <v>1.36749243736</v>
      </c>
      <c r="F2600" s="78" t="str">
        <f>HYPERLINK(AB2 &amp; "/screwdriver/sn_f5720ebc170fa50e9c8620c32cbd5c0/rendering/03.obj", "1.28970885277")</f>
        <v>1.28970885277</v>
      </c>
      <c r="G2600" s="51" t="str">
        <f>HYPERLINK(AB2 &amp; "/screwdriver/sn_f5720ebc170fa50e9c8620c32cbd5c0/rendering/04.obj", "1.26556515694")</f>
        <v>1.26556515694</v>
      </c>
      <c r="H2600" s="29" t="str">
        <f>HYPERLINK(AB2 &amp; "/screwdriver/sn_f5720ebc170fa50e9c8620c32cbd5c0/rendering/05.obj", "1.19771397114")</f>
        <v>1.19771397114</v>
      </c>
      <c r="I2600" s="42" t="str">
        <f>HYPERLINK(AB2 &amp; "/screwdriver/sn_f5720ebc170fa50e9c8620c32cbd5c0/rendering/06.obj", "1.5623383522")</f>
        <v>1.5623383522</v>
      </c>
      <c r="J2600" s="80" t="str">
        <f>HYPERLINK(AB2 &amp; "/screwdriver/sn_f5720ebc170fa50e9c8620c32cbd5c0/rendering/07.obj", "1.17066180706")</f>
        <v>1.17066180706</v>
      </c>
      <c r="K2600" s="71" t="str">
        <f>HYPERLINK(AB2 &amp; "/screwdriver/sn_f5720ebc170fa50e9c8620c32cbd5c0/rendering/08.obj", "1.53888273239")</f>
        <v>1.53888273239</v>
      </c>
      <c r="L2600" s="5" t="str">
        <f>HYPERLINK(AB2 &amp; "/screwdriver/sn_f5720ebc170fa50e9c8620c32cbd5c0/rendering/09.obj", "1.48123967648")</f>
        <v>1.48123967648</v>
      </c>
      <c r="M2600" s="79" t="str">
        <f>HYPERLINK(AB2 &amp; "/screwdriver/sn_f5720ebc170fa50e9c8620c32cbd5c0/rendering/10.obj", "1.15566110611")</f>
        <v>1.15566110611</v>
      </c>
      <c r="N2600" s="31" t="str">
        <f>HYPERLINK(AB2 &amp; "/screwdriver/sn_f5720ebc170fa50e9c8620c32cbd5c0/rendering/11.obj", "1.16237437725")</f>
        <v>1.16237437725</v>
      </c>
      <c r="O2600" s="47" t="str">
        <f>HYPERLINK(AB2 &amp; "/screwdriver/sn_f5720ebc170fa50e9c8620c32cbd5c0/rendering/12.obj", "1.38779187202")</f>
        <v>1.38779187202</v>
      </c>
      <c r="P2600" s="39" t="str">
        <f>HYPERLINK(AB2 &amp; "/screwdriver/sn_f5720ebc170fa50e9c8620c32cbd5c0/rendering/13.obj", "1.25877690315")</f>
        <v>1.25877690315</v>
      </c>
      <c r="Q2600" s="40" t="str">
        <f>HYPERLINK(AB2 &amp; "/screwdriver/sn_f5720ebc170fa50e9c8620c32cbd5c0/rendering/14.obj", "1.14212405682")</f>
        <v>1.14212405682</v>
      </c>
      <c r="R2600" s="195" t="str">
        <f>HYPERLINK(AB2 &amp; "/screwdriver/sn_f5720ebc170fa50e9c8620c32cbd5c0/rendering/15.obj", "2.12964129448")</f>
        <v>2.12964129448</v>
      </c>
      <c r="S2600" s="17" t="str">
        <f>HYPERLINK(AB2 &amp; "/screwdriver/sn_f5720ebc170fa50e9c8620c32cbd5c0/rendering/16.obj", "1.34800481796")</f>
        <v>1.34800481796</v>
      </c>
      <c r="T2600" s="34" t="str">
        <f>HYPERLINK(AB2 &amp; "/screwdriver/sn_f5720ebc170fa50e9c8620c32cbd5c0/rendering/17.obj", "1.44076108932")</f>
        <v>1.44076108932</v>
      </c>
      <c r="U2600" s="41" t="str">
        <f>HYPERLINK(AB2 &amp; "/screwdriver/sn_f5720ebc170fa50e9c8620c32cbd5c0/rendering/18.obj", "1.47033905983")</f>
        <v>1.47033905983</v>
      </c>
      <c r="V2600" s="25" t="str">
        <f>HYPERLINK(AB2 &amp; "/screwdriver/sn_f5720ebc170fa50e9c8620c32cbd5c0/rendering/19.obj", "1.39181864262")</f>
        <v>1.39181864262</v>
      </c>
      <c r="W2600" s="12" t="s">
        <v>32</v>
      </c>
      <c r="X2600" s="13">
        <v>1.375542920827866</v>
      </c>
      <c r="Y2600" s="13">
        <v>0.2192851557283971</v>
      </c>
      <c r="Z2600" s="79">
        <v>0.1594171671476606</v>
      </c>
    </row>
    <row r="2601" spans="1:26" x14ac:dyDescent="0.2">
      <c r="A2601" s="1">
        <v>2599</v>
      </c>
      <c r="B2601" s="2" t="s">
        <v>552</v>
      </c>
      <c r="C2601" s="13" t="str">
        <f>HYPERLINK(AC2 &amp; "/screwdriver/sn_f5720ebc170fa50e9c8620c32cbd5c0/rendering/00.xyz", "0.0")</f>
        <v>0.0</v>
      </c>
      <c r="D2601" s="13" t="str">
        <f>HYPERLINK(AC2 &amp; "/screwdriver/sn_f5720ebc170fa50e9c8620c32cbd5c0/rendering/01.xyz", "0.0")</f>
        <v>0.0</v>
      </c>
      <c r="E2601" s="13" t="str">
        <f>HYPERLINK(AC2 &amp; "/screwdriver/sn_f5720ebc170fa50e9c8620c32cbd5c0/rendering/02.xyz", "0.0")</f>
        <v>0.0</v>
      </c>
      <c r="F2601" s="13" t="str">
        <f>HYPERLINK(AC2 &amp; "/screwdriver/sn_f5720ebc170fa50e9c8620c32cbd5c0/rendering/03.xyz", "0.0")</f>
        <v>0.0</v>
      </c>
      <c r="G2601" s="13" t="str">
        <f>HYPERLINK(AC2 &amp; "/screwdriver/sn_f5720ebc170fa50e9c8620c32cbd5c0/rendering/04.xyz", "0.0")</f>
        <v>0.0</v>
      </c>
      <c r="H2601" s="13" t="str">
        <f>HYPERLINK(AC2 &amp; "/screwdriver/sn_f5720ebc170fa50e9c8620c32cbd5c0/rendering/05.xyz", "0.0")</f>
        <v>0.0</v>
      </c>
      <c r="I2601" s="13" t="str">
        <f>HYPERLINK(AC2 &amp; "/screwdriver/sn_f5720ebc170fa50e9c8620c32cbd5c0/rendering/06.xyz", "0.0")</f>
        <v>0.0</v>
      </c>
      <c r="J2601" s="13" t="str">
        <f>HYPERLINK(AC2 &amp; "/screwdriver/sn_f5720ebc170fa50e9c8620c32cbd5c0/rendering/07.xyz", "0.0")</f>
        <v>0.0</v>
      </c>
      <c r="K2601" s="13" t="str">
        <f>HYPERLINK(AC2 &amp; "/screwdriver/sn_f5720ebc170fa50e9c8620c32cbd5c0/rendering/08.xyz", "0.0")</f>
        <v>0.0</v>
      </c>
      <c r="L2601" s="13" t="str">
        <f>HYPERLINK(AC2 &amp; "/screwdriver/sn_f5720ebc170fa50e9c8620c32cbd5c0/rendering/09.xyz", "0.0")</f>
        <v>0.0</v>
      </c>
      <c r="M2601" s="13" t="str">
        <f>HYPERLINK(AC2 &amp; "/screwdriver/sn_f5720ebc170fa50e9c8620c32cbd5c0/rendering/10.xyz", "0.0")</f>
        <v>0.0</v>
      </c>
      <c r="N2601" s="13" t="str">
        <f>HYPERLINK(AC2 &amp; "/screwdriver/sn_f5720ebc170fa50e9c8620c32cbd5c0/rendering/11.xyz", "0.0")</f>
        <v>0.0</v>
      </c>
      <c r="O2601" s="13" t="str">
        <f>HYPERLINK(AC2 &amp; "/screwdriver/sn_f5720ebc170fa50e9c8620c32cbd5c0/rendering/12.xyz", "0.0")</f>
        <v>0.0</v>
      </c>
      <c r="P2601" s="13" t="str">
        <f>HYPERLINK(AC2 &amp; "/screwdriver/sn_f5720ebc170fa50e9c8620c32cbd5c0/rendering/13.xyz", "0.0")</f>
        <v>0.0</v>
      </c>
      <c r="Q2601" s="13" t="str">
        <f>HYPERLINK(AC2 &amp; "/screwdriver/sn_f5720ebc170fa50e9c8620c32cbd5c0/rendering/14.xyz", "0.0")</f>
        <v>0.0</v>
      </c>
      <c r="R2601" s="13" t="str">
        <f>HYPERLINK(AC2 &amp; "/screwdriver/sn_f5720ebc170fa50e9c8620c32cbd5c0/rendering/15.xyz", "0.0")</f>
        <v>0.0</v>
      </c>
      <c r="S2601" s="13" t="str">
        <f>HYPERLINK(AC2 &amp; "/screwdriver/sn_f5720ebc170fa50e9c8620c32cbd5c0/rendering/16.xyz", "0.0")</f>
        <v>0.0</v>
      </c>
      <c r="T2601" s="13" t="str">
        <f>HYPERLINK(AC2 &amp; "/screwdriver/sn_f5720ebc170fa50e9c8620c32cbd5c0/rendering/17.xyz", "0.0")</f>
        <v>0.0</v>
      </c>
      <c r="U2601" s="13" t="str">
        <f>HYPERLINK(AC2 &amp; "/screwdriver/sn_f5720ebc170fa50e9c8620c32cbd5c0/rendering/18.xyz", "0.0")</f>
        <v>0.0</v>
      </c>
      <c r="V2601" s="13" t="str">
        <f>HYPERLINK(AC2 &amp; "/screwdriver/sn_f5720ebc170fa50e9c8620c32cbd5c0/rendering/19.xyz", "0.0")</f>
        <v>0.0</v>
      </c>
      <c r="W2601" s="12" t="s">
        <v>33</v>
      </c>
      <c r="X2601" s="13">
        <v>0</v>
      </c>
      <c r="Y2601" s="13">
        <v>0</v>
      </c>
      <c r="Z2601" s="13">
        <v>0</v>
      </c>
    </row>
    <row r="2602" spans="1:26" x14ac:dyDescent="0.2">
      <c r="A2602" s="1">
        <v>2600</v>
      </c>
      <c r="B2602" s="2" t="s">
        <v>553</v>
      </c>
      <c r="C2602" s="92" t="str">
        <f>HYPERLINK(AA2 &amp; "/screwdriver/sn_f5733e69d6e8ada2e3f7a74e12a274ef/rendering/00.obj", "4.82936828613")</f>
        <v>4.82936828613</v>
      </c>
      <c r="D2602" s="66" t="str">
        <f>HYPERLINK(AA2 &amp; "/screwdriver/sn_f5733e69d6e8ada2e3f7a74e12a274ef/rendering/01.obj", "3.59757202148")</f>
        <v>3.59757202148</v>
      </c>
      <c r="E2602" s="26" t="str">
        <f>HYPERLINK(AA2 &amp; "/screwdriver/sn_f5733e69d6e8ada2e3f7a74e12a274ef/rendering/02.obj", "4.02133728027")</f>
        <v>4.02133728027</v>
      </c>
      <c r="F2602" s="6" t="str">
        <f>HYPERLINK(AA2 &amp; "/screwdriver/sn_f5733e69d6e8ada2e3f7a74e12a274ef/rendering/03.obj", "4.09928131104")</f>
        <v>4.09928131104</v>
      </c>
      <c r="G2602" s="25" t="str">
        <f>HYPERLINK(AA2 &amp; "/screwdriver/sn_f5733e69d6e8ada2e3f7a74e12a274ef/rendering/04.obj", "4.34601501465")</f>
        <v>4.34601501465</v>
      </c>
      <c r="H2602" s="59" t="str">
        <f>HYPERLINK(AA2 &amp; "/screwdriver/sn_f5733e69d6e8ada2e3f7a74e12a274ef/rendering/05.obj", "3.27280822754")</f>
        <v>3.27280822754</v>
      </c>
      <c r="I2602" s="216" t="str">
        <f>HYPERLINK(AA2 &amp; "/screwdriver/sn_f5733e69d6e8ada2e3f7a74e12a274ef/rendering/06.obj", "7.09895446777")</f>
        <v>7.09895446777</v>
      </c>
      <c r="J2602" s="110" t="str">
        <f>HYPERLINK(AA2 &amp; "/screwdriver/sn_f5733e69d6e8ada2e3f7a74e12a274ef/rendering/07.obj", "3.8730078125")</f>
        <v>3.8730078125</v>
      </c>
      <c r="K2602" s="82" t="str">
        <f>HYPERLINK(AA2 &amp; "/screwdriver/sn_f5733e69d6e8ada2e3f7a74e12a274ef/rendering/08.obj", "5.1842364502")</f>
        <v>5.1842364502</v>
      </c>
      <c r="L2602" s="27" t="str">
        <f>HYPERLINK(AA2 &amp; "/screwdriver/sn_f5733e69d6e8ada2e3f7a74e12a274ef/rendering/09.obj", "3.99469512939")</f>
        <v>3.99469512939</v>
      </c>
      <c r="M2602" s="71" t="str">
        <f>HYPERLINK(AA2 &amp; "/screwdriver/sn_f5733e69d6e8ada2e3f7a74e12a274ef/rendering/10.obj", "3.79726745605")</f>
        <v>3.79726745605</v>
      </c>
      <c r="N2602" s="26" t="str">
        <f>HYPERLINK(AA2 &amp; "/screwdriver/sn_f5733e69d6e8ada2e3f7a74e12a274ef/rendering/11.obj", "4.57618041992")</f>
        <v>4.57618041992</v>
      </c>
      <c r="O2602" s="100" t="str">
        <f>HYPERLINK(AA2 &amp; "/screwdriver/sn_f5733e69d6e8ada2e3f7a74e12a274ef/rendering/12.obj", "3.00824768066")</f>
        <v>3.00824768066</v>
      </c>
      <c r="P2602" s="38" t="str">
        <f>HYPERLINK(AA2 &amp; "/screwdriver/sn_f5733e69d6e8ada2e3f7a74e12a274ef/rendering/13.obj", "3.91557006836")</f>
        <v>3.91557006836</v>
      </c>
      <c r="Q2602" s="24" t="str">
        <f>HYPERLINK(AA2 &amp; "/screwdriver/sn_f5733e69d6e8ada2e3f7a74e12a274ef/rendering/14.obj", "3.58157043457")</f>
        <v>3.58157043457</v>
      </c>
      <c r="R2602" s="49" t="str">
        <f>HYPERLINK(AA2 &amp; "/screwdriver/sn_f5733e69d6e8ada2e3f7a74e12a274ef/rendering/15.obj", "5.19706298828")</f>
        <v>5.19706298828</v>
      </c>
      <c r="S2602" s="25" t="str">
        <f>HYPERLINK(AA2 &amp; "/screwdriver/sn_f5733e69d6e8ada2e3f7a74e12a274ef/rendering/16.obj", "4.34500579834")</f>
        <v>4.34500579834</v>
      </c>
      <c r="T2602" s="47" t="str">
        <f>HYPERLINK(AA2 &amp; "/screwdriver/sn_f5733e69d6e8ada2e3f7a74e12a274ef/rendering/17.obj", "4.32943084717")</f>
        <v>4.32943084717</v>
      </c>
      <c r="U2602" s="79" t="str">
        <f>HYPERLINK(AA2 &amp; "/screwdriver/sn_f5733e69d6e8ada2e3f7a74e12a274ef/rendering/18.obj", "3.61005462646")</f>
        <v>3.61005462646</v>
      </c>
      <c r="V2602" s="87" t="str">
        <f>HYPERLINK(AA2 &amp; "/screwdriver/sn_f5733e69d6e8ada2e3f7a74e12a274ef/rendering/19.obj", "5.27491943359")</f>
        <v>5.27491943359</v>
      </c>
      <c r="W2602" s="12" t="s">
        <v>29</v>
      </c>
      <c r="X2602" s="13">
        <v>4.2976292877197269</v>
      </c>
      <c r="Y2602" s="13">
        <v>0.88701554646701519</v>
      </c>
      <c r="Z2602" s="82">
        <v>0.20639647747227069</v>
      </c>
    </row>
    <row r="2603" spans="1:26" x14ac:dyDescent="0.2">
      <c r="A2603" s="1">
        <v>2601</v>
      </c>
      <c r="B2603" s="2" t="s">
        <v>553</v>
      </c>
      <c r="C2603" s="85" t="str">
        <f>HYPERLINK(AA2 &amp; "/screwdriver/sn_f5733e69d6e8ada2e3f7a74e12a274ef/rendering/00.obj", "3.39790296555")</f>
        <v>3.39790296555</v>
      </c>
      <c r="D2603" s="86" t="str">
        <f>HYPERLINK(AA2 &amp; "/screwdriver/sn_f5733e69d6e8ada2e3f7a74e12a274ef/rendering/01.obj", "3.53896069527")</f>
        <v>3.53896069527</v>
      </c>
      <c r="E2603" s="29" t="str">
        <f>HYPERLINK(AA2 &amp; "/screwdriver/sn_f5733e69d6e8ada2e3f7a74e12a274ef/rendering/02.obj", "4.21156072617")</f>
        <v>4.21156072617</v>
      </c>
      <c r="F2603" s="137" t="str">
        <f>HYPERLINK(AA2 &amp; "/screwdriver/sn_f5733e69d6e8ada2e3f7a74e12a274ef/rendering/03.obj", "3.0705742836")</f>
        <v>3.0705742836</v>
      </c>
      <c r="G2603" s="79" t="str">
        <f>HYPERLINK(AA2 &amp; "/screwdriver/sn_f5733e69d6e8ada2e3f7a74e12a274ef/rendering/04.obj", "5.59826231003")</f>
        <v>5.59826231003</v>
      </c>
      <c r="H2603" s="221" t="str">
        <f>HYPERLINK(AA2 &amp; "/screwdriver/sn_f5733e69d6e8ada2e3f7a74e12a274ef/rendering/05.obj", "2.14962983131")</f>
        <v>2.14962983131</v>
      </c>
      <c r="I2603" s="20" t="str">
        <f>HYPERLINK(AA2 &amp; "/screwdriver/sn_f5733e69d6e8ada2e3f7a74e12a274ef/rendering/06.obj", "10.9984731674")</f>
        <v>10.9984731674</v>
      </c>
      <c r="J2603" s="93" t="str">
        <f>HYPERLINK(AA2 &amp; "/screwdriver/sn_f5733e69d6e8ada2e3f7a74e12a274ef/rendering/07.obj", "4.15410757065")</f>
        <v>4.15410757065</v>
      </c>
      <c r="K2603" s="20" t="str">
        <f>HYPERLINK(AA2 &amp; "/screwdriver/sn_f5733e69d6e8ada2e3f7a74e12a274ef/rendering/08.obj", "9.92725658417")</f>
        <v>9.92725658417</v>
      </c>
      <c r="L2603" s="47" t="str">
        <f>HYPERLINK(AA2 &amp; "/screwdriver/sn_f5733e69d6e8ada2e3f7a74e12a274ef/rendering/09.obj", "4.79955244064")</f>
        <v>4.79955244064</v>
      </c>
      <c r="M2603" s="170" t="str">
        <f>HYPERLINK(AA2 &amp; "/screwdriver/sn_f5733e69d6e8ada2e3f7a74e12a274ef/rendering/10.obj", "3.6173582077")</f>
        <v>3.6173582077</v>
      </c>
      <c r="N2603" s="192" t="str">
        <f>HYPERLINK(AA2 &amp; "/screwdriver/sn_f5733e69d6e8ada2e3f7a74e12a274ef/rendering/11.obj", "6.62564468384")</f>
        <v>6.62564468384</v>
      </c>
      <c r="O2603" s="112" t="str">
        <f>HYPERLINK(AA2 &amp; "/screwdriver/sn_f5733e69d6e8ada2e3f7a74e12a274ef/rendering/12.obj", "1.96604788303")</f>
        <v>1.96604788303</v>
      </c>
      <c r="P2603" s="4" t="str">
        <f>HYPERLINK(AA2 &amp; "/screwdriver/sn_f5733e69d6e8ada2e3f7a74e12a274ef/rendering/13.obj", "3.45864295959")</f>
        <v>3.45864295959</v>
      </c>
      <c r="Q2603" s="179" t="str">
        <f>HYPERLINK(AA2 &amp; "/screwdriver/sn_f5733e69d6e8ada2e3f7a74e12a274ef/rendering/14.obj", "2.75991678238")</f>
        <v>2.75991678238</v>
      </c>
      <c r="R2603" s="74" t="str">
        <f>HYPERLINK(AA2 &amp; "/screwdriver/sn_f5733e69d6e8ada2e3f7a74e12a274ef/rendering/15.obj", "4.90181732178")</f>
        <v>4.90181732178</v>
      </c>
      <c r="S2603" s="4" t="str">
        <f>HYPERLINK(AA2 &amp; "/screwdriver/sn_f5733e69d6e8ada2e3f7a74e12a274ef/rendering/16.obj", "3.45916128159")</f>
        <v>3.45916128159</v>
      </c>
      <c r="T2603" s="134" t="str">
        <f>HYPERLINK(AA2 &amp; "/screwdriver/sn_f5733e69d6e8ada2e3f7a74e12a274ef/rendering/17.obj", "3.95906710625")</f>
        <v>3.95906710625</v>
      </c>
      <c r="U2603" s="35" t="str">
        <f>HYPERLINK(AA2 &amp; "/screwdriver/sn_f5733e69d6e8ada2e3f7a74e12a274ef/rendering/18.obj", "4.55907821655")</f>
        <v>4.55907821655</v>
      </c>
      <c r="V2603" s="20" t="str">
        <f>HYPERLINK(AA2 &amp; "/screwdriver/sn_f5733e69d6e8ada2e3f7a74e12a274ef/rendering/19.obj", "9.5350484848")</f>
        <v>9.5350484848</v>
      </c>
      <c r="W2603" s="12" t="s">
        <v>30</v>
      </c>
      <c r="X2603" s="13">
        <v>4.8344031751155851</v>
      </c>
      <c r="Y2603" s="13">
        <v>2.4837117807635898</v>
      </c>
      <c r="Z2603" s="105">
        <v>0.51375768441245218</v>
      </c>
    </row>
    <row r="2604" spans="1:26" x14ac:dyDescent="0.2">
      <c r="A2604" s="1">
        <v>2602</v>
      </c>
      <c r="B2604" s="2" t="s">
        <v>553</v>
      </c>
      <c r="C2604" s="68" t="str">
        <f>HYPERLINK(AB2 &amp; "/screwdriver/sn_f5733e69d6e8ada2e3f7a74e12a274ef/rendering/00.obj", "3.27643829346")</f>
        <v>3.27643829346</v>
      </c>
      <c r="D2604" s="78" t="str">
        <f>HYPERLINK(AB2 &amp; "/screwdriver/sn_f5733e69d6e8ada2e3f7a74e12a274ef/rendering/01.obj", "3.62591949463")</f>
        <v>3.62591949463</v>
      </c>
      <c r="E2604" s="70" t="str">
        <f>HYPERLINK(AB2 &amp; "/screwdriver/sn_f5733e69d6e8ada2e3f7a74e12a274ef/rendering/02.obj", "2.98499145508")</f>
        <v>2.98499145508</v>
      </c>
      <c r="F2604" s="78" t="str">
        <f>HYPERLINK(AB2 &amp; "/screwdriver/sn_f5733e69d6e8ada2e3f7a74e12a274ef/rendering/03.obj", "3.63100830078")</f>
        <v>3.63100830078</v>
      </c>
      <c r="G2604" s="84" t="str">
        <f>HYPERLINK(AB2 &amp; "/screwdriver/sn_f5733e69d6e8ada2e3f7a74e12a274ef/rendering/04.obj", "2.91727294922")</f>
        <v>2.91727294922</v>
      </c>
      <c r="H2604" s="72" t="str">
        <f>HYPERLINK(AB2 &amp; "/screwdriver/sn_f5733e69d6e8ada2e3f7a74e12a274ef/rendering/05.obj", "3.30216705322")</f>
        <v>3.30216705322</v>
      </c>
      <c r="I2604" s="67" t="str">
        <f>HYPERLINK(AB2 &amp; "/screwdriver/sn_f5733e69d6e8ada2e3f7a74e12a274ef/rendering/06.obj", "3.73401611328")</f>
        <v>3.73401611328</v>
      </c>
      <c r="J2604" s="74" t="str">
        <f>HYPERLINK(AB2 &amp; "/screwdriver/sn_f5733e69d6e8ada2e3f7a74e12a274ef/rendering/07.obj", "3.46242706299")</f>
        <v>3.46242706299</v>
      </c>
      <c r="K2604" s="67" t="str">
        <f>HYPERLINK(AB2 &amp; "/screwdriver/sn_f5733e69d6e8ada2e3f7a74e12a274ef/rendering/08.obj", "3.10268859863")</f>
        <v>3.10268859863</v>
      </c>
      <c r="L2604" s="33" t="str">
        <f>HYPERLINK(AB2 &amp; "/screwdriver/sn_f5733e69d6e8ada2e3f7a74e12a274ef/rendering/09.obj", "3.79183227539")</f>
        <v>3.79183227539</v>
      </c>
      <c r="M2604" s="17" t="str">
        <f>HYPERLINK(AB2 &amp; "/screwdriver/sn_f5733e69d6e8ada2e3f7a74e12a274ef/rendering/10.obj", "3.49014312744")</f>
        <v>3.49014312744</v>
      </c>
      <c r="N2604" s="30" t="str">
        <f>HYPERLINK(AB2 &amp; "/screwdriver/sn_f5733e69d6e8ada2e3f7a74e12a274ef/rendering/11.obj", "3.43025817871")</f>
        <v>3.43025817871</v>
      </c>
      <c r="O2604" s="91" t="str">
        <f>HYPERLINK(AB2 &amp; "/screwdriver/sn_f5733e69d6e8ada2e3f7a74e12a274ef/rendering/12.obj", "3.5096661377")</f>
        <v>3.5096661377</v>
      </c>
      <c r="P2604" s="74" t="str">
        <f>HYPERLINK(AB2 &amp; "/screwdriver/sn_f5733e69d6e8ada2e3f7a74e12a274ef/rendering/13.obj", "3.46354034424")</f>
        <v>3.46354034424</v>
      </c>
      <c r="Q2604" s="48" t="str">
        <f>HYPERLINK(AB2 &amp; "/screwdriver/sn_f5733e69d6e8ada2e3f7a74e12a274ef/rendering/14.obj", "3.49815979004")</f>
        <v>3.49815979004</v>
      </c>
      <c r="R2604" s="26" t="str">
        <f>HYPERLINK(AB2 &amp; "/screwdriver/sn_f5733e69d6e8ada2e3f7a74e12a274ef/rendering/15.obj", "3.19711364746")</f>
        <v>3.19711364746</v>
      </c>
      <c r="S2604" s="51" t="str">
        <f>HYPERLINK(AB2 &amp; "/screwdriver/sn_f5733e69d6e8ada2e3f7a74e12a274ef/rendering/16.obj", "3.69566497803")</f>
        <v>3.69566497803</v>
      </c>
      <c r="T2604" s="110" t="str">
        <f>HYPERLINK(AB2 &amp; "/screwdriver/sn_f5733e69d6e8ada2e3f7a74e12a274ef/rendering/17.obj", "3.76084594727")</f>
        <v>3.76084594727</v>
      </c>
      <c r="U2604" s="69" t="str">
        <f>HYPERLINK(AB2 &amp; "/screwdriver/sn_f5733e69d6e8ada2e3f7a74e12a274ef/rendering/18.obj", "3.31471160889")</f>
        <v>3.31471160889</v>
      </c>
      <c r="V2604" s="94" t="str">
        <f>HYPERLINK(AB2 &amp; "/screwdriver/sn_f5733e69d6e8ada2e3f7a74e12a274ef/rendering/19.obj", "3.16886413574")</f>
        <v>3.16886413574</v>
      </c>
      <c r="W2604" s="12" t="s">
        <v>31</v>
      </c>
      <c r="X2604" s="13">
        <v>3.4178864746093751</v>
      </c>
      <c r="Y2604" s="13">
        <v>0.24897005688350751</v>
      </c>
      <c r="Z2604" s="94">
        <v>7.2843278655696703E-2</v>
      </c>
    </row>
    <row r="2605" spans="1:26" x14ac:dyDescent="0.2">
      <c r="A2605" s="1">
        <v>2603</v>
      </c>
      <c r="B2605" s="2" t="s">
        <v>553</v>
      </c>
      <c r="C2605" s="67" t="str">
        <f>HYPERLINK(AB2 &amp; "/screwdriver/sn_f5733e69d6e8ada2e3f7a74e12a274ef/rendering/00.obj", "1.58219921589")</f>
        <v>1.58219921589</v>
      </c>
      <c r="D2605" s="28" t="str">
        <f>HYPERLINK(AB2 &amp; "/screwdriver/sn_f5733e69d6e8ada2e3f7a74e12a274ef/rendering/01.obj", "1.5475538969")</f>
        <v>1.5475538969</v>
      </c>
      <c r="E2605" s="70" t="str">
        <f>HYPERLINK(AB2 &amp; "/screwdriver/sn_f5733e69d6e8ada2e3f7a74e12a274ef/rendering/02.obj", "1.96647262573")</f>
        <v>1.96647262573</v>
      </c>
      <c r="F2605" s="60" t="str">
        <f>HYPERLINK(AB2 &amp; "/screwdriver/sn_f5733e69d6e8ada2e3f7a74e12a274ef/rendering/03.obj", "1.65218770504")</f>
        <v>1.65218770504</v>
      </c>
      <c r="G2605" s="48" t="str">
        <f>HYPERLINK(AB2 &amp; "/screwdriver/sn_f5733e69d6e8ada2e3f7a74e12a274ef/rendering/04.obj", "1.78259825706")</f>
        <v>1.78259825706</v>
      </c>
      <c r="H2605" s="33" t="str">
        <f>HYPERLINK(AB2 &amp; "/screwdriver/sn_f5733e69d6e8ada2e3f7a74e12a274ef/rendering/05.obj", "1.93095541")</f>
        <v>1.93095541</v>
      </c>
      <c r="I2605" s="6" t="str">
        <f>HYPERLINK(AB2 &amp; "/screwdriver/sn_f5733e69d6e8ada2e3f7a74e12a274ef/rendering/06.obj", "1.82023096085")</f>
        <v>1.82023096085</v>
      </c>
      <c r="J2605" s="30" t="str">
        <f>HYPERLINK(AB2 &amp; "/screwdriver/sn_f5733e69d6e8ada2e3f7a74e12a274ef/rendering/07.obj", "1.73483872414")</f>
        <v>1.73483872414</v>
      </c>
      <c r="K2605" s="41" t="str">
        <f>HYPERLINK(AB2 &amp; "/screwdriver/sn_f5733e69d6e8ada2e3f7a74e12a274ef/rendering/08.obj", "1.85928440094")</f>
        <v>1.85928440094</v>
      </c>
      <c r="L2605" s="91" t="str">
        <f>HYPERLINK(AB2 &amp; "/screwdriver/sn_f5733e69d6e8ada2e3f7a74e12a274ef/rendering/09.obj", "1.69779264927")</f>
        <v>1.69779264927</v>
      </c>
      <c r="M2605" s="37" t="str">
        <f>HYPERLINK(AB2 &amp; "/screwdriver/sn_f5733e69d6e8ada2e3f7a74e12a274ef/rendering/10.obj", "1.44212543964")</f>
        <v>1.44212543964</v>
      </c>
      <c r="N2605" s="42" t="str">
        <f>HYPERLINK(AB2 &amp; "/screwdriver/sn_f5733e69d6e8ada2e3f7a74e12a274ef/rendering/11.obj", "1.50727534294")</f>
        <v>1.50727534294</v>
      </c>
      <c r="O2605" s="25" t="str">
        <f>HYPERLINK(AB2 &amp; "/screwdriver/sn_f5733e69d6e8ada2e3f7a74e12a274ef/rendering/12.obj", "1.72698199749")</f>
        <v>1.72698199749</v>
      </c>
      <c r="P2605" s="63" t="str">
        <f>HYPERLINK(AB2 &amp; "/screwdriver/sn_f5733e69d6e8ada2e3f7a74e12a274ef/rendering/13.obj", "1.53556907177")</f>
        <v>1.53556907177</v>
      </c>
      <c r="Q2605" s="38" t="str">
        <f>HYPERLINK(AB2 &amp; "/screwdriver/sn_f5733e69d6e8ada2e3f7a74e12a274ef/rendering/14.obj", "1.58594286442")</f>
        <v>1.58594286442</v>
      </c>
      <c r="R2605" s="91" t="str">
        <f>HYPERLINK(AB2 &amp; "/screwdriver/sn_f5733e69d6e8ada2e3f7a74e12a274ef/rendering/15.obj", "1.69837903976")</f>
        <v>1.69837903976</v>
      </c>
      <c r="S2605" s="26" t="str">
        <f>HYPERLINK(AB2 &amp; "/screwdriver/sn_f5733e69d6e8ada2e3f7a74e12a274ef/rendering/16.obj", "1.63167774677")</f>
        <v>1.63167774677</v>
      </c>
      <c r="T2605" s="64" t="str">
        <f>HYPERLINK(AB2 &amp; "/screwdriver/sn_f5733e69d6e8ada2e3f7a74e12a274ef/rendering/17.obj", "2.0324113369")</f>
        <v>2.0324113369</v>
      </c>
      <c r="U2605" s="39" t="str">
        <f>HYPERLINK(AB2 &amp; "/screwdriver/sn_f5733e69d6e8ada2e3f7a74e12a274ef/rendering/18.obj", "1.8959094286")</f>
        <v>1.8959094286</v>
      </c>
      <c r="V2605" s="4" t="str">
        <f>HYPERLINK(AB2 &amp; "/screwdriver/sn_f5733e69d6e8ada2e3f7a74e12a274ef/rendering/19.obj", "2.23940062523")</f>
        <v>2.23940062523</v>
      </c>
      <c r="W2605" s="12" t="s">
        <v>32</v>
      </c>
      <c r="X2605" s="13">
        <v>1.743489336967468</v>
      </c>
      <c r="Y2605" s="13">
        <v>0.195283206837851</v>
      </c>
      <c r="Z2605" s="28">
        <v>0.11200711280375029</v>
      </c>
    </row>
    <row r="2606" spans="1:26" x14ac:dyDescent="0.2">
      <c r="A2606" s="1">
        <v>2604</v>
      </c>
      <c r="B2606" s="2" t="s">
        <v>553</v>
      </c>
      <c r="C2606" s="13" t="str">
        <f>HYPERLINK(AC2 &amp; "/screwdriver/sn_f5733e69d6e8ada2e3f7a74e12a274ef/rendering/00.xyz", "0.0")</f>
        <v>0.0</v>
      </c>
      <c r="D2606" s="13" t="str">
        <f>HYPERLINK(AC2 &amp; "/screwdriver/sn_f5733e69d6e8ada2e3f7a74e12a274ef/rendering/01.xyz", "0.0")</f>
        <v>0.0</v>
      </c>
      <c r="E2606" s="13" t="str">
        <f>HYPERLINK(AC2 &amp; "/screwdriver/sn_f5733e69d6e8ada2e3f7a74e12a274ef/rendering/02.xyz", "0.0")</f>
        <v>0.0</v>
      </c>
      <c r="F2606" s="13" t="str">
        <f>HYPERLINK(AC2 &amp; "/screwdriver/sn_f5733e69d6e8ada2e3f7a74e12a274ef/rendering/03.xyz", "0.0")</f>
        <v>0.0</v>
      </c>
      <c r="G2606" s="13" t="str">
        <f>HYPERLINK(AC2 &amp; "/screwdriver/sn_f5733e69d6e8ada2e3f7a74e12a274ef/rendering/04.xyz", "0.0")</f>
        <v>0.0</v>
      </c>
      <c r="H2606" s="13" t="str">
        <f>HYPERLINK(AC2 &amp; "/screwdriver/sn_f5733e69d6e8ada2e3f7a74e12a274ef/rendering/05.xyz", "0.0")</f>
        <v>0.0</v>
      </c>
      <c r="I2606" s="13" t="str">
        <f>HYPERLINK(AC2 &amp; "/screwdriver/sn_f5733e69d6e8ada2e3f7a74e12a274ef/rendering/06.xyz", "0.0")</f>
        <v>0.0</v>
      </c>
      <c r="J2606" s="13" t="str">
        <f>HYPERLINK(AC2 &amp; "/screwdriver/sn_f5733e69d6e8ada2e3f7a74e12a274ef/rendering/07.xyz", "0.0")</f>
        <v>0.0</v>
      </c>
      <c r="K2606" s="13" t="str">
        <f>HYPERLINK(AC2 &amp; "/screwdriver/sn_f5733e69d6e8ada2e3f7a74e12a274ef/rendering/08.xyz", "0.0")</f>
        <v>0.0</v>
      </c>
      <c r="L2606" s="13" t="str">
        <f>HYPERLINK(AC2 &amp; "/screwdriver/sn_f5733e69d6e8ada2e3f7a74e12a274ef/rendering/09.xyz", "0.0")</f>
        <v>0.0</v>
      </c>
      <c r="M2606" s="13" t="str">
        <f>HYPERLINK(AC2 &amp; "/screwdriver/sn_f5733e69d6e8ada2e3f7a74e12a274ef/rendering/10.xyz", "0.0")</f>
        <v>0.0</v>
      </c>
      <c r="N2606" s="13" t="str">
        <f>HYPERLINK(AC2 &amp; "/screwdriver/sn_f5733e69d6e8ada2e3f7a74e12a274ef/rendering/11.xyz", "0.0")</f>
        <v>0.0</v>
      </c>
      <c r="O2606" s="13" t="str">
        <f>HYPERLINK(AC2 &amp; "/screwdriver/sn_f5733e69d6e8ada2e3f7a74e12a274ef/rendering/12.xyz", "0.0")</f>
        <v>0.0</v>
      </c>
      <c r="P2606" s="13" t="str">
        <f>HYPERLINK(AC2 &amp; "/screwdriver/sn_f5733e69d6e8ada2e3f7a74e12a274ef/rendering/13.xyz", "0.0")</f>
        <v>0.0</v>
      </c>
      <c r="Q2606" s="13" t="str">
        <f>HYPERLINK(AC2 &amp; "/screwdriver/sn_f5733e69d6e8ada2e3f7a74e12a274ef/rendering/14.xyz", "0.0")</f>
        <v>0.0</v>
      </c>
      <c r="R2606" s="13" t="str">
        <f>HYPERLINK(AC2 &amp; "/screwdriver/sn_f5733e69d6e8ada2e3f7a74e12a274ef/rendering/15.xyz", "0.0")</f>
        <v>0.0</v>
      </c>
      <c r="S2606" s="13" t="str">
        <f>HYPERLINK(AC2 &amp; "/screwdriver/sn_f5733e69d6e8ada2e3f7a74e12a274ef/rendering/16.xyz", "0.0")</f>
        <v>0.0</v>
      </c>
      <c r="T2606" s="13" t="str">
        <f>HYPERLINK(AC2 &amp; "/screwdriver/sn_f5733e69d6e8ada2e3f7a74e12a274ef/rendering/17.xyz", "0.0")</f>
        <v>0.0</v>
      </c>
      <c r="U2606" s="13" t="str">
        <f>HYPERLINK(AC2 &amp; "/screwdriver/sn_f5733e69d6e8ada2e3f7a74e12a274ef/rendering/18.xyz", "0.0")</f>
        <v>0.0</v>
      </c>
      <c r="V2606" s="13" t="str">
        <f>HYPERLINK(AC2 &amp; "/screwdriver/sn_f5733e69d6e8ada2e3f7a74e12a274ef/rendering/19.xyz", "0.0")</f>
        <v>0.0</v>
      </c>
      <c r="W2606" s="12" t="s">
        <v>33</v>
      </c>
      <c r="X2606" s="13">
        <v>0</v>
      </c>
      <c r="Y2606" s="13">
        <v>0</v>
      </c>
      <c r="Z2606" s="13">
        <v>0</v>
      </c>
    </row>
    <row r="2607" spans="1:26" x14ac:dyDescent="0.2">
      <c r="A2607" s="1">
        <v>2605</v>
      </c>
      <c r="B2607" s="2" t="s">
        <v>554</v>
      </c>
      <c r="C2607" s="3" t="str">
        <f>HYPERLINK(AA2 &amp; "/spoon/sn_71b28e4dab2b20b11e652fa812161367/rendering/00.obj", "nan")</f>
        <v>nan</v>
      </c>
      <c r="D2607" s="3" t="str">
        <f>HYPERLINK(AA2 &amp; "/spoon/sn_71b28e4dab2b20b11e652fa812161367/rendering/01.obj", "nan")</f>
        <v>nan</v>
      </c>
      <c r="E2607" s="3" t="str">
        <f>HYPERLINK(AA2 &amp; "/spoon/sn_71b28e4dab2b20b11e652fa812161367/rendering/02.obj", "nan")</f>
        <v>nan</v>
      </c>
      <c r="F2607" s="3" t="str">
        <f>HYPERLINK(AA2 &amp; "/spoon/sn_71b28e4dab2b20b11e652fa812161367/rendering/03.obj", "nan")</f>
        <v>nan</v>
      </c>
      <c r="G2607" s="91" t="str">
        <f>HYPERLINK(AA2 &amp; "/spoon/sn_71b28e4dab2b20b11e652fa812161367/rendering/04.obj", "4.3479296875")</f>
        <v>4.3479296875</v>
      </c>
      <c r="H2607" s="13" t="str">
        <f>HYPERLINK(AA2 &amp; "/spoon/sn_71b28e4dab2b20b11e652fa812161367/rendering/05.obj", "4.47109466553")</f>
        <v>4.47109466553</v>
      </c>
      <c r="I2607" s="107" t="str">
        <f>HYPERLINK(AA2 &amp; "/spoon/sn_71b28e4dab2b20b11e652fa812161367/rendering/06.obj", "4.83675476074")</f>
        <v>4.83675476074</v>
      </c>
      <c r="J2607" s="47" t="str">
        <f>HYPERLINK(AA2 &amp; "/spoon/sn_71b28e4dab2b20b11e652fa812161367/rendering/07.obj", "4.50111633301")</f>
        <v>4.50111633301</v>
      </c>
      <c r="K2607" s="69" t="str">
        <f>HYPERLINK(AA2 &amp; "/spoon/sn_71b28e4dab2b20b11e652fa812161367/rendering/08.obj", "4.32836303711")</f>
        <v>4.32836303711</v>
      </c>
      <c r="L2607" s="41" t="str">
        <f>HYPERLINK(AA2 &amp; "/spoon/sn_71b28e4dab2b20b11e652fa812161367/rendering/09.obj", "4.15765319824")</f>
        <v>4.15765319824</v>
      </c>
      <c r="M2607" s="17" t="str">
        <f>HYPERLINK(AA2 &amp; "/spoon/sn_71b28e4dab2b20b11e652fa812161367/rendering/10.obj", "4.55157531738")</f>
        <v>4.55157531738</v>
      </c>
      <c r="N2607" s="10" t="str">
        <f>HYPERLINK(AA2 &amp; "/spoon/sn_71b28e4dab2b20b11e652fa812161367/rendering/11.obj", "4.21909912109")</f>
        <v>4.21909912109</v>
      </c>
      <c r="O2607" s="133" t="str">
        <f>HYPERLINK(AA2 &amp; "/spoon/sn_71b28e4dab2b20b11e652fa812161367/rendering/12.obj", "4.00603637695")</f>
        <v>4.00603637695</v>
      </c>
      <c r="P2607" s="5" t="str">
        <f>HYPERLINK(AA2 &amp; "/spoon/sn_71b28e4dab2b20b11e652fa812161367/rendering/13.obj", "4.8077142334")</f>
        <v>4.8077142334</v>
      </c>
      <c r="Q2607" s="80" t="str">
        <f>HYPERLINK(AA2 &amp; "/spoon/sn_71b28e4dab2b20b11e652fa812161367/rendering/14.obj", "5.12411010742")</f>
        <v>5.12411010742</v>
      </c>
      <c r="R2607" s="17" t="str">
        <f>HYPERLINK(AA2 &amp; "/spoon/sn_71b28e4dab2b20b11e652fa812161367/rendering/15.obj", "4.3775201416")</f>
        <v>4.3775201416</v>
      </c>
      <c r="S2607" s="72" t="str">
        <f>HYPERLINK(AA2 &amp; "/spoon/sn_71b28e4dab2b20b11e652fa812161367/rendering/16.obj", "4.32085327148")</f>
        <v>4.32085327148</v>
      </c>
      <c r="T2607" s="30" t="str">
        <f>HYPERLINK(AA2 &amp; "/spoon/sn_71b28e4dab2b20b11e652fa812161367/rendering/17.obj", "4.44372741699")</f>
        <v>4.44372741699</v>
      </c>
      <c r="U2607" s="74" t="str">
        <f>HYPERLINK(AA2 &amp; "/spoon/sn_71b28e4dab2b20b11e652fa812161367/rendering/18.obj", "4.52638000488")</f>
        <v>4.52638000488</v>
      </c>
      <c r="V2607" s="74" t="str">
        <f>HYPERLINK(AA2 &amp; "/spoon/sn_71b28e4dab2b20b11e652fa812161367/rendering/19.obj", "4.4032989502")</f>
        <v>4.4032989502</v>
      </c>
      <c r="W2607" s="12" t="s">
        <v>29</v>
      </c>
      <c r="X2607" s="13">
        <v>4.4639516639709473</v>
      </c>
      <c r="Y2607" s="13">
        <v>0.26614259495534992</v>
      </c>
      <c r="Z2607" s="78">
        <v>5.9620402501984179E-2</v>
      </c>
    </row>
    <row r="2608" spans="1:26" x14ac:dyDescent="0.2">
      <c r="A2608" s="1">
        <v>2606</v>
      </c>
      <c r="B2608" s="2" t="s">
        <v>554</v>
      </c>
      <c r="C2608" s="3" t="str">
        <f>HYPERLINK(AA2 &amp; "/spoon/sn_71b28e4dab2b20b11e652fa812161367/rendering/00.obj", "nan")</f>
        <v>nan</v>
      </c>
      <c r="D2608" s="3" t="str">
        <f>HYPERLINK(AA2 &amp; "/spoon/sn_71b28e4dab2b20b11e652fa812161367/rendering/01.obj", "nan")</f>
        <v>nan</v>
      </c>
      <c r="E2608" s="3" t="str">
        <f>HYPERLINK(AA2 &amp; "/spoon/sn_71b28e4dab2b20b11e652fa812161367/rendering/02.obj", "nan")</f>
        <v>nan</v>
      </c>
      <c r="F2608" s="3" t="str">
        <f>HYPERLINK(AA2 &amp; "/spoon/sn_71b28e4dab2b20b11e652fa812161367/rendering/03.obj", "nan")</f>
        <v>nan</v>
      </c>
      <c r="G2608" s="28" t="str">
        <f>HYPERLINK(AA2 &amp; "/spoon/sn_71b28e4dab2b20b11e652fa812161367/rendering/04.obj", "2.65435314178")</f>
        <v>2.65435314178</v>
      </c>
      <c r="H2608" s="89" t="str">
        <f>HYPERLINK(AA2 &amp; "/spoon/sn_71b28e4dab2b20b11e652fa812161367/rendering/05.obj", "3.00975012779")</f>
        <v>3.00975012779</v>
      </c>
      <c r="I2608" s="106" t="str">
        <f>HYPERLINK(AA2 &amp; "/spoon/sn_71b28e4dab2b20b11e652fa812161367/rendering/06.obj", "2.11486840248")</f>
        <v>2.11486840248</v>
      </c>
      <c r="J2608" s="91" t="str">
        <f>HYPERLINK(AA2 &amp; "/spoon/sn_71b28e4dab2b20b11e652fa812161367/rendering/07.obj", "2.44987130165")</f>
        <v>2.44987130165</v>
      </c>
      <c r="K2608" s="170" t="str">
        <f>HYPERLINK(AA2 &amp; "/spoon/sn_71b28e4dab2b20b11e652fa812161367/rendering/08.obj", "1.78796386719")</f>
        <v>1.78796386719</v>
      </c>
      <c r="L2608" s="181" t="str">
        <f>HYPERLINK(AA2 &amp; "/spoon/sn_71b28e4dab2b20b11e652fa812161367/rendering/09.obj", "1.32949316502")</f>
        <v>1.32949316502</v>
      </c>
      <c r="M2608" s="66" t="str">
        <f>HYPERLINK(AA2 &amp; "/spoon/sn_71b28e4dab2b20b11e652fa812161367/rendering/10.obj", "2.77441120148")</f>
        <v>2.77441120148</v>
      </c>
      <c r="N2608" s="99" t="str">
        <f>HYPERLINK(AA2 &amp; "/spoon/sn_71b28e4dab2b20b11e652fa812161367/rendering/11.obj", "1.74198150635")</f>
        <v>1.74198150635</v>
      </c>
      <c r="O2608" s="152" t="str">
        <f>HYPERLINK(AA2 &amp; "/spoon/sn_71b28e4dab2b20b11e652fa812161367/rendering/12.obj", "1.41987287998")</f>
        <v>1.41987287998</v>
      </c>
      <c r="P2608" s="15" t="str">
        <f>HYPERLINK(AA2 &amp; "/spoon/sn_71b28e4dab2b20b11e652fa812161367/rendering/13.obj", "3.60097122192")</f>
        <v>3.60097122192</v>
      </c>
      <c r="Q2608" s="98" t="str">
        <f>HYPERLINK(AA2 &amp; "/spoon/sn_71b28e4dab2b20b11e652fa812161367/rendering/14.obj", "2.94039940834")</f>
        <v>2.94039940834</v>
      </c>
      <c r="R2608" s="31" t="str">
        <f>HYPERLINK(AA2 &amp; "/spoon/sn_71b28e4dab2b20b11e652fa812161367/rendering/15.obj", "2.01468396187")</f>
        <v>2.01468396187</v>
      </c>
      <c r="S2608" s="74" t="str">
        <f>HYPERLINK(AA2 &amp; "/spoon/sn_71b28e4dab2b20b11e652fa812161367/rendering/16.obj", "2.42287278175")</f>
        <v>2.42287278175</v>
      </c>
      <c r="T2608" s="56" t="str">
        <f>HYPERLINK(AA2 &amp; "/spoon/sn_71b28e4dab2b20b11e652fa812161367/rendering/17.obj", "1.64893746376")</f>
        <v>1.64893746376</v>
      </c>
      <c r="U2608" s="187" t="str">
        <f>HYPERLINK(AA2 &amp; "/spoon/sn_71b28e4dab2b20b11e652fa812161367/rendering/18.obj", "3.22022461891")</f>
        <v>3.22022461891</v>
      </c>
      <c r="V2608" s="14" t="str">
        <f>HYPERLINK(AA2 &amp; "/spoon/sn_71b28e4dab2b20b11e652fa812161367/rendering/19.obj", "3.08259677887")</f>
        <v>3.08259677887</v>
      </c>
      <c r="W2608" s="12" t="s">
        <v>30</v>
      </c>
      <c r="X2608" s="13">
        <v>2.3883282393217091</v>
      </c>
      <c r="Y2608" s="13">
        <v>0.66889130907460526</v>
      </c>
      <c r="Z2608" s="95">
        <v>0.280066742109356</v>
      </c>
    </row>
    <row r="2609" spans="1:26" x14ac:dyDescent="0.2">
      <c r="A2609" s="1">
        <v>2607</v>
      </c>
      <c r="B2609" s="2" t="s">
        <v>554</v>
      </c>
      <c r="C2609" s="3" t="str">
        <f>HYPERLINK(AB2 &amp; "/spoon/sn_71b28e4dab2b20b11e652fa812161367/rendering/00.obj", "nan")</f>
        <v>nan</v>
      </c>
      <c r="D2609" s="3" t="str">
        <f>HYPERLINK(AB2 &amp; "/spoon/sn_71b28e4dab2b20b11e652fa812161367/rendering/01.obj", "nan")</f>
        <v>nan</v>
      </c>
      <c r="E2609" s="3" t="str">
        <f>HYPERLINK(AB2 &amp; "/spoon/sn_71b28e4dab2b20b11e652fa812161367/rendering/02.obj", "nan")</f>
        <v>nan</v>
      </c>
      <c r="F2609" s="3" t="str">
        <f>HYPERLINK(AB2 &amp; "/spoon/sn_71b28e4dab2b20b11e652fa812161367/rendering/03.obj", "nan")</f>
        <v>nan</v>
      </c>
      <c r="G2609" s="48" t="str">
        <f>HYPERLINK(AB2 &amp; "/spoon/sn_71b28e4dab2b20b11e652fa812161367/rendering/04.obj", "5.24760009766")</f>
        <v>5.24760009766</v>
      </c>
      <c r="H2609" s="30" t="str">
        <f>HYPERLINK(AB2 &amp; "/spoon/sn_71b28e4dab2b20b11e652fa812161367/rendering/05.obj", "5.14773010254")</f>
        <v>5.14773010254</v>
      </c>
      <c r="I2609" s="17" t="str">
        <f>HYPERLINK(AB2 &amp; "/spoon/sn_71b28e4dab2b20b11e652fa812161367/rendering/06.obj", "5.0152130127")</f>
        <v>5.0152130127</v>
      </c>
      <c r="J2609" s="72" t="str">
        <f>HYPERLINK(AB2 &amp; "/spoon/sn_71b28e4dab2b20b11e652fa812161367/rendering/07.obj", "4.95018493652")</f>
        <v>4.95018493652</v>
      </c>
      <c r="K2609" s="17" t="str">
        <f>HYPERLINK(AB2 &amp; "/spoon/sn_71b28e4dab2b20b11e652fa812161367/rendering/08.obj", "5.00939788818")</f>
        <v>5.00939788818</v>
      </c>
      <c r="L2609" s="46" t="str">
        <f>HYPERLINK(AB2 &amp; "/spoon/sn_71b28e4dab2b20b11e652fa812161367/rendering/09.obj", "5.0395135498")</f>
        <v>5.0395135498</v>
      </c>
      <c r="M2609" s="25" t="str">
        <f>HYPERLINK(AB2 &amp; "/spoon/sn_71b28e4dab2b20b11e652fa812161367/rendering/10.obj", "5.07288085938")</f>
        <v>5.07288085938</v>
      </c>
      <c r="N2609" s="48" t="str">
        <f>HYPERLINK(AB2 &amp; "/spoon/sn_71b28e4dab2b20b11e652fa812161367/rendering/11.obj", "4.99931915283")</f>
        <v>4.99931915283</v>
      </c>
      <c r="O2609" s="74" t="str">
        <f>HYPERLINK(AB2 &amp; "/spoon/sn_71b28e4dab2b20b11e652fa812161367/rendering/12.obj", "5.19608642578")</f>
        <v>5.19608642578</v>
      </c>
      <c r="P2609" s="17" t="str">
        <f>HYPERLINK(AB2 &amp; "/spoon/sn_71b28e4dab2b20b11e652fa812161367/rendering/13.obj", "5.01641540527")</f>
        <v>5.01641540527</v>
      </c>
      <c r="Q2609" s="30" t="str">
        <f>HYPERLINK(AB2 &amp; "/spoon/sn_71b28e4dab2b20b11e652fa812161367/rendering/14.obj", "5.09137145996")</f>
        <v>5.09137145996</v>
      </c>
      <c r="R2609" s="46" t="str">
        <f>HYPERLINK(AB2 &amp; "/spoon/sn_71b28e4dab2b20b11e652fa812161367/rendering/15.obj", "5.20185302734")</f>
        <v>5.20185302734</v>
      </c>
      <c r="S2609" s="74" t="str">
        <f>HYPERLINK(AB2 &amp; "/spoon/sn_71b28e4dab2b20b11e652fa812161367/rendering/16.obj", "5.05186462402")</f>
        <v>5.05186462402</v>
      </c>
      <c r="T2609" s="28" t="str">
        <f>HYPERLINK(AB2 &amp; "/spoon/sn_71b28e4dab2b20b11e652fa812161367/rendering/17.obj", "5.69661010742")</f>
        <v>5.69661010742</v>
      </c>
      <c r="U2609" s="48" t="str">
        <f>HYPERLINK(AB2 &amp; "/spoon/sn_71b28e4dab2b20b11e652fa812161367/rendering/18.obj", "5.00734558105")</f>
        <v>5.00734558105</v>
      </c>
      <c r="V2609" s="74" t="str">
        <f>HYPERLINK(AB2 &amp; "/spoon/sn_71b28e4dab2b20b11e652fa812161367/rendering/19.obj", "5.19530517578")</f>
        <v>5.19530517578</v>
      </c>
      <c r="W2609" s="12" t="s">
        <v>31</v>
      </c>
      <c r="X2609" s="13">
        <v>5.1211682128906251</v>
      </c>
      <c r="Y2609" s="13">
        <v>0.17173076847194879</v>
      </c>
      <c r="Z2609" s="72">
        <v>3.3533514489854262E-2</v>
      </c>
    </row>
    <row r="2610" spans="1:26" x14ac:dyDescent="0.2">
      <c r="A2610" s="1">
        <v>2608</v>
      </c>
      <c r="B2610" s="2" t="s">
        <v>554</v>
      </c>
      <c r="C2610" s="3" t="str">
        <f>HYPERLINK(AB2 &amp; "/spoon/sn_71b28e4dab2b20b11e652fa812161367/rendering/00.obj", "nan")</f>
        <v>nan</v>
      </c>
      <c r="D2610" s="3" t="str">
        <f>HYPERLINK(AB2 &amp; "/spoon/sn_71b28e4dab2b20b11e652fa812161367/rendering/01.obj", "nan")</f>
        <v>nan</v>
      </c>
      <c r="E2610" s="3" t="str">
        <f>HYPERLINK(AB2 &amp; "/spoon/sn_71b28e4dab2b20b11e652fa812161367/rendering/02.obj", "nan")</f>
        <v>nan</v>
      </c>
      <c r="F2610" s="3" t="str">
        <f>HYPERLINK(AB2 &amp; "/spoon/sn_71b28e4dab2b20b11e652fa812161367/rendering/03.obj", "nan")</f>
        <v>nan</v>
      </c>
      <c r="G2610" s="97" t="str">
        <f>HYPERLINK(AB2 &amp; "/spoon/sn_71b28e4dab2b20b11e652fa812161367/rendering/04.obj", "2.91377711296")</f>
        <v>2.91377711296</v>
      </c>
      <c r="H2610" s="30" t="str">
        <f>HYPERLINK(AB2 &amp; "/spoon/sn_71b28e4dab2b20b11e652fa812161367/rendering/05.obj", "2.04216122627")</f>
        <v>2.04216122627</v>
      </c>
      <c r="I2610" s="47" t="str">
        <f>HYPERLINK(AB2 &amp; "/spoon/sn_71b28e4dab2b20b11e652fa812161367/rendering/06.obj", "2.04264450073")</f>
        <v>2.04264450073</v>
      </c>
      <c r="J2610" s="35" t="str">
        <f>HYPERLINK(AB2 &amp; "/spoon/sn_71b28e4dab2b20b11e652fa812161367/rendering/07.obj", "2.14579868317")</f>
        <v>2.14579868317</v>
      </c>
      <c r="K2610" s="58" t="str">
        <f>HYPERLINK(AB2 &amp; "/spoon/sn_71b28e4dab2b20b11e652fa812161367/rendering/08.obj", "1.53831624985")</f>
        <v>1.53831624985</v>
      </c>
      <c r="L2610" s="92" t="str">
        <f>HYPERLINK(AB2 &amp; "/spoon/sn_71b28e4dab2b20b11e652fa812161367/rendering/09.obj", "1.77727842331")</f>
        <v>1.77727842331</v>
      </c>
      <c r="M2610" s="98" t="str">
        <f>HYPERLINK(AB2 &amp; "/spoon/sn_71b28e4dab2b20b11e652fa812161367/rendering/10.obj", "2.49764513969")</f>
        <v>2.49764513969</v>
      </c>
      <c r="N2610" s="92" t="str">
        <f>HYPERLINK(AB2 &amp; "/spoon/sn_71b28e4dab2b20b11e652fa812161367/rendering/11.obj", "1.7812731266")</f>
        <v>1.7812731266</v>
      </c>
      <c r="O2610" s="75" t="str">
        <f>HYPERLINK(AB2 &amp; "/spoon/sn_71b28e4dab2b20b11e652fa812161367/rendering/12.obj", "1.58006739616")</f>
        <v>1.58006739616</v>
      </c>
      <c r="P2610" s="32" t="str">
        <f>HYPERLINK(AB2 &amp; "/spoon/sn_71b28e4dab2b20b11e652fa812161367/rendering/13.obj", "1.81571638584")</f>
        <v>1.81571638584</v>
      </c>
      <c r="Q2610" s="29" t="str">
        <f>HYPERLINK(AB2 &amp; "/spoon/sn_71b28e4dab2b20b11e652fa812161367/rendering/14.obj", "1.76701307297")</f>
        <v>1.76701307297</v>
      </c>
      <c r="R2610" s="78" t="str">
        <f>HYPERLINK(AB2 &amp; "/spoon/sn_71b28e4dab2b20b11e652fa812161367/rendering/15.obj", "2.15181303024")</f>
        <v>2.15181303024</v>
      </c>
      <c r="S2610" s="42" t="str">
        <f>HYPERLINK(AB2 &amp; "/spoon/sn_71b28e4dab2b20b11e652fa812161367/rendering/16.obj", "2.30618691444")</f>
        <v>2.30618691444</v>
      </c>
      <c r="T2610" s="73" t="str">
        <f>HYPERLINK(AB2 &amp; "/spoon/sn_71b28e4dab2b20b11e652fa812161367/rendering/17.obj", "1.95904564857")</f>
        <v>1.95904564857</v>
      </c>
      <c r="U2610" s="68" t="str">
        <f>HYPERLINK(AB2 &amp; "/spoon/sn_71b28e4dab2b20b11e652fa812161367/rendering/18.obj", "1.94400930405")</f>
        <v>1.94400930405</v>
      </c>
      <c r="V2610" s="38" t="str">
        <f>HYPERLINK(AB2 &amp; "/spoon/sn_71b28e4dab2b20b11e652fa812161367/rendering/19.obj", "2.21216797829")</f>
        <v>2.21216797829</v>
      </c>
      <c r="W2610" s="12" t="s">
        <v>32</v>
      </c>
      <c r="X2610" s="13">
        <v>2.0296821370720859</v>
      </c>
      <c r="Y2610" s="13">
        <v>0.33867446386497291</v>
      </c>
      <c r="Z2610" s="24">
        <v>0.1668608387880513</v>
      </c>
    </row>
    <row r="2611" spans="1:26" x14ac:dyDescent="0.2">
      <c r="A2611" s="1">
        <v>2609</v>
      </c>
      <c r="B2611" s="2" t="s">
        <v>554</v>
      </c>
      <c r="C2611" s="13" t="str">
        <f>HYPERLINK(AC2 &amp; "/spoon/sn_71b28e4dab2b20b11e652fa812161367/rendering/00.xyz", "0.0")</f>
        <v>0.0</v>
      </c>
      <c r="D2611" s="13" t="str">
        <f>HYPERLINK(AC2 &amp; "/spoon/sn_71b28e4dab2b20b11e652fa812161367/rendering/01.xyz", "0.0")</f>
        <v>0.0</v>
      </c>
      <c r="E2611" s="13" t="str">
        <f>HYPERLINK(AC2 &amp; "/spoon/sn_71b28e4dab2b20b11e652fa812161367/rendering/02.xyz", "0.0")</f>
        <v>0.0</v>
      </c>
      <c r="F2611" s="13" t="str">
        <f>HYPERLINK(AC2 &amp; "/spoon/sn_71b28e4dab2b20b11e652fa812161367/rendering/03.xyz", "0.0")</f>
        <v>0.0</v>
      </c>
      <c r="G2611" s="13" t="str">
        <f>HYPERLINK(AC2 &amp; "/spoon/sn_71b28e4dab2b20b11e652fa812161367/rendering/04.xyz", "0.0")</f>
        <v>0.0</v>
      </c>
      <c r="H2611" s="13" t="str">
        <f>HYPERLINK(AC2 &amp; "/spoon/sn_71b28e4dab2b20b11e652fa812161367/rendering/05.xyz", "0.0")</f>
        <v>0.0</v>
      </c>
      <c r="I2611" s="13" t="str">
        <f>HYPERLINK(AC2 &amp; "/spoon/sn_71b28e4dab2b20b11e652fa812161367/rendering/06.xyz", "0.0")</f>
        <v>0.0</v>
      </c>
      <c r="J2611" s="13" t="str">
        <f>HYPERLINK(AC2 &amp; "/spoon/sn_71b28e4dab2b20b11e652fa812161367/rendering/07.xyz", "0.0")</f>
        <v>0.0</v>
      </c>
      <c r="K2611" s="13" t="str">
        <f>HYPERLINK(AC2 &amp; "/spoon/sn_71b28e4dab2b20b11e652fa812161367/rendering/08.xyz", "0.0")</f>
        <v>0.0</v>
      </c>
      <c r="L2611" s="13" t="str">
        <f>HYPERLINK(AC2 &amp; "/spoon/sn_71b28e4dab2b20b11e652fa812161367/rendering/09.xyz", "0.0")</f>
        <v>0.0</v>
      </c>
      <c r="M2611" s="13" t="str">
        <f>HYPERLINK(AC2 &amp; "/spoon/sn_71b28e4dab2b20b11e652fa812161367/rendering/10.xyz", "0.0")</f>
        <v>0.0</v>
      </c>
      <c r="N2611" s="13" t="str">
        <f>HYPERLINK(AC2 &amp; "/spoon/sn_71b28e4dab2b20b11e652fa812161367/rendering/11.xyz", "0.0")</f>
        <v>0.0</v>
      </c>
      <c r="O2611" s="13" t="str">
        <f>HYPERLINK(AC2 &amp; "/spoon/sn_71b28e4dab2b20b11e652fa812161367/rendering/12.xyz", "0.0")</f>
        <v>0.0</v>
      </c>
      <c r="P2611" s="13" t="str">
        <f>HYPERLINK(AC2 &amp; "/spoon/sn_71b28e4dab2b20b11e652fa812161367/rendering/13.xyz", "0.0")</f>
        <v>0.0</v>
      </c>
      <c r="Q2611" s="13" t="str">
        <f>HYPERLINK(AC2 &amp; "/spoon/sn_71b28e4dab2b20b11e652fa812161367/rendering/14.xyz", "0.0")</f>
        <v>0.0</v>
      </c>
      <c r="R2611" s="13" t="str">
        <f>HYPERLINK(AC2 &amp; "/spoon/sn_71b28e4dab2b20b11e652fa812161367/rendering/15.xyz", "0.0")</f>
        <v>0.0</v>
      </c>
      <c r="S2611" s="13" t="str">
        <f>HYPERLINK(AC2 &amp; "/spoon/sn_71b28e4dab2b20b11e652fa812161367/rendering/16.xyz", "0.0")</f>
        <v>0.0</v>
      </c>
      <c r="T2611" s="13" t="str">
        <f>HYPERLINK(AC2 &amp; "/spoon/sn_71b28e4dab2b20b11e652fa812161367/rendering/17.xyz", "0.0")</f>
        <v>0.0</v>
      </c>
      <c r="U2611" s="13" t="str">
        <f>HYPERLINK(AC2 &amp; "/spoon/sn_71b28e4dab2b20b11e652fa812161367/rendering/18.xyz", "0.0")</f>
        <v>0.0</v>
      </c>
      <c r="V2611" s="13" t="str">
        <f>HYPERLINK(AC2 &amp; "/spoon/sn_71b28e4dab2b20b11e652fa812161367/rendering/19.xyz", "0.0")</f>
        <v>0.0</v>
      </c>
      <c r="W2611" s="12" t="s">
        <v>33</v>
      </c>
      <c r="X2611" s="13">
        <v>0</v>
      </c>
      <c r="Y2611" s="13">
        <v>0</v>
      </c>
      <c r="Z2611" s="13">
        <v>0</v>
      </c>
    </row>
    <row r="2612" spans="1:26" x14ac:dyDescent="0.2">
      <c r="A2612" s="1">
        <v>2610</v>
      </c>
      <c r="B2612" s="2" t="s">
        <v>555</v>
      </c>
      <c r="C2612" s="46" t="str">
        <f>HYPERLINK(AA2 &amp; "/spoon/sn_91b14c74a87d1ed51e652fa812161367/rendering/00.obj", "7.04529602051")</f>
        <v>7.04529602051</v>
      </c>
      <c r="D2612" s="74" t="str">
        <f>HYPERLINK(AA2 &amp; "/spoon/sn_91b14c74a87d1ed51e652fa812161367/rendering/01.obj", "6.84876464844")</f>
        <v>6.84876464844</v>
      </c>
      <c r="E2612" s="74" t="str">
        <f>HYPERLINK(AA2 &amp; "/spoon/sn_91b14c74a87d1ed51e652fa812161367/rendering/02.obj", "6.84045776367")</f>
        <v>6.84045776367</v>
      </c>
      <c r="F2612" s="38" t="str">
        <f>HYPERLINK(AA2 &amp; "/spoon/sn_91b14c74a87d1ed51e652fa812161367/rendering/03.obj", "6.32198120117")</f>
        <v>6.32198120117</v>
      </c>
      <c r="G2612" s="72" t="str">
        <f>HYPERLINK(AA2 &amp; "/spoon/sn_91b14c74a87d1ed51e652fa812161367/rendering/04.obj", "6.7127734375")</f>
        <v>6.7127734375</v>
      </c>
      <c r="H2612" s="41" t="str">
        <f>HYPERLINK(AA2 &amp; "/spoon/sn_91b14c74a87d1ed51e652fa812161367/rendering/05.obj", "6.46519287109")</f>
        <v>6.46519287109</v>
      </c>
      <c r="I2612" s="13" t="str">
        <f>HYPERLINK(AA2 &amp; "/spoon/sn_91b14c74a87d1ed51e652fa812161367/rendering/06.obj", "6.92579467773")</f>
        <v>6.92579467773</v>
      </c>
      <c r="J2612" s="60" t="str">
        <f>HYPERLINK(AA2 &amp; "/spoon/sn_91b14c74a87d1ed51e652fa812161367/rendering/07.obj", "6.571875")</f>
        <v>6.571875</v>
      </c>
      <c r="K2612" s="90" t="str">
        <f>HYPERLINK(AA2 &amp; "/spoon/sn_91b14c74a87d1ed51e652fa812161367/rendering/08.obj", "6.26658874512")</f>
        <v>6.26658874512</v>
      </c>
      <c r="L2612" s="94" t="str">
        <f>HYPERLINK(AA2 &amp; "/spoon/sn_91b14c74a87d1ed51e652fa812161367/rendering/09.obj", "6.41402099609")</f>
        <v>6.41402099609</v>
      </c>
      <c r="M2612" s="5" t="str">
        <f>HYPERLINK(AA2 &amp; "/spoon/sn_91b14c74a87d1ed51e652fa812161367/rendering/10.obj", "6.40293762207")</f>
        <v>6.40293762207</v>
      </c>
      <c r="N2612" s="63" t="str">
        <f>HYPERLINK(AA2 &amp; "/spoon/sn_91b14c74a87d1ed51e652fa812161367/rendering/11.obj", "7.77863830566")</f>
        <v>7.77863830566</v>
      </c>
      <c r="O2612" s="94" t="str">
        <f>HYPERLINK(AA2 &amp; "/spoon/sn_91b14c74a87d1ed51e652fa812161367/rendering/12.obj", "6.42930419922")</f>
        <v>6.42930419922</v>
      </c>
      <c r="P2612" s="157" t="str">
        <f>HYPERLINK(AA2 &amp; "/spoon/sn_91b14c74a87d1ed51e652fa812161367/rendering/13.obj", "9.82569763184")</f>
        <v>9.82569763184</v>
      </c>
      <c r="Q2612" s="35" t="str">
        <f>HYPERLINK(AA2 &amp; "/spoon/sn_91b14c74a87d1ed51e652fa812161367/rendering/14.obj", "6.5364453125")</f>
        <v>6.5364453125</v>
      </c>
      <c r="R2612" s="6" t="str">
        <f>HYPERLINK(AA2 &amp; "/spoon/sn_91b14c74a87d1ed51e652fa812161367/rendering/15.obj", "6.61634216309")</f>
        <v>6.61634216309</v>
      </c>
      <c r="S2612" s="91" t="str">
        <f>HYPERLINK(AA2 &amp; "/spoon/sn_91b14c74a87d1ed51e652fa812161367/rendering/16.obj", "6.75806762695")</f>
        <v>6.75806762695</v>
      </c>
      <c r="T2612" s="71" t="str">
        <f>HYPERLINK(AA2 &amp; "/spoon/sn_91b14c74a87d1ed51e652fa812161367/rendering/17.obj", "7.75670471191")</f>
        <v>7.75670471191</v>
      </c>
      <c r="U2612" s="47" t="str">
        <f>HYPERLINK(AA2 &amp; "/spoon/sn_91b14c74a87d1ed51e652fa812161367/rendering/18.obj", "6.99720092773")</f>
        <v>6.99720092773</v>
      </c>
      <c r="V2612" s="23" t="str">
        <f>HYPERLINK(AA2 &amp; "/spoon/sn_91b14c74a87d1ed51e652fa812161367/rendering/19.obj", "7.20914550781")</f>
        <v>7.20914550781</v>
      </c>
      <c r="W2612" s="12" t="s">
        <v>29</v>
      </c>
      <c r="X2612" s="13">
        <v>6.9361614685058601</v>
      </c>
      <c r="Y2612" s="13">
        <v>0.78029288541671304</v>
      </c>
      <c r="Z2612" s="28">
        <v>0.11249635536307639</v>
      </c>
    </row>
    <row r="2613" spans="1:26" x14ac:dyDescent="0.2">
      <c r="A2613" s="1">
        <v>2611</v>
      </c>
      <c r="B2613" s="2" t="s">
        <v>555</v>
      </c>
      <c r="C2613" s="142" t="str">
        <f>HYPERLINK(AA2 &amp; "/spoon/sn_91b14c74a87d1ed51e652fa812161367/rendering/00.obj", "1.43199002743")</f>
        <v>1.43199002743</v>
      </c>
      <c r="D2613" s="135" t="str">
        <f>HYPERLINK(AA2 &amp; "/spoon/sn_91b14c74a87d1ed51e652fa812161367/rendering/01.obj", "1.75995147228")</f>
        <v>1.75995147228</v>
      </c>
      <c r="E2613" s="171" t="str">
        <f>HYPERLINK(AA2 &amp; "/spoon/sn_91b14c74a87d1ed51e652fa812161367/rendering/02.obj", "1.64055299759")</f>
        <v>1.64055299759</v>
      </c>
      <c r="F2613" s="159" t="str">
        <f>HYPERLINK(AA2 &amp; "/spoon/sn_91b14c74a87d1ed51e652fa812161367/rendering/03.obj", "1.25371897221")</f>
        <v>1.25371897221</v>
      </c>
      <c r="G2613" s="6" t="str">
        <f>HYPERLINK(AA2 &amp; "/spoon/sn_91b14c74a87d1ed51e652fa812161367/rendering/04.obj", "2.46945524216")</f>
        <v>2.46945524216</v>
      </c>
      <c r="H2613" s="145" t="str">
        <f>HYPERLINK(AA2 &amp; "/spoon/sn_91b14c74a87d1ed51e652fa812161367/rendering/05.obj", "1.20593261719")</f>
        <v>1.20593261719</v>
      </c>
      <c r="I2613" s="7" t="str">
        <f>HYPERLINK(AA2 &amp; "/spoon/sn_91b14c74a87d1ed51e652fa812161367/rendering/06.obj", "1.70628523827")</f>
        <v>1.70628523827</v>
      </c>
      <c r="J2613" s="123" t="str">
        <f>HYPERLINK(AA2 &amp; "/spoon/sn_91b14c74a87d1ed51e652fa812161367/rendering/07.obj", "1.49564921856")</f>
        <v>1.49564921856</v>
      </c>
      <c r="K2613" s="147" t="str">
        <f>HYPERLINK(AA2 &amp; "/spoon/sn_91b14c74a87d1ed51e652fa812161367/rendering/08.obj", "1.21095955372")</f>
        <v>1.21095955372</v>
      </c>
      <c r="L2613" s="53" t="str">
        <f>HYPERLINK(AA2 &amp; "/spoon/sn_91b14c74a87d1ed51e652fa812161367/rendering/09.obj", "1.38547372818")</f>
        <v>1.38547372818</v>
      </c>
      <c r="M2613" s="166" t="str">
        <f>HYPERLINK(AA2 &amp; "/spoon/sn_91b14c74a87d1ed51e652fa812161367/rendering/10.obj", "1.68587934971")</f>
        <v>1.68587934971</v>
      </c>
      <c r="N2613" s="20" t="str">
        <f>HYPERLINK(AA2 &amp; "/spoon/sn_91b14c74a87d1ed51e652fa812161367/rendering/11.obj", "4.49181509018")</f>
        <v>4.49181509018</v>
      </c>
      <c r="O2613" s="145" t="str">
        <f>HYPERLINK(AA2 &amp; "/spoon/sn_91b14c74a87d1ed51e652fa812161367/rendering/12.obj", "1.20579063892")</f>
        <v>1.20579063892</v>
      </c>
      <c r="P2613" s="20" t="str">
        <f>HYPERLINK(AA2 &amp; "/spoon/sn_91b14c74a87d1ed51e652fa812161367/rendering/13.obj", "6.94157218933")</f>
        <v>6.94157218933</v>
      </c>
      <c r="Q2613" s="168" t="str">
        <f>HYPERLINK(AA2 &amp; "/spoon/sn_91b14c74a87d1ed51e652fa812161367/rendering/14.obj", "1.60330486298")</f>
        <v>1.60330486298</v>
      </c>
      <c r="R2613" s="20" t="str">
        <f>HYPERLINK(AA2 &amp; "/spoon/sn_91b14c74a87d1ed51e652fa812161367/rendering/15.obj", "5.07189226151")</f>
        <v>5.07189226151</v>
      </c>
      <c r="S2613" s="81" t="str">
        <f>HYPERLINK(AA2 &amp; "/spoon/sn_91b14c74a87d1ed51e652fa812161367/rendering/16.obj", "1.84628868103")</f>
        <v>1.84628868103</v>
      </c>
      <c r="T2613" s="20" t="str">
        <f>HYPERLINK(AA2 &amp; "/spoon/sn_91b14c74a87d1ed51e652fa812161367/rendering/17.obj", "4.36663627625")</f>
        <v>4.36663627625</v>
      </c>
      <c r="U2613" s="39" t="str">
        <f>HYPERLINK(AA2 &amp; "/spoon/sn_91b14c74a87d1ed51e652fa812161367/rendering/18.obj", "2.16006922722")</f>
        <v>2.16006922722</v>
      </c>
      <c r="V2613" s="25" t="str">
        <f>HYPERLINK(AA2 &amp; "/spoon/sn_91b14c74a87d1ed51e652fa812161367/rendering/19.obj", "2.34059309959")</f>
        <v>2.34059309959</v>
      </c>
      <c r="W2613" s="12" t="s">
        <v>30</v>
      </c>
      <c r="X2613" s="13">
        <v>2.3636905372142789</v>
      </c>
      <c r="Y2613" s="13">
        <v>1.538353087943199</v>
      </c>
      <c r="Z2613" s="216">
        <v>0.6508267743696351</v>
      </c>
    </row>
    <row r="2614" spans="1:26" x14ac:dyDescent="0.2">
      <c r="A2614" s="1">
        <v>2612</v>
      </c>
      <c r="B2614" s="2" t="s">
        <v>555</v>
      </c>
      <c r="C2614" s="5" t="str">
        <f>HYPERLINK(AB2 &amp; "/spoon/sn_91b14c74a87d1ed51e652fa812161367/rendering/00.obj", "6.40391845703")</f>
        <v>6.40391845703</v>
      </c>
      <c r="D2614" s="73" t="str">
        <f>HYPERLINK(AB2 &amp; "/spoon/sn_91b14c74a87d1ed51e652fa812161367/rendering/01.obj", "5.73282226562")</f>
        <v>5.73282226562</v>
      </c>
      <c r="E2614" s="68" t="str">
        <f>HYPERLINK(AB2 &amp; "/spoon/sn_91b14c74a87d1ed51e652fa812161367/rendering/02.obj", "6.19864990234")</f>
        <v>6.19864990234</v>
      </c>
      <c r="F2614" s="27" t="str">
        <f>HYPERLINK(AB2 &amp; "/spoon/sn_91b14c74a87d1ed51e652fa812161367/rendering/03.obj", "6.37198974609")</f>
        <v>6.37198974609</v>
      </c>
      <c r="G2614" s="60" t="str">
        <f>HYPERLINK(AB2 &amp; "/spoon/sn_91b14c74a87d1ed51e652fa812161367/rendering/04.obj", "5.63398010254")</f>
        <v>5.63398010254</v>
      </c>
      <c r="H2614" s="35" t="str">
        <f>HYPERLINK(AB2 &amp; "/spoon/sn_91b14c74a87d1ed51e652fa812161367/rendering/05.obj", "6.28750488281")</f>
        <v>6.28750488281</v>
      </c>
      <c r="I2614" s="60" t="str">
        <f>HYPERLINK(AB2 &amp; "/spoon/sn_91b14c74a87d1ed51e652fa812161367/rendering/06.obj", "6.25903808594")</f>
        <v>6.25903808594</v>
      </c>
      <c r="J2614" s="78" t="str">
        <f>HYPERLINK(AB2 &amp; "/spoon/sn_91b14c74a87d1ed51e652fa812161367/rendering/07.obj", "6.31048583984")</f>
        <v>6.31048583984</v>
      </c>
      <c r="K2614" s="68" t="str">
        <f>HYPERLINK(AB2 &amp; "/spoon/sn_91b14c74a87d1ed51e652fa812161367/rendering/08.obj", "6.20966674805")</f>
        <v>6.20966674805</v>
      </c>
      <c r="L2614" s="17" t="str">
        <f>HYPERLINK(AB2 &amp; "/spoon/sn_91b14c74a87d1ed51e652fa812161367/rendering/09.obj", "5.83209228516")</f>
        <v>5.83209228516</v>
      </c>
      <c r="M2614" s="17" t="str">
        <f>HYPERLINK(AB2 &amp; "/spoon/sn_91b14c74a87d1ed51e652fa812161367/rendering/10.obj", "6.06576660156")</f>
        <v>6.06576660156</v>
      </c>
      <c r="N2614" s="26" t="str">
        <f>HYPERLINK(AB2 &amp; "/spoon/sn_91b14c74a87d1ed51e652fa812161367/rendering/11.obj", "5.56175476074")</f>
        <v>5.56175476074</v>
      </c>
      <c r="O2614" s="48" t="str">
        <f>HYPERLINK(AB2 &amp; "/spoon/sn_91b14c74a87d1ed51e652fa812161367/rendering/12.obj", "6.09437438965")</f>
        <v>6.09437438965</v>
      </c>
      <c r="P2614" s="68" t="str">
        <f>HYPERLINK(AB2 &amp; "/spoon/sn_91b14c74a87d1ed51e652fa812161367/rendering/13.obj", "5.70089355469")</f>
        <v>5.70089355469</v>
      </c>
      <c r="Q2614" s="72" t="str">
        <f>HYPERLINK(AB2 &amp; "/spoon/sn_91b14c74a87d1ed51e652fa812161367/rendering/14.obj", "5.74910949707")</f>
        <v>5.74910949707</v>
      </c>
      <c r="R2614" s="78" t="str">
        <f>HYPERLINK(AB2 &amp; "/spoon/sn_91b14c74a87d1ed51e652fa812161367/rendering/15.obj", "5.5828314209")</f>
        <v>5.5828314209</v>
      </c>
      <c r="S2614" s="72" t="str">
        <f>HYPERLINK(AB2 &amp; "/spoon/sn_91b14c74a87d1ed51e652fa812161367/rendering/16.obj", "6.15333312988")</f>
        <v>6.15333312988</v>
      </c>
      <c r="T2614" s="69" t="str">
        <f>HYPERLINK(AB2 &amp; "/spoon/sn_91b14c74a87d1ed51e652fa812161367/rendering/17.obj", "5.77024291992")</f>
        <v>5.77024291992</v>
      </c>
      <c r="U2614" s="30" t="str">
        <f>HYPERLINK(AB2 &amp; "/spoon/sn_91b14c74a87d1ed51e652fa812161367/rendering/18.obj", "5.92968811035")</f>
        <v>5.92968811035</v>
      </c>
      <c r="V2614" s="65" t="str">
        <f>HYPERLINK(AB2 &amp; "/spoon/sn_91b14c74a87d1ed51e652fa812161367/rendering/19.obj", "5.15751159668")</f>
        <v>5.15751159668</v>
      </c>
      <c r="W2614" s="12" t="s">
        <v>31</v>
      </c>
      <c r="X2614" s="13">
        <v>5.9502827148437492</v>
      </c>
      <c r="Y2614" s="13">
        <v>0.32695426545403411</v>
      </c>
      <c r="Z2614" s="10">
        <v>5.494768587018637E-2</v>
      </c>
    </row>
    <row r="2615" spans="1:26" x14ac:dyDescent="0.2">
      <c r="A2615" s="1">
        <v>2613</v>
      </c>
      <c r="B2615" s="2" t="s">
        <v>555</v>
      </c>
      <c r="C2615" s="117" t="str">
        <f>HYPERLINK(AB2 &amp; "/spoon/sn_91b14c74a87d1ed51e652fa812161367/rendering/00.obj", "1.18688821793")</f>
        <v>1.18688821793</v>
      </c>
      <c r="D2615" s="49" t="str">
        <f>HYPERLINK(AB2 &amp; "/spoon/sn_91b14c74a87d1ed51e652fa812161367/rendering/01.obj", "1.14464008808")</f>
        <v>1.14464008808</v>
      </c>
      <c r="E2615" s="92" t="str">
        <f>HYPERLINK(AB2 &amp; "/spoon/sn_91b14c74a87d1ed51e652fa812161367/rendering/02.obj", "1.26550650597")</f>
        <v>1.26550650597</v>
      </c>
      <c r="F2615" s="20" t="str">
        <f>HYPERLINK(AB2 &amp; "/spoon/sn_91b14c74a87d1ed51e652fa812161367/rendering/03.obj", "2.83348989487")</f>
        <v>2.83348989487</v>
      </c>
      <c r="G2615" s="61" t="str">
        <f>HYPERLINK(AB2 &amp; "/spoon/sn_91b14c74a87d1ed51e652fa812161367/rendering/04.obj", "1.00707113743")</f>
        <v>1.00707113743</v>
      </c>
      <c r="H2615" s="119" t="str">
        <f>HYPERLINK(AB2 &amp; "/spoon/sn_91b14c74a87d1ed51e652fa812161367/rendering/05.obj", "1.06056928635")</f>
        <v>1.06056928635</v>
      </c>
      <c r="I2615" s="69" t="str">
        <f>HYPERLINK(AB2 &amp; "/spoon/sn_91b14c74a87d1ed51e652fa812161367/rendering/06.obj", "1.48786854744")</f>
        <v>1.48786854744</v>
      </c>
      <c r="J2615" s="66" t="str">
        <f>HYPERLINK(AB2 &amp; "/spoon/sn_91b14c74a87d1ed51e652fa812161367/rendering/07.obj", "1.209815979")</f>
        <v>1.209815979</v>
      </c>
      <c r="K2615" s="117" t="str">
        <f>HYPERLINK(AB2 &amp; "/spoon/sn_91b14c74a87d1ed51e652fa812161367/rendering/08.obj", "1.18984591961")</f>
        <v>1.18984591961</v>
      </c>
      <c r="L2615" s="59" t="str">
        <f>HYPERLINK(AB2 &amp; "/spoon/sn_91b14c74a87d1ed51e652fa812161367/rendering/09.obj", "1.09857666492")</f>
        <v>1.09857666492</v>
      </c>
      <c r="M2615" s="73" t="str">
        <f>HYPERLINK(AB2 &amp; "/spoon/sn_91b14c74a87d1ed51e652fa812161367/rendering/10.obj", "1.49706888199")</f>
        <v>1.49706888199</v>
      </c>
      <c r="N2615" s="135" t="str">
        <f>HYPERLINK(AB2 &amp; "/spoon/sn_91b14c74a87d1ed51e652fa812161367/rendering/11.obj", "1.07622802258")</f>
        <v>1.07622802258</v>
      </c>
      <c r="O2615" s="23" t="str">
        <f>HYPERLINK(AB2 &amp; "/spoon/sn_91b14c74a87d1ed51e652fa812161367/rendering/12.obj", "1.50069725513")</f>
        <v>1.50069725513</v>
      </c>
      <c r="P2615" s="64" t="str">
        <f>HYPERLINK(AB2 &amp; "/spoon/sn_91b14c74a87d1ed51e652fa812161367/rendering/13.obj", "1.20867335796")</f>
        <v>1.20867335796</v>
      </c>
      <c r="Q2615" s="66" t="str">
        <f>HYPERLINK(AB2 &amp; "/spoon/sn_91b14c74a87d1ed51e652fa812161367/rendering/14.obj", "1.21012067795")</f>
        <v>1.21012067795</v>
      </c>
      <c r="R2615" s="254" t="str">
        <f>HYPERLINK(AB2 &amp; "/spoon/sn_91b14c74a87d1ed51e652fa812161367/rendering/15.obj", "2.56134557724")</f>
        <v>2.56134557724</v>
      </c>
      <c r="S2615" s="58" t="str">
        <f>HYPERLINK(AB2 &amp; "/spoon/sn_91b14c74a87d1ed51e652fa812161367/rendering/16.obj", "1.09220385551")</f>
        <v>1.09220385551</v>
      </c>
      <c r="T2615" s="20" t="str">
        <f>HYPERLINK(AB2 &amp; "/spoon/sn_91b14c74a87d1ed51e652fa812161367/rendering/17.obj", "2.62667536736")</f>
        <v>2.62667536736</v>
      </c>
      <c r="U2615" s="39" t="str">
        <f>HYPERLINK(AB2 &amp; "/spoon/sn_91b14c74a87d1ed51e652fa812161367/rendering/18.obj", "1.31810796261")</f>
        <v>1.31810796261</v>
      </c>
      <c r="V2615" s="67" t="str">
        <f>HYPERLINK(AB2 &amp; "/spoon/sn_91b14c74a87d1ed51e652fa812161367/rendering/19.obj", "1.31194245815")</f>
        <v>1.31194245815</v>
      </c>
      <c r="W2615" s="12" t="s">
        <v>32</v>
      </c>
      <c r="X2615" s="13">
        <v>1.444366782903671</v>
      </c>
      <c r="Y2615" s="13">
        <v>0.53630505888389801</v>
      </c>
      <c r="Z2615" s="192">
        <v>0.37130808132110421</v>
      </c>
    </row>
    <row r="2616" spans="1:26" x14ac:dyDescent="0.2">
      <c r="A2616" s="1">
        <v>2614</v>
      </c>
      <c r="B2616" s="2" t="s">
        <v>555</v>
      </c>
      <c r="C2616" s="13" t="str">
        <f>HYPERLINK(AC2 &amp; "/spoon/sn_91b14c74a87d1ed51e652fa812161367/rendering/00.xyz", "0.0")</f>
        <v>0.0</v>
      </c>
      <c r="D2616" s="13" t="str">
        <f>HYPERLINK(AC2 &amp; "/spoon/sn_91b14c74a87d1ed51e652fa812161367/rendering/01.xyz", "0.0")</f>
        <v>0.0</v>
      </c>
      <c r="E2616" s="13" t="str">
        <f>HYPERLINK(AC2 &amp; "/spoon/sn_91b14c74a87d1ed51e652fa812161367/rendering/02.xyz", "0.0")</f>
        <v>0.0</v>
      </c>
      <c r="F2616" s="13" t="str">
        <f>HYPERLINK(AC2 &amp; "/spoon/sn_91b14c74a87d1ed51e652fa812161367/rendering/03.xyz", "0.0")</f>
        <v>0.0</v>
      </c>
      <c r="G2616" s="13" t="str">
        <f>HYPERLINK(AC2 &amp; "/spoon/sn_91b14c74a87d1ed51e652fa812161367/rendering/04.xyz", "0.0")</f>
        <v>0.0</v>
      </c>
      <c r="H2616" s="13" t="str">
        <f>HYPERLINK(AC2 &amp; "/spoon/sn_91b14c74a87d1ed51e652fa812161367/rendering/05.xyz", "0.0")</f>
        <v>0.0</v>
      </c>
      <c r="I2616" s="13" t="str">
        <f>HYPERLINK(AC2 &amp; "/spoon/sn_91b14c74a87d1ed51e652fa812161367/rendering/06.xyz", "0.0")</f>
        <v>0.0</v>
      </c>
      <c r="J2616" s="13" t="str">
        <f>HYPERLINK(AC2 &amp; "/spoon/sn_91b14c74a87d1ed51e652fa812161367/rendering/07.xyz", "0.0")</f>
        <v>0.0</v>
      </c>
      <c r="K2616" s="13" t="str">
        <f>HYPERLINK(AC2 &amp; "/spoon/sn_91b14c74a87d1ed51e652fa812161367/rendering/08.xyz", "0.0")</f>
        <v>0.0</v>
      </c>
      <c r="L2616" s="13" t="str">
        <f>HYPERLINK(AC2 &amp; "/spoon/sn_91b14c74a87d1ed51e652fa812161367/rendering/09.xyz", "0.0")</f>
        <v>0.0</v>
      </c>
      <c r="M2616" s="13" t="str">
        <f>HYPERLINK(AC2 &amp; "/spoon/sn_91b14c74a87d1ed51e652fa812161367/rendering/10.xyz", "0.0")</f>
        <v>0.0</v>
      </c>
      <c r="N2616" s="13" t="str">
        <f>HYPERLINK(AC2 &amp; "/spoon/sn_91b14c74a87d1ed51e652fa812161367/rendering/11.xyz", "0.0")</f>
        <v>0.0</v>
      </c>
      <c r="O2616" s="13" t="str">
        <f>HYPERLINK(AC2 &amp; "/spoon/sn_91b14c74a87d1ed51e652fa812161367/rendering/12.xyz", "0.0")</f>
        <v>0.0</v>
      </c>
      <c r="P2616" s="13" t="str">
        <f>HYPERLINK(AC2 &amp; "/spoon/sn_91b14c74a87d1ed51e652fa812161367/rendering/13.xyz", "0.0")</f>
        <v>0.0</v>
      </c>
      <c r="Q2616" s="13" t="str">
        <f>HYPERLINK(AC2 &amp; "/spoon/sn_91b14c74a87d1ed51e652fa812161367/rendering/14.xyz", "0.0")</f>
        <v>0.0</v>
      </c>
      <c r="R2616" s="13" t="str">
        <f>HYPERLINK(AC2 &amp; "/spoon/sn_91b14c74a87d1ed51e652fa812161367/rendering/15.xyz", "0.0")</f>
        <v>0.0</v>
      </c>
      <c r="S2616" s="13" t="str">
        <f>HYPERLINK(AC2 &amp; "/spoon/sn_91b14c74a87d1ed51e652fa812161367/rendering/16.xyz", "0.0")</f>
        <v>0.0</v>
      </c>
      <c r="T2616" s="13" t="str">
        <f>HYPERLINK(AC2 &amp; "/spoon/sn_91b14c74a87d1ed51e652fa812161367/rendering/17.xyz", "0.0")</f>
        <v>0.0</v>
      </c>
      <c r="U2616" s="13" t="str">
        <f>HYPERLINK(AC2 &amp; "/spoon/sn_91b14c74a87d1ed51e652fa812161367/rendering/18.xyz", "0.0")</f>
        <v>0.0</v>
      </c>
      <c r="V2616" s="13" t="str">
        <f>HYPERLINK(AC2 &amp; "/spoon/sn_91b14c74a87d1ed51e652fa812161367/rendering/19.xyz", "0.0")</f>
        <v>0.0</v>
      </c>
      <c r="W2616" s="12" t="s">
        <v>33</v>
      </c>
      <c r="X2616" s="13">
        <v>0</v>
      </c>
      <c r="Y2616" s="13">
        <v>0</v>
      </c>
      <c r="Z2616" s="13">
        <v>0</v>
      </c>
    </row>
    <row r="2617" spans="1:26" x14ac:dyDescent="0.2">
      <c r="A2617" s="1">
        <v>2615</v>
      </c>
      <c r="B2617" s="2" t="s">
        <v>556</v>
      </c>
      <c r="C2617" s="167" t="str">
        <f>HYPERLINK(AA2 &amp; "/spoon/sn_9729770f5437f768638735e451972522/rendering/00.obj", "12.8767675781")</f>
        <v>12.8767675781</v>
      </c>
      <c r="D2617" s="46" t="str">
        <f>HYPERLINK(AA2 &amp; "/spoon/sn_9729770f5437f768638735e451972522/rendering/01.obj", "8.16499389648")</f>
        <v>8.16499389648</v>
      </c>
      <c r="E2617" s="31" t="str">
        <f>HYPERLINK(AA2 &amp; "/spoon/sn_9729770f5437f768638735e451972522/rendering/02.obj", "6.79744873047")</f>
        <v>6.79744873047</v>
      </c>
      <c r="F2617" s="87" t="str">
        <f>HYPERLINK(AA2 &amp; "/spoon/sn_9729770f5437f768638735e451972522/rendering/03.obj", "6.21452697754")</f>
        <v>6.21452697754</v>
      </c>
      <c r="G2617" s="51" t="str">
        <f>HYPERLINK(AA2 &amp; "/spoon/sn_9729770f5437f768638735e451972522/rendering/04.obj", "8.68021057129")</f>
        <v>8.68021057129</v>
      </c>
      <c r="H2617" s="106" t="str">
        <f>HYPERLINK(AA2 &amp; "/spoon/sn_9729770f5437f768638735e451972522/rendering/05.obj", "7.10823303223")</f>
        <v>7.10823303223</v>
      </c>
      <c r="I2617" s="32" t="str">
        <f>HYPERLINK(AA2 &amp; "/spoon/sn_9729770f5437f768638735e451972522/rendering/06.obj", "7.17685058594")</f>
        <v>7.17685058594</v>
      </c>
      <c r="J2617" s="136" t="str">
        <f>HYPERLINK(AA2 &amp; "/spoon/sn_9729770f5437f768638735e451972522/rendering/07.obj", "6.13095275879")</f>
        <v>6.13095275879</v>
      </c>
      <c r="K2617" s="118" t="str">
        <f>HYPERLINK(AA2 &amp; "/spoon/sn_9729770f5437f768638735e451972522/rendering/08.obj", "10.3924462891")</f>
        <v>10.3924462891</v>
      </c>
      <c r="L2617" s="89" t="str">
        <f>HYPERLINK(AA2 &amp; "/spoon/sn_9729770f5437f768638735e451972522/rendering/09.obj", "5.96184570313")</f>
        <v>5.96184570313</v>
      </c>
      <c r="M2617" s="59" t="str">
        <f>HYPERLINK(AA2 &amp; "/spoon/sn_9729770f5437f768638735e451972522/rendering/10.obj", "6.09751464844")</f>
        <v>6.09751464844</v>
      </c>
      <c r="N2617" s="20" t="str">
        <f>HYPERLINK(AA2 &amp; "/spoon/sn_9729770f5437f768638735e451972522/rendering/11.obj", "19.6340869141")</f>
        <v>19.6340869141</v>
      </c>
      <c r="O2617" s="59" t="str">
        <f>HYPERLINK(AA2 &amp; "/spoon/sn_9729770f5437f768638735e451972522/rendering/12.obj", "6.11248901367")</f>
        <v>6.11248901367</v>
      </c>
      <c r="P2617" s="79" t="str">
        <f>HYPERLINK(AA2 &amp; "/spoon/sn_9729770f5437f768638735e451972522/rendering/13.obj", "6.77275817871")</f>
        <v>6.77275817871</v>
      </c>
      <c r="Q2617" s="64" t="str">
        <f>HYPERLINK(AA2 &amp; "/spoon/sn_9729770f5437f768638735e451972522/rendering/14.obj", "6.70824584961")</f>
        <v>6.70824584961</v>
      </c>
      <c r="R2617" s="4" t="str">
        <f>HYPERLINK(AA2 &amp; "/spoon/sn_9729770f5437f768638735e451972522/rendering/15.obj", "5.7552947998")</f>
        <v>5.7552947998</v>
      </c>
      <c r="S2617" s="86" t="str">
        <f>HYPERLINK(AA2 &amp; "/spoon/sn_9729770f5437f768638735e451972522/rendering/16.obj", "5.86983032227")</f>
        <v>5.86983032227</v>
      </c>
      <c r="T2617" s="33" t="str">
        <f>HYPERLINK(AA2 &amp; "/spoon/sn_9729770f5437f768638735e451972522/rendering/17.obj", "8.89305297852")</f>
        <v>8.89305297852</v>
      </c>
      <c r="U2617" s="110" t="str">
        <f>HYPERLINK(AA2 &amp; "/spoon/sn_9729770f5437f768638735e451972522/rendering/18.obj", "7.24853027344")</f>
        <v>7.24853027344</v>
      </c>
      <c r="V2617" s="30" t="str">
        <f>HYPERLINK(AA2 &amp; "/spoon/sn_9729770f5437f768638735e451972522/rendering/19.obj", "8.06142150879")</f>
        <v>8.06142150879</v>
      </c>
      <c r="W2617" s="12" t="s">
        <v>29</v>
      </c>
      <c r="X2617" s="13">
        <v>8.0328750305175767</v>
      </c>
      <c r="Y2617" s="13">
        <v>3.1652840132526072</v>
      </c>
      <c r="Z2617" s="142">
        <v>0.39404123694535559</v>
      </c>
    </row>
    <row r="2618" spans="1:26" x14ac:dyDescent="0.2">
      <c r="A2618" s="1">
        <v>2616</v>
      </c>
      <c r="B2618" s="2" t="s">
        <v>556</v>
      </c>
      <c r="C2618" s="20" t="str">
        <f>HYPERLINK(AA2 &amp; "/spoon/sn_9729770f5437f768638735e451972522/rendering/00.obj", "20.5226955414")</f>
        <v>20.5226955414</v>
      </c>
      <c r="D2618" s="65" t="str">
        <f>HYPERLINK(AA2 &amp; "/spoon/sn_9729770f5437f768638735e451972522/rendering/01.obj", "5.00509119034")</f>
        <v>5.00509119034</v>
      </c>
      <c r="E2618" s="206" t="str">
        <f>HYPERLINK(AA2 &amp; "/spoon/sn_9729770f5437f768638735e451972522/rendering/02.obj", "2.36514782906")</f>
        <v>2.36514782906</v>
      </c>
      <c r="F2618" s="20" t="str">
        <f>HYPERLINK(AA2 &amp; "/spoon/sn_9729770f5437f768638735e451972522/rendering/03.obj", "0.980075657368")</f>
        <v>0.980075657368</v>
      </c>
      <c r="G2618" s="90" t="str">
        <f>HYPERLINK(AA2 &amp; "/spoon/sn_9729770f5437f768638735e451972522/rendering/04.obj", "6.31714296341")</f>
        <v>6.31714296341</v>
      </c>
      <c r="H2618" s="97" t="str">
        <f>HYPERLINK(AA2 &amp; "/spoon/sn_9729770f5437f768638735e451972522/rendering/05.obj", "3.26304411888")</f>
        <v>3.26304411888</v>
      </c>
      <c r="I2618" s="131" t="str">
        <f>HYPERLINK(AA2 &amp; "/spoon/sn_9729770f5437f768638735e451972522/rendering/06.obj", "3.10662341118")</f>
        <v>3.10662341118</v>
      </c>
      <c r="J2618" s="20" t="str">
        <f>HYPERLINK(AA2 &amp; "/spoon/sn_9729770f5437f768638735e451972522/rendering/07.obj", "1.08195257187")</f>
        <v>1.08195257187</v>
      </c>
      <c r="K2618" s="20" t="str">
        <f>HYPERLINK(AA2 &amp; "/spoon/sn_9729770f5437f768638735e451972522/rendering/08.obj", "11.4124898911")</f>
        <v>11.4124898911</v>
      </c>
      <c r="L2618" s="222" t="str">
        <f>HYPERLINK(AA2 &amp; "/spoon/sn_9729770f5437f768638735e451972522/rendering/09.obj", "1.44584429264")</f>
        <v>1.44584429264</v>
      </c>
      <c r="M2618" s="224" t="str">
        <f>HYPERLINK(AA2 &amp; "/spoon/sn_9729770f5437f768638735e451972522/rendering/10.obj", "1.69196426868")</f>
        <v>1.69196426868</v>
      </c>
      <c r="N2618" s="20" t="str">
        <f>HYPERLINK(AA2 &amp; "/spoon/sn_9729770f5437f768638735e451972522/rendering/11.obj", "38.5362510681")</f>
        <v>38.5362510681</v>
      </c>
      <c r="O2618" s="20" t="str">
        <f>HYPERLINK(AA2 &amp; "/spoon/sn_9729770f5437f768638735e451972522/rendering/12.obj", "1.14150297642")</f>
        <v>1.14150297642</v>
      </c>
      <c r="P2618" s="148" t="str">
        <f>HYPERLINK(AA2 &amp; "/spoon/sn_9729770f5437f768638735e451972522/rendering/13.obj", "2.96596074104")</f>
        <v>2.96596074104</v>
      </c>
      <c r="Q2618" s="173" t="str">
        <f>HYPERLINK(AA2 &amp; "/spoon/sn_9729770f5437f768638735e451972522/rendering/14.obj", "1.79079520702")</f>
        <v>1.79079520702</v>
      </c>
      <c r="R2618" s="250" t="str">
        <f>HYPERLINK(AA2 &amp; "/spoon/sn_9729770f5437f768638735e451972522/rendering/15.obj", "1.80587887764")</f>
        <v>1.80587887764</v>
      </c>
      <c r="S2618" s="155" t="str">
        <f>HYPERLINK(AA2 &amp; "/spoon/sn_9729770f5437f768638735e451972522/rendering/16.obj", "1.87080597878")</f>
        <v>1.87080597878</v>
      </c>
      <c r="T2618" s="69" t="str">
        <f>HYPERLINK(AA2 &amp; "/spoon/sn_9729770f5437f768638735e451972522/rendering/17.obj", "5.6012377739")</f>
        <v>5.6012377739</v>
      </c>
      <c r="U2618" s="220" t="str">
        <f>HYPERLINK(AA2 &amp; "/spoon/sn_9729770f5437f768638735e451972522/rendering/18.obj", "1.85284018517")</f>
        <v>1.85284018517</v>
      </c>
      <c r="V2618" s="21" t="str">
        <f>HYPERLINK(AA2 &amp; "/spoon/sn_9729770f5437f768638735e451972522/rendering/19.obj", "2.57641553879")</f>
        <v>2.57641553879</v>
      </c>
      <c r="W2618" s="12" t="s">
        <v>30</v>
      </c>
      <c r="X2618" s="13">
        <v>5.7666880041360864</v>
      </c>
      <c r="Y2618" s="13">
        <v>8.7487762192582554</v>
      </c>
      <c r="Z2618" s="20">
        <v>1.5171232105817589</v>
      </c>
    </row>
    <row r="2619" spans="1:26" x14ac:dyDescent="0.2">
      <c r="A2619" s="1">
        <v>2617</v>
      </c>
      <c r="B2619" s="2" t="s">
        <v>556</v>
      </c>
      <c r="C2619" s="73" t="str">
        <f>HYPERLINK(AB2 &amp; "/spoon/sn_9729770f5437f768638735e451972522/rendering/00.obj", "5.43763549805")</f>
        <v>5.43763549805</v>
      </c>
      <c r="D2619" s="48" t="str">
        <f>HYPERLINK(AB2 &amp; "/spoon/sn_9729770f5437f768638735e451972522/rendering/01.obj", "5.77745910645")</f>
        <v>5.77745910645</v>
      </c>
      <c r="E2619" s="74" t="str">
        <f>HYPERLINK(AB2 &amp; "/spoon/sn_9729770f5437f768638735e451972522/rendering/02.obj", "5.7325402832")</f>
        <v>5.7325402832</v>
      </c>
      <c r="F2619" s="51" t="str">
        <f>HYPERLINK(AB2 &amp; "/spoon/sn_9729770f5437f768638735e451972522/rendering/03.obj", "6.09275817871")</f>
        <v>6.09275817871</v>
      </c>
      <c r="G2619" s="6" t="str">
        <f>HYPERLINK(AB2 &amp; "/spoon/sn_9729770f5437f768638735e451972522/rendering/04.obj", "5.38235839844")</f>
        <v>5.38235839844</v>
      </c>
      <c r="H2619" s="24" t="str">
        <f>HYPERLINK(AB2 &amp; "/spoon/sn_9729770f5437f768638735e451972522/rendering/05.obj", "4.69932983398")</f>
        <v>4.69932983398</v>
      </c>
      <c r="I2619" s="13" t="str">
        <f>HYPERLINK(AB2 &amp; "/spoon/sn_9729770f5437f768638735e451972522/rendering/06.obj", "5.66160522461")</f>
        <v>5.66160522461</v>
      </c>
      <c r="J2619" s="68" t="str">
        <f>HYPERLINK(AB2 &amp; "/spoon/sn_9729770f5437f768638735e451972522/rendering/07.obj", "5.88774108887")</f>
        <v>5.88774108887</v>
      </c>
      <c r="K2619" s="13" t="str">
        <f>HYPERLINK(AB2 &amp; "/spoon/sn_9729770f5437f768638735e451972522/rendering/08.obj", "5.64400146484")</f>
        <v>5.64400146484</v>
      </c>
      <c r="L2619" s="30" t="str">
        <f>HYPERLINK(AB2 &amp; "/spoon/sn_9729770f5437f768638735e451972522/rendering/09.obj", "5.67420776367")</f>
        <v>5.67420776367</v>
      </c>
      <c r="M2619" s="40" t="str">
        <f>HYPERLINK(AB2 &amp; "/spoon/sn_9729770f5437f768638735e451972522/rendering/10.obj", "4.67214904785")</f>
        <v>4.67214904785</v>
      </c>
      <c r="N2619" s="175" t="str">
        <f>HYPERLINK(AB2 &amp; "/spoon/sn_9729770f5437f768638735e451972522/rendering/11.obj", "6.95690490723")</f>
        <v>6.95690490723</v>
      </c>
      <c r="O2619" s="72" t="str">
        <f>HYPERLINK(AB2 &amp; "/spoon/sn_9729770f5437f768638735e451972522/rendering/12.obj", "5.82369140625")</f>
        <v>5.82369140625</v>
      </c>
      <c r="P2619" s="107" t="str">
        <f>HYPERLINK(AB2 &amp; "/spoon/sn_9729770f5437f768638735e451972522/rendering/13.obj", "5.17721252441")</f>
        <v>5.17721252441</v>
      </c>
      <c r="Q2619" s="72" t="str">
        <f>HYPERLINK(AB2 &amp; "/spoon/sn_9729770f5437f768638735e451972522/rendering/14.obj", "5.83628479004")</f>
        <v>5.83628479004</v>
      </c>
      <c r="R2619" s="24" t="str">
        <f>HYPERLINK(AB2 &amp; "/spoon/sn_9729770f5437f768638735e451972522/rendering/15.obj", "4.69011474609")</f>
        <v>4.69011474609</v>
      </c>
      <c r="S2619" s="23" t="str">
        <f>HYPERLINK(AB2 &amp; "/spoon/sn_9729770f5437f768638735e451972522/rendering/16.obj", "5.86971069336")</f>
        <v>5.86971069336</v>
      </c>
      <c r="T2619" s="63" t="str">
        <f>HYPERLINK(AB2 &amp; "/spoon/sn_9729770f5437f768638735e451972522/rendering/17.obj", "6.33115234375")</f>
        <v>6.33115234375</v>
      </c>
      <c r="U2619" s="60" t="str">
        <f>HYPERLINK(AB2 &amp; "/spoon/sn_9729770f5437f768638735e451972522/rendering/18.obj", "5.94237792969")</f>
        <v>5.94237792969</v>
      </c>
      <c r="V2619" s="13" t="str">
        <f>HYPERLINK(AB2 &amp; "/spoon/sn_9729770f5437f768638735e451972522/rendering/19.obj", "5.62986938477")</f>
        <v>5.62986938477</v>
      </c>
      <c r="W2619" s="12" t="s">
        <v>31</v>
      </c>
      <c r="X2619" s="13">
        <v>5.6459552307128913</v>
      </c>
      <c r="Y2619" s="13">
        <v>0.53705917029054728</v>
      </c>
      <c r="Z2619" s="90">
        <v>9.512281772427994E-2</v>
      </c>
    </row>
    <row r="2620" spans="1:26" x14ac:dyDescent="0.2">
      <c r="A2620" s="1">
        <v>2618</v>
      </c>
      <c r="B2620" s="2" t="s">
        <v>556</v>
      </c>
      <c r="C2620" s="131" t="str">
        <f>HYPERLINK(AB2 &amp; "/spoon/sn_9729770f5437f768638735e451972522/rendering/00.obj", "1.98204994202")</f>
        <v>1.98204994202</v>
      </c>
      <c r="D2620" s="70" t="str">
        <f>HYPERLINK(AB2 &amp; "/spoon/sn_9729770f5437f768638735e451972522/rendering/01.obj", "1.18444955349")</f>
        <v>1.18444955349</v>
      </c>
      <c r="E2620" s="74" t="str">
        <f>HYPERLINK(AB2 &amp; "/spoon/sn_9729770f5437f768638735e451972522/rendering/02.obj", "1.3734613657")</f>
        <v>1.3734613657</v>
      </c>
      <c r="F2620" s="59" t="str">
        <f>HYPERLINK(AB2 &amp; "/spoon/sn_9729770f5437f768638735e451972522/rendering/03.obj", "1.03075122833")</f>
        <v>1.03075122833</v>
      </c>
      <c r="G2620" s="36" t="str">
        <f>HYPERLINK(AB2 &amp; "/spoon/sn_9729770f5437f768638735e451972522/rendering/04.obj", "1.64566636086")</f>
        <v>1.64566636086</v>
      </c>
      <c r="H2620" s="110" t="str">
        <f>HYPERLINK(AB2 &amp; "/spoon/sn_9729770f5437f768638735e451972522/rendering/05.obj", "1.22309422493")</f>
        <v>1.22309422493</v>
      </c>
      <c r="I2620" s="51" t="str">
        <f>HYPERLINK(AB2 &amp; "/spoon/sn_9729770f5437f768638735e451972522/rendering/06.obj", "1.24664485455")</f>
        <v>1.24664485455</v>
      </c>
      <c r="J2620" s="55" t="str">
        <f>HYPERLINK(AB2 &amp; "/spoon/sn_9729770f5437f768638735e451972522/rendering/07.obj", "1.09525942802")</f>
        <v>1.09525942802</v>
      </c>
      <c r="K2620" s="37" t="str">
        <f>HYPERLINK(AB2 &amp; "/spoon/sn_9729770f5437f768638735e451972522/rendering/08.obj", "1.11882102489")</f>
        <v>1.11882102489</v>
      </c>
      <c r="L2620" s="78" t="str">
        <f>HYPERLINK(AB2 &amp; "/spoon/sn_9729770f5437f768638735e451972522/rendering/09.obj", "1.27321314812")</f>
        <v>1.27321314812</v>
      </c>
      <c r="M2620" s="90" t="str">
        <f>HYPERLINK(AB2 &amp; "/spoon/sn_9729770f5437f768638735e451972522/rendering/10.obj", "1.22698485851")</f>
        <v>1.22698485851</v>
      </c>
      <c r="N2620" s="30" t="str">
        <f>HYPERLINK(AB2 &amp; "/spoon/sn_9729770f5437f768638735e451972522/rendering/11.obj", "1.36288881302")</f>
        <v>1.36288881302</v>
      </c>
      <c r="O2620" s="76" t="str">
        <f>HYPERLINK(AB2 &amp; "/spoon/sn_9729770f5437f768638735e451972522/rendering/12.obj", "1.10585403442")</f>
        <v>1.10585403442</v>
      </c>
      <c r="P2620" s="210" t="str">
        <f>HYPERLINK(AB2 &amp; "/spoon/sn_9729770f5437f768638735e451972522/rendering/13.obj", "2.39921927452")</f>
        <v>2.39921927452</v>
      </c>
      <c r="Q2620" s="56" t="str">
        <f>HYPERLINK(AB2 &amp; "/spoon/sn_9729770f5437f768638735e451972522/rendering/14.obj", "1.77567112446")</f>
        <v>1.77567112446</v>
      </c>
      <c r="R2620" s="64" t="str">
        <f>HYPERLINK(AB2 &amp; "/spoon/sn_9729770f5437f768638735e451972522/rendering/15.obj", "1.13121247292")</f>
        <v>1.13121247292</v>
      </c>
      <c r="S2620" s="79" t="str">
        <f>HYPERLINK(AB2 &amp; "/spoon/sn_9729770f5437f768638735e451972522/rendering/16.obj", "1.57115495205")</f>
        <v>1.57115495205</v>
      </c>
      <c r="T2620" s="42" t="str">
        <f>HYPERLINK(AB2 &amp; "/spoon/sn_9729770f5437f768638735e451972522/rendering/17.obj", "1.1719442606")</f>
        <v>1.1719442606</v>
      </c>
      <c r="U2620" s="136" t="str">
        <f>HYPERLINK(AB2 &amp; "/spoon/sn_9729770f5437f768638735e451972522/rendering/18.obj", "1.03369581699")</f>
        <v>1.03369581699</v>
      </c>
      <c r="V2620" s="84" t="str">
        <f>HYPERLINK(AB2 &amp; "/spoon/sn_9729770f5437f768638735e451972522/rendering/19.obj", "1.15676760674")</f>
        <v>1.15676760674</v>
      </c>
      <c r="W2620" s="12" t="s">
        <v>32</v>
      </c>
      <c r="X2620" s="13">
        <v>1.3554402172565461</v>
      </c>
      <c r="Y2620" s="13">
        <v>0.34569079807830522</v>
      </c>
      <c r="Z2620" s="135">
        <v>0.25503950205785858</v>
      </c>
    </row>
    <row r="2621" spans="1:26" x14ac:dyDescent="0.2">
      <c r="A2621" s="1">
        <v>2619</v>
      </c>
      <c r="B2621" s="2" t="s">
        <v>556</v>
      </c>
      <c r="C2621" s="13" t="str">
        <f>HYPERLINK(AC2 &amp; "/spoon/sn_9729770f5437f768638735e451972522/rendering/00.xyz", "0.0")</f>
        <v>0.0</v>
      </c>
      <c r="D2621" s="13" t="str">
        <f>HYPERLINK(AC2 &amp; "/spoon/sn_9729770f5437f768638735e451972522/rendering/01.xyz", "0.0")</f>
        <v>0.0</v>
      </c>
      <c r="E2621" s="13" t="str">
        <f>HYPERLINK(AC2 &amp; "/spoon/sn_9729770f5437f768638735e451972522/rendering/02.xyz", "0.0")</f>
        <v>0.0</v>
      </c>
      <c r="F2621" s="13" t="str">
        <f>HYPERLINK(AC2 &amp; "/spoon/sn_9729770f5437f768638735e451972522/rendering/03.xyz", "0.0")</f>
        <v>0.0</v>
      </c>
      <c r="G2621" s="13" t="str">
        <f>HYPERLINK(AC2 &amp; "/spoon/sn_9729770f5437f768638735e451972522/rendering/04.xyz", "0.0")</f>
        <v>0.0</v>
      </c>
      <c r="H2621" s="13" t="str">
        <f>HYPERLINK(AC2 &amp; "/spoon/sn_9729770f5437f768638735e451972522/rendering/05.xyz", "0.0")</f>
        <v>0.0</v>
      </c>
      <c r="I2621" s="13" t="str">
        <f>HYPERLINK(AC2 &amp; "/spoon/sn_9729770f5437f768638735e451972522/rendering/06.xyz", "0.0")</f>
        <v>0.0</v>
      </c>
      <c r="J2621" s="13" t="str">
        <f>HYPERLINK(AC2 &amp; "/spoon/sn_9729770f5437f768638735e451972522/rendering/07.xyz", "0.0")</f>
        <v>0.0</v>
      </c>
      <c r="K2621" s="13" t="str">
        <f>HYPERLINK(AC2 &amp; "/spoon/sn_9729770f5437f768638735e451972522/rendering/08.xyz", "0.0")</f>
        <v>0.0</v>
      </c>
      <c r="L2621" s="13" t="str">
        <f>HYPERLINK(AC2 &amp; "/spoon/sn_9729770f5437f768638735e451972522/rendering/09.xyz", "0.0")</f>
        <v>0.0</v>
      </c>
      <c r="M2621" s="13" t="str">
        <f>HYPERLINK(AC2 &amp; "/spoon/sn_9729770f5437f768638735e451972522/rendering/10.xyz", "0.0")</f>
        <v>0.0</v>
      </c>
      <c r="N2621" s="13" t="str">
        <f>HYPERLINK(AC2 &amp; "/spoon/sn_9729770f5437f768638735e451972522/rendering/11.xyz", "0.0")</f>
        <v>0.0</v>
      </c>
      <c r="O2621" s="13" t="str">
        <f>HYPERLINK(AC2 &amp; "/spoon/sn_9729770f5437f768638735e451972522/rendering/12.xyz", "0.0")</f>
        <v>0.0</v>
      </c>
      <c r="P2621" s="13" t="str">
        <f>HYPERLINK(AC2 &amp; "/spoon/sn_9729770f5437f768638735e451972522/rendering/13.xyz", "0.0")</f>
        <v>0.0</v>
      </c>
      <c r="Q2621" s="13" t="str">
        <f>HYPERLINK(AC2 &amp; "/spoon/sn_9729770f5437f768638735e451972522/rendering/14.xyz", "0.0")</f>
        <v>0.0</v>
      </c>
      <c r="R2621" s="13" t="str">
        <f>HYPERLINK(AC2 &amp; "/spoon/sn_9729770f5437f768638735e451972522/rendering/15.xyz", "0.0")</f>
        <v>0.0</v>
      </c>
      <c r="S2621" s="13" t="str">
        <f>HYPERLINK(AC2 &amp; "/spoon/sn_9729770f5437f768638735e451972522/rendering/16.xyz", "0.0")</f>
        <v>0.0</v>
      </c>
      <c r="T2621" s="13" t="str">
        <f>HYPERLINK(AC2 &amp; "/spoon/sn_9729770f5437f768638735e451972522/rendering/17.xyz", "0.0")</f>
        <v>0.0</v>
      </c>
      <c r="U2621" s="13" t="str">
        <f>HYPERLINK(AC2 &amp; "/spoon/sn_9729770f5437f768638735e451972522/rendering/18.xyz", "0.0")</f>
        <v>0.0</v>
      </c>
      <c r="V2621" s="13" t="str">
        <f>HYPERLINK(AC2 &amp; "/spoon/sn_9729770f5437f768638735e451972522/rendering/19.xyz", "0.0")</f>
        <v>0.0</v>
      </c>
      <c r="W2621" s="12" t="s">
        <v>33</v>
      </c>
      <c r="X2621" s="13">
        <v>0</v>
      </c>
      <c r="Y2621" s="13">
        <v>0</v>
      </c>
      <c r="Z2621" s="13">
        <v>0</v>
      </c>
    </row>
    <row r="2622" spans="1:26" x14ac:dyDescent="0.2">
      <c r="A2622" s="1">
        <v>2620</v>
      </c>
      <c r="B2622" s="2" t="s">
        <v>557</v>
      </c>
      <c r="C2622" s="19" t="str">
        <f>HYPERLINK(AA2 &amp; "/spoon/sn_a40b92a4b1206a23634c2548420e5c66/rendering/00.obj", "9.21513183594")</f>
        <v>9.21513183594</v>
      </c>
      <c r="D2622" s="68" t="str">
        <f>HYPERLINK(AA2 &amp; "/spoon/sn_a40b92a4b1206a23634c2548420e5c66/rendering/01.obj", "7.00192626953")</f>
        <v>7.00192626953</v>
      </c>
      <c r="E2622" s="60" t="str">
        <f>HYPERLINK(AA2 &amp; "/spoon/sn_a40b92a4b1206a23634c2548420e5c66/rendering/02.obj", "6.91739746094")</f>
        <v>6.91739746094</v>
      </c>
      <c r="F2622" s="31" t="str">
        <f>HYPERLINK(AA2 &amp; "/spoon/sn_a40b92a4b1206a23634c2548420e5c66/rendering/03.obj", "6.16055480957")</f>
        <v>6.16055480957</v>
      </c>
      <c r="G2622" s="69" t="str">
        <f>HYPERLINK(AA2 &amp; "/spoon/sn_a40b92a4b1206a23634c2548420e5c66/rendering/04.obj", "7.08505126953")</f>
        <v>7.08505126953</v>
      </c>
      <c r="H2622" s="129" t="str">
        <f>HYPERLINK(AA2 &amp; "/spoon/sn_a40b92a4b1206a23634c2548420e5c66/rendering/05.obj", "9.12204650879")</f>
        <v>9.12204650879</v>
      </c>
      <c r="I2622" s="73" t="str">
        <f>HYPERLINK(AA2 &amp; "/spoon/sn_a40b92a4b1206a23634c2548420e5c66/rendering/06.obj", "7.0319342041")</f>
        <v>7.0319342041</v>
      </c>
      <c r="J2622" s="117" t="str">
        <f>HYPERLINK(AA2 &amp; "/spoon/sn_a40b92a4b1206a23634c2548420e5c66/rendering/07.obj", "6.01030517578")</f>
        <v>6.01030517578</v>
      </c>
      <c r="K2622" s="10" t="str">
        <f>HYPERLINK(AA2 &amp; "/spoon/sn_a40b92a4b1206a23634c2548420e5c66/rendering/08.obj", "7.7070135498")</f>
        <v>7.7070135498</v>
      </c>
      <c r="L2622" s="63" t="str">
        <f>HYPERLINK(AA2 &amp; "/spoon/sn_a40b92a4b1206a23634c2548420e5c66/rendering/09.obj", "6.42053771973")</f>
        <v>6.42053771973</v>
      </c>
      <c r="M2622" s="59" t="str">
        <f>HYPERLINK(AA2 &amp; "/spoon/sn_a40b92a4b1206a23634c2548420e5c66/rendering/10.obj", "5.54354431152")</f>
        <v>5.54354431152</v>
      </c>
      <c r="N2622" s="40" t="str">
        <f>HYPERLINK(AA2 &amp; "/spoon/sn_a40b92a4b1206a23634c2548420e5c66/rendering/11.obj", "8.55731079102")</f>
        <v>8.55731079102</v>
      </c>
      <c r="O2622" s="34" t="str">
        <f>HYPERLINK(AA2 &amp; "/spoon/sn_a40b92a4b1206a23634c2548420e5c66/rendering/12.obj", "7.66158630371")</f>
        <v>7.66158630371</v>
      </c>
      <c r="P2622" s="93" t="str">
        <f>HYPERLINK(AA2 &amp; "/spoon/sn_a40b92a4b1206a23634c2548420e5c66/rendering/13.obj", "6.2795703125")</f>
        <v>6.2795703125</v>
      </c>
      <c r="Q2622" s="78" t="str">
        <f>HYPERLINK(AA2 &amp; "/spoon/sn_a40b92a4b1206a23634c2548420e5c66/rendering/14.obj", "7.75713623047")</f>
        <v>7.75713623047</v>
      </c>
      <c r="R2622" s="166" t="str">
        <f>HYPERLINK(AA2 &amp; "/spoon/sn_a40b92a4b1206a23634c2548420e5c66/rendering/15.obj", "9.39067138672")</f>
        <v>9.39067138672</v>
      </c>
      <c r="S2622" s="67" t="str">
        <f>HYPERLINK(AA2 &amp; "/spoon/sn_a40b92a4b1206a23634c2548420e5c66/rendering/16.obj", "6.63476928711")</f>
        <v>6.63476928711</v>
      </c>
      <c r="T2622" s="73" t="str">
        <f>HYPERLINK(AA2 &amp; "/spoon/sn_a40b92a4b1206a23634c2548420e5c66/rendering/17.obj", "7.04545410156")</f>
        <v>7.04545410156</v>
      </c>
      <c r="U2622" s="34" t="str">
        <f>HYPERLINK(AA2 &amp; "/spoon/sn_a40b92a4b1206a23634c2548420e5c66/rendering/18.obj", "7.66960205078")</f>
        <v>7.66960205078</v>
      </c>
      <c r="V2622" s="35" t="str">
        <f>HYPERLINK(AA2 &amp; "/spoon/sn_a40b92a4b1206a23634c2548420e5c66/rendering/19.obj", "6.885859375")</f>
        <v>6.885859375</v>
      </c>
      <c r="W2622" s="12" t="s">
        <v>29</v>
      </c>
      <c r="X2622" s="13">
        <v>7.3048701477050768</v>
      </c>
      <c r="Y2622" s="13">
        <v>1.0600584511703099</v>
      </c>
      <c r="Z2622" s="84">
        <v>0.14511667281359431</v>
      </c>
    </row>
    <row r="2623" spans="1:26" x14ac:dyDescent="0.2">
      <c r="A2623" s="1">
        <v>2621</v>
      </c>
      <c r="B2623" s="2" t="s">
        <v>557</v>
      </c>
      <c r="C2623" s="199" t="str">
        <f>HYPERLINK(AA2 &amp; "/spoon/sn_a40b92a4b1206a23634c2548420e5c66/rendering/00.obj", "19.4191684723")</f>
        <v>19.4191684723</v>
      </c>
      <c r="D2623" s="192" t="str">
        <f>HYPERLINK(AA2 &amp; "/spoon/sn_a40b92a4b1206a23634c2548420e5c66/rendering/01.obj", "6.85109710693")</f>
        <v>6.85109710693</v>
      </c>
      <c r="E2623" s="83" t="str">
        <f>HYPERLINK(AA2 &amp; "/spoon/sn_a40b92a4b1206a23634c2548420e5c66/rendering/02.obj", "9.23018455505")</f>
        <v>9.23018455505</v>
      </c>
      <c r="F2623" s="82" t="str">
        <f>HYPERLINK(AA2 &amp; "/spoon/sn_a40b92a4b1206a23634c2548420e5c66/rendering/03.obj", "8.64761924744")</f>
        <v>8.64761924744</v>
      </c>
      <c r="G2623" s="36" t="str">
        <f>HYPERLINK(AA2 &amp; "/spoon/sn_a40b92a4b1206a23634c2548420e5c66/rendering/04.obj", "8.53231906891")</f>
        <v>8.53231906891</v>
      </c>
      <c r="H2623" s="199" t="str">
        <f>HYPERLINK(AA2 &amp; "/spoon/sn_a40b92a4b1206a23634c2548420e5c66/rendering/05.obj", "19.4252910614")</f>
        <v>19.4252910614</v>
      </c>
      <c r="I2623" s="99" t="str">
        <f>HYPERLINK(AA2 &amp; "/spoon/sn_a40b92a4b1206a23634c2548420e5c66/rendering/06.obj", "7.94343757629")</f>
        <v>7.94343757629</v>
      </c>
      <c r="J2623" s="170" t="str">
        <f>HYPERLINK(AA2 &amp; "/spoon/sn_a40b92a4b1206a23634c2548420e5c66/rendering/07.obj", "8.1398525238")</f>
        <v>8.1398525238</v>
      </c>
      <c r="K2623" s="65" t="str">
        <f>HYPERLINK(AA2 &amp; "/spoon/sn_a40b92a4b1206a23634c2548420e5c66/rendering/08.obj", "12.3195133209")</f>
        <v>12.3195133209</v>
      </c>
      <c r="L2623" s="59" t="str">
        <f>HYPERLINK(AA2 &amp; "/spoon/sn_a40b92a4b1206a23634c2548420e5c66/rendering/09.obj", "8.26089000702")</f>
        <v>8.26089000702</v>
      </c>
      <c r="M2623" s="143" t="str">
        <f>HYPERLINK(AA2 &amp; "/spoon/sn_a40b92a4b1206a23634c2548420e5c66/rendering/10.obj", "5.74933433533")</f>
        <v>5.74933433533</v>
      </c>
      <c r="N2623" s="119" t="str">
        <f>HYPERLINK(AA2 &amp; "/spoon/sn_a40b92a4b1206a23634c2548420e5c66/rendering/11.obj", "13.7691650391")</f>
        <v>13.7691650391</v>
      </c>
      <c r="O2623" s="74" t="str">
        <f>HYPERLINK(AA2 &amp; "/spoon/sn_a40b92a4b1206a23634c2548420e5c66/rendering/12.obj", "10.7203187943")</f>
        <v>10.7203187943</v>
      </c>
      <c r="P2623" s="170" t="str">
        <f>HYPERLINK(AA2 &amp; "/spoon/sn_a40b92a4b1206a23634c2548420e5c66/rendering/13.obj", "8.12234783173")</f>
        <v>8.12234783173</v>
      </c>
      <c r="Q2623" s="120" t="str">
        <f>HYPERLINK(AA2 &amp; "/spoon/sn_a40b92a4b1206a23634c2548420e5c66/rendering/14.obj", "13.1768302917")</f>
        <v>13.1768302917</v>
      </c>
      <c r="R2623" s="234" t="str">
        <f>HYPERLINK(AA2 &amp; "/spoon/sn_a40b92a4b1206a23634c2548420e5c66/rendering/15.obj", "18.9536895752")</f>
        <v>18.9536895752</v>
      </c>
      <c r="S2623" s="8" t="str">
        <f>HYPERLINK(AA2 &amp; "/spoon/sn_a40b92a4b1206a23634c2548420e5c66/rendering/16.obj", "9.30985927582")</f>
        <v>9.30985927582</v>
      </c>
      <c r="T2623" s="91" t="str">
        <f>HYPERLINK(AA2 &amp; "/spoon/sn_a40b92a4b1206a23634c2548420e5c66/rendering/17.obj", "10.5920543671")</f>
        <v>10.5920543671</v>
      </c>
      <c r="U2623" s="136" t="str">
        <f>HYPERLINK(AA2 &amp; "/spoon/sn_a40b92a4b1206a23634c2548420e5c66/rendering/18.obj", "8.30053806305")</f>
        <v>8.30053806305</v>
      </c>
      <c r="V2623" s="27" t="str">
        <f>HYPERLINK(AA2 &amp; "/spoon/sn_a40b92a4b1206a23634c2548420e5c66/rendering/19.obj", "10.1235656738")</f>
        <v>10.1235656738</v>
      </c>
      <c r="W2623" s="12" t="s">
        <v>30</v>
      </c>
      <c r="X2623" s="13">
        <v>10.87935380935669</v>
      </c>
      <c r="Y2623" s="13">
        <v>4.0186273996541502</v>
      </c>
      <c r="Z2623" s="123">
        <v>0.3693810744713501</v>
      </c>
    </row>
    <row r="2624" spans="1:26" x14ac:dyDescent="0.2">
      <c r="A2624" s="1">
        <v>2622</v>
      </c>
      <c r="B2624" s="2" t="s">
        <v>557</v>
      </c>
      <c r="C2624" s="80" t="str">
        <f>HYPERLINK(AB2 &amp; "/spoon/sn_a40b92a4b1206a23634c2548420e5c66/rendering/00.obj", "5.27072265625")</f>
        <v>5.27072265625</v>
      </c>
      <c r="D2624" s="28" t="str">
        <f>HYPERLINK(AB2 &amp; "/spoon/sn_a40b92a4b1206a23634c2548420e5c66/rendering/01.obj", "5.49774658203")</f>
        <v>5.49774658203</v>
      </c>
      <c r="E2624" s="39" t="str">
        <f>HYPERLINK(AB2 &amp; "/spoon/sn_a40b92a4b1206a23634c2548420e5c66/rendering/02.obj", "5.65194763184")</f>
        <v>5.65194763184</v>
      </c>
      <c r="F2624" s="120" t="str">
        <f>HYPERLINK(AB2 &amp; "/spoon/sn_a40b92a4b1206a23634c2548420e5c66/rendering/03.obj", "7.50103759766")</f>
        <v>7.50103759766</v>
      </c>
      <c r="G2624" s="50" t="str">
        <f>HYPERLINK(AB2 &amp; "/spoon/sn_a40b92a4b1206a23634c2548420e5c66/rendering/04.obj", "7.41901428223")</f>
        <v>7.41901428223</v>
      </c>
      <c r="H2624" s="29" t="str">
        <f>HYPERLINK(AB2 &amp; "/spoon/sn_a40b92a4b1206a23634c2548420e5c66/rendering/05.obj", "5.37538818359")</f>
        <v>5.37538818359</v>
      </c>
      <c r="I2624" s="107" t="str">
        <f>HYPERLINK(AB2 &amp; "/spoon/sn_a40b92a4b1206a23634c2548420e5c66/rendering/06.obj", "5.67478515625")</f>
        <v>5.67478515625</v>
      </c>
      <c r="J2624" s="64" t="str">
        <f>HYPERLINK(AB2 &amp; "/spoon/sn_a40b92a4b1206a23634c2548420e5c66/rendering/07.obj", "5.17622253418")</f>
        <v>5.17622253418</v>
      </c>
      <c r="K2624" s="23" t="str">
        <f>HYPERLINK(AB2 &amp; "/spoon/sn_a40b92a4b1206a23634c2548420e5c66/rendering/08.obj", "6.42399536133")</f>
        <v>6.42399536133</v>
      </c>
      <c r="L2624" s="87" t="str">
        <f>HYPERLINK(AB2 &amp; "/spoon/sn_a40b92a4b1206a23634c2548420e5c66/rendering/09.obj", "7.59887634277")</f>
        <v>7.59887634277</v>
      </c>
      <c r="M2624" s="83" t="str">
        <f>HYPERLINK(AB2 &amp; "/spoon/sn_a40b92a4b1206a23634c2548420e5c66/rendering/10.obj", "7.11959838867")</f>
        <v>7.11959838867</v>
      </c>
      <c r="N2624" s="29" t="str">
        <f>HYPERLINK(AB2 &amp; "/spoon/sn_a40b92a4b1206a23634c2548420e5c66/rendering/11.obj", "6.98400695801")</f>
        <v>6.98400695801</v>
      </c>
      <c r="O2624" s="65" t="str">
        <f>HYPERLINK(AB2 &amp; "/spoon/sn_a40b92a4b1206a23634c2548420e5c66/rendering/12.obj", "7.0211340332")</f>
        <v>7.0211340332</v>
      </c>
      <c r="P2624" s="31" t="str">
        <f>HYPERLINK(AB2 &amp; "/spoon/sn_a40b92a4b1206a23634c2548420e5c66/rendering/13.obj", "5.23477050781")</f>
        <v>5.23477050781</v>
      </c>
      <c r="Q2624" s="31" t="str">
        <f>HYPERLINK(AB2 &amp; "/spoon/sn_a40b92a4b1206a23634c2548420e5c66/rendering/14.obj", "5.21695861816")</f>
        <v>5.21695861816</v>
      </c>
      <c r="R2624" s="51" t="str">
        <f>HYPERLINK(AB2 &amp; "/spoon/sn_a40b92a4b1206a23634c2548420e5c66/rendering/15.obj", "6.67350341797")</f>
        <v>6.67350341797</v>
      </c>
      <c r="S2624" s="92" t="str">
        <f>HYPERLINK(AB2 &amp; "/spoon/sn_a40b92a4b1206a23634c2548420e5c66/rendering/16.obj", "5.42014404297")</f>
        <v>5.42014404297</v>
      </c>
      <c r="T2624" s="37" t="str">
        <f>HYPERLINK(AB2 &amp; "/spoon/sn_a40b92a4b1206a23634c2548420e5c66/rendering/17.obj", "5.10895263672")</f>
        <v>5.10895263672</v>
      </c>
      <c r="U2624" s="66" t="str">
        <f>HYPERLINK(AB2 &amp; "/spoon/sn_a40b92a4b1206a23634c2548420e5c66/rendering/18.obj", "7.19543457031")</f>
        <v>7.19543457031</v>
      </c>
      <c r="V2624" s="13" t="str">
        <f>HYPERLINK(AB2 &amp; "/spoon/sn_a40b92a4b1206a23634c2548420e5c66/rendering/19.obj", "6.18108947754")</f>
        <v>6.18108947754</v>
      </c>
      <c r="W2624" s="12" t="s">
        <v>31</v>
      </c>
      <c r="X2624" s="13">
        <v>6.1872664489746096</v>
      </c>
      <c r="Y2624" s="13">
        <v>0.89135162057768147</v>
      </c>
      <c r="Z2624" s="8">
        <v>0.14406226528767019</v>
      </c>
    </row>
    <row r="2625" spans="1:26" x14ac:dyDescent="0.2">
      <c r="A2625" s="1">
        <v>2623</v>
      </c>
      <c r="B2625" s="2" t="s">
        <v>557</v>
      </c>
      <c r="C2625" s="66" t="str">
        <f>HYPERLINK(AB2 &amp; "/spoon/sn_a40b92a4b1206a23634c2548420e5c66/rendering/00.obj", "3.09521627426")</f>
        <v>3.09521627426</v>
      </c>
      <c r="D2625" s="29" t="str">
        <f>HYPERLINK(AB2 &amp; "/spoon/sn_a40b92a4b1206a23634c2548420e5c66/rendering/01.obj", "3.20135211945")</f>
        <v>3.20135211945</v>
      </c>
      <c r="E2625" s="37" t="str">
        <f>HYPERLINK(AB2 &amp; "/spoon/sn_a40b92a4b1206a23634c2548420e5c66/rendering/02.obj", "3.04602646828")</f>
        <v>3.04602646828</v>
      </c>
      <c r="F2625" s="160" t="str">
        <f>HYPERLINK(AB2 &amp; "/spoon/sn_a40b92a4b1206a23634c2548420e5c66/rendering/03.obj", "5.63851070404")</f>
        <v>5.63851070404</v>
      </c>
      <c r="G2625" s="82" t="str">
        <f>HYPERLINK(AB2 &amp; "/spoon/sn_a40b92a4b1206a23634c2548420e5c66/rendering/04.obj", "4.44455051422")</f>
        <v>4.44455051422</v>
      </c>
      <c r="H2625" s="74" t="str">
        <f>HYPERLINK(AB2 &amp; "/spoon/sn_a40b92a4b1206a23634c2548420e5c66/rendering/05.obj", "3.74080395699")</f>
        <v>3.74080395699</v>
      </c>
      <c r="I2625" s="133" t="str">
        <f>HYPERLINK(AB2 &amp; "/spoon/sn_a40b92a4b1206a23634c2548420e5c66/rendering/06.obj", "3.30643749237")</f>
        <v>3.30643749237</v>
      </c>
      <c r="J2625" s="81" t="str">
        <f>HYPERLINK(AB2 &amp; "/spoon/sn_a40b92a4b1206a23634c2548420e5c66/rendering/07.obj", "2.88564300537")</f>
        <v>2.88564300537</v>
      </c>
      <c r="K2625" s="73" t="str">
        <f>HYPERLINK(AB2 &amp; "/spoon/sn_a40b92a4b1206a23634c2548420e5c66/rendering/08.obj", "3.81643462181")</f>
        <v>3.81643462181</v>
      </c>
      <c r="L2625" s="15" t="str">
        <f>HYPERLINK(AB2 &amp; "/spoon/sn_a40b92a4b1206a23634c2548420e5c66/rendering/09.obj", "5.54963064194")</f>
        <v>5.54963064194</v>
      </c>
      <c r="M2625" s="119" t="str">
        <f>HYPERLINK(AB2 &amp; "/spoon/sn_a40b92a4b1206a23634c2548420e5c66/rendering/10.obj", "4.65998315811")</f>
        <v>4.65998315811</v>
      </c>
      <c r="N2625" s="91" t="str">
        <f>HYPERLINK(AB2 &amp; "/spoon/sn_a40b92a4b1206a23634c2548420e5c66/rendering/11.obj", "3.77870798111")</f>
        <v>3.77870798111</v>
      </c>
      <c r="O2625" s="73" t="str">
        <f>HYPERLINK(AB2 &amp; "/spoon/sn_a40b92a4b1206a23634c2548420e5c66/rendering/12.obj", "3.82145524025")</f>
        <v>3.82145524025</v>
      </c>
      <c r="P2625" s="117" t="str">
        <f>HYPERLINK(AB2 &amp; "/spoon/sn_a40b92a4b1206a23634c2548420e5c66/rendering/13.obj", "3.03393411636")</f>
        <v>3.03393411636</v>
      </c>
      <c r="Q2625" s="129" t="str">
        <f>HYPERLINK(AB2 &amp; "/spoon/sn_a40b92a4b1206a23634c2548420e5c66/rendering/14.obj", "2.7675037384")</f>
        <v>2.7675037384</v>
      </c>
      <c r="R2625" s="23" t="str">
        <f>HYPERLINK(AB2 &amp; "/spoon/sn_a40b92a4b1206a23634c2548420e5c66/rendering/15.obj", "3.82594251633")</f>
        <v>3.82594251633</v>
      </c>
      <c r="S2625" s="108" t="str">
        <f>HYPERLINK(AB2 &amp; "/spoon/sn_a40b92a4b1206a23634c2548420e5c66/rendering/16.obj", "2.77764368057")</f>
        <v>2.77764368057</v>
      </c>
      <c r="T2625" s="32" t="str">
        <f>HYPERLINK(AB2 &amp; "/spoon/sn_a40b92a4b1206a23634c2548420e5c66/rendering/17.obj", "3.30104422569")</f>
        <v>3.30104422569</v>
      </c>
      <c r="U2625" s="23" t="str">
        <f>HYPERLINK(AB2 &amp; "/spoon/sn_a40b92a4b1206a23634c2548420e5c66/rendering/18.obj", "3.53799343109")</f>
        <v>3.53799343109</v>
      </c>
      <c r="V2625" s="10" t="str">
        <f>HYPERLINK(AB2 &amp; "/spoon/sn_a40b92a4b1206a23634c2548420e5c66/rendering/19.obj", "3.48641943932")</f>
        <v>3.48641943932</v>
      </c>
      <c r="W2625" s="12" t="s">
        <v>32</v>
      </c>
      <c r="X2625" s="13">
        <v>3.6857616662979131</v>
      </c>
      <c r="Y2625" s="13">
        <v>0.80492178293719374</v>
      </c>
      <c r="Z2625" s="81">
        <v>0.21838682362380771</v>
      </c>
    </row>
    <row r="2626" spans="1:26" x14ac:dyDescent="0.2">
      <c r="A2626" s="1">
        <v>2624</v>
      </c>
      <c r="B2626" s="2" t="s">
        <v>557</v>
      </c>
      <c r="C2626" s="13" t="str">
        <f>HYPERLINK(AC2 &amp; "/spoon/sn_a40b92a4b1206a23634c2548420e5c66/rendering/00.xyz", "0.0")</f>
        <v>0.0</v>
      </c>
      <c r="D2626" s="13" t="str">
        <f>HYPERLINK(AC2 &amp; "/spoon/sn_a40b92a4b1206a23634c2548420e5c66/rendering/01.xyz", "0.0")</f>
        <v>0.0</v>
      </c>
      <c r="E2626" s="13" t="str">
        <f>HYPERLINK(AC2 &amp; "/spoon/sn_a40b92a4b1206a23634c2548420e5c66/rendering/02.xyz", "0.0")</f>
        <v>0.0</v>
      </c>
      <c r="F2626" s="13" t="str">
        <f>HYPERLINK(AC2 &amp; "/spoon/sn_a40b92a4b1206a23634c2548420e5c66/rendering/03.xyz", "0.0")</f>
        <v>0.0</v>
      </c>
      <c r="G2626" s="13" t="str">
        <f>HYPERLINK(AC2 &amp; "/spoon/sn_a40b92a4b1206a23634c2548420e5c66/rendering/04.xyz", "0.0")</f>
        <v>0.0</v>
      </c>
      <c r="H2626" s="13" t="str">
        <f>HYPERLINK(AC2 &amp; "/spoon/sn_a40b92a4b1206a23634c2548420e5c66/rendering/05.xyz", "0.0")</f>
        <v>0.0</v>
      </c>
      <c r="I2626" s="13" t="str">
        <f>HYPERLINK(AC2 &amp; "/spoon/sn_a40b92a4b1206a23634c2548420e5c66/rendering/06.xyz", "0.0")</f>
        <v>0.0</v>
      </c>
      <c r="J2626" s="13" t="str">
        <f>HYPERLINK(AC2 &amp; "/spoon/sn_a40b92a4b1206a23634c2548420e5c66/rendering/07.xyz", "0.0")</f>
        <v>0.0</v>
      </c>
      <c r="K2626" s="13" t="str">
        <f>HYPERLINK(AC2 &amp; "/spoon/sn_a40b92a4b1206a23634c2548420e5c66/rendering/08.xyz", "0.0")</f>
        <v>0.0</v>
      </c>
      <c r="L2626" s="13" t="str">
        <f>HYPERLINK(AC2 &amp; "/spoon/sn_a40b92a4b1206a23634c2548420e5c66/rendering/09.xyz", "0.0")</f>
        <v>0.0</v>
      </c>
      <c r="M2626" s="13" t="str">
        <f>HYPERLINK(AC2 &amp; "/spoon/sn_a40b92a4b1206a23634c2548420e5c66/rendering/10.xyz", "0.0")</f>
        <v>0.0</v>
      </c>
      <c r="N2626" s="13" t="str">
        <f>HYPERLINK(AC2 &amp; "/spoon/sn_a40b92a4b1206a23634c2548420e5c66/rendering/11.xyz", "0.0")</f>
        <v>0.0</v>
      </c>
      <c r="O2626" s="13" t="str">
        <f>HYPERLINK(AC2 &amp; "/spoon/sn_a40b92a4b1206a23634c2548420e5c66/rendering/12.xyz", "0.0")</f>
        <v>0.0</v>
      </c>
      <c r="P2626" s="13" t="str">
        <f>HYPERLINK(AC2 &amp; "/spoon/sn_a40b92a4b1206a23634c2548420e5c66/rendering/13.xyz", "0.0")</f>
        <v>0.0</v>
      </c>
      <c r="Q2626" s="13" t="str">
        <f>HYPERLINK(AC2 &amp; "/spoon/sn_a40b92a4b1206a23634c2548420e5c66/rendering/14.xyz", "0.0")</f>
        <v>0.0</v>
      </c>
      <c r="R2626" s="13" t="str">
        <f>HYPERLINK(AC2 &amp; "/spoon/sn_a40b92a4b1206a23634c2548420e5c66/rendering/15.xyz", "0.0")</f>
        <v>0.0</v>
      </c>
      <c r="S2626" s="13" t="str">
        <f>HYPERLINK(AC2 &amp; "/spoon/sn_a40b92a4b1206a23634c2548420e5c66/rendering/16.xyz", "0.0")</f>
        <v>0.0</v>
      </c>
      <c r="T2626" s="13" t="str">
        <f>HYPERLINK(AC2 &amp; "/spoon/sn_a40b92a4b1206a23634c2548420e5c66/rendering/17.xyz", "0.0")</f>
        <v>0.0</v>
      </c>
      <c r="U2626" s="13" t="str">
        <f>HYPERLINK(AC2 &amp; "/spoon/sn_a40b92a4b1206a23634c2548420e5c66/rendering/18.xyz", "0.0")</f>
        <v>0.0</v>
      </c>
      <c r="V2626" s="13" t="str">
        <f>HYPERLINK(AC2 &amp; "/spoon/sn_a40b92a4b1206a23634c2548420e5c66/rendering/19.xyz", "0.0")</f>
        <v>0.0</v>
      </c>
      <c r="W2626" s="12" t="s">
        <v>33</v>
      </c>
      <c r="X2626" s="13">
        <v>0</v>
      </c>
      <c r="Y2626" s="13">
        <v>0</v>
      </c>
      <c r="Z2626" s="13">
        <v>0</v>
      </c>
    </row>
    <row r="2627" spans="1:26" x14ac:dyDescent="0.2">
      <c r="A2627" s="1">
        <v>2625</v>
      </c>
      <c r="B2627" s="2" t="s">
        <v>558</v>
      </c>
      <c r="C2627" s="133" t="str">
        <f>HYPERLINK(AA2 &amp; "/spoon/sn_a76fca42be718a4b9246ea0301684d80/rendering/00.obj", "5.18249267578")</f>
        <v>5.18249267578</v>
      </c>
      <c r="D2627" s="71" t="str">
        <f>HYPERLINK(AA2 &amp; "/spoon/sn_a76fca42be718a4b9246ea0301684d80/rendering/01.obj", "5.10125762939")</f>
        <v>5.10125762939</v>
      </c>
      <c r="E2627" s="110" t="str">
        <f>HYPERLINK(AA2 &amp; "/spoon/sn_a76fca42be718a4b9246ea0301684d80/rendering/02.obj", "5.21066711426")</f>
        <v>5.21066711426</v>
      </c>
      <c r="F2627" s="143" t="str">
        <f>HYPERLINK(AA2 &amp; "/spoon/sn_a76fca42be718a4b9246ea0301684d80/rendering/03.obj", "8.49619934082")</f>
        <v>8.49619934082</v>
      </c>
      <c r="G2627" s="13" t="str">
        <f>HYPERLINK(AA2 &amp; "/spoon/sn_a76fca42be718a4b9246ea0301684d80/rendering/04.obj", "5.77743408203")</f>
        <v>5.77743408203</v>
      </c>
      <c r="H2627" s="72" t="str">
        <f>HYPERLINK(AA2 &amp; "/spoon/sn_a76fca42be718a4b9246ea0301684d80/rendering/05.obj", "5.95844482422")</f>
        <v>5.95844482422</v>
      </c>
      <c r="I2627" s="13" t="str">
        <f>HYPERLINK(AA2 &amp; "/spoon/sn_a76fca42be718a4b9246ea0301684d80/rendering/06.obj", "5.76356201172")</f>
        <v>5.76356201172</v>
      </c>
      <c r="J2627" s="41" t="str">
        <f>HYPERLINK(AA2 &amp; "/spoon/sn_a76fca42be718a4b9246ea0301684d80/rendering/07.obj", "5.37539794922")</f>
        <v>5.37539794922</v>
      </c>
      <c r="K2627" s="137" t="str">
        <f>HYPERLINK(AA2 &amp; "/spoon/sn_a76fca42be718a4b9246ea0301684d80/rendering/08.obj", "7.87883178711")</f>
        <v>7.87883178711</v>
      </c>
      <c r="L2627" s="27" t="str">
        <f>HYPERLINK(AA2 &amp; "/spoon/sn_a76fca42be718a4b9246ea0301684d80/rendering/09.obj", "5.36494506836")</f>
        <v>5.36494506836</v>
      </c>
      <c r="M2627" s="42" t="str">
        <f>HYPERLINK(AA2 &amp; "/spoon/sn_a76fca42be718a4b9246ea0301684d80/rendering/10.obj", "4.97930786133")</f>
        <v>4.97930786133</v>
      </c>
      <c r="N2627" s="17" t="str">
        <f>HYPERLINK(AA2 &amp; "/spoon/sn_a76fca42be718a4b9246ea0301684d80/rendering/11.obj", "5.6491583252")</f>
        <v>5.6491583252</v>
      </c>
      <c r="O2627" s="6" t="str">
        <f>HYPERLINK(AA2 &amp; "/spoon/sn_a76fca42be718a4b9246ea0301684d80/rendering/12.obj", "5.50427734375")</f>
        <v>5.50427734375</v>
      </c>
      <c r="P2627" s="34" t="str">
        <f>HYPERLINK(AA2 &amp; "/spoon/sn_a76fca42be718a4b9246ea0301684d80/rendering/13.obj", "5.50097717285")</f>
        <v>5.50097717285</v>
      </c>
      <c r="Q2627" s="28" t="str">
        <f>HYPERLINK(AA2 &amp; "/spoon/sn_a76fca42be718a4b9246ea0301684d80/rendering/14.obj", "6.41429321289")</f>
        <v>6.41429321289</v>
      </c>
      <c r="R2627" s="39" t="str">
        <f>HYPERLINK(AA2 &amp; "/spoon/sn_a76fca42be718a4b9246ea0301684d80/rendering/15.obj", "6.27705078125")</f>
        <v>6.27705078125</v>
      </c>
      <c r="S2627" s="78" t="str">
        <f>HYPERLINK(AA2 &amp; "/spoon/sn_a76fca42be718a4b9246ea0301684d80/rendering/16.obj", "5.42641357422")</f>
        <v>5.42641357422</v>
      </c>
      <c r="T2627" s="48" t="str">
        <f>HYPERLINK(AA2 &amp; "/spoon/sn_a76fca42be718a4b9246ea0301684d80/rendering/17.obj", "5.91639892578")</f>
        <v>5.91639892578</v>
      </c>
      <c r="U2627" s="11" t="str">
        <f>HYPERLINK(AA2 &amp; "/spoon/sn_a76fca42be718a4b9246ea0301684d80/rendering/18.obj", "4.47231018066")</f>
        <v>4.47231018066</v>
      </c>
      <c r="V2627" s="110" t="str">
        <f>HYPERLINK(AA2 &amp; "/spoon/sn_a76fca42be718a4b9246ea0301684d80/rendering/19.obj", "5.20813903809")</f>
        <v>5.20813903809</v>
      </c>
      <c r="W2627" s="12" t="s">
        <v>29</v>
      </c>
      <c r="X2627" s="13">
        <v>5.7728779449462886</v>
      </c>
      <c r="Y2627" s="13">
        <v>0.92016181559524657</v>
      </c>
      <c r="Z2627" s="79">
        <v>0.15939394949459779</v>
      </c>
    </row>
    <row r="2628" spans="1:26" x14ac:dyDescent="0.2">
      <c r="A2628" s="1">
        <v>2626</v>
      </c>
      <c r="B2628" s="2" t="s">
        <v>558</v>
      </c>
      <c r="C2628" s="75" t="str">
        <f>HYPERLINK(AA2 &amp; "/spoon/sn_a76fca42be718a4b9246ea0301684d80/rendering/00.obj", "2.78409743309")</f>
        <v>2.78409743309</v>
      </c>
      <c r="D2628" s="152" t="str">
        <f>HYPERLINK(AA2 &amp; "/spoon/sn_a76fca42be718a4b9246ea0301684d80/rendering/01.obj", "2.13075327873")</f>
        <v>2.13075327873</v>
      </c>
      <c r="E2628" s="168" t="str">
        <f>HYPERLINK(AA2 &amp; "/spoon/sn_a76fca42be718a4b9246ea0301684d80/rendering/02.obj", "2.43156695366")</f>
        <v>2.43156695366</v>
      </c>
      <c r="F2628" s="20" t="str">
        <f>HYPERLINK(AA2 &amp; "/spoon/sn_a76fca42be718a4b9246ea0301684d80/rendering/03.obj", "14.4697341919")</f>
        <v>14.4697341919</v>
      </c>
      <c r="G2628" s="29" t="str">
        <f>HYPERLINK(AA2 &amp; "/spoon/sn_a76fca42be718a4b9246ea0301684d80/rendering/04.obj", "3.11278367043")</f>
        <v>3.11278367043</v>
      </c>
      <c r="H2628" s="176" t="str">
        <f>HYPERLINK(AA2 &amp; "/spoon/sn_a76fca42be718a4b9246ea0301684d80/rendering/05.obj", "2.43812346458")</f>
        <v>2.43812346458</v>
      </c>
      <c r="I2628" s="82" t="str">
        <f>HYPERLINK(AA2 &amp; "/spoon/sn_a76fca42be718a4b9246ea0301684d80/rendering/06.obj", "2.8467092514")</f>
        <v>2.8467092514</v>
      </c>
      <c r="J2628" s="196" t="str">
        <f>HYPERLINK(AA2 &amp; "/spoon/sn_a76fca42be718a4b9246ea0301684d80/rendering/07.obj", "2.16417574883")</f>
        <v>2.16417574883</v>
      </c>
      <c r="K2628" s="197" t="str">
        <f>HYPERLINK(AA2 &amp; "/spoon/sn_a76fca42be718a4b9246ea0301684d80/rendering/08.obj", "5.61237430573")</f>
        <v>5.61237430573</v>
      </c>
      <c r="L2628" s="64" t="str">
        <f>HYPERLINK(AA2 &amp; "/spoon/sn_a76fca42be718a4b9246ea0301684d80/rendering/09.obj", "2.99011611938")</f>
        <v>2.99011611938</v>
      </c>
      <c r="M2628" s="201" t="str">
        <f>HYPERLINK(AA2 &amp; "/spoon/sn_a76fca42be718a4b9246ea0301684d80/rendering/10.obj", "1.49878466129")</f>
        <v>1.49878466129</v>
      </c>
      <c r="N2628" s="84" t="str">
        <f>HYPERLINK(AA2 &amp; "/spoon/sn_a76fca42be718a4b9246ea0301684d80/rendering/11.obj", "3.0646276474")</f>
        <v>3.0646276474</v>
      </c>
      <c r="O2628" s="26" t="str">
        <f>HYPERLINK(AA2 &amp; "/spoon/sn_a76fca42be718a4b9246ea0301684d80/rendering/12.obj", "3.35687565804")</f>
        <v>3.35687565804</v>
      </c>
      <c r="P2628" s="145" t="str">
        <f>HYPERLINK(AA2 &amp; "/spoon/sn_a76fca42be718a4b9246ea0301684d80/rendering/13.obj", "1.81888961792")</f>
        <v>1.81888961792</v>
      </c>
      <c r="Q2628" s="107" t="str">
        <f>HYPERLINK(AA2 &amp; "/spoon/sn_a76fca42be718a4b9246ea0301684d80/rendering/14.obj", "3.28932309151")</f>
        <v>3.28932309151</v>
      </c>
      <c r="R2628" s="142" t="str">
        <f>HYPERLINK(AA2 &amp; "/spoon/sn_a76fca42be718a4b9246ea0301684d80/rendering/15.obj", "4.99111557007")</f>
        <v>4.99111557007</v>
      </c>
      <c r="S2628" s="24" t="str">
        <f>HYPERLINK(AA2 &amp; "/spoon/sn_a76fca42be718a4b9246ea0301684d80/rendering/16.obj", "2.97803092003")</f>
        <v>2.97803092003</v>
      </c>
      <c r="T2628" s="99" t="str">
        <f>HYPERLINK(AA2 &amp; "/spoon/sn_a76fca42be718a4b9246ea0301684d80/rendering/17.obj", "2.60652422905")</f>
        <v>2.60652422905</v>
      </c>
      <c r="U2628" s="244" t="str">
        <f>HYPERLINK(AA2 &amp; "/spoon/sn_a76fca42be718a4b9246ea0301684d80/rendering/18.obj", "1.38177287579")</f>
        <v>1.38177287579</v>
      </c>
      <c r="V2628" s="201" t="str">
        <f>HYPERLINK(AA2 &amp; "/spoon/sn_a76fca42be718a4b9246ea0301684d80/rendering/19.obj", "5.67043113708")</f>
        <v>5.67043113708</v>
      </c>
      <c r="W2628" s="12" t="s">
        <v>30</v>
      </c>
      <c r="X2628" s="13">
        <v>3.5818404912948609</v>
      </c>
      <c r="Y2628" s="13">
        <v>2.752436199046965</v>
      </c>
      <c r="Z2628" s="211">
        <v>0.76844186828988026</v>
      </c>
    </row>
    <row r="2629" spans="1:26" x14ac:dyDescent="0.2">
      <c r="A2629" s="1">
        <v>2627</v>
      </c>
      <c r="B2629" s="2" t="s">
        <v>558</v>
      </c>
      <c r="C2629" s="71" t="str">
        <f>HYPERLINK(AB2 &amp; "/spoon/sn_a76fca42be718a4b9246ea0301684d80/rendering/00.obj", "5.5445690918")</f>
        <v>5.5445690918</v>
      </c>
      <c r="D2629" s="76" t="str">
        <f>HYPERLINK(AB2 &amp; "/spoon/sn_a76fca42be718a4b9246ea0301684d80/rendering/01.obj", "5.87965148926")</f>
        <v>5.87965148926</v>
      </c>
      <c r="E2629" s="30" t="str">
        <f>HYPERLINK(AB2 &amp; "/spoon/sn_a76fca42be718a4b9246ea0301684d80/rendering/02.obj", "4.99652801514")</f>
        <v>4.99652801514</v>
      </c>
      <c r="F2629" s="72" t="str">
        <f>HYPERLINK(AB2 &amp; "/spoon/sn_a76fca42be718a4b9246ea0301684d80/rendering/03.obj", "5.13155517578")</f>
        <v>5.13155517578</v>
      </c>
      <c r="G2629" s="73" t="str">
        <f>HYPERLINK(AB2 &amp; "/spoon/sn_a76fca42be718a4b9246ea0301684d80/rendering/04.obj", "4.78572631836")</f>
        <v>4.78572631836</v>
      </c>
      <c r="H2629" s="25" t="str">
        <f>HYPERLINK(AB2 &amp; "/spoon/sn_a76fca42be718a4b9246ea0301684d80/rendering/05.obj", "5.02182250977")</f>
        <v>5.02182250977</v>
      </c>
      <c r="I2629" s="109" t="str">
        <f>HYPERLINK(AB2 &amp; "/spoon/sn_a76fca42be718a4b9246ea0301684d80/rendering/06.obj", "4.02163482666")</f>
        <v>4.02163482666</v>
      </c>
      <c r="J2629" s="46" t="str">
        <f>HYPERLINK(AB2 &amp; "/spoon/sn_a76fca42be718a4b9246ea0301684d80/rendering/07.obj", "4.87507965088")</f>
        <v>4.87507965088</v>
      </c>
      <c r="K2629" s="8" t="str">
        <f>HYPERLINK(AB2 &amp; "/spoon/sn_a76fca42be718a4b9246ea0301684d80/rendering/08.obj", "5.6804510498")</f>
        <v>5.6804510498</v>
      </c>
      <c r="L2629" s="84" t="str">
        <f>HYPERLINK(AB2 &amp; "/spoon/sn_a76fca42be718a4b9246ea0301684d80/rendering/09.obj", "5.68846679687")</f>
        <v>5.68846679687</v>
      </c>
      <c r="M2629" s="39" t="str">
        <f>HYPERLINK(AB2 &amp; "/spoon/sn_a76fca42be718a4b9246ea0301684d80/rendering/10.obj", "4.53862915039")</f>
        <v>4.53862915039</v>
      </c>
      <c r="N2629" s="91" t="str">
        <f>HYPERLINK(AB2 &amp; "/spoon/sn_a76fca42be718a4b9246ea0301684d80/rendering/11.obj", "5.10136627197")</f>
        <v>5.10136627197</v>
      </c>
      <c r="O2629" s="80" t="str">
        <f>HYPERLINK(AB2 &amp; "/spoon/sn_a76fca42be718a4b9246ea0301684d80/rendering/12.obj", "4.23214416504")</f>
        <v>4.23214416504</v>
      </c>
      <c r="P2629" s="5" t="str">
        <f>HYPERLINK(AB2 &amp; "/spoon/sn_a76fca42be718a4b9246ea0301684d80/rendering/13.obj", "4.57995697021")</f>
        <v>4.57995697021</v>
      </c>
      <c r="Q2629" s="17" t="str">
        <f>HYPERLINK(AB2 &amp; "/spoon/sn_a76fca42be718a4b9246ea0301684d80/rendering/14.obj", "5.07319152832")</f>
        <v>5.07319152832</v>
      </c>
      <c r="R2629" s="72" t="str">
        <f>HYPERLINK(AB2 &amp; "/spoon/sn_a76fca42be718a4b9246ea0301684d80/rendering/15.obj", "5.12868652344")</f>
        <v>5.12868652344</v>
      </c>
      <c r="S2629" s="13" t="str">
        <f>HYPERLINK(AB2 &amp; "/spoon/sn_a76fca42be718a4b9246ea0301684d80/rendering/16.obj", "4.95150634766")</f>
        <v>4.95150634766</v>
      </c>
      <c r="T2629" s="92" t="str">
        <f>HYPERLINK(AB2 &amp; "/spoon/sn_a76fca42be718a4b9246ea0301684d80/rendering/17.obj", "4.34812164307")</f>
        <v>4.34812164307</v>
      </c>
      <c r="U2629" s="46" t="str">
        <f>HYPERLINK(AB2 &amp; "/spoon/sn_a76fca42be718a4b9246ea0301684d80/rendering/18.obj", "4.87444091797")</f>
        <v>4.87444091797</v>
      </c>
      <c r="V2629" s="46" t="str">
        <f>HYPERLINK(AB2 &amp; "/spoon/sn_a76fca42be718a4b9246ea0301684d80/rendering/19.obj", "4.87423278809")</f>
        <v>4.87423278809</v>
      </c>
      <c r="W2629" s="12" t="s">
        <v>31</v>
      </c>
      <c r="X2629" s="13">
        <v>4.9663880615234373</v>
      </c>
      <c r="Y2629" s="13">
        <v>0.4738793382153576</v>
      </c>
      <c r="Z2629" s="90">
        <v>9.5417299724660523E-2</v>
      </c>
    </row>
    <row r="2630" spans="1:26" x14ac:dyDescent="0.2">
      <c r="A2630" s="1">
        <v>2628</v>
      </c>
      <c r="B2630" s="2" t="s">
        <v>558</v>
      </c>
      <c r="C2630" s="14" t="str">
        <f>HYPERLINK(AB2 &amp; "/spoon/sn_a76fca42be718a4b9246ea0301684d80/rendering/00.obj", "2.93784594536")</f>
        <v>2.93784594536</v>
      </c>
      <c r="D2630" s="158" t="str">
        <f>HYPERLINK(AB2 &amp; "/spoon/sn_a76fca42be718a4b9246ea0301684d80/rendering/01.obj", "3.20987248421")</f>
        <v>3.20987248421</v>
      </c>
      <c r="E2630" s="187" t="str">
        <f>HYPERLINK(AB2 &amp; "/spoon/sn_a76fca42be718a4b9246ea0301684d80/rendering/02.obj", "1.48105692863")</f>
        <v>1.48105692863</v>
      </c>
      <c r="F2630" s="166" t="str">
        <f>HYPERLINK(AB2 &amp; "/spoon/sn_a76fca42be718a4b9246ea0301684d80/rendering/03.obj", "1.62458586693")</f>
        <v>1.62458586693</v>
      </c>
      <c r="G2630" s="121" t="str">
        <f>HYPERLINK(AB2 &amp; "/spoon/sn_a76fca42be718a4b9246ea0301684d80/rendering/04.obj", "1.4702501297")</f>
        <v>1.4702501297</v>
      </c>
      <c r="H2630" s="166" t="str">
        <f>HYPERLINK(AB2 &amp; "/spoon/sn_a76fca42be718a4b9246ea0301684d80/rendering/05.obj", "2.93066978455")</f>
        <v>2.93066978455</v>
      </c>
      <c r="I2630" s="156" t="str">
        <f>HYPERLINK(AB2 &amp; "/spoon/sn_a76fca42be718a4b9246ea0301684d80/rendering/06.obj", "1.26063024998")</f>
        <v>1.26063024998</v>
      </c>
      <c r="J2630" s="56" t="str">
        <f>HYPERLINK(AB2 &amp; "/spoon/sn_a76fca42be718a4b9246ea0301684d80/rendering/07.obj", "1.5718858242")</f>
        <v>1.5718858242</v>
      </c>
      <c r="K2630" s="141" t="str">
        <f>HYPERLINK(AB2 &amp; "/spoon/sn_a76fca42be718a4b9246ea0301684d80/rendering/08.obj", "3.52415370941")</f>
        <v>3.52415370941</v>
      </c>
      <c r="L2630" s="166" t="str">
        <f>HYPERLINK(AB2 &amp; "/spoon/sn_a76fca42be718a4b9246ea0301684d80/rendering/09.obj", "2.93039178848")</f>
        <v>2.93039178848</v>
      </c>
      <c r="M2630" s="78" t="str">
        <f>HYPERLINK(AB2 &amp; "/spoon/sn_a76fca42be718a4b9246ea0301684d80/rendering/10.obj", "2.13357925415")</f>
        <v>2.13357925415</v>
      </c>
      <c r="N2630" s="48" t="str">
        <f>HYPERLINK(AB2 &amp; "/spoon/sn_a76fca42be718a4b9246ea0301684d80/rendering/11.obj", "2.33078980446")</f>
        <v>2.33078980446</v>
      </c>
      <c r="O2630" s="85" t="str">
        <f>HYPERLINK(AB2 &amp; "/spoon/sn_a76fca42be718a4b9246ea0301684d80/rendering/12.obj", "1.60105490685")</f>
        <v>1.60105490685</v>
      </c>
      <c r="P2630" s="39" t="str">
        <f>HYPERLINK(AB2 &amp; "/spoon/sn_a76fca42be718a4b9246ea0301684d80/rendering/13.obj", "2.07607007027")</f>
        <v>2.07607007027</v>
      </c>
      <c r="Q2630" s="83" t="str">
        <f>HYPERLINK(AB2 &amp; "/spoon/sn_a76fca42be718a4b9246ea0301684d80/rendering/14.obj", "2.62174057961")</f>
        <v>2.62174057961</v>
      </c>
      <c r="R2630" s="119" t="str">
        <f>HYPERLINK(AB2 &amp; "/spoon/sn_a76fca42be718a4b9246ea0301684d80/rendering/15.obj", "1.67361807823")</f>
        <v>1.67361807823</v>
      </c>
      <c r="S2630" s="44" t="str">
        <f>HYPERLINK(AB2 &amp; "/spoon/sn_a76fca42be718a4b9246ea0301684d80/rendering/16.obj", "1.82675778866")</f>
        <v>1.82675778866</v>
      </c>
      <c r="T2630" s="50" t="str">
        <f>HYPERLINK(AB2 &amp; "/spoon/sn_a76fca42be718a4b9246ea0301684d80/rendering/17.obj", "1.82223725319")</f>
        <v>1.82223725319</v>
      </c>
      <c r="U2630" s="110" t="str">
        <f>HYPERLINK(AB2 &amp; "/spoon/sn_a76fca42be718a4b9246ea0301684d80/rendering/18.obj", "2.50181269646")</f>
        <v>2.50181269646</v>
      </c>
      <c r="V2630" s="154" t="str">
        <f>HYPERLINK(AB2 &amp; "/spoon/sn_a76fca42be718a4b9246ea0301684d80/rendering/19.obj", "3.9710791111")</f>
        <v>3.9710791111</v>
      </c>
      <c r="W2630" s="12" t="s">
        <v>32</v>
      </c>
      <c r="X2630" s="13">
        <v>2.275004112720489</v>
      </c>
      <c r="Y2630" s="13">
        <v>0.75134279160111761</v>
      </c>
      <c r="Z2630" s="193">
        <v>0.33025997069633822</v>
      </c>
    </row>
    <row r="2631" spans="1:26" x14ac:dyDescent="0.2">
      <c r="A2631" s="1">
        <v>2629</v>
      </c>
      <c r="B2631" s="2" t="s">
        <v>558</v>
      </c>
      <c r="C2631" s="13" t="str">
        <f>HYPERLINK(AC2 &amp; "/spoon/sn_a76fca42be718a4b9246ea0301684d80/rendering/00.xyz", "0.0")</f>
        <v>0.0</v>
      </c>
      <c r="D2631" s="13" t="str">
        <f>HYPERLINK(AC2 &amp; "/spoon/sn_a76fca42be718a4b9246ea0301684d80/rendering/01.xyz", "0.0")</f>
        <v>0.0</v>
      </c>
      <c r="E2631" s="13" t="str">
        <f>HYPERLINK(AC2 &amp; "/spoon/sn_a76fca42be718a4b9246ea0301684d80/rendering/02.xyz", "0.0")</f>
        <v>0.0</v>
      </c>
      <c r="F2631" s="13" t="str">
        <f>HYPERLINK(AC2 &amp; "/spoon/sn_a76fca42be718a4b9246ea0301684d80/rendering/03.xyz", "0.0")</f>
        <v>0.0</v>
      </c>
      <c r="G2631" s="13" t="str">
        <f>HYPERLINK(AC2 &amp; "/spoon/sn_a76fca42be718a4b9246ea0301684d80/rendering/04.xyz", "0.0")</f>
        <v>0.0</v>
      </c>
      <c r="H2631" s="13" t="str">
        <f>HYPERLINK(AC2 &amp; "/spoon/sn_a76fca42be718a4b9246ea0301684d80/rendering/05.xyz", "0.0")</f>
        <v>0.0</v>
      </c>
      <c r="I2631" s="13" t="str">
        <f>HYPERLINK(AC2 &amp; "/spoon/sn_a76fca42be718a4b9246ea0301684d80/rendering/06.xyz", "0.0")</f>
        <v>0.0</v>
      </c>
      <c r="J2631" s="13" t="str">
        <f>HYPERLINK(AC2 &amp; "/spoon/sn_a76fca42be718a4b9246ea0301684d80/rendering/07.xyz", "0.0")</f>
        <v>0.0</v>
      </c>
      <c r="K2631" s="13" t="str">
        <f>HYPERLINK(AC2 &amp; "/spoon/sn_a76fca42be718a4b9246ea0301684d80/rendering/08.xyz", "0.0")</f>
        <v>0.0</v>
      </c>
      <c r="L2631" s="13" t="str">
        <f>HYPERLINK(AC2 &amp; "/spoon/sn_a76fca42be718a4b9246ea0301684d80/rendering/09.xyz", "0.0")</f>
        <v>0.0</v>
      </c>
      <c r="M2631" s="13" t="str">
        <f>HYPERLINK(AC2 &amp; "/spoon/sn_a76fca42be718a4b9246ea0301684d80/rendering/10.xyz", "0.0")</f>
        <v>0.0</v>
      </c>
      <c r="N2631" s="13" t="str">
        <f>HYPERLINK(AC2 &amp; "/spoon/sn_a76fca42be718a4b9246ea0301684d80/rendering/11.xyz", "0.0")</f>
        <v>0.0</v>
      </c>
      <c r="O2631" s="13" t="str">
        <f>HYPERLINK(AC2 &amp; "/spoon/sn_a76fca42be718a4b9246ea0301684d80/rendering/12.xyz", "0.0")</f>
        <v>0.0</v>
      </c>
      <c r="P2631" s="13" t="str">
        <f>HYPERLINK(AC2 &amp; "/spoon/sn_a76fca42be718a4b9246ea0301684d80/rendering/13.xyz", "0.0")</f>
        <v>0.0</v>
      </c>
      <c r="Q2631" s="13" t="str">
        <f>HYPERLINK(AC2 &amp; "/spoon/sn_a76fca42be718a4b9246ea0301684d80/rendering/14.xyz", "0.0")</f>
        <v>0.0</v>
      </c>
      <c r="R2631" s="13" t="str">
        <f>HYPERLINK(AC2 &amp; "/spoon/sn_a76fca42be718a4b9246ea0301684d80/rendering/15.xyz", "0.0")</f>
        <v>0.0</v>
      </c>
      <c r="S2631" s="13" t="str">
        <f>HYPERLINK(AC2 &amp; "/spoon/sn_a76fca42be718a4b9246ea0301684d80/rendering/16.xyz", "0.0")</f>
        <v>0.0</v>
      </c>
      <c r="T2631" s="13" t="str">
        <f>HYPERLINK(AC2 &amp; "/spoon/sn_a76fca42be718a4b9246ea0301684d80/rendering/17.xyz", "0.0")</f>
        <v>0.0</v>
      </c>
      <c r="U2631" s="13" t="str">
        <f>HYPERLINK(AC2 &amp; "/spoon/sn_a76fca42be718a4b9246ea0301684d80/rendering/18.xyz", "0.0")</f>
        <v>0.0</v>
      </c>
      <c r="V2631" s="13" t="str">
        <f>HYPERLINK(AC2 &amp; "/spoon/sn_a76fca42be718a4b9246ea0301684d80/rendering/19.xyz", "0.0")</f>
        <v>0.0</v>
      </c>
      <c r="W2631" s="12" t="s">
        <v>33</v>
      </c>
      <c r="X2631" s="13">
        <v>0</v>
      </c>
      <c r="Y2631" s="13">
        <v>0</v>
      </c>
      <c r="Z2631" s="13">
        <v>0</v>
      </c>
    </row>
    <row r="2632" spans="1:26" x14ac:dyDescent="0.2">
      <c r="A2632" s="1">
        <v>2630</v>
      </c>
      <c r="B2632" s="2" t="s">
        <v>559</v>
      </c>
      <c r="C2632" s="94" t="str">
        <f>HYPERLINK(AA2 &amp; "/spoon/sn_afa8f649d70823c27187f552d95d9151/rendering/00.obj", "5.74166564941")</f>
        <v>5.74166564941</v>
      </c>
      <c r="D2632" s="23" t="str">
        <f>HYPERLINK(AA2 &amp; "/spoon/sn_afa8f649d70823c27187f552d95d9151/rendering/01.obj", "6.46120849609")</f>
        <v>6.46120849609</v>
      </c>
      <c r="E2632" s="30" t="str">
        <f>HYPERLINK(AA2 &amp; "/spoon/sn_afa8f649d70823c27187f552d95d9151/rendering/02.obj", "6.24687683105")</f>
        <v>6.24687683105</v>
      </c>
      <c r="F2632" s="95" t="str">
        <f>HYPERLINK(AA2 &amp; "/spoon/sn_afa8f649d70823c27187f552d95d9151/rendering/03.obj", "7.9570703125")</f>
        <v>7.9570703125</v>
      </c>
      <c r="G2632" s="41" t="str">
        <f>HYPERLINK(AA2 &amp; "/spoon/sn_afa8f649d70823c27187f552d95d9151/rendering/04.obj", "6.63479614258")</f>
        <v>6.63479614258</v>
      </c>
      <c r="H2632" s="120" t="str">
        <f>HYPERLINK(AA2 &amp; "/spoon/sn_afa8f649d70823c27187f552d95d9151/rendering/05.obj", "4.88978759766")</f>
        <v>4.88978759766</v>
      </c>
      <c r="I2632" s="67" t="str">
        <f>HYPERLINK(AA2 &amp; "/spoon/sn_afa8f649d70823c27187f552d95d9151/rendering/06.obj", "5.63026306152")</f>
        <v>5.63026306152</v>
      </c>
      <c r="J2632" s="110" t="str">
        <f>HYPERLINK(AA2 &amp; "/spoon/sn_afa8f649d70823c27187f552d95d9151/rendering/07.obj", "5.5996484375")</f>
        <v>5.5996484375</v>
      </c>
      <c r="K2632" s="10" t="str">
        <f>HYPERLINK(AA2 &amp; "/spoon/sn_afa8f649d70823c27187f552d95d9151/rendering/08.obj", "5.8612298584")</f>
        <v>5.8612298584</v>
      </c>
      <c r="L2632" s="94" t="str">
        <f>HYPERLINK(AA2 &amp; "/spoon/sn_afa8f649d70823c27187f552d95d9151/rendering/09.obj", "5.74632629395")</f>
        <v>5.74632629395</v>
      </c>
      <c r="M2632" s="41" t="str">
        <f>HYPERLINK(AA2 &amp; "/spoon/sn_afa8f649d70823c27187f552d95d9151/rendering/10.obj", "5.7868359375")</f>
        <v>5.7868359375</v>
      </c>
      <c r="N2632" s="5" t="str">
        <f>HYPERLINK(AA2 &amp; "/spoon/sn_afa8f649d70823c27187f552d95d9151/rendering/11.obj", "6.67756469727")</f>
        <v>6.67756469727</v>
      </c>
      <c r="O2632" s="257" t="str">
        <f>HYPERLINK(AA2 &amp; "/spoon/sn_afa8f649d70823c27187f552d95d9151/rendering/12.obj", "10.6431152344")</f>
        <v>10.6431152344</v>
      </c>
      <c r="P2632" s="72" t="str">
        <f>HYPERLINK(AA2 &amp; "/spoon/sn_afa8f649d70823c27187f552d95d9151/rendering/13.obj", "6.00359863281")</f>
        <v>6.00359863281</v>
      </c>
      <c r="Q2632" s="30" t="str">
        <f>HYPERLINK(AA2 &amp; "/spoon/sn_afa8f649d70823c27187f552d95d9151/rendering/14.obj", "6.24685302734")</f>
        <v>6.24685302734</v>
      </c>
      <c r="R2632" s="72" t="str">
        <f>HYPERLINK(AA2 &amp; "/spoon/sn_afa8f649d70823c27187f552d95d9151/rendering/15.obj", "5.99789855957")</f>
        <v>5.99789855957</v>
      </c>
      <c r="S2632" s="24" t="str">
        <f>HYPERLINK(AA2 &amp; "/spoon/sn_afa8f649d70823c27187f552d95d9151/rendering/16.obj", "5.16025268555")</f>
        <v>5.16025268555</v>
      </c>
      <c r="T2632" s="72" t="str">
        <f>HYPERLINK(AA2 &amp; "/spoon/sn_afa8f649d70823c27187f552d95d9151/rendering/17.obj", "6.00456298828")</f>
        <v>6.00456298828</v>
      </c>
      <c r="U2632" s="63" t="str">
        <f>HYPERLINK(AA2 &amp; "/spoon/sn_afa8f649d70823c27187f552d95d9151/rendering/18.obj", "5.45618103027")</f>
        <v>5.45618103027</v>
      </c>
      <c r="V2632" s="92" t="str">
        <f>HYPERLINK(AA2 &amp; "/spoon/sn_afa8f649d70823c27187f552d95d9151/rendering/19.obj", "5.43540344238")</f>
        <v>5.43540344238</v>
      </c>
      <c r="W2632" s="12" t="s">
        <v>29</v>
      </c>
      <c r="X2632" s="13">
        <v>6.2090569458007812</v>
      </c>
      <c r="Y2632" s="13">
        <v>1.1990885825572279</v>
      </c>
      <c r="Z2632" s="55">
        <v>0.19311927608719681</v>
      </c>
    </row>
    <row r="2633" spans="1:26" x14ac:dyDescent="0.2">
      <c r="A2633" s="1">
        <v>2631</v>
      </c>
      <c r="B2633" s="2" t="s">
        <v>559</v>
      </c>
      <c r="C2633" s="213" t="str">
        <f>HYPERLINK(AA2 &amp; "/spoon/sn_afa8f649d70823c27187f552d95d9151/rendering/00.obj", "1.18508982658")</f>
        <v>1.18508982658</v>
      </c>
      <c r="D2633" s="25" t="str">
        <f>HYPERLINK(AA2 &amp; "/spoon/sn_afa8f649d70823c27187f552d95d9151/rendering/01.obj", "2.32345271111")</f>
        <v>2.32345271111</v>
      </c>
      <c r="E2633" s="168" t="str">
        <f>HYPERLINK(AA2 &amp; "/spoon/sn_afa8f649d70823c27187f552d95d9151/rendering/02.obj", "1.5906920433")</f>
        <v>1.5906920433</v>
      </c>
      <c r="F2633" s="20" t="str">
        <f>HYPERLINK(AA2 &amp; "/spoon/sn_afa8f649d70823c27187f552d95d9151/rendering/03.obj", "4.97641277313")</f>
        <v>4.97641277313</v>
      </c>
      <c r="G2633" s="164" t="str">
        <f>HYPERLINK(AA2 &amp; "/spoon/sn_afa8f649d70823c27187f552d95d9151/rendering/04.obj", "3.83403992653")</f>
        <v>3.83403992653</v>
      </c>
      <c r="H2633" s="191" t="str">
        <f>HYPERLINK(AA2 &amp; "/spoon/sn_afa8f649d70823c27187f552d95d9151/rendering/05.obj", "1.28293812275")</f>
        <v>1.28293812275</v>
      </c>
      <c r="I2633" s="116" t="str">
        <f>HYPERLINK(AA2 &amp; "/spoon/sn_afa8f649d70823c27187f552d95d9151/rendering/06.obj", "1.31766831875")</f>
        <v>1.31766831875</v>
      </c>
      <c r="J2633" s="141" t="str">
        <f>HYPERLINK(AA2 &amp; "/spoon/sn_afa8f649d70823c27187f552d95d9151/rendering/07.obj", "1.05614304543")</f>
        <v>1.05614304543</v>
      </c>
      <c r="K2633" s="141" t="str">
        <f>HYPERLINK(AA2 &amp; "/spoon/sn_afa8f649d70823c27187f552d95d9151/rendering/08.obj", "1.05531859398")</f>
        <v>1.05531859398</v>
      </c>
      <c r="L2633" s="152" t="str">
        <f>HYPERLINK(AA2 &amp; "/spoon/sn_afa8f649d70823c27187f552d95d9151/rendering/09.obj", "1.39348328114")</f>
        <v>1.39348328114</v>
      </c>
      <c r="M2633" s="163" t="str">
        <f>HYPERLINK(AA2 &amp; "/spoon/sn_afa8f649d70823c27187f552d95d9151/rendering/10.obj", "1.31314027309")</f>
        <v>1.31314027309</v>
      </c>
      <c r="N2633" s="34" t="str">
        <f>HYPERLINK(AA2 &amp; "/spoon/sn_afa8f649d70823c27187f552d95d9151/rendering/11.obj", "2.23192071915")</f>
        <v>2.23192071915</v>
      </c>
      <c r="O2633" s="20" t="str">
        <f>HYPERLINK(AA2 &amp; "/spoon/sn_afa8f649d70823c27187f552d95d9151/rendering/12.obj", "12.9523773193")</f>
        <v>12.9523773193</v>
      </c>
      <c r="P2633" s="111" t="str">
        <f>HYPERLINK(AA2 &amp; "/spoon/sn_afa8f649d70823c27187f552d95d9151/rendering/13.obj", "1.35959732533")</f>
        <v>1.35959732533</v>
      </c>
      <c r="Q2633" s="111" t="str">
        <f>HYPERLINK(AA2 &amp; "/spoon/sn_afa8f649d70823c27187f552d95d9151/rendering/14.obj", "1.35749864578")</f>
        <v>1.35749864578</v>
      </c>
      <c r="R2633" s="57" t="str">
        <f>HYPERLINK(AA2 &amp; "/spoon/sn_afa8f649d70823c27187f552d95d9151/rendering/15.obj", "1.60829663277")</f>
        <v>1.60829663277</v>
      </c>
      <c r="S2633" s="52" t="str">
        <f>HYPERLINK(AA2 &amp; "/spoon/sn_afa8f649d70823c27187f552d95d9151/rendering/16.obj", "1.41165280342")</f>
        <v>1.41165280342</v>
      </c>
      <c r="T2633" s="16" t="str">
        <f>HYPERLINK(AA2 &amp; "/spoon/sn_afa8f649d70823c27187f552d95d9151/rendering/17.obj", "1.06749606133")</f>
        <v>1.06749606133</v>
      </c>
      <c r="U2633" s="129" t="str">
        <f>HYPERLINK(AA2 &amp; "/spoon/sn_afa8f649d70823c27187f552d95d9151/rendering/18.obj", "1.75797092915")</f>
        <v>1.75797092915</v>
      </c>
      <c r="V2633" s="49" t="str">
        <f>HYPERLINK(AA2 &amp; "/spoon/sn_afa8f649d70823c27187f552d95d9151/rendering/19.obj", "1.85888242722")</f>
        <v>1.85888242722</v>
      </c>
      <c r="W2633" s="12" t="s">
        <v>30</v>
      </c>
      <c r="X2633" s="13">
        <v>2.3467035889625549</v>
      </c>
      <c r="Y2633" s="13">
        <v>2.6137760294133421</v>
      </c>
      <c r="Z2633" s="20">
        <v>1.1138074879618081</v>
      </c>
    </row>
    <row r="2634" spans="1:26" x14ac:dyDescent="0.2">
      <c r="A2634" s="1">
        <v>2632</v>
      </c>
      <c r="B2634" s="2" t="s">
        <v>559</v>
      </c>
      <c r="C2634" s="10" t="str">
        <f>HYPERLINK(AB2 &amp; "/spoon/sn_afa8f649d70823c27187f552d95d9151/rendering/00.obj", "4.87079162598")</f>
        <v>4.87079162598</v>
      </c>
      <c r="D2634" s="47" t="str">
        <f>HYPERLINK(AB2 &amp; "/spoon/sn_afa8f649d70823c27187f552d95d9151/rendering/01.obj", "5.10642150879")</f>
        <v>5.10642150879</v>
      </c>
      <c r="E2634" s="72" t="str">
        <f>HYPERLINK(AB2 &amp; "/spoon/sn_afa8f649d70823c27187f552d95d9151/rendering/02.obj", "4.98167938232")</f>
        <v>4.98167938232</v>
      </c>
      <c r="F2634" s="81" t="str">
        <f>HYPERLINK(AB2 &amp; "/spoon/sn_afa8f649d70823c27187f552d95d9151/rendering/03.obj", "6.27513305664")</f>
        <v>6.27513305664</v>
      </c>
      <c r="G2634" s="25" t="str">
        <f>HYPERLINK(AB2 &amp; "/spoon/sn_afa8f649d70823c27187f552d95d9151/rendering/04.obj", "5.21218383789")</f>
        <v>5.21218383789</v>
      </c>
      <c r="H2634" s="79" t="str">
        <f>HYPERLINK(AB2 &amp; "/spoon/sn_afa8f649d70823c27187f552d95d9151/rendering/05.obj", "4.32694244385")</f>
        <v>4.32694244385</v>
      </c>
      <c r="I2634" s="107" t="str">
        <f>HYPERLINK(AB2 &amp; "/spoon/sn_afa8f649d70823c27187f552d95d9151/rendering/06.obj", "5.57060546875")</f>
        <v>5.57060546875</v>
      </c>
      <c r="J2634" s="38" t="str">
        <f>HYPERLINK(AB2 &amp; "/spoon/sn_afa8f649d70823c27187f552d95d9151/rendering/07.obj", "5.61851013184")</f>
        <v>5.61851013184</v>
      </c>
      <c r="K2634" s="41" t="str">
        <f>HYPERLINK(AB2 &amp; "/spoon/sn_afa8f649d70823c27187f552d95d9151/rendering/08.obj", "5.50423217773")</f>
        <v>5.50423217773</v>
      </c>
      <c r="L2634" s="106" t="str">
        <f>HYPERLINK(AB2 &amp; "/spoon/sn_afa8f649d70823c27187f552d95d9151/rendering/09.obj", "4.56368347168")</f>
        <v>4.56368347168</v>
      </c>
      <c r="M2634" s="94" t="str">
        <f>HYPERLINK(AB2 &amp; "/spoon/sn_afa8f649d70823c27187f552d95d9151/rendering/10.obj", "4.77558837891")</f>
        <v>4.77558837891</v>
      </c>
      <c r="N2634" s="94" t="str">
        <f>HYPERLINK(AB2 &amp; "/spoon/sn_afa8f649d70823c27187f552d95d9151/rendering/11.obj", "4.76830566406")</f>
        <v>4.76830566406</v>
      </c>
      <c r="O2634" s="6" t="str">
        <f>HYPERLINK(AB2 &amp; "/spoon/sn_afa8f649d70823c27187f552d95d9151/rendering/12.obj", "5.37930786133")</f>
        <v>5.37930786133</v>
      </c>
      <c r="P2634" s="92" t="str">
        <f>HYPERLINK(AB2 &amp; "/spoon/sn_afa8f649d70823c27187f552d95d9151/rendering/13.obj", "5.7833215332")</f>
        <v>5.7833215332</v>
      </c>
      <c r="Q2634" s="133" t="str">
        <f>HYPERLINK(AB2 &amp; "/spoon/sn_afa8f649d70823c27187f552d95d9151/rendering/14.obj", "4.62274169922")</f>
        <v>4.62274169922</v>
      </c>
      <c r="R2634" s="92" t="str">
        <f>HYPERLINK(AB2 &amp; "/spoon/sn_afa8f649d70823c27187f552d95d9151/rendering/15.obj", "5.79568664551")</f>
        <v>5.79568664551</v>
      </c>
      <c r="S2634" s="39" t="str">
        <f>HYPERLINK(AB2 &amp; "/spoon/sn_afa8f649d70823c27187f552d95d9151/rendering/16.obj", "4.69934997559")</f>
        <v>4.69934997559</v>
      </c>
      <c r="T2634" s="68" t="str">
        <f>HYPERLINK(AB2 &amp; "/spoon/sn_afa8f649d70823c27187f552d95d9151/rendering/17.obj", "5.37359924316")</f>
        <v>5.37359924316</v>
      </c>
      <c r="U2634" s="93" t="str">
        <f>HYPERLINK(AB2 &amp; "/spoon/sn_afa8f649d70823c27187f552d95d9151/rendering/18.obj", "4.42688201904")</f>
        <v>4.42688201904</v>
      </c>
      <c r="V2634" s="23" t="str">
        <f>HYPERLINK(AB2 &amp; "/spoon/sn_afa8f649d70823c27187f552d95d9151/rendering/19.obj", "5.34916381836")</f>
        <v>5.34916381836</v>
      </c>
      <c r="W2634" s="12" t="s">
        <v>31</v>
      </c>
      <c r="X2634" s="13">
        <v>5.1502064971923822</v>
      </c>
      <c r="Y2634" s="13">
        <v>0.50848667189515395</v>
      </c>
      <c r="Z2634" s="110">
        <v>9.8731317311714348E-2</v>
      </c>
    </row>
    <row r="2635" spans="1:26" x14ac:dyDescent="0.2">
      <c r="A2635" s="1">
        <v>2633</v>
      </c>
      <c r="B2635" s="2" t="s">
        <v>559</v>
      </c>
      <c r="C2635" s="49" t="str">
        <f>HYPERLINK(AB2 &amp; "/spoon/sn_afa8f649d70823c27187f552d95d9151/rendering/00.obj", "0.9919449687")</f>
        <v>0.9919449687</v>
      </c>
      <c r="D2635" s="11" t="str">
        <f>HYPERLINK(AB2 &amp; "/spoon/sn_afa8f649d70823c27187f552d95d9151/rendering/01.obj", "0.973301768303")</f>
        <v>0.973301768303</v>
      </c>
      <c r="E2635" s="76" t="str">
        <f>HYPERLINK(AB2 &amp; "/spoon/sn_afa8f649d70823c27187f552d95d9151/rendering/02.obj", "1.02188980579")</f>
        <v>1.02188980579</v>
      </c>
      <c r="F2635" s="20" t="str">
        <f>HYPERLINK(AB2 &amp; "/spoon/sn_afa8f649d70823c27187f552d95d9151/rendering/03.obj", "2.49823951721")</f>
        <v>2.49823951721</v>
      </c>
      <c r="G2635" s="134" t="str">
        <f>HYPERLINK(AB2 &amp; "/spoon/sn_afa8f649d70823c27187f552d95d9151/rendering/04.obj", "1.47831857204")</f>
        <v>1.47831857204</v>
      </c>
      <c r="H2635" s="38" t="str">
        <f>HYPERLINK(AB2 &amp; "/spoon/sn_afa8f649d70823c27187f552d95d9151/rendering/05.obj", "1.14125943184")</f>
        <v>1.14125943184</v>
      </c>
      <c r="I2635" s="25" t="str">
        <f>HYPERLINK(AB2 &amp; "/spoon/sn_afa8f649d70823c27187f552d95d9151/rendering/06.obj", "1.23809313774")</f>
        <v>1.23809313774</v>
      </c>
      <c r="J2635" s="55" t="str">
        <f>HYPERLINK(AB2 &amp; "/spoon/sn_afa8f649d70823c27187f552d95d9151/rendering/07.obj", "1.00983500481")</f>
        <v>1.00983500481</v>
      </c>
      <c r="K2635" s="5" t="str">
        <f>HYPERLINK(AB2 &amp; "/spoon/sn_afa8f649d70823c27187f552d95d9151/rendering/08.obj", "1.15686964989")</f>
        <v>1.15686964989</v>
      </c>
      <c r="L2635" s="170" t="str">
        <f>HYPERLINK(AB2 &amp; "/spoon/sn_afa8f649d70823c27187f552d95d9151/rendering/09.obj", "0.934729337692")</f>
        <v>0.934729337692</v>
      </c>
      <c r="M2635" s="95" t="str">
        <f>HYPERLINK(AB2 &amp; "/spoon/sn_afa8f649d70823c27187f552d95d9151/rendering/10.obj", "0.901482522488")</f>
        <v>0.901482522488</v>
      </c>
      <c r="N2635" s="67" t="str">
        <f>HYPERLINK(AB2 &amp; "/spoon/sn_afa8f649d70823c27187f552d95d9151/rendering/11.obj", "1.13819313049")</f>
        <v>1.13819313049</v>
      </c>
      <c r="O2635" s="213" t="str">
        <f>HYPERLINK(AB2 &amp; "/spoon/sn_afa8f649d70823c27187f552d95d9151/rendering/12.obj", "1.87043714523")</f>
        <v>1.87043714523</v>
      </c>
      <c r="P2635" s="118" t="str">
        <f>HYPERLINK(AB2 &amp; "/spoon/sn_afa8f649d70823c27187f552d95d9151/rendering/13.obj", "1.61824560165")</f>
        <v>1.61824560165</v>
      </c>
      <c r="Q2635" s="98" t="str">
        <f>HYPERLINK(AB2 &amp; "/spoon/sn_afa8f649d70823c27187f552d95d9151/rendering/14.obj", "0.961607158184")</f>
        <v>0.961607158184</v>
      </c>
      <c r="R2635" s="68" t="str">
        <f>HYPERLINK(AB2 &amp; "/spoon/sn_afa8f649d70823c27187f552d95d9151/rendering/15.obj", "1.19751989841")</f>
        <v>1.19751989841</v>
      </c>
      <c r="S2635" s="23" t="str">
        <f>HYPERLINK(AB2 &amp; "/spoon/sn_afa8f649d70823c27187f552d95d9151/rendering/16.obj", "1.30056941509")</f>
        <v>1.30056941509</v>
      </c>
      <c r="T2635" s="94" t="str">
        <f>HYPERLINK(AB2 &amp; "/spoon/sn_afa8f649d70823c27187f552d95d9151/rendering/17.obj", "1.16130805016")</f>
        <v>1.16130805016</v>
      </c>
      <c r="U2635" s="129" t="str">
        <f>HYPERLINK(AB2 &amp; "/spoon/sn_afa8f649d70823c27187f552d95d9151/rendering/18.obj", "0.941398978233")</f>
        <v>0.941398978233</v>
      </c>
      <c r="V2635" s="82" t="str">
        <f>HYPERLINK(AB2 &amp; "/spoon/sn_afa8f649d70823c27187f552d95d9151/rendering/19.obj", "1.51161491871")</f>
        <v>1.51161491871</v>
      </c>
      <c r="W2635" s="12" t="s">
        <v>32</v>
      </c>
      <c r="X2635" s="13">
        <v>1.252342900633812</v>
      </c>
      <c r="Y2635" s="13">
        <v>0.38062854406968871</v>
      </c>
      <c r="Z2635" s="61">
        <v>0.30393316708790558</v>
      </c>
    </row>
    <row r="2636" spans="1:26" x14ac:dyDescent="0.2">
      <c r="A2636" s="1">
        <v>2634</v>
      </c>
      <c r="B2636" s="2" t="s">
        <v>559</v>
      </c>
      <c r="C2636" s="13" t="str">
        <f>HYPERLINK(AC2 &amp; "/spoon/sn_afa8f649d70823c27187f552d95d9151/rendering/00.xyz", "0.0")</f>
        <v>0.0</v>
      </c>
      <c r="D2636" s="13" t="str">
        <f>HYPERLINK(AC2 &amp; "/spoon/sn_afa8f649d70823c27187f552d95d9151/rendering/01.xyz", "0.0")</f>
        <v>0.0</v>
      </c>
      <c r="E2636" s="13" t="str">
        <f>HYPERLINK(AC2 &amp; "/spoon/sn_afa8f649d70823c27187f552d95d9151/rendering/02.xyz", "0.0")</f>
        <v>0.0</v>
      </c>
      <c r="F2636" s="13" t="str">
        <f>HYPERLINK(AC2 &amp; "/spoon/sn_afa8f649d70823c27187f552d95d9151/rendering/03.xyz", "0.0")</f>
        <v>0.0</v>
      </c>
      <c r="G2636" s="13" t="str">
        <f>HYPERLINK(AC2 &amp; "/spoon/sn_afa8f649d70823c27187f552d95d9151/rendering/04.xyz", "0.0")</f>
        <v>0.0</v>
      </c>
      <c r="H2636" s="13" t="str">
        <f>HYPERLINK(AC2 &amp; "/spoon/sn_afa8f649d70823c27187f552d95d9151/rendering/05.xyz", "0.0")</f>
        <v>0.0</v>
      </c>
      <c r="I2636" s="13" t="str">
        <f>HYPERLINK(AC2 &amp; "/spoon/sn_afa8f649d70823c27187f552d95d9151/rendering/06.xyz", "0.0")</f>
        <v>0.0</v>
      </c>
      <c r="J2636" s="13" t="str">
        <f>HYPERLINK(AC2 &amp; "/spoon/sn_afa8f649d70823c27187f552d95d9151/rendering/07.xyz", "0.0")</f>
        <v>0.0</v>
      </c>
      <c r="K2636" s="13" t="str">
        <f>HYPERLINK(AC2 &amp; "/spoon/sn_afa8f649d70823c27187f552d95d9151/rendering/08.xyz", "0.0")</f>
        <v>0.0</v>
      </c>
      <c r="L2636" s="13" t="str">
        <f>HYPERLINK(AC2 &amp; "/spoon/sn_afa8f649d70823c27187f552d95d9151/rendering/09.xyz", "0.0")</f>
        <v>0.0</v>
      </c>
      <c r="M2636" s="13" t="str">
        <f>HYPERLINK(AC2 &amp; "/spoon/sn_afa8f649d70823c27187f552d95d9151/rendering/10.xyz", "0.0")</f>
        <v>0.0</v>
      </c>
      <c r="N2636" s="13" t="str">
        <f>HYPERLINK(AC2 &amp; "/spoon/sn_afa8f649d70823c27187f552d95d9151/rendering/11.xyz", "0.0")</f>
        <v>0.0</v>
      </c>
      <c r="O2636" s="13" t="str">
        <f>HYPERLINK(AC2 &amp; "/spoon/sn_afa8f649d70823c27187f552d95d9151/rendering/12.xyz", "0.0")</f>
        <v>0.0</v>
      </c>
      <c r="P2636" s="13" t="str">
        <f>HYPERLINK(AC2 &amp; "/spoon/sn_afa8f649d70823c27187f552d95d9151/rendering/13.xyz", "0.0")</f>
        <v>0.0</v>
      </c>
      <c r="Q2636" s="13" t="str">
        <f>HYPERLINK(AC2 &amp; "/spoon/sn_afa8f649d70823c27187f552d95d9151/rendering/14.xyz", "0.0")</f>
        <v>0.0</v>
      </c>
      <c r="R2636" s="13" t="str">
        <f>HYPERLINK(AC2 &amp; "/spoon/sn_afa8f649d70823c27187f552d95d9151/rendering/15.xyz", "0.0")</f>
        <v>0.0</v>
      </c>
      <c r="S2636" s="13" t="str">
        <f>HYPERLINK(AC2 &amp; "/spoon/sn_afa8f649d70823c27187f552d95d9151/rendering/16.xyz", "0.0")</f>
        <v>0.0</v>
      </c>
      <c r="T2636" s="13" t="str">
        <f>HYPERLINK(AC2 &amp; "/spoon/sn_afa8f649d70823c27187f552d95d9151/rendering/17.xyz", "0.0")</f>
        <v>0.0</v>
      </c>
      <c r="U2636" s="13" t="str">
        <f>HYPERLINK(AC2 &amp; "/spoon/sn_afa8f649d70823c27187f552d95d9151/rendering/18.xyz", "0.0")</f>
        <v>0.0</v>
      </c>
      <c r="V2636" s="13" t="str">
        <f>HYPERLINK(AC2 &amp; "/spoon/sn_afa8f649d70823c27187f552d95d9151/rendering/19.xyz", "0.0")</f>
        <v>0.0</v>
      </c>
      <c r="W2636" s="12" t="s">
        <v>33</v>
      </c>
      <c r="X2636" s="13">
        <v>0</v>
      </c>
      <c r="Y2636" s="13">
        <v>0</v>
      </c>
      <c r="Z2636" s="13">
        <v>0</v>
      </c>
    </row>
    <row r="2637" spans="1:26" x14ac:dyDescent="0.2">
      <c r="A2637" s="1">
        <v>2635</v>
      </c>
      <c r="B2637" s="2" t="s">
        <v>560</v>
      </c>
      <c r="C2637" s="41" t="str">
        <f>HYPERLINK(AA2 &amp; "/spoon/sn_b6162e27fdeb2adcab0489c40ef4fc03/rendering/00.obj", "6.35456054687")</f>
        <v>6.35456054687</v>
      </c>
      <c r="D2637" s="38" t="str">
        <f>HYPERLINK(AA2 &amp; "/spoon/sn_b6162e27fdeb2adcab0489c40ef4fc03/rendering/01.obj", "7.43593933105")</f>
        <v>7.43593933105</v>
      </c>
      <c r="E2637" s="64" t="str">
        <f>HYPERLINK(AA2 &amp; "/spoon/sn_b6162e27fdeb2adcab0489c40ef4fc03/rendering/02.obj", "5.69210449219")</f>
        <v>5.69210449219</v>
      </c>
      <c r="F2637" s="67" t="str">
        <f>HYPERLINK(AA2 &amp; "/spoon/sn_b6162e27fdeb2adcab0489c40ef4fc03/rendering/03.obj", "6.18456542969")</f>
        <v>6.18456542969</v>
      </c>
      <c r="G2637" s="58" t="str">
        <f>HYPERLINK(AA2 &amp; "/spoon/sn_b6162e27fdeb2adcab0489c40ef4fc03/rendering/04.obj", "5.16941101074")</f>
        <v>5.16941101074</v>
      </c>
      <c r="H2637" s="98" t="str">
        <f>HYPERLINK(AA2 &amp; "/spoon/sn_b6162e27fdeb2adcab0489c40ef4fc03/rendering/05.obj", "5.25649536133")</f>
        <v>5.25649536133</v>
      </c>
      <c r="I2637" s="27" t="str">
        <f>HYPERLINK(AA2 &amp; "/spoon/sn_b6162e27fdeb2adcab0489c40ef4fc03/rendering/06.obj", "6.34121826172")</f>
        <v>6.34121826172</v>
      </c>
      <c r="J2637" s="17" t="str">
        <f>HYPERLINK(AA2 &amp; "/spoon/sn_b6162e27fdeb2adcab0489c40ef4fc03/rendering/07.obj", "6.6723815918")</f>
        <v>6.6723815918</v>
      </c>
      <c r="K2637" s="20" t="str">
        <f>HYPERLINK(AA2 &amp; "/spoon/sn_b6162e27fdeb2adcab0489c40ef4fc03/rendering/08.obj", "12.9145288086")</f>
        <v>12.9145288086</v>
      </c>
      <c r="L2637" s="35" t="str">
        <f>HYPERLINK(AA2 &amp; "/spoon/sn_b6162e27fdeb2adcab0489c40ef4fc03/rendering/09.obj", "6.423515625")</f>
        <v>6.423515625</v>
      </c>
      <c r="M2637" s="71" t="str">
        <f>HYPERLINK(AA2 &amp; "/spoon/sn_b6162e27fdeb2adcab0489c40ef4fc03/rendering/10.obj", "6.02239379883")</f>
        <v>6.02239379883</v>
      </c>
      <c r="N2637" s="60" t="str">
        <f>HYPERLINK(AA2 &amp; "/spoon/sn_b6162e27fdeb2adcab0489c40ef4fc03/rendering/11.obj", "6.47457885742")</f>
        <v>6.47457885742</v>
      </c>
      <c r="O2637" s="35" t="str">
        <f>HYPERLINK(AA2 &amp; "/spoon/sn_b6162e27fdeb2adcab0489c40ef4fc03/rendering/12.obj", "7.20869262695")</f>
        <v>7.20869262695</v>
      </c>
      <c r="P2637" s="109" t="str">
        <f>HYPERLINK(AA2 &amp; "/spoon/sn_b6162e27fdeb2adcab0489c40ef4fc03/rendering/13.obj", "5.52519775391")</f>
        <v>5.52519775391</v>
      </c>
      <c r="Q2637" s="65" t="str">
        <f>HYPERLINK(AA2 &amp; "/spoon/sn_b6162e27fdeb2adcab0489c40ef4fc03/rendering/14.obj", "5.91297973633")</f>
        <v>5.91297973633</v>
      </c>
      <c r="R2637" s="26" t="str">
        <f>HYPERLINK(AA2 &amp; "/spoon/sn_b6162e27fdeb2adcab0489c40ef4fc03/rendering/15.obj", "6.38719787598")</f>
        <v>6.38719787598</v>
      </c>
      <c r="S2637" s="142" t="str">
        <f>HYPERLINK(AA2 &amp; "/spoon/sn_b6162e27fdeb2adcab0489c40ef4fc03/rendering/16.obj", "9.50716186523")</f>
        <v>9.50716186523</v>
      </c>
      <c r="T2637" s="109" t="str">
        <f>HYPERLINK(AA2 &amp; "/spoon/sn_b6162e27fdeb2adcab0489c40ef4fc03/rendering/17.obj", "8.12315551758")</f>
        <v>8.12315551758</v>
      </c>
      <c r="U2637" s="63" t="str">
        <f>HYPERLINK(AA2 &amp; "/spoon/sn_b6162e27fdeb2adcab0489c40ef4fc03/rendering/18.obj", "5.98950500488")</f>
        <v>5.98950500488</v>
      </c>
      <c r="V2637" s="13" t="str">
        <f>HYPERLINK(AA2 &amp; "/spoon/sn_b6162e27fdeb2adcab0489c40ef4fc03/rendering/19.obj", "6.8019329834")</f>
        <v>6.8019329834</v>
      </c>
      <c r="W2637" s="12" t="s">
        <v>29</v>
      </c>
      <c r="X2637" s="13">
        <v>6.81987582397461</v>
      </c>
      <c r="Y2637" s="13">
        <v>1.7057934604544711</v>
      </c>
      <c r="Z2637" s="129">
        <v>0.2501208972834843</v>
      </c>
    </row>
    <row r="2638" spans="1:26" x14ac:dyDescent="0.2">
      <c r="A2638" s="1">
        <v>2636</v>
      </c>
      <c r="B2638" s="2" t="s">
        <v>560</v>
      </c>
      <c r="C2638" s="195" t="str">
        <f>HYPERLINK(AA2 &amp; "/spoon/sn_b6162e27fdeb2adcab0489c40ef4fc03/rendering/00.obj", "2.01956820488")</f>
        <v>2.01956820488</v>
      </c>
      <c r="D2638" s="100" t="str">
        <f>HYPERLINK(AA2 &amp; "/spoon/sn_b6162e27fdeb2adcab0489c40ef4fc03/rendering/01.obj", "5.78244352341")</f>
        <v>5.78244352341</v>
      </c>
      <c r="E2638" s="195" t="str">
        <f>HYPERLINK(AA2 &amp; "/spoon/sn_b6162e27fdeb2adcab0489c40ef4fc03/rendering/02.obj", "2.01328969002")</f>
        <v>2.01328969002</v>
      </c>
      <c r="F2638" s="156" t="str">
        <f>HYPERLINK(AA2 &amp; "/spoon/sn_b6162e27fdeb2adcab0489c40ef4fc03/rendering/03.obj", "2.45975780487")</f>
        <v>2.45975780487</v>
      </c>
      <c r="G2638" s="150" t="str">
        <f>HYPERLINK(AA2 &amp; "/spoon/sn_b6162e27fdeb2adcab0489c40ef4fc03/rendering/04.obj", "2.05872654915")</f>
        <v>2.05872654915</v>
      </c>
      <c r="H2638" s="107" t="str">
        <f>HYPERLINK(AA2 &amp; "/spoon/sn_b6162e27fdeb2adcab0489c40ef4fc03/rendering/05.obj", "4.07472801208")</f>
        <v>4.07472801208</v>
      </c>
      <c r="I2638" s="130" t="str">
        <f>HYPERLINK(AA2 &amp; "/spoon/sn_b6162e27fdeb2adcab0489c40ef4fc03/rendering/06.obj", "2.44024467468")</f>
        <v>2.44024467468</v>
      </c>
      <c r="J2638" s="89" t="str">
        <f>HYPERLINK(AA2 &amp; "/spoon/sn_b6162e27fdeb2adcab0489c40ef4fc03/rendering/07.obj", "3.30401325226")</f>
        <v>3.30401325226</v>
      </c>
      <c r="K2638" s="20" t="str">
        <f>HYPERLINK(AA2 &amp; "/spoon/sn_b6162e27fdeb2adcab0489c40ef4fc03/rendering/08.obj", "17.5213890076")</f>
        <v>17.5213890076</v>
      </c>
      <c r="L2638" s="131" t="str">
        <f>HYPERLINK(AA2 &amp; "/spoon/sn_b6162e27fdeb2adcab0489c40ef4fc03/rendering/09.obj", "2.39712667465")</f>
        <v>2.39712667465</v>
      </c>
      <c r="M2638" s="39" t="str">
        <f>HYPERLINK(AA2 &amp; "/spoon/sn_b6162e27fdeb2adcab0489c40ef4fc03/rendering/10.obj", "4.06055259705")</f>
        <v>4.06055259705</v>
      </c>
      <c r="N2638" s="147" t="str">
        <f>HYPERLINK(AA2 &amp; "/spoon/sn_b6162e27fdeb2adcab0489c40ef4fc03/rendering/11.obj", "2.28384566307")</f>
        <v>2.28384566307</v>
      </c>
      <c r="O2638" s="122" t="str">
        <f>HYPERLINK(AA2 &amp; "/spoon/sn_b6162e27fdeb2adcab0489c40ef4fc03/rendering/12.obj", "2.65665578842")</f>
        <v>2.65665578842</v>
      </c>
      <c r="P2638" s="105" t="str">
        <f>HYPERLINK(AA2 &amp; "/spoon/sn_b6162e27fdeb2adcab0489c40ef4fc03/rendering/13.obj", "2.17306518555")</f>
        <v>2.17306518555</v>
      </c>
      <c r="Q2638" s="203" t="str">
        <f>HYPERLINK(AA2 &amp; "/spoon/sn_b6162e27fdeb2adcab0489c40ef4fc03/rendering/14.obj", "2.38290596008")</f>
        <v>2.38290596008</v>
      </c>
      <c r="R2638" s="18" t="str">
        <f>HYPERLINK(AA2 &amp; "/spoon/sn_b6162e27fdeb2adcab0489c40ef4fc03/rendering/15.obj", "1.87090694904")</f>
        <v>1.87090694904</v>
      </c>
      <c r="S2638" s="20" t="str">
        <f>HYPERLINK(AA2 &amp; "/spoon/sn_b6162e27fdeb2adcab0489c40ef4fc03/rendering/16.obj", "18.5226459503")</f>
        <v>18.5226459503</v>
      </c>
      <c r="T2638" s="85" t="str">
        <f>HYPERLINK(AA2 &amp; "/spoon/sn_b6162e27fdeb2adcab0489c40ef4fc03/rendering/17.obj", "5.7704205513")</f>
        <v>5.7704205513</v>
      </c>
      <c r="U2638" s="104" t="str">
        <f>HYPERLINK(AA2 &amp; "/spoon/sn_b6162e27fdeb2adcab0489c40ef4fc03/rendering/18.obj", "2.3303129673")</f>
        <v>2.3303129673</v>
      </c>
      <c r="V2638" s="151" t="str">
        <f>HYPERLINK(AA2 &amp; "/spoon/sn_b6162e27fdeb2adcab0489c40ef4fc03/rendering/19.obj", "2.8561937809")</f>
        <v>2.8561937809</v>
      </c>
      <c r="W2638" s="12" t="s">
        <v>30</v>
      </c>
      <c r="X2638" s="13">
        <v>4.4489396393299101</v>
      </c>
      <c r="Y2638" s="13">
        <v>4.6629019748530398</v>
      </c>
      <c r="Z2638" s="20">
        <v>1.048092883443875</v>
      </c>
    </row>
    <row r="2639" spans="1:26" x14ac:dyDescent="0.2">
      <c r="A2639" s="1">
        <v>2637</v>
      </c>
      <c r="B2639" s="2" t="s">
        <v>560</v>
      </c>
      <c r="C2639" s="48" t="str">
        <f>HYPERLINK(AB2 &amp; "/spoon/sn_b6162e27fdeb2adcab0489c40ef4fc03/rendering/00.obj", "5.67920532227")</f>
        <v>5.67920532227</v>
      </c>
      <c r="D2639" s="74" t="str">
        <f>HYPERLINK(AB2 &amp; "/spoon/sn_b6162e27fdeb2adcab0489c40ef4fc03/rendering/01.obj", "5.46225646973")</f>
        <v>5.46225646973</v>
      </c>
      <c r="E2639" s="91" t="str">
        <f>HYPERLINK(AB2 &amp; "/spoon/sn_b6162e27fdeb2adcab0489c40ef4fc03/rendering/02.obj", "5.70381835938")</f>
        <v>5.70381835938</v>
      </c>
      <c r="F2639" s="26" t="str">
        <f>HYPERLINK(AB2 &amp; "/spoon/sn_b6162e27fdeb2adcab0489c40ef4fc03/rendering/03.obj", "5.19554016113")</f>
        <v>5.19554016113</v>
      </c>
      <c r="G2639" s="29" t="str">
        <f>HYPERLINK(AB2 &amp; "/spoon/sn_b6162e27fdeb2adcab0489c40ef4fc03/rendering/04.obj", "4.82497344971")</f>
        <v>4.82497344971</v>
      </c>
      <c r="H2639" s="48" t="str">
        <f>HYPERLINK(AB2 &amp; "/spoon/sn_b6162e27fdeb2adcab0489c40ef4fc03/rendering/05.obj", "5.42456481934")</f>
        <v>5.42456481934</v>
      </c>
      <c r="I2639" s="13" t="str">
        <f>HYPERLINK(AB2 &amp; "/spoon/sn_b6162e27fdeb2adcab0489c40ef4fc03/rendering/06.obj", "5.54540771484")</f>
        <v>5.54540771484</v>
      </c>
      <c r="J2639" s="17" t="str">
        <f>HYPERLINK(AB2 &amp; "/spoon/sn_b6162e27fdeb2adcab0489c40ef4fc03/rendering/07.obj", "5.66627624512")</f>
        <v>5.66627624512</v>
      </c>
      <c r="K2639" s="34" t="str">
        <f>HYPERLINK(AB2 &amp; "/spoon/sn_b6162e27fdeb2adcab0489c40ef4fc03/rendering/08.obj", "5.27907348633")</f>
        <v>5.27907348633</v>
      </c>
      <c r="L2639" s="34" t="str">
        <f>HYPERLINK(AB2 &amp; "/spoon/sn_b6162e27fdeb2adcab0489c40ef4fc03/rendering/09.obj", "5.27893554688")</f>
        <v>5.27893554688</v>
      </c>
      <c r="M2639" s="73" t="str">
        <f>HYPERLINK(AB2 &amp; "/spoon/sn_b6162e27fdeb2adcab0489c40ef4fc03/rendering/10.obj", "5.35149902344")</f>
        <v>5.35149902344</v>
      </c>
      <c r="N2639" s="78" t="str">
        <f>HYPERLINK(AB2 &amp; "/spoon/sn_b6162e27fdeb2adcab0489c40ef4fc03/rendering/11.obj", "5.88619628906")</f>
        <v>5.88619628906</v>
      </c>
      <c r="O2639" s="48" t="str">
        <f>HYPERLINK(AB2 &amp; "/spoon/sn_b6162e27fdeb2adcab0489c40ef4fc03/rendering/12.obj", "5.68397216797")</f>
        <v>5.68397216797</v>
      </c>
      <c r="P2639" s="39" t="str">
        <f>HYPERLINK(AB2 &amp; "/spoon/sn_b6162e27fdeb2adcab0489c40ef4fc03/rendering/13.obj", "5.07121185303")</f>
        <v>5.07121185303</v>
      </c>
      <c r="Q2639" s="6" t="str">
        <f>HYPERLINK(AB2 &amp; "/spoon/sn_b6162e27fdeb2adcab0489c40ef4fc03/rendering/14.obj", "5.79801513672")</f>
        <v>5.79801513672</v>
      </c>
      <c r="R2639" s="46" t="str">
        <f>HYPERLINK(AB2 &amp; "/spoon/sn_b6162e27fdeb2adcab0489c40ef4fc03/rendering/15.obj", "5.65001953125")</f>
        <v>5.65001953125</v>
      </c>
      <c r="S2639" s="84" t="str">
        <f>HYPERLINK(AB2 &amp; "/spoon/sn_b6162e27fdeb2adcab0489c40ef4fc03/rendering/16.obj", "6.36360229492")</f>
        <v>6.36360229492</v>
      </c>
      <c r="T2639" s="74" t="str">
        <f>HYPERLINK(AB2 &amp; "/spoon/sn_b6162e27fdeb2adcab0489c40ef4fc03/rendering/17.obj", "5.63445373535")</f>
        <v>5.63445373535</v>
      </c>
      <c r="U2639" s="63" t="str">
        <f>HYPERLINK(AB2 &amp; "/spoon/sn_b6162e27fdeb2adcab0489c40ef4fc03/rendering/18.obj", "6.21451049805")</f>
        <v>6.21451049805</v>
      </c>
      <c r="V2639" s="10" t="str">
        <f>HYPERLINK(AB2 &amp; "/spoon/sn_b6162e27fdeb2adcab0489c40ef4fc03/rendering/19.obj", "5.24779418945")</f>
        <v>5.24779418945</v>
      </c>
      <c r="W2639" s="12" t="s">
        <v>31</v>
      </c>
      <c r="X2639" s="13">
        <v>5.5480663146972651</v>
      </c>
      <c r="Y2639" s="13">
        <v>0.35697003977632852</v>
      </c>
      <c r="Z2639" s="26">
        <v>6.4341343366910872E-2</v>
      </c>
    </row>
    <row r="2640" spans="1:26" x14ac:dyDescent="0.2">
      <c r="A2640" s="1">
        <v>2638</v>
      </c>
      <c r="B2640" s="2" t="s">
        <v>560</v>
      </c>
      <c r="C2640" s="117" t="str">
        <f>HYPERLINK(AB2 &amp; "/spoon/sn_b6162e27fdeb2adcab0489c40ef4fc03/rendering/00.obj", "1.32216465473")</f>
        <v>1.32216465473</v>
      </c>
      <c r="D2640" s="58" t="str">
        <f>HYPERLINK(AB2 &amp; "/spoon/sn_b6162e27fdeb2adcab0489c40ef4fc03/rendering/01.obj", "1.21649754047")</f>
        <v>1.21649754047</v>
      </c>
      <c r="E2640" s="237" t="str">
        <f>HYPERLINK(AB2 &amp; "/spoon/sn_b6162e27fdeb2adcab0489c40ef4fc03/rendering/02.obj", "2.68756628036")</f>
        <v>2.68756628036</v>
      </c>
      <c r="F2640" s="7" t="str">
        <f>HYPERLINK(AB2 &amp; "/spoon/sn_b6162e27fdeb2adcab0489c40ef4fc03/rendering/03.obj", "1.15902090073")</f>
        <v>1.15902090073</v>
      </c>
      <c r="G2640" s="35" t="str">
        <f>HYPERLINK(AB2 &amp; "/spoon/sn_b6162e27fdeb2adcab0489c40ef4fc03/rendering/04.obj", "1.51189732552")</f>
        <v>1.51189732552</v>
      </c>
      <c r="H2640" s="234" t="str">
        <f>HYPERLINK(AB2 &amp; "/spoon/sn_b6162e27fdeb2adcab0489c40ef4fc03/rendering/05.obj", "2.79873514175")</f>
        <v>2.79873514175</v>
      </c>
      <c r="I2640" s="203" t="str">
        <f>HYPERLINK(AB2 &amp; "/spoon/sn_b6162e27fdeb2adcab0489c40ef4fc03/rendering/06.obj", "2.35375332832")</f>
        <v>2.35375332832</v>
      </c>
      <c r="J2640" s="78" t="str">
        <f>HYPERLINK(AB2 &amp; "/spoon/sn_b6162e27fdeb2adcab0489c40ef4fc03/rendering/07.obj", "1.50907504559")</f>
        <v>1.50907504559</v>
      </c>
      <c r="K2640" s="65" t="str">
        <f>HYPERLINK(AB2 &amp; "/spoon/sn_b6162e27fdeb2adcab0489c40ef4fc03/rendering/08.obj", "1.3934571743")</f>
        <v>1.3934571743</v>
      </c>
      <c r="L2640" s="85" t="str">
        <f>HYPERLINK(AB2 &amp; "/spoon/sn_b6162e27fdeb2adcab0489c40ef4fc03/rendering/09.obj", "1.12987470627")</f>
        <v>1.12987470627</v>
      </c>
      <c r="M2640" s="36" t="str">
        <f>HYPERLINK(AB2 &amp; "/spoon/sn_b6162e27fdeb2adcab0489c40ef4fc03/rendering/10.obj", "1.25884389877")</f>
        <v>1.25884389877</v>
      </c>
      <c r="N2640" s="137" t="str">
        <f>HYPERLINK(AB2 &amp; "/spoon/sn_b6162e27fdeb2adcab0489c40ef4fc03/rendering/11.obj", "2.19410824776")</f>
        <v>2.19410824776</v>
      </c>
      <c r="O2640" s="133" t="str">
        <f>HYPERLINK(AB2 &amp; "/spoon/sn_b6162e27fdeb2adcab0489c40ef4fc03/rendering/12.obj", "1.4425573349")</f>
        <v>1.4425573349</v>
      </c>
      <c r="P2640" s="193" t="str">
        <f>HYPERLINK(AB2 &amp; "/spoon/sn_b6162e27fdeb2adcab0489c40ef4fc03/rendering/13.obj", "1.07367610931")</f>
        <v>1.07367610931</v>
      </c>
      <c r="Q2640" s="98" t="str">
        <f>HYPERLINK(AB2 &amp; "/spoon/sn_b6162e27fdeb2adcab0489c40ef4fc03/rendering/14.obj", "1.23676681519")</f>
        <v>1.23676681519</v>
      </c>
      <c r="R2640" s="60" t="str">
        <f>HYPERLINK(AB2 &amp; "/spoon/sn_b6162e27fdeb2adcab0489c40ef4fc03/rendering/15.obj", "1.68635082245")</f>
        <v>1.68635082245</v>
      </c>
      <c r="S2640" s="94" t="str">
        <f>HYPERLINK(AB2 &amp; "/spoon/sn_b6162e27fdeb2adcab0489c40ef4fc03/rendering/16.obj", "1.48672926426")</f>
        <v>1.48672926426</v>
      </c>
      <c r="T2640" s="193" t="str">
        <f>HYPERLINK(AB2 &amp; "/spoon/sn_b6162e27fdeb2adcab0489c40ef4fc03/rendering/17.obj", "2.13640475273")</f>
        <v>2.13640475273</v>
      </c>
      <c r="U2640" s="80" t="str">
        <f>HYPERLINK(AB2 &amp; "/spoon/sn_b6162e27fdeb2adcab0489c40ef4fc03/rendering/18.obj", "1.36493754387")</f>
        <v>1.36493754387</v>
      </c>
      <c r="V2640" s="4" t="str">
        <f>HYPERLINK(AB2 &amp; "/spoon/sn_b6162e27fdeb2adcab0489c40ef4fc03/rendering/19.obj", "1.14902937412")</f>
        <v>1.14902937412</v>
      </c>
      <c r="W2640" s="12" t="s">
        <v>32</v>
      </c>
      <c r="X2640" s="13">
        <v>1.605572313070297</v>
      </c>
      <c r="Y2640" s="13">
        <v>0.51746820582538022</v>
      </c>
      <c r="Z2640" s="168">
        <v>0.32229517263899388</v>
      </c>
    </row>
    <row r="2641" spans="1:26" x14ac:dyDescent="0.2">
      <c r="A2641" s="1">
        <v>2639</v>
      </c>
      <c r="B2641" s="2" t="s">
        <v>560</v>
      </c>
      <c r="C2641" s="13" t="str">
        <f>HYPERLINK(AC2 &amp; "/spoon/sn_b6162e27fdeb2adcab0489c40ef4fc03/rendering/00.xyz", "0.0")</f>
        <v>0.0</v>
      </c>
      <c r="D2641" s="13" t="str">
        <f>HYPERLINK(AC2 &amp; "/spoon/sn_b6162e27fdeb2adcab0489c40ef4fc03/rendering/01.xyz", "0.0")</f>
        <v>0.0</v>
      </c>
      <c r="E2641" s="13" t="str">
        <f>HYPERLINK(AC2 &amp; "/spoon/sn_b6162e27fdeb2adcab0489c40ef4fc03/rendering/02.xyz", "0.0")</f>
        <v>0.0</v>
      </c>
      <c r="F2641" s="13" t="str">
        <f>HYPERLINK(AC2 &amp; "/spoon/sn_b6162e27fdeb2adcab0489c40ef4fc03/rendering/03.xyz", "0.0")</f>
        <v>0.0</v>
      </c>
      <c r="G2641" s="13" t="str">
        <f>HYPERLINK(AC2 &amp; "/spoon/sn_b6162e27fdeb2adcab0489c40ef4fc03/rendering/04.xyz", "0.0")</f>
        <v>0.0</v>
      </c>
      <c r="H2641" s="13" t="str">
        <f>HYPERLINK(AC2 &amp; "/spoon/sn_b6162e27fdeb2adcab0489c40ef4fc03/rendering/05.xyz", "0.0")</f>
        <v>0.0</v>
      </c>
      <c r="I2641" s="13" t="str">
        <f>HYPERLINK(AC2 &amp; "/spoon/sn_b6162e27fdeb2adcab0489c40ef4fc03/rendering/06.xyz", "0.0")</f>
        <v>0.0</v>
      </c>
      <c r="J2641" s="13" t="str">
        <f>HYPERLINK(AC2 &amp; "/spoon/sn_b6162e27fdeb2adcab0489c40ef4fc03/rendering/07.xyz", "0.0")</f>
        <v>0.0</v>
      </c>
      <c r="K2641" s="13" t="str">
        <f>HYPERLINK(AC2 &amp; "/spoon/sn_b6162e27fdeb2adcab0489c40ef4fc03/rendering/08.xyz", "0.0")</f>
        <v>0.0</v>
      </c>
      <c r="L2641" s="13" t="str">
        <f>HYPERLINK(AC2 &amp; "/spoon/sn_b6162e27fdeb2adcab0489c40ef4fc03/rendering/09.xyz", "0.0")</f>
        <v>0.0</v>
      </c>
      <c r="M2641" s="13" t="str">
        <f>HYPERLINK(AC2 &amp; "/spoon/sn_b6162e27fdeb2adcab0489c40ef4fc03/rendering/10.xyz", "0.0")</f>
        <v>0.0</v>
      </c>
      <c r="N2641" s="13" t="str">
        <f>HYPERLINK(AC2 &amp; "/spoon/sn_b6162e27fdeb2adcab0489c40ef4fc03/rendering/11.xyz", "0.0")</f>
        <v>0.0</v>
      </c>
      <c r="O2641" s="13" t="str">
        <f>HYPERLINK(AC2 &amp; "/spoon/sn_b6162e27fdeb2adcab0489c40ef4fc03/rendering/12.xyz", "0.0")</f>
        <v>0.0</v>
      </c>
      <c r="P2641" s="13" t="str">
        <f>HYPERLINK(AC2 &amp; "/spoon/sn_b6162e27fdeb2adcab0489c40ef4fc03/rendering/13.xyz", "0.0")</f>
        <v>0.0</v>
      </c>
      <c r="Q2641" s="13" t="str">
        <f>HYPERLINK(AC2 &amp; "/spoon/sn_b6162e27fdeb2adcab0489c40ef4fc03/rendering/14.xyz", "0.0")</f>
        <v>0.0</v>
      </c>
      <c r="R2641" s="13" t="str">
        <f>HYPERLINK(AC2 &amp; "/spoon/sn_b6162e27fdeb2adcab0489c40ef4fc03/rendering/15.xyz", "0.0")</f>
        <v>0.0</v>
      </c>
      <c r="S2641" s="13" t="str">
        <f>HYPERLINK(AC2 &amp; "/spoon/sn_b6162e27fdeb2adcab0489c40ef4fc03/rendering/16.xyz", "0.0")</f>
        <v>0.0</v>
      </c>
      <c r="T2641" s="13" t="str">
        <f>HYPERLINK(AC2 &amp; "/spoon/sn_b6162e27fdeb2adcab0489c40ef4fc03/rendering/17.xyz", "0.0")</f>
        <v>0.0</v>
      </c>
      <c r="U2641" s="13" t="str">
        <f>HYPERLINK(AC2 &amp; "/spoon/sn_b6162e27fdeb2adcab0489c40ef4fc03/rendering/18.xyz", "0.0")</f>
        <v>0.0</v>
      </c>
      <c r="V2641" s="13" t="str">
        <f>HYPERLINK(AC2 &amp; "/spoon/sn_b6162e27fdeb2adcab0489c40ef4fc03/rendering/19.xyz", "0.0")</f>
        <v>0.0</v>
      </c>
      <c r="W2641" s="12" t="s">
        <v>33</v>
      </c>
      <c r="X2641" s="13">
        <v>0</v>
      </c>
      <c r="Y2641" s="13">
        <v>0</v>
      </c>
      <c r="Z2641" s="13">
        <v>0</v>
      </c>
    </row>
    <row r="2642" spans="1:26" x14ac:dyDescent="0.2">
      <c r="A2642" s="1">
        <v>2640</v>
      </c>
      <c r="B2642" s="2" t="s">
        <v>561</v>
      </c>
      <c r="C2642" s="39" t="str">
        <f>HYPERLINK(AA2 &amp; "/spoon/sn_ba40fee78adb5cb4d98d2dce136d0711/rendering/00.obj", "5.23043029785")</f>
        <v>5.23043029785</v>
      </c>
      <c r="D2642" s="90" t="str">
        <f>HYPERLINK(AA2 &amp; "/spoon/sn_ba40fee78adb5cb4d98d2dce136d0711/rendering/01.obj", "5.1751953125")</f>
        <v>5.1751953125</v>
      </c>
      <c r="E2642" s="13" t="str">
        <f>HYPERLINK(AA2 &amp; "/spoon/sn_ba40fee78adb5cb4d98d2dce136d0711/rendering/02.obj", "5.7132824707")</f>
        <v>5.7132824707</v>
      </c>
      <c r="F2642" s="13" t="str">
        <f>HYPERLINK(AA2 &amp; "/spoon/sn_ba40fee78adb5cb4d98d2dce136d0711/rendering/03.obj", "5.71584960937")</f>
        <v>5.71584960937</v>
      </c>
      <c r="G2642" s="74" t="str">
        <f>HYPERLINK(AA2 &amp; "/spoon/sn_ba40fee78adb5cb4d98d2dce136d0711/rendering/04.obj", "5.64738586426")</f>
        <v>5.64738586426</v>
      </c>
      <c r="H2642" s="26" t="str">
        <f>HYPERLINK(AA2 &amp; "/spoon/sn_ba40fee78adb5cb4d98d2dce136d0711/rendering/05.obj", "5.3578302002")</f>
        <v>5.3578302002</v>
      </c>
      <c r="I2642" s="38" t="str">
        <f>HYPERLINK(AA2 &amp; "/spoon/sn_ba40fee78adb5cb4d98d2dce136d0711/rendering/06.obj", "5.21506958008")</f>
        <v>5.21506958008</v>
      </c>
      <c r="J2642" s="67" t="str">
        <f>HYPERLINK(AA2 &amp; "/spoon/sn_ba40fee78adb5cb4d98d2dce136d0711/rendering/07.obj", "5.19108398438")</f>
        <v>5.19108398438</v>
      </c>
      <c r="K2642" s="77" t="str">
        <f>HYPERLINK(AA2 &amp; "/spoon/sn_ba40fee78adb5cb4d98d2dce136d0711/rendering/08.obj", "6.79852416992")</f>
        <v>6.79852416992</v>
      </c>
      <c r="L2642" s="110" t="str">
        <f>HYPERLINK(AA2 &amp; "/spoon/sn_ba40fee78adb5cb4d98d2dce136d0711/rendering/09.obj", "5.16474975586")</f>
        <v>5.16474975586</v>
      </c>
      <c r="M2642" s="63" t="str">
        <f>HYPERLINK(AA2 &amp; "/spoon/sn_ba40fee78adb5cb4d98d2dce136d0711/rendering/10.obj", "5.02957244873")</f>
        <v>5.02957244873</v>
      </c>
      <c r="N2642" s="25" t="str">
        <f>HYPERLINK(AA2 &amp; "/spoon/sn_ba40fee78adb5cb4d98d2dce136d0711/rendering/11.obj", "5.65948242188")</f>
        <v>5.65948242188</v>
      </c>
      <c r="O2642" s="13" t="str">
        <f>HYPERLINK(AA2 &amp; "/spoon/sn_ba40fee78adb5cb4d98d2dce136d0711/rendering/12.obj", "5.71665039063")</f>
        <v>5.71665039063</v>
      </c>
      <c r="P2642" s="107" t="str">
        <f>HYPERLINK(AA2 &amp; "/spoon/sn_ba40fee78adb5cb4d98d2dce136d0711/rendering/13.obj", "5.24094604492")</f>
        <v>5.24094604492</v>
      </c>
      <c r="Q2642" s="42" t="str">
        <f>HYPERLINK(AA2 &amp; "/spoon/sn_ba40fee78adb5cb4d98d2dce136d0711/rendering/14.obj", "4.94036499023")</f>
        <v>4.94036499023</v>
      </c>
      <c r="R2642" s="40" t="str">
        <f>HYPERLINK(AA2 &amp; "/spoon/sn_ba40fee78adb5cb4d98d2dce136d0711/rendering/15.obj", "6.70393615723")</f>
        <v>6.70393615723</v>
      </c>
      <c r="S2642" s="92" t="str">
        <f>HYPERLINK(AA2 &amp; "/spoon/sn_ba40fee78adb5cb4d98d2dce136d0711/rendering/16.obj", "6.43906799316")</f>
        <v>6.43906799316</v>
      </c>
      <c r="T2642" s="60" t="str">
        <f>HYPERLINK(AA2 &amp; "/spoon/sn_ba40fee78adb5cb4d98d2dce136d0711/rendering/17.obj", "6.0246496582")</f>
        <v>6.0246496582</v>
      </c>
      <c r="U2642" s="59" t="str">
        <f>HYPERLINK(AA2 &amp; "/spoon/sn_ba40fee78adb5cb4d98d2dce136d0711/rendering/18.obj", "7.09348083496")</f>
        <v>7.09348083496</v>
      </c>
      <c r="V2642" s="70" t="str">
        <f>HYPERLINK(AA2 &amp; "/spoon/sn_ba40fee78adb5cb4d98d2dce136d0711/rendering/19.obj", "6.4608581543")</f>
        <v>6.4608581543</v>
      </c>
      <c r="W2642" s="12" t="s">
        <v>29</v>
      </c>
      <c r="X2642" s="13">
        <v>5.7259205169677738</v>
      </c>
      <c r="Y2642" s="13">
        <v>0.632831890059528</v>
      </c>
      <c r="Z2642" s="28">
        <v>0.11052055092002069</v>
      </c>
    </row>
    <row r="2643" spans="1:26" x14ac:dyDescent="0.2">
      <c r="A2643" s="1">
        <v>2641</v>
      </c>
      <c r="B2643" s="2" t="s">
        <v>561</v>
      </c>
      <c r="C2643" s="119" t="str">
        <f>HYPERLINK(AA2 &amp; "/spoon/sn_ba40fee78adb5cb4d98d2dce136d0711/rendering/00.obj", "2.15295052528")</f>
        <v>2.15295052528</v>
      </c>
      <c r="D2643" s="179" t="str">
        <f>HYPERLINK(AA2 &amp; "/spoon/sn_ba40fee78adb5cb4d98d2dce136d0711/rendering/01.obj", "1.67855548859")</f>
        <v>1.67855548859</v>
      </c>
      <c r="E2643" s="60" t="str">
        <f>HYPERLINK(AA2 &amp; "/spoon/sn_ba40fee78adb5cb4d98d2dce136d0711/rendering/02.obj", "3.08347630501")</f>
        <v>3.08347630501</v>
      </c>
      <c r="F2643" s="49" t="str">
        <f>HYPERLINK(AA2 &amp; "/spoon/sn_ba40fee78adb5cb4d98d2dce136d0711/rendering/03.obj", "2.3217484951")</f>
        <v>2.3217484951</v>
      </c>
      <c r="G2643" s="129" t="str">
        <f>HYPERLINK(AA2 &amp; "/spoon/sn_ba40fee78adb5cb4d98d2dce136d0711/rendering/04.obj", "2.19785070419")</f>
        <v>2.19785070419</v>
      </c>
      <c r="H2643" s="74" t="str">
        <f>HYPERLINK(AA2 &amp; "/spoon/sn_ba40fee78adb5cb4d98d2dce136d0711/rendering/05.obj", "2.89178562164")</f>
        <v>2.89178562164</v>
      </c>
      <c r="I2643" s="79" t="str">
        <f>HYPERLINK(AA2 &amp; "/spoon/sn_ba40fee78adb5cb4d98d2dce136d0711/rendering/06.obj", "2.46484303474")</f>
        <v>2.46484303474</v>
      </c>
      <c r="J2643" s="144" t="str">
        <f>HYPERLINK(AA2 &amp; "/spoon/sn_ba40fee78adb5cb4d98d2dce136d0711/rendering/07.obj", "1.4514528513")</f>
        <v>1.4514528513</v>
      </c>
      <c r="K2643" s="92" t="str">
        <f>HYPERLINK(AA2 &amp; "/spoon/sn_ba40fee78adb5cb4d98d2dce136d0711/rendering/08.obj", "2.56470608711")</f>
        <v>2.56470608711</v>
      </c>
      <c r="L2643" s="133" t="str">
        <f>HYPERLINK(AA2 &amp; "/spoon/sn_ba40fee78adb5cb4d98d2dce136d0711/rendering/09.obj", "3.22361087799")</f>
        <v>3.22361087799</v>
      </c>
      <c r="M2643" s="102" t="str">
        <f>HYPERLINK(AA2 &amp; "/spoon/sn_ba40fee78adb5cb4d98d2dce136d0711/rendering/10.obj", "1.47715449333")</f>
        <v>1.47715449333</v>
      </c>
      <c r="N2643" s="8" t="str">
        <f>HYPERLINK(AA2 &amp; "/spoon/sn_ba40fee78adb5cb4d98d2dce136d0711/rendering/11.obj", "2.51113629341")</f>
        <v>2.51113629341</v>
      </c>
      <c r="O2643" s="159" t="str">
        <f>HYPERLINK(AA2 &amp; "/spoon/sn_ba40fee78adb5cb4d98d2dce136d0711/rendering/12.obj", "1.55329549313")</f>
        <v>1.55329549313</v>
      </c>
      <c r="P2643" s="177" t="str">
        <f>HYPERLINK(AA2 &amp; "/spoon/sn_ba40fee78adb5cb4d98d2dce136d0711/rendering/13.obj", "1.3623739481")</f>
        <v>1.3623739481</v>
      </c>
      <c r="Q2643" s="191" t="str">
        <f>HYPERLINK(AA2 &amp; "/spoon/sn_ba40fee78adb5cb4d98d2dce136d0711/rendering/14.obj", "1.59810650349")</f>
        <v>1.59810650349</v>
      </c>
      <c r="R2643" s="20" t="str">
        <f>HYPERLINK(AA2 &amp; "/spoon/sn_ba40fee78adb5cb4d98d2dce136d0711/rendering/15.obj", "8.01055622101")</f>
        <v>8.01055622101</v>
      </c>
      <c r="S2643" s="20" t="str">
        <f>HYPERLINK(AA2 &amp; "/spoon/sn_ba40fee78adb5cb4d98d2dce136d0711/rendering/16.obj", "5.44576311111")</f>
        <v>5.44576311111</v>
      </c>
      <c r="T2643" s="34" t="str">
        <f>HYPERLINK(AA2 &amp; "/spoon/sn_ba40fee78adb5cb4d98d2dce136d0711/rendering/17.obj", "2.78922176361")</f>
        <v>2.78922176361</v>
      </c>
      <c r="U2643" s="20" t="str">
        <f>HYPERLINK(AA2 &amp; "/spoon/sn_ba40fee78adb5cb4d98d2dce136d0711/rendering/18.obj", "5.91188192368")</f>
        <v>5.91188192368</v>
      </c>
      <c r="V2643" s="54" t="str">
        <f>HYPERLINK(AA2 &amp; "/spoon/sn_ba40fee78adb5cb4d98d2dce136d0711/rendering/19.obj", "3.89091300964")</f>
        <v>3.89091300964</v>
      </c>
      <c r="W2643" s="12" t="s">
        <v>30</v>
      </c>
      <c r="X2643" s="13">
        <v>2.9290691375732418</v>
      </c>
      <c r="Y2643" s="13">
        <v>1.6749906112575881</v>
      </c>
      <c r="Z2643" s="249">
        <v>0.57185082788634056</v>
      </c>
    </row>
    <row r="2644" spans="1:26" x14ac:dyDescent="0.2">
      <c r="A2644" s="1">
        <v>2642</v>
      </c>
      <c r="B2644" s="2" t="s">
        <v>561</v>
      </c>
      <c r="C2644" s="25" t="str">
        <f>HYPERLINK(AB2 &amp; "/spoon/sn_ba40fee78adb5cb4d98d2dce136d0711/rendering/00.obj", "6.13513061523")</f>
        <v>6.13513061523</v>
      </c>
      <c r="D2644" s="110" t="str">
        <f>HYPERLINK(AB2 &amp; "/spoon/sn_ba40fee78adb5cb4d98d2dce136d0711/rendering/01.obj", "5.48344543457")</f>
        <v>5.48344543457</v>
      </c>
      <c r="E2644" s="60" t="str">
        <f>HYPERLINK(AB2 &amp; "/spoon/sn_ba40fee78adb5cb4d98d2dce136d0711/rendering/02.obj", "6.3960760498")</f>
        <v>6.3960760498</v>
      </c>
      <c r="F2644" s="71" t="str">
        <f>HYPERLINK(AB2 &amp; "/spoon/sn_ba40fee78adb5cb4d98d2dce136d0711/rendering/03.obj", "5.35427001953")</f>
        <v>5.35427001953</v>
      </c>
      <c r="G2644" s="30" t="str">
        <f>HYPERLINK(AB2 &amp; "/spoon/sn_ba40fee78adb5cb4d98d2dce136d0711/rendering/04.obj", "6.05285949707")</f>
        <v>6.05285949707</v>
      </c>
      <c r="H2644" s="107" t="str">
        <f>HYPERLINK(AB2 &amp; "/spoon/sn_ba40fee78adb5cb4d98d2dce136d0711/rendering/05.obj", "6.57347167969")</f>
        <v>6.57347167969</v>
      </c>
      <c r="I2644" s="32" t="str">
        <f>HYPERLINK(AB2 &amp; "/spoon/sn_ba40fee78adb5cb4d98d2dce136d0711/rendering/06.obj", "5.43760986328")</f>
        <v>5.43760986328</v>
      </c>
      <c r="J2644" s="73" t="str">
        <f>HYPERLINK(AB2 &amp; "/spoon/sn_ba40fee78adb5cb4d98d2dce136d0711/rendering/07.obj", "5.86411865234")</f>
        <v>5.86411865234</v>
      </c>
      <c r="K2644" s="90" t="str">
        <f>HYPERLINK(AB2 &amp; "/spoon/sn_ba40fee78adb5cb4d98d2dce136d0711/rendering/08.obj", "6.6540637207")</f>
        <v>6.6540637207</v>
      </c>
      <c r="L2644" s="110" t="str">
        <f>HYPERLINK(AB2 &amp; "/spoon/sn_ba40fee78adb5cb4d98d2dce136d0711/rendering/09.obj", "5.47713623047")</f>
        <v>5.47713623047</v>
      </c>
      <c r="M2644" s="13" t="str">
        <f>HYPERLINK(AB2 &amp; "/spoon/sn_ba40fee78adb5cb4d98d2dce136d0711/rendering/10.obj", "6.06424804687")</f>
        <v>6.06424804687</v>
      </c>
      <c r="N2644" s="38" t="str">
        <f>HYPERLINK(AB2 &amp; "/spoon/sn_ba40fee78adb5cb4d98d2dce136d0711/rendering/11.obj", "5.53248474121")</f>
        <v>5.53248474121</v>
      </c>
      <c r="O2644" s="41" t="str">
        <f>HYPERLINK(AB2 &amp; "/spoon/sn_ba40fee78adb5cb4d98d2dce136d0711/rendering/12.obj", "6.48691345215")</f>
        <v>6.48691345215</v>
      </c>
      <c r="P2644" s="94" t="str">
        <f>HYPERLINK(AB2 &amp; "/spoon/sn_ba40fee78adb5cb4d98d2dce136d0711/rendering/13.obj", "5.63718383789")</f>
        <v>5.63718383789</v>
      </c>
      <c r="Q2644" s="93" t="str">
        <f>HYPERLINK(AB2 &amp; "/spoon/sn_ba40fee78adb5cb4d98d2dce136d0711/rendering/14.obj", "5.23256835938")</f>
        <v>5.23256835938</v>
      </c>
      <c r="R2644" s="172" t="str">
        <f>HYPERLINK(AB2 &amp; "/spoon/sn_ba40fee78adb5cb4d98d2dce136d0711/rendering/15.obj", "8.41601928711")</f>
        <v>8.41601928711</v>
      </c>
      <c r="S2644" s="27" t="str">
        <f>HYPERLINK(AB2 &amp; "/spoon/sn_ba40fee78adb5cb4d98d2dce136d0711/rendering/16.obj", "5.64803283691")</f>
        <v>5.64803283691</v>
      </c>
      <c r="T2644" s="10" t="str">
        <f>HYPERLINK(AB2 &amp; "/spoon/sn_ba40fee78adb5cb4d98d2dce136d0711/rendering/17.obj", "6.40710876465")</f>
        <v>6.40710876465</v>
      </c>
      <c r="U2644" s="34" t="str">
        <f>HYPERLINK(AB2 &amp; "/spoon/sn_ba40fee78adb5cb4d98d2dce136d0711/rendering/18.obj", "6.36914001465")</f>
        <v>6.36914001465</v>
      </c>
      <c r="V2644" s="23" t="str">
        <f>HYPERLINK(AB2 &amp; "/spoon/sn_ba40fee78adb5cb4d98d2dce136d0711/rendering/19.obj", "6.31843811035")</f>
        <v>6.31843811035</v>
      </c>
      <c r="W2644" s="12" t="s">
        <v>31</v>
      </c>
      <c r="X2644" s="13">
        <v>6.0770159606933607</v>
      </c>
      <c r="Y2644" s="13">
        <v>0.69471951502730112</v>
      </c>
      <c r="Z2644" s="106">
        <v>0.1143191855214474</v>
      </c>
    </row>
    <row r="2645" spans="1:26" x14ac:dyDescent="0.2">
      <c r="A2645" s="1">
        <v>2643</v>
      </c>
      <c r="B2645" s="2" t="s">
        <v>561</v>
      </c>
      <c r="C2645" s="99" t="str">
        <f>HYPERLINK(AB2 &amp; "/spoon/sn_ba40fee78adb5cb4d98d2dce136d0711/rendering/00.obj", "1.59333121777")</f>
        <v>1.59333121777</v>
      </c>
      <c r="D2645" s="61" t="str">
        <f>HYPERLINK(AB2 &amp; "/spoon/sn_ba40fee78adb5cb4d98d2dce136d0711/rendering/01.obj", "1.52374958992")</f>
        <v>1.52374958992</v>
      </c>
      <c r="E2645" s="67" t="str">
        <f>HYPERLINK(AB2 &amp; "/spoon/sn_ba40fee78adb5cb4d98d2dce136d0711/rendering/02.obj", "2.38813447952")</f>
        <v>2.38813447952</v>
      </c>
      <c r="F2645" s="98" t="str">
        <f>HYPERLINK(AB2 &amp; "/spoon/sn_ba40fee78adb5cb4d98d2dce136d0711/rendering/03.obj", "1.68189895153")</f>
        <v>1.68189895153</v>
      </c>
      <c r="G2645" s="33" t="str">
        <f>HYPERLINK(AB2 &amp; "/spoon/sn_ba40fee78adb5cb4d98d2dce136d0711/rendering/04.obj", "1.94794559479")</f>
        <v>1.94794559479</v>
      </c>
      <c r="H2645" s="179" t="str">
        <f>HYPERLINK(AB2 &amp; "/spoon/sn_ba40fee78adb5cb4d98d2dce136d0711/rendering/05.obj", "3.11885237694")</f>
        <v>3.11885237694</v>
      </c>
      <c r="I2645" s="29" t="str">
        <f>HYPERLINK(AB2 &amp; "/spoon/sn_ba40fee78adb5cb4d98d2dce136d0711/rendering/06.obj", "1.89838600159")</f>
        <v>1.89838600159</v>
      </c>
      <c r="J2645" s="61" t="str">
        <f>HYPERLINK(AB2 &amp; "/spoon/sn_ba40fee78adb5cb4d98d2dce136d0711/rendering/07.obj", "1.52096307278")</f>
        <v>1.52096307278</v>
      </c>
      <c r="K2645" s="176" t="str">
        <f>HYPERLINK(AB2 &amp; "/spoon/sn_ba40fee78adb5cb4d98d2dce136d0711/rendering/08.obj", "1.48712968826")</f>
        <v>1.48712968826</v>
      </c>
      <c r="L2645" s="5" t="str">
        <f>HYPERLINK(AB2 &amp; "/spoon/sn_ba40fee78adb5cb4d98d2dce136d0711/rendering/09.obj", "2.01654577255")</f>
        <v>2.01654577255</v>
      </c>
      <c r="M2645" s="120" t="str">
        <f>HYPERLINK(AB2 &amp; "/spoon/sn_ba40fee78adb5cb4d98d2dce136d0711/rendering/10.obj", "1.71902251244")</f>
        <v>1.71902251244</v>
      </c>
      <c r="N2645" s="117" t="str">
        <f>HYPERLINK(AB2 &amp; "/spoon/sn_ba40fee78adb5cb4d98d2dce136d0711/rendering/11.obj", "1.79873621464")</f>
        <v>1.79873621464</v>
      </c>
      <c r="O2645" s="14" t="str">
        <f>HYPERLINK(AB2 &amp; "/spoon/sn_ba40fee78adb5cb4d98d2dce136d0711/rendering/12.obj", "1.54894673824")</f>
        <v>1.54894673824</v>
      </c>
      <c r="P2645" s="87" t="str">
        <f>HYPERLINK(AB2 &amp; "/spoon/sn_ba40fee78adb5cb4d98d2dce136d0711/rendering/13.obj", "1.6908121109")</f>
        <v>1.6908121109</v>
      </c>
      <c r="Q2645" s="44" t="str">
        <f>HYPERLINK(AB2 &amp; "/spoon/sn_ba40fee78adb5cb4d98d2dce136d0711/rendering/14.obj", "1.75927877426")</f>
        <v>1.75927877426</v>
      </c>
      <c r="R2645" s="20" t="str">
        <f>HYPERLINK(AB2 &amp; "/spoon/sn_ba40fee78adb5cb4d98d2dce136d0711/rendering/15.obj", "7.43737268448")</f>
        <v>7.43737268448</v>
      </c>
      <c r="S2645" s="80" t="str">
        <f>HYPERLINK(AB2 &amp; "/spoon/sn_ba40fee78adb5cb4d98d2dce136d0711/rendering/16.obj", "2.51079082489")</f>
        <v>2.51079082489</v>
      </c>
      <c r="T2645" s="59" t="str">
        <f>HYPERLINK(AB2 &amp; "/spoon/sn_ba40fee78adb5cb4d98d2dce136d0711/rendering/17.obj", "1.65988433361")</f>
        <v>1.65988433361</v>
      </c>
      <c r="U2645" s="82" t="str">
        <f>HYPERLINK(AB2 &amp; "/spoon/sn_ba40fee78adb5cb4d98d2dce136d0711/rendering/18.obj", "2.63342428207")</f>
        <v>2.63342428207</v>
      </c>
      <c r="V2645" s="50" t="str">
        <f>HYPERLINK(AB2 &amp; "/spoon/sn_ba40fee78adb5cb4d98d2dce136d0711/rendering/19.obj", "1.74989545345")</f>
        <v>1.74989545345</v>
      </c>
      <c r="W2645" s="12" t="s">
        <v>32</v>
      </c>
      <c r="X2645" s="13">
        <v>2.184255033731461</v>
      </c>
      <c r="Y2645" s="13">
        <v>1.27680301280813</v>
      </c>
      <c r="Z2645" s="161">
        <v>0.58454850422247207</v>
      </c>
    </row>
    <row r="2646" spans="1:26" x14ac:dyDescent="0.2">
      <c r="A2646" s="1">
        <v>2644</v>
      </c>
      <c r="B2646" s="2" t="s">
        <v>561</v>
      </c>
      <c r="C2646" s="13" t="str">
        <f>HYPERLINK(AC2 &amp; "/spoon/sn_ba40fee78adb5cb4d98d2dce136d0711/rendering/00.xyz", "0.0")</f>
        <v>0.0</v>
      </c>
      <c r="D2646" s="13" t="str">
        <f>HYPERLINK(AC2 &amp; "/spoon/sn_ba40fee78adb5cb4d98d2dce136d0711/rendering/01.xyz", "0.0")</f>
        <v>0.0</v>
      </c>
      <c r="E2646" s="13" t="str">
        <f>HYPERLINK(AC2 &amp; "/spoon/sn_ba40fee78adb5cb4d98d2dce136d0711/rendering/02.xyz", "0.0")</f>
        <v>0.0</v>
      </c>
      <c r="F2646" s="13" t="str">
        <f>HYPERLINK(AC2 &amp; "/spoon/sn_ba40fee78adb5cb4d98d2dce136d0711/rendering/03.xyz", "0.0")</f>
        <v>0.0</v>
      </c>
      <c r="G2646" s="13" t="str">
        <f>HYPERLINK(AC2 &amp; "/spoon/sn_ba40fee78adb5cb4d98d2dce136d0711/rendering/04.xyz", "0.0")</f>
        <v>0.0</v>
      </c>
      <c r="H2646" s="13" t="str">
        <f>HYPERLINK(AC2 &amp; "/spoon/sn_ba40fee78adb5cb4d98d2dce136d0711/rendering/05.xyz", "0.0")</f>
        <v>0.0</v>
      </c>
      <c r="I2646" s="13" t="str">
        <f>HYPERLINK(AC2 &amp; "/spoon/sn_ba40fee78adb5cb4d98d2dce136d0711/rendering/06.xyz", "0.0")</f>
        <v>0.0</v>
      </c>
      <c r="J2646" s="13" t="str">
        <f>HYPERLINK(AC2 &amp; "/spoon/sn_ba40fee78adb5cb4d98d2dce136d0711/rendering/07.xyz", "0.0")</f>
        <v>0.0</v>
      </c>
      <c r="K2646" s="13" t="str">
        <f>HYPERLINK(AC2 &amp; "/spoon/sn_ba40fee78adb5cb4d98d2dce136d0711/rendering/08.xyz", "0.0")</f>
        <v>0.0</v>
      </c>
      <c r="L2646" s="13" t="str">
        <f>HYPERLINK(AC2 &amp; "/spoon/sn_ba40fee78adb5cb4d98d2dce136d0711/rendering/09.xyz", "0.0")</f>
        <v>0.0</v>
      </c>
      <c r="M2646" s="13" t="str">
        <f>HYPERLINK(AC2 &amp; "/spoon/sn_ba40fee78adb5cb4d98d2dce136d0711/rendering/10.xyz", "0.0")</f>
        <v>0.0</v>
      </c>
      <c r="N2646" s="13" t="str">
        <f>HYPERLINK(AC2 &amp; "/spoon/sn_ba40fee78adb5cb4d98d2dce136d0711/rendering/11.xyz", "0.0")</f>
        <v>0.0</v>
      </c>
      <c r="O2646" s="13" t="str">
        <f>HYPERLINK(AC2 &amp; "/spoon/sn_ba40fee78adb5cb4d98d2dce136d0711/rendering/12.xyz", "0.0")</f>
        <v>0.0</v>
      </c>
      <c r="P2646" s="13" t="str">
        <f>HYPERLINK(AC2 &amp; "/spoon/sn_ba40fee78adb5cb4d98d2dce136d0711/rendering/13.xyz", "0.0")</f>
        <v>0.0</v>
      </c>
      <c r="Q2646" s="13" t="str">
        <f>HYPERLINK(AC2 &amp; "/spoon/sn_ba40fee78adb5cb4d98d2dce136d0711/rendering/14.xyz", "0.0")</f>
        <v>0.0</v>
      </c>
      <c r="R2646" s="13" t="str">
        <f>HYPERLINK(AC2 &amp; "/spoon/sn_ba40fee78adb5cb4d98d2dce136d0711/rendering/15.xyz", "0.0")</f>
        <v>0.0</v>
      </c>
      <c r="S2646" s="13" t="str">
        <f>HYPERLINK(AC2 &amp; "/spoon/sn_ba40fee78adb5cb4d98d2dce136d0711/rendering/16.xyz", "0.0")</f>
        <v>0.0</v>
      </c>
      <c r="T2646" s="13" t="str">
        <f>HYPERLINK(AC2 &amp; "/spoon/sn_ba40fee78adb5cb4d98d2dce136d0711/rendering/17.xyz", "0.0")</f>
        <v>0.0</v>
      </c>
      <c r="U2646" s="13" t="str">
        <f>HYPERLINK(AC2 &amp; "/spoon/sn_ba40fee78adb5cb4d98d2dce136d0711/rendering/18.xyz", "0.0")</f>
        <v>0.0</v>
      </c>
      <c r="V2646" s="13" t="str">
        <f>HYPERLINK(AC2 &amp; "/spoon/sn_ba40fee78adb5cb4d98d2dce136d0711/rendering/19.xyz", "0.0")</f>
        <v>0.0</v>
      </c>
      <c r="W2646" s="12" t="s">
        <v>33</v>
      </c>
      <c r="X2646" s="13">
        <v>0</v>
      </c>
      <c r="Y2646" s="13">
        <v>0</v>
      </c>
      <c r="Z2646" s="13">
        <v>0</v>
      </c>
    </row>
    <row r="2647" spans="1:26" x14ac:dyDescent="0.2">
      <c r="A2647" s="1">
        <v>2645</v>
      </c>
      <c r="B2647" s="2" t="s">
        <v>562</v>
      </c>
      <c r="C2647" s="43" t="str">
        <f>HYPERLINK(AA2 &amp; "/spoon/sn_c021b5cae6810cb0976875314667adbf/rendering/00.obj", "7.90795166016")</f>
        <v>7.90795166016</v>
      </c>
      <c r="D2647" s="233" t="str">
        <f>HYPERLINK(AA2 &amp; "/spoon/sn_c021b5cae6810cb0976875314667adbf/rendering/01.obj", "21.4877587891")</f>
        <v>21.4877587891</v>
      </c>
      <c r="E2647" s="171" t="str">
        <f>HYPERLINK(AA2 &amp; "/spoon/sn_c021b5cae6810cb0976875314667adbf/rendering/02.obj", "8.75652893066")</f>
        <v>8.75652893066</v>
      </c>
      <c r="F2647" s="19" t="str">
        <f>HYPERLINK(AA2 &amp; "/spoon/sn_c021b5cae6810cb0976875314667adbf/rendering/03.obj", "9.32321044922")</f>
        <v>9.32321044922</v>
      </c>
      <c r="G2647" s="127" t="str">
        <f>HYPERLINK(AA2 &amp; "/spoon/sn_c021b5cae6810cb0976875314667adbf/rendering/04.obj", "6.06216186523")</f>
        <v>6.06216186523</v>
      </c>
      <c r="H2647" s="159" t="str">
        <f>HYPERLINK(AA2 &amp; "/spoon/sn_c021b5cae6810cb0976875314667adbf/rendering/05.obj", "6.72639465332")</f>
        <v>6.72639465332</v>
      </c>
      <c r="I2647" s="192" t="str">
        <f>HYPERLINK(AA2 &amp; "/spoon/sn_c021b5cae6810cb0976875314667adbf/rendering/06.obj", "17.3198193359")</f>
        <v>17.3198193359</v>
      </c>
      <c r="J2647" s="143" t="str">
        <f>HYPERLINK(AA2 &amp; "/spoon/sn_c021b5cae6810cb0976875314667adbf/rendering/07.obj", "6.67822143555")</f>
        <v>6.67822143555</v>
      </c>
      <c r="K2647" s="33" t="str">
        <f>HYPERLINK(AA2 &amp; "/spoon/sn_c021b5cae6810cb0976875314667adbf/rendering/08.obj", "11.2727490234")</f>
        <v>11.2727490234</v>
      </c>
      <c r="L2647" s="22" t="str">
        <f>HYPERLINK(AA2 &amp; "/spoon/sn_c021b5cae6810cb0976875314667adbf/rendering/09.obj", "6.04424926758")</f>
        <v>6.04424926758</v>
      </c>
      <c r="M2647" s="114" t="str">
        <f>HYPERLINK(AA2 &amp; "/spoon/sn_c021b5cae6810cb0976875314667adbf/rendering/10.obj", "6.81556762695")</f>
        <v>6.81556762695</v>
      </c>
      <c r="N2647" s="134" t="str">
        <f>HYPERLINK(AA2 &amp; "/spoon/sn_c021b5cae6810cb0976875314667adbf/rendering/11.obj", "10.3628149414")</f>
        <v>10.3628149414</v>
      </c>
      <c r="O2647" s="213" t="str">
        <f>HYPERLINK(AA2 &amp; "/spoon/sn_c021b5cae6810cb0976875314667adbf/rendering/12.obj", "6.4003125")</f>
        <v>6.4003125</v>
      </c>
      <c r="P2647" s="33" t="str">
        <f>HYPERLINK(AA2 &amp; "/spoon/sn_c021b5cae6810cb0976875314667adbf/rendering/13.obj", "11.2602954102")</f>
        <v>11.2602954102</v>
      </c>
      <c r="Q2647" s="20" t="str">
        <f>HYPERLINK(AA2 &amp; "/spoon/sn_c021b5cae6810cb0976875314667adbf/rendering/14.obj", "32.1077832031")</f>
        <v>32.1077832031</v>
      </c>
      <c r="R2647" s="188" t="str">
        <f>HYPERLINK(AA2 &amp; "/spoon/sn_c021b5cae6810cb0976875314667adbf/rendering/15.obj", "21.6900585937")</f>
        <v>21.6900585937</v>
      </c>
      <c r="S2647" s="47" t="str">
        <f>HYPERLINK(AA2 &amp; "/spoon/sn_c021b5cae6810cb0976875314667adbf/rendering/16.obj", "12.5180773926")</f>
        <v>12.5180773926</v>
      </c>
      <c r="T2647" s="20" t="str">
        <f>HYPERLINK(AA2 &amp; "/spoon/sn_c021b5cae6810cb0976875314667adbf/rendering/17.obj", "30.5760791016")</f>
        <v>30.5760791016</v>
      </c>
      <c r="U2647" s="82" t="str">
        <f>HYPERLINK(AA2 &amp; "/spoon/sn_c021b5cae6810cb0976875314667adbf/rendering/18.obj", "10.0400366211")</f>
        <v>10.0400366211</v>
      </c>
      <c r="V2647" s="19" t="str">
        <f>HYPERLINK(AA2 &amp; "/spoon/sn_c021b5cae6810cb0976875314667adbf/rendering/19.obj", "9.32589172363")</f>
        <v>9.32589172363</v>
      </c>
      <c r="W2647" s="12" t="s">
        <v>29</v>
      </c>
      <c r="X2647" s="13">
        <v>12.633798126220711</v>
      </c>
      <c r="Y2647" s="13">
        <v>7.7075230166384321</v>
      </c>
      <c r="Z2647" s="246">
        <v>0.61007172503745499</v>
      </c>
    </row>
    <row r="2648" spans="1:26" x14ac:dyDescent="0.2">
      <c r="A2648" s="1">
        <v>2646</v>
      </c>
      <c r="B2648" s="2" t="s">
        <v>562</v>
      </c>
      <c r="C2648" s="256" t="str">
        <f>HYPERLINK(AA2 &amp; "/spoon/sn_c021b5cae6810cb0976875314667adbf/rendering/00.obj", "14.2363882065")</f>
        <v>14.2363882065</v>
      </c>
      <c r="D2648" s="182" t="str">
        <f>HYPERLINK(AA2 &amp; "/spoon/sn_c021b5cae6810cb0976875314667adbf/rendering/01.obj", "49.9016532898")</f>
        <v>49.9016532898</v>
      </c>
      <c r="E2648" s="227" t="str">
        <f>HYPERLINK(AA2 &amp; "/spoon/sn_c021b5cae6810cb0976875314667adbf/rendering/02.obj", "18.333152771")</f>
        <v>18.333152771</v>
      </c>
      <c r="F2648" s="150" t="str">
        <f>HYPERLINK(AA2 &amp; "/spoon/sn_c021b5cae6810cb0976875314667adbf/rendering/03.obj", "17.3218135834")</f>
        <v>17.3218135834</v>
      </c>
      <c r="G2648" s="112" t="str">
        <f>HYPERLINK(AA2 &amp; "/spoon/sn_c021b5cae6810cb0976875314667adbf/rendering/04.obj", "15.1217050552")</f>
        <v>15.1217050552</v>
      </c>
      <c r="H2648" s="250" t="str">
        <f>HYPERLINK(AA2 &amp; "/spoon/sn_c021b5cae6810cb0976875314667adbf/rendering/05.obj", "11.7355823517")</f>
        <v>11.7355823517</v>
      </c>
      <c r="I2648" s="33" t="str">
        <f>HYPERLINK(AA2 &amp; "/spoon/sn_c021b5cae6810cb0976875314667adbf/rendering/06.obj", "41.3876533508")</f>
        <v>41.3876533508</v>
      </c>
      <c r="J2648" s="20" t="str">
        <f>HYPERLINK(AA2 &amp; "/spoon/sn_c021b5cae6810cb0976875314667adbf/rendering/07.obj", "6.93599510193")</f>
        <v>6.93599510193</v>
      </c>
      <c r="K2648" s="58" t="str">
        <f>HYPERLINK(AA2 &amp; "/spoon/sn_c021b5cae6810cb0976875314667adbf/rendering/08.obj", "28.3368015289")</f>
        <v>28.3368015289</v>
      </c>
      <c r="L2648" s="115" t="str">
        <f>HYPERLINK(AA2 &amp; "/spoon/sn_c021b5cae6810cb0976875314667adbf/rendering/09.obj", "13.4948759079")</f>
        <v>13.4948759079</v>
      </c>
      <c r="M2648" s="217" t="str">
        <f>HYPERLINK(AA2 &amp; "/spoon/sn_c021b5cae6810cb0976875314667adbf/rendering/10.obj", "13.6996221542")</f>
        <v>13.6996221542</v>
      </c>
      <c r="N2648" s="195" t="str">
        <f>HYPERLINK(AA2 &amp; "/spoon/sn_c021b5cae6810cb0976875314667adbf/rendering/11.obj", "16.9313716888")</f>
        <v>16.9313716888</v>
      </c>
      <c r="O2648" s="205" t="str">
        <f>HYPERLINK(AA2 &amp; "/spoon/sn_c021b5cae6810cb0976875314667adbf/rendering/12.obj", "12.5105705261")</f>
        <v>12.5105705261</v>
      </c>
      <c r="P2648" s="104" t="str">
        <f>HYPERLINK(AA2 &amp; "/spoon/sn_c021b5cae6810cb0976875314667adbf/rendering/13.obj", "19.651058197")</f>
        <v>19.651058197</v>
      </c>
      <c r="Q2648" s="20" t="str">
        <f>HYPERLINK(AA2 &amp; "/spoon/sn_c021b5cae6810cb0976875314667adbf/rendering/14.obj", "184.502853394")</f>
        <v>184.502853394</v>
      </c>
      <c r="R2648" s="20" t="str">
        <f>HYPERLINK(AA2 &amp; "/spoon/sn_c021b5cae6810cb0976875314667adbf/rendering/15.obj", "85.1024856567")</f>
        <v>85.1024856567</v>
      </c>
      <c r="S2648" s="138" t="str">
        <f>HYPERLINK(AA2 &amp; "/spoon/sn_c021b5cae6810cb0976875314667adbf/rendering/16.obj", "24.7146873474")</f>
        <v>24.7146873474</v>
      </c>
      <c r="T2648" s="20" t="str">
        <f>HYPERLINK(AA2 &amp; "/spoon/sn_c021b5cae6810cb0976875314667adbf/rendering/17.obj", "146.929504395")</f>
        <v>146.929504395</v>
      </c>
      <c r="U2648" s="161" t="str">
        <f>HYPERLINK(AA2 &amp; "/spoon/sn_c021b5cae6810cb0976875314667adbf/rendering/18.obj", "15.5475749969")</f>
        <v>15.5475749969</v>
      </c>
      <c r="V2648" s="238" t="str">
        <f>HYPERLINK(AA2 &amp; "/spoon/sn_c021b5cae6810cb0976875314667adbf/rendering/19.obj", "11.0165481567")</f>
        <v>11.0165481567</v>
      </c>
      <c r="W2648" s="12" t="s">
        <v>30</v>
      </c>
      <c r="X2648" s="13">
        <v>37.370594882965086</v>
      </c>
      <c r="Y2648" s="13">
        <v>46.56889833715465</v>
      </c>
      <c r="Z2648" s="20">
        <v>1.246137464040812</v>
      </c>
    </row>
    <row r="2649" spans="1:26" x14ac:dyDescent="0.2">
      <c r="A2649" s="1">
        <v>2647</v>
      </c>
      <c r="B2649" s="2" t="s">
        <v>562</v>
      </c>
      <c r="C2649" s="46" t="str">
        <f>HYPERLINK(AB2 &amp; "/spoon/sn_c021b5cae6810cb0976875314667adbf/rendering/00.obj", "6.61770874023")</f>
        <v>6.61770874023</v>
      </c>
      <c r="D2649" s="79" t="str">
        <f>HYPERLINK(AB2 &amp; "/spoon/sn_c021b5cae6810cb0976875314667adbf/rendering/01.obj", "5.66150756836")</f>
        <v>5.66150756836</v>
      </c>
      <c r="E2649" s="37" t="str">
        <f>HYPERLINK(AB2 &amp; "/spoon/sn_c021b5cae6810cb0976875314667adbf/rendering/02.obj", "7.91102539063")</f>
        <v>7.91102539063</v>
      </c>
      <c r="F2649" s="69" t="str">
        <f>HYPERLINK(AB2 &amp; "/spoon/sn_c021b5cae6810cb0976875314667adbf/rendering/03.obj", "6.94319641113")</f>
        <v>6.94319641113</v>
      </c>
      <c r="G2649" s="46" t="str">
        <f>HYPERLINK(AB2 &amp; "/spoon/sn_c021b5cae6810cb0976875314667adbf/rendering/04.obj", "6.6085168457")</f>
        <v>6.6085168457</v>
      </c>
      <c r="H2649" s="66" t="str">
        <f>HYPERLINK(AB2 &amp; "/spoon/sn_c021b5cae6810cb0976875314667adbf/rendering/05.obj", "5.63635986328")</f>
        <v>5.63635986328</v>
      </c>
      <c r="I2649" s="10" t="str">
        <f>HYPERLINK(AB2 &amp; "/spoon/sn_c021b5cae6810cb0976875314667adbf/rendering/06.obj", "6.36072998047")</f>
        <v>6.36072998047</v>
      </c>
      <c r="J2649" s="110" t="str">
        <f>HYPERLINK(AB2 &amp; "/spoon/sn_c021b5cae6810cb0976875314667adbf/rendering/07.obj", "7.39081665039")</f>
        <v>7.39081665039</v>
      </c>
      <c r="K2649" s="120" t="str">
        <f>HYPERLINK(AB2 &amp; "/spoon/sn_c021b5cae6810cb0976875314667adbf/rendering/08.obj", "8.16031738281")</f>
        <v>8.16031738281</v>
      </c>
      <c r="L2649" s="132" t="str">
        <f>HYPERLINK(AB2 &amp; "/spoon/sn_c021b5cae6810cb0976875314667adbf/rendering/09.obj", "3.90760803223")</f>
        <v>3.90760803223</v>
      </c>
      <c r="M2649" s="99" t="str">
        <f>HYPERLINK(AB2 &amp; "/spoon/sn_c021b5cae6810cb0976875314667adbf/rendering/10.obj", "8.57245666504")</f>
        <v>8.57245666504</v>
      </c>
      <c r="N2649" s="49" t="str">
        <f>HYPERLINK(AB2 &amp; "/spoon/sn_c021b5cae6810cb0976875314667adbf/rendering/11.obj", "8.13885864258")</f>
        <v>8.13885864258</v>
      </c>
      <c r="O2649" s="81" t="str">
        <f>HYPERLINK(AB2 &amp; "/spoon/sn_c021b5cae6810cb0976875314667adbf/rendering/12.obj", "8.20196472168")</f>
        <v>8.20196472168</v>
      </c>
      <c r="P2649" s="137" t="str">
        <f>HYPERLINK(AB2 &amp; "/spoon/sn_c021b5cae6810cb0976875314667adbf/rendering/13.obj", "9.19977966309")</f>
        <v>9.19977966309</v>
      </c>
      <c r="Q2649" s="109" t="str">
        <f>HYPERLINK(AB2 &amp; "/spoon/sn_c021b5cae6810cb0976875314667adbf/rendering/14.obj", "5.44631958008")</f>
        <v>5.44631958008</v>
      </c>
      <c r="R2649" s="36" t="str">
        <f>HYPERLINK(AB2 &amp; "/spoon/sn_c021b5cae6810cb0976875314667adbf/rendering/15.obj", "8.18963195801")</f>
        <v>8.18963195801</v>
      </c>
      <c r="S2649" s="27" t="str">
        <f>HYPERLINK(AB2 &amp; "/spoon/sn_c021b5cae6810cb0976875314667adbf/rendering/16.obj", "6.25900817871")</f>
        <v>6.25900817871</v>
      </c>
      <c r="T2649" s="50" t="str">
        <f>HYPERLINK(AB2 &amp; "/spoon/sn_c021b5cae6810cb0976875314667adbf/rendering/17.obj", "5.39861450195")</f>
        <v>5.39861450195</v>
      </c>
      <c r="U2649" s="75" t="str">
        <f>HYPERLINK(AB2 &amp; "/spoon/sn_c021b5cae6810cb0976875314667adbf/rendering/18.obj", "5.25399536133")</f>
        <v>5.25399536133</v>
      </c>
      <c r="V2649" s="95" t="str">
        <f>HYPERLINK(AB2 &amp; "/spoon/sn_c021b5cae6810cb0976875314667adbf/rendering/19.obj", "4.83589111328")</f>
        <v>4.83589111328</v>
      </c>
      <c r="W2649" s="12" t="s">
        <v>31</v>
      </c>
      <c r="X2649" s="13">
        <v>6.7347153625488287</v>
      </c>
      <c r="Y2649" s="13">
        <v>1.406675249872974</v>
      </c>
      <c r="Z2649" s="49">
        <v>0.2088692950106508</v>
      </c>
    </row>
    <row r="2650" spans="1:26" x14ac:dyDescent="0.2">
      <c r="A2650" s="1">
        <v>2648</v>
      </c>
      <c r="B2650" s="2" t="s">
        <v>562</v>
      </c>
      <c r="C2650" s="73" t="str">
        <f>HYPERLINK(AB2 &amp; "/spoon/sn_c021b5cae6810cb0976875314667adbf/rendering/00.obj", "11.2781467438")</f>
        <v>11.2781467438</v>
      </c>
      <c r="D2650" s="124" t="str">
        <f>HYPERLINK(AB2 &amp; "/spoon/sn_c021b5cae6810cb0976875314667adbf/rendering/01.obj", "7.2485742569")</f>
        <v>7.2485742569</v>
      </c>
      <c r="E2650" s="88" t="str">
        <f>HYPERLINK(AB2 &amp; "/spoon/sn_c021b5cae6810cb0976875314667adbf/rendering/02.obj", "14.0698575974")</f>
        <v>14.0698575974</v>
      </c>
      <c r="F2650" s="86" t="str">
        <f>HYPERLINK(AB2 &amp; "/spoon/sn_c021b5cae6810cb0976875314667adbf/rendering/03.obj", "14.8395853043")</f>
        <v>14.8395853043</v>
      </c>
      <c r="G2650" s="84" t="str">
        <f>HYPERLINK(AB2 &amp; "/spoon/sn_c021b5cae6810cb0976875314667adbf/rendering/04.obj", "13.389966011")</f>
        <v>13.389966011</v>
      </c>
      <c r="H2650" s="71" t="str">
        <f>HYPERLINK(AB2 &amp; "/spoon/sn_c021b5cae6810cb0976875314667adbf/rendering/05.obj", "10.3357963562")</f>
        <v>10.3357963562</v>
      </c>
      <c r="I2650" s="92" t="str">
        <f>HYPERLINK(AB2 &amp; "/spoon/sn_c021b5cae6810cb0976875314667adbf/rendering/06.obj", "10.2645864487")</f>
        <v>10.2645864487</v>
      </c>
      <c r="J2650" s="32" t="str">
        <f>HYPERLINK(AB2 &amp; "/spoon/sn_c021b5cae6810cb0976875314667adbf/rendering/07.obj", "10.4842176437")</f>
        <v>10.4842176437</v>
      </c>
      <c r="K2650" s="245" t="str">
        <f>HYPERLINK(AB2 &amp; "/spoon/sn_c021b5cae6810cb0976875314667adbf/rendering/08.obj", "20.1081161499")</f>
        <v>20.1081161499</v>
      </c>
      <c r="L2650" s="105" t="str">
        <f>HYPERLINK(AB2 &amp; "/spoon/sn_c021b5cae6810cb0976875314667adbf/rendering/09.obj", "5.6962351799")</f>
        <v>5.6962351799</v>
      </c>
      <c r="M2650" s="27" t="str">
        <f>HYPERLINK(AB2 &amp; "/spoon/sn_c021b5cae6810cb0976875314667adbf/rendering/10.obj", "12.523106575")</f>
        <v>12.523106575</v>
      </c>
      <c r="N2650" s="91" t="str">
        <f>HYPERLINK(AB2 &amp; "/spoon/sn_c021b5cae6810cb0976875314667adbf/rendering/11.obj", "11.9959459305")</f>
        <v>11.9959459305</v>
      </c>
      <c r="O2650" s="127" t="str">
        <f>HYPERLINK(AB2 &amp; "/spoon/sn_c021b5cae6810cb0976875314667adbf/rendering/12.obj", "17.7858562469")</f>
        <v>17.7858562469</v>
      </c>
      <c r="P2650" s="167" t="str">
        <f>HYPERLINK(AB2 &amp; "/spoon/sn_c021b5cae6810cb0976875314667adbf/rendering/13.obj", "18.7657928467")</f>
        <v>18.7657928467</v>
      </c>
      <c r="Q2650" s="100" t="str">
        <f>HYPERLINK(AB2 &amp; "/spoon/sn_c021b5cae6810cb0976875314667adbf/rendering/14.obj", "8.21058750153")</f>
        <v>8.21058750153</v>
      </c>
      <c r="R2650" s="49" t="str">
        <f>HYPERLINK(AB2 &amp; "/spoon/sn_c021b5cae6810cb0976875314667adbf/rendering/15.obj", "14.1304368973")</f>
        <v>14.1304368973</v>
      </c>
      <c r="S2650" s="90" t="str">
        <f>HYPERLINK(AB2 &amp; "/spoon/sn_c021b5cae6810cb0976875314667adbf/rendering/16.obj", "10.5771589279")</f>
        <v>10.5771589279</v>
      </c>
      <c r="T2650" s="182" t="str">
        <f>HYPERLINK(AB2 &amp; "/spoon/sn_c021b5cae6810cb0976875314667adbf/rendering/17.obj", "7.77988624573")</f>
        <v>7.77988624573</v>
      </c>
      <c r="U2650" s="100" t="str">
        <f>HYPERLINK(AB2 &amp; "/spoon/sn_c021b5cae6810cb0976875314667adbf/rendering/18.obj", "8.18305969238")</f>
        <v>8.18305969238</v>
      </c>
      <c r="V2650" s="230" t="str">
        <f>HYPERLINK(AB2 &amp; "/spoon/sn_c021b5cae6810cb0976875314667adbf/rendering/19.obj", "6.35360622406")</f>
        <v>6.35360622406</v>
      </c>
      <c r="W2650" s="12" t="s">
        <v>32</v>
      </c>
      <c r="X2650" s="13">
        <v>11.70102593898773</v>
      </c>
      <c r="Y2650" s="13">
        <v>3.9614112490063711</v>
      </c>
      <c r="Z2650" s="138">
        <v>0.33855247135270228</v>
      </c>
    </row>
    <row r="2651" spans="1:26" x14ac:dyDescent="0.2">
      <c r="A2651" s="1">
        <v>2649</v>
      </c>
      <c r="B2651" s="2" t="s">
        <v>562</v>
      </c>
      <c r="C2651" s="13" t="str">
        <f>HYPERLINK(AC2 &amp; "/spoon/sn_c021b5cae6810cb0976875314667adbf/rendering/00.xyz", "0.0")</f>
        <v>0.0</v>
      </c>
      <c r="D2651" s="13" t="str">
        <f>HYPERLINK(AC2 &amp; "/spoon/sn_c021b5cae6810cb0976875314667adbf/rendering/01.xyz", "0.0")</f>
        <v>0.0</v>
      </c>
      <c r="E2651" s="13" t="str">
        <f>HYPERLINK(AC2 &amp; "/spoon/sn_c021b5cae6810cb0976875314667adbf/rendering/02.xyz", "0.0")</f>
        <v>0.0</v>
      </c>
      <c r="F2651" s="13" t="str">
        <f>HYPERLINK(AC2 &amp; "/spoon/sn_c021b5cae6810cb0976875314667adbf/rendering/03.xyz", "0.0")</f>
        <v>0.0</v>
      </c>
      <c r="G2651" s="13" t="str">
        <f>HYPERLINK(AC2 &amp; "/spoon/sn_c021b5cae6810cb0976875314667adbf/rendering/04.xyz", "0.0")</f>
        <v>0.0</v>
      </c>
      <c r="H2651" s="13" t="str">
        <f>HYPERLINK(AC2 &amp; "/spoon/sn_c021b5cae6810cb0976875314667adbf/rendering/05.xyz", "0.0")</f>
        <v>0.0</v>
      </c>
      <c r="I2651" s="13" t="str">
        <f>HYPERLINK(AC2 &amp; "/spoon/sn_c021b5cae6810cb0976875314667adbf/rendering/06.xyz", "0.0")</f>
        <v>0.0</v>
      </c>
      <c r="J2651" s="13" t="str">
        <f>HYPERLINK(AC2 &amp; "/spoon/sn_c021b5cae6810cb0976875314667adbf/rendering/07.xyz", "0.0")</f>
        <v>0.0</v>
      </c>
      <c r="K2651" s="13" t="str">
        <f>HYPERLINK(AC2 &amp; "/spoon/sn_c021b5cae6810cb0976875314667adbf/rendering/08.xyz", "0.0")</f>
        <v>0.0</v>
      </c>
      <c r="L2651" s="13" t="str">
        <f>HYPERLINK(AC2 &amp; "/spoon/sn_c021b5cae6810cb0976875314667adbf/rendering/09.xyz", "0.0")</f>
        <v>0.0</v>
      </c>
      <c r="M2651" s="13" t="str">
        <f>HYPERLINK(AC2 &amp; "/spoon/sn_c021b5cae6810cb0976875314667adbf/rendering/10.xyz", "0.0")</f>
        <v>0.0</v>
      </c>
      <c r="N2651" s="13" t="str">
        <f>HYPERLINK(AC2 &amp; "/spoon/sn_c021b5cae6810cb0976875314667adbf/rendering/11.xyz", "0.0")</f>
        <v>0.0</v>
      </c>
      <c r="O2651" s="13" t="str">
        <f>HYPERLINK(AC2 &amp; "/spoon/sn_c021b5cae6810cb0976875314667adbf/rendering/12.xyz", "0.0")</f>
        <v>0.0</v>
      </c>
      <c r="P2651" s="13" t="str">
        <f>HYPERLINK(AC2 &amp; "/spoon/sn_c021b5cae6810cb0976875314667adbf/rendering/13.xyz", "0.0")</f>
        <v>0.0</v>
      </c>
      <c r="Q2651" s="13" t="str">
        <f>HYPERLINK(AC2 &amp; "/spoon/sn_c021b5cae6810cb0976875314667adbf/rendering/14.xyz", "0.0")</f>
        <v>0.0</v>
      </c>
      <c r="R2651" s="13" t="str">
        <f>HYPERLINK(AC2 &amp; "/spoon/sn_c021b5cae6810cb0976875314667adbf/rendering/15.xyz", "0.0")</f>
        <v>0.0</v>
      </c>
      <c r="S2651" s="13" t="str">
        <f>HYPERLINK(AC2 &amp; "/spoon/sn_c021b5cae6810cb0976875314667adbf/rendering/16.xyz", "0.0")</f>
        <v>0.0</v>
      </c>
      <c r="T2651" s="13" t="str">
        <f>HYPERLINK(AC2 &amp; "/spoon/sn_c021b5cae6810cb0976875314667adbf/rendering/17.xyz", "0.0")</f>
        <v>0.0</v>
      </c>
      <c r="U2651" s="13" t="str">
        <f>HYPERLINK(AC2 &amp; "/spoon/sn_c021b5cae6810cb0976875314667adbf/rendering/18.xyz", "0.0")</f>
        <v>0.0</v>
      </c>
      <c r="V2651" s="13" t="str">
        <f>HYPERLINK(AC2 &amp; "/spoon/sn_c021b5cae6810cb0976875314667adbf/rendering/19.xyz", "0.0")</f>
        <v>0.0</v>
      </c>
      <c r="W2651" s="12" t="s">
        <v>33</v>
      </c>
      <c r="X2651" s="13">
        <v>0</v>
      </c>
      <c r="Y2651" s="13">
        <v>0</v>
      </c>
      <c r="Z2651" s="13">
        <v>0</v>
      </c>
    </row>
    <row r="2652" spans="1:26" x14ac:dyDescent="0.2">
      <c r="A2652" s="1">
        <v>2650</v>
      </c>
      <c r="B2652" s="2" t="s">
        <v>563</v>
      </c>
      <c r="C2652" s="38" t="str">
        <f>HYPERLINK(AA2 &amp; "/spoon/sn_c340c651cede72c457ba044c28858b1/rendering/00.obj", "5.69856689453")</f>
        <v>5.69856689453</v>
      </c>
      <c r="D2652" s="66" t="str">
        <f>HYPERLINK(AA2 &amp; "/spoon/sn_c340c651cede72c457ba044c28858b1/rendering/01.obj", "5.26327209473")</f>
        <v>5.26327209473</v>
      </c>
      <c r="E2652" s="33" t="str">
        <f>HYPERLINK(AA2 &amp; "/spoon/sn_c340c651cede72c457ba044c28858b1/rendering/02.obj", "5.59197509766")</f>
        <v>5.59197509766</v>
      </c>
      <c r="F2652" s="77" t="str">
        <f>HYPERLINK(AA2 &amp; "/spoon/sn_c340c651cede72c457ba044c28858b1/rendering/03.obj", "5.09304046631")</f>
        <v>5.09304046631</v>
      </c>
      <c r="G2652" s="60" t="str">
        <f>HYPERLINK(AA2 &amp; "/spoon/sn_c340c651cede72c457ba044c28858b1/rendering/04.obj", "6.59840393066")</f>
        <v>6.59840393066</v>
      </c>
      <c r="H2652" s="71" t="str">
        <f>HYPERLINK(AA2 &amp; "/spoon/sn_c340c651cede72c457ba044c28858b1/rendering/05.obj", "5.52943847656")</f>
        <v>5.52943847656</v>
      </c>
      <c r="I2652" s="90" t="str">
        <f>HYPERLINK(AA2 &amp; "/spoon/sn_c340c651cede72c457ba044c28858b1/rendering/06.obj", "5.67119628906")</f>
        <v>5.67119628906</v>
      </c>
      <c r="J2652" s="10" t="str">
        <f>HYPERLINK(AA2 &amp; "/spoon/sn_c340c651cede72c457ba044c28858b1/rendering/07.obj", "5.92739074707")</f>
        <v>5.92739074707</v>
      </c>
      <c r="K2652" s="70" t="str">
        <f>HYPERLINK(AA2 &amp; "/spoon/sn_c340c651cede72c457ba044c28858b1/rendering/08.obj", "5.46031677246")</f>
        <v>5.46031677246</v>
      </c>
      <c r="L2652" s="90" t="str">
        <f>HYPERLINK(AA2 &amp; "/spoon/sn_c340c651cede72c457ba044c28858b1/rendering/09.obj", "5.65938476563")</f>
        <v>5.65938476563</v>
      </c>
      <c r="M2652" s="39" t="str">
        <f>HYPERLINK(AA2 &amp; "/spoon/sn_c340c651cede72c457ba044c28858b1/rendering/10.obj", "5.72992736816")</f>
        <v>5.72992736816</v>
      </c>
      <c r="N2652" s="66" t="str">
        <f>HYPERLINK(AA2 &amp; "/spoon/sn_c340c651cede72c457ba044c28858b1/rendering/11.obj", "5.2554876709")</f>
        <v>5.2554876709</v>
      </c>
      <c r="O2652" s="79" t="str">
        <f>HYPERLINK(AA2 &amp; "/spoon/sn_c340c651cede72c457ba044c28858b1/rendering/12.obj", "5.2826159668")</f>
        <v>5.2826159668</v>
      </c>
      <c r="P2652" s="209" t="str">
        <f>HYPERLINK(AA2 &amp; "/spoon/sn_c340c651cede72c457ba044c28858b1/rendering/13.obj", "11.0082641602")</f>
        <v>11.0082641602</v>
      </c>
      <c r="Q2652" s="90" t="str">
        <f>HYPERLINK(AA2 &amp; "/spoon/sn_c340c651cede72c457ba044c28858b1/rendering/14.obj", "5.67225585938")</f>
        <v>5.67225585938</v>
      </c>
      <c r="R2652" s="25" t="str">
        <f>HYPERLINK(AA2 &amp; "/spoon/sn_c340c651cede72c457ba044c28858b1/rendering/15.obj", "6.18997802734")</f>
        <v>6.18997802734</v>
      </c>
      <c r="S2652" s="220" t="str">
        <f>HYPERLINK(AA2 &amp; "/spoon/sn_c340c651cede72c457ba044c28858b1/rendering/16.obj", "10.520390625")</f>
        <v>10.520390625</v>
      </c>
      <c r="T2652" s="67" t="str">
        <f>HYPERLINK(AA2 &amp; "/spoon/sn_c340c651cede72c457ba044c28858b1/rendering/17.obj", "6.83848327637")</f>
        <v>6.83848327637</v>
      </c>
      <c r="U2652" s="27" t="str">
        <f>HYPERLINK(AA2 &amp; "/spoon/sn_c340c651cede72c457ba044c28858b1/rendering/18.obj", "5.82789245605")</f>
        <v>5.82789245605</v>
      </c>
      <c r="V2652" s="23" t="str">
        <f>HYPERLINK(AA2 &amp; "/spoon/sn_c340c651cede72c457ba044c28858b1/rendering/19.obj", "6.50424194336")</f>
        <v>6.50424194336</v>
      </c>
      <c r="W2652" s="12" t="s">
        <v>29</v>
      </c>
      <c r="X2652" s="13">
        <v>6.2661261444091796</v>
      </c>
      <c r="Y2652" s="13">
        <v>1.5667700129979529</v>
      </c>
      <c r="Z2652" s="129">
        <v>0.25003805810642199</v>
      </c>
    </row>
    <row r="2653" spans="1:26" x14ac:dyDescent="0.2">
      <c r="A2653" s="1">
        <v>2651</v>
      </c>
      <c r="B2653" s="2" t="s">
        <v>563</v>
      </c>
      <c r="C2653" s="230" t="str">
        <f>HYPERLINK(AA2 &amp; "/spoon/sn_c340c651cede72c457ba044c28858b1/rendering/00.obj", "1.53330814838")</f>
        <v>1.53330814838</v>
      </c>
      <c r="D2653" s="235" t="str">
        <f>HYPERLINK(AA2 &amp; "/spoon/sn_c340c651cede72c457ba044c28858b1/rendering/01.obj", "1.29273438454")</f>
        <v>1.29273438454</v>
      </c>
      <c r="E2653" s="103" t="str">
        <f>HYPERLINK(AA2 &amp; "/spoon/sn_c340c651cede72c457ba044c28858b1/rendering/02.obj", "1.89986085892")</f>
        <v>1.89986085892</v>
      </c>
      <c r="F2653" s="21" t="str">
        <f>HYPERLINK(AA2 &amp; "/spoon/sn_c340c651cede72c457ba044c28858b1/rendering/03.obj", "1.25812935829")</f>
        <v>1.25812935829</v>
      </c>
      <c r="G2653" s="76" t="str">
        <f>HYPERLINK(AA2 &amp; "/spoon/sn_c340c651cede72c457ba044c28858b1/rendering/04.obj", "2.29595136642")</f>
        <v>2.29595136642</v>
      </c>
      <c r="H2653" s="235" t="str">
        <f>HYPERLINK(AA2 &amp; "/spoon/sn_c340c651cede72c457ba044c28858b1/rendering/05.obj", "1.29540908337")</f>
        <v>1.29540908337</v>
      </c>
      <c r="I2653" s="156" t="str">
        <f>HYPERLINK(AA2 &amp; "/spoon/sn_c340c651cede72c457ba044c28858b1/rendering/06.obj", "1.55916523933")</f>
        <v>1.55916523933</v>
      </c>
      <c r="J2653" s="177" t="str">
        <f>HYPERLINK(AA2 &amp; "/spoon/sn_c340c651cede72c457ba044c28858b1/rendering/07.obj", "1.30905437469")</f>
        <v>1.30905437469</v>
      </c>
      <c r="K2653" s="52" t="str">
        <f>HYPERLINK(AA2 &amp; "/spoon/sn_c340c651cede72c457ba044c28858b1/rendering/08.obj", "1.69028151035")</f>
        <v>1.69028151035</v>
      </c>
      <c r="L2653" s="191" t="str">
        <f>HYPERLINK(AA2 &amp; "/spoon/sn_c340c651cede72c457ba044c28858b1/rendering/09.obj", "1.54008126259")</f>
        <v>1.54008126259</v>
      </c>
      <c r="M2653" s="203" t="str">
        <f>HYPERLINK(AA2 &amp; "/spoon/sn_c340c651cede72c457ba044c28858b1/rendering/10.obj", "1.50011444092")</f>
        <v>1.50011444092</v>
      </c>
      <c r="N2653" s="251" t="str">
        <f>HYPERLINK(AA2 &amp; "/spoon/sn_c340c651cede72c457ba044c28858b1/rendering/11.obj", "1.161657691")</f>
        <v>1.161657691</v>
      </c>
      <c r="O2653" s="127" t="str">
        <f>HYPERLINK(AA2 &amp; "/spoon/sn_c340c651cede72c457ba044c28858b1/rendering/12.obj", "1.35585486889")</f>
        <v>1.35585486889</v>
      </c>
      <c r="P2653" s="20" t="str">
        <f>HYPERLINK(AA2 &amp; "/spoon/sn_c340c651cede72c457ba044c28858b1/rendering/13.obj", "14.6820631027")</f>
        <v>14.6820631027</v>
      </c>
      <c r="Q2653" s="249" t="str">
        <f>HYPERLINK(AA2 &amp; "/spoon/sn_c340c651cede72c457ba044c28858b1/rendering/14.obj", "1.20003712177")</f>
        <v>1.20003712177</v>
      </c>
      <c r="R2653" s="89" t="str">
        <f>HYPERLINK(AA2 &amp; "/spoon/sn_c340c651cede72c457ba044c28858b1/rendering/15.obj", "2.08303618431")</f>
        <v>2.08303618431</v>
      </c>
      <c r="S2653" s="20" t="str">
        <f>HYPERLINK(AA2 &amp; "/spoon/sn_c340c651cede72c457ba044c28858b1/rendering/16.obj", "9.9193944931")</f>
        <v>9.9193944931</v>
      </c>
      <c r="T2653" s="92" t="str">
        <f>HYPERLINK(AA2 &amp; "/spoon/sn_c340c651cede72c457ba044c28858b1/rendering/17.obj", "3.16138124466")</f>
        <v>3.16138124466</v>
      </c>
      <c r="U2653" s="53" t="str">
        <f>HYPERLINK(AA2 &amp; "/spoon/sn_c340c651cede72c457ba044c28858b1/rendering/18.obj", "1.65028524399")</f>
        <v>1.65028524399</v>
      </c>
      <c r="V2653" s="172" t="str">
        <f>HYPERLINK(AA2 &amp; "/spoon/sn_c340c651cede72c457ba044c28858b1/rendering/19.obj", "3.89885687828")</f>
        <v>3.89885687828</v>
      </c>
      <c r="W2653" s="12" t="s">
        <v>30</v>
      </c>
      <c r="X2653" s="13">
        <v>2.8143328428268428</v>
      </c>
      <c r="Y2653" s="13">
        <v>3.3182951469737159</v>
      </c>
      <c r="Z2653" s="20">
        <v>1.179069901213486</v>
      </c>
    </row>
    <row r="2654" spans="1:26" x14ac:dyDescent="0.2">
      <c r="A2654" s="1">
        <v>2652</v>
      </c>
      <c r="B2654" s="2" t="s">
        <v>563</v>
      </c>
      <c r="C2654" s="74" t="str">
        <f>HYPERLINK(AB2 &amp; "/spoon/sn_c340c651cede72c457ba044c28858b1/rendering/00.obj", "4.93569549561")</f>
        <v>4.93569549561</v>
      </c>
      <c r="D2654" s="13" t="str">
        <f>HYPERLINK(AB2 &amp; "/spoon/sn_c340c651cede72c457ba044c28858b1/rendering/01.obj", "5.00923675537")</f>
        <v>5.00923675537</v>
      </c>
      <c r="E2654" s="47" t="str">
        <f>HYPERLINK(AB2 &amp; "/spoon/sn_c340c651cede72c457ba044c28858b1/rendering/02.obj", "5.04498535156")</f>
        <v>5.04498535156</v>
      </c>
      <c r="F2654" s="40" t="str">
        <f>HYPERLINK(AB2 &amp; "/spoon/sn_c340c651cede72c457ba044c28858b1/rendering/03.obj", "4.14783203125")</f>
        <v>4.14783203125</v>
      </c>
      <c r="G2654" s="110" t="str">
        <f>HYPERLINK(AB2 &amp; "/spoon/sn_c340c651cede72c457ba044c28858b1/rendering/04.obj", "4.50516845703")</f>
        <v>4.50516845703</v>
      </c>
      <c r="H2654" s="10" t="str">
        <f>HYPERLINK(AB2 &amp; "/spoon/sn_c340c651cede72c457ba044c28858b1/rendering/05.obj", "4.71910064697")</f>
        <v>4.71910064697</v>
      </c>
      <c r="I2654" s="33" t="str">
        <f>HYPERLINK(AB2 &amp; "/spoon/sn_c340c651cede72c457ba044c28858b1/rendering/06.obj", "4.45172668457")</f>
        <v>4.45172668457</v>
      </c>
      <c r="J2654" s="5" t="str">
        <f>HYPERLINK(AB2 &amp; "/spoon/sn_c340c651cede72c457ba044c28858b1/rendering/07.obj", "5.37549804688")</f>
        <v>5.37549804688</v>
      </c>
      <c r="K2654" s="74" t="str">
        <f>HYPERLINK(AB2 &amp; "/spoon/sn_c340c651cede72c457ba044c28858b1/rendering/08.obj", "4.93536560059")</f>
        <v>4.93536560059</v>
      </c>
      <c r="L2654" s="74" t="str">
        <f>HYPERLINK(AB2 &amp; "/spoon/sn_c340c651cede72c457ba044c28858b1/rendering/09.obj", "5.07478515625")</f>
        <v>5.07478515625</v>
      </c>
      <c r="M2654" s="47" t="str">
        <f>HYPERLINK(AB2 &amp; "/spoon/sn_c340c651cede72c457ba044c28858b1/rendering/10.obj", "4.96241943359")</f>
        <v>4.96241943359</v>
      </c>
      <c r="N2654" s="91" t="str">
        <f>HYPERLINK(AB2 &amp; "/spoon/sn_c340c651cede72c457ba044c28858b1/rendering/11.obj", "4.87039733887")</f>
        <v>4.87039733887</v>
      </c>
      <c r="O2654" s="48" t="str">
        <f>HYPERLINK(AB2 &amp; "/spoon/sn_c340c651cede72c457ba044c28858b1/rendering/12.obj", "5.11581359863")</f>
        <v>5.11581359863</v>
      </c>
      <c r="P2654" s="109" t="str">
        <f>HYPERLINK(AB2 &amp; "/spoon/sn_c340c651cede72c457ba044c28858b1/rendering/13.obj", "5.94480773926")</f>
        <v>5.94480773926</v>
      </c>
      <c r="Q2654" s="73" t="str">
        <f>HYPERLINK(AB2 &amp; "/spoon/sn_c340c651cede72c457ba044c28858b1/rendering/14.obj", "4.81442626953")</f>
        <v>4.81442626953</v>
      </c>
      <c r="R2654" s="24" t="str">
        <f>HYPERLINK(AB2 &amp; "/spoon/sn_c340c651cede72c457ba044c28858b1/rendering/15.obj", "5.83334289551")</f>
        <v>5.83334289551</v>
      </c>
      <c r="S2654" s="69" t="str">
        <f>HYPERLINK(AB2 &amp; "/spoon/sn_c340c651cede72c457ba044c28858b1/rendering/16.obj", "5.15419921875")</f>
        <v>5.15419921875</v>
      </c>
      <c r="T2654" s="134" t="str">
        <f>HYPERLINK(AB2 &amp; "/spoon/sn_c340c651cede72c457ba044c28858b1/rendering/17.obj", "5.90303894043")</f>
        <v>5.90303894043</v>
      </c>
      <c r="U2654" s="29" t="str">
        <f>HYPERLINK(AB2 &amp; "/spoon/sn_c340c651cede72c457ba044c28858b1/rendering/18.obj", "4.35070159912")</f>
        <v>4.35070159912</v>
      </c>
      <c r="V2654" s="73" t="str">
        <f>HYPERLINK(AB2 &amp; "/spoon/sn_c340c651cede72c457ba044c28858b1/rendering/19.obj", "4.82283538818")</f>
        <v>4.82283538818</v>
      </c>
      <c r="W2654" s="12" t="s">
        <v>31</v>
      </c>
      <c r="X2654" s="13">
        <v>4.9985688323974609</v>
      </c>
      <c r="Y2654" s="13">
        <v>0.47185500546866582</v>
      </c>
      <c r="Z2654" s="90">
        <v>9.4398020971604837E-2</v>
      </c>
    </row>
    <row r="2655" spans="1:26" x14ac:dyDescent="0.2">
      <c r="A2655" s="1">
        <v>2653</v>
      </c>
      <c r="B2655" s="2" t="s">
        <v>563</v>
      </c>
      <c r="C2655" s="10" t="str">
        <f>HYPERLINK(AB2 &amp; "/spoon/sn_c340c651cede72c457ba044c28858b1/rendering/00.obj", "1.28661584854")</f>
        <v>1.28661584854</v>
      </c>
      <c r="D2655" s="78" t="str">
        <f>HYPERLINK(AB2 &amp; "/spoon/sn_c340c651cede72c457ba044c28858b1/rendering/01.obj", "1.14623355865")</f>
        <v>1.14623355865</v>
      </c>
      <c r="E2655" s="63" t="str">
        <f>HYPERLINK(AB2 &amp; "/spoon/sn_c340c651cede72c457ba044c28858b1/rendering/02.obj", "1.07570314407")</f>
        <v>1.07570314407</v>
      </c>
      <c r="F2655" s="63" t="str">
        <f>HYPERLINK(AB2 &amp; "/spoon/sn_c340c651cede72c457ba044c28858b1/rendering/03.obj", "1.07237303257")</f>
        <v>1.07237303257</v>
      </c>
      <c r="G2655" s="92" t="str">
        <f>HYPERLINK(AB2 &amp; "/spoon/sn_c340c651cede72c457ba044c28858b1/rendering/04.obj", "1.06847667694")</f>
        <v>1.06847667694</v>
      </c>
      <c r="H2655" s="48" t="str">
        <f>HYPERLINK(AB2 &amp; "/spoon/sn_c340c651cede72c457ba044c28858b1/rendering/05.obj", "1.19239521027")</f>
        <v>1.19239521027</v>
      </c>
      <c r="I2655" s="110" t="str">
        <f>HYPERLINK(AB2 &amp; "/spoon/sn_c340c651cede72c457ba044c28858b1/rendering/06.obj", "1.09879696369")</f>
        <v>1.09879696369</v>
      </c>
      <c r="J2655" s="79" t="str">
        <f>HYPERLINK(AB2 &amp; "/spoon/sn_c340c651cede72c457ba044c28858b1/rendering/07.obj", "1.41392731667")</f>
        <v>1.41392731667</v>
      </c>
      <c r="K2655" s="10" t="str">
        <f>HYPERLINK(AB2 &amp; "/spoon/sn_c340c651cede72c457ba044c28858b1/rendering/08.obj", "1.15543293953")</f>
        <v>1.15543293953</v>
      </c>
      <c r="L2655" s="5" t="str">
        <f>HYPERLINK(AB2 &amp; "/spoon/sn_c340c651cede72c457ba044c28858b1/rendering/09.obj", "1.12565791607")</f>
        <v>1.12565791607</v>
      </c>
      <c r="M2655" s="133" t="str">
        <f>HYPERLINK(AB2 &amp; "/spoon/sn_c340c651cede72c457ba044c28858b1/rendering/10.obj", "1.09572160244")</f>
        <v>1.09572160244</v>
      </c>
      <c r="N2655" s="91" t="str">
        <f>HYPERLINK(AB2 &amp; "/spoon/sn_c340c651cede72c457ba044c28858b1/rendering/11.obj", "1.25461339951")</f>
        <v>1.25461339951</v>
      </c>
      <c r="O2655" s="30" t="str">
        <f>HYPERLINK(AB2 &amp; "/spoon/sn_c340c651cede72c457ba044c28858b1/rendering/12.obj", "1.22577428818")</f>
        <v>1.22577428818</v>
      </c>
      <c r="P2655" s="169" t="str">
        <f>HYPERLINK(AB2 &amp; "/spoon/sn_c340c651cede72c457ba044c28858b1/rendering/13.obj", "1.60235893726")</f>
        <v>1.60235893726</v>
      </c>
      <c r="Q2655" s="107" t="str">
        <f>HYPERLINK(AB2 &amp; "/spoon/sn_c340c651cede72c457ba044c28858b1/rendering/14.obj", "1.11965548992")</f>
        <v>1.11965548992</v>
      </c>
      <c r="R2655" s="42" t="str">
        <f>HYPERLINK(AB2 &amp; "/spoon/sn_c340c651cede72c457ba044c28858b1/rendering/15.obj", "1.38859724998")</f>
        <v>1.38859724998</v>
      </c>
      <c r="S2655" s="92" t="str">
        <f>HYPERLINK(AB2 &amp; "/spoon/sn_c340c651cede72c457ba044c28858b1/rendering/16.obj", "1.37239384651")</f>
        <v>1.37239384651</v>
      </c>
      <c r="T2655" s="170" t="str">
        <f>HYPERLINK(AB2 &amp; "/spoon/sn_c340c651cede72c457ba044c28858b1/rendering/17.obj", "1.53091359138")</f>
        <v>1.53091359138</v>
      </c>
      <c r="U2655" s="32" t="str">
        <f>HYPERLINK(AB2 &amp; "/spoon/sn_c340c651cede72c457ba044c28858b1/rendering/18.obj", "1.09191036224")</f>
        <v>1.09191036224</v>
      </c>
      <c r="V2655" s="67" t="str">
        <f>HYPERLINK(AB2 &amp; "/spoon/sn_c340c651cede72c457ba044c28858b1/rendering/19.obj", "1.11001777649")</f>
        <v>1.11001777649</v>
      </c>
      <c r="W2655" s="12" t="s">
        <v>32</v>
      </c>
      <c r="X2655" s="13">
        <v>1.2213784575462341</v>
      </c>
      <c r="Y2655" s="13">
        <v>0.15673357446326339</v>
      </c>
      <c r="Z2655" s="70">
        <v>0.12832515056647009</v>
      </c>
    </row>
    <row r="2656" spans="1:26" x14ac:dyDescent="0.2">
      <c r="A2656" s="1">
        <v>2654</v>
      </c>
      <c r="B2656" s="2" t="s">
        <v>563</v>
      </c>
      <c r="C2656" s="13" t="str">
        <f>HYPERLINK(AC2 &amp; "/spoon/sn_c340c651cede72c457ba044c28858b1/rendering/00.xyz", "0.0")</f>
        <v>0.0</v>
      </c>
      <c r="D2656" s="13" t="str">
        <f>HYPERLINK(AC2 &amp; "/spoon/sn_c340c651cede72c457ba044c28858b1/rendering/01.xyz", "0.0")</f>
        <v>0.0</v>
      </c>
      <c r="E2656" s="13" t="str">
        <f>HYPERLINK(AC2 &amp; "/spoon/sn_c340c651cede72c457ba044c28858b1/rendering/02.xyz", "0.0")</f>
        <v>0.0</v>
      </c>
      <c r="F2656" s="13" t="str">
        <f>HYPERLINK(AC2 &amp; "/spoon/sn_c340c651cede72c457ba044c28858b1/rendering/03.xyz", "0.0")</f>
        <v>0.0</v>
      </c>
      <c r="G2656" s="13" t="str">
        <f>HYPERLINK(AC2 &amp; "/spoon/sn_c340c651cede72c457ba044c28858b1/rendering/04.xyz", "0.0")</f>
        <v>0.0</v>
      </c>
      <c r="H2656" s="13" t="str">
        <f>HYPERLINK(AC2 &amp; "/spoon/sn_c340c651cede72c457ba044c28858b1/rendering/05.xyz", "0.0")</f>
        <v>0.0</v>
      </c>
      <c r="I2656" s="13" t="str">
        <f>HYPERLINK(AC2 &amp; "/spoon/sn_c340c651cede72c457ba044c28858b1/rendering/06.xyz", "0.0")</f>
        <v>0.0</v>
      </c>
      <c r="J2656" s="13" t="str">
        <f>HYPERLINK(AC2 &amp; "/spoon/sn_c340c651cede72c457ba044c28858b1/rendering/07.xyz", "0.0")</f>
        <v>0.0</v>
      </c>
      <c r="K2656" s="13" t="str">
        <f>HYPERLINK(AC2 &amp; "/spoon/sn_c340c651cede72c457ba044c28858b1/rendering/08.xyz", "0.0")</f>
        <v>0.0</v>
      </c>
      <c r="L2656" s="13" t="str">
        <f>HYPERLINK(AC2 &amp; "/spoon/sn_c340c651cede72c457ba044c28858b1/rendering/09.xyz", "0.0")</f>
        <v>0.0</v>
      </c>
      <c r="M2656" s="13" t="str">
        <f>HYPERLINK(AC2 &amp; "/spoon/sn_c340c651cede72c457ba044c28858b1/rendering/10.xyz", "0.0")</f>
        <v>0.0</v>
      </c>
      <c r="N2656" s="13" t="str">
        <f>HYPERLINK(AC2 &amp; "/spoon/sn_c340c651cede72c457ba044c28858b1/rendering/11.xyz", "0.0")</f>
        <v>0.0</v>
      </c>
      <c r="O2656" s="13" t="str">
        <f>HYPERLINK(AC2 &amp; "/spoon/sn_c340c651cede72c457ba044c28858b1/rendering/12.xyz", "0.0")</f>
        <v>0.0</v>
      </c>
      <c r="P2656" s="13" t="str">
        <f>HYPERLINK(AC2 &amp; "/spoon/sn_c340c651cede72c457ba044c28858b1/rendering/13.xyz", "0.0")</f>
        <v>0.0</v>
      </c>
      <c r="Q2656" s="13" t="str">
        <f>HYPERLINK(AC2 &amp; "/spoon/sn_c340c651cede72c457ba044c28858b1/rendering/14.xyz", "0.0")</f>
        <v>0.0</v>
      </c>
      <c r="R2656" s="13" t="str">
        <f>HYPERLINK(AC2 &amp; "/spoon/sn_c340c651cede72c457ba044c28858b1/rendering/15.xyz", "0.0")</f>
        <v>0.0</v>
      </c>
      <c r="S2656" s="13" t="str">
        <f>HYPERLINK(AC2 &amp; "/spoon/sn_c340c651cede72c457ba044c28858b1/rendering/16.xyz", "0.0")</f>
        <v>0.0</v>
      </c>
      <c r="T2656" s="13" t="str">
        <f>HYPERLINK(AC2 &amp; "/spoon/sn_c340c651cede72c457ba044c28858b1/rendering/17.xyz", "0.0")</f>
        <v>0.0</v>
      </c>
      <c r="U2656" s="13" t="str">
        <f>HYPERLINK(AC2 &amp; "/spoon/sn_c340c651cede72c457ba044c28858b1/rendering/18.xyz", "0.0")</f>
        <v>0.0</v>
      </c>
      <c r="V2656" s="13" t="str">
        <f>HYPERLINK(AC2 &amp; "/spoon/sn_c340c651cede72c457ba044c28858b1/rendering/19.xyz", "0.0")</f>
        <v>0.0</v>
      </c>
      <c r="W2656" s="12" t="s">
        <v>33</v>
      </c>
      <c r="X2656" s="13">
        <v>0</v>
      </c>
      <c r="Y2656" s="13">
        <v>0</v>
      </c>
      <c r="Z2656" s="13">
        <v>0</v>
      </c>
    </row>
    <row r="2657" spans="1:26" x14ac:dyDescent="0.2">
      <c r="A2657" s="1">
        <v>2655</v>
      </c>
      <c r="B2657" s="2" t="s">
        <v>564</v>
      </c>
      <c r="C2657" s="29" t="str">
        <f>HYPERLINK(AA2 &amp; "/spoon/sn_c63171cdc8eaedd23a63a352b1ae090d/rendering/00.obj", "6.8627557373")</f>
        <v>6.8627557373</v>
      </c>
      <c r="D2657" s="208" t="str">
        <f>HYPERLINK(AA2 &amp; "/spoon/sn_c63171cdc8eaedd23a63a352b1ae090d/rendering/01.obj", "13.9238513184")</f>
        <v>13.9238513184</v>
      </c>
      <c r="E2657" s="149" t="str">
        <f>HYPERLINK(AA2 &amp; "/spoon/sn_c63171cdc8eaedd23a63a352b1ae090d/rendering/02.obj", "10.6014599609")</f>
        <v>10.6014599609</v>
      </c>
      <c r="F2657" s="168" t="str">
        <f>HYPERLINK(AA2 &amp; "/spoon/sn_c63171cdc8eaedd23a63a352b1ae090d/rendering/03.obj", "5.36623962402")</f>
        <v>5.36623962402</v>
      </c>
      <c r="G2657" s="83" t="str">
        <f>HYPERLINK(AA2 &amp; "/spoon/sn_c63171cdc8eaedd23a63a352b1ae090d/rendering/04.obj", "6.7027142334")</f>
        <v>6.7027142334</v>
      </c>
      <c r="H2657" s="133" t="str">
        <f>HYPERLINK(AA2 &amp; "/spoon/sn_c63171cdc8eaedd23a63a352b1ae090d/rendering/05.obj", "8.69277709961")</f>
        <v>8.69277709961</v>
      </c>
      <c r="I2657" s="95" t="str">
        <f>HYPERLINK(AA2 &amp; "/spoon/sn_c63171cdc8eaedd23a63a352b1ae090d/rendering/06.obj", "10.0995959473")</f>
        <v>10.0995959473</v>
      </c>
      <c r="J2657" s="4" t="str">
        <f>HYPERLINK(AA2 &amp; "/spoon/sn_c63171cdc8eaedd23a63a352b1ae090d/rendering/07.obj", "5.65177490234")</f>
        <v>5.65177490234</v>
      </c>
      <c r="K2657" s="65" t="str">
        <f>HYPERLINK(AA2 &amp; "/spoon/sn_c63171cdc8eaedd23a63a352b1ae090d/rendering/08.obj", "8.93967651367")</f>
        <v>8.93967651367</v>
      </c>
      <c r="L2657" s="33" t="str">
        <f>HYPERLINK(AA2 &amp; "/spoon/sn_c63171cdc8eaedd23a63a352b1ae090d/rendering/09.obj", "7.03173950195")</f>
        <v>7.03173950195</v>
      </c>
      <c r="M2657" s="24" t="str">
        <f>HYPERLINK(AA2 &amp; "/spoon/sn_c63171cdc8eaedd23a63a352b1ae090d/rendering/10.obj", "9.22700439453")</f>
        <v>9.22700439453</v>
      </c>
      <c r="N2657" s="106" t="str">
        <f>HYPERLINK(AA2 &amp; "/spoon/sn_c63171cdc8eaedd23a63a352b1ae090d/rendering/11.obj", "6.98332092285")</f>
        <v>6.98332092285</v>
      </c>
      <c r="O2657" s="51" t="str">
        <f>HYPERLINK(AA2 &amp; "/spoon/sn_c63171cdc8eaedd23a63a352b1ae090d/rendering/12.obj", "7.26819946289")</f>
        <v>7.26819946289</v>
      </c>
      <c r="P2657" s="7" t="str">
        <f>HYPERLINK(AA2 &amp; "/spoon/sn_c63171cdc8eaedd23a63a352b1ae090d/rendering/13.obj", "5.70976623535")</f>
        <v>5.70976623535</v>
      </c>
      <c r="Q2657" s="182" t="str">
        <f>HYPERLINK(AA2 &amp; "/spoon/sn_c63171cdc8eaedd23a63a352b1ae090d/rendering/14.obj", "10.528840332")</f>
        <v>10.528840332</v>
      </c>
      <c r="R2657" s="41" t="str">
        <f>HYPERLINK(AA2 &amp; "/spoon/sn_c63171cdc8eaedd23a63a352b1ae090d/rendering/15.obj", "7.36572387695")</f>
        <v>7.36572387695</v>
      </c>
      <c r="S2657" s="88" t="str">
        <f>HYPERLINK(AA2 &amp; "/spoon/sn_c63171cdc8eaedd23a63a352b1ae090d/rendering/16.obj", "6.29678771973")</f>
        <v>6.29678771973</v>
      </c>
      <c r="T2657" s="23" t="str">
        <f>HYPERLINK(AA2 &amp; "/spoon/sn_c63171cdc8eaedd23a63a352b1ae090d/rendering/17.obj", "7.57348632812")</f>
        <v>7.57348632812</v>
      </c>
      <c r="U2657" s="170" t="str">
        <f>HYPERLINK(AA2 &amp; "/spoon/sn_c63171cdc8eaedd23a63a352b1ae090d/rendering/18.obj", "5.90681762695")</f>
        <v>5.90681762695</v>
      </c>
      <c r="V2657" s="67" t="str">
        <f>HYPERLINK(AA2 &amp; "/spoon/sn_c63171cdc8eaedd23a63a352b1ae090d/rendering/19.obj", "7.16009155273")</f>
        <v>7.16009155273</v>
      </c>
      <c r="W2657" s="12" t="s">
        <v>29</v>
      </c>
      <c r="X2657" s="13">
        <v>7.8946311645507787</v>
      </c>
      <c r="Y2657" s="13">
        <v>2.0863889012354289</v>
      </c>
      <c r="Z2657" s="119">
        <v>0.26427946508811329</v>
      </c>
    </row>
    <row r="2658" spans="1:26" x14ac:dyDescent="0.2">
      <c r="A2658" s="1">
        <v>2656</v>
      </c>
      <c r="B2658" s="2" t="s">
        <v>564</v>
      </c>
      <c r="C2658" s="165" t="str">
        <f>HYPERLINK(AA2 &amp; "/spoon/sn_c63171cdc8eaedd23a63a352b1ae090d/rendering/00.obj", "1.69214761257")</f>
        <v>1.69214761257</v>
      </c>
      <c r="D2658" s="20" t="str">
        <f>HYPERLINK(AA2 &amp; "/spoon/sn_c63171cdc8eaedd23a63a352b1ae090d/rendering/01.obj", "29.6868228912")</f>
        <v>29.6868228912</v>
      </c>
      <c r="E2658" s="20" t="str">
        <f>HYPERLINK(AA2 &amp; "/spoon/sn_c63171cdc8eaedd23a63a352b1ae090d/rendering/02.obj", "10.0353832245")</f>
        <v>10.0353832245</v>
      </c>
      <c r="F2658" s="199" t="str">
        <f>HYPERLINK(AA2 &amp; "/spoon/sn_c63171cdc8eaedd23a63a352b1ae090d/rendering/03.obj", "1.17159891129")</f>
        <v>1.17159891129</v>
      </c>
      <c r="G2658" s="232" t="str">
        <f>HYPERLINK(AA2 &amp; "/spoon/sn_c63171cdc8eaedd23a63a352b1ae090d/rendering/04.obj", "1.20209240913")</f>
        <v>1.20209240913</v>
      </c>
      <c r="H2658" s="138" t="str">
        <f>HYPERLINK(AA2 &amp; "/spoon/sn_c63171cdc8eaedd23a63a352b1ae090d/rendering/05.obj", "7.36393928528")</f>
        <v>7.36393928528</v>
      </c>
      <c r="I2658" s="70" t="str">
        <f>HYPERLINK(AA2 &amp; "/spoon/sn_c63171cdc8eaedd23a63a352b1ae090d/rendering/06.obj", "6.2040309906")</f>
        <v>6.2040309906</v>
      </c>
      <c r="J2658" s="209" t="str">
        <f>HYPERLINK(AA2 &amp; "/spoon/sn_c63171cdc8eaedd23a63a352b1ae090d/rendering/07.obj", "1.33825063705")</f>
        <v>1.33825063705</v>
      </c>
      <c r="K2658" s="51" t="str">
        <f>HYPERLINK(AA2 &amp; "/spoon/sn_c63171cdc8eaedd23a63a352b1ae090d/rendering/08.obj", "5.94594240189")</f>
        <v>5.94594240189</v>
      </c>
      <c r="L2658" s="133" t="str">
        <f>HYPERLINK(AA2 &amp; "/spoon/sn_c63171cdc8eaedd23a63a352b1ae090d/rendering/09.obj", "6.06662988663")</f>
        <v>6.06662988663</v>
      </c>
      <c r="M2658" s="56" t="str">
        <f>HYPERLINK(AA2 &amp; "/spoon/sn_c63171cdc8eaedd23a63a352b1ae090d/rendering/10.obj", "7.20681142807")</f>
        <v>7.20681142807</v>
      </c>
      <c r="N2658" s="173" t="str">
        <f>HYPERLINK(AA2 &amp; "/spoon/sn_c63171cdc8eaedd23a63a352b1ae090d/rendering/11.obj", "1.71733129025")</f>
        <v>1.71733129025</v>
      </c>
      <c r="O2658" s="196" t="str">
        <f>HYPERLINK(AA2 &amp; "/spoon/sn_c63171cdc8eaedd23a63a352b1ae090d/rendering/12.obj", "3.31155586243")</f>
        <v>3.31155586243</v>
      </c>
      <c r="P2658" s="20" t="str">
        <f>HYPERLINK(AA2 &amp; "/spoon/sn_c63171cdc8eaedd23a63a352b1ae090d/rendering/13.obj", "1.05734622478")</f>
        <v>1.05734622478</v>
      </c>
      <c r="Q2658" s="20" t="str">
        <f>HYPERLINK(AA2 &amp; "/spoon/sn_c63171cdc8eaedd23a63a352b1ae090d/rendering/14.obj", "13.4195079803")</f>
        <v>13.4195079803</v>
      </c>
      <c r="R2658" s="150" t="str">
        <f>HYPERLINK(AA2 &amp; "/spoon/sn_c63171cdc8eaedd23a63a352b1ae090d/rendering/15.obj", "2.54169249535")</f>
        <v>2.54169249535</v>
      </c>
      <c r="S2658" s="160" t="str">
        <f>HYPERLINK(AA2 &amp; "/spoon/sn_c63171cdc8eaedd23a63a352b1ae090d/rendering/16.obj", "2.5973842144")</f>
        <v>2.5973842144</v>
      </c>
      <c r="T2658" s="114" t="str">
        <f>HYPERLINK(AA2 &amp; "/spoon/sn_c63171cdc8eaedd23a63a352b1ae090d/rendering/17.obj", "2.97403454781")</f>
        <v>2.97403454781</v>
      </c>
      <c r="U2658" s="259" t="str">
        <f>HYPERLINK(AA2 &amp; "/spoon/sn_c63171cdc8eaedd23a63a352b1ae090d/rendering/18.obj", "1.13856911659")</f>
        <v>1.13856911659</v>
      </c>
      <c r="V2658" s="142" t="str">
        <f>HYPERLINK(AA2 &amp; "/spoon/sn_c63171cdc8eaedd23a63a352b1ae090d/rendering/19.obj", "3.34019446373")</f>
        <v>3.34019446373</v>
      </c>
      <c r="W2658" s="12" t="s">
        <v>30</v>
      </c>
      <c r="X2658" s="13">
        <v>5.5005632936954498</v>
      </c>
      <c r="Y2658" s="13">
        <v>6.4451527523325236</v>
      </c>
      <c r="Z2658" s="20">
        <v>1.171725950271262</v>
      </c>
    </row>
    <row r="2659" spans="1:26" x14ac:dyDescent="0.2">
      <c r="A2659" s="1">
        <v>2657</v>
      </c>
      <c r="B2659" s="2" t="s">
        <v>564</v>
      </c>
      <c r="C2659" s="70" t="str">
        <f>HYPERLINK(AB2 &amp; "/spoon/sn_c63171cdc8eaedd23a63a352b1ae090d/rendering/00.obj", "5.07437072754")</f>
        <v>5.07437072754</v>
      </c>
      <c r="D2659" s="23" t="str">
        <f>HYPERLINK(AB2 &amp; "/spoon/sn_c63171cdc8eaedd23a63a352b1ae090d/rendering/01.obj", "5.57887939453")</f>
        <v>5.57887939453</v>
      </c>
      <c r="E2659" s="17" t="str">
        <f>HYPERLINK(AB2 &amp; "/spoon/sn_c63171cdc8eaedd23a63a352b1ae090d/rendering/02.obj", "5.69329101563")</f>
        <v>5.69329101563</v>
      </c>
      <c r="F2659" s="25" t="str">
        <f>HYPERLINK(AB2 &amp; "/spoon/sn_c63171cdc8eaedd23a63a352b1ae090d/rendering/03.obj", "5.75886474609")</f>
        <v>5.75886474609</v>
      </c>
      <c r="G2659" s="110" t="str">
        <f>HYPERLINK(AB2 &amp; "/spoon/sn_c63171cdc8eaedd23a63a352b1ae090d/rendering/04.obj", "6.38718688965")</f>
        <v>6.38718688965</v>
      </c>
      <c r="H2659" s="47" t="str">
        <f>HYPERLINK(AB2 &amp; "/spoon/sn_c63171cdc8eaedd23a63a352b1ae090d/rendering/05.obj", "5.76319580078")</f>
        <v>5.76319580078</v>
      </c>
      <c r="I2659" s="133" t="str">
        <f>HYPERLINK(AB2 &amp; "/spoon/sn_c63171cdc8eaedd23a63a352b1ae090d/rendering/06.obj", "6.41360351562")</f>
        <v>6.41360351562</v>
      </c>
      <c r="J2659" s="72" t="str">
        <f>HYPERLINK(AB2 &amp; "/spoon/sn_c63171cdc8eaedd23a63a352b1ae090d/rendering/07.obj", "5.9982800293")</f>
        <v>5.9982800293</v>
      </c>
      <c r="K2659" s="26" t="str">
        <f>HYPERLINK(AB2 &amp; "/spoon/sn_c63171cdc8eaedd23a63a352b1ae090d/rendering/08.obj", "5.44156860352")</f>
        <v>5.44156860352</v>
      </c>
      <c r="L2659" s="68" t="str">
        <f>HYPERLINK(AB2 &amp; "/spoon/sn_c63171cdc8eaedd23a63a352b1ae090d/rendering/09.obj", "5.56036132813")</f>
        <v>5.56036132813</v>
      </c>
      <c r="M2659" s="106" t="str">
        <f>HYPERLINK(AB2 &amp; "/spoon/sn_c63171cdc8eaedd23a63a352b1ae090d/rendering/10.obj", "6.48749816895")</f>
        <v>6.48749816895</v>
      </c>
      <c r="N2659" s="10" t="str">
        <f>HYPERLINK(AB2 &amp; "/spoon/sn_c63171cdc8eaedd23a63a352b1ae090d/rendering/11.obj", "5.49050964355")</f>
        <v>5.49050964355</v>
      </c>
      <c r="O2659" s="84" t="str">
        <f>HYPERLINK(AB2 &amp; "/spoon/sn_c63171cdc8eaedd23a63a352b1ae090d/rendering/12.obj", "6.65582580566")</f>
        <v>6.65582580566</v>
      </c>
      <c r="P2659" s="46" t="str">
        <f>HYPERLINK(AB2 &amp; "/spoon/sn_c63171cdc8eaedd23a63a352b1ae090d/rendering/13.obj", "5.71471191406")</f>
        <v>5.71471191406</v>
      </c>
      <c r="Q2659" s="13" t="str">
        <f>HYPERLINK(AB2 &amp; "/spoon/sn_c63171cdc8eaedd23a63a352b1ae090d/rendering/14.obj", "5.8054901123")</f>
        <v>5.8054901123</v>
      </c>
      <c r="R2659" s="74" t="str">
        <f>HYPERLINK(AB2 &amp; "/spoon/sn_c63171cdc8eaedd23a63a352b1ae090d/rendering/15.obj", "5.72352844238")</f>
        <v>5.72352844238</v>
      </c>
      <c r="S2659" s="28" t="str">
        <f>HYPERLINK(AB2 &amp; "/spoon/sn_c63171cdc8eaedd23a63a352b1ae090d/rendering/16.obj", "5.17305419922")</f>
        <v>5.17305419922</v>
      </c>
      <c r="T2659" s="42" t="str">
        <f>HYPERLINK(AB2 &amp; "/spoon/sn_c63171cdc8eaedd23a63a352b1ae090d/rendering/17.obj", "6.60088012695")</f>
        <v>6.60088012695</v>
      </c>
      <c r="U2659" s="30" t="str">
        <f>HYPERLINK(AB2 &amp; "/spoon/sn_c63171cdc8eaedd23a63a352b1ae090d/rendering/18.obj", "5.83675842285")</f>
        <v>5.83675842285</v>
      </c>
      <c r="V2659" s="71" t="str">
        <f>HYPERLINK(AB2 &amp; "/spoon/sn_c63171cdc8eaedd23a63a352b1ae090d/rendering/19.obj", "5.12996337891")</f>
        <v>5.12996337891</v>
      </c>
      <c r="W2659" s="12" t="s">
        <v>31</v>
      </c>
      <c r="X2659" s="13">
        <v>5.8143911132812507</v>
      </c>
      <c r="Y2659" s="13">
        <v>0.46535116759334461</v>
      </c>
      <c r="Z2659" s="51">
        <v>8.0034376519733594E-2</v>
      </c>
    </row>
    <row r="2660" spans="1:26" x14ac:dyDescent="0.2">
      <c r="A2660" s="1">
        <v>2658</v>
      </c>
      <c r="B2660" s="2" t="s">
        <v>564</v>
      </c>
      <c r="C2660" s="153" t="str">
        <f>HYPERLINK(AB2 &amp; "/spoon/sn_c63171cdc8eaedd23a63a352b1ae090d/rendering/00.obj", "0.923872113228")</f>
        <v>0.923872113228</v>
      </c>
      <c r="D2660" s="198" t="str">
        <f>HYPERLINK(AB2 &amp; "/spoon/sn_c63171cdc8eaedd23a63a352b1ae090d/rendering/01.obj", "1.99154400826")</f>
        <v>1.99154400826</v>
      </c>
      <c r="E2660" s="100" t="str">
        <f>HYPERLINK(AB2 &amp; "/spoon/sn_c63171cdc8eaedd23a63a352b1ae090d/rendering/02.obj", "1.00706386566")</f>
        <v>1.00706386566</v>
      </c>
      <c r="F2660" s="42" t="str">
        <f>HYPERLINK(AB2 &amp; "/spoon/sn_c63171cdc8eaedd23a63a352b1ae090d/rendering/03.obj", "1.6320168972")</f>
        <v>1.6320168972</v>
      </c>
      <c r="G2660" s="113" t="str">
        <f>HYPERLINK(AB2 &amp; "/spoon/sn_c63171cdc8eaedd23a63a352b1ae090d/rendering/04.obj", "1.03923475742")</f>
        <v>1.03923475742</v>
      </c>
      <c r="H2660" s="86" t="str">
        <f>HYPERLINK(AB2 &amp; "/spoon/sn_c63171cdc8eaedd23a63a352b1ae090d/rendering/05.obj", "1.04928004742")</f>
        <v>1.04928004742</v>
      </c>
      <c r="I2660" s="66" t="str">
        <f>HYPERLINK(AB2 &amp; "/spoon/sn_c63171cdc8eaedd23a63a352b1ae090d/rendering/06.obj", "1.66596353054")</f>
        <v>1.66596353054</v>
      </c>
      <c r="J2660" s="138" t="str">
        <f>HYPERLINK(AB2 &amp; "/spoon/sn_c63171cdc8eaedd23a63a352b1ae090d/rendering/07.obj", "1.91917824745")</f>
        <v>1.91917824745</v>
      </c>
      <c r="K2660" s="29" t="str">
        <f>HYPERLINK(AB2 &amp; "/spoon/sn_c63171cdc8eaedd23a63a352b1ae090d/rendering/08.obj", "1.24886310101")</f>
        <v>1.24886310101</v>
      </c>
      <c r="L2660" s="121" t="str">
        <f>HYPERLINK(AB2 &amp; "/spoon/sn_c63171cdc8eaedd23a63a352b1ae090d/rendering/09.obj", "1.942045331")</f>
        <v>1.942045331</v>
      </c>
      <c r="M2660" s="175" t="str">
        <f>HYPERLINK(AB2 &amp; "/spoon/sn_c63171cdc8eaedd23a63a352b1ae090d/rendering/10.obj", "1.76970100403")</f>
        <v>1.76970100403</v>
      </c>
      <c r="N2660" s="61" t="str">
        <f>HYPERLINK(AB2 &amp; "/spoon/sn_c63171cdc8eaedd23a63a352b1ae090d/rendering/11.obj", "0.999565780163")</f>
        <v>0.999565780163</v>
      </c>
      <c r="O2660" s="63" t="str">
        <f>HYPERLINK(AB2 &amp; "/spoon/sn_c63171cdc8eaedd23a63a352b1ae090d/rendering/12.obj", "1.60767066479")</f>
        <v>1.60767066479</v>
      </c>
      <c r="P2660" s="99" t="str">
        <f>HYPERLINK(AB2 &amp; "/spoon/sn_c63171cdc8eaedd23a63a352b1ae090d/rendering/13.obj", "1.04525327682")</f>
        <v>1.04525327682</v>
      </c>
      <c r="Q2660" s="108" t="str">
        <f>HYPERLINK(AB2 &amp; "/spoon/sn_c63171cdc8eaedd23a63a352b1ae090d/rendering/14.obj", "1.78985905647")</f>
        <v>1.78985905647</v>
      </c>
      <c r="R2660" s="91" t="str">
        <f>HYPERLINK(AB2 &amp; "/spoon/sn_c63171cdc8eaedd23a63a352b1ae090d/rendering/15.obj", "1.47210466862")</f>
        <v>1.47210466862</v>
      </c>
      <c r="S2660" s="64" t="str">
        <f>HYPERLINK(AB2 &amp; "/spoon/sn_c63171cdc8eaedd23a63a352b1ae090d/rendering/16.obj", "1.20060253143")</f>
        <v>1.20060253143</v>
      </c>
      <c r="T2660" s="35" t="str">
        <f>HYPERLINK(AB2 &amp; "/spoon/sn_c63171cdc8eaedd23a63a352b1ae090d/rendering/17.obj", "1.35006904602")</f>
        <v>1.35006904602</v>
      </c>
      <c r="U2660" s="73" t="str">
        <f>HYPERLINK(AB2 &amp; "/spoon/sn_c63171cdc8eaedd23a63a352b1ae090d/rendering/18.obj", "1.38271319866")</f>
        <v>1.38271319866</v>
      </c>
      <c r="V2660" s="64" t="str">
        <f>HYPERLINK(AB2 &amp; "/spoon/sn_c63171cdc8eaedd23a63a352b1ae090d/rendering/19.obj", "1.66965615749")</f>
        <v>1.66965615749</v>
      </c>
      <c r="W2660" s="12" t="s">
        <v>32</v>
      </c>
      <c r="X2660" s="13">
        <v>1.43531286418438</v>
      </c>
      <c r="Y2660" s="13">
        <v>0.34702021494793261</v>
      </c>
      <c r="Z2660" s="58">
        <v>0.24177322143986199</v>
      </c>
    </row>
    <row r="2661" spans="1:26" x14ac:dyDescent="0.2">
      <c r="A2661" s="1">
        <v>2659</v>
      </c>
      <c r="B2661" s="2" t="s">
        <v>564</v>
      </c>
      <c r="C2661" s="13" t="str">
        <f>HYPERLINK(AC2 &amp; "/spoon/sn_c63171cdc8eaedd23a63a352b1ae090d/rendering/00.xyz", "0.0")</f>
        <v>0.0</v>
      </c>
      <c r="D2661" s="13" t="str">
        <f>HYPERLINK(AC2 &amp; "/spoon/sn_c63171cdc8eaedd23a63a352b1ae090d/rendering/01.xyz", "0.0")</f>
        <v>0.0</v>
      </c>
      <c r="E2661" s="13" t="str">
        <f>HYPERLINK(AC2 &amp; "/spoon/sn_c63171cdc8eaedd23a63a352b1ae090d/rendering/02.xyz", "0.0")</f>
        <v>0.0</v>
      </c>
      <c r="F2661" s="13" t="str">
        <f>HYPERLINK(AC2 &amp; "/spoon/sn_c63171cdc8eaedd23a63a352b1ae090d/rendering/03.xyz", "0.0")</f>
        <v>0.0</v>
      </c>
      <c r="G2661" s="13" t="str">
        <f>HYPERLINK(AC2 &amp; "/spoon/sn_c63171cdc8eaedd23a63a352b1ae090d/rendering/04.xyz", "0.0")</f>
        <v>0.0</v>
      </c>
      <c r="H2661" s="13" t="str">
        <f>HYPERLINK(AC2 &amp; "/spoon/sn_c63171cdc8eaedd23a63a352b1ae090d/rendering/05.xyz", "0.0")</f>
        <v>0.0</v>
      </c>
      <c r="I2661" s="13" t="str">
        <f>HYPERLINK(AC2 &amp; "/spoon/sn_c63171cdc8eaedd23a63a352b1ae090d/rendering/06.xyz", "0.0")</f>
        <v>0.0</v>
      </c>
      <c r="J2661" s="13" t="str">
        <f>HYPERLINK(AC2 &amp; "/spoon/sn_c63171cdc8eaedd23a63a352b1ae090d/rendering/07.xyz", "0.0")</f>
        <v>0.0</v>
      </c>
      <c r="K2661" s="13" t="str">
        <f>HYPERLINK(AC2 &amp; "/spoon/sn_c63171cdc8eaedd23a63a352b1ae090d/rendering/08.xyz", "0.0")</f>
        <v>0.0</v>
      </c>
      <c r="L2661" s="13" t="str">
        <f>HYPERLINK(AC2 &amp; "/spoon/sn_c63171cdc8eaedd23a63a352b1ae090d/rendering/09.xyz", "0.0")</f>
        <v>0.0</v>
      </c>
      <c r="M2661" s="13" t="str">
        <f>HYPERLINK(AC2 &amp; "/spoon/sn_c63171cdc8eaedd23a63a352b1ae090d/rendering/10.xyz", "0.0")</f>
        <v>0.0</v>
      </c>
      <c r="N2661" s="13" t="str">
        <f>HYPERLINK(AC2 &amp; "/spoon/sn_c63171cdc8eaedd23a63a352b1ae090d/rendering/11.xyz", "0.0")</f>
        <v>0.0</v>
      </c>
      <c r="O2661" s="13" t="str">
        <f>HYPERLINK(AC2 &amp; "/spoon/sn_c63171cdc8eaedd23a63a352b1ae090d/rendering/12.xyz", "0.0")</f>
        <v>0.0</v>
      </c>
      <c r="P2661" s="13" t="str">
        <f>HYPERLINK(AC2 &amp; "/spoon/sn_c63171cdc8eaedd23a63a352b1ae090d/rendering/13.xyz", "0.0")</f>
        <v>0.0</v>
      </c>
      <c r="Q2661" s="13" t="str">
        <f>HYPERLINK(AC2 &amp; "/spoon/sn_c63171cdc8eaedd23a63a352b1ae090d/rendering/14.xyz", "0.0")</f>
        <v>0.0</v>
      </c>
      <c r="R2661" s="13" t="str">
        <f>HYPERLINK(AC2 &amp; "/spoon/sn_c63171cdc8eaedd23a63a352b1ae090d/rendering/15.xyz", "0.0")</f>
        <v>0.0</v>
      </c>
      <c r="S2661" s="13" t="str">
        <f>HYPERLINK(AC2 &amp; "/spoon/sn_c63171cdc8eaedd23a63a352b1ae090d/rendering/16.xyz", "0.0")</f>
        <v>0.0</v>
      </c>
      <c r="T2661" s="13" t="str">
        <f>HYPERLINK(AC2 &amp; "/spoon/sn_c63171cdc8eaedd23a63a352b1ae090d/rendering/17.xyz", "0.0")</f>
        <v>0.0</v>
      </c>
      <c r="U2661" s="13" t="str">
        <f>HYPERLINK(AC2 &amp; "/spoon/sn_c63171cdc8eaedd23a63a352b1ae090d/rendering/18.xyz", "0.0")</f>
        <v>0.0</v>
      </c>
      <c r="V2661" s="13" t="str">
        <f>HYPERLINK(AC2 &amp; "/spoon/sn_c63171cdc8eaedd23a63a352b1ae090d/rendering/19.xyz", "0.0")</f>
        <v>0.0</v>
      </c>
      <c r="W2661" s="12" t="s">
        <v>33</v>
      </c>
      <c r="X2661" s="13">
        <v>0</v>
      </c>
      <c r="Y2661" s="13">
        <v>0</v>
      </c>
      <c r="Z2661" s="13">
        <v>0</v>
      </c>
    </row>
    <row r="2662" spans="1:26" x14ac:dyDescent="0.2">
      <c r="A2662" s="1">
        <v>2660</v>
      </c>
      <c r="B2662" s="2" t="s">
        <v>565</v>
      </c>
      <c r="C2662" s="83" t="str">
        <f>HYPERLINK(AA2 &amp; "/spoon/sn_ddee52df97b43eaa2edea1c2bfa3bc56/rendering/00.obj", "3.82431915283")</f>
        <v>3.82431915283</v>
      </c>
      <c r="D2662" s="110" t="str">
        <f>HYPERLINK(AA2 &amp; "/spoon/sn_ddee52df97b43eaa2edea1c2bfa3bc56/rendering/01.obj", "4.06828857422")</f>
        <v>4.06828857422</v>
      </c>
      <c r="E2662" s="27" t="str">
        <f>HYPERLINK(AA2 &amp; "/spoon/sn_ddee52df97b43eaa2edea1c2bfa3bc56/rendering/02.obj", "4.19585723877")</f>
        <v>4.19585723877</v>
      </c>
      <c r="F2662" s="5" t="str">
        <f>HYPERLINK(AA2 &amp; "/spoon/sn_ddee52df97b43eaa2edea1c2bfa3bc56/rendering/03.obj", "4.85620544434")</f>
        <v>4.85620544434</v>
      </c>
      <c r="G2662" s="51" t="str">
        <f>HYPERLINK(AA2 &amp; "/spoon/sn_ddee52df97b43eaa2edea1c2bfa3bc56/rendering/04.obj", "4.86692077637")</f>
        <v>4.86692077637</v>
      </c>
      <c r="H2662" s="78" t="str">
        <f>HYPERLINK(AA2 &amp; "/spoon/sn_ddee52df97b43eaa2edea1c2bfa3bc56/rendering/05.obj", "4.78977355957")</f>
        <v>4.78977355957</v>
      </c>
      <c r="I2662" s="13" t="str">
        <f>HYPERLINK(AA2 &amp; "/spoon/sn_ddee52df97b43eaa2edea1c2bfa3bc56/rendering/06.obj", "4.52385437012")</f>
        <v>4.52385437012</v>
      </c>
      <c r="J2662" s="91" t="str">
        <f>HYPERLINK(AA2 &amp; "/spoon/sn_ddee52df97b43eaa2edea1c2bfa3bc56/rendering/07.obj", "4.39211639404")</f>
        <v>4.39211639404</v>
      </c>
      <c r="K2662" s="64" t="str">
        <f>HYPERLINK(AA2 &amp; "/spoon/sn_ddee52df97b43eaa2edea1c2bfa3bc56/rendering/08.obj", "3.77348144531")</f>
        <v>3.77348144531</v>
      </c>
      <c r="L2662" s="30" t="str">
        <f>HYPERLINK(AA2 &amp; "/spoon/sn_ddee52df97b43eaa2edea1c2bfa3bc56/rendering/09.obj", "4.48791809082")</f>
        <v>4.48791809082</v>
      </c>
      <c r="M2662" s="110" t="str">
        <f>HYPERLINK(AA2 &amp; "/spoon/sn_ddee52df97b43eaa2edea1c2bfa3bc56/rendering/10.obj", "4.06108947754")</f>
        <v>4.06108947754</v>
      </c>
      <c r="N2662" s="77" t="str">
        <f>HYPERLINK(AA2 &amp; "/spoon/sn_ddee52df97b43eaa2edea1c2bfa3bc56/rendering/11.obj", "5.3510144043")</f>
        <v>5.3510144043</v>
      </c>
      <c r="O2662" s="35" t="str">
        <f>HYPERLINK(AA2 &amp; "/spoon/sn_ddee52df97b43eaa2edea1c2bfa3bc56/rendering/12.obj", "4.7698034668")</f>
        <v>4.7698034668</v>
      </c>
      <c r="P2662" s="51" t="str">
        <f>HYPERLINK(AA2 &amp; "/spoon/sn_ddee52df97b43eaa2edea1c2bfa3bc56/rendering/13.obj", "4.8735760498")</f>
        <v>4.8735760498</v>
      </c>
      <c r="Q2662" s="95" t="str">
        <f>HYPERLINK(AA2 &amp; "/spoon/sn_ddee52df97b43eaa2edea1c2bfa3bc56/rendering/14.obj", "5.77046875")</f>
        <v>5.77046875</v>
      </c>
      <c r="R2662" s="68" t="str">
        <f>HYPERLINK(AA2 &amp; "/spoon/sn_ddee52df97b43eaa2edea1c2bfa3bc56/rendering/15.obj", "4.31535095215")</f>
        <v>4.31535095215</v>
      </c>
      <c r="S2662" s="67" t="str">
        <f>HYPERLINK(AA2 &amp; "/spoon/sn_ddee52df97b43eaa2edea1c2bfa3bc56/rendering/16.obj", "4.09053527832")</f>
        <v>4.09053527832</v>
      </c>
      <c r="T2662" s="36" t="str">
        <f>HYPERLINK(AA2 &amp; "/spoon/sn_ddee52df97b43eaa2edea1c2bfa3bc56/rendering/17.obj", "5.47793823242")</f>
        <v>5.47793823242</v>
      </c>
      <c r="U2662" s="17" t="str">
        <f>HYPERLINK(AA2 &amp; "/spoon/sn_ddee52df97b43eaa2edea1c2bfa3bc56/rendering/18.obj", "4.42199279785")</f>
        <v>4.42199279785</v>
      </c>
      <c r="V2662" s="86" t="str">
        <f>HYPERLINK(AA2 &amp; "/spoon/sn_ddee52df97b43eaa2edea1c2bfa3bc56/rendering/19.obj", "3.29945007324")</f>
        <v>3.29945007324</v>
      </c>
      <c r="W2662" s="12" t="s">
        <v>29</v>
      </c>
      <c r="X2662" s="13">
        <v>4.5104977264404296</v>
      </c>
      <c r="Y2662" s="13">
        <v>0.59024232152740741</v>
      </c>
      <c r="Z2662" s="29">
        <v>0.13085968718428151</v>
      </c>
    </row>
    <row r="2663" spans="1:26" x14ac:dyDescent="0.2">
      <c r="A2663" s="1">
        <v>2661</v>
      </c>
      <c r="B2663" s="2" t="s">
        <v>565</v>
      </c>
      <c r="C2663" s="117" t="str">
        <f>HYPERLINK(AA2 &amp; "/spoon/sn_ddee52df97b43eaa2edea1c2bfa3bc56/rendering/00.obj", "3.79011487961")</f>
        <v>3.79011487961</v>
      </c>
      <c r="D2663" s="172" t="str">
        <f>HYPERLINK(AA2 &amp; "/spoon/sn_ddee52df97b43eaa2edea1c2bfa3bc56/rendering/01.obj", "2.84149122238")</f>
        <v>2.84149122238</v>
      </c>
      <c r="E2663" s="100" t="str">
        <f>HYPERLINK(AA2 &amp; "/spoon/sn_ddee52df97b43eaa2edea1c2bfa3bc56/rendering/02.obj", "3.23126959801")</f>
        <v>3.23126959801</v>
      </c>
      <c r="F2663" s="35" t="str">
        <f>HYPERLINK(AA2 &amp; "/spoon/sn_ddee52df97b43eaa2edea1c2bfa3bc56/rendering/03.obj", "4.8837594986")</f>
        <v>4.8837594986</v>
      </c>
      <c r="G2663" s="153" t="str">
        <f>HYPERLINK(AA2 &amp; "/spoon/sn_ddee52df97b43eaa2edea1c2bfa3bc56/rendering/04.obj", "6.25402593613")</f>
        <v>6.25402593613</v>
      </c>
      <c r="H2663" s="192" t="str">
        <f>HYPERLINK(AA2 &amp; "/spoon/sn_ddee52df97b43eaa2edea1c2bfa3bc56/rendering/05.obj", "6.33500432968")</f>
        <v>6.33500432968</v>
      </c>
      <c r="I2663" s="38" t="str">
        <f>HYPERLINK(AA2 &amp; "/spoon/sn_ddee52df97b43eaa2edea1c2bfa3bc56/rendering/06.obj", "5.02224063873")</f>
        <v>5.02224063873</v>
      </c>
      <c r="J2663" s="34" t="str">
        <f>HYPERLINK(AA2 &amp; "/spoon/sn_ddee52df97b43eaa2edea1c2bfa3bc56/rendering/07.obj", "4.38373947144")</f>
        <v>4.38373947144</v>
      </c>
      <c r="K2663" s="83" t="str">
        <f>HYPERLINK(AA2 &amp; "/spoon/sn_ddee52df97b43eaa2edea1c2bfa3bc56/rendering/08.obj", "3.90441036224")</f>
        <v>3.90441036224</v>
      </c>
      <c r="L2663" s="84" t="str">
        <f>HYPERLINK(AA2 &amp; "/spoon/sn_ddee52df97b43eaa2edea1c2bfa3bc56/rendering/09.obj", "3.94611644745")</f>
        <v>3.94611644745</v>
      </c>
      <c r="M2663" s="132" t="str">
        <f>HYPERLINK(AA2 &amp; "/spoon/sn_ddee52df97b43eaa2edea1c2bfa3bc56/rendering/10.obj", "2.68755292892")</f>
        <v>2.68755292892</v>
      </c>
      <c r="N2663" s="94" t="str">
        <f>HYPERLINK(AA2 &amp; "/spoon/sn_ddee52df97b43eaa2edea1c2bfa3bc56/rendering/11.obj", "4.95058059692")</f>
        <v>4.95058059692</v>
      </c>
      <c r="O2663" s="193" t="str">
        <f>HYPERLINK(AA2 &amp; "/spoon/sn_ddee52df97b43eaa2edea1c2bfa3bc56/rendering/12.obj", "6.14209508896")</f>
        <v>6.14209508896</v>
      </c>
      <c r="P2663" s="127" t="str">
        <f>HYPERLINK(AA2 &amp; "/spoon/sn_ddee52df97b43eaa2edea1c2bfa3bc56/rendering/13.obj", "7.0135140419")</f>
        <v>7.0135140419</v>
      </c>
      <c r="Q2663" s="181" t="str">
        <f>HYPERLINK(AA2 &amp; "/spoon/sn_ddee52df97b43eaa2edea1c2bfa3bc56/rendering/14.obj", "6.66758728027")</f>
        <v>6.66758728027</v>
      </c>
      <c r="R2663" s="29" t="str">
        <f>HYPERLINK(AA2 &amp; "/spoon/sn_ddee52df97b43eaa2edea1c2bfa3bc56/rendering/15.obj", "4.01032924652")</f>
        <v>4.01032924652</v>
      </c>
      <c r="S2663" s="60" t="str">
        <f>HYPERLINK(AA2 &amp; "/spoon/sn_ddee52df97b43eaa2edea1c2bfa3bc56/rendering/16.obj", "4.37791538239")</f>
        <v>4.37791538239</v>
      </c>
      <c r="T2663" s="96" t="str">
        <f>HYPERLINK(AA2 &amp; "/spoon/sn_ddee52df97b43eaa2edea1c2bfa3bc56/rendering/17.obj", "6.28913450241")</f>
        <v>6.28913450241</v>
      </c>
      <c r="U2663" s="193" t="str">
        <f>HYPERLINK(AA2 &amp; "/spoon/sn_ddee52df97b43eaa2edea1c2bfa3bc56/rendering/18.obj", "3.08926916122")</f>
        <v>3.08926916122</v>
      </c>
      <c r="V2663" s="143" t="str">
        <f>HYPERLINK(AA2 &amp; "/spoon/sn_ddee52df97b43eaa2edea1c2bfa3bc56/rendering/19.obj", "2.44139242172")</f>
        <v>2.44139242172</v>
      </c>
      <c r="W2663" s="12" t="s">
        <v>30</v>
      </c>
      <c r="X2663" s="13">
        <v>4.6130771517753599</v>
      </c>
      <c r="Y2663" s="13">
        <v>1.3969929007157911</v>
      </c>
      <c r="Z2663" s="61">
        <v>0.30283319674767489</v>
      </c>
    </row>
    <row r="2664" spans="1:26" x14ac:dyDescent="0.2">
      <c r="A2664" s="1">
        <v>2662</v>
      </c>
      <c r="B2664" s="2" t="s">
        <v>565</v>
      </c>
      <c r="C2664" s="34" t="str">
        <f>HYPERLINK(AB2 &amp; "/spoon/sn_ddee52df97b43eaa2edea1c2bfa3bc56/rendering/00.obj", "3.79961151123")</f>
        <v>3.79961151123</v>
      </c>
      <c r="D2664" s="91" t="str">
        <f>HYPERLINK(AB2 &amp; "/spoon/sn_ddee52df97b43eaa2edea1c2bfa3bc56/rendering/01.obj", "3.88792602539")</f>
        <v>3.88792602539</v>
      </c>
      <c r="E2664" s="91" t="str">
        <f>HYPERLINK(AB2 &amp; "/spoon/sn_ddee52df97b43eaa2edea1c2bfa3bc56/rendering/02.obj", "3.88780334473")</f>
        <v>3.88780334473</v>
      </c>
      <c r="F2664" s="69" t="str">
        <f>HYPERLINK(AB2 &amp; "/spoon/sn_ddee52df97b43eaa2edea1c2bfa3bc56/rendering/03.obj", "3.86684082031")</f>
        <v>3.86684082031</v>
      </c>
      <c r="G2664" s="26" t="str">
        <f>HYPERLINK(AB2 &amp; "/spoon/sn_ddee52df97b43eaa2edea1c2bfa3bc56/rendering/04.obj", "4.2462020874")</f>
        <v>4.2462020874</v>
      </c>
      <c r="H2664" s="69" t="str">
        <f>HYPERLINK(AB2 &amp; "/spoon/sn_ddee52df97b43eaa2edea1c2bfa3bc56/rendering/05.obj", "3.8645123291")</f>
        <v>3.8645123291</v>
      </c>
      <c r="I2664" s="23" t="str">
        <f>HYPERLINK(AB2 &amp; "/spoon/sn_ddee52df97b43eaa2edea1c2bfa3bc56/rendering/06.obj", "4.14183074951")</f>
        <v>4.14183074951</v>
      </c>
      <c r="J2664" s="47" t="str">
        <f>HYPERLINK(AB2 &amp; "/spoon/sn_ddee52df97b43eaa2edea1c2bfa3bc56/rendering/07.obj", "4.02639099121")</f>
        <v>4.02639099121</v>
      </c>
      <c r="K2664" s="92" t="str">
        <f>HYPERLINK(AB2 &amp; "/spoon/sn_ddee52df97b43eaa2edea1c2bfa3bc56/rendering/08.obj", "3.50038635254")</f>
        <v>3.50038635254</v>
      </c>
      <c r="L2664" s="90" t="str">
        <f>HYPERLINK(AB2 &amp; "/spoon/sn_ddee52df97b43eaa2edea1c2bfa3bc56/rendering/09.obj", "3.60524169922")</f>
        <v>3.60524169922</v>
      </c>
      <c r="M2664" s="73" t="str">
        <f>HYPERLINK(AB2 &amp; "/spoon/sn_ddee52df97b43eaa2edea1c2bfa3bc56/rendering/10.obj", "4.13374572754")</f>
        <v>4.13374572754</v>
      </c>
      <c r="N2664" s="63" t="str">
        <f>HYPERLINK(AB2 &amp; "/spoon/sn_ddee52df97b43eaa2edea1c2bfa3bc56/rendering/11.obj", "3.51137207031")</f>
        <v>3.51137207031</v>
      </c>
      <c r="O2664" s="119" t="str">
        <f>HYPERLINK(AB2 &amp; "/spoon/sn_ddee52df97b43eaa2edea1c2bfa3bc56/rendering/12.obj", "5.04644958496")</f>
        <v>5.04644958496</v>
      </c>
      <c r="P2664" s="39" t="str">
        <f>HYPERLINK(AB2 &amp; "/spoon/sn_ddee52df97b43eaa2edea1c2bfa3bc56/rendering/13.obj", "4.33429656982")</f>
        <v>4.33429656982</v>
      </c>
      <c r="Q2664" s="35" t="str">
        <f>HYPERLINK(AB2 &amp; "/spoon/sn_ddee52df97b43eaa2edea1c2bfa3bc56/rendering/14.obj", "3.76035095215")</f>
        <v>3.76035095215</v>
      </c>
      <c r="R2664" s="107" t="str">
        <f>HYPERLINK(AB2 &amp; "/spoon/sn_ddee52df97b43eaa2edea1c2bfa3bc56/rendering/15.obj", "4.32551269531")</f>
        <v>4.32551269531</v>
      </c>
      <c r="S2664" s="32" t="str">
        <f>HYPERLINK(AB2 &amp; "/spoon/sn_ddee52df97b43eaa2edea1c2bfa3bc56/rendering/16.obj", "4.41391723633")</f>
        <v>4.41391723633</v>
      </c>
      <c r="T2664" s="90" t="str">
        <f>HYPERLINK(AB2 &amp; "/spoon/sn_ddee52df97b43eaa2edea1c2bfa3bc56/rendering/17.obj", "3.60769226074")</f>
        <v>3.60769226074</v>
      </c>
      <c r="U2664" s="72" t="str">
        <f>HYPERLINK(AB2 &amp; "/spoon/sn_ddee52df97b43eaa2edea1c2bfa3bc56/rendering/18.obj", "3.86232757568")</f>
        <v>3.86232757568</v>
      </c>
      <c r="V2664" s="47" t="str">
        <f>HYPERLINK(AB2 &amp; "/spoon/sn_ddee52df97b43eaa2edea1c2bfa3bc56/rendering/19.obj", "3.9600769043")</f>
        <v>3.9600769043</v>
      </c>
      <c r="W2664" s="12" t="s">
        <v>31</v>
      </c>
      <c r="X2664" s="13">
        <v>3.9891243743896481</v>
      </c>
      <c r="Y2664" s="13">
        <v>0.35766810069983229</v>
      </c>
      <c r="Z2664" s="38">
        <v>8.966080451040262E-2</v>
      </c>
    </row>
    <row r="2665" spans="1:26" x14ac:dyDescent="0.2">
      <c r="A2665" s="1">
        <v>2663</v>
      </c>
      <c r="B2665" s="2" t="s">
        <v>565</v>
      </c>
      <c r="C2665" s="37" t="str">
        <f>HYPERLINK(AB2 &amp; "/spoon/sn_ddee52df97b43eaa2edea1c2bfa3bc56/rendering/00.obj", "2.52030992508")</f>
        <v>2.52030992508</v>
      </c>
      <c r="D2665" s="77" t="str">
        <f>HYPERLINK(AB2 &amp; "/spoon/sn_ddee52df97b43eaa2edea1c2bfa3bc56/rendering/01.obj", "2.48579406738")</f>
        <v>2.48579406738</v>
      </c>
      <c r="E2665" s="41" t="str">
        <f>HYPERLINK(AB2 &amp; "/spoon/sn_ddee52df97b43eaa2edea1c2bfa3bc56/rendering/02.obj", "2.84927392006")</f>
        <v>2.84927392006</v>
      </c>
      <c r="F2665" s="92" t="str">
        <f>HYPERLINK(AB2 &amp; "/spoon/sn_ddee52df97b43eaa2edea1c2bfa3bc56/rendering/03.obj", "2.67355394363")</f>
        <v>2.67355394363</v>
      </c>
      <c r="G2665" s="85" t="str">
        <f>HYPERLINK(AB2 &amp; "/spoon/sn_ddee52df97b43eaa2edea1c2bfa3bc56/rendering/04.obj", "3.9558134079")</f>
        <v>3.9558134079</v>
      </c>
      <c r="H2665" s="69" t="str">
        <f>HYPERLINK(AB2 &amp; "/spoon/sn_ddee52df97b43eaa2edea1c2bfa3bc56/rendering/05.obj", "2.96552252769")</f>
        <v>2.96552252769</v>
      </c>
      <c r="I2665" s="31" t="str">
        <f>HYPERLINK(AB2 &amp; "/spoon/sn_ddee52df97b43eaa2edea1c2bfa3bc56/rendering/06.obj", "3.53206658363")</f>
        <v>3.53206658363</v>
      </c>
      <c r="J2665" s="41" t="str">
        <f>HYPERLINK(AB2 &amp; "/spoon/sn_ddee52df97b43eaa2edea1c2bfa3bc56/rendering/07.obj", "3.26260995865")</f>
        <v>3.26260995865</v>
      </c>
      <c r="K2665" s="7" t="str">
        <f>HYPERLINK(AB2 &amp; "/spoon/sn_ddee52df97b43eaa2edea1c2bfa3bc56/rendering/08.obj", "2.20433473587")</f>
        <v>2.20433473587</v>
      </c>
      <c r="L2665" s="120" t="str">
        <f>HYPERLINK(AB2 &amp; "/spoon/sn_ddee52df97b43eaa2edea1c2bfa3bc56/rendering/09.obj", "2.41177082062")</f>
        <v>2.41177082062</v>
      </c>
      <c r="M2665" s="166" t="str">
        <f>HYPERLINK(AB2 &amp; "/spoon/sn_ddee52df97b43eaa2edea1c2bfa3bc56/rendering/10.obj", "3.93177223206")</f>
        <v>3.93177223206</v>
      </c>
      <c r="N2665" s="175" t="str">
        <f>HYPERLINK(AB2 &amp; "/spoon/sn_ddee52df97b43eaa2edea1c2bfa3bc56/rendering/11.obj", "2.34261012077")</f>
        <v>2.34261012077</v>
      </c>
      <c r="O2665" s="51" t="str">
        <f>HYPERLINK(AB2 &amp; "/spoon/sn_ddee52df97b43eaa2edea1c2bfa3bc56/rendering/12.obj", "3.29705524445")</f>
        <v>3.29705524445</v>
      </c>
      <c r="P2665" s="23" t="str">
        <f>HYPERLINK(AB2 &amp; "/spoon/sn_ddee52df97b43eaa2edea1c2bfa3bc56/rendering/13.obj", "2.93033337593")</f>
        <v>2.93033337593</v>
      </c>
      <c r="Q2665" s="74" t="str">
        <f>HYPERLINK(AB2 &amp; "/spoon/sn_ddee52df97b43eaa2edea1c2bfa3bc56/rendering/14.obj", "3.09968018532")</f>
        <v>3.09968018532</v>
      </c>
      <c r="R2665" s="121" t="str">
        <f>HYPERLINK(AB2 &amp; "/spoon/sn_ddee52df97b43eaa2edea1c2bfa3bc56/rendering/15.obj", "4.12837743759")</f>
        <v>4.12837743759</v>
      </c>
      <c r="S2665" s="123" t="str">
        <f>HYPERLINK(AB2 &amp; "/spoon/sn_ddee52df97b43eaa2edea1c2bfa3bc56/rendering/16.obj", "4.17854547501")</f>
        <v>4.17854547501</v>
      </c>
      <c r="T2665" s="133" t="str">
        <f>HYPERLINK(AB2 &amp; "/spoon/sn_ddee52df97b43eaa2edea1c2bfa3bc56/rendering/17.obj", "2.74519777298")</f>
        <v>2.74519777298</v>
      </c>
      <c r="U2665" s="6" t="str">
        <f>HYPERLINK(AB2 &amp; "/spoon/sn_ddee52df97b43eaa2edea1c2bfa3bc56/rendering/18.obj", "3.19369339943")</f>
        <v>3.19369339943</v>
      </c>
      <c r="V2665" s="11" t="str">
        <f>HYPERLINK(AB2 &amp; "/spoon/sn_ddee52df97b43eaa2edea1c2bfa3bc56/rendering/19.obj", "2.36542654037")</f>
        <v>2.36542654037</v>
      </c>
      <c r="W2665" s="12" t="s">
        <v>32</v>
      </c>
      <c r="X2665" s="13">
        <v>3.0536870837211612</v>
      </c>
      <c r="Y2665" s="13">
        <v>0.60756873764123243</v>
      </c>
      <c r="Z2665" s="50">
        <v>0.19896234322112061</v>
      </c>
    </row>
    <row r="2666" spans="1:26" x14ac:dyDescent="0.2">
      <c r="A2666" s="1">
        <v>2664</v>
      </c>
      <c r="B2666" s="2" t="s">
        <v>565</v>
      </c>
      <c r="C2666" s="13" t="str">
        <f>HYPERLINK(AC2 &amp; "/spoon/sn_ddee52df97b43eaa2edea1c2bfa3bc56/rendering/00.xyz", "0.0")</f>
        <v>0.0</v>
      </c>
      <c r="D2666" s="13" t="str">
        <f>HYPERLINK(AC2 &amp; "/spoon/sn_ddee52df97b43eaa2edea1c2bfa3bc56/rendering/01.xyz", "0.0")</f>
        <v>0.0</v>
      </c>
      <c r="E2666" s="13" t="str">
        <f>HYPERLINK(AC2 &amp; "/spoon/sn_ddee52df97b43eaa2edea1c2bfa3bc56/rendering/02.xyz", "0.0")</f>
        <v>0.0</v>
      </c>
      <c r="F2666" s="13" t="str">
        <f>HYPERLINK(AC2 &amp; "/spoon/sn_ddee52df97b43eaa2edea1c2bfa3bc56/rendering/03.xyz", "0.0")</f>
        <v>0.0</v>
      </c>
      <c r="G2666" s="13" t="str">
        <f>HYPERLINK(AC2 &amp; "/spoon/sn_ddee52df97b43eaa2edea1c2bfa3bc56/rendering/04.xyz", "0.0")</f>
        <v>0.0</v>
      </c>
      <c r="H2666" s="13" t="str">
        <f>HYPERLINK(AC2 &amp; "/spoon/sn_ddee52df97b43eaa2edea1c2bfa3bc56/rendering/05.xyz", "0.0")</f>
        <v>0.0</v>
      </c>
      <c r="I2666" s="13" t="str">
        <f>HYPERLINK(AC2 &amp; "/spoon/sn_ddee52df97b43eaa2edea1c2bfa3bc56/rendering/06.xyz", "0.0")</f>
        <v>0.0</v>
      </c>
      <c r="J2666" s="13" t="str">
        <f>HYPERLINK(AC2 &amp; "/spoon/sn_ddee52df97b43eaa2edea1c2bfa3bc56/rendering/07.xyz", "0.0")</f>
        <v>0.0</v>
      </c>
      <c r="K2666" s="13" t="str">
        <f>HYPERLINK(AC2 &amp; "/spoon/sn_ddee52df97b43eaa2edea1c2bfa3bc56/rendering/08.xyz", "0.0")</f>
        <v>0.0</v>
      </c>
      <c r="L2666" s="13" t="str">
        <f>HYPERLINK(AC2 &amp; "/spoon/sn_ddee52df97b43eaa2edea1c2bfa3bc56/rendering/09.xyz", "0.0")</f>
        <v>0.0</v>
      </c>
      <c r="M2666" s="13" t="str">
        <f>HYPERLINK(AC2 &amp; "/spoon/sn_ddee52df97b43eaa2edea1c2bfa3bc56/rendering/10.xyz", "0.0")</f>
        <v>0.0</v>
      </c>
      <c r="N2666" s="13" t="str">
        <f>HYPERLINK(AC2 &amp; "/spoon/sn_ddee52df97b43eaa2edea1c2bfa3bc56/rendering/11.xyz", "0.0")</f>
        <v>0.0</v>
      </c>
      <c r="O2666" s="13" t="str">
        <f>HYPERLINK(AC2 &amp; "/spoon/sn_ddee52df97b43eaa2edea1c2bfa3bc56/rendering/12.xyz", "0.0")</f>
        <v>0.0</v>
      </c>
      <c r="P2666" s="13" t="str">
        <f>HYPERLINK(AC2 &amp; "/spoon/sn_ddee52df97b43eaa2edea1c2bfa3bc56/rendering/13.xyz", "0.0")</f>
        <v>0.0</v>
      </c>
      <c r="Q2666" s="13" t="str">
        <f>HYPERLINK(AC2 &amp; "/spoon/sn_ddee52df97b43eaa2edea1c2bfa3bc56/rendering/14.xyz", "0.0")</f>
        <v>0.0</v>
      </c>
      <c r="R2666" s="13" t="str">
        <f>HYPERLINK(AC2 &amp; "/spoon/sn_ddee52df97b43eaa2edea1c2bfa3bc56/rendering/15.xyz", "0.0")</f>
        <v>0.0</v>
      </c>
      <c r="S2666" s="13" t="str">
        <f>HYPERLINK(AC2 &amp; "/spoon/sn_ddee52df97b43eaa2edea1c2bfa3bc56/rendering/16.xyz", "0.0")</f>
        <v>0.0</v>
      </c>
      <c r="T2666" s="13" t="str">
        <f>HYPERLINK(AC2 &amp; "/spoon/sn_ddee52df97b43eaa2edea1c2bfa3bc56/rendering/17.xyz", "0.0")</f>
        <v>0.0</v>
      </c>
      <c r="U2666" s="13" t="str">
        <f>HYPERLINK(AC2 &amp; "/spoon/sn_ddee52df97b43eaa2edea1c2bfa3bc56/rendering/18.xyz", "0.0")</f>
        <v>0.0</v>
      </c>
      <c r="V2666" s="13" t="str">
        <f>HYPERLINK(AC2 &amp; "/spoon/sn_ddee52df97b43eaa2edea1c2bfa3bc56/rendering/19.xyz", "0.0")</f>
        <v>0.0</v>
      </c>
      <c r="W2666" s="12" t="s">
        <v>33</v>
      </c>
      <c r="X2666" s="13">
        <v>0</v>
      </c>
      <c r="Y2666" s="13">
        <v>0</v>
      </c>
      <c r="Z2666" s="13">
        <v>0</v>
      </c>
    </row>
    <row r="2667" spans="1:26" x14ac:dyDescent="0.2">
      <c r="A2667" s="1">
        <v>2665</v>
      </c>
      <c r="B2667" s="2" t="s">
        <v>566</v>
      </c>
      <c r="C2667" s="20" t="str">
        <f>HYPERLINK(AA2 &amp; "/spoon/sn_de731d4ac7341e15c58e834f0b160845/rendering/00.obj", "20.9740820312")</f>
        <v>20.9740820312</v>
      </c>
      <c r="D2667" s="120" t="str">
        <f>HYPERLINK(AA2 &amp; "/spoon/sn_de731d4ac7341e15c58e834f0b160845/rendering/01.obj", "6.44716186523")</f>
        <v>6.44716186523</v>
      </c>
      <c r="E2667" s="99" t="str">
        <f>HYPERLINK(AA2 &amp; "/spoon/sn_de731d4ac7341e15c58e834f0b160845/rendering/02.obj", "5.96073730469")</f>
        <v>5.96073730469</v>
      </c>
      <c r="F2667" s="99" t="str">
        <f>HYPERLINK(AA2 &amp; "/spoon/sn_de731d4ac7341e15c58e834f0b160845/rendering/03.obj", "5.96274414063")</f>
        <v>5.96274414063</v>
      </c>
      <c r="G2667" s="98" t="str">
        <f>HYPERLINK(AA2 &amp; "/spoon/sn_de731d4ac7341e15c58e834f0b160845/rendering/04.obj", "6.28470092773")</f>
        <v>6.28470092773</v>
      </c>
      <c r="H2667" s="11" t="str">
        <f>HYPERLINK(AA2 &amp; "/spoon/sn_de731d4ac7341e15c58e834f0b160845/rendering/05.obj", "6.35635375977")</f>
        <v>6.35635375977</v>
      </c>
      <c r="I2667" s="20" t="str">
        <f>HYPERLINK(AA2 &amp; "/spoon/sn_de731d4ac7341e15c58e834f0b160845/rendering/06.obj", "26.4266943359")</f>
        <v>26.4266943359</v>
      </c>
      <c r="J2667" s="93" t="str">
        <f>HYPERLINK(AA2 &amp; "/spoon/sn_de731d4ac7341e15c58e834f0b160845/rendering/07.obj", "7.03066162109")</f>
        <v>7.03066162109</v>
      </c>
      <c r="K2667" s="93" t="str">
        <f>HYPERLINK(AA2 &amp; "/spoon/sn_de731d4ac7341e15c58e834f0b160845/rendering/08.obj", "7.02902709961")</f>
        <v>7.02902709961</v>
      </c>
      <c r="L2667" s="86" t="str">
        <f>HYPERLINK(AA2 &amp; "/spoon/sn_de731d4ac7341e15c58e834f0b160845/rendering/09.obj", "5.98404052734")</f>
        <v>5.98404052734</v>
      </c>
      <c r="M2667" s="135" t="str">
        <f>HYPERLINK(AA2 &amp; "/spoon/sn_de731d4ac7341e15c58e834f0b160845/rendering/10.obj", "6.08375488281")</f>
        <v>6.08375488281</v>
      </c>
      <c r="N2667" s="168" t="str">
        <f>HYPERLINK(AA2 &amp; "/spoon/sn_de731d4ac7341e15c58e834f0b160845/rendering/11.obj", "5.55079833984")</f>
        <v>5.55079833984</v>
      </c>
      <c r="O2667" s="100" t="str">
        <f>HYPERLINK(AA2 &amp; "/spoon/sn_de731d4ac7341e15c58e834f0b160845/rendering/12.obj", "5.72548583984")</f>
        <v>5.72548583984</v>
      </c>
      <c r="P2667" s="11" t="str">
        <f>HYPERLINK(AA2 &amp; "/spoon/sn_de731d4ac7341e15c58e834f0b160845/rendering/13.obj", "6.34344482422")</f>
        <v>6.34344482422</v>
      </c>
      <c r="Q2667" s="80" t="str">
        <f>HYPERLINK(AA2 &amp; "/spoon/sn_de731d4ac7341e15c58e834f0b160845/rendering/14.obj", "6.96166870117")</f>
        <v>6.96166870117</v>
      </c>
      <c r="R2667" s="109" t="str">
        <f>HYPERLINK(AA2 &amp; "/spoon/sn_de731d4ac7341e15c58e834f0b160845/rendering/15.obj", "6.63873413086")</f>
        <v>6.63873413086</v>
      </c>
      <c r="S2667" s="129" t="str">
        <f>HYPERLINK(AA2 &amp; "/spoon/sn_de731d4ac7341e15c58e834f0b160845/rendering/16.obj", "6.15018188477")</f>
        <v>6.15018188477</v>
      </c>
      <c r="T2667" s="83" t="str">
        <f>HYPERLINK(AA2 &amp; "/spoon/sn_de731d4ac7341e15c58e834f0b160845/rendering/17.obj", "9.42275756836")</f>
        <v>9.42275756836</v>
      </c>
      <c r="U2667" s="85" t="str">
        <f>HYPERLINK(AA2 &amp; "/spoon/sn_de731d4ac7341e15c58e834f0b160845/rendering/18.obj", "5.76442321777")</f>
        <v>5.76442321777</v>
      </c>
      <c r="V2667" s="82" t="str">
        <f>HYPERLINK(AA2 &amp; "/spoon/sn_de731d4ac7341e15c58e834f0b160845/rendering/19.obj", "6.50128356934")</f>
        <v>6.50128356934</v>
      </c>
      <c r="W2667" s="12" t="s">
        <v>29</v>
      </c>
      <c r="X2667" s="13">
        <v>8.1799368286132825</v>
      </c>
      <c r="Y2667" s="13">
        <v>5.3044430733825108</v>
      </c>
      <c r="Z2667" s="178">
        <v>0.64846993131140784</v>
      </c>
    </row>
    <row r="2668" spans="1:26" x14ac:dyDescent="0.2">
      <c r="A2668" s="1">
        <v>2666</v>
      </c>
      <c r="B2668" s="2" t="s">
        <v>566</v>
      </c>
      <c r="C2668" s="20" t="str">
        <f>HYPERLINK(AA2 &amp; "/spoon/sn_de731d4ac7341e15c58e834f0b160845/rendering/00.obj", "49.7677345276")</f>
        <v>49.7677345276</v>
      </c>
      <c r="D2668" s="20" t="str">
        <f>HYPERLINK(AA2 &amp; "/spoon/sn_de731d4ac7341e15c58e834f0b160845/rendering/01.obj", "1.22922837734")</f>
        <v>1.22922837734</v>
      </c>
      <c r="E2668" s="20" t="str">
        <f>HYPERLINK(AA2 &amp; "/spoon/sn_de731d4ac7341e15c58e834f0b160845/rendering/02.obj", "1.01836442947")</f>
        <v>1.01836442947</v>
      </c>
      <c r="F2668" s="232" t="str">
        <f>HYPERLINK(AA2 &amp; "/spoon/sn_de731d4ac7341e15c58e834f0b160845/rendering/03.obj", "2.01275968552")</f>
        <v>2.01275968552</v>
      </c>
      <c r="G2668" s="20" t="str">
        <f>HYPERLINK(AA2 &amp; "/spoon/sn_de731d4ac7341e15c58e834f0b160845/rendering/04.obj", "1.47017216682")</f>
        <v>1.47017216682</v>
      </c>
      <c r="H2668" s="146" t="str">
        <f>HYPERLINK(AA2 &amp; "/spoon/sn_de731d4ac7341e15c58e834f0b160845/rendering/05.obj", "2.06438946724")</f>
        <v>2.06438946724</v>
      </c>
      <c r="I2668" s="20" t="str">
        <f>HYPERLINK(AA2 &amp; "/spoon/sn_de731d4ac7341e15c58e834f0b160845/rendering/06.obj", "96.2838439941")</f>
        <v>96.2838439941</v>
      </c>
      <c r="J2668" s="20" t="str">
        <f>HYPERLINK(AA2 &amp; "/spoon/sn_de731d4ac7341e15c58e834f0b160845/rendering/07.obj", "1.46272706985")</f>
        <v>1.46272706985</v>
      </c>
      <c r="K2668" s="180" t="str">
        <f>HYPERLINK(AA2 &amp; "/spoon/sn_de731d4ac7341e15c58e834f0b160845/rendering/08.obj", "1.94917023182")</f>
        <v>1.94917023182</v>
      </c>
      <c r="L2668" s="18" t="str">
        <f>HYPERLINK(AA2 &amp; "/spoon/sn_de731d4ac7341e15c58e834f0b160845/rendering/09.obj", "3.89896941185")</f>
        <v>3.89896941185</v>
      </c>
      <c r="M2668" s="20" t="str">
        <f>HYPERLINK(AA2 &amp; "/spoon/sn_de731d4ac7341e15c58e834f0b160845/rendering/10.obj", "0.927172005177")</f>
        <v>0.927172005177</v>
      </c>
      <c r="N2668" s="20" t="str">
        <f>HYPERLINK(AA2 &amp; "/spoon/sn_de731d4ac7341e15c58e834f0b160845/rendering/11.obj", "0.972626626492")</f>
        <v>0.972626626492</v>
      </c>
      <c r="O2668" s="20" t="str">
        <f>HYPERLINK(AA2 &amp; "/spoon/sn_de731d4ac7341e15c58e834f0b160845/rendering/12.obj", "0.917330741882")</f>
        <v>0.917330741882</v>
      </c>
      <c r="P2668" s="20" t="str">
        <f>HYPERLINK(AA2 &amp; "/spoon/sn_de731d4ac7341e15c58e834f0b160845/rendering/13.obj", "1.6959066391")</f>
        <v>1.6959066391</v>
      </c>
      <c r="Q2668" s="223" t="str">
        <f>HYPERLINK(AA2 &amp; "/spoon/sn_de731d4ac7341e15c58e834f0b160845/rendering/14.obj", "4.07812356949")</f>
        <v>4.07812356949</v>
      </c>
      <c r="R2668" s="20" t="str">
        <f>HYPERLINK(AA2 &amp; "/spoon/sn_de731d4ac7341e15c58e834f0b160845/rendering/15.obj", "1.53075289726")</f>
        <v>1.53075289726</v>
      </c>
      <c r="S2668" s="197" t="str">
        <f>HYPERLINK(AA2 &amp; "/spoon/sn_de731d4ac7341e15c58e834f0b160845/rendering/16.obj", "4.01782369614")</f>
        <v>4.01782369614</v>
      </c>
      <c r="T2668" s="135" t="str">
        <f>HYPERLINK(AA2 &amp; "/spoon/sn_de731d4ac7341e15c58e834f0b160845/rendering/17.obj", "6.87792778015")</f>
        <v>6.87792778015</v>
      </c>
      <c r="U2668" s="20" t="str">
        <f>HYPERLINK(AA2 &amp; "/spoon/sn_de731d4ac7341e15c58e834f0b160845/rendering/18.obj", "1.48785448074")</f>
        <v>1.48785448074</v>
      </c>
      <c r="V2668" s="20" t="str">
        <f>HYPERLINK(AA2 &amp; "/spoon/sn_de731d4ac7341e15c58e834f0b160845/rendering/19.obj", "1.22097122669")</f>
        <v>1.22097122669</v>
      </c>
      <c r="W2668" s="12" t="s">
        <v>30</v>
      </c>
      <c r="X2668" s="13">
        <v>9.2441924512386322</v>
      </c>
      <c r="Y2668" s="13">
        <v>22.5434226901641</v>
      </c>
      <c r="Z2668" s="20">
        <v>2.4386578718559129</v>
      </c>
    </row>
    <row r="2669" spans="1:26" x14ac:dyDescent="0.2">
      <c r="A2669" s="1">
        <v>2667</v>
      </c>
      <c r="B2669" s="2" t="s">
        <v>566</v>
      </c>
      <c r="C2669" s="23" t="str">
        <f>HYPERLINK(AB2 &amp; "/spoon/sn_de731d4ac7341e15c58e834f0b160845/rendering/00.obj", "6.19487182617")</f>
        <v>6.19487182617</v>
      </c>
      <c r="D2669" s="27" t="str">
        <f>HYPERLINK(AB2 &amp; "/spoon/sn_de731d4ac7341e15c58e834f0b160845/rendering/01.obj", "6.39711486816")</f>
        <v>6.39711486816</v>
      </c>
      <c r="E2669" s="67" t="str">
        <f>HYPERLINK(AB2 &amp; "/spoon/sn_de731d4ac7341e15c58e834f0b160845/rendering/02.obj", "5.4203125")</f>
        <v>5.4203125</v>
      </c>
      <c r="F2669" s="39" t="str">
        <f>HYPERLINK(AB2 &amp; "/spoon/sn_de731d4ac7341e15c58e834f0b160845/rendering/03.obj", "5.45373168945")</f>
        <v>5.45373168945</v>
      </c>
      <c r="G2669" s="60" t="str">
        <f>HYPERLINK(AB2 &amp; "/spoon/sn_de731d4ac7341e15c58e834f0b160845/rendering/04.obj", "6.27872680664")</f>
        <v>6.27872680664</v>
      </c>
      <c r="H2669" s="94" t="str">
        <f>HYPERLINK(AB2 &amp; "/spoon/sn_de731d4ac7341e15c58e834f0b160845/rendering/05.obj", "5.53739074707")</f>
        <v>5.53739074707</v>
      </c>
      <c r="I2669" s="187" t="str">
        <f>HYPERLINK(AB2 &amp; "/spoon/sn_de731d4ac7341e15c58e834f0b160845/rendering/06.obj", "8.06280822754")</f>
        <v>8.06280822754</v>
      </c>
      <c r="J2669" s="6" t="str">
        <f>HYPERLINK(AB2 &amp; "/spoon/sn_de731d4ac7341e15c58e834f0b160845/rendering/07.obj", "5.69076599121")</f>
        <v>5.69076599121</v>
      </c>
      <c r="K2669" s="39" t="str">
        <f>HYPERLINK(AB2 &amp; "/spoon/sn_de731d4ac7341e15c58e834f0b160845/rendering/08.obj", "6.48152160645")</f>
        <v>6.48152160645</v>
      </c>
      <c r="L2669" s="27" t="str">
        <f>HYPERLINK(AB2 &amp; "/spoon/sn_de731d4ac7341e15c58e834f0b160845/rendering/09.obj", "5.53949890137")</f>
        <v>5.53949890137</v>
      </c>
      <c r="M2669" s="69" t="str">
        <f>HYPERLINK(AB2 &amp; "/spoon/sn_de731d4ac7341e15c58e834f0b160845/rendering/10.obj", "5.78225158691")</f>
        <v>5.78225158691</v>
      </c>
      <c r="N2669" s="34" t="str">
        <f>HYPERLINK(AB2 &amp; "/spoon/sn_de731d4ac7341e15c58e834f0b160845/rendering/11.obj", "5.68308959961")</f>
        <v>5.68308959961</v>
      </c>
      <c r="O2669" s="33" t="str">
        <f>HYPERLINK(AB2 &amp; "/spoon/sn_de731d4ac7341e15c58e834f0b160845/rendering/12.obj", "5.32392089844")</f>
        <v>5.32392089844</v>
      </c>
      <c r="P2669" s="13" t="str">
        <f>HYPERLINK(AB2 &amp; "/spoon/sn_de731d4ac7341e15c58e834f0b160845/rendering/13.obj", "5.98706726074")</f>
        <v>5.98706726074</v>
      </c>
      <c r="Q2669" s="5" t="str">
        <f>HYPERLINK(AB2 &amp; "/spoon/sn_de731d4ac7341e15c58e834f0b160845/rendering/14.obj", "5.50359741211")</f>
        <v>5.50359741211</v>
      </c>
      <c r="R2669" s="23" t="str">
        <f>HYPERLINK(AB2 &amp; "/spoon/sn_de731d4ac7341e15c58e834f0b160845/rendering/15.obj", "6.20870849609")</f>
        <v>6.20870849609</v>
      </c>
      <c r="S2669" s="73" t="str">
        <f>HYPERLINK(AB2 &amp; "/spoon/sn_de731d4ac7341e15c58e834f0b160845/rendering/16.obj", "6.17957397461")</f>
        <v>6.17957397461</v>
      </c>
      <c r="T2669" s="47" t="str">
        <f>HYPERLINK(AB2 &amp; "/spoon/sn_de731d4ac7341e15c58e834f0b160845/rendering/17.obj", "6.01126098633")</f>
        <v>6.01126098633</v>
      </c>
      <c r="U2669" s="29" t="str">
        <f>HYPERLINK(AB2 &amp; "/spoon/sn_de731d4ac7341e15c58e834f0b160845/rendering/18.obj", "5.19252624512")</f>
        <v>5.19252624512</v>
      </c>
      <c r="V2669" s="107" t="str">
        <f>HYPERLINK(AB2 &amp; "/spoon/sn_de731d4ac7341e15c58e834f0b160845/rendering/19.obj", "6.46167236328")</f>
        <v>6.46167236328</v>
      </c>
      <c r="W2669" s="12" t="s">
        <v>31</v>
      </c>
      <c r="X2669" s="13">
        <v>5.969520599365234</v>
      </c>
      <c r="Y2669" s="13">
        <v>0.62010346586726872</v>
      </c>
      <c r="Z2669" s="32">
        <v>0.10387826887358539</v>
      </c>
    </row>
    <row r="2670" spans="1:26" x14ac:dyDescent="0.2">
      <c r="A2670" s="1">
        <v>2668</v>
      </c>
      <c r="B2670" s="2" t="s">
        <v>566</v>
      </c>
      <c r="C2670" s="107" t="str">
        <f>HYPERLINK(AB2 &amp; "/spoon/sn_de731d4ac7341e15c58e834f0b160845/rendering/00.obj", "1.51320421696")</f>
        <v>1.51320421696</v>
      </c>
      <c r="D2670" s="175" t="str">
        <f>HYPERLINK(AB2 &amp; "/spoon/sn_de731d4ac7341e15c58e834f0b160845/rendering/01.obj", "1.07401609421")</f>
        <v>1.07401609421</v>
      </c>
      <c r="E2670" s="153" t="str">
        <f>HYPERLINK(AB2 &amp; "/spoon/sn_de731d4ac7341e15c58e834f0b160845/rendering/02.obj", "0.902290225029")</f>
        <v>0.902290225029</v>
      </c>
      <c r="F2670" s="100" t="str">
        <f>HYPERLINK(AB2 &amp; "/spoon/sn_de731d4ac7341e15c58e834f0b160845/rendering/03.obj", "0.9803378582")</f>
        <v>0.9803378582</v>
      </c>
      <c r="G2670" s="40" t="str">
        <f>HYPERLINK(AB2 &amp; "/spoon/sn_de731d4ac7341e15c58e834f0b160845/rendering/04.obj", "1.63869524002")</f>
        <v>1.63869524002</v>
      </c>
      <c r="H2670" s="64" t="str">
        <f>HYPERLINK(AB2 &amp; "/spoon/sn_de731d4ac7341e15c58e834f0b160845/rendering/05.obj", "1.62861537933")</f>
        <v>1.62861537933</v>
      </c>
      <c r="I2670" s="20" t="str">
        <f>HYPERLINK(AB2 &amp; "/spoon/sn_de731d4ac7341e15c58e834f0b160845/rendering/06.obj", "3.7013938427")</f>
        <v>3.7013938427</v>
      </c>
      <c r="J2670" s="169" t="str">
        <f>HYPERLINK(AB2 &amp; "/spoon/sn_de731d4ac7341e15c58e834f0b160845/rendering/07.obj", "0.960511922836")</f>
        <v>0.960511922836</v>
      </c>
      <c r="K2670" s="63" t="str">
        <f>HYPERLINK(AB2 &amp; "/spoon/sn_de731d4ac7341e15c58e834f0b160845/rendering/08.obj", "1.56655323505")</f>
        <v>1.56655323505</v>
      </c>
      <c r="L2670" s="222" t="str">
        <f>HYPERLINK(AB2 &amp; "/spoon/sn_de731d4ac7341e15c58e834f0b160845/rendering/09.obj", "2.44781303406")</f>
        <v>2.44781303406</v>
      </c>
      <c r="M2670" s="176" t="str">
        <f>HYPERLINK(AB2 &amp; "/spoon/sn_de731d4ac7341e15c58e834f0b160845/rendering/10.obj", "0.952974200249")</f>
        <v>0.952974200249</v>
      </c>
      <c r="N2670" s="99" t="str">
        <f>HYPERLINK(AB2 &amp; "/spoon/sn_de731d4ac7341e15c58e834f0b160845/rendering/11.obj", "1.0189832449")</f>
        <v>1.0189832449</v>
      </c>
      <c r="O2670" s="118" t="str">
        <f>HYPERLINK(AB2 &amp; "/spoon/sn_de731d4ac7341e15c58e834f0b160845/rendering/12.obj", "0.989776194096")</f>
        <v>0.989776194096</v>
      </c>
      <c r="P2670" s="50" t="str">
        <f>HYPERLINK(AB2 &amp; "/spoon/sn_de731d4ac7341e15c58e834f0b160845/rendering/13.obj", "1.11933386326")</f>
        <v>1.11933386326</v>
      </c>
      <c r="Q2670" s="169" t="str">
        <f>HYPERLINK(AB2 &amp; "/spoon/sn_de731d4ac7341e15c58e834f0b160845/rendering/14.obj", "0.961321592331")</f>
        <v>0.961321592331</v>
      </c>
      <c r="R2670" s="50" t="str">
        <f>HYPERLINK(AB2 &amp; "/spoon/sn_de731d4ac7341e15c58e834f0b160845/rendering/15.obj", "1.67787182331")</f>
        <v>1.67787182331</v>
      </c>
      <c r="S2670" s="109" t="str">
        <f>HYPERLINK(AB2 &amp; "/spoon/sn_de731d4ac7341e15c58e834f0b160845/rendering/16.obj", "1.66354107857")</f>
        <v>1.66354107857</v>
      </c>
      <c r="T2670" s="149" t="str">
        <f>HYPERLINK(AB2 &amp; "/spoon/sn_de731d4ac7341e15c58e834f0b160845/rendering/17.obj", "0.920170247555")</f>
        <v>0.920170247555</v>
      </c>
      <c r="U2670" s="107" t="str">
        <f>HYPERLINK(AB2 &amp; "/spoon/sn_de731d4ac7341e15c58e834f0b160845/rendering/18.obj", "1.28439605236")</f>
        <v>1.28439605236</v>
      </c>
      <c r="V2670" s="61" t="str">
        <f>HYPERLINK(AB2 &amp; "/spoon/sn_de731d4ac7341e15c58e834f0b160845/rendering/19.obj", "0.977206110954")</f>
        <v>0.977206110954</v>
      </c>
      <c r="W2670" s="12" t="s">
        <v>32</v>
      </c>
      <c r="X2670" s="13">
        <v>1.3989502727985379</v>
      </c>
      <c r="Y2670" s="13">
        <v>0.65653902192249836</v>
      </c>
      <c r="Z2670" s="159">
        <v>0.46930833403328992</v>
      </c>
    </row>
    <row r="2671" spans="1:26" x14ac:dyDescent="0.2">
      <c r="A2671" s="1">
        <v>2669</v>
      </c>
      <c r="B2671" s="2" t="s">
        <v>566</v>
      </c>
      <c r="C2671" s="13" t="str">
        <f>HYPERLINK(AC2 &amp; "/spoon/sn_de731d4ac7341e15c58e834f0b160845/rendering/00.xyz", "0.0")</f>
        <v>0.0</v>
      </c>
      <c r="D2671" s="13" t="str">
        <f>HYPERLINK(AC2 &amp; "/spoon/sn_de731d4ac7341e15c58e834f0b160845/rendering/01.xyz", "0.0")</f>
        <v>0.0</v>
      </c>
      <c r="E2671" s="13" t="str">
        <f>HYPERLINK(AC2 &amp; "/spoon/sn_de731d4ac7341e15c58e834f0b160845/rendering/02.xyz", "0.0")</f>
        <v>0.0</v>
      </c>
      <c r="F2671" s="13" t="str">
        <f>HYPERLINK(AC2 &amp; "/spoon/sn_de731d4ac7341e15c58e834f0b160845/rendering/03.xyz", "0.0")</f>
        <v>0.0</v>
      </c>
      <c r="G2671" s="13" t="str">
        <f>HYPERLINK(AC2 &amp; "/spoon/sn_de731d4ac7341e15c58e834f0b160845/rendering/04.xyz", "0.0")</f>
        <v>0.0</v>
      </c>
      <c r="H2671" s="13" t="str">
        <f>HYPERLINK(AC2 &amp; "/spoon/sn_de731d4ac7341e15c58e834f0b160845/rendering/05.xyz", "0.0")</f>
        <v>0.0</v>
      </c>
      <c r="I2671" s="13" t="str">
        <f>HYPERLINK(AC2 &amp; "/spoon/sn_de731d4ac7341e15c58e834f0b160845/rendering/06.xyz", "0.0")</f>
        <v>0.0</v>
      </c>
      <c r="J2671" s="13" t="str">
        <f>HYPERLINK(AC2 &amp; "/spoon/sn_de731d4ac7341e15c58e834f0b160845/rendering/07.xyz", "0.0")</f>
        <v>0.0</v>
      </c>
      <c r="K2671" s="13" t="str">
        <f>HYPERLINK(AC2 &amp; "/spoon/sn_de731d4ac7341e15c58e834f0b160845/rendering/08.xyz", "0.0")</f>
        <v>0.0</v>
      </c>
      <c r="L2671" s="13" t="str">
        <f>HYPERLINK(AC2 &amp; "/spoon/sn_de731d4ac7341e15c58e834f0b160845/rendering/09.xyz", "0.0")</f>
        <v>0.0</v>
      </c>
      <c r="M2671" s="13" t="str">
        <f>HYPERLINK(AC2 &amp; "/spoon/sn_de731d4ac7341e15c58e834f0b160845/rendering/10.xyz", "0.0")</f>
        <v>0.0</v>
      </c>
      <c r="N2671" s="13" t="str">
        <f>HYPERLINK(AC2 &amp; "/spoon/sn_de731d4ac7341e15c58e834f0b160845/rendering/11.xyz", "0.0")</f>
        <v>0.0</v>
      </c>
      <c r="O2671" s="13" t="str">
        <f>HYPERLINK(AC2 &amp; "/spoon/sn_de731d4ac7341e15c58e834f0b160845/rendering/12.xyz", "0.0")</f>
        <v>0.0</v>
      </c>
      <c r="P2671" s="13" t="str">
        <f>HYPERLINK(AC2 &amp; "/spoon/sn_de731d4ac7341e15c58e834f0b160845/rendering/13.xyz", "0.0")</f>
        <v>0.0</v>
      </c>
      <c r="Q2671" s="13" t="str">
        <f>HYPERLINK(AC2 &amp; "/spoon/sn_de731d4ac7341e15c58e834f0b160845/rendering/14.xyz", "0.0")</f>
        <v>0.0</v>
      </c>
      <c r="R2671" s="13" t="str">
        <f>HYPERLINK(AC2 &amp; "/spoon/sn_de731d4ac7341e15c58e834f0b160845/rendering/15.xyz", "0.0")</f>
        <v>0.0</v>
      </c>
      <c r="S2671" s="13" t="str">
        <f>HYPERLINK(AC2 &amp; "/spoon/sn_de731d4ac7341e15c58e834f0b160845/rendering/16.xyz", "0.0")</f>
        <v>0.0</v>
      </c>
      <c r="T2671" s="13" t="str">
        <f>HYPERLINK(AC2 &amp; "/spoon/sn_de731d4ac7341e15c58e834f0b160845/rendering/17.xyz", "0.0")</f>
        <v>0.0</v>
      </c>
      <c r="U2671" s="13" t="str">
        <f>HYPERLINK(AC2 &amp; "/spoon/sn_de731d4ac7341e15c58e834f0b160845/rendering/18.xyz", "0.0")</f>
        <v>0.0</v>
      </c>
      <c r="V2671" s="13" t="str">
        <f>HYPERLINK(AC2 &amp; "/spoon/sn_de731d4ac7341e15c58e834f0b160845/rendering/19.xyz", "0.0")</f>
        <v>0.0</v>
      </c>
      <c r="W2671" s="12" t="s">
        <v>33</v>
      </c>
      <c r="X2671" s="13">
        <v>0</v>
      </c>
      <c r="Y2671" s="13">
        <v>0</v>
      </c>
      <c r="Z2671" s="13">
        <v>0</v>
      </c>
    </row>
    <row r="2672" spans="1:26" x14ac:dyDescent="0.2">
      <c r="A2672" s="1">
        <v>2670</v>
      </c>
      <c r="B2672" s="2" t="s">
        <v>567</v>
      </c>
      <c r="C2672" s="72" t="str">
        <f>HYPERLINK(AA2 &amp; "/spoon/sn_dfd87854f4686dffabeb890a269504bb/rendering/00.obj", "8.44484375")</f>
        <v>8.44484375</v>
      </c>
      <c r="D2672" s="23" t="str">
        <f>HYPERLINK(AA2 &amp; "/spoon/sn_dfd87854f4686dffabeb890a269504bb/rendering/01.obj", "8.39578125")</f>
        <v>8.39578125</v>
      </c>
      <c r="E2672" s="10" t="str">
        <f>HYPERLINK(AA2 &amp; "/spoon/sn_dfd87854f4686dffabeb890a269504bb/rendering/02.obj", "9.21239990234")</f>
        <v>9.21239990234</v>
      </c>
      <c r="F2672" s="26" t="str">
        <f>HYPERLINK(AA2 &amp; "/spoon/sn_dfd87854f4686dffabeb890a269504bb/rendering/03.obj", "8.19337158203")</f>
        <v>8.19337158203</v>
      </c>
      <c r="G2672" s="90" t="str">
        <f>HYPERLINK(AA2 &amp; "/spoon/sn_dfd87854f4686dffabeb890a269504bb/rendering/04.obj", "9.59074462891")</f>
        <v>9.59074462891</v>
      </c>
      <c r="H2672" s="90" t="str">
        <f>HYPERLINK(AA2 &amp; "/spoon/sn_dfd87854f4686dffabeb890a269504bb/rendering/05.obj", "9.58882141113")</f>
        <v>9.58882141113</v>
      </c>
      <c r="I2672" s="74" t="str">
        <f>HYPERLINK(AA2 &amp; "/spoon/sn_dfd87854f4686dffabeb890a269504bb/rendering/06.obj", "8.60933105469")</f>
        <v>8.60933105469</v>
      </c>
      <c r="J2672" s="34" t="str">
        <f>HYPERLINK(AA2 &amp; "/spoon/sn_dfd87854f4686dffabeb890a269504bb/rendering/07.obj", "8.31814575195")</f>
        <v>8.31814575195</v>
      </c>
      <c r="K2672" s="72" t="str">
        <f>HYPERLINK(AA2 &amp; "/spoon/sn_dfd87854f4686dffabeb890a269504bb/rendering/08.obj", "9.04260620117")</f>
        <v>9.04260620117</v>
      </c>
      <c r="L2672" s="48" t="str">
        <f>HYPERLINK(AA2 &amp; "/spoon/sn_dfd87854f4686dffabeb890a269504bb/rendering/09.obj", "8.54181274414")</f>
        <v>8.54181274414</v>
      </c>
      <c r="M2672" s="30" t="str">
        <f>HYPERLINK(AA2 &amp; "/spoon/sn_dfd87854f4686dffabeb890a269504bb/rendering/10.obj", "8.79336181641")</f>
        <v>8.79336181641</v>
      </c>
      <c r="N2672" s="39" t="str">
        <f>HYPERLINK(AA2 &amp; "/spoon/sn_dfd87854f4686dffabeb890a269504bb/rendering/11.obj", "7.98917297363")</f>
        <v>7.98917297363</v>
      </c>
      <c r="O2672" s="60" t="str">
        <f>HYPERLINK(AA2 &amp; "/spoon/sn_dfd87854f4686dffabeb890a269504bb/rendering/12.obj", "8.28232788086")</f>
        <v>8.28232788086</v>
      </c>
      <c r="P2672" s="51" t="str">
        <f>HYPERLINK(AA2 &amp; "/spoon/sn_dfd87854f4686dffabeb890a269504bb/rendering/13.obj", "8.03940246582")</f>
        <v>8.03940246582</v>
      </c>
      <c r="Q2672" s="6" t="str">
        <f>HYPERLINK(AA2 &amp; "/spoon/sn_dfd87854f4686dffabeb890a269504bb/rendering/14.obj", "9.14475585937")</f>
        <v>9.14475585937</v>
      </c>
      <c r="R2672" s="72" t="str">
        <f>HYPERLINK(AA2 &amp; "/spoon/sn_dfd87854f4686dffabeb890a269504bb/rendering/15.obj", "8.44513549805")</f>
        <v>8.44513549805</v>
      </c>
      <c r="S2672" s="94" t="str">
        <f>HYPERLINK(AA2 &amp; "/spoon/sn_dfd87854f4686dffabeb890a269504bb/rendering/16.obj", "9.38274536133")</f>
        <v>9.38274536133</v>
      </c>
      <c r="T2672" s="83" t="str">
        <f>HYPERLINK(AA2 &amp; "/spoon/sn_dfd87854f4686dffabeb890a269504bb/rendering/17.obj", "10.0694506836")</f>
        <v>10.0694506836</v>
      </c>
      <c r="U2672" s="94" t="str">
        <f>HYPERLINK(AA2 &amp; "/spoon/sn_dfd87854f4686dffabeb890a269504bb/rendering/18.obj", "8.10543518066")</f>
        <v>8.10543518066</v>
      </c>
      <c r="V2672" s="47" t="str">
        <f>HYPERLINK(AA2 &amp; "/spoon/sn_dfd87854f4686dffabeb890a269504bb/rendering/19.obj", "8.67944335938")</f>
        <v>8.67944335938</v>
      </c>
      <c r="W2672" s="12" t="s">
        <v>29</v>
      </c>
      <c r="X2672" s="13">
        <v>8.7434544677734358</v>
      </c>
      <c r="Y2672" s="13">
        <v>0.57454502772746729</v>
      </c>
      <c r="Z2672" s="26">
        <v>6.571144504098711E-2</v>
      </c>
    </row>
    <row r="2673" spans="1:26" x14ac:dyDescent="0.2">
      <c r="A2673" s="1">
        <v>2671</v>
      </c>
      <c r="B2673" s="2" t="s">
        <v>567</v>
      </c>
      <c r="C2673" s="200" t="str">
        <f>HYPERLINK(AA2 &amp; "/spoon/sn_dfd87854f4686dffabeb890a269504bb/rendering/00.obj", "2.56117653847")</f>
        <v>2.56117653847</v>
      </c>
      <c r="D2673" s="80" t="str">
        <f>HYPERLINK(AA2 &amp; "/spoon/sn_dfd87854f4686dffabeb890a269504bb/rendering/01.obj", "4.18124055862")</f>
        <v>4.18124055862</v>
      </c>
      <c r="E2673" s="100" t="str">
        <f>HYPERLINK(AA2 &amp; "/spoon/sn_dfd87854f4686dffabeb890a269504bb/rendering/02.obj", "6.39038133621")</f>
        <v>6.39038133621</v>
      </c>
      <c r="F2673" s="104" t="str">
        <f>HYPERLINK(AA2 &amp; "/spoon/sn_dfd87854f4686dffabeb890a269504bb/rendering/03.obj", "2.57126092911")</f>
        <v>2.57126092911</v>
      </c>
      <c r="G2673" s="256" t="str">
        <f>HYPERLINK(AA2 &amp; "/spoon/sn_dfd87854f4686dffabeb890a269504bb/rendering/04.obj", "7.95500278473")</f>
        <v>7.95500278473</v>
      </c>
      <c r="H2673" s="257" t="str">
        <f>HYPERLINK(AA2 &amp; "/spoon/sn_dfd87854f4686dffabeb890a269504bb/rendering/05.obj", "8.41146469116")</f>
        <v>8.41146469116</v>
      </c>
      <c r="I2673" s="35" t="str">
        <f>HYPERLINK(AA2 &amp; "/spoon/sn_dfd87854f4686dffabeb890a269504bb/rendering/06.obj", "5.19088840485")</f>
        <v>5.19088840485</v>
      </c>
      <c r="J2673" s="82" t="str">
        <f>HYPERLINK(AA2 &amp; "/spoon/sn_dfd87854f4686dffabeb890a269504bb/rendering/07.obj", "3.90935206413")</f>
        <v>3.90935206413</v>
      </c>
      <c r="K2673" s="66" t="str">
        <f>HYPERLINK(AA2 &amp; "/spoon/sn_dfd87854f4686dffabeb890a269504bb/rendering/08.obj", "5.70929098129")</f>
        <v>5.70929098129</v>
      </c>
      <c r="L2673" s="104" t="str">
        <f>HYPERLINK(AA2 &amp; "/spoon/sn_dfd87854f4686dffabeb890a269504bb/rendering/09.obj", "2.57613182068")</f>
        <v>2.57613182068</v>
      </c>
      <c r="M2673" s="65" t="str">
        <f>HYPERLINK(AA2 &amp; "/spoon/sn_dfd87854f4686dffabeb890a269504bb/rendering/10.obj", "4.2579202652")</f>
        <v>4.2579202652</v>
      </c>
      <c r="N2673" s="24" t="str">
        <f>HYPERLINK(AA2 &amp; "/spoon/sn_dfd87854f4686dffabeb890a269504bb/rendering/11.obj", "4.09368562698")</f>
        <v>4.09368562698</v>
      </c>
      <c r="O2673" s="191" t="str">
        <f>HYPERLINK(AA2 &amp; "/spoon/sn_dfd87854f4686dffabeb890a269504bb/rendering/12.obj", "2.68973326683")</f>
        <v>2.68973326683</v>
      </c>
      <c r="P2673" s="200" t="str">
        <f>HYPERLINK(AA2 &amp; "/spoon/sn_dfd87854f4686dffabeb890a269504bb/rendering/13.obj", "2.56221938133")</f>
        <v>2.56221938133</v>
      </c>
      <c r="Q2673" s="52" t="str">
        <f>HYPERLINK(AA2 &amp; "/spoon/sn_dfd87854f4686dffabeb890a269504bb/rendering/14.obj", "6.87082719803")</f>
        <v>6.87082719803</v>
      </c>
      <c r="R2673" s="193" t="str">
        <f>HYPERLINK(AA2 &amp; "/spoon/sn_dfd87854f4686dffabeb890a269504bb/rendering/15.obj", "3.28844833374")</f>
        <v>3.28844833374</v>
      </c>
      <c r="S2673" s="228" t="str">
        <f>HYPERLINK(AA2 &amp; "/spoon/sn_dfd87854f4686dffabeb890a269504bb/rendering/16.obj", "7.51877593994")</f>
        <v>7.51877593994</v>
      </c>
      <c r="T2673" s="20" t="str">
        <f>HYPERLINK(AA2 &amp; "/spoon/sn_dfd87854f4686dffabeb890a269504bb/rendering/17.obj", "12.3291797638")</f>
        <v>12.3291797638</v>
      </c>
      <c r="U2673" s="130" t="str">
        <f>HYPERLINK(AA2 &amp; "/spoon/sn_dfd87854f4686dffabeb890a269504bb/rendering/18.obj", "2.69763422012")</f>
        <v>2.69763422012</v>
      </c>
      <c r="V2673" s="102" t="str">
        <f>HYPERLINK(AA2 &amp; "/spoon/sn_dfd87854f4686dffabeb890a269504bb/rendering/19.obj", "2.47323226929")</f>
        <v>2.47323226929</v>
      </c>
      <c r="W2673" s="12" t="s">
        <v>30</v>
      </c>
      <c r="X2673" s="13">
        <v>4.9118923187255863</v>
      </c>
      <c r="Y2673" s="13">
        <v>2.5797031419867058</v>
      </c>
      <c r="Z2673" s="174">
        <v>0.52519537778792802</v>
      </c>
    </row>
    <row r="2674" spans="1:26" x14ac:dyDescent="0.2">
      <c r="A2674" s="1">
        <v>2672</v>
      </c>
      <c r="B2674" s="2" t="s">
        <v>567</v>
      </c>
      <c r="C2674" s="90" t="str">
        <f>HYPERLINK(AB2 &amp; "/spoon/sn_dfd87854f4686dffabeb890a269504bb/rendering/00.obj", "9.9044519043")</f>
        <v>9.9044519043</v>
      </c>
      <c r="D2674" s="30" t="str">
        <f>HYPERLINK(AB2 &amp; "/spoon/sn_dfd87854f4686dffabeb890a269504bb/rendering/01.obj", "9.00047973633")</f>
        <v>9.00047973633</v>
      </c>
      <c r="E2674" s="46" t="str">
        <f>HYPERLINK(AB2 &amp; "/spoon/sn_dfd87854f4686dffabeb890a269504bb/rendering/02.obj", "9.17903991699")</f>
        <v>9.17903991699</v>
      </c>
      <c r="F2674" s="27" t="str">
        <f>HYPERLINK(AB2 &amp; "/spoon/sn_dfd87854f4686dffabeb890a269504bb/rendering/03.obj", "8.41018676758")</f>
        <v>8.41018676758</v>
      </c>
      <c r="G2674" s="74" t="str">
        <f>HYPERLINK(AB2 &amp; "/spoon/sn_dfd87854f4686dffabeb890a269504bb/rendering/04.obj", "9.15900024414")</f>
        <v>9.15900024414</v>
      </c>
      <c r="H2674" s="26" t="str">
        <f>HYPERLINK(AB2 &amp; "/spoon/sn_dfd87854f4686dffabeb890a269504bb/rendering/05.obj", "9.62013549805")</f>
        <v>9.62013549805</v>
      </c>
      <c r="I2674" s="91" t="str">
        <f>HYPERLINK(AB2 &amp; "/spoon/sn_dfd87854f4686dffabeb890a269504bb/rendering/06.obj", "8.79897766113")</f>
        <v>8.79897766113</v>
      </c>
      <c r="J2674" s="91" t="str">
        <f>HYPERLINK(AB2 &amp; "/spoon/sn_dfd87854f4686dffabeb890a269504bb/rendering/07.obj", "9.27069030762")</f>
        <v>9.27069030762</v>
      </c>
      <c r="K2674" s="91" t="str">
        <f>HYPERLINK(AB2 &amp; "/spoon/sn_dfd87854f4686dffabeb890a269504bb/rendering/08.obj", "8.79303649902")</f>
        <v>8.79303649902</v>
      </c>
      <c r="L2674" s="27" t="str">
        <f>HYPERLINK(AB2 &amp; "/spoon/sn_dfd87854f4686dffabeb890a269504bb/rendering/09.obj", "8.39020385742")</f>
        <v>8.39020385742</v>
      </c>
      <c r="M2674" s="38" t="str">
        <f>HYPERLINK(AB2 &amp; "/spoon/sn_dfd87854f4686dffabeb890a269504bb/rendering/10.obj", "8.22845214844")</f>
        <v>8.22845214844</v>
      </c>
      <c r="N2674" s="74" t="str">
        <f>HYPERLINK(AB2 &amp; "/spoon/sn_dfd87854f4686dffabeb890a269504bb/rendering/11.obj", "9.16371459961")</f>
        <v>9.16371459961</v>
      </c>
      <c r="O2674" s="70" t="str">
        <f>HYPERLINK(AB2 &amp; "/spoon/sn_dfd87854f4686dffabeb890a269504bb/rendering/12.obj", "7.88350463867")</f>
        <v>7.88350463867</v>
      </c>
      <c r="P2674" s="60" t="str">
        <f>HYPERLINK(AB2 &amp; "/spoon/sn_dfd87854f4686dffabeb890a269504bb/rendering/13.obj", "8.56479553223")</f>
        <v>8.56479553223</v>
      </c>
      <c r="Q2674" s="72" t="str">
        <f>HYPERLINK(AB2 &amp; "/spoon/sn_dfd87854f4686dffabeb890a269504bb/rendering/14.obj", "8.72904052734")</f>
        <v>8.72904052734</v>
      </c>
      <c r="R2674" s="65" t="str">
        <f>HYPERLINK(AB2 &amp; "/spoon/sn_dfd87854f4686dffabeb890a269504bb/rendering/15.obj", "10.2511755371")</f>
        <v>10.2511755371</v>
      </c>
      <c r="S2674" s="48" t="str">
        <f>HYPERLINK(AB2 &amp; "/spoon/sn_dfd87854f4686dffabeb890a269504bb/rendering/16.obj", "9.24338378906")</f>
        <v>9.24338378906</v>
      </c>
      <c r="T2674" s="67" t="str">
        <f>HYPERLINK(AB2 &amp; "/spoon/sn_dfd87854f4686dffabeb890a269504bb/rendering/17.obj", "9.86317749023")</f>
        <v>9.86317749023</v>
      </c>
      <c r="U2674" s="25" t="str">
        <f>HYPERLINK(AB2 &amp; "/spoon/sn_dfd87854f4686dffabeb890a269504bb/rendering/18.obj", "8.92726196289")</f>
        <v>8.92726196289</v>
      </c>
      <c r="V2674" s="69" t="str">
        <f>HYPERLINK(AB2 &amp; "/spoon/sn_dfd87854f4686dffabeb890a269504bb/rendering/19.obj", "9.31654785156")</f>
        <v>9.31654785156</v>
      </c>
      <c r="W2674" s="12" t="s">
        <v>31</v>
      </c>
      <c r="X2674" s="13">
        <v>9.0348628234863284</v>
      </c>
      <c r="Y2674" s="13">
        <v>0.57959445751275251</v>
      </c>
      <c r="Z2674" s="26">
        <v>6.4150886276445038E-2</v>
      </c>
    </row>
    <row r="2675" spans="1:26" x14ac:dyDescent="0.2">
      <c r="A2675" s="1">
        <v>2673</v>
      </c>
      <c r="B2675" s="2" t="s">
        <v>567</v>
      </c>
      <c r="C2675" s="90" t="str">
        <f>HYPERLINK(AB2 &amp; "/spoon/sn_dfd87854f4686dffabeb890a269504bb/rendering/00.obj", "2.83133363724")</f>
        <v>2.83133363724</v>
      </c>
      <c r="D2675" s="94" t="str">
        <f>HYPERLINK(AB2 &amp; "/spoon/sn_dfd87854f4686dffabeb890a269504bb/rendering/01.obj", "2.77886652946")</f>
        <v>2.77886652946</v>
      </c>
      <c r="E2675" s="68" t="str">
        <f>HYPERLINK(AB2 &amp; "/spoon/sn_dfd87854f4686dffabeb890a269504bb/rendering/02.obj", "2.69325017929")</f>
        <v>2.69325017929</v>
      </c>
      <c r="F2675" s="50" t="str">
        <f>HYPERLINK(AB2 &amp; "/spoon/sn_dfd87854f4686dffabeb890a269504bb/rendering/03.obj", "2.07424092293")</f>
        <v>2.07424092293</v>
      </c>
      <c r="G2675" s="17" t="str">
        <f>HYPERLINK(AB2 &amp; "/spoon/sn_dfd87854f4686dffabeb890a269504bb/rendering/04.obj", "2.63622498512")</f>
        <v>2.63622498512</v>
      </c>
      <c r="H2675" s="15" t="str">
        <f>HYPERLINK(AB2 &amp; "/spoon/sn_dfd87854f4686dffabeb890a269504bb/rendering/05.obj", "3.893907547")</f>
        <v>3.893907547</v>
      </c>
      <c r="I2675" s="34" t="str">
        <f>HYPERLINK(AB2 &amp; "/spoon/sn_dfd87854f4686dffabeb890a269504bb/rendering/06.obj", "2.46098351479")</f>
        <v>2.46098351479</v>
      </c>
      <c r="J2675" s="67" t="str">
        <f>HYPERLINK(AB2 &amp; "/spoon/sn_dfd87854f4686dffabeb890a269504bb/rendering/07.obj", "2.35004639626")</f>
        <v>2.35004639626</v>
      </c>
      <c r="K2675" s="80" t="str">
        <f>HYPERLINK(AB2 &amp; "/spoon/sn_dfd87854f4686dffabeb890a269504bb/rendering/08.obj", "2.9709174633")</f>
        <v>2.9709174633</v>
      </c>
      <c r="L2675" s="8" t="str">
        <f>HYPERLINK(AB2 &amp; "/spoon/sn_dfd87854f4686dffabeb890a269504bb/rendering/09.obj", "2.21573758125")</f>
        <v>2.21573758125</v>
      </c>
      <c r="M2675" s="135" t="str">
        <f>HYPERLINK(AB2 &amp; "/spoon/sn_dfd87854f4686dffabeb890a269504bb/rendering/10.obj", "1.92279005051")</f>
        <v>1.92279005051</v>
      </c>
      <c r="N2675" s="39" t="str">
        <f>HYPERLINK(AB2 &amp; "/spoon/sn_dfd87854f4686dffabeb890a269504bb/rendering/11.obj", "2.36275744438")</f>
        <v>2.36275744438</v>
      </c>
      <c r="O2675" s="110" t="str">
        <f>HYPERLINK(AB2 &amp; "/spoon/sn_dfd87854f4686dffabeb890a269504bb/rendering/12.obj", "2.33155465126")</f>
        <v>2.33155465126</v>
      </c>
      <c r="P2675" s="66" t="str">
        <f>HYPERLINK(AB2 &amp; "/spoon/sn_dfd87854f4686dffabeb890a269504bb/rendering/13.obj", "2.171043396")</f>
        <v>2.171043396</v>
      </c>
      <c r="Q2675" s="67" t="str">
        <f>HYPERLINK(AB2 &amp; "/spoon/sn_dfd87854f4686dffabeb890a269504bb/rendering/14.obj", "2.34404015541")</f>
        <v>2.34404015541</v>
      </c>
      <c r="R2675" s="68" t="str">
        <f>HYPERLINK(AB2 &amp; "/spoon/sn_dfd87854f4686dffabeb890a269504bb/rendering/15.obj", "2.69730138779")</f>
        <v>2.69730138779</v>
      </c>
      <c r="S2675" s="60" t="str">
        <f>HYPERLINK(AB2 &amp; "/spoon/sn_dfd87854f4686dffabeb890a269504bb/rendering/16.obj", "2.72024393082")</f>
        <v>2.72024393082</v>
      </c>
      <c r="T2675" s="152" t="str">
        <f>HYPERLINK(AB2 &amp; "/spoon/sn_dfd87854f4686dffabeb890a269504bb/rendering/17.obj", "3.6389336586")</f>
        <v>3.6389336586</v>
      </c>
      <c r="U2675" s="77" t="str">
        <f>HYPERLINK(AB2 &amp; "/spoon/sn_dfd87854f4686dffabeb890a269504bb/rendering/18.obj", "2.10019516945")</f>
        <v>2.10019516945</v>
      </c>
      <c r="V2675" s="48" t="str">
        <f>HYPERLINK(AB2 &amp; "/spoon/sn_dfd87854f4686dffabeb890a269504bb/rendering/19.obj", "2.52357125282")</f>
        <v>2.52357125282</v>
      </c>
      <c r="W2675" s="12" t="s">
        <v>32</v>
      </c>
      <c r="X2675" s="13">
        <v>2.585896992683411</v>
      </c>
      <c r="Y2675" s="13">
        <v>0.47982457914690468</v>
      </c>
      <c r="Z2675" s="77">
        <v>0.18555440549431401</v>
      </c>
    </row>
    <row r="2676" spans="1:26" x14ac:dyDescent="0.2">
      <c r="A2676" s="1">
        <v>2674</v>
      </c>
      <c r="B2676" s="2" t="s">
        <v>567</v>
      </c>
      <c r="C2676" s="13" t="str">
        <f>HYPERLINK(AC2 &amp; "/spoon/sn_dfd87854f4686dffabeb890a269504bb/rendering/00.xyz", "0.0")</f>
        <v>0.0</v>
      </c>
      <c r="D2676" s="13" t="str">
        <f>HYPERLINK(AC2 &amp; "/spoon/sn_dfd87854f4686dffabeb890a269504bb/rendering/01.xyz", "0.0")</f>
        <v>0.0</v>
      </c>
      <c r="E2676" s="13" t="str">
        <f>HYPERLINK(AC2 &amp; "/spoon/sn_dfd87854f4686dffabeb890a269504bb/rendering/02.xyz", "0.0")</f>
        <v>0.0</v>
      </c>
      <c r="F2676" s="13" t="str">
        <f>HYPERLINK(AC2 &amp; "/spoon/sn_dfd87854f4686dffabeb890a269504bb/rendering/03.xyz", "0.0")</f>
        <v>0.0</v>
      </c>
      <c r="G2676" s="13" t="str">
        <f>HYPERLINK(AC2 &amp; "/spoon/sn_dfd87854f4686dffabeb890a269504bb/rendering/04.xyz", "0.0")</f>
        <v>0.0</v>
      </c>
      <c r="H2676" s="13" t="str">
        <f>HYPERLINK(AC2 &amp; "/spoon/sn_dfd87854f4686dffabeb890a269504bb/rendering/05.xyz", "0.0")</f>
        <v>0.0</v>
      </c>
      <c r="I2676" s="13" t="str">
        <f>HYPERLINK(AC2 &amp; "/spoon/sn_dfd87854f4686dffabeb890a269504bb/rendering/06.xyz", "0.0")</f>
        <v>0.0</v>
      </c>
      <c r="J2676" s="13" t="str">
        <f>HYPERLINK(AC2 &amp; "/spoon/sn_dfd87854f4686dffabeb890a269504bb/rendering/07.xyz", "0.0")</f>
        <v>0.0</v>
      </c>
      <c r="K2676" s="13" t="str">
        <f>HYPERLINK(AC2 &amp; "/spoon/sn_dfd87854f4686dffabeb890a269504bb/rendering/08.xyz", "0.0")</f>
        <v>0.0</v>
      </c>
      <c r="L2676" s="13" t="str">
        <f>HYPERLINK(AC2 &amp; "/spoon/sn_dfd87854f4686dffabeb890a269504bb/rendering/09.xyz", "0.0")</f>
        <v>0.0</v>
      </c>
      <c r="M2676" s="13" t="str">
        <f>HYPERLINK(AC2 &amp; "/spoon/sn_dfd87854f4686dffabeb890a269504bb/rendering/10.xyz", "0.0")</f>
        <v>0.0</v>
      </c>
      <c r="N2676" s="13" t="str">
        <f>HYPERLINK(AC2 &amp; "/spoon/sn_dfd87854f4686dffabeb890a269504bb/rendering/11.xyz", "0.0")</f>
        <v>0.0</v>
      </c>
      <c r="O2676" s="13" t="str">
        <f>HYPERLINK(AC2 &amp; "/spoon/sn_dfd87854f4686dffabeb890a269504bb/rendering/12.xyz", "0.0")</f>
        <v>0.0</v>
      </c>
      <c r="P2676" s="13" t="str">
        <f>HYPERLINK(AC2 &amp; "/spoon/sn_dfd87854f4686dffabeb890a269504bb/rendering/13.xyz", "0.0")</f>
        <v>0.0</v>
      </c>
      <c r="Q2676" s="13" t="str">
        <f>HYPERLINK(AC2 &amp; "/spoon/sn_dfd87854f4686dffabeb890a269504bb/rendering/14.xyz", "0.0")</f>
        <v>0.0</v>
      </c>
      <c r="R2676" s="13" t="str">
        <f>HYPERLINK(AC2 &amp; "/spoon/sn_dfd87854f4686dffabeb890a269504bb/rendering/15.xyz", "0.0")</f>
        <v>0.0</v>
      </c>
      <c r="S2676" s="13" t="str">
        <f>HYPERLINK(AC2 &amp; "/spoon/sn_dfd87854f4686dffabeb890a269504bb/rendering/16.xyz", "0.0")</f>
        <v>0.0</v>
      </c>
      <c r="T2676" s="13" t="str">
        <f>HYPERLINK(AC2 &amp; "/spoon/sn_dfd87854f4686dffabeb890a269504bb/rendering/17.xyz", "0.0")</f>
        <v>0.0</v>
      </c>
      <c r="U2676" s="13" t="str">
        <f>HYPERLINK(AC2 &amp; "/spoon/sn_dfd87854f4686dffabeb890a269504bb/rendering/18.xyz", "0.0")</f>
        <v>0.0</v>
      </c>
      <c r="V2676" s="13" t="str">
        <f>HYPERLINK(AC2 &amp; "/spoon/sn_dfd87854f4686dffabeb890a269504bb/rendering/19.xyz", "0.0")</f>
        <v>0.0</v>
      </c>
      <c r="W2676" s="12" t="s">
        <v>33</v>
      </c>
      <c r="X2676" s="13">
        <v>0</v>
      </c>
      <c r="Y2676" s="13">
        <v>0</v>
      </c>
      <c r="Z2676" s="13">
        <v>0</v>
      </c>
    </row>
    <row r="2677" spans="1:26" x14ac:dyDescent="0.2">
      <c r="A2677" s="1">
        <v>2675</v>
      </c>
      <c r="B2677" s="2" t="s">
        <v>568</v>
      </c>
      <c r="C2677" s="42" t="str">
        <f>HYPERLINK(AA2 &amp; "/spoon/sn_e0aae333906bb3cac29a46091cf24cad/rendering/00.obj", "6.71275939941")</f>
        <v>6.71275939941</v>
      </c>
      <c r="D2677" s="94" t="str">
        <f>HYPERLINK(AA2 &amp; "/spoon/sn_e0aae333906bb3cac29a46091cf24cad/rendering/01.obj", "7.20991088867")</f>
        <v>7.20991088867</v>
      </c>
      <c r="E2677" s="197" t="str">
        <f>HYPERLINK(AA2 &amp; "/spoon/sn_e0aae333906bb3cac29a46091cf24cad/rendering/02.obj", "12.1996594238")</f>
        <v>12.1996594238</v>
      </c>
      <c r="F2677" s="64" t="str">
        <f>HYPERLINK(AA2 &amp; "/spoon/sn_e0aae333906bb3cac29a46091cf24cad/rendering/03.obj", "6.50988464355")</f>
        <v>6.50988464355</v>
      </c>
      <c r="G2677" s="63" t="str">
        <f>HYPERLINK(AA2 &amp; "/spoon/sn_e0aae333906bb3cac29a46091cf24cad/rendering/04.obj", "8.72883300781")</f>
        <v>8.72883300781</v>
      </c>
      <c r="H2677" s="117" t="str">
        <f>HYPERLINK(AA2 &amp; "/spoon/sn_e0aae333906bb3cac29a46091cf24cad/rendering/05.obj", "6.41057006836")</f>
        <v>6.41057006836</v>
      </c>
      <c r="I2677" s="65" t="str">
        <f>HYPERLINK(AA2 &amp; "/spoon/sn_e0aae333906bb3cac29a46091cf24cad/rendering/06.obj", "6.74633666992")</f>
        <v>6.74633666992</v>
      </c>
      <c r="J2677" s="60" t="str">
        <f>HYPERLINK(AA2 &amp; "/spoon/sn_e0aae333906bb3cac29a46091cf24cad/rendering/07.obj", "7.38021484375")</f>
        <v>7.38021484375</v>
      </c>
      <c r="K2677" s="71" t="str">
        <f>HYPERLINK(AA2 &amp; "/spoon/sn_e0aae333906bb3cac29a46091cf24cad/rendering/08.obj", "6.87046020508")</f>
        <v>6.87046020508</v>
      </c>
      <c r="L2677" s="73" t="str">
        <f>HYPERLINK(AA2 &amp; "/spoon/sn_e0aae333906bb3cac29a46091cf24cad/rendering/09.obj", "7.49106872559")</f>
        <v>7.49106872559</v>
      </c>
      <c r="M2677" s="78" t="str">
        <f>HYPERLINK(AA2 &amp; "/spoon/sn_e0aae333906bb3cac29a46091cf24cad/rendering/10.obj", "7.30351989746")</f>
        <v>7.30351989746</v>
      </c>
      <c r="N2677" s="10" t="str">
        <f>HYPERLINK(AA2 &amp; "/spoon/sn_e0aae333906bb3cac29a46091cf24cad/rendering/11.obj", "7.35854614258")</f>
        <v>7.35854614258</v>
      </c>
      <c r="O2677" s="157" t="str">
        <f>HYPERLINK(AA2 &amp; "/spoon/sn_e0aae333906bb3cac29a46091cf24cad/rendering/12.obj", "11.0067883301")</f>
        <v>11.0067883301</v>
      </c>
      <c r="P2677" s="182" t="str">
        <f>HYPERLINK(AA2 &amp; "/spoon/sn_e0aae333906bb3cac29a46091cf24cad/rendering/13.obj", "10.39171875")</f>
        <v>10.39171875</v>
      </c>
      <c r="Q2677" s="107" t="str">
        <f>HYPERLINK(AA2 &amp; "/spoon/sn_e0aae333906bb3cac29a46091cf24cad/rendering/14.obj", "7.13718994141")</f>
        <v>7.13718994141</v>
      </c>
      <c r="R2677" s="39" t="str">
        <f>HYPERLINK(AA2 &amp; "/spoon/sn_e0aae333906bb3cac29a46091cf24cad/rendering/15.obj", "7.10926269531")</f>
        <v>7.10926269531</v>
      </c>
      <c r="S2677" s="6" t="str">
        <f>HYPERLINK(AA2 &amp; "/spoon/sn_e0aae333906bb3cac29a46091cf24cad/rendering/16.obj", "7.41754943848")</f>
        <v>7.41754943848</v>
      </c>
      <c r="T2677" s="35" t="str">
        <f>HYPERLINK(AA2 &amp; "/spoon/sn_e0aae333906bb3cac29a46091cf24cad/rendering/17.obj", "7.33182250977")</f>
        <v>7.33182250977</v>
      </c>
      <c r="U2677" s="30" t="str">
        <f>HYPERLINK(AA2 &amp; "/spoon/sn_e0aae333906bb3cac29a46091cf24cad/rendering/18.obj", "7.74132873535")</f>
        <v>7.74132873535</v>
      </c>
      <c r="V2677" s="83" t="str">
        <f>HYPERLINK(AA2 &amp; "/spoon/sn_e0aae333906bb3cac29a46091cf24cad/rendering/19.obj", "6.59800537109")</f>
        <v>6.59800537109</v>
      </c>
      <c r="W2677" s="12" t="s">
        <v>29</v>
      </c>
      <c r="X2677" s="13">
        <v>7.7827714843750018</v>
      </c>
      <c r="Y2677" s="13">
        <v>1.5452655959729249</v>
      </c>
      <c r="Z2677" s="50">
        <v>0.1985495268716628</v>
      </c>
    </row>
    <row r="2678" spans="1:26" x14ac:dyDescent="0.2">
      <c r="A2678" s="1">
        <v>2676</v>
      </c>
      <c r="B2678" s="2" t="s">
        <v>568</v>
      </c>
      <c r="C2678" s="150" t="str">
        <f>HYPERLINK(AA2 &amp; "/spoon/sn_e0aae333906bb3cac29a46091cf24cad/rendering/00.obj", "2.90142560005")</f>
        <v>2.90142560005</v>
      </c>
      <c r="D2678" s="79" t="str">
        <f>HYPERLINK(AA2 &amp; "/spoon/sn_e0aae333906bb3cac29a46091cf24cad/rendering/01.obj", "7.25883340836")</f>
        <v>7.25883340836</v>
      </c>
      <c r="E2678" s="244" t="str">
        <f>HYPERLINK(AA2 &amp; "/spoon/sn_e0aae333906bb3cac29a46091cf24cad/rendering/02.obj", "10.0964918137")</f>
        <v>10.0964918137</v>
      </c>
      <c r="F2678" s="117" t="str">
        <f>HYPERLINK(AA2 &amp; "/spoon/sn_e0aae333906bb3cac29a46091cf24cad/rendering/03.obj", "5.14799070358")</f>
        <v>5.14799070358</v>
      </c>
      <c r="G2678" s="20" t="str">
        <f>HYPERLINK(AA2 &amp; "/spoon/sn_e0aae333906bb3cac29a46091cf24cad/rendering/04.obj", "15.6072711945")</f>
        <v>15.6072711945</v>
      </c>
      <c r="H2678" s="219" t="str">
        <f>HYPERLINK(AA2 &amp; "/spoon/sn_e0aae333906bb3cac29a46091cf24cad/rendering/05.obj", "1.88360881805")</f>
        <v>1.88360881805</v>
      </c>
      <c r="I2678" s="186" t="str">
        <f>HYPERLINK(AA2 &amp; "/spoon/sn_e0aae333906bb3cac29a46091cf24cad/rendering/06.obj", "2.49916601181")</f>
        <v>2.49916601181</v>
      </c>
      <c r="J2678" s="163" t="str">
        <f>HYPERLINK(AA2 &amp; "/spoon/sn_e0aae333906bb3cac29a46091cf24cad/rendering/07.obj", "3.50881624222")</f>
        <v>3.50881624222</v>
      </c>
      <c r="K2678" s="212" t="str">
        <f>HYPERLINK(AA2 &amp; "/spoon/sn_e0aae333906bb3cac29a46091cf24cad/rendering/08.obj", "3.55874490738")</f>
        <v>3.55874490738</v>
      </c>
      <c r="L2678" s="77" t="str">
        <f>HYPERLINK(AA2 &amp; "/spoon/sn_e0aae333906bb3cac29a46091cf24cad/rendering/09.obj", "5.08643007278")</f>
        <v>5.08643007278</v>
      </c>
      <c r="M2678" s="42" t="str">
        <f>HYPERLINK(AA2 &amp; "/spoon/sn_e0aae333906bb3cac29a46091cf24cad/rendering/10.obj", "5.40626907349")</f>
        <v>5.40626907349</v>
      </c>
      <c r="N2678" s="80" t="str">
        <f>HYPERLINK(AA2 &amp; "/spoon/sn_e0aae333906bb3cac29a46091cf24cad/rendering/11.obj", "7.20237112045")</f>
        <v>7.20237112045</v>
      </c>
      <c r="O2678" s="20" t="str">
        <f>HYPERLINK(AA2 &amp; "/spoon/sn_e0aae333906bb3cac29a46091cf24cad/rendering/12.obj", "11.7182359695")</f>
        <v>11.7182359695</v>
      </c>
      <c r="P2678" s="20" t="str">
        <f>HYPERLINK(AA2 &amp; "/spoon/sn_e0aae333906bb3cac29a46091cf24cad/rendering/13.obj", "14.1989555359")</f>
        <v>14.1989555359</v>
      </c>
      <c r="Q2678" s="54" t="str">
        <f>HYPERLINK(AA2 &amp; "/spoon/sn_e0aae333906bb3cac29a46091cf24cad/rendering/14.obj", "4.21074199677")</f>
        <v>4.21074199677</v>
      </c>
      <c r="R2678" s="128" t="str">
        <f>HYPERLINK(AA2 &amp; "/spoon/sn_e0aae333906bb3cac29a46091cf24cad/rendering/15.obj", "3.8106842041")</f>
        <v>3.8106842041</v>
      </c>
      <c r="S2678" s="44" t="str">
        <f>HYPERLINK(AA2 &amp; "/spoon/sn_e0aae333906bb3cac29a46091cf24cad/rendering/16.obj", "7.49712371826")</f>
        <v>7.49712371826</v>
      </c>
      <c r="T2678" s="66" t="str">
        <f>HYPERLINK(AA2 &amp; "/spoon/sn_e0aae333906bb3cac29a46091cf24cad/rendering/17.obj", "5.24175834656")</f>
        <v>5.24175834656</v>
      </c>
      <c r="U2678" s="26" t="str">
        <f>HYPERLINK(AA2 &amp; "/spoon/sn_e0aae333906bb3cac29a46091cf24cad/rendering/18.obj", "5.85758543015")</f>
        <v>5.85758543015</v>
      </c>
      <c r="V2678" s="62" t="str">
        <f>HYPERLINK(AA2 &amp; "/spoon/sn_e0aae333906bb3cac29a46091cf24cad/rendering/19.obj", "2.52145195007")</f>
        <v>2.52145195007</v>
      </c>
      <c r="W2678" s="12" t="s">
        <v>30</v>
      </c>
      <c r="X2678" s="13">
        <v>6.2606978058815006</v>
      </c>
      <c r="Y2678" s="13">
        <v>3.784738921234764</v>
      </c>
      <c r="Z2678" s="167">
        <v>0.60452349539683248</v>
      </c>
    </row>
    <row r="2679" spans="1:26" x14ac:dyDescent="0.2">
      <c r="A2679" s="1">
        <v>2677</v>
      </c>
      <c r="B2679" s="2" t="s">
        <v>568</v>
      </c>
      <c r="C2679" s="29" t="str">
        <f>HYPERLINK(AB2 &amp; "/spoon/sn_e0aae333906bb3cac29a46091cf24cad/rendering/00.obj", "7.0376159668")</f>
        <v>7.0376159668</v>
      </c>
      <c r="D2679" s="35" t="str">
        <f>HYPERLINK(AB2 &amp; "/spoon/sn_e0aae333906bb3cac29a46091cf24cad/rendering/01.obj", "5.86782226563")</f>
        <v>5.86782226563</v>
      </c>
      <c r="E2679" s="32" t="str">
        <f>HYPERLINK(AB2 &amp; "/spoon/sn_e0aae333906bb3cac29a46091cf24cad/rendering/02.obj", "5.56419799805")</f>
        <v>5.56419799805</v>
      </c>
      <c r="F2679" s="91" t="str">
        <f>HYPERLINK(AB2 &amp; "/spoon/sn_e0aae333906bb3cac29a46091cf24cad/rendering/03.obj", "6.05407653809")</f>
        <v>6.05407653809</v>
      </c>
      <c r="G2679" s="69" t="str">
        <f>HYPERLINK(AB2 &amp; "/spoon/sn_e0aae333906bb3cac29a46091cf24cad/rendering/04.obj", "6.04685852051")</f>
        <v>6.04685852051</v>
      </c>
      <c r="H2679" s="86" t="str">
        <f>HYPERLINK(AB2 &amp; "/spoon/sn_e0aae333906bb3cac29a46091cf24cad/rendering/05.obj", "7.88983764648")</f>
        <v>7.88983764648</v>
      </c>
      <c r="I2679" s="80" t="str">
        <f>HYPERLINK(AB2 &amp; "/spoon/sn_e0aae333906bb3cac29a46091cf24cad/rendering/06.obj", "5.28848999023")</f>
        <v>5.28848999023</v>
      </c>
      <c r="J2679" s="10" t="str">
        <f>HYPERLINK(AB2 &amp; "/spoon/sn_e0aae333906bb3cac29a46091cf24cad/rendering/07.obj", "5.87677612305")</f>
        <v>5.87677612305</v>
      </c>
      <c r="K2679" s="69" t="str">
        <f>HYPERLINK(AB2 &amp; "/spoon/sn_e0aae333906bb3cac29a46091cf24cad/rendering/08.obj", "6.03811462402")</f>
        <v>6.03811462402</v>
      </c>
      <c r="L2679" s="35" t="str">
        <f>HYPERLINK(AB2 &amp; "/spoon/sn_e0aae333906bb3cac29a46091cf24cad/rendering/09.obj", "6.58887329102")</f>
        <v>6.58887329102</v>
      </c>
      <c r="M2679" s="78" t="str">
        <f>HYPERLINK(AB2 &amp; "/spoon/sn_e0aae333906bb3cac29a46091cf24cad/rendering/10.obj", "5.83702514648")</f>
        <v>5.83702514648</v>
      </c>
      <c r="N2679" s="71" t="str">
        <f>HYPERLINK(AB2 &amp; "/spoon/sn_e0aae333906bb3cac29a46091cf24cad/rendering/11.obj", "6.94577453613")</f>
        <v>6.94577453613</v>
      </c>
      <c r="O2679" s="110" t="str">
        <f>HYPERLINK(AB2 &amp; "/spoon/sn_e0aae333906bb3cac29a46091cf24cad/rendering/12.obj", "5.5985534668")</f>
        <v>5.5985534668</v>
      </c>
      <c r="P2679" s="106" t="str">
        <f>HYPERLINK(AB2 &amp; "/spoon/sn_e0aae333906bb3cac29a46091cf24cad/rendering/13.obj", "5.51956787109")</f>
        <v>5.51956787109</v>
      </c>
      <c r="Q2679" s="91" t="str">
        <f>HYPERLINK(AB2 &amp; "/spoon/sn_e0aae333906bb3cac29a46091cf24cad/rendering/14.obj", "6.06109436035")</f>
        <v>6.06109436035</v>
      </c>
      <c r="R2679" s="60" t="str">
        <f>HYPERLINK(AB2 &amp; "/spoon/sn_e0aae333906bb3cac29a46091cf24cad/rendering/15.obj", "6.54766967773")</f>
        <v>6.54766967773</v>
      </c>
      <c r="S2679" s="133" t="str">
        <f>HYPERLINK(AB2 &amp; "/spoon/sn_e0aae333906bb3cac29a46091cf24cad/rendering/16.obj", "6.85410217285")</f>
        <v>6.85410217285</v>
      </c>
      <c r="T2679" s="71" t="str">
        <f>HYPERLINK(AB2 &amp; "/spoon/sn_e0aae333906bb3cac29a46091cf24cad/rendering/17.obj", "6.96424682617")</f>
        <v>6.96424682617</v>
      </c>
      <c r="U2679" s="47" t="str">
        <f>HYPERLINK(AB2 &amp; "/spoon/sn_e0aae333906bb3cac29a46091cf24cad/rendering/18.obj", "6.18014038086")</f>
        <v>6.18014038086</v>
      </c>
      <c r="V2679" s="107" t="str">
        <f>HYPERLINK(AB2 &amp; "/spoon/sn_e0aae333906bb3cac29a46091cf24cad/rendering/19.obj", "5.69682250977")</f>
        <v>5.69682250977</v>
      </c>
      <c r="W2679" s="12" t="s">
        <v>31</v>
      </c>
      <c r="X2679" s="13">
        <v>6.2228829956054694</v>
      </c>
      <c r="Y2679" s="13">
        <v>0.6378516633905611</v>
      </c>
      <c r="Z2679" s="133">
        <v>0.10250098930688641</v>
      </c>
    </row>
    <row r="2680" spans="1:26" x14ac:dyDescent="0.2">
      <c r="A2680" s="1">
        <v>2678</v>
      </c>
      <c r="B2680" s="2" t="s">
        <v>568</v>
      </c>
      <c r="C2680" s="152" t="str">
        <f>HYPERLINK(AB2 &amp; "/spoon/sn_e0aae333906bb3cac29a46091cf24cad/rendering/00.obj", "3.14706110954")</f>
        <v>3.14706110954</v>
      </c>
      <c r="D2680" s="25" t="str">
        <f>HYPERLINK(AB2 &amp; "/spoon/sn_e0aae333906bb3cac29a46091cf24cad/rendering/01.obj", "2.21269869804")</f>
        <v>2.21269869804</v>
      </c>
      <c r="E2680" s="55" t="str">
        <f>HYPERLINK(AB2 &amp; "/spoon/sn_e0aae333906bb3cac29a46091cf24cad/rendering/02.obj", "1.80747103691")</f>
        <v>1.80747103691</v>
      </c>
      <c r="F2680" s="26" t="str">
        <f>HYPERLINK(AB2 &amp; "/spoon/sn_e0aae333906bb3cac29a46091cf24cad/rendering/03.obj", "2.08943486214")</f>
        <v>2.08943486214</v>
      </c>
      <c r="G2680" s="63" t="str">
        <f>HYPERLINK(AB2 &amp; "/spoon/sn_e0aae333906bb3cac29a46091cf24cad/rendering/04.obj", "1.96427714825")</f>
        <v>1.96427714825</v>
      </c>
      <c r="H2680" s="63" t="str">
        <f>HYPERLINK(AB2 &amp; "/spoon/sn_e0aae333906bb3cac29a46091cf24cad/rendering/05.obj", "2.50626635551")</f>
        <v>2.50626635551</v>
      </c>
      <c r="I2680" s="4" t="str">
        <f>HYPERLINK(AB2 &amp; "/spoon/sn_e0aae333906bb3cac29a46091cf24cad/rendering/06.obj", "1.60373616219")</f>
        <v>1.60373616219</v>
      </c>
      <c r="J2680" s="134" t="str">
        <f>HYPERLINK(AB2 &amp; "/spoon/sn_e0aae333906bb3cac29a46091cf24cad/rendering/07.obj", "1.82974839211")</f>
        <v>1.82974839211</v>
      </c>
      <c r="K2680" s="40" t="str">
        <f>HYPERLINK(AB2 &amp; "/spoon/sn_e0aae333906bb3cac29a46091cf24cad/rendering/08.obj", "1.85034358501")</f>
        <v>1.85034358501</v>
      </c>
      <c r="L2680" s="67" t="str">
        <f>HYPERLINK(AB2 &amp; "/spoon/sn_e0aae333906bb3cac29a46091cf24cad/rendering/09.obj", "2.02519440651")</f>
        <v>2.02519440651</v>
      </c>
      <c r="M2680" s="117" t="str">
        <f>HYPERLINK(AB2 &amp; "/spoon/sn_e0aae333906bb3cac29a46091cf24cad/rendering/10.obj", "1.83675050735")</f>
        <v>1.83675050735</v>
      </c>
      <c r="N2680" s="157" t="str">
        <f>HYPERLINK(AB2 &amp; "/spoon/sn_e0aae333906bb3cac29a46091cf24cad/rendering/11.obj", "3.16567206383")</f>
        <v>3.16567206383</v>
      </c>
      <c r="O2680" s="74" t="str">
        <f>HYPERLINK(AB2 &amp; "/spoon/sn_e0aae333906bb3cac29a46091cf24cad/rendering/12.obj", "2.20110535622")</f>
        <v>2.20110535622</v>
      </c>
      <c r="P2680" s="34" t="str">
        <f>HYPERLINK(AB2 &amp; "/spoon/sn_e0aae333906bb3cac29a46091cf24cad/rendering/13.obj", "2.12720608711")</f>
        <v>2.12720608711</v>
      </c>
      <c r="Q2680" s="109" t="str">
        <f>HYPERLINK(AB2 &amp; "/spoon/sn_e0aae333906bb3cac29a46091cf24cad/rendering/14.obj", "1.8138628006")</f>
        <v>1.8138628006</v>
      </c>
      <c r="R2680" s="25" t="str">
        <f>HYPERLINK(AB2 &amp; "/spoon/sn_e0aae333906bb3cac29a46091cf24cad/rendering/15.obj", "2.21282362938")</f>
        <v>2.21282362938</v>
      </c>
      <c r="S2680" s="53" t="str">
        <f>HYPERLINK(AB2 &amp; "/spoon/sn_e0aae333906bb3cac29a46091cf24cad/rendering/16.obj", "3.15611672401")</f>
        <v>3.15611672401</v>
      </c>
      <c r="T2680" s="81" t="str">
        <f>HYPERLINK(AB2 &amp; "/spoon/sn_e0aae333906bb3cac29a46091cf24cad/rendering/17.obj", "2.72209763527")</f>
        <v>2.72209763527</v>
      </c>
      <c r="U2680" s="84" t="str">
        <f>HYPERLINK(AB2 &amp; "/spoon/sn_e0aae333906bb3cac29a46091cf24cad/rendering/18.obj", "2.56161665916")</f>
        <v>2.56161665916</v>
      </c>
      <c r="V2680" s="66" t="str">
        <f>HYPERLINK(AB2 &amp; "/spoon/sn_e0aae333906bb3cac29a46091cf24cad/rendering/19.obj", "1.87520325184")</f>
        <v>1.87520325184</v>
      </c>
      <c r="W2680" s="12" t="s">
        <v>32</v>
      </c>
      <c r="X2680" s="13">
        <v>2.2354343235492711</v>
      </c>
      <c r="Y2680" s="13">
        <v>0.47302851557347791</v>
      </c>
      <c r="Z2680" s="120">
        <v>0.21160474749373781</v>
      </c>
    </row>
    <row r="2681" spans="1:26" x14ac:dyDescent="0.2">
      <c r="A2681" s="1">
        <v>2679</v>
      </c>
      <c r="B2681" s="2" t="s">
        <v>568</v>
      </c>
      <c r="C2681" s="13" t="str">
        <f>HYPERLINK(AC2 &amp; "/spoon/sn_e0aae333906bb3cac29a46091cf24cad/rendering/00.xyz", "0.0")</f>
        <v>0.0</v>
      </c>
      <c r="D2681" s="13" t="str">
        <f>HYPERLINK(AC2 &amp; "/spoon/sn_e0aae333906bb3cac29a46091cf24cad/rendering/01.xyz", "0.0")</f>
        <v>0.0</v>
      </c>
      <c r="E2681" s="13" t="str">
        <f>HYPERLINK(AC2 &amp; "/spoon/sn_e0aae333906bb3cac29a46091cf24cad/rendering/02.xyz", "0.0")</f>
        <v>0.0</v>
      </c>
      <c r="F2681" s="13" t="str">
        <f>HYPERLINK(AC2 &amp; "/spoon/sn_e0aae333906bb3cac29a46091cf24cad/rendering/03.xyz", "0.0")</f>
        <v>0.0</v>
      </c>
      <c r="G2681" s="13" t="str">
        <f>HYPERLINK(AC2 &amp; "/spoon/sn_e0aae333906bb3cac29a46091cf24cad/rendering/04.xyz", "0.0")</f>
        <v>0.0</v>
      </c>
      <c r="H2681" s="13" t="str">
        <f>HYPERLINK(AC2 &amp; "/spoon/sn_e0aae333906bb3cac29a46091cf24cad/rendering/05.xyz", "0.0")</f>
        <v>0.0</v>
      </c>
      <c r="I2681" s="13" t="str">
        <f>HYPERLINK(AC2 &amp; "/spoon/sn_e0aae333906bb3cac29a46091cf24cad/rendering/06.xyz", "0.0")</f>
        <v>0.0</v>
      </c>
      <c r="J2681" s="13" t="str">
        <f>HYPERLINK(AC2 &amp; "/spoon/sn_e0aae333906bb3cac29a46091cf24cad/rendering/07.xyz", "0.0")</f>
        <v>0.0</v>
      </c>
      <c r="K2681" s="13" t="str">
        <f>HYPERLINK(AC2 &amp; "/spoon/sn_e0aae333906bb3cac29a46091cf24cad/rendering/08.xyz", "0.0")</f>
        <v>0.0</v>
      </c>
      <c r="L2681" s="13" t="str">
        <f>HYPERLINK(AC2 &amp; "/spoon/sn_e0aae333906bb3cac29a46091cf24cad/rendering/09.xyz", "0.0")</f>
        <v>0.0</v>
      </c>
      <c r="M2681" s="13" t="str">
        <f>HYPERLINK(AC2 &amp; "/spoon/sn_e0aae333906bb3cac29a46091cf24cad/rendering/10.xyz", "0.0")</f>
        <v>0.0</v>
      </c>
      <c r="N2681" s="13" t="str">
        <f>HYPERLINK(AC2 &amp; "/spoon/sn_e0aae333906bb3cac29a46091cf24cad/rendering/11.xyz", "0.0")</f>
        <v>0.0</v>
      </c>
      <c r="O2681" s="13" t="str">
        <f>HYPERLINK(AC2 &amp; "/spoon/sn_e0aae333906bb3cac29a46091cf24cad/rendering/12.xyz", "0.0")</f>
        <v>0.0</v>
      </c>
      <c r="P2681" s="13" t="str">
        <f>HYPERLINK(AC2 &amp; "/spoon/sn_e0aae333906bb3cac29a46091cf24cad/rendering/13.xyz", "0.0")</f>
        <v>0.0</v>
      </c>
      <c r="Q2681" s="13" t="str">
        <f>HYPERLINK(AC2 &amp; "/spoon/sn_e0aae333906bb3cac29a46091cf24cad/rendering/14.xyz", "0.0")</f>
        <v>0.0</v>
      </c>
      <c r="R2681" s="13" t="str">
        <f>HYPERLINK(AC2 &amp; "/spoon/sn_e0aae333906bb3cac29a46091cf24cad/rendering/15.xyz", "0.0")</f>
        <v>0.0</v>
      </c>
      <c r="S2681" s="13" t="str">
        <f>HYPERLINK(AC2 &amp; "/spoon/sn_e0aae333906bb3cac29a46091cf24cad/rendering/16.xyz", "0.0")</f>
        <v>0.0</v>
      </c>
      <c r="T2681" s="13" t="str">
        <f>HYPERLINK(AC2 &amp; "/spoon/sn_e0aae333906bb3cac29a46091cf24cad/rendering/17.xyz", "0.0")</f>
        <v>0.0</v>
      </c>
      <c r="U2681" s="13" t="str">
        <f>HYPERLINK(AC2 &amp; "/spoon/sn_e0aae333906bb3cac29a46091cf24cad/rendering/18.xyz", "0.0")</f>
        <v>0.0</v>
      </c>
      <c r="V2681" s="13" t="str">
        <f>HYPERLINK(AC2 &amp; "/spoon/sn_e0aae333906bb3cac29a46091cf24cad/rendering/19.xyz", "0.0")</f>
        <v>0.0</v>
      </c>
      <c r="W2681" s="12" t="s">
        <v>33</v>
      </c>
      <c r="X2681" s="13">
        <v>0</v>
      </c>
      <c r="Y2681" s="13">
        <v>0</v>
      </c>
      <c r="Z2681" s="13">
        <v>0</v>
      </c>
    </row>
    <row r="2682" spans="1:26" x14ac:dyDescent="0.2">
      <c r="A2682" s="1">
        <v>2680</v>
      </c>
      <c r="B2682" s="2" t="s">
        <v>569</v>
      </c>
      <c r="C2682" s="56" t="str">
        <f>HYPERLINK(AA2 &amp; "/spoon/sn_f97ea93c7f9cdb6df145bef7cd14676b/rendering/00.obj", "5.04363311768")</f>
        <v>5.04363311768</v>
      </c>
      <c r="D2682" s="89" t="str">
        <f>HYPERLINK(AA2 &amp; "/spoon/sn_f97ea93c7f9cdb6df145bef7cd14676b/rendering/01.obj", "9.18085388184")</f>
        <v>9.18085388184</v>
      </c>
      <c r="E2682" s="151" t="str">
        <f>HYPERLINK(AA2 &amp; "/spoon/sn_f97ea93c7f9cdb6df145bef7cd14676b/rendering/02.obj", "4.67258666992")</f>
        <v>4.67258666992</v>
      </c>
      <c r="F2682" s="24" t="str">
        <f>HYPERLINK(AA2 &amp; "/spoon/sn_f97ea93c7f9cdb6df145bef7cd14676b/rendering/03.obj", "8.51118469238")</f>
        <v>8.51118469238</v>
      </c>
      <c r="G2682" s="192" t="str">
        <f>HYPERLINK(AA2 &amp; "/spoon/sn_f97ea93c7f9cdb6df145bef7cd14676b/rendering/04.obj", "4.58732971191")</f>
        <v>4.58732971191</v>
      </c>
      <c r="H2682" s="199" t="str">
        <f>HYPERLINK(AA2 &amp; "/spoon/sn_f97ea93c7f9cdb6df145bef7cd14676b/rendering/05.obj", "13.0206091309")</f>
        <v>13.0206091309</v>
      </c>
      <c r="I2682" s="140" t="str">
        <f>HYPERLINK(AA2 &amp; "/spoon/sn_f97ea93c7f9cdb6df145bef7cd14676b/rendering/06.obj", "4.75409454346")</f>
        <v>4.75409454346</v>
      </c>
      <c r="J2682" s="121" t="str">
        <f>HYPERLINK(AA2 &amp; "/spoon/sn_f97ea93c7f9cdb6df145bef7cd14676b/rendering/07.obj", "4.72315887451")</f>
        <v>4.72315887451</v>
      </c>
      <c r="K2682" s="11" t="str">
        <f>HYPERLINK(AA2 &amp; "/spoon/sn_f97ea93c7f9cdb6df145bef7cd14676b/rendering/08.obj", "5.65895385742")</f>
        <v>5.65895385742</v>
      </c>
      <c r="L2682" s="169" t="str">
        <f>HYPERLINK(AA2 &amp; "/spoon/sn_f97ea93c7f9cdb6df145bef7cd14676b/rendering/09.obj", "5.01912475586")</f>
        <v>5.01912475586</v>
      </c>
      <c r="M2682" s="119" t="str">
        <f>HYPERLINK(AA2 &amp; "/spoon/sn_f97ea93c7f9cdb6df145bef7cd14676b/rendering/10.obj", "9.23215942383")</f>
        <v>9.23215942383</v>
      </c>
      <c r="N2682" s="142" t="str">
        <f>HYPERLINK(AA2 &amp; "/spoon/sn_f97ea93c7f9cdb6df145bef7cd14676b/rendering/11.obj", "4.41315490723")</f>
        <v>4.41315490723</v>
      </c>
      <c r="O2682" s="158" t="str">
        <f>HYPERLINK(AA2 &amp; "/spoon/sn_f97ea93c7f9cdb6df145bef7cd14676b/rendering/12.obj", "4.315206604")</f>
        <v>4.315206604</v>
      </c>
      <c r="P2682" s="133" t="str">
        <f>HYPERLINK(AA2 &amp; "/spoon/sn_f97ea93c7f9cdb6df145bef7cd14676b/rendering/13.obj", "6.5458581543")</f>
        <v>6.5458581543</v>
      </c>
      <c r="Q2682" s="102" t="str">
        <f>HYPERLINK(AA2 &amp; "/spoon/sn_f97ea93c7f9cdb6df145bef7cd14676b/rendering/14.obj", "10.9159692383")</f>
        <v>10.9159692383</v>
      </c>
      <c r="R2682" s="212" t="str">
        <f>HYPERLINK(AA2 &amp; "/spoon/sn_f97ea93c7f9cdb6df145bef7cd14676b/rendering/15.obj", "4.15060546875")</f>
        <v>4.15060546875</v>
      </c>
      <c r="S2682" s="128" t="str">
        <f>HYPERLINK(AA2 &amp; "/spoon/sn_f97ea93c7f9cdb6df145bef7cd14676b/rendering/16.obj", "4.43798919678")</f>
        <v>4.43798919678</v>
      </c>
      <c r="T2682" s="69" t="str">
        <f>HYPERLINK(AA2 &amp; "/spoon/sn_f97ea93c7f9cdb6df145bef7cd14676b/rendering/17.obj", "7.5083215332")</f>
        <v>7.5083215332</v>
      </c>
      <c r="U2682" s="172" t="str">
        <f>HYPERLINK(AA2 &amp; "/spoon/sn_f97ea93c7f9cdb6df145bef7cd14676b/rendering/18.obj", "4.49311279297")</f>
        <v>4.49311279297</v>
      </c>
      <c r="V2682" s="20" t="str">
        <f>HYPERLINK(AA2 &amp; "/spoon/sn_f97ea93c7f9cdb6df145bef7cd14676b/rendering/19.obj", "24.6411083984")</f>
        <v>24.6411083984</v>
      </c>
      <c r="W2682" s="12" t="s">
        <v>29</v>
      </c>
      <c r="X2682" s="13">
        <v>7.2912507476806638</v>
      </c>
      <c r="Y2682" s="13">
        <v>4.6875610642648704</v>
      </c>
      <c r="Z2682" s="241">
        <v>0.6429021887302363</v>
      </c>
    </row>
    <row r="2683" spans="1:26" x14ac:dyDescent="0.2">
      <c r="A2683" s="1">
        <v>2681</v>
      </c>
      <c r="B2683" s="2" t="s">
        <v>569</v>
      </c>
      <c r="C2683" s="199" t="str">
        <f>HYPERLINK(AA2 &amp; "/spoon/sn_f97ea93c7f9cdb6df145bef7cd14676b/rendering/00.obj", "2.20685076714")</f>
        <v>2.20685076714</v>
      </c>
      <c r="D2683" s="76" t="str">
        <f>HYPERLINK(AA2 &amp; "/spoon/sn_f97ea93c7f9cdb6df145bef7cd14676b/rendering/01.obj", "8.4762430191")</f>
        <v>8.4762430191</v>
      </c>
      <c r="E2683" s="247" t="str">
        <f>HYPERLINK(AA2 &amp; "/spoon/sn_f97ea93c7f9cdb6df145bef7cd14676b/rendering/02.obj", "2.5521299839")</f>
        <v>2.5521299839</v>
      </c>
      <c r="F2683" s="140" t="str">
        <f>HYPERLINK(AA2 &amp; "/spoon/sn_f97ea93c7f9cdb6df145bef7cd14676b/rendering/03.obj", "6.75747060776")</f>
        <v>6.75747060776</v>
      </c>
      <c r="G2683" s="20" t="str">
        <f>HYPERLINK(AA2 &amp; "/spoon/sn_f97ea93c7f9cdb6df145bef7cd14676b/rendering/04.obj", "2.05143928528")</f>
        <v>2.05143928528</v>
      </c>
      <c r="H2683" s="20" t="str">
        <f>HYPERLINK(AA2 &amp; "/spoon/sn_f97ea93c7f9cdb6df145bef7cd14676b/rendering/05.obj", "24.7892074585")</f>
        <v>24.7892074585</v>
      </c>
      <c r="I2683" s="257" t="str">
        <f>HYPERLINK(AA2 &amp; "/spoon/sn_f97ea93c7f9cdb6df145bef7cd14676b/rendering/06.obj", "2.97153067589")</f>
        <v>2.97153067589</v>
      </c>
      <c r="J2683" s="258" t="str">
        <f>HYPERLINK(AA2 &amp; "/spoon/sn_f97ea93c7f9cdb6df145bef7cd14676b/rendering/07.obj", "2.46751451492")</f>
        <v>2.46751451492</v>
      </c>
      <c r="K2683" s="20" t="str">
        <f>HYPERLINK(AA2 &amp; "/spoon/sn_f97ea93c7f9cdb6df145bef7cd14676b/rendering/08.obj", "1.86806356907")</f>
        <v>1.86806356907</v>
      </c>
      <c r="L2683" s="20" t="str">
        <f>HYPERLINK(AA2 &amp; "/spoon/sn_f97ea93c7f9cdb6df145bef7cd14676b/rendering/09.obj", "1.85017228127")</f>
        <v>1.85017228127</v>
      </c>
      <c r="M2683" s="177" t="str">
        <f>HYPERLINK(AA2 &amp; "/spoon/sn_f97ea93c7f9cdb6df145bef7cd14676b/rendering/10.obj", "15.9201583862")</f>
        <v>15.9201583862</v>
      </c>
      <c r="N2683" s="20" t="str">
        <f>HYPERLINK(AA2 &amp; "/spoon/sn_f97ea93c7f9cdb6df145bef7cd14676b/rendering/11.obj", "1.10657846928")</f>
        <v>1.10657846928</v>
      </c>
      <c r="O2683" s="20" t="str">
        <f>HYPERLINK(AA2 &amp; "/spoon/sn_f97ea93c7f9cdb6df145bef7cd14676b/rendering/12.obj", "1.74930107594")</f>
        <v>1.74930107594</v>
      </c>
      <c r="P2683" s="176" t="str">
        <f>HYPERLINK(AA2 &amp; "/spoon/sn_f97ea93c7f9cdb6df145bef7cd14676b/rendering/13.obj", "7.05545330048")</f>
        <v>7.05545330048</v>
      </c>
      <c r="Q2683" s="255" t="str">
        <f>HYPERLINK(AA2 &amp; "/spoon/sn_f97ea93c7f9cdb6df145bef7cd14676b/rendering/14.obj", "17.8621177673")</f>
        <v>17.8621177673</v>
      </c>
      <c r="R2683" s="20" t="str">
        <f>HYPERLINK(AA2 &amp; "/spoon/sn_f97ea93c7f9cdb6df145bef7cd14676b/rendering/15.obj", "1.94408011436")</f>
        <v>1.94408011436</v>
      </c>
      <c r="S2683" s="20" t="str">
        <f>HYPERLINK(AA2 &amp; "/spoon/sn_f97ea93c7f9cdb6df145bef7cd14676b/rendering/16.obj", "1.83819496632")</f>
        <v>1.83819496632</v>
      </c>
      <c r="T2683" s="179" t="str">
        <f>HYPERLINK(AA2 &amp; "/spoon/sn_f97ea93c7f9cdb6df145bef7cd14676b/rendering/17.obj", "5.91922616959")</f>
        <v>5.91922616959</v>
      </c>
      <c r="U2683" s="232" t="str">
        <f>HYPERLINK(AA2 &amp; "/spoon/sn_f97ea93c7f9cdb6df145bef7cd14676b/rendering/18.obj", "2.26103663445")</f>
        <v>2.26103663445</v>
      </c>
      <c r="V2683" s="20" t="str">
        <f>HYPERLINK(AA2 &amp; "/spoon/sn_f97ea93c7f9cdb6df145bef7cd14676b/rendering/19.obj", "95.6811141968")</f>
        <v>95.6811141968</v>
      </c>
      <c r="W2683" s="12" t="s">
        <v>30</v>
      </c>
      <c r="X2683" s="13">
        <v>10.36639416217804</v>
      </c>
      <c r="Y2683" s="13">
        <v>20.553527638630541</v>
      </c>
      <c r="Z2683" s="20">
        <v>1.9827075178773761</v>
      </c>
    </row>
    <row r="2684" spans="1:26" x14ac:dyDescent="0.2">
      <c r="A2684" s="1">
        <v>2682</v>
      </c>
      <c r="B2684" s="2" t="s">
        <v>569</v>
      </c>
      <c r="C2684" s="38" t="str">
        <f>HYPERLINK(AB2 &amp; "/spoon/sn_f97ea93c7f9cdb6df145bef7cd14676b/rendering/00.obj", "3.96258666992")</f>
        <v>3.96258666992</v>
      </c>
      <c r="D2684" s="92" t="str">
        <f>HYPERLINK(AB2 &amp; "/spoon/sn_f97ea93c7f9cdb6df145bef7cd14676b/rendering/01.obj", "4.88236450195")</f>
        <v>4.88236450195</v>
      </c>
      <c r="E2684" s="25" t="str">
        <f>HYPERLINK(AB2 &amp; "/spoon/sn_f97ea93c7f9cdb6df145bef7cd14676b/rendering/02.obj", "4.39637908936")</f>
        <v>4.39637908936</v>
      </c>
      <c r="F2684" s="187" t="str">
        <f>HYPERLINK(AB2 &amp; "/spoon/sn_f97ea93c7f9cdb6df145bef7cd14676b/rendering/03.obj", "5.86626098633")</f>
        <v>5.86626098633</v>
      </c>
      <c r="G2684" s="50" t="str">
        <f>HYPERLINK(AB2 &amp; "/spoon/sn_f97ea93c7f9cdb6df145bef7cd14676b/rendering/04.obj", "3.48317077637")</f>
        <v>3.48317077637</v>
      </c>
      <c r="H2684" s="17" t="str">
        <f>HYPERLINK(AB2 &amp; "/spoon/sn_f97ea93c7f9cdb6df145bef7cd14676b/rendering/05.obj", "4.26074829102")</f>
        <v>4.26074829102</v>
      </c>
      <c r="I2684" s="26" t="str">
        <f>HYPERLINK(AB2 &amp; "/spoon/sn_f97ea93c7f9cdb6df145bef7cd14676b/rendering/06.obj", "4.07307739258")</f>
        <v>4.07307739258</v>
      </c>
      <c r="J2684" s="92" t="str">
        <f>HYPERLINK(AB2 &amp; "/spoon/sn_f97ea93c7f9cdb6df145bef7cd14676b/rendering/07.obj", "3.80939544678")</f>
        <v>3.80939544678</v>
      </c>
      <c r="K2684" s="93" t="str">
        <f>HYPERLINK(AB2 &amp; "/spoon/sn_f97ea93c7f9cdb6df145bef7cd14676b/rendering/08.obj", "4.95047729492")</f>
        <v>4.95047729492</v>
      </c>
      <c r="L2684" s="34" t="str">
        <f>HYPERLINK(AB2 &amp; "/spoon/sn_f97ea93c7f9cdb6df145bef7cd14676b/rendering/09.obj", "4.55128173828")</f>
        <v>4.55128173828</v>
      </c>
      <c r="M2684" s="90" t="str">
        <f>HYPERLINK(AB2 &amp; "/spoon/sn_f97ea93c7f9cdb6df145bef7cd14676b/rendering/10.obj", "3.93382629395")</f>
        <v>3.93382629395</v>
      </c>
      <c r="N2684" s="40" t="str">
        <f>HYPERLINK(AB2 &amp; "/spoon/sn_f97ea93c7f9cdb6df145bef7cd14676b/rendering/11.obj", "3.59696472168")</f>
        <v>3.59696472168</v>
      </c>
      <c r="O2684" s="40" t="str">
        <f>HYPERLINK(AB2 &amp; "/spoon/sn_f97ea93c7f9cdb6df145bef7cd14676b/rendering/12.obj", "3.6048223877")</f>
        <v>3.6048223877</v>
      </c>
      <c r="P2684" s="110" t="str">
        <f>HYPERLINK(AB2 &amp; "/spoon/sn_f97ea93c7f9cdb6df145bef7cd14676b/rendering/13.obj", "4.77523803711")</f>
        <v>4.77523803711</v>
      </c>
      <c r="Q2684" s="74" t="str">
        <f>HYPERLINK(AB2 &amp; "/spoon/sn_f97ea93c7f9cdb6df145bef7cd14676b/rendering/14.obj", "4.40477050781")</f>
        <v>4.40477050781</v>
      </c>
      <c r="R2684" s="92" t="str">
        <f>HYPERLINK(AB2 &amp; "/spoon/sn_f97ea93c7f9cdb6df145bef7cd14676b/rendering/15.obj", "3.8067489624")</f>
        <v>3.8067489624</v>
      </c>
      <c r="S2684" s="26" t="str">
        <f>HYPERLINK(AB2 &amp; "/spoon/sn_f97ea93c7f9cdb6df145bef7cd14676b/rendering/16.obj", "4.06216552734")</f>
        <v>4.06216552734</v>
      </c>
      <c r="T2684" s="69" t="str">
        <f>HYPERLINK(AB2 &amp; "/spoon/sn_f97ea93c7f9cdb6df145bef7cd14676b/rendering/17.obj", "4.21033996582")</f>
        <v>4.21033996582</v>
      </c>
      <c r="U2684" s="39" t="str">
        <f>HYPERLINK(AB2 &amp; "/spoon/sn_f97ea93c7f9cdb6df145bef7cd14676b/rendering/18.obj", "3.96626190186")</f>
        <v>3.96626190186</v>
      </c>
      <c r="V2684" s="230" t="str">
        <f>HYPERLINK(AB2 &amp; "/spoon/sn_f97ea93c7f9cdb6df145bef7cd14676b/rendering/19.obj", "6.32423828125")</f>
        <v>6.32423828125</v>
      </c>
      <c r="W2684" s="12" t="s">
        <v>31</v>
      </c>
      <c r="X2684" s="13">
        <v>4.3460559387207036</v>
      </c>
      <c r="Y2684" s="13">
        <v>0.71363507529053971</v>
      </c>
      <c r="Z2684" s="64">
        <v>0.1642029199238986</v>
      </c>
    </row>
    <row r="2685" spans="1:26" x14ac:dyDescent="0.2">
      <c r="A2685" s="1">
        <v>2683</v>
      </c>
      <c r="B2685" s="2" t="s">
        <v>569</v>
      </c>
      <c r="C2685" s="71" t="str">
        <f>HYPERLINK(AB2 &amp; "/spoon/sn_f97ea93c7f9cdb6df145bef7cd14676b/rendering/00.obj", "1.23198139668")</f>
        <v>1.23198139668</v>
      </c>
      <c r="D2685" s="37" t="str">
        <f>HYPERLINK(AB2 &amp; "/spoon/sn_f97ea93c7f9cdb6df145bef7cd14676b/rendering/01.obj", "1.15547251701")</f>
        <v>1.15547251701</v>
      </c>
      <c r="E2685" s="107" t="str">
        <f>HYPERLINK(AB2 &amp; "/spoon/sn_f97ea93c7f9cdb6df145bef7cd14676b/rendering/02.obj", "1.51456284523")</f>
        <v>1.51456284523</v>
      </c>
      <c r="F2685" s="115" t="str">
        <f>HYPERLINK(AB2 &amp; "/spoon/sn_f97ea93c7f9cdb6df145bef7cd14676b/rendering/03.obj", "2.29060816765")</f>
        <v>2.29060816765</v>
      </c>
      <c r="G2685" s="149" t="str">
        <f>HYPERLINK(AB2 &amp; "/spoon/sn_f97ea93c7f9cdb6df145bef7cd14676b/rendering/04.obj", "0.917428910732")</f>
        <v>0.917428910732</v>
      </c>
      <c r="H2685" s="36" t="str">
        <f>HYPERLINK(AB2 &amp; "/spoon/sn_f97ea93c7f9cdb6df145bef7cd14676b/rendering/05.obj", "1.69773101807")</f>
        <v>1.69773101807</v>
      </c>
      <c r="I2685" s="81" t="str">
        <f>HYPERLINK(AB2 &amp; "/spoon/sn_f97ea93c7f9cdb6df145bef7cd14676b/rendering/06.obj", "1.09503495693")</f>
        <v>1.09503495693</v>
      </c>
      <c r="J2685" s="185" t="str">
        <f>HYPERLINK(AB2 &amp; "/spoon/sn_f97ea93c7f9cdb6df145bef7cd14676b/rendering/07.obj", "0.922584950924")</f>
        <v>0.922584950924</v>
      </c>
      <c r="K2685" s="77" t="str">
        <f>HYPERLINK(AB2 &amp; "/spoon/sn_f97ea93c7f9cdb6df145bef7cd14676b/rendering/08.obj", "1.65911960602")</f>
        <v>1.65911960602</v>
      </c>
      <c r="L2685" s="89" t="str">
        <f>HYPERLINK(AB2 &amp; "/spoon/sn_f97ea93c7f9cdb6df145bef7cd14676b/rendering/09.obj", "1.03760313988")</f>
        <v>1.03760313988</v>
      </c>
      <c r="M2685" s="71" t="str">
        <f>HYPERLINK(AB2 &amp; "/spoon/sn_f97ea93c7f9cdb6df145bef7cd14676b/rendering/10.obj", "1.23533535004")</f>
        <v>1.23533535004</v>
      </c>
      <c r="N2685" s="94" t="str">
        <f>HYPERLINK(AB2 &amp; "/spoon/sn_f97ea93c7f9cdb6df145bef7cd14676b/rendering/11.obj", "1.49908912182")</f>
        <v>1.49908912182</v>
      </c>
      <c r="O2685" s="65" t="str">
        <f>HYPERLINK(AB2 &amp; "/spoon/sn_f97ea93c7f9cdb6df145bef7cd14676b/rendering/12.obj", "1.21130275726")</f>
        <v>1.21130275726</v>
      </c>
      <c r="P2685" s="49" t="str">
        <f>HYPERLINK(AB2 &amp; "/spoon/sn_f97ea93c7f9cdb6df145bef7cd14676b/rendering/13.obj", "1.1074347496")</f>
        <v>1.1074347496</v>
      </c>
      <c r="Q2685" s="89" t="str">
        <f>HYPERLINK(AB2 &amp; "/spoon/sn_f97ea93c7f9cdb6df145bef7cd14676b/rendering/14.obj", "1.76036131382")</f>
        <v>1.76036131382</v>
      </c>
      <c r="R2685" s="187" t="str">
        <f>HYPERLINK(AB2 &amp; "/spoon/sn_f97ea93c7f9cdb6df145bef7cd14676b/rendering/15.obj", "0.90796983242")</f>
        <v>0.90796983242</v>
      </c>
      <c r="S2685" s="133" t="str">
        <f>HYPERLINK(AB2 &amp; "/spoon/sn_f97ea93c7f9cdb6df145bef7cd14676b/rendering/16.obj", "1.25634419918")</f>
        <v>1.25634419918</v>
      </c>
      <c r="T2685" s="93" t="str">
        <f>HYPERLINK(AB2 &amp; "/spoon/sn_f97ea93c7f9cdb6df145bef7cd14676b/rendering/17.obj", "1.20257639885")</f>
        <v>1.20257639885</v>
      </c>
      <c r="U2685" s="118" t="str">
        <f>HYPERLINK(AB2 &amp; "/spoon/sn_f97ea93c7f9cdb6df145bef7cd14676b/rendering/18.obj", "0.989884734154")</f>
        <v>0.989884734154</v>
      </c>
      <c r="V2685" s="20" t="str">
        <f>HYPERLINK(AB2 &amp; "/spoon/sn_f97ea93c7f9cdb6df145bef7cd14676b/rendering/19.obj", "3.2647356987")</f>
        <v>3.2647356987</v>
      </c>
      <c r="W2685" s="12" t="s">
        <v>32</v>
      </c>
      <c r="X2685" s="13">
        <v>1.397858083248138</v>
      </c>
      <c r="Y2685" s="13">
        <v>0.54636510586527132</v>
      </c>
      <c r="Z2685" s="128">
        <v>0.39085878059645929</v>
      </c>
    </row>
    <row r="2686" spans="1:26" x14ac:dyDescent="0.2">
      <c r="A2686" s="1">
        <v>2684</v>
      </c>
      <c r="B2686" s="2" t="s">
        <v>569</v>
      </c>
      <c r="C2686" s="13" t="str">
        <f>HYPERLINK(AC2 &amp; "/spoon/sn_f97ea93c7f9cdb6df145bef7cd14676b/rendering/00.xyz", "0.0")</f>
        <v>0.0</v>
      </c>
      <c r="D2686" s="13" t="str">
        <f>HYPERLINK(AC2 &amp; "/spoon/sn_f97ea93c7f9cdb6df145bef7cd14676b/rendering/01.xyz", "0.0")</f>
        <v>0.0</v>
      </c>
      <c r="E2686" s="13" t="str">
        <f>HYPERLINK(AC2 &amp; "/spoon/sn_f97ea93c7f9cdb6df145bef7cd14676b/rendering/02.xyz", "0.0")</f>
        <v>0.0</v>
      </c>
      <c r="F2686" s="13" t="str">
        <f>HYPERLINK(AC2 &amp; "/spoon/sn_f97ea93c7f9cdb6df145bef7cd14676b/rendering/03.xyz", "0.0")</f>
        <v>0.0</v>
      </c>
      <c r="G2686" s="13" t="str">
        <f>HYPERLINK(AC2 &amp; "/spoon/sn_f97ea93c7f9cdb6df145bef7cd14676b/rendering/04.xyz", "0.0")</f>
        <v>0.0</v>
      </c>
      <c r="H2686" s="13" t="str">
        <f>HYPERLINK(AC2 &amp; "/spoon/sn_f97ea93c7f9cdb6df145bef7cd14676b/rendering/05.xyz", "0.0")</f>
        <v>0.0</v>
      </c>
      <c r="I2686" s="13" t="str">
        <f>HYPERLINK(AC2 &amp; "/spoon/sn_f97ea93c7f9cdb6df145bef7cd14676b/rendering/06.xyz", "0.0")</f>
        <v>0.0</v>
      </c>
      <c r="J2686" s="13" t="str">
        <f>HYPERLINK(AC2 &amp; "/spoon/sn_f97ea93c7f9cdb6df145bef7cd14676b/rendering/07.xyz", "0.0")</f>
        <v>0.0</v>
      </c>
      <c r="K2686" s="13" t="str">
        <f>HYPERLINK(AC2 &amp; "/spoon/sn_f97ea93c7f9cdb6df145bef7cd14676b/rendering/08.xyz", "0.0")</f>
        <v>0.0</v>
      </c>
      <c r="L2686" s="13" t="str">
        <f>HYPERLINK(AC2 &amp; "/spoon/sn_f97ea93c7f9cdb6df145bef7cd14676b/rendering/09.xyz", "0.0")</f>
        <v>0.0</v>
      </c>
      <c r="M2686" s="13" t="str">
        <f>HYPERLINK(AC2 &amp; "/spoon/sn_f97ea93c7f9cdb6df145bef7cd14676b/rendering/10.xyz", "0.0")</f>
        <v>0.0</v>
      </c>
      <c r="N2686" s="13" t="str">
        <f>HYPERLINK(AC2 &amp; "/spoon/sn_f97ea93c7f9cdb6df145bef7cd14676b/rendering/11.xyz", "0.0")</f>
        <v>0.0</v>
      </c>
      <c r="O2686" s="13" t="str">
        <f>HYPERLINK(AC2 &amp; "/spoon/sn_f97ea93c7f9cdb6df145bef7cd14676b/rendering/12.xyz", "0.0")</f>
        <v>0.0</v>
      </c>
      <c r="P2686" s="13" t="str">
        <f>HYPERLINK(AC2 &amp; "/spoon/sn_f97ea93c7f9cdb6df145bef7cd14676b/rendering/13.xyz", "0.0")</f>
        <v>0.0</v>
      </c>
      <c r="Q2686" s="13" t="str">
        <f>HYPERLINK(AC2 &amp; "/spoon/sn_f97ea93c7f9cdb6df145bef7cd14676b/rendering/14.xyz", "0.0")</f>
        <v>0.0</v>
      </c>
      <c r="R2686" s="13" t="str">
        <f>HYPERLINK(AC2 &amp; "/spoon/sn_f97ea93c7f9cdb6df145bef7cd14676b/rendering/15.xyz", "0.0")</f>
        <v>0.0</v>
      </c>
      <c r="S2686" s="13" t="str">
        <f>HYPERLINK(AC2 &amp; "/spoon/sn_f97ea93c7f9cdb6df145bef7cd14676b/rendering/16.xyz", "0.0")</f>
        <v>0.0</v>
      </c>
      <c r="T2686" s="13" t="str">
        <f>HYPERLINK(AC2 &amp; "/spoon/sn_f97ea93c7f9cdb6df145bef7cd14676b/rendering/17.xyz", "0.0")</f>
        <v>0.0</v>
      </c>
      <c r="U2686" s="13" t="str">
        <f>HYPERLINK(AC2 &amp; "/spoon/sn_f97ea93c7f9cdb6df145bef7cd14676b/rendering/18.xyz", "0.0")</f>
        <v>0.0</v>
      </c>
      <c r="V2686" s="13" t="str">
        <f>HYPERLINK(AC2 &amp; "/spoon/sn_f97ea93c7f9cdb6df145bef7cd14676b/rendering/19.xyz", "0.0")</f>
        <v>0.0</v>
      </c>
      <c r="W2686" s="12" t="s">
        <v>33</v>
      </c>
      <c r="X2686" s="13">
        <v>0</v>
      </c>
      <c r="Y2686" s="13">
        <v>0</v>
      </c>
      <c r="Z2686" s="13">
        <v>0</v>
      </c>
    </row>
    <row r="2687" spans="1:26" x14ac:dyDescent="0.2">
      <c r="A2687" s="1">
        <v>2685</v>
      </c>
      <c r="B2687" s="2" t="s">
        <v>570</v>
      </c>
      <c r="C2687" s="5" t="str">
        <f>HYPERLINK(AA2 &amp; "/spoon/sn_fa8c1f01f3c09bc7763cd81c1b401a16/rendering/00.obj", "8.58348937988")</f>
        <v>8.58348937988</v>
      </c>
      <c r="D2687" s="72" t="str">
        <f>HYPERLINK(AA2 &amp; "/spoon/sn_fa8c1f01f3c09bc7763cd81c1b401a16/rendering/01.obj", "7.71828857422")</f>
        <v>7.71828857422</v>
      </c>
      <c r="E2687" s="113" t="str">
        <f>HYPERLINK(AA2 &amp; "/spoon/sn_fa8c1f01f3c09bc7763cd81c1b401a16/rendering/02.obj", "10.17512146")</f>
        <v>10.17512146</v>
      </c>
      <c r="F2687" s="68" t="str">
        <f>HYPERLINK(AA2 &amp; "/spoon/sn_fa8c1f01f3c09bc7763cd81c1b401a16/rendering/03.obj", "8.31710266113")</f>
        <v>8.31710266113</v>
      </c>
      <c r="G2687" s="17" t="str">
        <f>HYPERLINK(AA2 &amp; "/spoon/sn_fa8c1f01f3c09bc7763cd81c1b401a16/rendering/04.obj", "7.81829223633")</f>
        <v>7.81829223633</v>
      </c>
      <c r="H2687" s="69" t="str">
        <f>HYPERLINK(AA2 &amp; "/spoon/sn_fa8c1f01f3c09bc7763cd81c1b401a16/rendering/05.obj", "8.21037475586")</f>
        <v>8.21037475586</v>
      </c>
      <c r="I2687" s="23" t="str">
        <f>HYPERLINK(AA2 &amp; "/spoon/sn_fa8c1f01f3c09bc7763cd81c1b401a16/rendering/06.obj", "8.29142089844")</f>
        <v>8.29142089844</v>
      </c>
      <c r="J2687" s="92" t="str">
        <f>HYPERLINK(AA2 &amp; "/spoon/sn_fa8c1f01f3c09bc7763cd81c1b401a16/rendering/07.obj", "6.99489501953")</f>
        <v>6.99489501953</v>
      </c>
      <c r="K2687" s="91" t="str">
        <f>HYPERLINK(AA2 &amp; "/spoon/sn_fa8c1f01f3c09bc7763cd81c1b401a16/rendering/08.obj", "7.75066589355")</f>
        <v>7.75066589355</v>
      </c>
      <c r="L2687" s="41" t="str">
        <f>HYPERLINK(AA2 &amp; "/spoon/sn_fa8c1f01f3c09bc7763cd81c1b401a16/rendering/09.obj", "7.44815307617")</f>
        <v>7.44815307617</v>
      </c>
      <c r="M2687" s="26" t="str">
        <f>HYPERLINK(AA2 &amp; "/spoon/sn_fa8c1f01f3c09bc7763cd81c1b401a16/rendering/10.obj", "7.46042602539")</f>
        <v>7.46042602539</v>
      </c>
      <c r="N2687" s="119" t="str">
        <f>HYPERLINK(AA2 &amp; "/spoon/sn_fa8c1f01f3c09bc7763cd81c1b401a16/rendering/11.obj", "10.0901501465")</f>
        <v>10.0901501465</v>
      </c>
      <c r="O2687" s="25" t="str">
        <f>HYPERLINK(AA2 &amp; "/spoon/sn_fa8c1f01f3c09bc7763cd81c1b401a16/rendering/12.obj", "7.88787231445")</f>
        <v>7.88787231445</v>
      </c>
      <c r="P2687" s="63" t="str">
        <f>HYPERLINK(AA2 &amp; "/spoon/sn_fa8c1f01f3c09bc7763cd81c1b401a16/rendering/13.obj", "7.01969360352")</f>
        <v>7.01969360352</v>
      </c>
      <c r="Q2687" s="74" t="str">
        <f>HYPERLINK(AA2 &amp; "/spoon/sn_fa8c1f01f3c09bc7763cd81c1b401a16/rendering/14.obj", "8.09273071289")</f>
        <v>8.09273071289</v>
      </c>
      <c r="R2687" s="48" t="str">
        <f>HYPERLINK(AA2 &amp; "/spoon/sn_fa8c1f01f3c09bc7763cd81c1b401a16/rendering/15.obj", "7.77466552734")</f>
        <v>7.77466552734</v>
      </c>
      <c r="S2687" s="94" t="str">
        <f>HYPERLINK(AA2 &amp; "/spoon/sn_fa8c1f01f3c09bc7763cd81c1b401a16/rendering/16.obj", "7.37764709473")</f>
        <v>7.37764709473</v>
      </c>
      <c r="T2687" s="35" t="str">
        <f>HYPERLINK(AA2 &amp; "/spoon/sn_fa8c1f01f3c09bc7763cd81c1b401a16/rendering/17.obj", "7.52395751953")</f>
        <v>7.52395751953</v>
      </c>
      <c r="U2687" s="23" t="str">
        <f>HYPERLINK(AA2 &amp; "/spoon/sn_fa8c1f01f3c09bc7763cd81c1b401a16/rendering/18.obj", "7.67203979492")</f>
        <v>7.67203979492</v>
      </c>
      <c r="V2687" s="39" t="str">
        <f>HYPERLINK(AA2 &amp; "/spoon/sn_fa8c1f01f3c09bc7763cd81c1b401a16/rendering/19.obj", "7.28669250488")</f>
        <v>7.28669250488</v>
      </c>
      <c r="W2687" s="12" t="s">
        <v>29</v>
      </c>
      <c r="X2687" s="13">
        <v>7.9746839599609389</v>
      </c>
      <c r="Y2687" s="13">
        <v>0.82767660268399423</v>
      </c>
      <c r="Z2687" s="32">
        <v>0.10378801302215469</v>
      </c>
    </row>
    <row r="2688" spans="1:26" x14ac:dyDescent="0.2">
      <c r="A2688" s="1">
        <v>2686</v>
      </c>
      <c r="B2688" s="2" t="s">
        <v>570</v>
      </c>
      <c r="C2688" s="57" t="str">
        <f>HYPERLINK(AA2 &amp; "/spoon/sn_fa8c1f01f3c09bc7763cd81c1b401a16/rendering/00.obj", "3.72158169746")</f>
        <v>3.72158169746</v>
      </c>
      <c r="D2688" s="48" t="str">
        <f>HYPERLINK(AA2 &amp; "/spoon/sn_fa8c1f01f3c09bc7763cd81c1b401a16/rendering/01.obj", "5.31522798538")</f>
        <v>5.31522798538</v>
      </c>
      <c r="E2688" s="232" t="str">
        <f>HYPERLINK(AA2 &amp; "/spoon/sn_fa8c1f01f3c09bc7763cd81c1b401a16/rendering/02.obj", "9.69879436493")</f>
        <v>9.69879436493</v>
      </c>
      <c r="F2688" s="80" t="str">
        <f>HYPERLINK(AA2 &amp; "/spoon/sn_fa8c1f01f3c09bc7763cd81c1b401a16/rendering/03.obj", "6.24983358383")</f>
        <v>6.24983358383</v>
      </c>
      <c r="G2688" s="57" t="str">
        <f>HYPERLINK(AA2 &amp; "/spoon/sn_fa8c1f01f3c09bc7763cd81c1b401a16/rendering/04.obj", "3.72505927086")</f>
        <v>3.72505927086</v>
      </c>
      <c r="H2688" s="123" t="str">
        <f>HYPERLINK(AA2 &amp; "/spoon/sn_fa8c1f01f3c09bc7763cd81c1b401a16/rendering/05.obj", "3.43390774727")</f>
        <v>3.43390774727</v>
      </c>
      <c r="I2688" s="76" t="str">
        <f>HYPERLINK(AA2 &amp; "/spoon/sn_fa8c1f01f3c09bc7763cd81c1b401a16/rendering/06.obj", "4.43982648849")</f>
        <v>4.43982648849</v>
      </c>
      <c r="J2688" s="157" t="str">
        <f>HYPERLINK(AA2 &amp; "/spoon/sn_fa8c1f01f3c09bc7763cd81c1b401a16/rendering/07.obj", "3.17202186584")</f>
        <v>3.17202186584</v>
      </c>
      <c r="K2688" s="159" t="str">
        <f>HYPERLINK(AA2 &amp; "/spoon/sn_fa8c1f01f3c09bc7763cd81c1b401a16/rendering/08.obj", "2.8946044445")</f>
        <v>2.8946044445</v>
      </c>
      <c r="L2688" s="135" t="str">
        <f>HYPERLINK(AA2 &amp; "/spoon/sn_fa8c1f01f3c09bc7763cd81c1b401a16/rendering/09.obj", "4.04004955292")</f>
        <v>4.04004955292</v>
      </c>
      <c r="M2688" s="78" t="str">
        <f>HYPERLINK(AA2 &amp; "/spoon/sn_fa8c1f01f3c09bc7763cd81c1b401a16/rendering/10.obj", "5.7659945488")</f>
        <v>5.7659945488</v>
      </c>
      <c r="N2688" s="20" t="str">
        <f>HYPERLINK(AA2 &amp; "/spoon/sn_fa8c1f01f3c09bc7763cd81c1b401a16/rendering/11.obj", "26.7051391602")</f>
        <v>26.7051391602</v>
      </c>
      <c r="O2688" s="40" t="str">
        <f>HYPERLINK(AA2 &amp; "/spoon/sn_fa8c1f01f3c09bc7763cd81c1b401a16/rendering/12.obj", "4.50188541412")</f>
        <v>4.50188541412</v>
      </c>
      <c r="P2688" s="138" t="str">
        <f>HYPERLINK(AA2 &amp; "/spoon/sn_fa8c1f01f3c09bc7763cd81c1b401a16/rendering/13.obj", "3.61080050468")</f>
        <v>3.61080050468</v>
      </c>
      <c r="Q2688" s="55" t="str">
        <f>HYPERLINK(AA2 &amp; "/spoon/sn_fa8c1f01f3c09bc7763cd81c1b401a16/rendering/14.obj", "6.48179244995")</f>
        <v>6.48179244995</v>
      </c>
      <c r="R2688" s="200" t="str">
        <f>HYPERLINK(AA2 &amp; "/spoon/sn_fa8c1f01f3c09bc7763cd81c1b401a16/rendering/15.obj", "2.82950592041")</f>
        <v>2.82950592041</v>
      </c>
      <c r="S2688" s="7" t="str">
        <f>HYPERLINK(AA2 &amp; "/spoon/sn_fa8c1f01f3c09bc7763cd81c1b401a16/rendering/16.obj", "3.92138433456")</f>
        <v>3.92138433456</v>
      </c>
      <c r="T2688" s="214" t="str">
        <f>HYPERLINK(AA2 &amp; "/spoon/sn_fa8c1f01f3c09bc7763cd81c1b401a16/rendering/17.obj", "2.07894444466")</f>
        <v>2.07894444466</v>
      </c>
      <c r="U2688" s="61" t="str">
        <f>HYPERLINK(AA2 &amp; "/spoon/sn_fa8c1f01f3c09bc7763cd81c1b401a16/rendering/18.obj", "3.79246902466")</f>
        <v>3.79246902466</v>
      </c>
      <c r="V2688" s="226" t="str">
        <f>HYPERLINK(AA2 &amp; "/spoon/sn_fa8c1f01f3c09bc7763cd81c1b401a16/rendering/19.obj", "2.37532639503")</f>
        <v>2.37532639503</v>
      </c>
      <c r="W2688" s="12" t="s">
        <v>30</v>
      </c>
      <c r="X2688" s="13">
        <v>5.4377074599266049</v>
      </c>
      <c r="Y2688" s="13">
        <v>5.1645808684677377</v>
      </c>
      <c r="Z2688" s="20">
        <v>0.94977173864690512</v>
      </c>
    </row>
    <row r="2689" spans="1:26" x14ac:dyDescent="0.2">
      <c r="A2689" s="1">
        <v>2687</v>
      </c>
      <c r="B2689" s="2" t="s">
        <v>570</v>
      </c>
      <c r="C2689" s="41" t="str">
        <f>HYPERLINK(AB2 &amp; "/spoon/sn_fa8c1f01f3c09bc7763cd81c1b401a16/rendering/00.obj", "6.93602905273")</f>
        <v>6.93602905273</v>
      </c>
      <c r="D2689" s="94" t="str">
        <f>HYPERLINK(AB2 &amp; "/spoon/sn_fa8c1f01f3c09bc7763cd81c1b401a16/rendering/01.obj", "6.02353027344")</f>
        <v>6.02353027344</v>
      </c>
      <c r="E2689" s="71" t="str">
        <f>HYPERLINK(AB2 &amp; "/spoon/sn_fa8c1f01f3c09bc7763cd81c1b401a16/rendering/02.obj", "7.26351623535")</f>
        <v>7.26351623535</v>
      </c>
      <c r="F2689" s="25" t="str">
        <f>HYPERLINK(AB2 &amp; "/spoon/sn_fa8c1f01f3c09bc7763cd81c1b401a16/rendering/03.obj", "6.5645904541")</f>
        <v>6.5645904541</v>
      </c>
      <c r="G2689" s="94" t="str">
        <f>HYPERLINK(AB2 &amp; "/spoon/sn_fa8c1f01f3c09bc7763cd81c1b401a16/rendering/04.obj", "6.03080505371")</f>
        <v>6.03080505371</v>
      </c>
      <c r="H2689" s="72" t="str">
        <f>HYPERLINK(AB2 &amp; "/spoon/sn_fa8c1f01f3c09bc7763cd81c1b401a16/rendering/05.obj", "6.72347167969")</f>
        <v>6.72347167969</v>
      </c>
      <c r="I2689" s="27" t="str">
        <f>HYPERLINK(AB2 &amp; "/spoon/sn_fa8c1f01f3c09bc7763cd81c1b401a16/rendering/06.obj", "6.03881164551")</f>
        <v>6.03881164551</v>
      </c>
      <c r="J2689" s="6" t="str">
        <f>HYPERLINK(AB2 &amp; "/spoon/sn_fa8c1f01f3c09bc7763cd81c1b401a16/rendering/07.obj", "6.21374267578")</f>
        <v>6.21374267578</v>
      </c>
      <c r="K2689" s="69" t="str">
        <f>HYPERLINK(AB2 &amp; "/spoon/sn_fa8c1f01f3c09bc7763cd81c1b401a16/rendering/08.obj", "6.69793334961")</f>
        <v>6.69793334961</v>
      </c>
      <c r="L2689" s="72" t="str">
        <f>HYPERLINK(AB2 &amp; "/spoon/sn_fa8c1f01f3c09bc7763cd81c1b401a16/rendering/09.obj", "6.296953125")</f>
        <v>6.296953125</v>
      </c>
      <c r="M2689" s="72" t="str">
        <f>HYPERLINK(AB2 &amp; "/spoon/sn_fa8c1f01f3c09bc7763cd81c1b401a16/rendering/10.obj", "6.71801452637")</f>
        <v>6.71801452637</v>
      </c>
      <c r="N2689" s="10" t="str">
        <f>HYPERLINK(AB2 &amp; "/spoon/sn_fa8c1f01f3c09bc7763cd81c1b401a16/rendering/11.obj", "6.13711425781")</f>
        <v>6.13711425781</v>
      </c>
      <c r="O2689" s="35" t="str">
        <f>HYPERLINK(AB2 &amp; "/spoon/sn_fa8c1f01f3c09bc7763cd81c1b401a16/rendering/12.obj", "6.13073791504")</f>
        <v>6.13073791504</v>
      </c>
      <c r="P2689" s="90" t="str">
        <f>HYPERLINK(AB2 &amp; "/spoon/sn_fa8c1f01f3c09bc7763cd81c1b401a16/rendering/13.obj", "5.87689208984")</f>
        <v>5.87689208984</v>
      </c>
      <c r="Q2689" s="13" t="str">
        <f>HYPERLINK(AB2 &amp; "/spoon/sn_fa8c1f01f3c09bc7763cd81c1b401a16/rendering/14.obj", "6.48791748047")</f>
        <v>6.48791748047</v>
      </c>
      <c r="R2689" s="74" t="str">
        <f>HYPERLINK(AB2 &amp; "/spoon/sn_fa8c1f01f3c09bc7763cd81c1b401a16/rendering/15.obj", "6.40463867188")</f>
        <v>6.40463867188</v>
      </c>
      <c r="S2689" s="23" t="str">
        <f>HYPERLINK(AB2 &amp; "/spoon/sn_fa8c1f01f3c09bc7763cd81c1b401a16/rendering/16.obj", "6.75419799805")</f>
        <v>6.75419799805</v>
      </c>
      <c r="T2689" s="13" t="str">
        <f>HYPERLINK(AB2 &amp; "/spoon/sn_fa8c1f01f3c09bc7763cd81c1b401a16/rendering/17.obj", "6.49014099121")</f>
        <v>6.49014099121</v>
      </c>
      <c r="U2689" s="33" t="str">
        <f>HYPERLINK(AB2 &amp; "/spoon/sn_fa8c1f01f3c09bc7763cd81c1b401a16/rendering/18.obj", "7.21016479492")</f>
        <v>7.21016479492</v>
      </c>
      <c r="V2689" s="107" t="str">
        <f>HYPERLINK(AB2 &amp; "/spoon/sn_fa8c1f01f3c09bc7763cd81c1b401a16/rendering/19.obj", "7.04683654785")</f>
        <v>7.04683654785</v>
      </c>
      <c r="W2689" s="12" t="s">
        <v>31</v>
      </c>
      <c r="X2689" s="13">
        <v>6.5023019409179694</v>
      </c>
      <c r="Y2689" s="13">
        <v>0.40189843254429253</v>
      </c>
      <c r="Z2689" s="78">
        <v>6.1808638878365289E-2</v>
      </c>
    </row>
    <row r="2690" spans="1:26" x14ac:dyDescent="0.2">
      <c r="A2690" s="1">
        <v>2688</v>
      </c>
      <c r="B2690" s="2" t="s">
        <v>570</v>
      </c>
      <c r="C2690" s="35" t="str">
        <f>HYPERLINK(AB2 &amp; "/spoon/sn_fa8c1f01f3c09bc7763cd81c1b401a16/rendering/00.obj", "1.72542345524")</f>
        <v>1.72542345524</v>
      </c>
      <c r="D2690" s="26" t="str">
        <f>HYPERLINK(AB2 &amp; "/spoon/sn_fa8c1f01f3c09bc7763cd81c1b401a16/rendering/01.obj", "1.71337711811")</f>
        <v>1.71337711811</v>
      </c>
      <c r="E2690" s="65" t="str">
        <f>HYPERLINK(AB2 &amp; "/spoon/sn_fa8c1f01f3c09bc7763cd81c1b401a16/rendering/02.obj", "1.58897960186")</f>
        <v>1.58897960186</v>
      </c>
      <c r="F2690" s="170" t="str">
        <f>HYPERLINK(AB2 &amp; "/spoon/sn_fa8c1f01f3c09bc7763cd81c1b401a16/rendering/03.obj", "1.36722803116")</f>
        <v>1.36722803116</v>
      </c>
      <c r="G2690" s="143" t="str">
        <f>HYPERLINK(AB2 &amp; "/spoon/sn_fa8c1f01f3c09bc7763cd81c1b401a16/rendering/04.obj", "2.69767832756")</f>
        <v>2.69767832756</v>
      </c>
      <c r="H2690" s="72" t="str">
        <f>HYPERLINK(AB2 &amp; "/spoon/sn_fa8c1f01f3c09bc7763cd81c1b401a16/rendering/05.obj", "1.77197158337")</f>
        <v>1.77197158337</v>
      </c>
      <c r="I2690" s="72" t="str">
        <f>HYPERLINK(AB2 &amp; "/spoon/sn_fa8c1f01f3c09bc7763cd81c1b401a16/rendering/06.obj", "1.89206147194")</f>
        <v>1.89206147194</v>
      </c>
      <c r="J2690" s="171" t="str">
        <f>HYPERLINK(AB2 &amp; "/spoon/sn_fa8c1f01f3c09bc7763cd81c1b401a16/rendering/07.obj", "2.39399957657")</f>
        <v>2.39399957657</v>
      </c>
      <c r="K2690" s="84" t="str">
        <f>HYPERLINK(AB2 &amp; "/spoon/sn_fa8c1f01f3c09bc7763cd81c1b401a16/rendering/08.obj", "2.10025167465")</f>
        <v>2.10025167465</v>
      </c>
      <c r="L2690" s="38" t="str">
        <f>HYPERLINK(AB2 &amp; "/spoon/sn_fa8c1f01f3c09bc7763cd81c1b401a16/rendering/09.obj", "1.66869807243")</f>
        <v>1.66869807243</v>
      </c>
      <c r="M2690" s="31" t="str">
        <f>HYPERLINK(AB2 &amp; "/spoon/sn_fa8c1f01f3c09bc7763cd81c1b401a16/rendering/10.obj", "1.54526329041")</f>
        <v>1.54526329041</v>
      </c>
      <c r="N2690" s="5" t="str">
        <f>HYPERLINK(AB2 &amp; "/spoon/sn_fa8c1f01f3c09bc7763cd81c1b401a16/rendering/11.obj", "1.68883275986")</f>
        <v>1.68883275986</v>
      </c>
      <c r="O2690" s="133" t="str">
        <f>HYPERLINK(AB2 &amp; "/spoon/sn_fa8c1f01f3c09bc7763cd81c1b401a16/rendering/12.obj", "2.02036046982")</f>
        <v>2.02036046982</v>
      </c>
      <c r="P2690" s="67" t="str">
        <f>HYPERLINK(AB2 &amp; "/spoon/sn_fa8c1f01f3c09bc7763cd81c1b401a16/rendering/13.obj", "1.65983426571")</f>
        <v>1.65983426571</v>
      </c>
      <c r="Q2690" s="37" t="str">
        <f>HYPERLINK(AB2 &amp; "/spoon/sn_fa8c1f01f3c09bc7763cd81c1b401a16/rendering/14.obj", "1.51282334328")</f>
        <v>1.51282334328</v>
      </c>
      <c r="R2690" s="246" t="str">
        <f>HYPERLINK(AB2 &amp; "/spoon/sn_fa8c1f01f3c09bc7763cd81c1b401a16/rendering/15.obj", "2.95188450813")</f>
        <v>2.95188450813</v>
      </c>
      <c r="S2690" s="83" t="str">
        <f>HYPERLINK(AB2 &amp; "/spoon/sn_fa8c1f01f3c09bc7763cd81c1b401a16/rendering/16.obj", "1.55584526062")</f>
        <v>1.55584526062</v>
      </c>
      <c r="T2690" s="69" t="str">
        <f>HYPERLINK(AB2 &amp; "/spoon/sn_fa8c1f01f3c09bc7763cd81c1b401a16/rendering/17.obj", "1.77536857128")</f>
        <v>1.77536857128</v>
      </c>
      <c r="U2690" s="79" t="str">
        <f>HYPERLINK(AB2 &amp; "/spoon/sn_fa8c1f01f3c09bc7763cd81c1b401a16/rendering/18.obj", "1.5431779623")</f>
        <v>1.5431779623</v>
      </c>
      <c r="V2690" s="88" t="str">
        <f>HYPERLINK(AB2 &amp; "/spoon/sn_fa8c1f01f3c09bc7763cd81c1b401a16/rendering/19.obj", "1.46314334869")</f>
        <v>1.46314334869</v>
      </c>
      <c r="W2690" s="12" t="s">
        <v>32</v>
      </c>
      <c r="X2690" s="13">
        <v>1.831810134649277</v>
      </c>
      <c r="Y2690" s="13">
        <v>0.4058554791858171</v>
      </c>
      <c r="Z2690" s="75">
        <v>0.22155979569548739</v>
      </c>
    </row>
    <row r="2691" spans="1:26" x14ac:dyDescent="0.2">
      <c r="A2691" s="1">
        <v>2689</v>
      </c>
      <c r="B2691" s="2" t="s">
        <v>570</v>
      </c>
      <c r="C2691" s="13" t="str">
        <f>HYPERLINK(AC2 &amp; "/spoon/sn_fa8c1f01f3c09bc7763cd81c1b401a16/rendering/00.xyz", "0.0")</f>
        <v>0.0</v>
      </c>
      <c r="D2691" s="13" t="str">
        <f>HYPERLINK(AC2 &amp; "/spoon/sn_fa8c1f01f3c09bc7763cd81c1b401a16/rendering/01.xyz", "0.0")</f>
        <v>0.0</v>
      </c>
      <c r="E2691" s="13" t="str">
        <f>HYPERLINK(AC2 &amp; "/spoon/sn_fa8c1f01f3c09bc7763cd81c1b401a16/rendering/02.xyz", "0.0")</f>
        <v>0.0</v>
      </c>
      <c r="F2691" s="13" t="str">
        <f>HYPERLINK(AC2 &amp; "/spoon/sn_fa8c1f01f3c09bc7763cd81c1b401a16/rendering/03.xyz", "0.0")</f>
        <v>0.0</v>
      </c>
      <c r="G2691" s="13" t="str">
        <f>HYPERLINK(AC2 &amp; "/spoon/sn_fa8c1f01f3c09bc7763cd81c1b401a16/rendering/04.xyz", "0.0")</f>
        <v>0.0</v>
      </c>
      <c r="H2691" s="13" t="str">
        <f>HYPERLINK(AC2 &amp; "/spoon/sn_fa8c1f01f3c09bc7763cd81c1b401a16/rendering/05.xyz", "0.0")</f>
        <v>0.0</v>
      </c>
      <c r="I2691" s="13" t="str">
        <f>HYPERLINK(AC2 &amp; "/spoon/sn_fa8c1f01f3c09bc7763cd81c1b401a16/rendering/06.xyz", "0.0")</f>
        <v>0.0</v>
      </c>
      <c r="J2691" s="13" t="str">
        <f>HYPERLINK(AC2 &amp; "/spoon/sn_fa8c1f01f3c09bc7763cd81c1b401a16/rendering/07.xyz", "0.0")</f>
        <v>0.0</v>
      </c>
      <c r="K2691" s="13" t="str">
        <f>HYPERLINK(AC2 &amp; "/spoon/sn_fa8c1f01f3c09bc7763cd81c1b401a16/rendering/08.xyz", "0.0")</f>
        <v>0.0</v>
      </c>
      <c r="L2691" s="13" t="str">
        <f>HYPERLINK(AC2 &amp; "/spoon/sn_fa8c1f01f3c09bc7763cd81c1b401a16/rendering/09.xyz", "0.0")</f>
        <v>0.0</v>
      </c>
      <c r="M2691" s="13" t="str">
        <f>HYPERLINK(AC2 &amp; "/spoon/sn_fa8c1f01f3c09bc7763cd81c1b401a16/rendering/10.xyz", "0.0")</f>
        <v>0.0</v>
      </c>
      <c r="N2691" s="13" t="str">
        <f>HYPERLINK(AC2 &amp; "/spoon/sn_fa8c1f01f3c09bc7763cd81c1b401a16/rendering/11.xyz", "0.0")</f>
        <v>0.0</v>
      </c>
      <c r="O2691" s="13" t="str">
        <f>HYPERLINK(AC2 &amp; "/spoon/sn_fa8c1f01f3c09bc7763cd81c1b401a16/rendering/12.xyz", "0.0")</f>
        <v>0.0</v>
      </c>
      <c r="P2691" s="13" t="str">
        <f>HYPERLINK(AC2 &amp; "/spoon/sn_fa8c1f01f3c09bc7763cd81c1b401a16/rendering/13.xyz", "0.0")</f>
        <v>0.0</v>
      </c>
      <c r="Q2691" s="13" t="str">
        <f>HYPERLINK(AC2 &amp; "/spoon/sn_fa8c1f01f3c09bc7763cd81c1b401a16/rendering/14.xyz", "0.0")</f>
        <v>0.0</v>
      </c>
      <c r="R2691" s="13" t="str">
        <f>HYPERLINK(AC2 &amp; "/spoon/sn_fa8c1f01f3c09bc7763cd81c1b401a16/rendering/15.xyz", "0.0")</f>
        <v>0.0</v>
      </c>
      <c r="S2691" s="13" t="str">
        <f>HYPERLINK(AC2 &amp; "/spoon/sn_fa8c1f01f3c09bc7763cd81c1b401a16/rendering/16.xyz", "0.0")</f>
        <v>0.0</v>
      </c>
      <c r="T2691" s="13" t="str">
        <f>HYPERLINK(AC2 &amp; "/spoon/sn_fa8c1f01f3c09bc7763cd81c1b401a16/rendering/17.xyz", "0.0")</f>
        <v>0.0</v>
      </c>
      <c r="U2691" s="13" t="str">
        <f>HYPERLINK(AC2 &amp; "/spoon/sn_fa8c1f01f3c09bc7763cd81c1b401a16/rendering/18.xyz", "0.0")</f>
        <v>0.0</v>
      </c>
      <c r="V2691" s="13" t="str">
        <f>HYPERLINK(AC2 &amp; "/spoon/sn_fa8c1f01f3c09bc7763cd81c1b401a16/rendering/19.xyz", "0.0")</f>
        <v>0.0</v>
      </c>
      <c r="W2691" s="12" t="s">
        <v>33</v>
      </c>
      <c r="X2691" s="13">
        <v>0</v>
      </c>
      <c r="Y2691" s="13">
        <v>0</v>
      </c>
      <c r="Z2691" s="13">
        <v>0</v>
      </c>
    </row>
    <row r="2692" spans="1:26" x14ac:dyDescent="0.2">
      <c r="A2692" s="1">
        <v>2690</v>
      </c>
      <c r="B2692" s="2" t="s">
        <v>571</v>
      </c>
      <c r="C2692" s="3" t="str">
        <f>HYPERLINK(AA2 &amp; "/usb_stick/3dw_d0f0aec8-876c-4913-ba63-ee0874ba6b6f/rendering/00.obj", "nan")</f>
        <v>nan</v>
      </c>
      <c r="D2692" s="3" t="str">
        <f>HYPERLINK(AA2 &amp; "/usb_stick/3dw_d0f0aec8-876c-4913-ba63-ee0874ba6b6f/rendering/01.obj", "nan")</f>
        <v>nan</v>
      </c>
      <c r="E2692" s="3" t="str">
        <f>HYPERLINK(AA2 &amp; "/usb_stick/3dw_d0f0aec8-876c-4913-ba63-ee0874ba6b6f/rendering/02.obj", "nan")</f>
        <v>nan</v>
      </c>
      <c r="F2692" s="3" t="str">
        <f>HYPERLINK(AA2 &amp; "/usb_stick/3dw_d0f0aec8-876c-4913-ba63-ee0874ba6b6f/rendering/03.obj", "nan")</f>
        <v>nan</v>
      </c>
      <c r="G2692" s="99" t="str">
        <f>HYPERLINK(AA2 &amp; "/usb_stick/3dw_d0f0aec8-876c-4913-ba63-ee0874ba6b6f/rendering/04.obj", "0.613089523315")</f>
        <v>0.613089523315</v>
      </c>
      <c r="H2692" s="36" t="str">
        <f>HYPERLINK(AA2 &amp; "/usb_stick/3dw_d0f0aec8-876c-4913-ba63-ee0874ba6b6f/rendering/05.obj", "1.02212753296")</f>
        <v>1.02212753296</v>
      </c>
      <c r="I2692" s="193" t="str">
        <f>HYPERLINK(AA2 &amp; "/usb_stick/3dw_d0f0aec8-876c-4913-ba63-ee0874ba6b6f/rendering/06.obj", "0.561801376343")</f>
        <v>0.561801376343</v>
      </c>
      <c r="J2692" s="30" t="str">
        <f>HYPERLINK(AA2 &amp; "/usb_stick/3dw_d0f0aec8-876c-4913-ba63-ee0874ba6b6f/rendering/07.obj", "0.836416931152")</f>
        <v>0.836416931152</v>
      </c>
      <c r="K2692" s="89" t="str">
        <f>HYPERLINK(AA2 &amp; "/usb_stick/3dw_d0f0aec8-876c-4913-ba63-ee0874ba6b6f/rendering/08.obj", "0.622194366455")</f>
        <v>0.622194366455</v>
      </c>
      <c r="L2692" s="25" t="str">
        <f>HYPERLINK(AA2 &amp; "/usb_stick/3dw_d0f0aec8-876c-4913-ba63-ee0874ba6b6f/rendering/09.obj", "0.850754394531")</f>
        <v>0.850754394531</v>
      </c>
      <c r="M2692" s="129" t="str">
        <f>HYPERLINK(AA2 &amp; "/usb_stick/3dw_d0f0aec8-876c-4913-ba63-ee0874ba6b6f/rendering/10.obj", "0.631543807983")</f>
        <v>0.631543807983</v>
      </c>
      <c r="N2692" s="82" t="str">
        <f>HYPERLINK(AA2 &amp; "/usb_stick/3dw_d0f0aec8-876c-4913-ba63-ee0874ba6b6f/rendering/11.obj", "1.01186706543")</f>
        <v>1.01186706543</v>
      </c>
      <c r="O2692" s="88" t="str">
        <f>HYPERLINK(AA2 &amp; "/usb_stick/3dw_d0f0aec8-876c-4913-ba63-ee0874ba6b6f/rendering/12.obj", "0.669482879639")</f>
        <v>0.669482879639</v>
      </c>
      <c r="P2692" s="54" t="str">
        <f>HYPERLINK(AA2 &amp; "/usb_stick/3dw_d0f0aec8-876c-4913-ba63-ee0874ba6b6f/rendering/13.obj", "0.56441532135")</f>
        <v>0.56441532135</v>
      </c>
      <c r="Q2692" s="37" t="str">
        <f>HYPERLINK(AA2 &amp; "/usb_stick/3dw_d0f0aec8-876c-4913-ba63-ee0874ba6b6f/rendering/14.obj", "0.986292114258")</f>
        <v>0.986292114258</v>
      </c>
      <c r="R2692" s="11" t="str">
        <f>HYPERLINK(AA2 &amp; "/usb_stick/3dw_d0f0aec8-876c-4913-ba63-ee0874ba6b6f/rendering/15.obj", "0.651232757568")</f>
        <v>0.651232757568</v>
      </c>
      <c r="S2692" s="124" t="str">
        <f>HYPERLINK(AA2 &amp; "/usb_stick/3dw_d0f0aec8-876c-4913-ba63-ee0874ba6b6f/rendering/16.obj", "1.16032676697")</f>
        <v>1.16032676697</v>
      </c>
      <c r="T2692" s="20" t="str">
        <f>HYPERLINK(AA2 &amp; "/usb_stick/3dw_d0f0aec8-876c-4913-ba63-ee0874ba6b6f/rendering/17.obj", "1.61986724854")</f>
        <v>1.61986724854</v>
      </c>
      <c r="U2692" s="29" t="str">
        <f>HYPERLINK(AA2 &amp; "/usb_stick/3dw_d0f0aec8-876c-4913-ba63-ee0874ba6b6f/rendering/18.obj", "0.729942474365")</f>
        <v>0.729942474365</v>
      </c>
      <c r="V2692" s="39" t="str">
        <f>HYPERLINK(AA2 &amp; "/usb_stick/3dw_d0f0aec8-876c-4913-ba63-ee0874ba6b6f/rendering/19.obj", "0.913601074219")</f>
        <v>0.913601074219</v>
      </c>
      <c r="W2692" s="12" t="s">
        <v>29</v>
      </c>
      <c r="X2692" s="13">
        <v>0.84030972719192509</v>
      </c>
      <c r="Y2692" s="13">
        <v>0.27076295000877199</v>
      </c>
      <c r="Z2692" s="168">
        <v>0.32221803609674299</v>
      </c>
    </row>
    <row r="2693" spans="1:26" x14ac:dyDescent="0.2">
      <c r="A2693" s="1">
        <v>2691</v>
      </c>
      <c r="B2693" s="2" t="s">
        <v>571</v>
      </c>
      <c r="C2693" s="3" t="str">
        <f>HYPERLINK(AA2 &amp; "/usb_stick/3dw_d0f0aec8-876c-4913-ba63-ee0874ba6b6f/rendering/00.obj", "nan")</f>
        <v>nan</v>
      </c>
      <c r="D2693" s="3" t="str">
        <f>HYPERLINK(AA2 &amp; "/usb_stick/3dw_d0f0aec8-876c-4913-ba63-ee0874ba6b6f/rendering/01.obj", "nan")</f>
        <v>nan</v>
      </c>
      <c r="E2693" s="3" t="str">
        <f>HYPERLINK(AA2 &amp; "/usb_stick/3dw_d0f0aec8-876c-4913-ba63-ee0874ba6b6f/rendering/02.obj", "nan")</f>
        <v>nan</v>
      </c>
      <c r="F2693" s="3" t="str">
        <f>HYPERLINK(AA2 &amp; "/usb_stick/3dw_d0f0aec8-876c-4913-ba63-ee0874ba6b6f/rendering/03.obj", "nan")</f>
        <v>nan</v>
      </c>
      <c r="G2693" s="85" t="str">
        <f>HYPERLINK(AA2 &amp; "/usb_stick/3dw_d0f0aec8-876c-4913-ba63-ee0874ba6b6f/rendering/04.obj", "1.59823393822")</f>
        <v>1.59823393822</v>
      </c>
      <c r="H2693" s="51" t="str">
        <f>HYPERLINK(AA2 &amp; "/usb_stick/3dw_d0f0aec8-876c-4913-ba63-ee0874ba6b6f/rendering/05.obj", "2.45188856125")</f>
        <v>2.45188856125</v>
      </c>
      <c r="I2693" s="137" t="str">
        <f>HYPERLINK(AA2 &amp; "/usb_stick/3dw_d0f0aec8-876c-4913-ba63-ee0874ba6b6f/rendering/06.obj", "1.44321751595")</f>
        <v>1.44321751595</v>
      </c>
      <c r="J2693" s="40" t="str">
        <f>HYPERLINK(AA2 &amp; "/usb_stick/3dw_d0f0aec8-876c-4913-ba63-ee0874ba6b6f/rendering/07.obj", "1.88109457493")</f>
        <v>1.88109457493</v>
      </c>
      <c r="K2693" s="170" t="str">
        <f>HYPERLINK(AA2 &amp; "/usb_stick/3dw_d0f0aec8-876c-4913-ba63-ee0874ba6b6f/rendering/08.obj", "1.69670212269")</f>
        <v>1.69670212269</v>
      </c>
      <c r="L2693" s="42" t="str">
        <f>HYPERLINK(AA2 &amp; "/usb_stick/3dw_d0f0aec8-876c-4913-ba63-ee0874ba6b6f/rendering/09.obj", "1.95950317383")</f>
        <v>1.95950317383</v>
      </c>
      <c r="M2693" s="4" t="str">
        <f>HYPERLINK(AA2 &amp; "/usb_stick/3dw_d0f0aec8-876c-4913-ba63-ee0874ba6b6f/rendering/10.obj", "1.62719166279")</f>
        <v>1.62719166279</v>
      </c>
      <c r="N2693" s="30" t="str">
        <f>HYPERLINK(AA2 &amp; "/usb_stick/3dw_d0f0aec8-876c-4913-ba63-ee0874ba6b6f/rendering/11.obj", "2.27802872658")</f>
        <v>2.27802872658</v>
      </c>
      <c r="O2693" s="85" t="str">
        <f>HYPERLINK(AA2 &amp; "/usb_stick/3dw_d0f0aec8-876c-4913-ba63-ee0874ba6b6f/rendering/12.obj", "1.59609615803")</f>
        <v>1.59609615803</v>
      </c>
      <c r="P2693" s="163" t="str">
        <f>HYPERLINK(AA2 &amp; "/usb_stick/3dw_d0f0aec8-876c-4913-ba63-ee0874ba6b6f/rendering/13.obj", "1.26969861984")</f>
        <v>1.26969861984</v>
      </c>
      <c r="Q2693" s="46" t="str">
        <f>HYPERLINK(AA2 &amp; "/usb_stick/3dw_d0f0aec8-876c-4913-ba63-ee0874ba6b6f/rendering/14.obj", "2.22957754135")</f>
        <v>2.22957754135</v>
      </c>
      <c r="R2693" s="140" t="str">
        <f>HYPERLINK(AA2 &amp; "/usb_stick/3dw_d0f0aec8-876c-4913-ba63-ee0874ba6b6f/rendering/15.obj", "1.48463928699")</f>
        <v>1.48463928699</v>
      </c>
      <c r="S2693" s="164" t="str">
        <f>HYPERLINK(AA2 &amp; "/usb_stick/3dw_d0f0aec8-876c-4913-ba63-ee0874ba6b6f/rendering/16.obj", "3.71151804924")</f>
        <v>3.71151804924</v>
      </c>
      <c r="T2693" s="20" t="str">
        <f>HYPERLINK(AA2 &amp; "/usb_stick/3dw_d0f0aec8-876c-4913-ba63-ee0874ba6b6f/rendering/17.obj", "6.89897203445")</f>
        <v>6.89897203445</v>
      </c>
      <c r="U2693" s="65" t="str">
        <f>HYPERLINK(AA2 &amp; "/usb_stick/3dw_d0f0aec8-876c-4913-ba63-ee0874ba6b6f/rendering/18.obj", "1.96921575069")</f>
        <v>1.96921575069</v>
      </c>
      <c r="V2693" s="48" t="str">
        <f>HYPERLINK(AA2 &amp; "/usb_stick/3dw_d0f0aec8-876c-4913-ba63-ee0874ba6b6f/rendering/19.obj", "2.21761345863")</f>
        <v>2.21761345863</v>
      </c>
      <c r="W2693" s="12" t="s">
        <v>30</v>
      </c>
      <c r="X2693" s="13">
        <v>2.269574448466301</v>
      </c>
      <c r="Y2693" s="13">
        <v>1.318836115980907</v>
      </c>
      <c r="Z2693" s="201">
        <v>0.58109400943958045</v>
      </c>
    </row>
    <row r="2694" spans="1:26" x14ac:dyDescent="0.2">
      <c r="A2694" s="1">
        <v>2692</v>
      </c>
      <c r="B2694" s="2" t="s">
        <v>571</v>
      </c>
      <c r="C2694" s="3" t="str">
        <f>HYPERLINK(AB2 &amp; "/usb_stick/3dw_d0f0aec8-876c-4913-ba63-ee0874ba6b6f/rendering/00.obj", "nan")</f>
        <v>nan</v>
      </c>
      <c r="D2694" s="3" t="str">
        <f>HYPERLINK(AB2 &amp; "/usb_stick/3dw_d0f0aec8-876c-4913-ba63-ee0874ba6b6f/rendering/01.obj", "nan")</f>
        <v>nan</v>
      </c>
      <c r="E2694" s="3" t="str">
        <f>HYPERLINK(AB2 &amp; "/usb_stick/3dw_d0f0aec8-876c-4913-ba63-ee0874ba6b6f/rendering/02.obj", "nan")</f>
        <v>nan</v>
      </c>
      <c r="F2694" s="3" t="str">
        <f>HYPERLINK(AB2 &amp; "/usb_stick/3dw_d0f0aec8-876c-4913-ba63-ee0874ba6b6f/rendering/03.obj", "nan")</f>
        <v>nan</v>
      </c>
      <c r="G2694" s="35" t="str">
        <f>HYPERLINK(AB2 &amp; "/usb_stick/3dw_d0f0aec8-876c-4913-ba63-ee0874ba6b6f/rendering/04.obj", "0.5763438797")</f>
        <v>0.5763438797</v>
      </c>
      <c r="H2694" s="27" t="str">
        <f>HYPERLINK(AB2 &amp; "/usb_stick/3dw_d0f0aec8-876c-4913-ba63-ee0874ba6b6f/rendering/05.obj", "0.50713142395")</f>
        <v>0.50713142395</v>
      </c>
      <c r="I2694" s="60" t="str">
        <f>HYPERLINK(AB2 &amp; "/usb_stick/3dw_d0f0aec8-876c-4913-ba63-ee0874ba6b6f/rendering/06.obj", "0.51753578186")</f>
        <v>0.51753578186</v>
      </c>
      <c r="J2694" s="107" t="str">
        <f>HYPERLINK(AB2 &amp; "/usb_stick/3dw_d0f0aec8-876c-4913-ba63-ee0874ba6b6f/rendering/07.obj", "0.50057182312")</f>
        <v>0.50057182312</v>
      </c>
      <c r="K2694" s="17" t="str">
        <f>HYPERLINK(AB2 &amp; "/usb_stick/3dw_d0f0aec8-876c-4913-ba63-ee0874ba6b6f/rendering/08.obj", "0.557030982971")</f>
        <v>0.557030982971</v>
      </c>
      <c r="L2694" s="38" t="str">
        <f>HYPERLINK(AB2 &amp; "/usb_stick/3dw_d0f0aec8-876c-4913-ba63-ee0874ba6b6f/rendering/09.obj", "0.496651687622")</f>
        <v>0.496651687622</v>
      </c>
      <c r="M2694" s="23" t="str">
        <f>HYPERLINK(AB2 &amp; "/usb_stick/3dw_d0f0aec8-876c-4913-ba63-ee0874ba6b6f/rendering/10.obj", "0.52405380249")</f>
        <v>0.52405380249</v>
      </c>
      <c r="N2694" s="94" t="str">
        <f>HYPERLINK(AB2 &amp; "/usb_stick/3dw_d0f0aec8-876c-4913-ba63-ee0874ba6b6f/rendering/11.obj", "0.505847091675")</f>
        <v>0.505847091675</v>
      </c>
      <c r="O2694" s="73" t="str">
        <f>HYPERLINK(AB2 &amp; "/usb_stick/3dw_d0f0aec8-876c-4913-ba63-ee0874ba6b6f/rendering/12.obj", "0.564331207275")</f>
        <v>0.564331207275</v>
      </c>
      <c r="P2694" s="31" t="str">
        <f>HYPERLINK(AB2 &amp; "/usb_stick/3dw_d0f0aec8-876c-4913-ba63-ee0874ba6b6f/rendering/13.obj", "0.630773010254")</f>
        <v>0.630773010254</v>
      </c>
      <c r="Q2694" s="92" t="str">
        <f>HYPERLINK(AB2 &amp; "/usb_stick/3dw_d0f0aec8-876c-4913-ba63-ee0874ba6b6f/rendering/14.obj", "0.477236976624")</f>
        <v>0.477236976624</v>
      </c>
      <c r="R2694" s="106" t="str">
        <f>HYPERLINK(AB2 &amp; "/usb_stick/3dw_d0f0aec8-876c-4913-ba63-ee0874ba6b6f/rendering/15.obj", "0.482195205688")</f>
        <v>0.482195205688</v>
      </c>
      <c r="S2694" s="37" t="str">
        <f>HYPERLINK(AB2 &amp; "/usb_stick/3dw_d0f0aec8-876c-4913-ba63-ee0874ba6b6f/rendering/16.obj", "0.639724807739")</f>
        <v>0.639724807739</v>
      </c>
      <c r="T2694" s="32" t="str">
        <f>HYPERLINK(AB2 &amp; "/usb_stick/3dw_d0f0aec8-876c-4913-ba63-ee0874ba6b6f/rendering/17.obj", "0.603577461243")</f>
        <v>0.603577461243</v>
      </c>
      <c r="U2694" s="69" t="str">
        <f>HYPERLINK(AB2 &amp; "/usb_stick/3dw_d0f0aec8-876c-4913-ba63-ee0874ba6b6f/rendering/18.obj", "0.561020736694")</f>
        <v>0.561020736694</v>
      </c>
      <c r="V2694" s="41" t="str">
        <f>HYPERLINK(AB2 &amp; "/usb_stick/3dw_d0f0aec8-876c-4913-ba63-ee0874ba6b6f/rendering/19.obj", "0.582496566772")</f>
        <v>0.582496566772</v>
      </c>
      <c r="W2694" s="12" t="s">
        <v>31</v>
      </c>
      <c r="X2694" s="13">
        <v>0.54540765285491943</v>
      </c>
      <c r="Y2694" s="13">
        <v>4.9956037856203173E-2</v>
      </c>
      <c r="Z2694" s="67">
        <v>9.1593943712945422E-2</v>
      </c>
    </row>
    <row r="2695" spans="1:26" x14ac:dyDescent="0.2">
      <c r="A2695" s="1">
        <v>2693</v>
      </c>
      <c r="B2695" s="2" t="s">
        <v>571</v>
      </c>
      <c r="C2695" s="3" t="str">
        <f>HYPERLINK(AB2 &amp; "/usb_stick/3dw_d0f0aec8-876c-4913-ba63-ee0874ba6b6f/rendering/00.obj", "nan")</f>
        <v>nan</v>
      </c>
      <c r="D2695" s="3" t="str">
        <f>HYPERLINK(AB2 &amp; "/usb_stick/3dw_d0f0aec8-876c-4913-ba63-ee0874ba6b6f/rendering/01.obj", "nan")</f>
        <v>nan</v>
      </c>
      <c r="E2695" s="3" t="str">
        <f>HYPERLINK(AB2 &amp; "/usb_stick/3dw_d0f0aec8-876c-4913-ba63-ee0874ba6b6f/rendering/02.obj", "nan")</f>
        <v>nan</v>
      </c>
      <c r="F2695" s="3" t="str">
        <f>HYPERLINK(AB2 &amp; "/usb_stick/3dw_d0f0aec8-876c-4913-ba63-ee0874ba6b6f/rendering/03.obj", "nan")</f>
        <v>nan</v>
      </c>
      <c r="G2695" s="91" t="str">
        <f>HYPERLINK(AB2 &amp; "/usb_stick/3dw_d0f0aec8-876c-4913-ba63-ee0874ba6b6f/rendering/04.obj", "1.27306199074")</f>
        <v>1.27306199074</v>
      </c>
      <c r="H2695" s="27" t="str">
        <f>HYPERLINK(AB2 &amp; "/usb_stick/3dw_d0f0aec8-876c-4913-ba63-ee0874ba6b6f/rendering/05.obj", "1.21571266651")</f>
        <v>1.21571266651</v>
      </c>
      <c r="I2695" s="13" t="str">
        <f>HYPERLINK(AB2 &amp; "/usb_stick/3dw_d0f0aec8-876c-4913-ba63-ee0874ba6b6f/rendering/06.obj", "1.30330812931")</f>
        <v>1.30330812931</v>
      </c>
      <c r="J2695" s="41" t="str">
        <f>HYPERLINK(AB2 &amp; "/usb_stick/3dw_d0f0aec8-876c-4913-ba63-ee0874ba6b6f/rendering/07.obj", "1.21751058102")</f>
        <v>1.21751058102</v>
      </c>
      <c r="K2695" s="41" t="str">
        <f>HYPERLINK(AB2 &amp; "/usb_stick/3dw_d0f0aec8-876c-4913-ba63-ee0874ba6b6f/rendering/08.obj", "1.21732652187")</f>
        <v>1.21732652187</v>
      </c>
      <c r="L2695" s="33" t="str">
        <f>HYPERLINK(AB2 &amp; "/usb_stick/3dw_d0f0aec8-876c-4913-ba63-ee0874ba6b6f/rendering/09.obj", "1.16614055634")</f>
        <v>1.16614055634</v>
      </c>
      <c r="M2695" s="72" t="str">
        <f>HYPERLINK(AB2 &amp; "/usb_stick/3dw_d0f0aec8-876c-4913-ba63-ee0874ba6b6f/rendering/10.obj", "1.26363241673")</f>
        <v>1.26363241673</v>
      </c>
      <c r="N2695" s="6" t="str">
        <f>HYPERLINK(AB2 &amp; "/usb_stick/3dw_d0f0aec8-876c-4913-ba63-ee0874ba6b6f/rendering/11.obj", "1.24619996548")</f>
        <v>1.24619996548</v>
      </c>
      <c r="O2695" s="46" t="str">
        <f>HYPERLINK(AB2 &amp; "/usb_stick/3dw_d0f0aec8-876c-4913-ba63-ee0874ba6b6f/rendering/12.obj", "1.28574252129")</f>
        <v>1.28574252129</v>
      </c>
      <c r="P2695" s="55" t="str">
        <f>HYPERLINK(AB2 &amp; "/usb_stick/3dw_d0f0aec8-876c-4913-ba63-ee0874ba6b6f/rendering/13.obj", "1.55694150925")</f>
        <v>1.55694150925</v>
      </c>
      <c r="Q2695" s="90" t="str">
        <f>HYPERLINK(AB2 &amp; "/usb_stick/3dw_d0f0aec8-876c-4913-ba63-ee0874ba6b6f/rendering/14.obj", "1.17972326279")</f>
        <v>1.17972326279</v>
      </c>
      <c r="R2695" s="10" t="str">
        <f>HYPERLINK(AB2 &amp; "/usb_stick/3dw_d0f0aec8-876c-4913-ba63-ee0874ba6b6f/rendering/15.obj", "1.23367989063")</f>
        <v>1.23367989063</v>
      </c>
      <c r="S2695" s="106" t="str">
        <f>HYPERLINK(AB2 &amp; "/usb_stick/3dw_d0f0aec8-876c-4913-ba63-ee0874ba6b6f/rendering/16.obj", "1.45512747765")</f>
        <v>1.45512747765</v>
      </c>
      <c r="T2695" s="119" t="str">
        <f>HYPERLINK(AB2 &amp; "/usb_stick/3dw_d0f0aec8-876c-4913-ba63-ee0874ba6b6f/rendering/17.obj", "1.65206027031")</f>
        <v>1.65206027031</v>
      </c>
      <c r="U2695" s="48" t="str">
        <f>HYPERLINK(AB2 &amp; "/usb_stick/3dw_d0f0aec8-876c-4913-ba63-ee0874ba6b6f/rendering/18.obj", "1.3380573988")</f>
        <v>1.3380573988</v>
      </c>
      <c r="V2695" s="30" t="str">
        <f>HYPERLINK(AB2 &amp; "/usb_stick/3dw_d0f0aec8-876c-4913-ba63-ee0874ba6b6f/rendering/19.obj", "1.30223798752")</f>
        <v>1.30223798752</v>
      </c>
      <c r="W2695" s="12" t="s">
        <v>32</v>
      </c>
      <c r="X2695" s="13">
        <v>1.3066539466381071</v>
      </c>
      <c r="Y2695" s="13">
        <v>0.13168588715387569</v>
      </c>
      <c r="Z2695" s="133">
        <v>0.1007809967533413</v>
      </c>
    </row>
    <row r="2696" spans="1:26" x14ac:dyDescent="0.2">
      <c r="A2696" s="1">
        <v>2694</v>
      </c>
      <c r="B2696" s="2" t="s">
        <v>571</v>
      </c>
      <c r="C2696" s="13" t="str">
        <f>HYPERLINK(AC2 &amp; "/usb_stick/3dw_d0f0aec8-876c-4913-ba63-ee0874ba6b6f/rendering/00.xyz", "0.0")</f>
        <v>0.0</v>
      </c>
      <c r="D2696" s="13" t="str">
        <f>HYPERLINK(AC2 &amp; "/usb_stick/3dw_d0f0aec8-876c-4913-ba63-ee0874ba6b6f/rendering/01.xyz", "0.0")</f>
        <v>0.0</v>
      </c>
      <c r="E2696" s="13" t="str">
        <f>HYPERLINK(AC2 &amp; "/usb_stick/3dw_d0f0aec8-876c-4913-ba63-ee0874ba6b6f/rendering/02.xyz", "0.0")</f>
        <v>0.0</v>
      </c>
      <c r="F2696" s="13" t="str">
        <f>HYPERLINK(AC2 &amp; "/usb_stick/3dw_d0f0aec8-876c-4913-ba63-ee0874ba6b6f/rendering/03.xyz", "0.0")</f>
        <v>0.0</v>
      </c>
      <c r="G2696" s="13" t="str">
        <f>HYPERLINK(AC2 &amp; "/usb_stick/3dw_d0f0aec8-876c-4913-ba63-ee0874ba6b6f/rendering/04.xyz", "0.0")</f>
        <v>0.0</v>
      </c>
      <c r="H2696" s="13" t="str">
        <f>HYPERLINK(AC2 &amp; "/usb_stick/3dw_d0f0aec8-876c-4913-ba63-ee0874ba6b6f/rendering/05.xyz", "0.0")</f>
        <v>0.0</v>
      </c>
      <c r="I2696" s="13" t="str">
        <f>HYPERLINK(AC2 &amp; "/usb_stick/3dw_d0f0aec8-876c-4913-ba63-ee0874ba6b6f/rendering/06.xyz", "0.0")</f>
        <v>0.0</v>
      </c>
      <c r="J2696" s="13" t="str">
        <f>HYPERLINK(AC2 &amp; "/usb_stick/3dw_d0f0aec8-876c-4913-ba63-ee0874ba6b6f/rendering/07.xyz", "0.0")</f>
        <v>0.0</v>
      </c>
      <c r="K2696" s="13" t="str">
        <f>HYPERLINK(AC2 &amp; "/usb_stick/3dw_d0f0aec8-876c-4913-ba63-ee0874ba6b6f/rendering/08.xyz", "0.0")</f>
        <v>0.0</v>
      </c>
      <c r="L2696" s="13" t="str">
        <f>HYPERLINK(AC2 &amp; "/usb_stick/3dw_d0f0aec8-876c-4913-ba63-ee0874ba6b6f/rendering/09.xyz", "0.0")</f>
        <v>0.0</v>
      </c>
      <c r="M2696" s="13" t="str">
        <f>HYPERLINK(AC2 &amp; "/usb_stick/3dw_d0f0aec8-876c-4913-ba63-ee0874ba6b6f/rendering/10.xyz", "0.0")</f>
        <v>0.0</v>
      </c>
      <c r="N2696" s="13" t="str">
        <f>HYPERLINK(AC2 &amp; "/usb_stick/3dw_d0f0aec8-876c-4913-ba63-ee0874ba6b6f/rendering/11.xyz", "0.0")</f>
        <v>0.0</v>
      </c>
      <c r="O2696" s="13" t="str">
        <f>HYPERLINK(AC2 &amp; "/usb_stick/3dw_d0f0aec8-876c-4913-ba63-ee0874ba6b6f/rendering/12.xyz", "0.0")</f>
        <v>0.0</v>
      </c>
      <c r="P2696" s="13" t="str">
        <f>HYPERLINK(AC2 &amp; "/usb_stick/3dw_d0f0aec8-876c-4913-ba63-ee0874ba6b6f/rendering/13.xyz", "0.0")</f>
        <v>0.0</v>
      </c>
      <c r="Q2696" s="13" t="str">
        <f>HYPERLINK(AC2 &amp; "/usb_stick/3dw_d0f0aec8-876c-4913-ba63-ee0874ba6b6f/rendering/14.xyz", "0.0")</f>
        <v>0.0</v>
      </c>
      <c r="R2696" s="13" t="str">
        <f>HYPERLINK(AC2 &amp; "/usb_stick/3dw_d0f0aec8-876c-4913-ba63-ee0874ba6b6f/rendering/15.xyz", "0.0")</f>
        <v>0.0</v>
      </c>
      <c r="S2696" s="13" t="str">
        <f>HYPERLINK(AC2 &amp; "/usb_stick/3dw_d0f0aec8-876c-4913-ba63-ee0874ba6b6f/rendering/16.xyz", "0.0")</f>
        <v>0.0</v>
      </c>
      <c r="T2696" s="13" t="str">
        <f>HYPERLINK(AC2 &amp; "/usb_stick/3dw_d0f0aec8-876c-4913-ba63-ee0874ba6b6f/rendering/17.xyz", "0.0")</f>
        <v>0.0</v>
      </c>
      <c r="U2696" s="13" t="str">
        <f>HYPERLINK(AC2 &amp; "/usb_stick/3dw_d0f0aec8-876c-4913-ba63-ee0874ba6b6f/rendering/18.xyz", "0.0")</f>
        <v>0.0</v>
      </c>
      <c r="V2696" s="13" t="str">
        <f>HYPERLINK(AC2 &amp; "/usb_stick/3dw_d0f0aec8-876c-4913-ba63-ee0874ba6b6f/rendering/19.xyz", "0.0")</f>
        <v>0.0</v>
      </c>
      <c r="W2696" s="12" t="s">
        <v>33</v>
      </c>
      <c r="X2696" s="13">
        <v>0</v>
      </c>
      <c r="Y2696" s="13">
        <v>0</v>
      </c>
      <c r="Z2696" s="13">
        <v>0</v>
      </c>
    </row>
    <row r="2697" spans="1:26" x14ac:dyDescent="0.2">
      <c r="A2697" s="1">
        <v>2695</v>
      </c>
      <c r="B2697" s="2" t="s">
        <v>572</v>
      </c>
      <c r="C2697" s="93" t="str">
        <f>HYPERLINK(AA2 &amp; "/usb_stick/3dw_d3af4d2a-37a6-4361-bfa6-755f1753160c/rendering/00.obj", "1.93413116455")</f>
        <v>1.93413116455</v>
      </c>
      <c r="D2697" s="175" t="str">
        <f>HYPERLINK(AA2 &amp; "/usb_stick/3dw_d3af4d2a-37a6-4361-bfa6-755f1753160c/rendering/01.obj", "1.72163024902")</f>
        <v>1.72163024902</v>
      </c>
      <c r="E2697" s="72" t="str">
        <f>HYPERLINK(AA2 &amp; "/usb_stick/3dw_d3af4d2a-37a6-4361-bfa6-755f1753160c/rendering/02.obj", "2.32405776978")</f>
        <v>2.32405776978</v>
      </c>
      <c r="F2697" s="74" t="str">
        <f>HYPERLINK(AA2 &amp; "/usb_stick/3dw_d3af4d2a-37a6-4361-bfa6-755f1753160c/rendering/03.obj", "2.21821746826")</f>
        <v>2.21821746826</v>
      </c>
      <c r="G2697" s="66" t="str">
        <f>HYPERLINK(AA2 &amp; "/usb_stick/3dw_d3af4d2a-37a6-4361-bfa6-755f1753160c/rendering/04.obj", "1.88405761719")</f>
        <v>1.88405761719</v>
      </c>
      <c r="H2697" s="74" t="str">
        <f>HYPERLINK(AA2 &amp; "/usb_stick/3dw_d3af4d2a-37a6-4361-bfa6-755f1753160c/rendering/05.obj", "2.28164031982")</f>
        <v>2.28164031982</v>
      </c>
      <c r="I2697" s="108" t="str">
        <f>HYPERLINK(AA2 &amp; "/usb_stick/3dw_d3af4d2a-37a6-4361-bfa6-755f1753160c/rendering/06.obj", "2.80069366455")</f>
        <v>2.80069366455</v>
      </c>
      <c r="J2697" s="117" t="str">
        <f>HYPERLINK(AA2 &amp; "/usb_stick/3dw_d3af4d2a-37a6-4361-bfa6-755f1753160c/rendering/07.obj", "1.84743728638")</f>
        <v>1.84743728638</v>
      </c>
      <c r="K2697" s="93" t="str">
        <f>HYPERLINK(AA2 &amp; "/usb_stick/3dw_d3af4d2a-37a6-4361-bfa6-755f1753160c/rendering/08.obj", "1.93139770508")</f>
        <v>1.93139770508</v>
      </c>
      <c r="L2697" s="47" t="str">
        <f>HYPERLINK(AA2 &amp; "/usb_stick/3dw_d3af4d2a-37a6-4361-bfa6-755f1753160c/rendering/09.obj", "2.26341445923")</f>
        <v>2.26341445923</v>
      </c>
      <c r="M2697" s="78" t="str">
        <f>HYPERLINK(AA2 &amp; "/usb_stick/3dw_d3af4d2a-37a6-4361-bfa6-755f1753160c/rendering/10.obj", "2.10960571289")</f>
        <v>2.10960571289</v>
      </c>
      <c r="N2697" s="117" t="str">
        <f>HYPERLINK(AA2 &amp; "/usb_stick/3dw_d3af4d2a-37a6-4361-bfa6-755f1753160c/rendering/11.obj", "1.85080871582")</f>
        <v>1.85080871582</v>
      </c>
      <c r="O2697" s="20" t="str">
        <f>HYPERLINK(AA2 &amp; "/usb_stick/3dw_d3af4d2a-37a6-4361-bfa6-755f1753160c/rendering/12.obj", "4.1938470459")</f>
        <v>4.1938470459</v>
      </c>
      <c r="P2697" s="47" t="str">
        <f>HYPERLINK(AA2 &amp; "/usb_stick/3dw_d3af4d2a-37a6-4361-bfa6-755f1753160c/rendering/13.obj", "2.26451293945")</f>
        <v>2.26451293945</v>
      </c>
      <c r="Q2697" s="115" t="str">
        <f>HYPERLINK(AA2 &amp; "/usb_stick/3dw_d3af4d2a-37a6-4361-bfa6-755f1753160c/rendering/14.obj", "3.68340698242")</f>
        <v>3.68340698242</v>
      </c>
      <c r="R2697" s="134" t="str">
        <f>HYPERLINK(AA2 &amp; "/usb_stick/3dw_d3af4d2a-37a6-4361-bfa6-755f1753160c/rendering/15.obj", "1.84545883179")</f>
        <v>1.84545883179</v>
      </c>
      <c r="S2697" s="44" t="str">
        <f>HYPERLINK(AA2 &amp; "/usb_stick/3dw_d3af4d2a-37a6-4361-bfa6-755f1753160c/rendering/16.obj", "1.80413467407")</f>
        <v>1.80413467407</v>
      </c>
      <c r="T2697" s="75" t="str">
        <f>HYPERLINK(AA2 &amp; "/usb_stick/3dw_d3af4d2a-37a6-4361-bfa6-755f1753160c/rendering/17.obj", "1.75322463989")</f>
        <v>1.75322463989</v>
      </c>
      <c r="U2697" s="37" t="str">
        <f>HYPERLINK(AA2 &amp; "/usb_stick/3dw_d3af4d2a-37a6-4361-bfa6-755f1753160c/rendering/18.obj", "1.85651916504")</f>
        <v>1.85651916504</v>
      </c>
      <c r="V2697" s="41" t="str">
        <f>HYPERLINK(AA2 &amp; "/usb_stick/3dw_d3af4d2a-37a6-4361-bfa6-755f1753160c/rendering/19.obj", "2.39802337646")</f>
        <v>2.39802337646</v>
      </c>
      <c r="W2697" s="12" t="s">
        <v>29</v>
      </c>
      <c r="X2697" s="13">
        <v>2.2483109893798821</v>
      </c>
      <c r="Y2697" s="13">
        <v>0.62792328232248362</v>
      </c>
      <c r="Z2697" s="95">
        <v>0.27928666687506348</v>
      </c>
    </row>
    <row r="2698" spans="1:26" x14ac:dyDescent="0.2">
      <c r="A2698" s="1">
        <v>2696</v>
      </c>
      <c r="B2698" s="2" t="s">
        <v>572</v>
      </c>
      <c r="C2698" s="8" t="str">
        <f>HYPERLINK(AA2 &amp; "/usb_stick/3dw_d3af4d2a-37a6-4361-bfa6-755f1753160c/rendering/00.obj", "2.13195967674")</f>
        <v>2.13195967674</v>
      </c>
      <c r="D2698" s="29" t="str">
        <f>HYPERLINK(AA2 &amp; "/usb_stick/3dw_d3af4d2a-37a6-4361-bfa6-755f1753160c/rendering/01.obj", "2.16821193695")</f>
        <v>2.16821193695</v>
      </c>
      <c r="E2698" s="26" t="str">
        <f>HYPERLINK(AA2 &amp; "/usb_stick/3dw_d3af4d2a-37a6-4361-bfa6-755f1753160c/rendering/02.obj", "2.64848709106")</f>
        <v>2.64848709106</v>
      </c>
      <c r="F2698" s="44" t="str">
        <f>HYPERLINK(AA2 &amp; "/usb_stick/3dw_d3af4d2a-37a6-4361-bfa6-755f1753160c/rendering/03.obj", "1.99908065796")</f>
        <v>1.99908065796</v>
      </c>
      <c r="G2698" s="27" t="str">
        <f>HYPERLINK(AA2 &amp; "/usb_stick/3dw_d3af4d2a-37a6-4361-bfa6-755f1753160c/rendering/04.obj", "2.31106543541")</f>
        <v>2.31106543541</v>
      </c>
      <c r="H2698" s="48" t="str">
        <f>HYPERLINK(AA2 &amp; "/usb_stick/3dw_d3af4d2a-37a6-4361-bfa6-755f1753160c/rendering/05.obj", "2.43195962906")</f>
        <v>2.43195962906</v>
      </c>
      <c r="I2698" s="191" t="str">
        <f>HYPERLINK(AA2 &amp; "/usb_stick/3dw_d3af4d2a-37a6-4361-bfa6-755f1753160c/rendering/06.obj", "3.61490654945")</f>
        <v>3.61490654945</v>
      </c>
      <c r="J2698" s="169" t="str">
        <f>HYPERLINK(AA2 &amp; "/usb_stick/3dw_d3af4d2a-37a6-4361-bfa6-755f1753160c/rendering/07.obj", "1.71140110493")</f>
        <v>1.71140110493</v>
      </c>
      <c r="K2698" s="60" t="str">
        <f>HYPERLINK(AA2 &amp; "/usb_stick/3dw_d3af4d2a-37a6-4361-bfa6-755f1753160c/rendering/08.obj", "2.35659885406")</f>
        <v>2.35659885406</v>
      </c>
      <c r="L2698" s="78" t="str">
        <f>HYPERLINK(AA2 &amp; "/usb_stick/3dw_d3af4d2a-37a6-4361-bfa6-755f1753160c/rendering/09.obj", "2.64422917366")</f>
        <v>2.64422917366</v>
      </c>
      <c r="M2698" s="78" t="str">
        <f>HYPERLINK(AA2 &amp; "/usb_stick/3dw_d3af4d2a-37a6-4361-bfa6-755f1753160c/rendering/10.obj", "2.3346581459")</f>
        <v>2.3346581459</v>
      </c>
      <c r="N2698" s="100" t="str">
        <f>HYPERLINK(AA2 &amp; "/usb_stick/3dw_d3af4d2a-37a6-4361-bfa6-755f1753160c/rendering/11.obj", "1.74546897411")</f>
        <v>1.74546897411</v>
      </c>
      <c r="O2698" s="145" t="str">
        <f>HYPERLINK(AA2 &amp; "/usb_stick/3dw_d3af4d2a-37a6-4361-bfa6-755f1753160c/rendering/12.obj", "3.70870828629")</f>
        <v>3.70870828629</v>
      </c>
      <c r="P2698" s="10" t="str">
        <f>HYPERLINK(AA2 &amp; "/usb_stick/3dw_d3af4d2a-37a6-4361-bfa6-755f1753160c/rendering/13.obj", "2.62376141548")</f>
        <v>2.62376141548</v>
      </c>
      <c r="Q2698" s="20" t="str">
        <f>HYPERLINK(AA2 &amp; "/usb_stick/3dw_d3af4d2a-37a6-4361-bfa6-755f1753160c/rendering/14.obj", "4.71372556686")</f>
        <v>4.71372556686</v>
      </c>
      <c r="R2698" s="61" t="str">
        <f>HYPERLINK(AA2 &amp; "/usb_stick/3dw_d3af4d2a-37a6-4361-bfa6-755f1753160c/rendering/15.obj", "1.73778927326")</f>
        <v>1.73778927326</v>
      </c>
      <c r="S2698" s="136" t="str">
        <f>HYPERLINK(AA2 &amp; "/usb_stick/3dw_d3af4d2a-37a6-4361-bfa6-755f1753160c/rendering/16.obj", "1.89808857441")</f>
        <v>1.89808857441</v>
      </c>
      <c r="T2698" s="70" t="str">
        <f>HYPERLINK(AA2 &amp; "/usb_stick/3dw_d3af4d2a-37a6-4361-bfa6-755f1753160c/rendering/17.obj", "2.17481160164")</f>
        <v>2.17481160164</v>
      </c>
      <c r="U2698" s="37" t="str">
        <f>HYPERLINK(AA2 &amp; "/usb_stick/3dw_d3af4d2a-37a6-4361-bfa6-755f1753160c/rendering/18.obj", "2.05300378799")</f>
        <v>2.05300378799</v>
      </c>
      <c r="V2698" s="28" t="str">
        <f>HYPERLINK(AA2 &amp; "/usb_stick/3dw_d3af4d2a-37a6-4361-bfa6-755f1753160c/rendering/19.obj", "2.76598453522")</f>
        <v>2.76598453522</v>
      </c>
      <c r="W2698" s="12" t="s">
        <v>30</v>
      </c>
      <c r="X2698" s="13">
        <v>2.4886950135231021</v>
      </c>
      <c r="Y2698" s="13">
        <v>0.73333614438610228</v>
      </c>
      <c r="Z2698" s="118">
        <v>0.2946669400634836</v>
      </c>
    </row>
    <row r="2699" spans="1:26" x14ac:dyDescent="0.2">
      <c r="A2699" s="1">
        <v>2697</v>
      </c>
      <c r="B2699" s="2" t="s">
        <v>572</v>
      </c>
      <c r="C2699" s="69" t="str">
        <f>HYPERLINK(AB2 &amp; "/usb_stick/3dw_d3af4d2a-37a6-4361-bfa6-755f1753160c/rendering/00.obj", "1.64621002197")</f>
        <v>1.64621002197</v>
      </c>
      <c r="D2699" s="110" t="str">
        <f>HYPERLINK(AB2 &amp; "/usb_stick/3dw_d3af4d2a-37a6-4361-bfa6-755f1753160c/rendering/01.obj", "1.53111572266")</f>
        <v>1.53111572266</v>
      </c>
      <c r="E2699" s="69" t="str">
        <f>HYPERLINK(AB2 &amp; "/usb_stick/3dw_d3af4d2a-37a6-4361-bfa6-755f1753160c/rendering/02.obj", "1.64887329102")</f>
        <v>1.64887329102</v>
      </c>
      <c r="F2699" s="94" t="str">
        <f>HYPERLINK(AB2 &amp; "/usb_stick/3dw_d3af4d2a-37a6-4361-bfa6-755f1753160c/rendering/03.obj", "1.82482086182")</f>
        <v>1.82482086182</v>
      </c>
      <c r="G2699" s="67" t="str">
        <f>HYPERLINK(AB2 &amp; "/usb_stick/3dw_d3af4d2a-37a6-4361-bfa6-755f1753160c/rendering/04.obj", "1.54412246704")</f>
        <v>1.54412246704</v>
      </c>
      <c r="H2699" s="11" t="str">
        <f>HYPERLINK(AB2 &amp; "/usb_stick/3dw_d3af4d2a-37a6-4361-bfa6-755f1753160c/rendering/05.obj", "2.08295928955")</f>
        <v>2.08295928955</v>
      </c>
      <c r="I2699" s="17" t="str">
        <f>HYPERLINK(AB2 &amp; "/usb_stick/3dw_d3af4d2a-37a6-4361-bfa6-755f1753160c/rendering/06.obj", "1.73524658203")</f>
        <v>1.73524658203</v>
      </c>
      <c r="J2699" s="69" t="str">
        <f>HYPERLINK(AB2 &amp; "/usb_stick/3dw_d3af4d2a-37a6-4361-bfa6-755f1753160c/rendering/07.obj", "1.64769378662")</f>
        <v>1.64769378662</v>
      </c>
      <c r="K2699" s="31" t="str">
        <f>HYPERLINK(AB2 &amp; "/usb_stick/3dw_d3af4d2a-37a6-4361-bfa6-755f1753160c/rendering/08.obj", "1.43431640625")</f>
        <v>1.43431640625</v>
      </c>
      <c r="L2699" s="35" t="str">
        <f>HYPERLINK(AB2 &amp; "/usb_stick/3dw_d3af4d2a-37a6-4361-bfa6-755f1753160c/rendering/09.obj", "1.59899703979")</f>
        <v>1.59899703979</v>
      </c>
      <c r="M2699" s="69" t="str">
        <f>HYPERLINK(AB2 &amp; "/usb_stick/3dw_d3af4d2a-37a6-4361-bfa6-755f1753160c/rendering/10.obj", "1.6477116394")</f>
        <v>1.6477116394</v>
      </c>
      <c r="N2699" s="73" t="str">
        <f>HYPERLINK(AB2 &amp; "/usb_stick/3dw_d3af4d2a-37a6-4361-bfa6-755f1753160c/rendering/11.obj", "1.63666656494")</f>
        <v>1.63666656494</v>
      </c>
      <c r="O2699" s="40" t="str">
        <f>HYPERLINK(AB2 &amp; "/usb_stick/3dw_d3af4d2a-37a6-4361-bfa6-755f1753160c/rendering/12.obj", "1.98863220215")</f>
        <v>1.98863220215</v>
      </c>
      <c r="P2699" s="30" t="str">
        <f>HYPERLINK(AB2 &amp; "/usb_stick/3dw_d3af4d2a-37a6-4361-bfa6-755f1753160c/rendering/13.obj", "1.68877609253")</f>
        <v>1.68877609253</v>
      </c>
      <c r="Q2699" s="8" t="str">
        <f>HYPERLINK(AB2 &amp; "/usb_stick/3dw_d3af4d2a-37a6-4361-bfa6-755f1753160c/rendering/14.obj", "1.94075286865")</f>
        <v>1.94075286865</v>
      </c>
      <c r="R2699" s="13" t="str">
        <f>HYPERLINK(AB2 &amp; "/usb_stick/3dw_d3af4d2a-37a6-4361-bfa6-755f1753160c/rendering/15.obj", "1.70108459473")</f>
        <v>1.70108459473</v>
      </c>
      <c r="S2699" s="68" t="str">
        <f>HYPERLINK(AB2 &amp; "/usb_stick/3dw_d3af4d2a-37a6-4361-bfa6-755f1753160c/rendering/16.obj", "1.76930130005")</f>
        <v>1.76930130005</v>
      </c>
      <c r="T2699" s="107" t="str">
        <f>HYPERLINK(AB2 &amp; "/usb_stick/3dw_d3af4d2a-37a6-4361-bfa6-755f1753160c/rendering/17.obj", "1.84298217773")</f>
        <v>1.84298217773</v>
      </c>
      <c r="U2699" s="133" t="str">
        <f>HYPERLINK(AB2 &amp; "/usb_stick/3dw_d3af4d2a-37a6-4361-bfa6-755f1753160c/rendering/18.obj", "1.5253074646")</f>
        <v>1.5253074646</v>
      </c>
      <c r="V2699" s="38" t="str">
        <f>HYPERLINK(AB2 &amp; "/usb_stick/3dw_d3af4d2a-37a6-4361-bfa6-755f1753160c/rendering/19.obj", "1.54814086914")</f>
        <v>1.54814086914</v>
      </c>
      <c r="W2699" s="12" t="s">
        <v>31</v>
      </c>
      <c r="X2699" s="13">
        <v>1.699185562133789</v>
      </c>
      <c r="Y2699" s="13">
        <v>0.16313913213349321</v>
      </c>
      <c r="Z2699" s="90">
        <v>9.6010192040843226E-2</v>
      </c>
    </row>
    <row r="2700" spans="1:26" x14ac:dyDescent="0.2">
      <c r="A2700" s="1">
        <v>2698</v>
      </c>
      <c r="B2700" s="2" t="s">
        <v>572</v>
      </c>
      <c r="C2700" s="60" t="str">
        <f>HYPERLINK(AB2 &amp; "/usb_stick/3dw_d3af4d2a-37a6-4361-bfa6-755f1753160c/rendering/00.obj", "1.36398363113")</f>
        <v>1.36398363113</v>
      </c>
      <c r="D2700" s="110" t="str">
        <f>HYPERLINK(AB2 &amp; "/usb_stick/3dw_d3af4d2a-37a6-4361-bfa6-755f1753160c/rendering/01.obj", "1.29701936245")</f>
        <v>1.29701936245</v>
      </c>
      <c r="E2700" s="46" t="str">
        <f>HYPERLINK(AB2 &amp; "/usb_stick/3dw_d3af4d2a-37a6-4361-bfa6-755f1753160c/rendering/02.obj", "1.41547775269")</f>
        <v>1.41547775269</v>
      </c>
      <c r="F2700" s="47" t="str">
        <f>HYPERLINK(AB2 &amp; "/usb_stick/3dw_d3af4d2a-37a6-4361-bfa6-755f1753160c/rendering/03.obj", "1.44969952106")</f>
        <v>1.44969952106</v>
      </c>
      <c r="G2700" s="38" t="str">
        <f>HYPERLINK(AB2 &amp; "/usb_stick/3dw_d3af4d2a-37a6-4361-bfa6-755f1753160c/rendering/04.obj", "1.31036281586")</f>
        <v>1.31036281586</v>
      </c>
      <c r="H2700" s="82" t="str">
        <f>HYPERLINK(AB2 &amp; "/usb_stick/3dw_d3af4d2a-37a6-4361-bfa6-755f1753160c/rendering/05.obj", "1.73748636246")</f>
        <v>1.73748636246</v>
      </c>
      <c r="I2700" s="94" t="str">
        <f>HYPERLINK(AB2 &amp; "/usb_stick/3dw_d3af4d2a-37a6-4361-bfa6-755f1753160c/rendering/06.obj", "1.5479156971")</f>
        <v>1.5479156971</v>
      </c>
      <c r="J2700" s="91" t="str">
        <f>HYPERLINK(AB2 &amp; "/usb_stick/3dw_d3af4d2a-37a6-4361-bfa6-755f1753160c/rendering/07.obj", "1.47676241398")</f>
        <v>1.47676241398</v>
      </c>
      <c r="K2700" s="39" t="str">
        <f>HYPERLINK(AB2 &amp; "/usb_stick/3dw_d3af4d2a-37a6-4361-bfa6-755f1753160c/rendering/08.obj", "1.31437695026")</f>
        <v>1.31437695026</v>
      </c>
      <c r="L2700" s="60" t="str">
        <f>HYPERLINK(AB2 &amp; "/usb_stick/3dw_d3af4d2a-37a6-4361-bfa6-755f1753160c/rendering/09.obj", "1.36501204967")</f>
        <v>1.36501204967</v>
      </c>
      <c r="M2700" s="91" t="str">
        <f>HYPERLINK(AB2 &amp; "/usb_stick/3dw_d3af4d2a-37a6-4361-bfa6-755f1753160c/rendering/10.obj", "1.40049910545")</f>
        <v>1.40049910545</v>
      </c>
      <c r="N2700" s="35" t="str">
        <f>HYPERLINK(AB2 &amp; "/usb_stick/3dw_d3af4d2a-37a6-4361-bfa6-755f1753160c/rendering/11.obj", "1.35632514954")</f>
        <v>1.35632514954</v>
      </c>
      <c r="O2700" s="46" t="str">
        <f>HYPERLINK(AB2 &amp; "/usb_stick/3dw_d3af4d2a-37a6-4361-bfa6-755f1753160c/rendering/12.obj", "1.46506416798")</f>
        <v>1.46506416798</v>
      </c>
      <c r="P2700" s="74" t="str">
        <f>HYPERLINK(AB2 &amp; "/usb_stick/3dw_d3af4d2a-37a6-4361-bfa6-755f1753160c/rendering/13.obj", "1.4210678339")</f>
        <v>1.4210678339</v>
      </c>
      <c r="Q2700" s="42" t="str">
        <f>HYPERLINK(AB2 &amp; "/usb_stick/3dw_d3af4d2a-37a6-4361-bfa6-755f1753160c/rendering/14.obj", "1.63485860825")</f>
        <v>1.63485860825</v>
      </c>
      <c r="R2700" s="10" t="str">
        <f>HYPERLINK(AB2 &amp; "/usb_stick/3dw_d3af4d2a-37a6-4361-bfa6-755f1753160c/rendering/15.obj", "1.36000788212")</f>
        <v>1.36000788212</v>
      </c>
      <c r="S2700" s="69" t="str">
        <f>HYPERLINK(AB2 &amp; "/usb_stick/3dw_d3af4d2a-37a6-4361-bfa6-755f1753160c/rendering/16.obj", "1.4807009697")</f>
        <v>1.4807009697</v>
      </c>
      <c r="T2700" s="11" t="str">
        <f>HYPERLINK(AB2 &amp; "/usb_stick/3dw_d3af4d2a-37a6-4361-bfa6-755f1753160c/rendering/17.obj", "1.76311182976")</f>
        <v>1.76311182976</v>
      </c>
      <c r="U2700" s="35" t="str">
        <f>HYPERLINK(AB2 &amp; "/usb_stick/3dw_d3af4d2a-37a6-4361-bfa6-755f1753160c/rendering/18.obj", "1.35457348824")</f>
        <v>1.35457348824</v>
      </c>
      <c r="V2700" s="28" t="str">
        <f>HYPERLINK(AB2 &amp; "/usb_stick/3dw_d3af4d2a-37a6-4361-bfa6-755f1753160c/rendering/19.obj", "1.28046751022")</f>
        <v>1.28046751022</v>
      </c>
      <c r="W2700" s="12" t="s">
        <v>32</v>
      </c>
      <c r="X2700" s="13">
        <v>1.4397386550903319</v>
      </c>
      <c r="Y2700" s="13">
        <v>0.1340419229738575</v>
      </c>
      <c r="Z2700" s="67">
        <v>9.3101565690370022E-2</v>
      </c>
    </row>
    <row r="2701" spans="1:26" x14ac:dyDescent="0.2">
      <c r="A2701" s="1">
        <v>2699</v>
      </c>
      <c r="B2701" s="2" t="s">
        <v>572</v>
      </c>
      <c r="C2701" s="13" t="str">
        <f>HYPERLINK(AC2 &amp; "/usb_stick/3dw_d3af4d2a-37a6-4361-bfa6-755f1753160c/rendering/00.xyz", "0.0")</f>
        <v>0.0</v>
      </c>
      <c r="D2701" s="13" t="str">
        <f>HYPERLINK(AC2 &amp; "/usb_stick/3dw_d3af4d2a-37a6-4361-bfa6-755f1753160c/rendering/01.xyz", "0.0")</f>
        <v>0.0</v>
      </c>
      <c r="E2701" s="13" t="str">
        <f>HYPERLINK(AC2 &amp; "/usb_stick/3dw_d3af4d2a-37a6-4361-bfa6-755f1753160c/rendering/02.xyz", "0.0")</f>
        <v>0.0</v>
      </c>
      <c r="F2701" s="13" t="str">
        <f>HYPERLINK(AC2 &amp; "/usb_stick/3dw_d3af4d2a-37a6-4361-bfa6-755f1753160c/rendering/03.xyz", "0.0")</f>
        <v>0.0</v>
      </c>
      <c r="G2701" s="13" t="str">
        <f>HYPERLINK(AC2 &amp; "/usb_stick/3dw_d3af4d2a-37a6-4361-bfa6-755f1753160c/rendering/04.xyz", "0.0")</f>
        <v>0.0</v>
      </c>
      <c r="H2701" s="13" t="str">
        <f>HYPERLINK(AC2 &amp; "/usb_stick/3dw_d3af4d2a-37a6-4361-bfa6-755f1753160c/rendering/05.xyz", "0.0")</f>
        <v>0.0</v>
      </c>
      <c r="I2701" s="13" t="str">
        <f>HYPERLINK(AC2 &amp; "/usb_stick/3dw_d3af4d2a-37a6-4361-bfa6-755f1753160c/rendering/06.xyz", "0.0")</f>
        <v>0.0</v>
      </c>
      <c r="J2701" s="13" t="str">
        <f>HYPERLINK(AC2 &amp; "/usb_stick/3dw_d3af4d2a-37a6-4361-bfa6-755f1753160c/rendering/07.xyz", "0.0")</f>
        <v>0.0</v>
      </c>
      <c r="K2701" s="13" t="str">
        <f>HYPERLINK(AC2 &amp; "/usb_stick/3dw_d3af4d2a-37a6-4361-bfa6-755f1753160c/rendering/08.xyz", "0.0")</f>
        <v>0.0</v>
      </c>
      <c r="L2701" s="13" t="str">
        <f>HYPERLINK(AC2 &amp; "/usb_stick/3dw_d3af4d2a-37a6-4361-bfa6-755f1753160c/rendering/09.xyz", "0.0")</f>
        <v>0.0</v>
      </c>
      <c r="M2701" s="13" t="str">
        <f>HYPERLINK(AC2 &amp; "/usb_stick/3dw_d3af4d2a-37a6-4361-bfa6-755f1753160c/rendering/10.xyz", "0.0")</f>
        <v>0.0</v>
      </c>
      <c r="N2701" s="13" t="str">
        <f>HYPERLINK(AC2 &amp; "/usb_stick/3dw_d3af4d2a-37a6-4361-bfa6-755f1753160c/rendering/11.xyz", "0.0")</f>
        <v>0.0</v>
      </c>
      <c r="O2701" s="13" t="str">
        <f>HYPERLINK(AC2 &amp; "/usb_stick/3dw_d3af4d2a-37a6-4361-bfa6-755f1753160c/rendering/12.xyz", "0.0")</f>
        <v>0.0</v>
      </c>
      <c r="P2701" s="13" t="str">
        <f>HYPERLINK(AC2 &amp; "/usb_stick/3dw_d3af4d2a-37a6-4361-bfa6-755f1753160c/rendering/13.xyz", "0.0")</f>
        <v>0.0</v>
      </c>
      <c r="Q2701" s="13" t="str">
        <f>HYPERLINK(AC2 &amp; "/usb_stick/3dw_d3af4d2a-37a6-4361-bfa6-755f1753160c/rendering/14.xyz", "0.0")</f>
        <v>0.0</v>
      </c>
      <c r="R2701" s="13" t="str">
        <f>HYPERLINK(AC2 &amp; "/usb_stick/3dw_d3af4d2a-37a6-4361-bfa6-755f1753160c/rendering/15.xyz", "0.0")</f>
        <v>0.0</v>
      </c>
      <c r="S2701" s="13" t="str">
        <f>HYPERLINK(AC2 &amp; "/usb_stick/3dw_d3af4d2a-37a6-4361-bfa6-755f1753160c/rendering/16.xyz", "0.0")</f>
        <v>0.0</v>
      </c>
      <c r="T2701" s="13" t="str">
        <f>HYPERLINK(AC2 &amp; "/usb_stick/3dw_d3af4d2a-37a6-4361-bfa6-755f1753160c/rendering/17.xyz", "0.0")</f>
        <v>0.0</v>
      </c>
      <c r="U2701" s="13" t="str">
        <f>HYPERLINK(AC2 &amp; "/usb_stick/3dw_d3af4d2a-37a6-4361-bfa6-755f1753160c/rendering/18.xyz", "0.0")</f>
        <v>0.0</v>
      </c>
      <c r="V2701" s="13" t="str">
        <f>HYPERLINK(AC2 &amp; "/usb_stick/3dw_d3af4d2a-37a6-4361-bfa6-755f1753160c/rendering/19.xyz", "0.0")</f>
        <v>0.0</v>
      </c>
      <c r="W2701" s="12" t="s">
        <v>33</v>
      </c>
      <c r="X2701" s="13">
        <v>0</v>
      </c>
      <c r="Y2701" s="13">
        <v>0</v>
      </c>
      <c r="Z2701" s="13">
        <v>0</v>
      </c>
    </row>
    <row r="2702" spans="1:26" x14ac:dyDescent="0.2">
      <c r="A2702" s="1">
        <v>2700</v>
      </c>
      <c r="B2702" s="2" t="s">
        <v>573</v>
      </c>
      <c r="C2702" s="86" t="str">
        <f>HYPERLINK(AA2 &amp; "/usb_stick/3dw_d4a425dd-9b45-4d9e-81fc-8a3ae4fbf36e/rendering/00.obj", "1.85770751953")</f>
        <v>1.85770751953</v>
      </c>
      <c r="D2702" s="100" t="str">
        <f>HYPERLINK(AA2 &amp; "/usb_stick/3dw_d4a425dd-9b45-4d9e-81fc-8a3ae4fbf36e/rendering/01.obj", "1.78325744629")</f>
        <v>1.78325744629</v>
      </c>
      <c r="E2702" s="226" t="str">
        <f>HYPERLINK(AA2 &amp; "/usb_stick/3dw_d4a425dd-9b45-4d9e-81fc-8a3ae4fbf36e/rendering/02.obj", "3.97276123047")</f>
        <v>3.97276123047</v>
      </c>
      <c r="F2702" s="48" t="str">
        <f>HYPERLINK(AA2 &amp; "/usb_stick/3dw_d4a425dd-9b45-4d9e-81fc-8a3ae4fbf36e/rendering/03.obj", "2.48398284912")</f>
        <v>2.48398284912</v>
      </c>
      <c r="G2702" s="129" t="str">
        <f>HYPERLINK(AA2 &amp; "/usb_stick/3dw_d4a425dd-9b45-4d9e-81fc-8a3ae4fbf36e/rendering/04.obj", "1.90933425903")</f>
        <v>1.90933425903</v>
      </c>
      <c r="H2702" s="6" t="str">
        <f>HYPERLINK(AA2 &amp; "/usb_stick/3dw_d4a425dd-9b45-4d9e-81fc-8a3ae4fbf36e/rendering/05.obj", "2.66117950439")</f>
        <v>2.66117950439</v>
      </c>
      <c r="I2702" s="13" t="str">
        <f>HYPERLINK(AA2 &amp; "/usb_stick/3dw_d4a425dd-9b45-4d9e-81fc-8a3ae4fbf36e/rendering/06.obj", "2.54294586182")</f>
        <v>2.54294586182</v>
      </c>
      <c r="J2702" s="20" t="str">
        <f>HYPERLINK(AA2 &amp; "/usb_stick/3dw_d4a425dd-9b45-4d9e-81fc-8a3ae4fbf36e/rendering/07.obj", "4.88144256592")</f>
        <v>4.88144256592</v>
      </c>
      <c r="K2702" s="95" t="str">
        <f>HYPERLINK(AA2 &amp; "/usb_stick/3dw_d4a425dd-9b45-4d9e-81fc-8a3ae4fbf36e/rendering/08.obj", "1.82988677979")</f>
        <v>1.82988677979</v>
      </c>
      <c r="L2702" s="43" t="str">
        <f>HYPERLINK(AA2 &amp; "/usb_stick/3dw_d4a425dd-9b45-4d9e-81fc-8a3ae4fbf36e/rendering/09.obj", "1.58858825684")</f>
        <v>1.58858825684</v>
      </c>
      <c r="M2702" s="193" t="str">
        <f>HYPERLINK(AA2 &amp; "/usb_stick/3dw_d4a425dd-9b45-4d9e-81fc-8a3ae4fbf36e/rendering/10.obj", "1.7040057373")</f>
        <v>1.7040057373</v>
      </c>
      <c r="N2702" s="83" t="str">
        <f>HYPERLINK(AA2 &amp; "/usb_stick/3dw_d4a425dd-9b45-4d9e-81fc-8a3ae4fbf36e/rendering/11.obj", "2.15298171997")</f>
        <v>2.15298171997</v>
      </c>
      <c r="O2702" s="89" t="str">
        <f>HYPERLINK(AA2 &amp; "/usb_stick/3dw_d4a425dd-9b45-4d9e-81fc-8a3ae4fbf36e/rendering/12.obj", "1.88656204224")</f>
        <v>1.88656204224</v>
      </c>
      <c r="P2702" s="81" t="str">
        <f>HYPERLINK(AA2 &amp; "/usb_stick/3dw_d4a425dd-9b45-4d9e-81fc-8a3ae4fbf36e/rendering/13.obj", "1.99041976929")</f>
        <v>1.99041976929</v>
      </c>
      <c r="Q2702" s="15" t="str">
        <f>HYPERLINK(AA2 &amp; "/usb_stick/3dw_d4a425dd-9b45-4d9e-81fc-8a3ae4fbf36e/rendering/14.obj", "3.8332208252")</f>
        <v>3.8332208252</v>
      </c>
      <c r="R2702" s="149" t="str">
        <f>HYPERLINK(AA2 &amp; "/usb_stick/3dw_d4a425dd-9b45-4d9e-81fc-8a3ae4fbf36e/rendering/15.obj", "1.67207305908")</f>
        <v>1.67207305908</v>
      </c>
      <c r="S2702" s="20" t="str">
        <f>HYPERLINK(AA2 &amp; "/usb_stick/3dw_d4a425dd-9b45-4d9e-81fc-8a3ae4fbf36e/rendering/16.obj", "5.4603314209")</f>
        <v>5.4603314209</v>
      </c>
      <c r="T2702" s="78" t="str">
        <f>HYPERLINK(AA2 &amp; "/usb_stick/3dw_d4a425dd-9b45-4d9e-81fc-8a3ae4fbf36e/rendering/17.obj", "2.69823608398")</f>
        <v>2.69823608398</v>
      </c>
      <c r="U2702" s="83" t="str">
        <f>HYPERLINK(AA2 &amp; "/usb_stick/3dw_d4a425dd-9b45-4d9e-81fc-8a3ae4fbf36e/rendering/18.obj", "2.15221328735")</f>
        <v>2.15221328735</v>
      </c>
      <c r="V2702" s="61" t="str">
        <f>HYPERLINK(AA2 &amp; "/usb_stick/3dw_d4a425dd-9b45-4d9e-81fc-8a3ae4fbf36e/rendering/19.obj", "1.77435821533")</f>
        <v>1.77435821533</v>
      </c>
      <c r="W2702" s="12" t="s">
        <v>29</v>
      </c>
      <c r="X2702" s="13">
        <v>2.541774421691894</v>
      </c>
      <c r="Y2702" s="13">
        <v>1.0883854876284369</v>
      </c>
      <c r="Z2702" s="179">
        <v>0.42819908735408901</v>
      </c>
    </row>
    <row r="2703" spans="1:26" x14ac:dyDescent="0.2">
      <c r="A2703" s="1">
        <v>2701</v>
      </c>
      <c r="B2703" s="2" t="s">
        <v>573</v>
      </c>
      <c r="C2703" s="213" t="str">
        <f>HYPERLINK(AA2 &amp; "/usb_stick/3dw_d4a425dd-9b45-4d9e-81fc-8a3ae4fbf36e/rendering/00.obj", "2.23372840881")</f>
        <v>2.23372840881</v>
      </c>
      <c r="D2703" s="150" t="str">
        <f>HYPERLINK(AA2 &amp; "/usb_stick/3dw_d4a425dd-9b45-4d9e-81fc-8a3ae4fbf36e/rendering/01.obj", "2.04148674011")</f>
        <v>2.04148674011</v>
      </c>
      <c r="E2703" s="20" t="str">
        <f>HYPERLINK(AA2 &amp; "/usb_stick/3dw_d4a425dd-9b45-4d9e-81fc-8a3ae4fbf36e/rendering/02.obj", "9.33116912842")</f>
        <v>9.33116912842</v>
      </c>
      <c r="F2703" s="38" t="str">
        <f>HYPERLINK(AA2 &amp; "/usb_stick/3dw_d4a425dd-9b45-4d9e-81fc-8a3ae4fbf36e/rendering/03.obj", "4.01140451431")</f>
        <v>4.01140451431</v>
      </c>
      <c r="G2703" s="139" t="str">
        <f>HYPERLINK(AA2 &amp; "/usb_stick/3dw_d4a425dd-9b45-4d9e-81fc-8a3ae4fbf36e/rendering/04.obj", "2.28575277328")</f>
        <v>2.28575277328</v>
      </c>
      <c r="H2703" s="93" t="str">
        <f>HYPERLINK(AA2 &amp; "/usb_stick/3dw_d4a425dd-9b45-4d9e-81fc-8a3ae4fbf36e/rendering/05.obj", "3.78991317749")</f>
        <v>3.78991317749</v>
      </c>
      <c r="I2703" s="36" t="str">
        <f>HYPERLINK(AA2 &amp; "/usb_stick/3dw_d4a425dd-9b45-4d9e-81fc-8a3ae4fbf36e/rendering/06.obj", "3.45671415329")</f>
        <v>3.45671415329</v>
      </c>
      <c r="J2703" s="20" t="str">
        <f>HYPERLINK(AA2 &amp; "/usb_stick/3dw_d4a425dd-9b45-4d9e-81fc-8a3ae4fbf36e/rendering/07.obj", "12.5272769928")</f>
        <v>12.5272769928</v>
      </c>
      <c r="K2703" s="131" t="str">
        <f>HYPERLINK(AA2 &amp; "/usb_stick/3dw_d4a425dd-9b45-4d9e-81fc-8a3ae4fbf36e/rendering/08.obj", "2.36232972145")</f>
        <v>2.36232972145</v>
      </c>
      <c r="L2703" s="167" t="str">
        <f>HYPERLINK(AA2 &amp; "/usb_stick/3dw_d4a425dd-9b45-4d9e-81fc-8a3ae4fbf36e/rendering/09.obj", "1.73949635029")</f>
        <v>1.73949635029</v>
      </c>
      <c r="M2703" s="186" t="str">
        <f>HYPERLINK(AA2 &amp; "/usb_stick/3dw_d4a425dd-9b45-4d9e-81fc-8a3ae4fbf36e/rendering/10.obj", "1.76488733292")</f>
        <v>1.76488733292</v>
      </c>
      <c r="N2703" s="131" t="str">
        <f>HYPERLINK(AA2 &amp; "/usb_stick/3dw_d4a425dd-9b45-4d9e-81fc-8a3ae4fbf36e/rendering/11.obj", "2.3670065403")</f>
        <v>2.3670065403</v>
      </c>
      <c r="O2703" s="230" t="str">
        <f>HYPERLINK(AA2 &amp; "/usb_stick/3dw_d4a425dd-9b45-4d9e-81fc-8a3ae4fbf36e/rendering/12.obj", "2.39243340492")</f>
        <v>2.39243340492</v>
      </c>
      <c r="P2703" s="163" t="str">
        <f>HYPERLINK(AA2 &amp; "/usb_stick/3dw_d4a425dd-9b45-4d9e-81fc-8a3ae4fbf36e/rendering/13.obj", "2.46427559853")</f>
        <v>2.46427559853</v>
      </c>
      <c r="Q2703" s="20" t="str">
        <f>HYPERLINK(AA2 &amp; "/usb_stick/3dw_d4a425dd-9b45-4d9e-81fc-8a3ae4fbf36e/rendering/14.obj", "8.26551818848")</f>
        <v>8.26551818848</v>
      </c>
      <c r="R2703" s="177" t="str">
        <f>HYPERLINK(AA2 &amp; "/usb_stick/3dw_d4a425dd-9b45-4d9e-81fc-8a3ae4fbf36e/rendering/15.obj", "2.0434949398")</f>
        <v>2.0434949398</v>
      </c>
      <c r="S2703" s="20" t="str">
        <f>HYPERLINK(AA2 &amp; "/usb_stick/3dw_d4a425dd-9b45-4d9e-81fc-8a3ae4fbf36e/rendering/16.obj", "16.5107727051")</f>
        <v>16.5107727051</v>
      </c>
      <c r="T2703" s="31" t="str">
        <f>HYPERLINK(AA2 &amp; "/usb_stick/3dw_d4a425dd-9b45-4d9e-81fc-8a3ae4fbf36e/rendering/17.obj", "3.71997284889")</f>
        <v>3.71997284889</v>
      </c>
      <c r="U2703" s="198" t="str">
        <f>HYPERLINK(AA2 &amp; "/usb_stick/3dw_d4a425dd-9b45-4d9e-81fc-8a3ae4fbf36e/rendering/18.obj", "2.69478797913")</f>
        <v>2.69478797913</v>
      </c>
      <c r="V2703" s="227" t="str">
        <f>HYPERLINK(AA2 &amp; "/usb_stick/3dw_d4a425dd-9b45-4d9e-81fc-8a3ae4fbf36e/rendering/19.obj", "2.16528129578")</f>
        <v>2.16528129578</v>
      </c>
      <c r="W2703" s="12" t="s">
        <v>30</v>
      </c>
      <c r="X2703" s="13">
        <v>4.4083851397037508</v>
      </c>
      <c r="Y2703" s="13">
        <v>3.9504489752391931</v>
      </c>
      <c r="Z2703" s="20">
        <v>0.89612156153504052</v>
      </c>
    </row>
    <row r="2704" spans="1:26" x14ac:dyDescent="0.2">
      <c r="A2704" s="1">
        <v>2702</v>
      </c>
      <c r="B2704" s="2" t="s">
        <v>573</v>
      </c>
      <c r="C2704" s="117" t="str">
        <f>HYPERLINK(AB2 &amp; "/usb_stick/3dw_d4a425dd-9b45-4d9e-81fc-8a3ae4fbf36e/rendering/00.obj", "1.33010681152")</f>
        <v>1.33010681152</v>
      </c>
      <c r="D2704" s="69" t="str">
        <f>HYPERLINK(AB2 &amp; "/usb_stick/3dw_d4a425dd-9b45-4d9e-81fc-8a3ae4fbf36e/rendering/01.obj", "1.56666046143")</f>
        <v>1.56666046143</v>
      </c>
      <c r="E2704" s="93" t="str">
        <f>HYPERLINK(AB2 &amp; "/usb_stick/3dw_d4a425dd-9b45-4d9e-81fc-8a3ae4fbf36e/rendering/02.obj", "1.84286437988")</f>
        <v>1.84286437988</v>
      </c>
      <c r="F2704" s="65" t="str">
        <f>HYPERLINK(AB2 &amp; "/usb_stick/3dw_d4a425dd-9b45-4d9e-81fc-8a3ae4fbf36e/rendering/03.obj", "1.83153564453")</f>
        <v>1.83153564453</v>
      </c>
      <c r="G2704" s="30" t="str">
        <f>HYPERLINK(AB2 &amp; "/usb_stick/3dw_d4a425dd-9b45-4d9e-81fc-8a3ae4fbf36e/rendering/04.obj", "1.62382995605")</f>
        <v>1.62382995605</v>
      </c>
      <c r="H2704" s="39" t="str">
        <f>HYPERLINK(AB2 &amp; "/usb_stick/3dw_d4a425dd-9b45-4d9e-81fc-8a3ae4fbf36e/rendering/05.obj", "1.47827026367")</f>
        <v>1.47827026367</v>
      </c>
      <c r="I2704" s="35" t="str">
        <f>HYPERLINK(AB2 &amp; "/usb_stick/3dw_d4a425dd-9b45-4d9e-81fc-8a3ae4fbf36e/rendering/06.obj", "1.71186233521")</f>
        <v>1.71186233521</v>
      </c>
      <c r="J2704" s="36" t="str">
        <f>HYPERLINK(AB2 &amp; "/usb_stick/3dw_d4a425dd-9b45-4d9e-81fc-8a3ae4fbf36e/rendering/07.obj", "1.96241943359")</f>
        <v>1.96241943359</v>
      </c>
      <c r="K2704" s="26" t="str">
        <f>HYPERLINK(AB2 &amp; "/usb_stick/3dw_d4a425dd-9b45-4d9e-81fc-8a3ae4fbf36e/rendering/08.obj", "1.51106933594")</f>
        <v>1.51106933594</v>
      </c>
      <c r="L2704" s="72" t="str">
        <f>HYPERLINK(AB2 &amp; "/usb_stick/3dw_d4a425dd-9b45-4d9e-81fc-8a3ae4fbf36e/rendering/09.obj", "1.56265686035")</f>
        <v>1.56265686035</v>
      </c>
      <c r="M2704" s="69" t="str">
        <f>HYPERLINK(AB2 &amp; "/usb_stick/3dw_d4a425dd-9b45-4d9e-81fc-8a3ae4fbf36e/rendering/10.obj", "1.57031173706")</f>
        <v>1.57031173706</v>
      </c>
      <c r="N2704" s="13" t="str">
        <f>HYPERLINK(AB2 &amp; "/usb_stick/3dw_d4a425dd-9b45-4d9e-81fc-8a3ae4fbf36e/rendering/11.obj", "1.61627593994")</f>
        <v>1.61627593994</v>
      </c>
      <c r="O2704" s="72" t="str">
        <f>HYPERLINK(AB2 &amp; "/usb_stick/3dw_d4a425dd-9b45-4d9e-81fc-8a3ae4fbf36e/rendering/12.obj", "1.56230438232")</f>
        <v>1.56230438232</v>
      </c>
      <c r="P2704" s="27" t="str">
        <f>HYPERLINK(AB2 &amp; "/usb_stick/3dw_d4a425dd-9b45-4d9e-81fc-8a3ae4fbf36e/rendering/13.obj", "1.50353302002")</f>
        <v>1.50353302002</v>
      </c>
      <c r="Q2704" s="31" t="str">
        <f>HYPERLINK(AB2 &amp; "/usb_stick/3dw_d4a425dd-9b45-4d9e-81fc-8a3ae4fbf36e/rendering/14.obj", "1.86725952148")</f>
        <v>1.86725952148</v>
      </c>
      <c r="R2704" s="74" t="str">
        <f>HYPERLINK(AB2 &amp; "/usb_stick/3dw_d4a425dd-9b45-4d9e-81fc-8a3ae4fbf36e/rendering/15.obj", "1.59571838379")</f>
        <v>1.59571838379</v>
      </c>
      <c r="S2704" s="75" t="str">
        <f>HYPERLINK(AB2 &amp; "/usb_stick/3dw_d4a425dd-9b45-4d9e-81fc-8a3ae4fbf36e/rendering/16.obj", "1.97269775391")</f>
        <v>1.97269775391</v>
      </c>
      <c r="T2704" s="33" t="str">
        <f>HYPERLINK(AB2 &amp; "/usb_stick/3dw_d4a425dd-9b45-4d9e-81fc-8a3ae4fbf36e/rendering/17.obj", "1.44367736816")</f>
        <v>1.44367736816</v>
      </c>
      <c r="U2704" s="71" t="str">
        <f>HYPERLINK(AB2 &amp; "/usb_stick/3dw_d4a425dd-9b45-4d9e-81fc-8a3ae4fbf36e/rendering/18.obj", "1.42776351929")</f>
        <v>1.42776351929</v>
      </c>
      <c r="V2704" s="24" t="str">
        <f>HYPERLINK(AB2 &amp; "/usb_stick/3dw_d4a425dd-9b45-4d9e-81fc-8a3ae4fbf36e/rendering/19.obj", "1.34661697388")</f>
        <v>1.34661697388</v>
      </c>
      <c r="W2704" s="12" t="s">
        <v>31</v>
      </c>
      <c r="X2704" s="13">
        <v>1.6163717041015631</v>
      </c>
      <c r="Y2704" s="13">
        <v>0.18577716861447169</v>
      </c>
      <c r="Z2704" s="106">
        <v>0.1149346825009742</v>
      </c>
    </row>
    <row r="2705" spans="1:26" x14ac:dyDescent="0.2">
      <c r="A2705" s="1">
        <v>2703</v>
      </c>
      <c r="B2705" s="2" t="s">
        <v>573</v>
      </c>
      <c r="C2705" s="31" t="str">
        <f>HYPERLINK(AB2 &amp; "/usb_stick/3dw_d4a425dd-9b45-4d9e-81fc-8a3ae4fbf36e/rendering/00.obj", "1.62295866013")</f>
        <v>1.62295866013</v>
      </c>
      <c r="D2705" s="72" t="str">
        <f>HYPERLINK(AB2 &amp; "/usb_stick/3dw_d4a425dd-9b45-4d9e-81fc-8a3ae4fbf36e/rendering/01.obj", "1.85862982273")</f>
        <v>1.85862982273</v>
      </c>
      <c r="E2705" s="77" t="str">
        <f>HYPERLINK(AB2 &amp; "/usb_stick/3dw_d4a425dd-9b45-4d9e-81fc-8a3ae4fbf36e/rendering/02.obj", "2.27643322945")</f>
        <v>2.27643322945</v>
      </c>
      <c r="F2705" s="135" t="str">
        <f>HYPERLINK(AB2 &amp; "/usb_stick/3dw_d4a425dd-9b45-4d9e-81fc-8a3ae4fbf36e/rendering/03.obj", "2.41302895546")</f>
        <v>2.41302895546</v>
      </c>
      <c r="G2705" s="34" t="str">
        <f>HYPERLINK(AB2 &amp; "/usb_stick/3dw_d4a425dd-9b45-4d9e-81fc-8a3ae4fbf36e/rendering/04.obj", "1.83024215698")</f>
        <v>1.83024215698</v>
      </c>
      <c r="H2705" s="92" t="str">
        <f>HYPERLINK(AB2 &amp; "/usb_stick/3dw_d4a425dd-9b45-4d9e-81fc-8a3ae4fbf36e/rendering/05.obj", "1.68455862999")</f>
        <v>1.68455862999</v>
      </c>
      <c r="I2705" s="110" t="str">
        <f>HYPERLINK(AB2 &amp; "/usb_stick/3dw_d4a425dd-9b45-4d9e-81fc-8a3ae4fbf36e/rendering/06.obj", "2.1101038456")</f>
        <v>2.1101038456</v>
      </c>
      <c r="J2705" s="64" t="str">
        <f>HYPERLINK(AB2 &amp; "/usb_stick/3dw_d4a425dd-9b45-4d9e-81fc-8a3ae4fbf36e/rendering/07.obj", "2.2342402935")</f>
        <v>2.2342402935</v>
      </c>
      <c r="K2705" s="133" t="str">
        <f>HYPERLINK(AB2 &amp; "/usb_stick/3dw_d4a425dd-9b45-4d9e-81fc-8a3ae4fbf36e/rendering/08.obj", "1.72288274765")</f>
        <v>1.72288274765</v>
      </c>
      <c r="L2705" s="106" t="str">
        <f>HYPERLINK(AB2 &amp; "/usb_stick/3dw_d4a425dd-9b45-4d9e-81fc-8a3ae4fbf36e/rendering/09.obj", "1.69866085052")</f>
        <v>1.69866085052</v>
      </c>
      <c r="M2705" s="38" t="str">
        <f>HYPERLINK(AB2 &amp; "/usb_stick/3dw_d4a425dd-9b45-4d9e-81fc-8a3ae4fbf36e/rendering/10.obj", "1.74798810482")</f>
        <v>1.74798810482</v>
      </c>
      <c r="N2705" s="73" t="str">
        <f>HYPERLINK(AB2 &amp; "/usb_stick/3dw_d4a425dd-9b45-4d9e-81fc-8a3ae4fbf36e/rendering/11.obj", "1.84848546982")</f>
        <v>1.84848546982</v>
      </c>
      <c r="O2705" s="35" t="str">
        <f>HYPERLINK(AB2 &amp; "/usb_stick/3dw_d4a425dd-9b45-4d9e-81fc-8a3ae4fbf36e/rendering/12.obj", "1.80650508404")</f>
        <v>1.80650508404</v>
      </c>
      <c r="P2705" s="78" t="str">
        <f>HYPERLINK(AB2 &amp; "/usb_stick/3dw_d4a425dd-9b45-4d9e-81fc-8a3ae4fbf36e/rendering/13.obj", "1.80147433281")</f>
        <v>1.80147433281</v>
      </c>
      <c r="Q2705" s="169" t="str">
        <f>HYPERLINK(AB2 &amp; "/usb_stick/3dw_d4a425dd-9b45-4d9e-81fc-8a3ae4fbf36e/rendering/14.obj", "2.51797008514")</f>
        <v>2.51797008514</v>
      </c>
      <c r="R2705" s="74" t="str">
        <f>HYPERLINK(AB2 &amp; "/usb_stick/3dw_d4a425dd-9b45-4d9e-81fc-8a3ae4fbf36e/rendering/15.obj", "1.8926320076")</f>
        <v>1.8926320076</v>
      </c>
      <c r="S2705" s="36" t="str">
        <f>HYPERLINK(AB2 &amp; "/usb_stick/3dw_d4a425dd-9b45-4d9e-81fc-8a3ae4fbf36e/rendering/16.obj", "2.33639740944")</f>
        <v>2.33639740944</v>
      </c>
      <c r="T2705" s="32" t="str">
        <f>HYPERLINK(AB2 &amp; "/usb_stick/3dw_d4a425dd-9b45-4d9e-81fc-8a3ae4fbf36e/rendering/17.obj", "1.71929478645")</f>
        <v>1.71929478645</v>
      </c>
      <c r="U2705" s="42" t="str">
        <f>HYPERLINK(AB2 &amp; "/usb_stick/3dw_d4a425dd-9b45-4d9e-81fc-8a3ae4fbf36e/rendering/18.obj", "1.65850234032")</f>
        <v>1.65850234032</v>
      </c>
      <c r="V2705" s="80" t="str">
        <f>HYPERLINK(AB2 &amp; "/usb_stick/3dw_d4a425dd-9b45-4d9e-81fc-8a3ae4fbf36e/rendering/19.obj", "1.63437438011")</f>
        <v>1.63437438011</v>
      </c>
      <c r="W2705" s="12" t="s">
        <v>32</v>
      </c>
      <c r="X2705" s="13">
        <v>1.920768159627914</v>
      </c>
      <c r="Y2705" s="13">
        <v>0.27675923760924998</v>
      </c>
      <c r="Z2705" s="8">
        <v>0.14408778915976139</v>
      </c>
    </row>
    <row r="2706" spans="1:26" x14ac:dyDescent="0.2">
      <c r="A2706" s="1">
        <v>2704</v>
      </c>
      <c r="B2706" s="2" t="s">
        <v>573</v>
      </c>
      <c r="C2706" s="13" t="str">
        <f>HYPERLINK(AC2 &amp; "/usb_stick/3dw_d4a425dd-9b45-4d9e-81fc-8a3ae4fbf36e/rendering/00.xyz", "0.0")</f>
        <v>0.0</v>
      </c>
      <c r="D2706" s="13" t="str">
        <f>HYPERLINK(AC2 &amp; "/usb_stick/3dw_d4a425dd-9b45-4d9e-81fc-8a3ae4fbf36e/rendering/01.xyz", "0.0")</f>
        <v>0.0</v>
      </c>
      <c r="E2706" s="13" t="str">
        <f>HYPERLINK(AC2 &amp; "/usb_stick/3dw_d4a425dd-9b45-4d9e-81fc-8a3ae4fbf36e/rendering/02.xyz", "0.0")</f>
        <v>0.0</v>
      </c>
      <c r="F2706" s="13" t="str">
        <f>HYPERLINK(AC2 &amp; "/usb_stick/3dw_d4a425dd-9b45-4d9e-81fc-8a3ae4fbf36e/rendering/03.xyz", "0.0")</f>
        <v>0.0</v>
      </c>
      <c r="G2706" s="13" t="str">
        <f>HYPERLINK(AC2 &amp; "/usb_stick/3dw_d4a425dd-9b45-4d9e-81fc-8a3ae4fbf36e/rendering/04.xyz", "0.0")</f>
        <v>0.0</v>
      </c>
      <c r="H2706" s="13" t="str">
        <f>HYPERLINK(AC2 &amp; "/usb_stick/3dw_d4a425dd-9b45-4d9e-81fc-8a3ae4fbf36e/rendering/05.xyz", "0.0")</f>
        <v>0.0</v>
      </c>
      <c r="I2706" s="13" t="str">
        <f>HYPERLINK(AC2 &amp; "/usb_stick/3dw_d4a425dd-9b45-4d9e-81fc-8a3ae4fbf36e/rendering/06.xyz", "0.0")</f>
        <v>0.0</v>
      </c>
      <c r="J2706" s="13" t="str">
        <f>HYPERLINK(AC2 &amp; "/usb_stick/3dw_d4a425dd-9b45-4d9e-81fc-8a3ae4fbf36e/rendering/07.xyz", "0.0")</f>
        <v>0.0</v>
      </c>
      <c r="K2706" s="13" t="str">
        <f>HYPERLINK(AC2 &amp; "/usb_stick/3dw_d4a425dd-9b45-4d9e-81fc-8a3ae4fbf36e/rendering/08.xyz", "0.0")</f>
        <v>0.0</v>
      </c>
      <c r="L2706" s="13" t="str">
        <f>HYPERLINK(AC2 &amp; "/usb_stick/3dw_d4a425dd-9b45-4d9e-81fc-8a3ae4fbf36e/rendering/09.xyz", "0.0")</f>
        <v>0.0</v>
      </c>
      <c r="M2706" s="13" t="str">
        <f>HYPERLINK(AC2 &amp; "/usb_stick/3dw_d4a425dd-9b45-4d9e-81fc-8a3ae4fbf36e/rendering/10.xyz", "0.0")</f>
        <v>0.0</v>
      </c>
      <c r="N2706" s="13" t="str">
        <f>HYPERLINK(AC2 &amp; "/usb_stick/3dw_d4a425dd-9b45-4d9e-81fc-8a3ae4fbf36e/rendering/11.xyz", "0.0")</f>
        <v>0.0</v>
      </c>
      <c r="O2706" s="13" t="str">
        <f>HYPERLINK(AC2 &amp; "/usb_stick/3dw_d4a425dd-9b45-4d9e-81fc-8a3ae4fbf36e/rendering/12.xyz", "0.0")</f>
        <v>0.0</v>
      </c>
      <c r="P2706" s="13" t="str">
        <f>HYPERLINK(AC2 &amp; "/usb_stick/3dw_d4a425dd-9b45-4d9e-81fc-8a3ae4fbf36e/rendering/13.xyz", "0.0")</f>
        <v>0.0</v>
      </c>
      <c r="Q2706" s="13" t="str">
        <f>HYPERLINK(AC2 &amp; "/usb_stick/3dw_d4a425dd-9b45-4d9e-81fc-8a3ae4fbf36e/rendering/14.xyz", "0.0")</f>
        <v>0.0</v>
      </c>
      <c r="R2706" s="13" t="str">
        <f>HYPERLINK(AC2 &amp; "/usb_stick/3dw_d4a425dd-9b45-4d9e-81fc-8a3ae4fbf36e/rendering/15.xyz", "0.0")</f>
        <v>0.0</v>
      </c>
      <c r="S2706" s="13" t="str">
        <f>HYPERLINK(AC2 &amp; "/usb_stick/3dw_d4a425dd-9b45-4d9e-81fc-8a3ae4fbf36e/rendering/16.xyz", "0.0")</f>
        <v>0.0</v>
      </c>
      <c r="T2706" s="13" t="str">
        <f>HYPERLINK(AC2 &amp; "/usb_stick/3dw_d4a425dd-9b45-4d9e-81fc-8a3ae4fbf36e/rendering/17.xyz", "0.0")</f>
        <v>0.0</v>
      </c>
      <c r="U2706" s="13" t="str">
        <f>HYPERLINK(AC2 &amp; "/usb_stick/3dw_d4a425dd-9b45-4d9e-81fc-8a3ae4fbf36e/rendering/18.xyz", "0.0")</f>
        <v>0.0</v>
      </c>
      <c r="V2706" s="13" t="str">
        <f>HYPERLINK(AC2 &amp; "/usb_stick/3dw_d4a425dd-9b45-4d9e-81fc-8a3ae4fbf36e/rendering/19.xyz", "0.0")</f>
        <v>0.0</v>
      </c>
      <c r="W2706" s="12" t="s">
        <v>33</v>
      </c>
      <c r="X2706" s="13">
        <v>0</v>
      </c>
      <c r="Y2706" s="13">
        <v>0</v>
      </c>
      <c r="Z2706" s="13">
        <v>0</v>
      </c>
    </row>
    <row r="2707" spans="1:26" x14ac:dyDescent="0.2">
      <c r="A2707" s="1">
        <v>2705</v>
      </c>
      <c r="B2707" s="2" t="s">
        <v>574</v>
      </c>
      <c r="C2707" s="38" t="str">
        <f>HYPERLINK(AA2 &amp; "/usb_stick/3dw_d57e40c0-58d3-463a-9350-7abcbfa8918f/rendering/00.obj", "1.37617797852")</f>
        <v>1.37617797852</v>
      </c>
      <c r="D2707" s="42" t="str">
        <f>HYPERLINK(AA2 &amp; "/usb_stick/3dw_d57e40c0-58d3-463a-9350-7abcbfa8918f/rendering/01.obj", "1.09257286072")</f>
        <v>1.09257286072</v>
      </c>
      <c r="E2707" s="65" t="str">
        <f>HYPERLINK(AA2 &amp; "/usb_stick/3dw_d57e40c0-58d3-463a-9350-7abcbfa8918f/rendering/02.obj", "1.09649452209")</f>
        <v>1.09649452209</v>
      </c>
      <c r="F2707" s="166" t="str">
        <f>HYPERLINK(AA2 &amp; "/usb_stick/3dw_d57e40c0-58d3-463a-9350-7abcbfa8918f/rendering/03.obj", "0.9036668396")</f>
        <v>0.9036668396</v>
      </c>
      <c r="G2707" s="54" t="str">
        <f>HYPERLINK(AA2 &amp; "/usb_stick/3dw_d57e40c0-58d3-463a-9350-7abcbfa8918f/rendering/04.obj", "0.851405029297")</f>
        <v>0.851405029297</v>
      </c>
      <c r="H2707" s="185" t="str">
        <f>HYPERLINK(AA2 &amp; "/usb_stick/3dw_d57e40c0-58d3-463a-9350-7abcbfa8918f/rendering/05.obj", "0.833857116699")</f>
        <v>0.833857116699</v>
      </c>
      <c r="I2707" s="82" t="str">
        <f>HYPERLINK(AA2 &amp; "/usb_stick/3dw_d57e40c0-58d3-463a-9350-7abcbfa8918f/rendering/06.obj", "1.00329460144")</f>
        <v>1.00329460144</v>
      </c>
      <c r="J2707" s="106" t="str">
        <f>HYPERLINK(AA2 &amp; "/usb_stick/3dw_d57e40c0-58d3-463a-9350-7abcbfa8918f/rendering/07.obj", "1.12059890747")</f>
        <v>1.12059890747</v>
      </c>
      <c r="K2707" s="41" t="str">
        <f>HYPERLINK(AA2 &amp; "/usb_stick/3dw_d57e40c0-58d3-463a-9350-7abcbfa8918f/rendering/08.obj", "1.17974227905")</f>
        <v>1.17974227905</v>
      </c>
      <c r="L2707" s="38" t="str">
        <f>HYPERLINK(AA2 &amp; "/usb_stick/3dw_d57e40c0-58d3-463a-9350-7abcbfa8918f/rendering/09.obj", "1.15276672363")</f>
        <v>1.15276672363</v>
      </c>
      <c r="M2707" s="97" t="str">
        <f>HYPERLINK(AA2 &amp; "/usb_stick/3dw_d57e40c0-58d3-463a-9350-7abcbfa8918f/rendering/10.obj", "1.81351837158")</f>
        <v>1.81351837158</v>
      </c>
      <c r="N2707" s="27" t="str">
        <f>HYPERLINK(AA2 &amp; "/usb_stick/3dw_d57e40c0-58d3-463a-9350-7abcbfa8918f/rendering/11.obj", "1.1773097229")</f>
        <v>1.1773097229</v>
      </c>
      <c r="O2707" s="138" t="str">
        <f>HYPERLINK(AA2 &amp; "/usb_stick/3dw_d57e40c0-58d3-463a-9350-7abcbfa8918f/rendering/12.obj", "0.836551818848")</f>
        <v>0.836551818848</v>
      </c>
      <c r="P2707" s="171" t="str">
        <f>HYPERLINK(AA2 &amp; "/usb_stick/3dw_d57e40c0-58d3-463a-9350-7abcbfa8918f/rendering/13.obj", "1.650259552")</f>
        <v>1.650259552</v>
      </c>
      <c r="Q2707" s="20" t="str">
        <f>HYPERLINK(AA2 &amp; "/usb_stick/3dw_d57e40c0-58d3-463a-9350-7abcbfa8918f/rendering/14.obj", "3.18845214844")</f>
        <v>3.18845214844</v>
      </c>
      <c r="R2707" s="93" t="str">
        <f>HYPERLINK(AA2 &amp; "/usb_stick/3dw_d57e40c0-58d3-463a-9350-7abcbfa8918f/rendering/15.obj", "1.44082733154")</f>
        <v>1.44082733154</v>
      </c>
      <c r="S2707" s="13" t="str">
        <f>HYPERLINK(AA2 &amp; "/usb_stick/3dw_d57e40c0-58d3-463a-9350-7abcbfa8918f/rendering/16.obj", "1.26442184448")</f>
        <v>1.26442184448</v>
      </c>
      <c r="T2707" s="19" t="str">
        <f>HYPERLINK(AA2 &amp; "/usb_stick/3dw_d57e40c0-58d3-463a-9350-7abcbfa8918f/rendering/17.obj", "0.931978378296")</f>
        <v>0.931978378296</v>
      </c>
      <c r="U2707" s="30" t="str">
        <f>HYPERLINK(AA2 &amp; "/usb_stick/3dw_d57e40c0-58d3-463a-9350-7abcbfa8918f/rendering/18.obj", "1.25730819702")</f>
        <v>1.25730819702</v>
      </c>
      <c r="V2707" s="33" t="str">
        <f>HYPERLINK(AA2 &amp; "/usb_stick/3dw_d57e40c0-58d3-463a-9350-7abcbfa8918f/rendering/19.obj", "1.12922035217")</f>
        <v>1.12922035217</v>
      </c>
      <c r="W2707" s="12" t="s">
        <v>29</v>
      </c>
      <c r="X2707" s="13">
        <v>1.2650212287902829</v>
      </c>
      <c r="Y2707" s="13">
        <v>0.50831762459369945</v>
      </c>
      <c r="Z2707" s="122">
        <v>0.40182537100961879</v>
      </c>
    </row>
    <row r="2708" spans="1:26" x14ac:dyDescent="0.2">
      <c r="A2708" s="1">
        <v>2706</v>
      </c>
      <c r="B2708" s="2" t="s">
        <v>574</v>
      </c>
      <c r="C2708" s="33" t="str">
        <f>HYPERLINK(AA2 &amp; "/usb_stick/3dw_d57e40c0-58d3-463a-9350-7abcbfa8918f/rendering/00.obj", "2.9942278862")</f>
        <v>2.9942278862</v>
      </c>
      <c r="D2708" s="136" t="str">
        <f>HYPERLINK(AA2 &amp; "/usb_stick/3dw_d57e40c0-58d3-463a-9350-7abcbfa8918f/rendering/01.obj", "2.06167268753")</f>
        <v>2.06167268753</v>
      </c>
      <c r="E2708" s="69" t="str">
        <f>HYPERLINK(AA2 &amp; "/usb_stick/3dw_d57e40c0-58d3-463a-9350-7abcbfa8918f/rendering/02.obj", "2.62322402")</f>
        <v>2.62322402</v>
      </c>
      <c r="F2708" s="119" t="str">
        <f>HYPERLINK(AA2 &amp; "/usb_stick/3dw_d57e40c0-58d3-463a-9350-7abcbfa8918f/rendering/03.obj", "1.98668467999")</f>
        <v>1.98668467999</v>
      </c>
      <c r="G2708" s="86" t="str">
        <f>HYPERLINK(AA2 &amp; "/usb_stick/3dw_d57e40c0-58d3-463a-9350-7abcbfa8918f/rendering/04.obj", "1.97817027569")</f>
        <v>1.97817027569</v>
      </c>
      <c r="H2708" s="140" t="str">
        <f>HYPERLINK(AA2 &amp; "/usb_stick/3dw_d57e40c0-58d3-463a-9350-7abcbfa8918f/rendering/05.obj", "1.76230359077")</f>
        <v>1.76230359077</v>
      </c>
      <c r="I2708" s="166" t="str">
        <f>HYPERLINK(AA2 &amp; "/usb_stick/3dw_d57e40c0-58d3-463a-9350-7abcbfa8918f/rendering/06.obj", "1.93099057674")</f>
        <v>1.93099057674</v>
      </c>
      <c r="J2708" s="108" t="str">
        <f>HYPERLINK(AA2 &amp; "/usb_stick/3dw_d57e40c0-58d3-463a-9350-7abcbfa8918f/rendering/07.obj", "2.03593540192")</f>
        <v>2.03593540192</v>
      </c>
      <c r="K2708" s="77" t="str">
        <f>HYPERLINK(AA2 &amp; "/usb_stick/3dw_d57e40c0-58d3-463a-9350-7abcbfa8918f/rendering/08.obj", "2.19605541229")</f>
        <v>2.19605541229</v>
      </c>
      <c r="L2708" s="70" t="str">
        <f>HYPERLINK(AA2 &amp; "/usb_stick/3dw_d57e40c0-58d3-463a-9350-7abcbfa8918f/rendering/09.obj", "2.36384391785")</f>
        <v>2.36384391785</v>
      </c>
      <c r="M2708" s="181" t="str">
        <f>HYPERLINK(AA2 &amp; "/usb_stick/3dw_d57e40c0-58d3-463a-9350-7abcbfa8918f/rendering/10.obj", "3.90246033669")</f>
        <v>3.90246033669</v>
      </c>
      <c r="N2708" s="135" t="str">
        <f>HYPERLINK(AA2 &amp; "/usb_stick/3dw_d57e40c0-58d3-463a-9350-7abcbfa8918f/rendering/11.obj", "2.00870251656")</f>
        <v>2.00870251656</v>
      </c>
      <c r="O2708" s="169" t="str">
        <f>HYPERLINK(AA2 &amp; "/usb_stick/3dw_d57e40c0-58d3-463a-9350-7abcbfa8918f/rendering/12.obj", "1.85959374905")</f>
        <v>1.85959374905</v>
      </c>
      <c r="P2708" s="258" t="str">
        <f>HYPERLINK(AA2 &amp; "/usb_stick/3dw_d57e40c0-58d3-463a-9350-7abcbfa8918f/rendering/13.obj", "4.75973272324")</f>
        <v>4.75973272324</v>
      </c>
      <c r="Q2708" s="20" t="str">
        <f>HYPERLINK(AA2 &amp; "/usb_stick/3dw_d57e40c0-58d3-463a-9350-7abcbfa8918f/rendering/14.obj", "7.67325925827")</f>
        <v>7.67325925827</v>
      </c>
      <c r="R2708" s="51" t="str">
        <f>HYPERLINK(AA2 &amp; "/usb_stick/3dw_d57e40c0-58d3-463a-9350-7abcbfa8918f/rendering/15.obj", "2.48878979683")</f>
        <v>2.48878979683</v>
      </c>
      <c r="S2708" s="5" t="str">
        <f>HYPERLINK(AA2 &amp; "/usb_stick/3dw_d57e40c0-58d3-463a-9350-7abcbfa8918f/rendering/16.obj", "2.9099843502")</f>
        <v>2.9099843502</v>
      </c>
      <c r="T2708" s="44" t="str">
        <f>HYPERLINK(AA2 &amp; "/usb_stick/3dw_d57e40c0-58d3-463a-9350-7abcbfa8918f/rendering/17.obj", "2.17492938042")</f>
        <v>2.17492938042</v>
      </c>
      <c r="U2708" s="83" t="str">
        <f>HYPERLINK(AA2 &amp; "/usb_stick/3dw_d57e40c0-58d3-463a-9350-7abcbfa8918f/rendering/18.obj", "2.28855419159")</f>
        <v>2.28855419159</v>
      </c>
      <c r="V2708" s="175" t="str">
        <f>HYPERLINK(AA2 &amp; "/usb_stick/3dw_d57e40c0-58d3-463a-9350-7abcbfa8918f/rendering/19.obj", "2.072016716")</f>
        <v>2.072016716</v>
      </c>
      <c r="W2708" s="12" t="s">
        <v>30</v>
      </c>
      <c r="X2708" s="13">
        <v>2.7035565733909608</v>
      </c>
      <c r="Y2708" s="13">
        <v>1.3479997855989641</v>
      </c>
      <c r="Z2708" s="102">
        <v>0.49860239614228719</v>
      </c>
    </row>
    <row r="2709" spans="1:26" x14ac:dyDescent="0.2">
      <c r="A2709" s="1">
        <v>2707</v>
      </c>
      <c r="B2709" s="2" t="s">
        <v>574</v>
      </c>
      <c r="C2709" s="133" t="str">
        <f>HYPERLINK(AB2 &amp; "/usb_stick/3dw_d57e40c0-58d3-463a-9350-7abcbfa8918f/rendering/00.obj", "0.899284057617")</f>
        <v>0.899284057617</v>
      </c>
      <c r="D2709" s="25" t="str">
        <f>HYPERLINK(AB2 &amp; "/usb_stick/3dw_d57e40c0-58d3-463a-9350-7abcbfa8918f/rendering/01.obj", "1.0144493866")</f>
        <v>1.0144493866</v>
      </c>
      <c r="E2709" s="51" t="str">
        <f>HYPERLINK(AB2 &amp; "/usb_stick/3dw_d57e40c0-58d3-463a-9350-7abcbfa8918f/rendering/02.obj", "1.08221549988")</f>
        <v>1.08221549988</v>
      </c>
      <c r="F2709" s="72" t="str">
        <f>HYPERLINK(AB2 &amp; "/usb_stick/3dw_d57e40c0-58d3-463a-9350-7abcbfa8918f/rendering/03.obj", "1.03648155212")</f>
        <v>1.03648155212</v>
      </c>
      <c r="G2709" s="48" t="str">
        <f>HYPERLINK(AB2 &amp; "/usb_stick/3dw_d57e40c0-58d3-463a-9350-7abcbfa8918f/rendering/04.obj", "1.02555839539")</f>
        <v>1.02555839539</v>
      </c>
      <c r="H2709" s="40" t="str">
        <f>HYPERLINK(AB2 &amp; "/usb_stick/3dw_d57e40c0-58d3-463a-9350-7abcbfa8918f/rendering/05.obj", "1.17415550232")</f>
        <v>1.17415550232</v>
      </c>
      <c r="I2709" s="79" t="str">
        <f>HYPERLINK(AB2 &amp; "/usb_stick/3dw_d57e40c0-58d3-463a-9350-7abcbfa8918f/rendering/06.obj", "0.84191368103")</f>
        <v>0.84191368103</v>
      </c>
      <c r="J2709" s="39" t="str">
        <f>HYPERLINK(AB2 &amp; "/usb_stick/3dw_d57e40c0-58d3-463a-9350-7abcbfa8918f/rendering/07.obj", "0.914548339844")</f>
        <v>0.914548339844</v>
      </c>
      <c r="K2709" s="10" t="str">
        <f>HYPERLINK(AB2 &amp; "/usb_stick/3dw_d57e40c0-58d3-463a-9350-7abcbfa8918f/rendering/08.obj", "1.05568145752")</f>
        <v>1.05568145752</v>
      </c>
      <c r="L2709" s="74" t="str">
        <f>HYPERLINK(AB2 &amp; "/usb_stick/3dw_d57e40c0-58d3-463a-9350-7abcbfa8918f/rendering/09.obj", "0.987849960327")</f>
        <v>0.987849960327</v>
      </c>
      <c r="M2709" s="42" t="str">
        <f>HYPERLINK(AB2 &amp; "/usb_stick/3dw_d57e40c0-58d3-463a-9350-7abcbfa8918f/rendering/10.obj", "0.864393615723")</f>
        <v>0.864393615723</v>
      </c>
      <c r="N2709" s="25" t="str">
        <f>HYPERLINK(AB2 &amp; "/usb_stick/3dw_d57e40c0-58d3-463a-9350-7abcbfa8918f/rendering/11.obj", "1.01449668884")</f>
        <v>1.01449668884</v>
      </c>
      <c r="O2709" s="72" t="str">
        <f>HYPERLINK(AB2 &amp; "/usb_stick/3dw_d57e40c0-58d3-463a-9350-7abcbfa8918f/rendering/12.obj", "0.970279312134")</f>
        <v>0.970279312134</v>
      </c>
      <c r="P2709" s="41" t="str">
        <f>HYPERLINK(AB2 &amp; "/usb_stick/3dw_d57e40c0-58d3-463a-9350-7abcbfa8918f/rendering/13.obj", "1.069243927")</f>
        <v>1.069243927</v>
      </c>
      <c r="Q2709" s="41" t="str">
        <f>HYPERLINK(AB2 &amp; "/usb_stick/3dw_d57e40c0-58d3-463a-9350-7abcbfa8918f/rendering/14.obj", "1.06895126343")</f>
        <v>1.06895126343</v>
      </c>
      <c r="R2709" s="46" t="str">
        <f>HYPERLINK(AB2 &amp; "/usb_stick/3dw_d57e40c0-58d3-463a-9350-7abcbfa8918f/rendering/15.obj", "0.985124588013")</f>
        <v>0.985124588013</v>
      </c>
      <c r="S2709" s="33" t="str">
        <f>HYPERLINK(AB2 &amp; "/usb_stick/3dw_d57e40c0-58d3-463a-9350-7abcbfa8918f/rendering/16.obj", "1.11130325317")</f>
        <v>1.11130325317</v>
      </c>
      <c r="T2709" s="72" t="str">
        <f>HYPERLINK(AB2 &amp; "/usb_stick/3dw_d57e40c0-58d3-463a-9350-7abcbfa8918f/rendering/17.obj", "0.968023529053")</f>
        <v>0.968023529053</v>
      </c>
      <c r="U2709" s="6" t="str">
        <f>HYPERLINK(AB2 &amp; "/usb_stick/3dw_d57e40c0-58d3-463a-9350-7abcbfa8918f/rendering/18.obj", "0.957002105713")</f>
        <v>0.957002105713</v>
      </c>
      <c r="V2709" s="13" t="str">
        <f>HYPERLINK(AB2 &amp; "/usb_stick/3dw_d57e40c0-58d3-463a-9350-7abcbfa8918f/rendering/19.obj", "0.999161148071")</f>
        <v>0.999161148071</v>
      </c>
      <c r="W2709" s="12" t="s">
        <v>31</v>
      </c>
      <c r="X2709" s="13">
        <v>1.0020058631896971</v>
      </c>
      <c r="Y2709" s="13">
        <v>8.0436393991857841E-2</v>
      </c>
      <c r="Z2709" s="51">
        <v>8.0275372576966472E-2</v>
      </c>
    </row>
    <row r="2710" spans="1:26" x14ac:dyDescent="0.2">
      <c r="A2710" s="1">
        <v>2708</v>
      </c>
      <c r="B2710" s="2" t="s">
        <v>574</v>
      </c>
      <c r="C2710" s="13" t="str">
        <f>HYPERLINK(AB2 &amp; "/usb_stick/3dw_d57e40c0-58d3-463a-9350-7abcbfa8918f/rendering/00.obj", "1.8485468626")</f>
        <v>1.8485468626</v>
      </c>
      <c r="D2710" s="60" t="str">
        <f>HYPERLINK(AB2 &amp; "/usb_stick/3dw_d57e40c0-58d3-463a-9350-7abcbfa8918f/rendering/01.obj", "1.75380122662")</f>
        <v>1.75380122662</v>
      </c>
      <c r="E2710" s="10" t="str">
        <f>HYPERLINK(AB2 &amp; "/usb_stick/3dw_d57e40c0-58d3-463a-9350-7abcbfa8918f/rendering/02.obj", "1.94907617569")</f>
        <v>1.94907617569</v>
      </c>
      <c r="F2710" s="91" t="str">
        <f>HYPERLINK(AB2 &amp; "/usb_stick/3dw_d57e40c0-58d3-463a-9350-7abcbfa8918f/rendering/03.obj", "1.79912376404")</f>
        <v>1.79912376404</v>
      </c>
      <c r="G2710" s="69" t="str">
        <f>HYPERLINK(AB2 &amp; "/usb_stick/3dw_d57e40c0-58d3-463a-9350-7abcbfa8918f/rendering/04.obj", "1.90148043633")</f>
        <v>1.90148043633</v>
      </c>
      <c r="H2710" s="33" t="str">
        <f>HYPERLINK(AB2 &amp; "/usb_stick/3dw_d57e40c0-58d3-463a-9350-7abcbfa8918f/rendering/05.obj", "2.04940605164")</f>
        <v>2.04940605164</v>
      </c>
      <c r="I2710" s="17" t="str">
        <f>HYPERLINK(AB2 &amp; "/usb_stick/3dw_d57e40c0-58d3-463a-9350-7abcbfa8918f/rendering/06.obj", "1.8834810257")</f>
        <v>1.8834810257</v>
      </c>
      <c r="J2710" s="6" t="str">
        <f>HYPERLINK(AB2 &amp; "/usb_stick/3dw_d57e40c0-58d3-463a-9350-7abcbfa8918f/rendering/07.obj", "1.76001560688")</f>
        <v>1.76001560688</v>
      </c>
      <c r="K2710" s="30" t="str">
        <f>HYPERLINK(AB2 &amp; "/usb_stick/3dw_d57e40c0-58d3-463a-9350-7abcbfa8918f/rendering/08.obj", "1.85359358788")</f>
        <v>1.85359358788</v>
      </c>
      <c r="L2710" s="91" t="str">
        <f>HYPERLINK(AB2 &amp; "/usb_stick/3dw_d57e40c0-58d3-463a-9350-7abcbfa8918f/rendering/09.obj", "1.79678606987")</f>
        <v>1.79678606987</v>
      </c>
      <c r="M2710" s="68" t="str">
        <f>HYPERLINK(AB2 &amp; "/usb_stick/3dw_d57e40c0-58d3-463a-9350-7abcbfa8918f/rendering/10.obj", "1.76644337177")</f>
        <v>1.76644337177</v>
      </c>
      <c r="N2710" s="13" t="str">
        <f>HYPERLINK(AB2 &amp; "/usb_stick/3dw_d57e40c0-58d3-463a-9350-7abcbfa8918f/rendering/11.obj", "1.84801459312")</f>
        <v>1.84801459312</v>
      </c>
      <c r="O2710" s="68" t="str">
        <f>HYPERLINK(AB2 &amp; "/usb_stick/3dw_d57e40c0-58d3-463a-9350-7abcbfa8918f/rendering/12.obj", "1.77112782001")</f>
        <v>1.77112782001</v>
      </c>
      <c r="P2710" s="17" t="str">
        <f>HYPERLINK(AB2 &amp; "/usb_stick/3dw_d57e40c0-58d3-463a-9350-7abcbfa8918f/rendering/13.obj", "1.88152134418")</f>
        <v>1.88152134418</v>
      </c>
      <c r="Q2710" s="6" t="str">
        <f>HYPERLINK(AB2 &amp; "/usb_stick/3dw_d57e40c0-58d3-463a-9350-7abcbfa8918f/rendering/14.obj", "1.93072783947")</f>
        <v>1.93072783947</v>
      </c>
      <c r="R2710" s="46" t="str">
        <f>HYPERLINK(AB2 &amp; "/usb_stick/3dw_d57e40c0-58d3-463a-9350-7abcbfa8918f/rendering/15.obj", "1.81768393517")</f>
        <v>1.81768393517</v>
      </c>
      <c r="S2710" s="48" t="str">
        <f>HYPERLINK(AB2 &amp; "/usb_stick/3dw_d57e40c0-58d3-463a-9350-7abcbfa8918f/rendering/16.obj", "1.88966822624")</f>
        <v>1.88966822624</v>
      </c>
      <c r="T2710" s="41" t="str">
        <f>HYPERLINK(AB2 &amp; "/usb_stick/3dw_d57e40c0-58d3-463a-9350-7abcbfa8918f/rendering/17.obj", "1.72135066986")</f>
        <v>1.72135066986</v>
      </c>
      <c r="U2710" s="13" t="str">
        <f>HYPERLINK(AB2 &amp; "/usb_stick/3dw_d57e40c0-58d3-463a-9350-7abcbfa8918f/rendering/18.obj", "1.84784436226")</f>
        <v>1.84784436226</v>
      </c>
      <c r="V2710" s="47" t="str">
        <f>HYPERLINK(AB2 &amp; "/usb_stick/3dw_d57e40c0-58d3-463a-9350-7abcbfa8918f/rendering/19.obj", "1.86364603043")</f>
        <v>1.86364603043</v>
      </c>
      <c r="W2710" s="12" t="s">
        <v>32</v>
      </c>
      <c r="X2710" s="13">
        <v>1.846666949987412</v>
      </c>
      <c r="Y2710" s="13">
        <v>7.6154738997825697E-2</v>
      </c>
      <c r="Z2710" s="68">
        <v>4.1239022011167109E-2</v>
      </c>
    </row>
    <row r="2711" spans="1:26" x14ac:dyDescent="0.2">
      <c r="A2711" s="1">
        <v>2709</v>
      </c>
      <c r="B2711" s="2" t="s">
        <v>574</v>
      </c>
      <c r="C2711" s="13" t="str">
        <f>HYPERLINK(AC2 &amp; "/usb_stick/3dw_d57e40c0-58d3-463a-9350-7abcbfa8918f/rendering/00.xyz", "0.0")</f>
        <v>0.0</v>
      </c>
      <c r="D2711" s="13" t="str">
        <f>HYPERLINK(AC2 &amp; "/usb_stick/3dw_d57e40c0-58d3-463a-9350-7abcbfa8918f/rendering/01.xyz", "0.0")</f>
        <v>0.0</v>
      </c>
      <c r="E2711" s="13" t="str">
        <f>HYPERLINK(AC2 &amp; "/usb_stick/3dw_d57e40c0-58d3-463a-9350-7abcbfa8918f/rendering/02.xyz", "0.0")</f>
        <v>0.0</v>
      </c>
      <c r="F2711" s="13" t="str">
        <f>HYPERLINK(AC2 &amp; "/usb_stick/3dw_d57e40c0-58d3-463a-9350-7abcbfa8918f/rendering/03.xyz", "0.0")</f>
        <v>0.0</v>
      </c>
      <c r="G2711" s="13" t="str">
        <f>HYPERLINK(AC2 &amp; "/usb_stick/3dw_d57e40c0-58d3-463a-9350-7abcbfa8918f/rendering/04.xyz", "0.0")</f>
        <v>0.0</v>
      </c>
      <c r="H2711" s="13" t="str">
        <f>HYPERLINK(AC2 &amp; "/usb_stick/3dw_d57e40c0-58d3-463a-9350-7abcbfa8918f/rendering/05.xyz", "0.0")</f>
        <v>0.0</v>
      </c>
      <c r="I2711" s="13" t="str">
        <f>HYPERLINK(AC2 &amp; "/usb_stick/3dw_d57e40c0-58d3-463a-9350-7abcbfa8918f/rendering/06.xyz", "0.0")</f>
        <v>0.0</v>
      </c>
      <c r="J2711" s="13" t="str">
        <f>HYPERLINK(AC2 &amp; "/usb_stick/3dw_d57e40c0-58d3-463a-9350-7abcbfa8918f/rendering/07.xyz", "0.0")</f>
        <v>0.0</v>
      </c>
      <c r="K2711" s="13" t="str">
        <f>HYPERLINK(AC2 &amp; "/usb_stick/3dw_d57e40c0-58d3-463a-9350-7abcbfa8918f/rendering/08.xyz", "0.0")</f>
        <v>0.0</v>
      </c>
      <c r="L2711" s="13" t="str">
        <f>HYPERLINK(AC2 &amp; "/usb_stick/3dw_d57e40c0-58d3-463a-9350-7abcbfa8918f/rendering/09.xyz", "0.0")</f>
        <v>0.0</v>
      </c>
      <c r="M2711" s="13" t="str">
        <f>HYPERLINK(AC2 &amp; "/usb_stick/3dw_d57e40c0-58d3-463a-9350-7abcbfa8918f/rendering/10.xyz", "0.0")</f>
        <v>0.0</v>
      </c>
      <c r="N2711" s="13" t="str">
        <f>HYPERLINK(AC2 &amp; "/usb_stick/3dw_d57e40c0-58d3-463a-9350-7abcbfa8918f/rendering/11.xyz", "0.0")</f>
        <v>0.0</v>
      </c>
      <c r="O2711" s="13" t="str">
        <f>HYPERLINK(AC2 &amp; "/usb_stick/3dw_d57e40c0-58d3-463a-9350-7abcbfa8918f/rendering/12.xyz", "0.0")</f>
        <v>0.0</v>
      </c>
      <c r="P2711" s="13" t="str">
        <f>HYPERLINK(AC2 &amp; "/usb_stick/3dw_d57e40c0-58d3-463a-9350-7abcbfa8918f/rendering/13.xyz", "0.0")</f>
        <v>0.0</v>
      </c>
      <c r="Q2711" s="13" t="str">
        <f>HYPERLINK(AC2 &amp; "/usb_stick/3dw_d57e40c0-58d3-463a-9350-7abcbfa8918f/rendering/14.xyz", "0.0")</f>
        <v>0.0</v>
      </c>
      <c r="R2711" s="13" t="str">
        <f>HYPERLINK(AC2 &amp; "/usb_stick/3dw_d57e40c0-58d3-463a-9350-7abcbfa8918f/rendering/15.xyz", "0.0")</f>
        <v>0.0</v>
      </c>
      <c r="S2711" s="13" t="str">
        <f>HYPERLINK(AC2 &amp; "/usb_stick/3dw_d57e40c0-58d3-463a-9350-7abcbfa8918f/rendering/16.xyz", "0.0")</f>
        <v>0.0</v>
      </c>
      <c r="T2711" s="13" t="str">
        <f>HYPERLINK(AC2 &amp; "/usb_stick/3dw_d57e40c0-58d3-463a-9350-7abcbfa8918f/rendering/17.xyz", "0.0")</f>
        <v>0.0</v>
      </c>
      <c r="U2711" s="13" t="str">
        <f>HYPERLINK(AC2 &amp; "/usb_stick/3dw_d57e40c0-58d3-463a-9350-7abcbfa8918f/rendering/18.xyz", "0.0")</f>
        <v>0.0</v>
      </c>
      <c r="V2711" s="13" t="str">
        <f>HYPERLINK(AC2 &amp; "/usb_stick/3dw_d57e40c0-58d3-463a-9350-7abcbfa8918f/rendering/19.xyz", "0.0")</f>
        <v>0.0</v>
      </c>
      <c r="W2711" s="12" t="s">
        <v>33</v>
      </c>
      <c r="X2711" s="13">
        <v>0</v>
      </c>
      <c r="Y2711" s="13">
        <v>0</v>
      </c>
      <c r="Z2711" s="13">
        <v>0</v>
      </c>
    </row>
    <row r="2712" spans="1:26" x14ac:dyDescent="0.2">
      <c r="A2712" s="1">
        <v>2710</v>
      </c>
      <c r="B2712" s="2" t="s">
        <v>575</v>
      </c>
      <c r="C2712" s="99" t="str">
        <f>HYPERLINK(AA2 &amp; "/usb_stick/3dw_d6ec29d0-0e69-4d1b-af10-a025329bafa9/rendering/00.obj", "1.78133163452")</f>
        <v>1.78133163452</v>
      </c>
      <c r="D2712" s="55" t="str">
        <f>HYPERLINK(AA2 &amp; "/usb_stick/3dw_d6ec29d0-0e69-4d1b-af10-a025329bafa9/rendering/01.obj", "1.96818572998")</f>
        <v>1.96818572998</v>
      </c>
      <c r="E2712" s="10" t="str">
        <f>HYPERLINK(AA2 &amp; "/usb_stick/3dw_d6ec29d0-0e69-4d1b-af10-a025329bafa9/rendering/02.obj", "2.30517944336")</f>
        <v>2.30517944336</v>
      </c>
      <c r="F2712" s="20" t="str">
        <f>HYPERLINK(AA2 &amp; "/usb_stick/3dw_d6ec29d0-0e69-4d1b-af10-a025329bafa9/rendering/03.obj", "6.43246704102")</f>
        <v>6.43246704102</v>
      </c>
      <c r="G2712" s="99" t="str">
        <f>HYPERLINK(AA2 &amp; "/usb_stick/3dw_d6ec29d0-0e69-4d1b-af10-a025329bafa9/rendering/04.obj", "1.78022918701")</f>
        <v>1.78022918701</v>
      </c>
      <c r="H2712" s="44" t="str">
        <f>HYPERLINK(AA2 &amp; "/usb_stick/3dw_d6ec29d0-0e69-4d1b-af10-a025329bafa9/rendering/05.obj", "2.91891906738")</f>
        <v>2.91891906738</v>
      </c>
      <c r="I2712" s="119" t="str">
        <f>HYPERLINK(AA2 &amp; "/usb_stick/3dw_d6ec29d0-0e69-4d1b-af10-a025329bafa9/rendering/06.obj", "1.79159561157")</f>
        <v>1.79159561157</v>
      </c>
      <c r="J2712" s="109" t="str">
        <f>HYPERLINK(AA2 &amp; "/usb_stick/3dw_d6ec29d0-0e69-4d1b-af10-a025329bafa9/rendering/07.obj", "1.98065216064")</f>
        <v>1.98065216064</v>
      </c>
      <c r="K2712" s="106" t="str">
        <f>HYPERLINK(AA2 &amp; "/usb_stick/3dw_d6ec29d0-0e69-4d1b-af10-a025329bafa9/rendering/08.obj", "2.16160186768")</f>
        <v>2.16160186768</v>
      </c>
      <c r="L2712" s="58" t="str">
        <f>HYPERLINK(AA2 &amp; "/usb_stick/3dw_d6ec29d0-0e69-4d1b-af10-a025329bafa9/rendering/09.obj", "1.85080566406")</f>
        <v>1.85080566406</v>
      </c>
      <c r="M2712" s="67" t="str">
        <f>HYPERLINK(AA2 &amp; "/usb_stick/3dw_d6ec29d0-0e69-4d1b-af10-a025329bafa9/rendering/10.obj", "2.21312423706")</f>
        <v>2.21312423706</v>
      </c>
      <c r="N2712" s="20" t="str">
        <f>HYPERLINK(AA2 &amp; "/usb_stick/3dw_d6ec29d0-0e69-4d1b-af10-a025329bafa9/rendering/11.obj", "4.69821289063")</f>
        <v>4.69821289063</v>
      </c>
      <c r="O2712" s="83" t="str">
        <f>HYPERLINK(AA2 &amp; "/usb_stick/3dw_d6ec29d0-0e69-4d1b-af10-a025329bafa9/rendering/12.obj", "2.0727331543")</f>
        <v>2.0727331543</v>
      </c>
      <c r="P2712" s="82" t="str">
        <f>HYPERLINK(AA2 &amp; "/usb_stick/3dw_d6ec29d0-0e69-4d1b-af10-a025329bafa9/rendering/13.obj", "1.94279449463")</f>
        <v>1.94279449463</v>
      </c>
      <c r="Q2712" s="109" t="str">
        <f>HYPERLINK(AA2 &amp; "/usb_stick/3dw_d6ec29d0-0e69-4d1b-af10-a025329bafa9/rendering/14.obj", "1.97564086914")</f>
        <v>1.97564086914</v>
      </c>
      <c r="R2712" s="84" t="str">
        <f>HYPERLINK(AA2 &amp; "/usb_stick/3dw_d6ec29d0-0e69-4d1b-af10-a025329bafa9/rendering/15.obj", "2.08545654297")</f>
        <v>2.08545654297</v>
      </c>
      <c r="S2712" s="78" t="str">
        <f>HYPERLINK(AA2 &amp; "/usb_stick/3dw_d6ec29d0-0e69-4d1b-af10-a025329bafa9/rendering/16.obj", "2.29666244507")</f>
        <v>2.29666244507</v>
      </c>
      <c r="T2712" s="8" t="str">
        <f>HYPERLINK(AA2 &amp; "/usb_stick/3dw_d6ec29d0-0e69-4d1b-af10-a025329bafa9/rendering/17.obj", "2.09328033447")</f>
        <v>2.09328033447</v>
      </c>
      <c r="U2712" s="49" t="str">
        <f>HYPERLINK(AA2 &amp; "/usb_stick/3dw_d6ec29d0-0e69-4d1b-af10-a025329bafa9/rendering/18.obj", "1.9296585083")</f>
        <v>1.9296585083</v>
      </c>
      <c r="V2712" s="10" t="str">
        <f>HYPERLINK(AA2 &amp; "/usb_stick/3dw_d6ec29d0-0e69-4d1b-af10-a025329bafa9/rendering/19.obj", "2.57905670166")</f>
        <v>2.57905670166</v>
      </c>
      <c r="W2712" s="12" t="s">
        <v>29</v>
      </c>
      <c r="X2712" s="13">
        <v>2.442879379272461</v>
      </c>
      <c r="Y2712" s="13">
        <v>1.109729108973732</v>
      </c>
      <c r="Z2712" s="191">
        <v>0.45427093879036778</v>
      </c>
    </row>
    <row r="2713" spans="1:26" x14ac:dyDescent="0.2">
      <c r="A2713" s="1">
        <v>2711</v>
      </c>
      <c r="B2713" s="2" t="s">
        <v>575</v>
      </c>
      <c r="C2713" s="156" t="str">
        <f>HYPERLINK(AA2 &amp; "/usb_stick/3dw_d6ec29d0-0e69-4d1b-af10-a025329bafa9/rendering/00.obj", "1.50487482548")</f>
        <v>1.50487482548</v>
      </c>
      <c r="D2713" s="181" t="str">
        <f>HYPERLINK(AA2 &amp; "/usb_stick/3dw_d6ec29d0-0e69-4d1b-af10-a025329bafa9/rendering/01.obj", "1.51800858974")</f>
        <v>1.51800858974</v>
      </c>
      <c r="E2713" s="93" t="str">
        <f>HYPERLINK(AA2 &amp; "/usb_stick/3dw_d6ec29d0-0e69-4d1b-af10-a025329bafa9/rendering/02.obj", "2.34467434883")</f>
        <v>2.34467434883</v>
      </c>
      <c r="F2713" s="20" t="str">
        <f>HYPERLINK(AA2 &amp; "/usb_stick/3dw_d6ec29d0-0e69-4d1b-af10-a025329bafa9/rendering/03.obj", "12.0945892334")</f>
        <v>12.0945892334</v>
      </c>
      <c r="G2713" s="126" t="str">
        <f>HYPERLINK(AA2 &amp; "/usb_stick/3dw_d6ec29d0-0e69-4d1b-af10-a025329bafa9/rendering/04.obj", "1.36700296402")</f>
        <v>1.36700296402</v>
      </c>
      <c r="H2713" s="11" t="str">
        <f>HYPERLINK(AA2 &amp; "/usb_stick/3dw_d6ec29d0-0e69-4d1b-af10-a025329bafa9/rendering/05.obj", "3.33736872673")</f>
        <v>3.33736872673</v>
      </c>
      <c r="I2713" s="143" t="str">
        <f>HYPERLINK(AA2 &amp; "/usb_stick/3dw_d6ec29d0-0e69-4d1b-af10-a025329bafa9/rendering/06.obj", "1.44027423859")</f>
        <v>1.44027423859</v>
      </c>
      <c r="J2713" s="143" t="str">
        <f>HYPERLINK(AA2 &amp; "/usb_stick/3dw_d6ec29d0-0e69-4d1b-af10-a025329bafa9/rendering/07.obj", "1.43901848793")</f>
        <v>1.43901848793</v>
      </c>
      <c r="K2713" s="96" t="str">
        <f>HYPERLINK(AA2 &amp; "/usb_stick/3dw_d6ec29d0-0e69-4d1b-af10-a025329bafa9/rendering/08.obj", "1.73581254482")</f>
        <v>1.73581254482</v>
      </c>
      <c r="L2713" s="128" t="str">
        <f>HYPERLINK(AA2 &amp; "/usb_stick/3dw_d6ec29d0-0e69-4d1b-af10-a025329bafa9/rendering/09.obj", "1.66108608246")</f>
        <v>1.66108608246</v>
      </c>
      <c r="M2713" s="61" t="str">
        <f>HYPERLINK(AA2 &amp; "/usb_stick/3dw_d6ec29d0-0e69-4d1b-af10-a025329bafa9/rendering/10.obj", "1.89827513695")</f>
        <v>1.89827513695</v>
      </c>
      <c r="N2713" s="20" t="str">
        <f>HYPERLINK(AA2 &amp; "/usb_stick/3dw_d6ec29d0-0e69-4d1b-af10-a025329bafa9/rendering/11.obj", "8.44842338562")</f>
        <v>8.44842338562</v>
      </c>
      <c r="O2713" s="96" t="str">
        <f>HYPERLINK(AA2 &amp; "/usb_stick/3dw_d6ec29d0-0e69-4d1b-af10-a025329bafa9/rendering/12.obj", "1.73678708076")</f>
        <v>1.73678708076</v>
      </c>
      <c r="P2713" s="53" t="str">
        <f>HYPERLINK(AA2 &amp; "/usb_stick/3dw_d6ec29d0-0e69-4d1b-af10-a025329bafa9/rendering/13.obj", "1.60190844536")</f>
        <v>1.60190844536</v>
      </c>
      <c r="Q2713" s="192" t="str">
        <f>HYPERLINK(AA2 &amp; "/usb_stick/3dw_d6ec29d0-0e69-4d1b-af10-a025329bafa9/rendering/14.obj", "1.71132516861")</f>
        <v>1.71132516861</v>
      </c>
      <c r="R2713" s="137" t="str">
        <f>HYPERLINK(AA2 &amp; "/usb_stick/3dw_d6ec29d0-0e69-4d1b-af10-a025329bafa9/rendering/15.obj", "1.72818768024")</f>
        <v>1.72818768024</v>
      </c>
      <c r="S2713" s="30" t="str">
        <f>HYPERLINK(AA2 &amp; "/usb_stick/3dw_d6ec29d0-0e69-4d1b-af10-a025329bafa9/rendering/16.obj", "2.7124042511")</f>
        <v>2.7124042511</v>
      </c>
      <c r="T2713" s="132" t="str">
        <f>HYPERLINK(AA2 &amp; "/usb_stick/3dw_d6ec29d0-0e69-4d1b-af10-a025329bafa9/rendering/17.obj", "1.58190953732")</f>
        <v>1.58190953732</v>
      </c>
      <c r="U2713" s="148" t="str">
        <f>HYPERLINK(AA2 &amp; "/usb_stick/3dw_d6ec29d0-0e69-4d1b-af10-a025329bafa9/rendering/18.obj", "1.40439462662")</f>
        <v>1.40439462662</v>
      </c>
      <c r="V2713" s="82" t="str">
        <f>HYPERLINK(AA2 &amp; "/usb_stick/3dw_d6ec29d0-0e69-4d1b-af10-a025329bafa9/rendering/19.obj", "3.29272389412")</f>
        <v>3.29272389412</v>
      </c>
      <c r="W2713" s="12" t="s">
        <v>30</v>
      </c>
      <c r="X2713" s="13">
        <v>2.7279524624347689</v>
      </c>
      <c r="Y2713" s="13">
        <v>2.6418391104730019</v>
      </c>
      <c r="Z2713" s="20">
        <v>0.968432971927631</v>
      </c>
    </row>
    <row r="2714" spans="1:26" x14ac:dyDescent="0.2">
      <c r="A2714" s="1">
        <v>2712</v>
      </c>
      <c r="B2714" s="2" t="s">
        <v>575</v>
      </c>
      <c r="C2714" s="46" t="str">
        <f>HYPERLINK(AB2 &amp; "/usb_stick/3dw_d6ec29d0-0e69-4d1b-af10-a025329bafa9/rendering/00.obj", "1.86554931641")</f>
        <v>1.86554931641</v>
      </c>
      <c r="D2714" s="10" t="str">
        <f>HYPERLINK(AB2 &amp; "/usb_stick/3dw_d6ec29d0-0e69-4d1b-af10-a025329bafa9/rendering/01.obj", "1.79480026245")</f>
        <v>1.79480026245</v>
      </c>
      <c r="E2714" s="23" t="str">
        <f>HYPERLINK(AB2 &amp; "/usb_stick/3dw_d6ec29d0-0e69-4d1b-af10-a025329bafa9/rendering/02.obj", "1.82218490601")</f>
        <v>1.82218490601</v>
      </c>
      <c r="F2714" s="54" t="str">
        <f>HYPERLINK(AB2 &amp; "/usb_stick/3dw_d6ec29d0-0e69-4d1b-af10-a025329bafa9/rendering/03.obj", "2.52378036499")</f>
        <v>2.52378036499</v>
      </c>
      <c r="G2714" s="10" t="str">
        <f>HYPERLINK(AB2 &amp; "/usb_stick/3dw_d6ec29d0-0e69-4d1b-af10-a025329bafa9/rendering/04.obj", "1.79262008667")</f>
        <v>1.79262008667</v>
      </c>
      <c r="H2714" s="73" t="str">
        <f>HYPERLINK(AB2 &amp; "/usb_stick/3dw_d6ec29d0-0e69-4d1b-af10-a025329bafa9/rendering/05.obj", "1.96749206543")</f>
        <v>1.96749206543</v>
      </c>
      <c r="I2714" s="48" t="str">
        <f>HYPERLINK(AB2 &amp; "/usb_stick/3dw_d6ec29d0-0e69-4d1b-af10-a025329bafa9/rendering/06.obj", "1.8559475708")</f>
        <v>1.8559475708</v>
      </c>
      <c r="J2714" s="13" t="str">
        <f>HYPERLINK(AB2 &amp; "/usb_stick/3dw_d6ec29d0-0e69-4d1b-af10-a025329bafa9/rendering/07.obj", "1.90340545654")</f>
        <v>1.90340545654</v>
      </c>
      <c r="K2714" s="90" t="str">
        <f>HYPERLINK(AB2 &amp; "/usb_stick/3dw_d6ec29d0-0e69-4d1b-af10-a025329bafa9/rendering/08.obj", "1.7183416748")</f>
        <v>1.7183416748</v>
      </c>
      <c r="L2714" s="48" t="str">
        <f>HYPERLINK(AB2 &amp; "/usb_stick/3dw_d6ec29d0-0e69-4d1b-af10-a025329bafa9/rendering/09.obj", "1.85484695435")</f>
        <v>1.85484695435</v>
      </c>
      <c r="M2714" s="6" t="str">
        <f>HYPERLINK(AB2 &amp; "/usb_stick/3dw_d6ec29d0-0e69-4d1b-af10-a025329bafa9/rendering/10.obj", "1.81228393555")</f>
        <v>1.81228393555</v>
      </c>
      <c r="N2714" s="73" t="str">
        <f>HYPERLINK(AB2 &amp; "/usb_stick/3dw_d6ec29d0-0e69-4d1b-af10-a025329bafa9/rendering/11.obj", "1.96445617676")</f>
        <v>1.96445617676</v>
      </c>
      <c r="O2714" s="94" t="str">
        <f>HYPERLINK(AB2 &amp; "/usb_stick/3dw_d6ec29d0-0e69-4d1b-af10-a025329bafa9/rendering/12.obj", "2.03850708008")</f>
        <v>2.03850708008</v>
      </c>
      <c r="P2714" s="26" t="str">
        <f>HYPERLINK(AB2 &amp; "/usb_stick/3dw_d6ec29d0-0e69-4d1b-af10-a025329bafa9/rendering/13.obj", "1.77643676758")</f>
        <v>1.77643676758</v>
      </c>
      <c r="Q2714" s="68" t="str">
        <f>HYPERLINK(AB2 &amp; "/usb_stick/3dw_d6ec29d0-0e69-4d1b-af10-a025329bafa9/rendering/14.obj", "1.97778396606")</f>
        <v>1.97778396606</v>
      </c>
      <c r="R2714" s="90" t="str">
        <f>HYPERLINK(AB2 &amp; "/usb_stick/3dw_d6ec29d0-0e69-4d1b-af10-a025329bafa9/rendering/15.obj", "1.71774505615")</f>
        <v>1.71774505615</v>
      </c>
      <c r="S2714" s="70" t="str">
        <f>HYPERLINK(AB2 &amp; "/usb_stick/3dw_d6ec29d0-0e69-4d1b-af10-a025329bafa9/rendering/16.obj", "1.65463562012")</f>
        <v>1.65463562012</v>
      </c>
      <c r="T2714" s="46" t="str">
        <f>HYPERLINK(AB2 &amp; "/usb_stick/3dw_d6ec29d0-0e69-4d1b-af10-a025329bafa9/rendering/17.obj", "1.86898666382")</f>
        <v>1.86898666382</v>
      </c>
      <c r="U2714" s="30" t="str">
        <f>HYPERLINK(AB2 &amp; "/usb_stick/3dw_d6ec29d0-0e69-4d1b-af10-a025329bafa9/rendering/18.obj", "1.8872479248")</f>
        <v>1.8872479248</v>
      </c>
      <c r="V2714" s="80" t="str">
        <f>HYPERLINK(AB2 &amp; "/usb_stick/3dw_d6ec29d0-0e69-4d1b-af10-a025329bafa9/rendering/19.obj", "2.18052017212")</f>
        <v>2.18052017212</v>
      </c>
      <c r="W2714" s="12" t="s">
        <v>31</v>
      </c>
      <c r="X2714" s="13">
        <v>1.8988786010742189</v>
      </c>
      <c r="Y2714" s="13">
        <v>0.18520932587633171</v>
      </c>
      <c r="Z2714" s="110">
        <v>9.753615937930761E-2</v>
      </c>
    </row>
    <row r="2715" spans="1:26" x14ac:dyDescent="0.2">
      <c r="A2715" s="1">
        <v>2713</v>
      </c>
      <c r="B2715" s="2" t="s">
        <v>575</v>
      </c>
      <c r="C2715" s="133" t="str">
        <f>HYPERLINK(AB2 &amp; "/usb_stick/3dw_d6ec29d0-0e69-4d1b-af10-a025329bafa9/rendering/00.obj", "1.32015502453")</f>
        <v>1.32015502453</v>
      </c>
      <c r="D2715" s="90" t="str">
        <f>HYPERLINK(AB2 &amp; "/usb_stick/3dw_d6ec29d0-0e69-4d1b-af10-a025329bafa9/rendering/01.obj", "1.3304759264")</f>
        <v>1.3304759264</v>
      </c>
      <c r="E2715" s="23" t="str">
        <f>HYPERLINK(AB2 &amp; "/usb_stick/3dw_d6ec29d0-0e69-4d1b-af10-a025329bafa9/rendering/02.obj", "1.41543412209")</f>
        <v>1.41543412209</v>
      </c>
      <c r="F2715" s="234" t="str">
        <f>HYPERLINK(AB2 &amp; "/usb_stick/3dw_d6ec29d0-0e69-4d1b-af10-a025329bafa9/rendering/03.obj", "2.56301379204")</f>
        <v>2.56301379204</v>
      </c>
      <c r="G2715" s="39" t="str">
        <f>HYPERLINK(AB2 &amp; "/usb_stick/3dw_d6ec29d0-0e69-4d1b-af10-a025329bafa9/rendering/04.obj", "1.34485661983")</f>
        <v>1.34485661983</v>
      </c>
      <c r="H2715" s="35" t="str">
        <f>HYPERLINK(AB2 &amp; "/usb_stick/3dw_d6ec29d0-0e69-4d1b-af10-a025329bafa9/rendering/05.obj", "1.38466131687")</f>
        <v>1.38466131687</v>
      </c>
      <c r="I2715" s="39" t="str">
        <f>HYPERLINK(AB2 &amp; "/usb_stick/3dw_d6ec29d0-0e69-4d1b-af10-a025329bafa9/rendering/06.obj", "1.59716069698")</f>
        <v>1.59716069698</v>
      </c>
      <c r="J2715" s="69" t="str">
        <f>HYPERLINK(AB2 &amp; "/usb_stick/3dw_d6ec29d0-0e69-4d1b-af10-a025329bafa9/rendering/07.obj", "1.42717063427")</f>
        <v>1.42717063427</v>
      </c>
      <c r="K2715" s="27" t="str">
        <f>HYPERLINK(AB2 &amp; "/usb_stick/3dw_d6ec29d0-0e69-4d1b-af10-a025329bafa9/rendering/08.obj", "1.36622619629")</f>
        <v>1.36622619629</v>
      </c>
      <c r="L2715" s="63" t="str">
        <f>HYPERLINK(AB2 &amp; "/usb_stick/3dw_d6ec29d0-0e69-4d1b-af10-a025329bafa9/rendering/09.obj", "1.29621720314")</f>
        <v>1.29621720314</v>
      </c>
      <c r="M2715" s="26" t="str">
        <f>HYPERLINK(AB2 &amp; "/usb_stick/3dw_d6ec29d0-0e69-4d1b-af10-a025329bafa9/rendering/10.obj", "1.37765657902")</f>
        <v>1.37765657902</v>
      </c>
      <c r="N2715" s="59" t="str">
        <f>HYPERLINK(AB2 &amp; "/usb_stick/3dw_d6ec29d0-0e69-4d1b-af10-a025329bafa9/rendering/11.obj", "1.82668089867")</f>
        <v>1.82668089867</v>
      </c>
      <c r="O2715" s="17" t="str">
        <f>HYPERLINK(AB2 &amp; "/usb_stick/3dw_d6ec29d0-0e69-4d1b-af10-a025329bafa9/rendering/12.obj", "1.44195389748")</f>
        <v>1.44195389748</v>
      </c>
      <c r="P2715" s="32" t="str">
        <f>HYPERLINK(AB2 &amp; "/usb_stick/3dw_d6ec29d0-0e69-4d1b-af10-a025329bafa9/rendering/13.obj", "1.31503081322")</f>
        <v>1.31503081322</v>
      </c>
      <c r="Q2715" s="5" t="str">
        <f>HYPERLINK(AB2 &amp; "/usb_stick/3dw_d6ec29d0-0e69-4d1b-af10-a025329bafa9/rendering/14.obj", "1.35842823982")</f>
        <v>1.35842823982</v>
      </c>
      <c r="R2715" s="63" t="str">
        <f>HYPERLINK(AB2 &amp; "/usb_stick/3dw_d6ec29d0-0e69-4d1b-af10-a025329bafa9/rendering/15.obj", "1.2953056097")</f>
        <v>1.2953056097</v>
      </c>
      <c r="S2715" s="70" t="str">
        <f>HYPERLINK(AB2 &amp; "/usb_stick/3dw_d6ec29d0-0e69-4d1b-af10-a025329bafa9/rendering/16.obj", "1.28288793564")</f>
        <v>1.28288793564</v>
      </c>
      <c r="T2715" s="48" t="str">
        <f>HYPERLINK(AB2 &amp; "/usb_stick/3dw_d6ec29d0-0e69-4d1b-af10-a025329bafa9/rendering/17.obj", "1.43680202961")</f>
        <v>1.43680202961</v>
      </c>
      <c r="U2715" s="73" t="str">
        <f>HYPERLINK(AB2 &amp; "/usb_stick/3dw_d6ec29d0-0e69-4d1b-af10-a025329bafa9/rendering/18.obj", "1.41681063175")</f>
        <v>1.41681063175</v>
      </c>
      <c r="V2715" s="106" t="str">
        <f>HYPERLINK(AB2 &amp; "/usb_stick/3dw_d6ec29d0-0e69-4d1b-af10-a025329bafa9/rendering/19.obj", "1.63911449909")</f>
        <v>1.63911449909</v>
      </c>
      <c r="W2715" s="12" t="s">
        <v>32</v>
      </c>
      <c r="X2715" s="13">
        <v>1.4718021333217619</v>
      </c>
      <c r="Y2715" s="13">
        <v>0.28217797355810093</v>
      </c>
      <c r="Z2715" s="55">
        <v>0.1917227643373797</v>
      </c>
    </row>
    <row r="2716" spans="1:26" x14ac:dyDescent="0.2">
      <c r="A2716" s="1">
        <v>2714</v>
      </c>
      <c r="B2716" s="2" t="s">
        <v>575</v>
      </c>
      <c r="C2716" s="13" t="str">
        <f>HYPERLINK(AC2 &amp; "/usb_stick/3dw_d6ec29d0-0e69-4d1b-af10-a025329bafa9/rendering/00.xyz", "0.0")</f>
        <v>0.0</v>
      </c>
      <c r="D2716" s="13" t="str">
        <f>HYPERLINK(AC2 &amp; "/usb_stick/3dw_d6ec29d0-0e69-4d1b-af10-a025329bafa9/rendering/01.xyz", "0.0")</f>
        <v>0.0</v>
      </c>
      <c r="E2716" s="13" t="str">
        <f>HYPERLINK(AC2 &amp; "/usb_stick/3dw_d6ec29d0-0e69-4d1b-af10-a025329bafa9/rendering/02.xyz", "0.0")</f>
        <v>0.0</v>
      </c>
      <c r="F2716" s="13" t="str">
        <f>HYPERLINK(AC2 &amp; "/usb_stick/3dw_d6ec29d0-0e69-4d1b-af10-a025329bafa9/rendering/03.xyz", "0.0")</f>
        <v>0.0</v>
      </c>
      <c r="G2716" s="13" t="str">
        <f>HYPERLINK(AC2 &amp; "/usb_stick/3dw_d6ec29d0-0e69-4d1b-af10-a025329bafa9/rendering/04.xyz", "0.0")</f>
        <v>0.0</v>
      </c>
      <c r="H2716" s="13" t="str">
        <f>HYPERLINK(AC2 &amp; "/usb_stick/3dw_d6ec29d0-0e69-4d1b-af10-a025329bafa9/rendering/05.xyz", "0.0")</f>
        <v>0.0</v>
      </c>
      <c r="I2716" s="13" t="str">
        <f>HYPERLINK(AC2 &amp; "/usb_stick/3dw_d6ec29d0-0e69-4d1b-af10-a025329bafa9/rendering/06.xyz", "0.0")</f>
        <v>0.0</v>
      </c>
      <c r="J2716" s="13" t="str">
        <f>HYPERLINK(AC2 &amp; "/usb_stick/3dw_d6ec29d0-0e69-4d1b-af10-a025329bafa9/rendering/07.xyz", "0.0")</f>
        <v>0.0</v>
      </c>
      <c r="K2716" s="13" t="str">
        <f>HYPERLINK(AC2 &amp; "/usb_stick/3dw_d6ec29d0-0e69-4d1b-af10-a025329bafa9/rendering/08.xyz", "0.0")</f>
        <v>0.0</v>
      </c>
      <c r="L2716" s="13" t="str">
        <f>HYPERLINK(AC2 &amp; "/usb_stick/3dw_d6ec29d0-0e69-4d1b-af10-a025329bafa9/rendering/09.xyz", "0.0")</f>
        <v>0.0</v>
      </c>
      <c r="M2716" s="13" t="str">
        <f>HYPERLINK(AC2 &amp; "/usb_stick/3dw_d6ec29d0-0e69-4d1b-af10-a025329bafa9/rendering/10.xyz", "0.0")</f>
        <v>0.0</v>
      </c>
      <c r="N2716" s="13" t="str">
        <f>HYPERLINK(AC2 &amp; "/usb_stick/3dw_d6ec29d0-0e69-4d1b-af10-a025329bafa9/rendering/11.xyz", "0.0")</f>
        <v>0.0</v>
      </c>
      <c r="O2716" s="13" t="str">
        <f>HYPERLINK(AC2 &amp; "/usb_stick/3dw_d6ec29d0-0e69-4d1b-af10-a025329bafa9/rendering/12.xyz", "0.0")</f>
        <v>0.0</v>
      </c>
      <c r="P2716" s="13" t="str">
        <f>HYPERLINK(AC2 &amp; "/usb_stick/3dw_d6ec29d0-0e69-4d1b-af10-a025329bafa9/rendering/13.xyz", "0.0")</f>
        <v>0.0</v>
      </c>
      <c r="Q2716" s="13" t="str">
        <f>HYPERLINK(AC2 &amp; "/usb_stick/3dw_d6ec29d0-0e69-4d1b-af10-a025329bafa9/rendering/14.xyz", "0.0")</f>
        <v>0.0</v>
      </c>
      <c r="R2716" s="13" t="str">
        <f>HYPERLINK(AC2 &amp; "/usb_stick/3dw_d6ec29d0-0e69-4d1b-af10-a025329bafa9/rendering/15.xyz", "0.0")</f>
        <v>0.0</v>
      </c>
      <c r="S2716" s="13" t="str">
        <f>HYPERLINK(AC2 &amp; "/usb_stick/3dw_d6ec29d0-0e69-4d1b-af10-a025329bafa9/rendering/16.xyz", "0.0")</f>
        <v>0.0</v>
      </c>
      <c r="T2716" s="13" t="str">
        <f>HYPERLINK(AC2 &amp; "/usb_stick/3dw_d6ec29d0-0e69-4d1b-af10-a025329bafa9/rendering/17.xyz", "0.0")</f>
        <v>0.0</v>
      </c>
      <c r="U2716" s="13" t="str">
        <f>HYPERLINK(AC2 &amp; "/usb_stick/3dw_d6ec29d0-0e69-4d1b-af10-a025329bafa9/rendering/18.xyz", "0.0")</f>
        <v>0.0</v>
      </c>
      <c r="V2716" s="13" t="str">
        <f>HYPERLINK(AC2 &amp; "/usb_stick/3dw_d6ec29d0-0e69-4d1b-af10-a025329bafa9/rendering/19.xyz", "0.0")</f>
        <v>0.0</v>
      </c>
      <c r="W2716" s="12" t="s">
        <v>33</v>
      </c>
      <c r="X2716" s="13">
        <v>0</v>
      </c>
      <c r="Y2716" s="13">
        <v>0</v>
      </c>
      <c r="Z2716" s="13">
        <v>0</v>
      </c>
    </row>
    <row r="2717" spans="1:26" x14ac:dyDescent="0.2">
      <c r="A2717" s="1">
        <v>2715</v>
      </c>
      <c r="B2717" s="2" t="s">
        <v>576</v>
      </c>
      <c r="C2717" s="95" t="str">
        <f>HYPERLINK(AA2 &amp; "/usb_stick/3dw_d7f02d43-d7ae-41ab-8f1f-05d1dba9f678/rendering/00.obj", "1.35472473145")</f>
        <v>1.35472473145</v>
      </c>
      <c r="D2717" s="20" t="str">
        <f>HYPERLINK(AA2 &amp; "/usb_stick/3dw_d7f02d43-d7ae-41ab-8f1f-05d1dba9f678/rendering/01.obj", "5.51500244141")</f>
        <v>5.51500244141</v>
      </c>
      <c r="E2717" s="133" t="str">
        <f>HYPERLINK(AA2 &amp; "/usb_stick/3dw_d7f02d43-d7ae-41ab-8f1f-05d1dba9f678/rendering/02.obj", "2.07608596802")</f>
        <v>2.07608596802</v>
      </c>
      <c r="F2717" s="11" t="str">
        <f>HYPERLINK(AA2 &amp; "/usb_stick/3dw_d7f02d43-d7ae-41ab-8f1f-05d1dba9f678/rendering/03.obj", "1.46396850586")</f>
        <v>1.46396850586</v>
      </c>
      <c r="G2717" s="54" t="str">
        <f>HYPERLINK(AA2 &amp; "/usb_stick/3dw_d7f02d43-d7ae-41ab-8f1f-05d1dba9f678/rendering/04.obj", "1.26885040283")</f>
        <v>1.26885040283</v>
      </c>
      <c r="H2717" s="153" t="str">
        <f>HYPERLINK(AA2 &amp; "/usb_stick/3dw_d7f02d43-d7ae-41ab-8f1f-05d1dba9f678/rendering/05.obj", "1.21346008301")</f>
        <v>1.21346008301</v>
      </c>
      <c r="I2717" s="98" t="str">
        <f>HYPERLINK(AA2 &amp; "/usb_stick/3dw_d7f02d43-d7ae-41ab-8f1f-05d1dba9f678/rendering/06.obj", "1.44804672241")</f>
        <v>1.44804672241</v>
      </c>
      <c r="J2717" s="138" t="str">
        <f>HYPERLINK(AA2 &amp; "/usb_stick/3dw_d7f02d43-d7ae-41ab-8f1f-05d1dba9f678/rendering/07.obj", "1.25002243042")</f>
        <v>1.25002243042</v>
      </c>
      <c r="K2717" s="4" t="str">
        <f>HYPERLINK(AA2 &amp; "/usb_stick/3dw_d7f02d43-d7ae-41ab-8f1f-05d1dba9f678/rendering/08.obj", "1.35014953613")</f>
        <v>1.35014953613</v>
      </c>
      <c r="L2717" s="20" t="str">
        <f>HYPERLINK(AA2 &amp; "/usb_stick/3dw_d7f02d43-d7ae-41ab-8f1f-05d1dba9f678/rendering/09.obj", "3.78149169922")</f>
        <v>3.78149169922</v>
      </c>
      <c r="M2717" s="81" t="str">
        <f>HYPERLINK(AA2 &amp; "/usb_stick/3dw_d7f02d43-d7ae-41ab-8f1f-05d1dba9f678/rendering/10.obj", "1.47510726929")</f>
        <v>1.47510726929</v>
      </c>
      <c r="N2717" s="6" t="str">
        <f>HYPERLINK(AA2 &amp; "/usb_stick/3dw_d7f02d43-d7ae-41ab-8f1f-05d1dba9f678/rendering/11.obj", "1.79728988647")</f>
        <v>1.79728988647</v>
      </c>
      <c r="O2717" s="148" t="str">
        <f>HYPERLINK(AA2 &amp; "/usb_stick/3dw_d7f02d43-d7ae-41ab-8f1f-05d1dba9f678/rendering/12.obj", "2.8002545166")</f>
        <v>2.8002545166</v>
      </c>
      <c r="P2717" s="136" t="str">
        <f>HYPERLINK(AA2 &amp; "/usb_stick/3dw_d7f02d43-d7ae-41ab-8f1f-05d1dba9f678/rendering/13.obj", "1.43915985107")</f>
        <v>1.43915985107</v>
      </c>
      <c r="Q2717" s="89" t="str">
        <f>HYPERLINK(AA2 &amp; "/usb_stick/3dw_d7f02d43-d7ae-41ab-8f1f-05d1dba9f678/rendering/14.obj", "1.39929473877")</f>
        <v>1.39929473877</v>
      </c>
      <c r="R2717" s="59" t="str">
        <f>HYPERLINK(AA2 &amp; "/usb_stick/3dw_d7f02d43-d7ae-41ab-8f1f-05d1dba9f678/rendering/15.obj", "1.43403884888")</f>
        <v>1.43403884888</v>
      </c>
      <c r="S2717" s="59" t="str">
        <f>HYPERLINK(AA2 &amp; "/usb_stick/3dw_d7f02d43-d7ae-41ab-8f1f-05d1dba9f678/rendering/16.obj", "2.33629943848")</f>
        <v>2.33629943848</v>
      </c>
      <c r="T2717" s="100" t="str">
        <f>HYPERLINK(AA2 &amp; "/usb_stick/3dw_d7f02d43-d7ae-41ab-8f1f-05d1dba9f678/rendering/17.obj", "1.31827667236")</f>
        <v>1.31827667236</v>
      </c>
      <c r="U2717" s="79" t="str">
        <f>HYPERLINK(AA2 &amp; "/usb_stick/3dw_d7f02d43-d7ae-41ab-8f1f-05d1dba9f678/rendering/18.obj", "1.58870025635")</f>
        <v>1.58870025635</v>
      </c>
      <c r="V2717" s="89" t="str">
        <f>HYPERLINK(AA2 &amp; "/usb_stick/3dw_d7f02d43-d7ae-41ab-8f1f-05d1dba9f678/rendering/19.obj", "1.39760894775")</f>
        <v>1.39760894775</v>
      </c>
      <c r="W2717" s="12" t="s">
        <v>29</v>
      </c>
      <c r="X2717" s="13">
        <v>1.8853916473388681</v>
      </c>
      <c r="Y2717" s="13">
        <v>1.0363638252884899</v>
      </c>
      <c r="Z2717" s="141">
        <v>0.54968092531398649</v>
      </c>
    </row>
    <row r="2718" spans="1:26" x14ac:dyDescent="0.2">
      <c r="A2718" s="1">
        <v>2716</v>
      </c>
      <c r="B2718" s="2" t="s">
        <v>576</v>
      </c>
      <c r="C2718" s="7" t="str">
        <f>HYPERLINK(AA2 &amp; "/usb_stick/3dw_d7f02d43-d7ae-41ab-8f1f-05d1dba9f678/rendering/00.obj", "2.15231084824")</f>
        <v>2.15231084824</v>
      </c>
      <c r="D2718" s="20" t="str">
        <f>HYPERLINK(AA2 &amp; "/usb_stick/3dw_d7f02d43-d7ae-41ab-8f1f-05d1dba9f678/rendering/01.obj", "10.9133691788")</f>
        <v>10.9133691788</v>
      </c>
      <c r="E2718" s="69" t="str">
        <f>HYPERLINK(AA2 &amp; "/usb_stick/3dw_d7f02d43-d7ae-41ab-8f1f-05d1dba9f678/rendering/02.obj", "3.05934786797")</f>
        <v>3.05934786797</v>
      </c>
      <c r="F2718" s="101" t="str">
        <f>HYPERLINK(AA2 &amp; "/usb_stick/3dw_d7f02d43-d7ae-41ab-8f1f-05d1dba9f678/rendering/03.obj", "1.85247659683")</f>
        <v>1.85247659683</v>
      </c>
      <c r="G2718" s="196" t="str">
        <f>HYPERLINK(AA2 &amp; "/usb_stick/3dw_d7f02d43-d7ae-41ab-8f1f-05d1dba9f678/rendering/04.obj", "1.79114079475")</f>
        <v>1.79114079475</v>
      </c>
      <c r="H2718" s="121" t="str">
        <f>HYPERLINK(AA2 &amp; "/usb_stick/3dw_d7f02d43-d7ae-41ab-8f1f-05d1dba9f678/rendering/05.obj", "1.92870008945")</f>
        <v>1.92870008945</v>
      </c>
      <c r="I2718" s="166" t="str">
        <f>HYPERLINK(AA2 &amp; "/usb_stick/3dw_d7f02d43-d7ae-41ab-8f1f-05d1dba9f678/rendering/06.obj", "2.12133479118")</f>
        <v>2.12133479118</v>
      </c>
      <c r="J2718" s="169" t="str">
        <f>HYPERLINK(AA2 &amp; "/usb_stick/3dw_d7f02d43-d7ae-41ab-8f1f-05d1dba9f678/rendering/07.obj", "2.04763746262")</f>
        <v>2.04763746262</v>
      </c>
      <c r="K2718" s="157" t="str">
        <f>HYPERLINK(AA2 &amp; "/usb_stick/3dw_d7f02d43-d7ae-41ab-8f1f-05d1dba9f678/rendering/08.obj", "1.74135291576")</f>
        <v>1.74135291576</v>
      </c>
      <c r="L2718" s="20" t="str">
        <f>HYPERLINK(AA2 &amp; "/usb_stick/3dw_d7f02d43-d7ae-41ab-8f1f-05d1dba9f678/rendering/09.obj", "8.42381858826")</f>
        <v>8.42381858826</v>
      </c>
      <c r="M2718" s="170" t="str">
        <f>HYPERLINK(AA2 &amp; "/usb_stick/3dw_d7f02d43-d7ae-41ab-8f1f-05d1dba9f678/rendering/10.obj", "2.22351646423")</f>
        <v>2.22351646423</v>
      </c>
      <c r="N2718" s="17" t="str">
        <f>HYPERLINK(AA2 &amp; "/usb_stick/3dw_d7f02d43-d7ae-41ab-8f1f-05d1dba9f678/rendering/11.obj", "3.03674244881")</f>
        <v>3.03674244881</v>
      </c>
      <c r="O2718" s="50" t="str">
        <f>HYPERLINK(AA2 &amp; "/usb_stick/3dw_d7f02d43-d7ae-41ab-8f1f-05d1dba9f678/rendering/12.obj", "3.56637954712")</f>
        <v>3.56637954712</v>
      </c>
      <c r="P2718" s="86" t="str">
        <f>HYPERLINK(AA2 &amp; "/usb_stick/3dw_d7f02d43-d7ae-41ab-8f1f-05d1dba9f678/rendering/13.obj", "2.1759853363")</f>
        <v>2.1759853363</v>
      </c>
      <c r="Q2718" s="169" t="str">
        <f>HYPERLINK(AA2 &amp; "/usb_stick/3dw_d7f02d43-d7ae-41ab-8f1f-05d1dba9f678/rendering/14.obj", "2.05004167557")</f>
        <v>2.05004167557</v>
      </c>
      <c r="R2718" s="198" t="str">
        <f>HYPERLINK(AA2 &amp; "/usb_stick/3dw_d7f02d43-d7ae-41ab-8f1f-05d1dba9f678/rendering/15.obj", "1.82294404507")</f>
        <v>1.82294404507</v>
      </c>
      <c r="S2718" s="35" t="str">
        <f>HYPERLINK(AA2 &amp; "/usb_stick/3dw_d7f02d43-d7ae-41ab-8f1f-05d1dba9f678/rendering/16.obj", "2.80454850197")</f>
        <v>2.80454850197</v>
      </c>
      <c r="T2718" s="122" t="str">
        <f>HYPERLINK(AA2 &amp; "/usb_stick/3dw_d7f02d43-d7ae-41ab-8f1f-05d1dba9f678/rendering/17.obj", "1.7749325037")</f>
        <v>1.7749325037</v>
      </c>
      <c r="U2718" s="7" t="str">
        <f>HYPERLINK(AA2 &amp; "/usb_stick/3dw_d7f02d43-d7ae-41ab-8f1f-05d1dba9f678/rendering/18.obj", "2.14496064186")</f>
        <v>2.14496064186</v>
      </c>
      <c r="V2718" s="123" t="str">
        <f>HYPERLINK(AA2 &amp; "/usb_stick/3dw_d7f02d43-d7ae-41ab-8f1f-05d1dba9f678/rendering/19.obj", "1.87400960922")</f>
        <v>1.87400960922</v>
      </c>
      <c r="W2718" s="12" t="s">
        <v>30</v>
      </c>
      <c r="X2718" s="13">
        <v>2.975277495384216</v>
      </c>
      <c r="Y2718" s="13">
        <v>2.3169813426141368</v>
      </c>
      <c r="Z2718" s="243">
        <v>0.77874462002574663</v>
      </c>
    </row>
    <row r="2719" spans="1:26" x14ac:dyDescent="0.2">
      <c r="A2719" s="1">
        <v>2717</v>
      </c>
      <c r="B2719" s="2" t="s">
        <v>576</v>
      </c>
      <c r="C2719" s="34" t="str">
        <f>HYPERLINK(AB2 &amp; "/usb_stick/3dw_d7f02d43-d7ae-41ab-8f1f-05d1dba9f678/rendering/00.obj", "1.43164398193")</f>
        <v>1.43164398193</v>
      </c>
      <c r="D2719" s="59" t="str">
        <f>HYPERLINK(AB2 &amp; "/usb_stick/3dw_d7f02d43-d7ae-41ab-8f1f-05d1dba9f678/rendering/01.obj", "1.6936630249")</f>
        <v>1.6936630249</v>
      </c>
      <c r="E2719" s="106" t="str">
        <f>HYPERLINK(AB2 &amp; "/usb_stick/3dw_d7f02d43-d7ae-41ab-8f1f-05d1dba9f678/rendering/02.obj", "1.20643341064")</f>
        <v>1.20643341064</v>
      </c>
      <c r="F2719" s="48" t="str">
        <f>HYPERLINK(AB2 &amp; "/usb_stick/3dw_d7f02d43-d7ae-41ab-8f1f-05d1dba9f678/rendering/03.obj", "1.39753295898")</f>
        <v>1.39753295898</v>
      </c>
      <c r="G2719" s="5" t="str">
        <f>HYPERLINK(AB2 &amp; "/usb_stick/3dw_d7f02d43-d7ae-41ab-8f1f-05d1dba9f678/rendering/04.obj", "1.25825317383")</f>
        <v>1.25825317383</v>
      </c>
      <c r="H2719" s="70" t="str">
        <f>HYPERLINK(AB2 &amp; "/usb_stick/3dw_d7f02d43-d7ae-41ab-8f1f-05d1dba9f678/rendering/05.obj", "1.53769836426")</f>
        <v>1.53769836426</v>
      </c>
      <c r="I2719" s="74" t="str">
        <f>HYPERLINK(AB2 &amp; "/usb_stick/3dw_d7f02d43-d7ae-41ab-8f1f-05d1dba9f678/rendering/06.obj", "1.38282836914")</f>
        <v>1.38282836914</v>
      </c>
      <c r="J2719" s="6" t="str">
        <f>HYPERLINK(AB2 &amp; "/usb_stick/3dw_d7f02d43-d7ae-41ab-8f1f-05d1dba9f678/rendering/07.obj", "1.3014239502")</f>
        <v>1.3014239502</v>
      </c>
      <c r="K2719" s="84" t="str">
        <f>HYPERLINK(AB2 &amp; "/usb_stick/3dw_d7f02d43-d7ae-41ab-8f1f-05d1dba9f678/rendering/08.obj", "1.16504043579")</f>
        <v>1.16504043579</v>
      </c>
      <c r="L2719" s="79" t="str">
        <f>HYPERLINK(AB2 &amp; "/usb_stick/3dw_d7f02d43-d7ae-41ab-8f1f-05d1dba9f678/rendering/09.obj", "1.58089553833")</f>
        <v>1.58089553833</v>
      </c>
      <c r="M2719" s="48" t="str">
        <f>HYPERLINK(AB2 &amp; "/usb_stick/3dw_d7f02d43-d7ae-41ab-8f1f-05d1dba9f678/rendering/10.obj", "1.33226806641")</f>
        <v>1.33226806641</v>
      </c>
      <c r="N2719" s="71" t="str">
        <f>HYPERLINK(AB2 &amp; "/usb_stick/3dw_d7f02d43-d7ae-41ab-8f1f-05d1dba9f678/rendering/11.obj", "1.52616546631")</f>
        <v>1.52616546631</v>
      </c>
      <c r="O2719" s="65" t="str">
        <f>HYPERLINK(AB2 &amp; "/usb_stick/3dw_d7f02d43-d7ae-41ab-8f1f-05d1dba9f678/rendering/12.obj", "1.54730041504")</f>
        <v>1.54730041504</v>
      </c>
      <c r="P2719" s="93" t="str">
        <f>HYPERLINK(AB2 &amp; "/usb_stick/3dw_d7f02d43-d7ae-41ab-8f1f-05d1dba9f678/rendering/13.obj", "1.17206764221")</f>
        <v>1.17206764221</v>
      </c>
      <c r="Q2719" s="74" t="str">
        <f>HYPERLINK(AB2 &amp; "/usb_stick/3dw_d7f02d43-d7ae-41ab-8f1f-05d1dba9f678/rendering/14.obj", "1.34541610718")</f>
        <v>1.34541610718</v>
      </c>
      <c r="R2719" s="17" t="str">
        <f>HYPERLINK(AB2 &amp; "/usb_stick/3dw_d7f02d43-d7ae-41ab-8f1f-05d1dba9f678/rendering/15.obj", "1.33595703125")</f>
        <v>1.33595703125</v>
      </c>
      <c r="S2719" s="27" t="str">
        <f>HYPERLINK(AB2 &amp; "/usb_stick/3dw_d7f02d43-d7ae-41ab-8f1f-05d1dba9f678/rendering/16.obj", "1.46152389526")</f>
        <v>1.46152389526</v>
      </c>
      <c r="T2719" s="110" t="str">
        <f>HYPERLINK(AB2 &amp; "/usb_stick/3dw_d7f02d43-d7ae-41ab-8f1f-05d1dba9f678/rendering/17.obj", "1.23132781982")</f>
        <v>1.23132781982</v>
      </c>
      <c r="U2719" s="65" t="str">
        <f>HYPERLINK(AB2 &amp; "/usb_stick/3dw_d7f02d43-d7ae-41ab-8f1f-05d1dba9f678/rendering/18.obj", "1.18470970154")</f>
        <v>1.18470970154</v>
      </c>
      <c r="V2719" s="63" t="str">
        <f>HYPERLINK(AB2 &amp; "/usb_stick/3dw_d7f02d43-d7ae-41ab-8f1f-05d1dba9f678/rendering/19.obj", "1.20047561646")</f>
        <v>1.20047561646</v>
      </c>
      <c r="W2719" s="12" t="s">
        <v>31</v>
      </c>
      <c r="X2719" s="13">
        <v>1.364631248474121</v>
      </c>
      <c r="Y2719" s="13">
        <v>0.15104981818363669</v>
      </c>
      <c r="Z2719" s="28">
        <v>0.11068910986212201</v>
      </c>
    </row>
    <row r="2720" spans="1:26" x14ac:dyDescent="0.2">
      <c r="A2720" s="1">
        <v>2718</v>
      </c>
      <c r="B2720" s="2" t="s">
        <v>576</v>
      </c>
      <c r="C2720" s="17" t="str">
        <f>HYPERLINK(AB2 &amp; "/usb_stick/3dw_d7f02d43-d7ae-41ab-8f1f-05d1dba9f678/rendering/00.obj", "1.95678174496")</f>
        <v>1.95678174496</v>
      </c>
      <c r="D2720" s="85" t="str">
        <f>HYPERLINK(AB2 &amp; "/usb_stick/3dw_d7f02d43-d7ae-41ab-8f1f-05d1dba9f678/rendering/01.obj", "2.48119187355")</f>
        <v>2.48119187355</v>
      </c>
      <c r="E2720" s="42" t="str">
        <f>HYPERLINK(AB2 &amp; "/usb_stick/3dw_d7f02d43-d7ae-41ab-8f1f-05d1dba9f678/rendering/02.obj", "1.65621256828")</f>
        <v>1.65621256828</v>
      </c>
      <c r="F2720" s="17" t="str">
        <f>HYPERLINK(AB2 &amp; "/usb_stick/3dw_d7f02d43-d7ae-41ab-8f1f-05d1dba9f678/rendering/03.obj", "1.95255982876")</f>
        <v>1.95255982876</v>
      </c>
      <c r="G2720" s="107" t="str">
        <f>HYPERLINK(AB2 &amp; "/usb_stick/3dw_d7f02d43-d7ae-41ab-8f1f-05d1dba9f678/rendering/04.obj", "1.75669622421")</f>
        <v>1.75669622421</v>
      </c>
      <c r="H2720" s="51" t="str">
        <f>HYPERLINK(AB2 &amp; "/usb_stick/3dw_d7f02d43-d7ae-41ab-8f1f-05d1dba9f678/rendering/05.obj", "2.0699775219")</f>
        <v>2.0699775219</v>
      </c>
      <c r="I2720" s="46" t="str">
        <f>HYPERLINK(AB2 &amp; "/usb_stick/3dw_d7f02d43-d7ae-41ab-8f1f-05d1dba9f678/rendering/06.obj", "1.88400602341")</f>
        <v>1.88400602341</v>
      </c>
      <c r="J2720" s="33" t="str">
        <f>HYPERLINK(AB2 &amp; "/usb_stick/3dw_d7f02d43-d7ae-41ab-8f1f-05d1dba9f678/rendering/07.obj", "1.71029639244")</f>
        <v>1.71029639244</v>
      </c>
      <c r="K2720" s="65" t="str">
        <f>HYPERLINK(AB2 &amp; "/usb_stick/3dw_d7f02d43-d7ae-41ab-8f1f-05d1dba9f678/rendering/08.obj", "1.65823411942")</f>
        <v>1.65823411942</v>
      </c>
      <c r="L2720" s="108" t="str">
        <f>HYPERLINK(AB2 &amp; "/usb_stick/3dw_d7f02d43-d7ae-41ab-8f1f-05d1dba9f678/rendering/09.obj", "2.38657331467")</f>
        <v>2.38657331467</v>
      </c>
      <c r="M2720" s="94" t="str">
        <f>HYPERLINK(AB2 &amp; "/usb_stick/3dw_d7f02d43-d7ae-41ab-8f1f-05d1dba9f678/rendering/10.obj", "2.05959868431")</f>
        <v>2.05959868431</v>
      </c>
      <c r="N2720" s="49" t="str">
        <f>HYPERLINK(AB2 &amp; "/usb_stick/3dw_d7f02d43-d7ae-41ab-8f1f-05d1dba9f678/rendering/11.obj", "2.31562614441")</f>
        <v>2.31562614441</v>
      </c>
      <c r="O2720" s="26" t="str">
        <f>HYPERLINK(AB2 &amp; "/usb_stick/3dw_d7f02d43-d7ae-41ab-8f1f-05d1dba9f678/rendering/12.obj", "2.03761029243")</f>
        <v>2.03761029243</v>
      </c>
      <c r="P2720" s="92" t="str">
        <f>HYPERLINK(AB2 &amp; "/usb_stick/3dw_d7f02d43-d7ae-41ab-8f1f-05d1dba9f678/rendering/13.obj", "1.67618489265")</f>
        <v>1.67618489265</v>
      </c>
      <c r="Q2720" s="10" t="str">
        <f>HYPERLINK(AB2 &amp; "/usb_stick/3dw_d7f02d43-d7ae-41ab-8f1f-05d1dba9f678/rendering/14.obj", "1.81027257442")</f>
        <v>1.81027257442</v>
      </c>
      <c r="R2720" s="68" t="str">
        <f>HYPERLINK(AB2 &amp; "/usb_stick/3dw_d7f02d43-d7ae-41ab-8f1f-05d1dba9f678/rendering/15.obj", "1.99791502953")</f>
        <v>1.99791502953</v>
      </c>
      <c r="S2720" s="35" t="str">
        <f>HYPERLINK(AB2 &amp; "/usb_stick/3dw_d7f02d43-d7ae-41ab-8f1f-05d1dba9f678/rendering/16.obj", "2.02382016182")</f>
        <v>2.02382016182</v>
      </c>
      <c r="T2720" s="24" t="str">
        <f>HYPERLINK(AB2 &amp; "/usb_stick/3dw_d7f02d43-d7ae-41ab-8f1f-05d1dba9f678/rendering/17.obj", "1.5925951004")</f>
        <v>1.5925951004</v>
      </c>
      <c r="U2720" s="65" t="str">
        <f>HYPERLINK(AB2 &amp; "/usb_stick/3dw_d7f02d43-d7ae-41ab-8f1f-05d1dba9f678/rendering/18.obj", "1.65946567059")</f>
        <v>1.65946567059</v>
      </c>
      <c r="V2720" s="83" t="str">
        <f>HYPERLINK(AB2 &amp; "/usb_stick/3dw_d7f02d43-d7ae-41ab-8f1f-05d1dba9f678/rendering/19.obj", "1.62426543236")</f>
        <v>1.62426543236</v>
      </c>
      <c r="W2720" s="12" t="s">
        <v>32</v>
      </c>
      <c r="X2720" s="13">
        <v>1.9154941797256471</v>
      </c>
      <c r="Y2720" s="13">
        <v>0.2557223156449942</v>
      </c>
      <c r="Z2720" s="65">
        <v>0.13350200608890439</v>
      </c>
    </row>
    <row r="2721" spans="1:26" x14ac:dyDescent="0.2">
      <c r="A2721" s="1">
        <v>2719</v>
      </c>
      <c r="B2721" s="2" t="s">
        <v>576</v>
      </c>
      <c r="C2721" s="13" t="str">
        <f>HYPERLINK(AC2 &amp; "/usb_stick/3dw_d7f02d43-d7ae-41ab-8f1f-05d1dba9f678/rendering/00.xyz", "0.0")</f>
        <v>0.0</v>
      </c>
      <c r="D2721" s="13" t="str">
        <f>HYPERLINK(AC2 &amp; "/usb_stick/3dw_d7f02d43-d7ae-41ab-8f1f-05d1dba9f678/rendering/01.xyz", "0.0")</f>
        <v>0.0</v>
      </c>
      <c r="E2721" s="13" t="str">
        <f>HYPERLINK(AC2 &amp; "/usb_stick/3dw_d7f02d43-d7ae-41ab-8f1f-05d1dba9f678/rendering/02.xyz", "0.0")</f>
        <v>0.0</v>
      </c>
      <c r="F2721" s="13" t="str">
        <f>HYPERLINK(AC2 &amp; "/usb_stick/3dw_d7f02d43-d7ae-41ab-8f1f-05d1dba9f678/rendering/03.xyz", "0.0")</f>
        <v>0.0</v>
      </c>
      <c r="G2721" s="13" t="str">
        <f>HYPERLINK(AC2 &amp; "/usb_stick/3dw_d7f02d43-d7ae-41ab-8f1f-05d1dba9f678/rendering/04.xyz", "0.0")</f>
        <v>0.0</v>
      </c>
      <c r="H2721" s="13" t="str">
        <f>HYPERLINK(AC2 &amp; "/usb_stick/3dw_d7f02d43-d7ae-41ab-8f1f-05d1dba9f678/rendering/05.xyz", "0.0")</f>
        <v>0.0</v>
      </c>
      <c r="I2721" s="13" t="str">
        <f>HYPERLINK(AC2 &amp; "/usb_stick/3dw_d7f02d43-d7ae-41ab-8f1f-05d1dba9f678/rendering/06.xyz", "0.0")</f>
        <v>0.0</v>
      </c>
      <c r="J2721" s="13" t="str">
        <f>HYPERLINK(AC2 &amp; "/usb_stick/3dw_d7f02d43-d7ae-41ab-8f1f-05d1dba9f678/rendering/07.xyz", "0.0")</f>
        <v>0.0</v>
      </c>
      <c r="K2721" s="13" t="str">
        <f>HYPERLINK(AC2 &amp; "/usb_stick/3dw_d7f02d43-d7ae-41ab-8f1f-05d1dba9f678/rendering/08.xyz", "0.0")</f>
        <v>0.0</v>
      </c>
      <c r="L2721" s="13" t="str">
        <f>HYPERLINK(AC2 &amp; "/usb_stick/3dw_d7f02d43-d7ae-41ab-8f1f-05d1dba9f678/rendering/09.xyz", "0.0")</f>
        <v>0.0</v>
      </c>
      <c r="M2721" s="13" t="str">
        <f>HYPERLINK(AC2 &amp; "/usb_stick/3dw_d7f02d43-d7ae-41ab-8f1f-05d1dba9f678/rendering/10.xyz", "0.0")</f>
        <v>0.0</v>
      </c>
      <c r="N2721" s="13" t="str">
        <f>HYPERLINK(AC2 &amp; "/usb_stick/3dw_d7f02d43-d7ae-41ab-8f1f-05d1dba9f678/rendering/11.xyz", "0.0")</f>
        <v>0.0</v>
      </c>
      <c r="O2721" s="13" t="str">
        <f>HYPERLINK(AC2 &amp; "/usb_stick/3dw_d7f02d43-d7ae-41ab-8f1f-05d1dba9f678/rendering/12.xyz", "0.0")</f>
        <v>0.0</v>
      </c>
      <c r="P2721" s="13" t="str">
        <f>HYPERLINK(AC2 &amp; "/usb_stick/3dw_d7f02d43-d7ae-41ab-8f1f-05d1dba9f678/rendering/13.xyz", "0.0")</f>
        <v>0.0</v>
      </c>
      <c r="Q2721" s="13" t="str">
        <f>HYPERLINK(AC2 &amp; "/usb_stick/3dw_d7f02d43-d7ae-41ab-8f1f-05d1dba9f678/rendering/14.xyz", "0.0")</f>
        <v>0.0</v>
      </c>
      <c r="R2721" s="13" t="str">
        <f>HYPERLINK(AC2 &amp; "/usb_stick/3dw_d7f02d43-d7ae-41ab-8f1f-05d1dba9f678/rendering/15.xyz", "0.0")</f>
        <v>0.0</v>
      </c>
      <c r="S2721" s="13" t="str">
        <f>HYPERLINK(AC2 &amp; "/usb_stick/3dw_d7f02d43-d7ae-41ab-8f1f-05d1dba9f678/rendering/16.xyz", "0.0")</f>
        <v>0.0</v>
      </c>
      <c r="T2721" s="13" t="str">
        <f>HYPERLINK(AC2 &amp; "/usb_stick/3dw_d7f02d43-d7ae-41ab-8f1f-05d1dba9f678/rendering/17.xyz", "0.0")</f>
        <v>0.0</v>
      </c>
      <c r="U2721" s="13" t="str">
        <f>HYPERLINK(AC2 &amp; "/usb_stick/3dw_d7f02d43-d7ae-41ab-8f1f-05d1dba9f678/rendering/18.xyz", "0.0")</f>
        <v>0.0</v>
      </c>
      <c r="V2721" s="13" t="str">
        <f>HYPERLINK(AC2 &amp; "/usb_stick/3dw_d7f02d43-d7ae-41ab-8f1f-05d1dba9f678/rendering/19.xyz", "0.0")</f>
        <v>0.0</v>
      </c>
      <c r="W2721" s="12" t="s">
        <v>33</v>
      </c>
      <c r="X2721" s="13">
        <v>0</v>
      </c>
      <c r="Y2721" s="13">
        <v>0</v>
      </c>
      <c r="Z2721" s="13">
        <v>0</v>
      </c>
    </row>
    <row r="2722" spans="1:26" x14ac:dyDescent="0.2">
      <c r="A2722" s="1">
        <v>2720</v>
      </c>
      <c r="B2722" s="2" t="s">
        <v>577</v>
      </c>
      <c r="C2722" s="7" t="str">
        <f>HYPERLINK(AA2 &amp; "/usb_stick/3dw_d8c1dd59-82c8-4601-b0dc-0300abc372f7/rendering/00.obj", "0.797734375")</f>
        <v>0.797734375</v>
      </c>
      <c r="D2722" s="37" t="str">
        <f>HYPERLINK(AA2 &amp; "/usb_stick/3dw_d8c1dd59-82c8-4601-b0dc-0300abc372f7/rendering/01.obj", "0.911103057861")</f>
        <v>0.911103057861</v>
      </c>
      <c r="E2722" s="39" t="str">
        <f>HYPERLINK(AA2 &amp; "/usb_stick/3dw_d8c1dd59-82c8-4601-b0dc-0300abc372f7/rendering/02.obj", "1.19888519287")</f>
        <v>1.19888519287</v>
      </c>
      <c r="F2722" s="82" t="str">
        <f>HYPERLINK(AA2 &amp; "/usb_stick/3dw_d8c1dd59-82c8-4601-b0dc-0300abc372f7/rendering/03.obj", "0.879424591064")</f>
        <v>0.879424591064</v>
      </c>
      <c r="G2722" s="185" t="str">
        <f>HYPERLINK(AA2 &amp; "/usb_stick/3dw_d8c1dd59-82c8-4601-b0dc-0300abc372f7/rendering/04.obj", "1.48214508057")</f>
        <v>1.48214508057</v>
      </c>
      <c r="H2722" s="29" t="str">
        <f>HYPERLINK(AA2 &amp; "/usb_stick/3dw_d8c1dd59-82c8-4601-b0dc-0300abc372f7/rendering/05.obj", "1.25038772583")</f>
        <v>1.25038772583</v>
      </c>
      <c r="I2722" s="63" t="str">
        <f>HYPERLINK(AA2 &amp; "/usb_stick/3dw_d8c1dd59-82c8-4601-b0dc-0300abc372f7/rendering/06.obj", "0.97009475708")</f>
        <v>0.97009475708</v>
      </c>
      <c r="J2722" s="92" t="str">
        <f>HYPERLINK(AA2 &amp; "/usb_stick/3dw_d8c1dd59-82c8-4601-b0dc-0300abc372f7/rendering/07.obj", "0.968040008545")</f>
        <v>0.968040008545</v>
      </c>
      <c r="K2722" s="20" t="str">
        <f>HYPERLINK(AA2 &amp; "/usb_stick/3dw_d8c1dd59-82c8-4601-b0dc-0300abc372f7/rendering/08.obj", "3.60791564941")</f>
        <v>3.60791564941</v>
      </c>
      <c r="L2722" s="92" t="str">
        <f>HYPERLINK(AA2 &amp; "/usb_stick/3dw_d8c1dd59-82c8-4601-b0dc-0300abc372f7/rendering/09.obj", "0.969709625244")</f>
        <v>0.969709625244</v>
      </c>
      <c r="M2722" s="13" t="str">
        <f>HYPERLINK(AA2 &amp; "/usb_stick/3dw_d8c1dd59-82c8-4601-b0dc-0300abc372f7/rendering/10.obj", "1.10748413086")</f>
        <v>1.10748413086</v>
      </c>
      <c r="N2722" s="29" t="str">
        <f>HYPERLINK(AA2 &amp; "/usb_stick/3dw_d8c1dd59-82c8-4601-b0dc-0300abc372f7/rendering/11.obj", "0.962424240112")</f>
        <v>0.962424240112</v>
      </c>
      <c r="O2722" s="98" t="str">
        <f>HYPERLINK(AA2 &amp; "/usb_stick/3dw_d8c1dd59-82c8-4601-b0dc-0300abc372f7/rendering/12.obj", "0.851415176392")</f>
        <v>0.851415176392</v>
      </c>
      <c r="P2722" s="10" t="str">
        <f>HYPERLINK(AA2 &amp; "/usb_stick/3dw_d8c1dd59-82c8-4601-b0dc-0300abc372f7/rendering/13.obj", "1.04486831665")</f>
        <v>1.04486831665</v>
      </c>
      <c r="Q2722" s="138" t="str">
        <f>HYPERLINK(AA2 &amp; "/usb_stick/3dw_d8c1dd59-82c8-4601-b0dc-0300abc372f7/rendering/14.obj", "0.731028060913")</f>
        <v>0.731028060913</v>
      </c>
      <c r="R2722" s="86" t="str">
        <f>HYPERLINK(AA2 &amp; "/usb_stick/3dw_d8c1dd59-82c8-4601-b0dc-0300abc372f7/rendering/15.obj", "0.809313735962")</f>
        <v>0.809313735962</v>
      </c>
      <c r="S2722" s="66" t="str">
        <f>HYPERLINK(AA2 &amp; "/usb_stick/3dw_d8c1dd59-82c8-4601-b0dc-0300abc372f7/rendering/16.obj", "0.927597198486")</f>
        <v>0.927597198486</v>
      </c>
      <c r="T2722" s="182" t="str">
        <f>HYPERLINK(AA2 &amp; "/usb_stick/3dw_d8c1dd59-82c8-4601-b0dc-0300abc372f7/rendering/17.obj", "0.736579437256")</f>
        <v>0.736579437256</v>
      </c>
      <c r="U2722" s="56" t="str">
        <f>HYPERLINK(AA2 &amp; "/usb_stick/3dw_d8c1dd59-82c8-4601-b0dc-0300abc372f7/rendering/18.obj", "0.765171661377")</f>
        <v>0.765171661377</v>
      </c>
      <c r="V2722" s="17" t="str">
        <f>HYPERLINK(AA2 &amp; "/usb_stick/3dw_d8c1dd59-82c8-4601-b0dc-0300abc372f7/rendering/19.obj", "1.12782348633")</f>
        <v>1.12782348633</v>
      </c>
      <c r="W2722" s="12" t="s">
        <v>29</v>
      </c>
      <c r="X2722" s="13">
        <v>1.1049572753906249</v>
      </c>
      <c r="Y2722" s="13">
        <v>0.60306221491388812</v>
      </c>
      <c r="Z2722" s="16">
        <v>0.54577876298492467</v>
      </c>
    </row>
    <row r="2723" spans="1:26" x14ac:dyDescent="0.2">
      <c r="A2723" s="1">
        <v>2721</v>
      </c>
      <c r="B2723" s="2" t="s">
        <v>577</v>
      </c>
      <c r="C2723" s="124" t="str">
        <f>HYPERLINK(AA2 &amp; "/usb_stick/3dw_d8c1dd59-82c8-4601-b0dc-0300abc372f7/rendering/00.obj", "2.26499581337")</f>
        <v>2.26499581337</v>
      </c>
      <c r="D2723" s="117" t="str">
        <f>HYPERLINK(AA2 &amp; "/usb_stick/3dw_d8c1dd59-82c8-4601-b0dc-0300abc372f7/rendering/01.obj", "3.00374817848")</f>
        <v>3.00374817848</v>
      </c>
      <c r="E2723" s="220" t="str">
        <f>HYPERLINK(AA2 &amp; "/usb_stick/3dw_d8c1dd59-82c8-4601-b0dc-0300abc372f7/rendering/02.obj", "6.14136219025")</f>
        <v>6.14136219025</v>
      </c>
      <c r="F2723" s="7" t="str">
        <f>HYPERLINK(AA2 &amp; "/usb_stick/3dw_d8c1dd59-82c8-4601-b0dc-0300abc372f7/rendering/03.obj", "2.64336872101")</f>
        <v>2.64336872101</v>
      </c>
      <c r="G2723" s="114" t="str">
        <f>HYPERLINK(AA2 &amp; "/usb_stick/3dw_d8c1dd59-82c8-4601-b0dc-0300abc372f7/rendering/04.obj", "5.33875465393")</f>
        <v>5.33875465393</v>
      </c>
      <c r="H2723" s="83" t="str">
        <f>HYPERLINK(AA2 &amp; "/usb_stick/3dw_d8c1dd59-82c8-4601-b0dc-0300abc372f7/rendering/05.obj", "4.20694541931")</f>
        <v>4.20694541931</v>
      </c>
      <c r="I2723" s="134" t="str">
        <f>HYPERLINK(AA2 &amp; "/usb_stick/3dw_d8c1dd59-82c8-4601-b0dc-0300abc372f7/rendering/06.obj", "2.99709200859")</f>
        <v>2.99709200859</v>
      </c>
      <c r="J2723" s="89" t="str">
        <f>HYPERLINK(AA2 &amp; "/usb_stick/3dw_d8c1dd59-82c8-4601-b0dc-0300abc372f7/rendering/07.obj", "2.70902371407")</f>
        <v>2.70902371407</v>
      </c>
      <c r="K2723" s="20" t="str">
        <f>HYPERLINK(AA2 &amp; "/usb_stick/3dw_d8c1dd59-82c8-4601-b0dc-0300abc372f7/rendering/08.obj", "13.9983320236")</f>
        <v>13.9983320236</v>
      </c>
      <c r="L2723" s="170" t="str">
        <f>HYPERLINK(AA2 &amp; "/usb_stick/3dw_d8c1dd59-82c8-4601-b0dc-0300abc372f7/rendering/09.obj", "2.73434948921")</f>
        <v>2.73434948921</v>
      </c>
      <c r="M2723" s="51" t="str">
        <f>HYPERLINK(AA2 &amp; "/usb_stick/3dw_d8c1dd59-82c8-4601-b0dc-0300abc372f7/rendering/10.obj", "3.35942459106")</f>
        <v>3.35942459106</v>
      </c>
      <c r="N2723" s="129" t="str">
        <f>HYPERLINK(AA2 &amp; "/usb_stick/3dw_d8c1dd59-82c8-4601-b0dc-0300abc372f7/rendering/11.obj", "2.74355864525")</f>
        <v>2.74355864525</v>
      </c>
      <c r="O2723" s="95" t="str">
        <f>HYPERLINK(AA2 &amp; "/usb_stick/3dw_d8c1dd59-82c8-4601-b0dc-0300abc372f7/rendering/12.obj", "2.63255524635")</f>
        <v>2.63255524635</v>
      </c>
      <c r="P2723" s="58" t="str">
        <f>HYPERLINK(AA2 &amp; "/usb_stick/3dw_d8c1dd59-82c8-4601-b0dc-0300abc372f7/rendering/13.obj", "2.76442050934")</f>
        <v>2.76442050934</v>
      </c>
      <c r="Q2723" s="140" t="str">
        <f>HYPERLINK(AA2 &amp; "/usb_stick/3dw_d8c1dd59-82c8-4601-b0dc-0300abc372f7/rendering/14.obj", "2.38496303558")</f>
        <v>2.38496303558</v>
      </c>
      <c r="R2723" s="187" t="str">
        <f>HYPERLINK(AA2 &amp; "/usb_stick/3dw_d8c1dd59-82c8-4601-b0dc-0300abc372f7/rendering/15.obj", "2.37423610687")</f>
        <v>2.37423610687</v>
      </c>
      <c r="S2723" s="95" t="str">
        <f>HYPERLINK(AA2 &amp; "/usb_stick/3dw_d8c1dd59-82c8-4601-b0dc-0300abc372f7/rendering/16.obj", "2.62798571587")</f>
        <v>2.62798571587</v>
      </c>
      <c r="T2723" s="137" t="str">
        <f>HYPERLINK(AA2 &amp; "/usb_stick/3dw_d8c1dd59-82c8-4601-b0dc-0300abc372f7/rendering/17.obj", "2.32031941414")</f>
        <v>2.32031941414</v>
      </c>
      <c r="U2723" s="113" t="str">
        <f>HYPERLINK(AA2 &amp; "/usb_stick/3dw_d8c1dd59-82c8-4601-b0dc-0300abc372f7/rendering/18.obj", "2.65750002861")</f>
        <v>2.65750002861</v>
      </c>
      <c r="V2723" s="63" t="str">
        <f>HYPERLINK(AA2 &amp; "/usb_stick/3dw_d8c1dd59-82c8-4601-b0dc-0300abc372f7/rendering/19.obj", "3.21742630005")</f>
        <v>3.21742630005</v>
      </c>
      <c r="W2723" s="12" t="s">
        <v>30</v>
      </c>
      <c r="X2723" s="13">
        <v>3.6560180902481081</v>
      </c>
      <c r="Y2723" s="13">
        <v>2.568011776981856</v>
      </c>
      <c r="Z2723" s="233">
        <v>0.70240674788553437</v>
      </c>
    </row>
    <row r="2724" spans="1:26" x14ac:dyDescent="0.2">
      <c r="A2724" s="1">
        <v>2722</v>
      </c>
      <c r="B2724" s="2" t="s">
        <v>577</v>
      </c>
      <c r="C2724" s="73" t="str">
        <f>HYPERLINK(AB2 &amp; "/usb_stick/3dw_d8c1dd59-82c8-4601-b0dc-0300abc372f7/rendering/00.obj", "0.807194900513")</f>
        <v>0.807194900513</v>
      </c>
      <c r="D2724" s="94" t="str">
        <f>HYPERLINK(AB2 &amp; "/usb_stick/3dw_d8c1dd59-82c8-4601-b0dc-0300abc372f7/rendering/01.obj", "0.900164031982")</f>
        <v>0.900164031982</v>
      </c>
      <c r="E2724" s="110" t="str">
        <f>HYPERLINK(AB2 &amp; "/usb_stick/3dw_d8c1dd59-82c8-4601-b0dc-0300abc372f7/rendering/02.obj", "0.756451873779")</f>
        <v>0.756451873779</v>
      </c>
      <c r="F2724" s="89" t="str">
        <f>HYPERLINK(AB2 &amp; "/usb_stick/3dw_d8c1dd59-82c8-4601-b0dc-0300abc372f7/rendering/03.obj", "1.0558039856")</f>
        <v>1.0558039856</v>
      </c>
      <c r="G2724" s="38" t="str">
        <f>HYPERLINK(AB2 &amp; "/usb_stick/3dw_d8c1dd59-82c8-4601-b0dc-0300abc372f7/rendering/04.obj", "0.912502670288")</f>
        <v>0.912502670288</v>
      </c>
      <c r="H2724" s="31" t="str">
        <f>HYPERLINK(AB2 &amp; "/usb_stick/3dw_d8c1dd59-82c8-4601-b0dc-0300abc372f7/rendering/05.obj", "0.968408966064")</f>
        <v>0.968408966064</v>
      </c>
      <c r="I2724" s="29" t="str">
        <f>HYPERLINK(AB2 &amp; "/usb_stick/3dw_d8c1dd59-82c8-4601-b0dc-0300abc372f7/rendering/06.obj", "0.947388687134")</f>
        <v>0.947388687134</v>
      </c>
      <c r="J2724" s="39" t="str">
        <f>HYPERLINK(AB2 &amp; "/usb_stick/3dw_d8c1dd59-82c8-4601-b0dc-0300abc372f7/rendering/07.obj", "0.910287704468")</f>
        <v>0.910287704468</v>
      </c>
      <c r="K2724" s="30" t="str">
        <f>HYPERLINK(AB2 &amp; "/usb_stick/3dw_d8c1dd59-82c8-4601-b0dc-0300abc372f7/rendering/08.obj", "0.842470703125")</f>
        <v>0.842470703125</v>
      </c>
      <c r="L2724" s="23" t="str">
        <f>HYPERLINK(AB2 &amp; "/usb_stick/3dw_d8c1dd59-82c8-4601-b0dc-0300abc372f7/rendering/09.obj", "0.872046356201")</f>
        <v>0.872046356201</v>
      </c>
      <c r="M2724" s="51" t="str">
        <f>HYPERLINK(AB2 &amp; "/usb_stick/3dw_d8c1dd59-82c8-4601-b0dc-0300abc372f7/rendering/10.obj", "0.772635803223")</f>
        <v>0.772635803223</v>
      </c>
      <c r="N2724" s="47" t="str">
        <f>HYPERLINK(AB2 &amp; "/usb_stick/3dw_d8c1dd59-82c8-4601-b0dc-0300abc372f7/rendering/11.obj", "0.844065704346")</f>
        <v>0.844065704346</v>
      </c>
      <c r="O2724" s="42" t="str">
        <f>HYPERLINK(AB2 &amp; "/usb_stick/3dw_d8c1dd59-82c8-4601-b0dc-0300abc372f7/rendering/12.obj", "0.724183578491")</f>
        <v>0.724183578491</v>
      </c>
      <c r="P2724" s="42" t="str">
        <f>HYPERLINK(AB2 &amp; "/usb_stick/3dw_d8c1dd59-82c8-4601-b0dc-0300abc372f7/rendering/13.obj", "0.724504241943")</f>
        <v>0.724504241943</v>
      </c>
      <c r="Q2724" s="32" t="str">
        <f>HYPERLINK(AB2 &amp; "/usb_stick/3dw_d8c1dd59-82c8-4601-b0dc-0300abc372f7/rendering/14.obj", "0.74966255188")</f>
        <v>0.74966255188</v>
      </c>
      <c r="R2724" s="71" t="str">
        <f>HYPERLINK(AB2 &amp; "/usb_stick/3dw_d8c1dd59-82c8-4601-b0dc-0300abc372f7/rendering/15.obj", "0.740556488037")</f>
        <v>0.740556488037</v>
      </c>
      <c r="S2724" s="32" t="str">
        <f>HYPERLINK(AB2 &amp; "/usb_stick/3dw_d8c1dd59-82c8-4601-b0dc-0300abc372f7/rendering/16.obj", "0.926699066162")</f>
        <v>0.926699066162</v>
      </c>
      <c r="T2724" s="175" t="str">
        <f>HYPERLINK(AB2 &amp; "/usb_stick/3dw_d8c1dd59-82c8-4601-b0dc-0300abc372f7/rendering/17.obj", "0.643581771851")</f>
        <v>0.643581771851</v>
      </c>
      <c r="U2724" s="37" t="str">
        <f>HYPERLINK(AB2 &amp; "/usb_stick/3dw_d8c1dd59-82c8-4601-b0dc-0300abc372f7/rendering/18.obj", "0.693800506592")</f>
        <v>0.693800506592</v>
      </c>
      <c r="V2724" s="24" t="str">
        <f>HYPERLINK(AB2 &amp; "/usb_stick/3dw_d8c1dd59-82c8-4601-b0dc-0300abc372f7/rendering/19.obj", "0.980035858154")</f>
        <v>0.980035858154</v>
      </c>
      <c r="W2724" s="12" t="s">
        <v>31</v>
      </c>
      <c r="X2724" s="13">
        <v>0.83862227249145516</v>
      </c>
      <c r="Y2724" s="13">
        <v>0.10814320687990291</v>
      </c>
      <c r="Z2724" s="29">
        <v>0.1289534161293156</v>
      </c>
    </row>
    <row r="2725" spans="1:26" x14ac:dyDescent="0.2">
      <c r="A2725" s="1">
        <v>2723</v>
      </c>
      <c r="B2725" s="2" t="s">
        <v>577</v>
      </c>
      <c r="C2725" s="91" t="str">
        <f>HYPERLINK(AB2 &amp; "/usb_stick/3dw_d8c1dd59-82c8-4601-b0dc-0300abc372f7/rendering/00.obj", "2.50812149048")</f>
        <v>2.50812149048</v>
      </c>
      <c r="D2725" s="73" t="str">
        <f>HYPERLINK(AB2 &amp; "/usb_stick/3dw_d8c1dd59-82c8-4601-b0dc-0300abc372f7/rendering/01.obj", "2.48428654671")</f>
        <v>2.48428654671</v>
      </c>
      <c r="E2725" s="65" t="str">
        <f>HYPERLINK(AB2 &amp; "/usb_stick/3dw_d8c1dd59-82c8-4601-b0dc-0300abc372f7/rendering/02.obj", "2.23172473907")</f>
        <v>2.23172473907</v>
      </c>
      <c r="F2725" s="88" t="str">
        <f>HYPERLINK(AB2 &amp; "/usb_stick/3dw_d8c1dd59-82c8-4601-b0dc-0300abc372f7/rendering/03.obj", "3.09856343269")</f>
        <v>3.09856343269</v>
      </c>
      <c r="G2725" s="91" t="str">
        <f>HYPERLINK(AB2 &amp; "/usb_stick/3dw_d8c1dd59-82c8-4601-b0dc-0300abc372f7/rendering/04.obj", "2.50647354126")</f>
        <v>2.50647354126</v>
      </c>
      <c r="H2725" s="107" t="str">
        <f>HYPERLINK(AB2 &amp; "/usb_stick/3dw_d8c1dd59-82c8-4601-b0dc-0300abc372f7/rendering/05.obj", "2.78935956955")</f>
        <v>2.78935956955</v>
      </c>
      <c r="I2725" s="65" t="str">
        <f>HYPERLINK(AB2 &amp; "/usb_stick/3dw_d8c1dd59-82c8-4601-b0dc-0300abc372f7/rendering/06.obj", "2.92119026184")</f>
        <v>2.92119026184</v>
      </c>
      <c r="J2725" s="17" t="str">
        <f>HYPERLINK(AB2 &amp; "/usb_stick/3dw_d8c1dd59-82c8-4601-b0dc-0300abc372f7/rendering/07.obj", "2.62960314751")</f>
        <v>2.62960314751</v>
      </c>
      <c r="K2725" s="24" t="str">
        <f>HYPERLINK(AB2 &amp; "/usb_stick/3dw_d8c1dd59-82c8-4601-b0dc-0300abc372f7/rendering/08.obj", "3.00266671181")</f>
        <v>3.00266671181</v>
      </c>
      <c r="L2725" s="42" t="str">
        <f>HYPERLINK(AB2 &amp; "/usb_stick/3dw_d8c1dd59-82c8-4601-b0dc-0300abc372f7/rendering/09.obj", "2.92950558662")</f>
        <v>2.92950558662</v>
      </c>
      <c r="M2725" s="110" t="str">
        <f>HYPERLINK(AB2 &amp; "/usb_stick/3dw_d8c1dd59-82c8-4601-b0dc-0300abc372f7/rendering/10.obj", "2.31666254997")</f>
        <v>2.31666254997</v>
      </c>
      <c r="N2725" s="59" t="str">
        <f>HYPERLINK(AB2 &amp; "/usb_stick/3dw_d8c1dd59-82c8-4601-b0dc-0300abc372f7/rendering/11.obj", "3.19555544853")</f>
        <v>3.19555544853</v>
      </c>
      <c r="O2725" s="106" t="str">
        <f>HYPERLINK(AB2 &amp; "/usb_stick/3dw_d8c1dd59-82c8-4601-b0dc-0300abc372f7/rendering/12.obj", "2.28052997589")</f>
        <v>2.28052997589</v>
      </c>
      <c r="P2725" s="10" t="str">
        <f>HYPERLINK(AB2 &amp; "/usb_stick/3dw_d8c1dd59-82c8-4601-b0dc-0300abc372f7/rendering/13.obj", "2.43205618858")</f>
        <v>2.43205618858</v>
      </c>
      <c r="Q2725" s="93" t="str">
        <f>HYPERLINK(AB2 &amp; "/usb_stick/3dw_d8c1dd59-82c8-4601-b0dc-0300abc372f7/rendering/14.obj", "2.21273970604")</f>
        <v>2.21273970604</v>
      </c>
      <c r="R2725" s="44" t="str">
        <f>HYPERLINK(AB2 &amp; "/usb_stick/3dw_d8c1dd59-82c8-4601-b0dc-0300abc372f7/rendering/15.obj", "2.06787657738")</f>
        <v>2.06787657738</v>
      </c>
      <c r="S2725" s="10" t="str">
        <f>HYPERLINK(AB2 &amp; "/usb_stick/3dw_d8c1dd59-82c8-4601-b0dc-0300abc372f7/rendering/16.obj", "2.7168648243")</f>
        <v>2.7168648243</v>
      </c>
      <c r="T2725" s="87" t="str">
        <f>HYPERLINK(AB2 &amp; "/usb_stick/3dw_d8c1dd59-82c8-4601-b0dc-0300abc372f7/rendering/17.obj", "1.98857164383")</f>
        <v>1.98857164383</v>
      </c>
      <c r="U2725" s="92" t="str">
        <f>HYPERLINK(AB2 &amp; "/usb_stick/3dw_d8c1dd59-82c8-4601-b0dc-0300abc372f7/rendering/18.obj", "2.25293207169")</f>
        <v>2.25293207169</v>
      </c>
      <c r="V2725" s="42" t="str">
        <f>HYPERLINK(AB2 &amp; "/usb_stick/3dw_d8c1dd59-82c8-4601-b0dc-0300abc372f7/rendering/19.obj", "2.92454361916")</f>
        <v>2.92454361916</v>
      </c>
      <c r="W2725" s="12" t="s">
        <v>32</v>
      </c>
      <c r="X2725" s="13">
        <v>2.5744913816452031</v>
      </c>
      <c r="Y2725" s="13">
        <v>0.34813884073443879</v>
      </c>
      <c r="Z2725" s="42">
        <v>0.13522625991933371</v>
      </c>
    </row>
    <row r="2726" spans="1:26" x14ac:dyDescent="0.2">
      <c r="A2726" s="1">
        <v>2724</v>
      </c>
      <c r="B2726" s="2" t="s">
        <v>577</v>
      </c>
      <c r="C2726" s="13" t="str">
        <f>HYPERLINK(AC2 &amp; "/usb_stick/3dw_d8c1dd59-82c8-4601-b0dc-0300abc372f7/rendering/00.xyz", "0.0")</f>
        <v>0.0</v>
      </c>
      <c r="D2726" s="13" t="str">
        <f>HYPERLINK(AC2 &amp; "/usb_stick/3dw_d8c1dd59-82c8-4601-b0dc-0300abc372f7/rendering/01.xyz", "0.0")</f>
        <v>0.0</v>
      </c>
      <c r="E2726" s="13" t="str">
        <f>HYPERLINK(AC2 &amp; "/usb_stick/3dw_d8c1dd59-82c8-4601-b0dc-0300abc372f7/rendering/02.xyz", "0.0")</f>
        <v>0.0</v>
      </c>
      <c r="F2726" s="13" t="str">
        <f>HYPERLINK(AC2 &amp; "/usb_stick/3dw_d8c1dd59-82c8-4601-b0dc-0300abc372f7/rendering/03.xyz", "0.0")</f>
        <v>0.0</v>
      </c>
      <c r="G2726" s="13" t="str">
        <f>HYPERLINK(AC2 &amp; "/usb_stick/3dw_d8c1dd59-82c8-4601-b0dc-0300abc372f7/rendering/04.xyz", "0.0")</f>
        <v>0.0</v>
      </c>
      <c r="H2726" s="13" t="str">
        <f>HYPERLINK(AC2 &amp; "/usb_stick/3dw_d8c1dd59-82c8-4601-b0dc-0300abc372f7/rendering/05.xyz", "0.0")</f>
        <v>0.0</v>
      </c>
      <c r="I2726" s="13" t="str">
        <f>HYPERLINK(AC2 &amp; "/usb_stick/3dw_d8c1dd59-82c8-4601-b0dc-0300abc372f7/rendering/06.xyz", "0.0")</f>
        <v>0.0</v>
      </c>
      <c r="J2726" s="13" t="str">
        <f>HYPERLINK(AC2 &amp; "/usb_stick/3dw_d8c1dd59-82c8-4601-b0dc-0300abc372f7/rendering/07.xyz", "0.0")</f>
        <v>0.0</v>
      </c>
      <c r="K2726" s="13" t="str">
        <f>HYPERLINK(AC2 &amp; "/usb_stick/3dw_d8c1dd59-82c8-4601-b0dc-0300abc372f7/rendering/08.xyz", "0.0")</f>
        <v>0.0</v>
      </c>
      <c r="L2726" s="13" t="str">
        <f>HYPERLINK(AC2 &amp; "/usb_stick/3dw_d8c1dd59-82c8-4601-b0dc-0300abc372f7/rendering/09.xyz", "0.0")</f>
        <v>0.0</v>
      </c>
      <c r="M2726" s="13" t="str">
        <f>HYPERLINK(AC2 &amp; "/usb_stick/3dw_d8c1dd59-82c8-4601-b0dc-0300abc372f7/rendering/10.xyz", "0.0")</f>
        <v>0.0</v>
      </c>
      <c r="N2726" s="13" t="str">
        <f>HYPERLINK(AC2 &amp; "/usb_stick/3dw_d8c1dd59-82c8-4601-b0dc-0300abc372f7/rendering/11.xyz", "0.0")</f>
        <v>0.0</v>
      </c>
      <c r="O2726" s="13" t="str">
        <f>HYPERLINK(AC2 &amp; "/usb_stick/3dw_d8c1dd59-82c8-4601-b0dc-0300abc372f7/rendering/12.xyz", "0.0")</f>
        <v>0.0</v>
      </c>
      <c r="P2726" s="13" t="str">
        <f>HYPERLINK(AC2 &amp; "/usb_stick/3dw_d8c1dd59-82c8-4601-b0dc-0300abc372f7/rendering/13.xyz", "0.0")</f>
        <v>0.0</v>
      </c>
      <c r="Q2726" s="13" t="str">
        <f>HYPERLINK(AC2 &amp; "/usb_stick/3dw_d8c1dd59-82c8-4601-b0dc-0300abc372f7/rendering/14.xyz", "0.0")</f>
        <v>0.0</v>
      </c>
      <c r="R2726" s="13" t="str">
        <f>HYPERLINK(AC2 &amp; "/usb_stick/3dw_d8c1dd59-82c8-4601-b0dc-0300abc372f7/rendering/15.xyz", "0.0")</f>
        <v>0.0</v>
      </c>
      <c r="S2726" s="13" t="str">
        <f>HYPERLINK(AC2 &amp; "/usb_stick/3dw_d8c1dd59-82c8-4601-b0dc-0300abc372f7/rendering/16.xyz", "0.0")</f>
        <v>0.0</v>
      </c>
      <c r="T2726" s="13" t="str">
        <f>HYPERLINK(AC2 &amp; "/usb_stick/3dw_d8c1dd59-82c8-4601-b0dc-0300abc372f7/rendering/17.xyz", "0.0")</f>
        <v>0.0</v>
      </c>
      <c r="U2726" s="13" t="str">
        <f>HYPERLINK(AC2 &amp; "/usb_stick/3dw_d8c1dd59-82c8-4601-b0dc-0300abc372f7/rendering/18.xyz", "0.0")</f>
        <v>0.0</v>
      </c>
      <c r="V2726" s="13" t="str">
        <f>HYPERLINK(AC2 &amp; "/usb_stick/3dw_d8c1dd59-82c8-4601-b0dc-0300abc372f7/rendering/19.xyz", "0.0")</f>
        <v>0.0</v>
      </c>
      <c r="W2726" s="12" t="s">
        <v>33</v>
      </c>
      <c r="X2726" s="13">
        <v>0</v>
      </c>
      <c r="Y2726" s="13">
        <v>0</v>
      </c>
      <c r="Z2726" s="13">
        <v>0</v>
      </c>
    </row>
    <row r="2727" spans="1:26" x14ac:dyDescent="0.2">
      <c r="A2727" s="1">
        <v>2725</v>
      </c>
      <c r="B2727" s="2" t="s">
        <v>578</v>
      </c>
      <c r="C2727" s="194" t="str">
        <f>HYPERLINK(AA2 &amp; "/usb_stick/3dw_de11365f-b94c-4600-a1de-969dbef4dc57/rendering/00.obj", "5.04516571045")</f>
        <v>5.04516571045</v>
      </c>
      <c r="D2727" s="46" t="str">
        <f>HYPERLINK(AA2 &amp; "/usb_stick/3dw_de11365f-b94c-4600-a1de-969dbef4dc57/rendering/01.obj", "3.15969970703")</f>
        <v>3.15969970703</v>
      </c>
      <c r="E2727" s="78" t="str">
        <f>HYPERLINK(AA2 &amp; "/usb_stick/3dw_de11365f-b94c-4600-a1de-969dbef4dc57/rendering/02.obj", "2.92057006836")</f>
        <v>2.92057006836</v>
      </c>
      <c r="F2727" s="42" t="str">
        <f>HYPERLINK(AA2 &amp; "/usb_stick/3dw_de11365f-b94c-4600-a1de-969dbef4dc57/rendering/03.obj", "2.68067077637")</f>
        <v>2.68067077637</v>
      </c>
      <c r="G2727" s="163" t="str">
        <f>HYPERLINK(AA2 &amp; "/usb_stick/3dw_de11365f-b94c-4600-a1de-969dbef4dc57/rendering/04.obj", "4.47126983643")</f>
        <v>4.47126983643</v>
      </c>
      <c r="H2727" s="66" t="str">
        <f>HYPERLINK(AA2 &amp; "/usb_stick/3dw_de11365f-b94c-4600-a1de-969dbef4dc57/rendering/05.obj", "2.60316802979")</f>
        <v>2.60316802979</v>
      </c>
      <c r="I2727" s="20" t="str">
        <f>HYPERLINK(AA2 &amp; "/usb_stick/3dw_de11365f-b94c-4600-a1de-969dbef4dc57/rendering/06.obj", "5.9623815918")</f>
        <v>5.9623815918</v>
      </c>
      <c r="J2727" s="6" t="str">
        <f>HYPERLINK(AA2 &amp; "/usb_stick/3dw_de11365f-b94c-4600-a1de-969dbef4dc57/rendering/07.obj", "2.96692810059")</f>
        <v>2.96692810059</v>
      </c>
      <c r="K2727" s="37" t="str">
        <f>HYPERLINK(AA2 &amp; "/usb_stick/3dw_de11365f-b94c-4600-a1de-969dbef4dc57/rendering/08.obj", "2.56512573242")</f>
        <v>2.56512573242</v>
      </c>
      <c r="L2727" s="44" t="str">
        <f>HYPERLINK(AA2 &amp; "/usb_stick/3dw_de11365f-b94c-4600-a1de-969dbef4dc57/rendering/09.obj", "2.49775009155")</f>
        <v>2.49775009155</v>
      </c>
      <c r="M2727" s="133" t="str">
        <f>HYPERLINK(AA2 &amp; "/usb_stick/3dw_de11365f-b94c-4600-a1de-969dbef4dc57/rendering/10.obj", "2.7916784668")</f>
        <v>2.7916784668</v>
      </c>
      <c r="N2727" s="88" t="str">
        <f>HYPERLINK(AA2 &amp; "/usb_stick/3dw_de11365f-b94c-4600-a1de-969dbef4dc57/rendering/11.obj", "2.48149780273")</f>
        <v>2.48149780273</v>
      </c>
      <c r="O2727" s="106" t="str">
        <f>HYPERLINK(AA2 &amp; "/usb_stick/3dw_de11365f-b94c-4600-a1de-969dbef4dc57/rendering/12.obj", "2.7546182251")</f>
        <v>2.7546182251</v>
      </c>
      <c r="P2727" s="51" t="str">
        <f>HYPERLINK(AA2 &amp; "/usb_stick/3dw_de11365f-b94c-4600-a1de-969dbef4dc57/rendering/13.obj", "3.35420654297")</f>
        <v>3.35420654297</v>
      </c>
      <c r="Q2727" s="48" t="str">
        <f>HYPERLINK(AA2 &amp; "/usb_stick/3dw_de11365f-b94c-4600-a1de-969dbef4dc57/rendering/14.obj", "3.17915161133")</f>
        <v>3.17915161133</v>
      </c>
      <c r="R2727" s="121" t="str">
        <f>HYPERLINK(AA2 &amp; "/usb_stick/3dw_de11365f-b94c-4600-a1de-969dbef4dc57/rendering/15.obj", "2.01228256226")</f>
        <v>2.01228256226</v>
      </c>
      <c r="S2727" s="38" t="str">
        <f>HYPERLINK(AA2 &amp; "/usb_stick/3dw_de11365f-b94c-4600-a1de-969dbef4dc57/rendering/16.obj", "2.82901672363")</f>
        <v>2.82901672363</v>
      </c>
      <c r="T2727" s="80" t="str">
        <f>HYPERLINK(AA2 &amp; "/usb_stick/3dw_de11365f-b94c-4600-a1de-969dbef4dc57/rendering/17.obj", "2.64550476074")</f>
        <v>2.64550476074</v>
      </c>
      <c r="U2727" s="71" t="str">
        <f>HYPERLINK(AA2 &amp; "/usb_stick/3dw_de11365f-b94c-4600-a1de-969dbef4dc57/rendering/18.obj", "2.73960449219")</f>
        <v>2.73960449219</v>
      </c>
      <c r="V2727" s="82" t="str">
        <f>HYPERLINK(AA2 &amp; "/usb_stick/3dw_de11365f-b94c-4600-a1de-969dbef4dc57/rendering/19.obj", "2.47007995605")</f>
        <v>2.47007995605</v>
      </c>
      <c r="W2727" s="12" t="s">
        <v>29</v>
      </c>
      <c r="X2727" s="13">
        <v>3.1065185394287109</v>
      </c>
      <c r="Y2727" s="13">
        <v>0.93912096656977828</v>
      </c>
      <c r="Z2727" s="61">
        <v>0.30230657073190448</v>
      </c>
    </row>
    <row r="2728" spans="1:26" x14ac:dyDescent="0.2">
      <c r="A2728" s="1">
        <v>2726</v>
      </c>
      <c r="B2728" s="2" t="s">
        <v>578</v>
      </c>
      <c r="C2728" s="77" t="str">
        <f>HYPERLINK(AA2 &amp; "/usb_stick/3dw_de11365f-b94c-4600-a1de-969dbef4dc57/rendering/00.obj", "13.6664762497")</f>
        <v>13.6664762497</v>
      </c>
      <c r="D2728" s="41" t="str">
        <f>HYPERLINK(AA2 &amp; "/usb_stick/3dw_de11365f-b94c-4600-a1de-969dbef4dc57/rendering/01.obj", "12.2827892303")</f>
        <v>12.2827892303</v>
      </c>
      <c r="E2728" s="39" t="str">
        <f>HYPERLINK(AA2 &amp; "/usb_stick/3dw_de11365f-b94c-4600-a1de-969dbef4dc57/rendering/02.obj", "12.4990549088")</f>
        <v>12.4990549088</v>
      </c>
      <c r="F2728" s="42" t="str">
        <f>HYPERLINK(AA2 &amp; "/usb_stick/3dw_de11365f-b94c-4600-a1de-969dbef4dc57/rendering/03.obj", "9.94993305206")</f>
        <v>9.94993305206</v>
      </c>
      <c r="G2728" s="115" t="str">
        <f>HYPERLINK(AA2 &amp; "/usb_stick/3dw_de11365f-b94c-4600-a1de-969dbef4dc57/rendering/04.obj", "18.8466129303")</f>
        <v>18.8466129303</v>
      </c>
      <c r="H2728" s="99" t="str">
        <f>HYPERLINK(AA2 &amp; "/usb_stick/3dw_de11365f-b94c-4600-a1de-969dbef4dc57/rendering/05.obj", "8.3791809082")</f>
        <v>8.3791809082</v>
      </c>
      <c r="I2728" s="20" t="str">
        <f>HYPERLINK(AA2 &amp; "/usb_stick/3dw_de11365f-b94c-4600-a1de-969dbef4dc57/rendering/06.obj", "27.2878437042")</f>
        <v>27.2878437042</v>
      </c>
      <c r="J2728" s="73" t="str">
        <f>HYPERLINK(AA2 &amp; "/usb_stick/3dw_de11365f-b94c-4600-a1de-969dbef4dc57/rendering/07.obj", "11.1023569107")</f>
        <v>11.1023569107</v>
      </c>
      <c r="K2728" s="75" t="str">
        <f>HYPERLINK(AA2 &amp; "/usb_stick/3dw_de11365f-b94c-4600-a1de-969dbef4dc57/rendering/08.obj", "8.95219612122")</f>
        <v>8.95219612122</v>
      </c>
      <c r="L2728" s="4" t="str">
        <f>HYPERLINK(AA2 &amp; "/usb_stick/3dw_de11365f-b94c-4600-a1de-969dbef4dc57/rendering/09.obj", "8.24618148804")</f>
        <v>8.24618148804</v>
      </c>
      <c r="M2728" s="80" t="str">
        <f>HYPERLINK(AA2 &amp; "/usb_stick/3dw_de11365f-b94c-4600-a1de-969dbef4dc57/rendering/10.obj", "9.80926895142")</f>
        <v>9.80926895142</v>
      </c>
      <c r="N2728" s="81" t="str">
        <f>HYPERLINK(AA2 &amp; "/usb_stick/3dw_de11365f-b94c-4600-a1de-969dbef4dc57/rendering/11.obj", "9.00284481049")</f>
        <v>9.00284481049</v>
      </c>
      <c r="O2728" s="106" t="str">
        <f>HYPERLINK(AA2 &amp; "/usb_stick/3dw_de11365f-b94c-4600-a1de-969dbef4dc57/rendering/12.obj", "10.1890268326")</f>
        <v>10.1890268326</v>
      </c>
      <c r="P2728" s="129" t="str">
        <f>HYPERLINK(AA2 &amp; "/usb_stick/3dw_de11365f-b94c-4600-a1de-969dbef4dc57/rendering/13.obj", "14.3647079468")</f>
        <v>14.3647079468</v>
      </c>
      <c r="Q2728" s="91" t="str">
        <f>HYPERLINK(AA2 &amp; "/usb_stick/3dw_de11365f-b94c-4600-a1de-969dbef4dc57/rendering/14.obj", "11.8017902374")</f>
        <v>11.8017902374</v>
      </c>
      <c r="R2728" s="96" t="str">
        <f>HYPERLINK(AA2 &amp; "/usb_stick/3dw_de11365f-b94c-4600-a1de-969dbef4dc57/rendering/15.obj", "7.32568025589")</f>
        <v>7.32568025589</v>
      </c>
      <c r="S2728" s="42" t="str">
        <f>HYPERLINK(AA2 &amp; "/usb_stick/3dw_de11365f-b94c-4600-a1de-969dbef4dc57/rendering/16.obj", "9.93549633026")</f>
        <v>9.93549633026</v>
      </c>
      <c r="T2728" s="136" t="str">
        <f>HYPERLINK(AA2 &amp; "/usb_stick/3dw_de11365f-b94c-4600-a1de-969dbef4dc57/rendering/17.obj", "8.78985404968")</f>
        <v>8.78985404968</v>
      </c>
      <c r="U2728" s="65" t="str">
        <f>HYPERLINK(AA2 &amp; "/usb_stick/3dw_de11365f-b94c-4600-a1de-969dbef4dc57/rendering/18.obj", "9.95539188385")</f>
        <v>9.95539188385</v>
      </c>
      <c r="V2728" s="54" t="str">
        <f>HYPERLINK(AA2 &amp; "/usb_stick/3dw_de11365f-b94c-4600-a1de-969dbef4dc57/rendering/19.obj", "7.74456834793")</f>
        <v>7.74456834793</v>
      </c>
      <c r="W2728" s="12" t="s">
        <v>30</v>
      </c>
      <c r="X2728" s="13">
        <v>11.50656275749207</v>
      </c>
      <c r="Y2728" s="13">
        <v>4.481788489471568</v>
      </c>
      <c r="Z2728" s="128">
        <v>0.38949846135010391</v>
      </c>
    </row>
    <row r="2729" spans="1:26" x14ac:dyDescent="0.2">
      <c r="A2729" s="1">
        <v>2727</v>
      </c>
      <c r="B2729" s="2" t="s">
        <v>578</v>
      </c>
      <c r="C2729" s="71" t="str">
        <f>HYPERLINK(AB2 &amp; "/usb_stick/3dw_de11365f-b94c-4600-a1de-969dbef4dc57/rendering/00.obj", "2.2078805542")</f>
        <v>2.2078805542</v>
      </c>
      <c r="D2729" s="48" t="str">
        <f>HYPERLINK(AB2 &amp; "/usb_stick/3dw_de11365f-b94c-4600-a1de-969dbef4dc57/rendering/01.obj", "2.55863830566")</f>
        <v>2.55863830566</v>
      </c>
      <c r="E2729" s="25" t="str">
        <f>HYPERLINK(AB2 &amp; "/usb_stick/3dw_de11365f-b94c-4600-a1de-969dbef4dc57/rendering/02.obj", "2.47354614258")</f>
        <v>2.47354614258</v>
      </c>
      <c r="F2729" s="72" t="str">
        <f>HYPERLINK(AB2 &amp; "/usb_stick/3dw_de11365f-b94c-4600-a1de-969dbef4dc57/rendering/03.obj", "2.42179794312")</f>
        <v>2.42179794312</v>
      </c>
      <c r="G2729" s="76" t="str">
        <f>HYPERLINK(AB2 &amp; "/usb_stick/3dw_de11365f-b94c-4600-a1de-969dbef4dc57/rendering/04.obj", "2.95775085449")</f>
        <v>2.95775085449</v>
      </c>
      <c r="H2729" s="106" t="str">
        <f>HYPERLINK(AB2 &amp; "/usb_stick/3dw_de11365f-b94c-4600-a1de-969dbef4dc57/rendering/05.obj", "2.21783172607")</f>
        <v>2.21783172607</v>
      </c>
      <c r="I2729" s="8" t="str">
        <f>HYPERLINK(AB2 &amp; "/usb_stick/3dw_de11365f-b94c-4600-a1de-969dbef4dc57/rendering/06.obj", "2.14145080566")</f>
        <v>2.14145080566</v>
      </c>
      <c r="J2729" s="25" t="str">
        <f>HYPERLINK(AB2 &amp; "/usb_stick/3dw_de11365f-b94c-4600-a1de-969dbef4dc57/rendering/07.obj", "2.47123580933")</f>
        <v>2.47123580933</v>
      </c>
      <c r="K2729" s="10" t="str">
        <f>HYPERLINK(AB2 &amp; "/usb_stick/3dw_de11365f-b94c-4600-a1de-969dbef4dc57/rendering/08.obj", "2.63972076416")</f>
        <v>2.63972076416</v>
      </c>
      <c r="L2729" s="38" t="str">
        <f>HYPERLINK(AB2 &amp; "/usb_stick/3dw_de11365f-b94c-4600-a1de-969dbef4dc57/rendering/09.obj", "2.277787323")</f>
        <v>2.277787323</v>
      </c>
      <c r="M2729" s="69" t="str">
        <f>HYPERLINK(AB2 &amp; "/usb_stick/3dw_de11365f-b94c-4600-a1de-969dbef4dc57/rendering/10.obj", "2.57909667969")</f>
        <v>2.57909667969</v>
      </c>
      <c r="N2729" s="34" t="str">
        <f>HYPERLINK(AB2 &amp; "/usb_stick/3dw_de11365f-b94c-4600-a1de-969dbef4dc57/rendering/11.obj", "2.38122573853")</f>
        <v>2.38122573853</v>
      </c>
      <c r="O2729" s="10" t="str">
        <f>HYPERLINK(AB2 &amp; "/usb_stick/3dw_de11365f-b94c-4600-a1de-969dbef4dc57/rendering/12.obj", "2.63591186523")</f>
        <v>2.63591186523</v>
      </c>
      <c r="P2729" s="35" t="str">
        <f>HYPERLINK(AB2 &amp; "/usb_stick/3dw_de11365f-b94c-4600-a1de-969dbef4dc57/rendering/13.obj", "2.64967285156")</f>
        <v>2.64967285156</v>
      </c>
      <c r="Q2729" s="13" t="str">
        <f>HYPERLINK(AB2 &amp; "/usb_stick/3dw_de11365f-b94c-4600-a1de-969dbef4dc57/rendering/14.obj", "2.50846328735")</f>
        <v>2.50846328735</v>
      </c>
      <c r="R2729" s="37" t="str">
        <f>HYPERLINK(AB2 &amp; "/usb_stick/3dw_de11365f-b94c-4600-a1de-969dbef4dc57/rendering/15.obj", "2.9356463623")</f>
        <v>2.9356463623</v>
      </c>
      <c r="S2729" s="39" t="str">
        <f>HYPERLINK(AB2 &amp; "/usb_stick/3dw_de11365f-b94c-4600-a1de-969dbef4dc57/rendering/16.obj", "2.29005889893")</f>
        <v>2.29005889893</v>
      </c>
      <c r="T2729" s="74" t="str">
        <f>HYPERLINK(AB2 &amp; "/usb_stick/3dw_de11365f-b94c-4600-a1de-969dbef4dc57/rendering/17.obj", "2.53646286011")</f>
        <v>2.53646286011</v>
      </c>
      <c r="U2729" s="13" t="str">
        <f>HYPERLINK(AB2 &amp; "/usb_stick/3dw_de11365f-b94c-4600-a1de-969dbef4dc57/rendering/18.obj", "2.50352478027")</f>
        <v>2.50352478027</v>
      </c>
      <c r="V2729" s="78" t="str">
        <f>HYPERLINK(AB2 &amp; "/usb_stick/3dw_de11365f-b94c-4600-a1de-969dbef4dc57/rendering/19.obj", "2.65868225098")</f>
        <v>2.65868225098</v>
      </c>
      <c r="W2729" s="12" t="s">
        <v>31</v>
      </c>
      <c r="X2729" s="13">
        <v>2.5023192901611329</v>
      </c>
      <c r="Y2729" s="13">
        <v>0.21267514324862211</v>
      </c>
      <c r="Z2729" s="39">
        <v>8.4991209588975838E-2</v>
      </c>
    </row>
    <row r="2730" spans="1:26" x14ac:dyDescent="0.2">
      <c r="A2730" s="1">
        <v>2728</v>
      </c>
      <c r="B2730" s="2" t="s">
        <v>578</v>
      </c>
      <c r="C2730" s="93" t="str">
        <f>HYPERLINK(AB2 &amp; "/usb_stick/3dw_de11365f-b94c-4600-a1de-969dbef4dc57/rendering/00.obj", "6.94859790802")</f>
        <v>6.94859790802</v>
      </c>
      <c r="D2730" s="25" t="str">
        <f>HYPERLINK(AB2 &amp; "/usb_stick/3dw_de11365f-b94c-4600-a1de-969dbef4dc57/rendering/01.obj", "8.17793178558")</f>
        <v>8.17793178558</v>
      </c>
      <c r="E2730" s="17" t="str">
        <f>HYPERLINK(AB2 &amp; "/usb_stick/3dw_de11365f-b94c-4600-a1de-969dbef4dc57/rendering/02.obj", "7.92515707016")</f>
        <v>7.92515707016</v>
      </c>
      <c r="F2730" s="26" t="str">
        <f>HYPERLINK(AB2 &amp; "/usb_stick/3dw_de11365f-b94c-4600-a1de-969dbef4dc57/rendering/03.obj", "7.56587409973")</f>
        <v>7.56587409973</v>
      </c>
      <c r="G2730" s="49" t="str">
        <f>HYPERLINK(AB2 &amp; "/usb_stick/3dw_de11365f-b94c-4600-a1de-969dbef4dc57/rendering/04.obj", "9.77981281281")</f>
        <v>9.77981281281</v>
      </c>
      <c r="H2730" s="26" t="str">
        <f>HYPERLINK(AB2 &amp; "/usb_stick/3dw_de11365f-b94c-4600-a1de-969dbef4dc57/rendering/05.obj", "7.57638978958")</f>
        <v>7.57638978958</v>
      </c>
      <c r="I2730" s="8" t="str">
        <f>HYPERLINK(AB2 &amp; "/usb_stick/3dw_de11365f-b94c-4600-a1de-969dbef4dc57/rendering/06.obj", "6.93588495255")</f>
        <v>6.93588495255</v>
      </c>
      <c r="J2730" s="60" t="str">
        <f>HYPERLINK(AB2 &amp; "/usb_stick/3dw_de11365f-b94c-4600-a1de-969dbef4dc57/rendering/07.obj", "7.67364215851")</f>
        <v>7.67364215851</v>
      </c>
      <c r="K2730" s="5" t="str">
        <f>HYPERLINK(AB2 &amp; "/usb_stick/3dw_de11365f-b94c-4600-a1de-969dbef4dc57/rendering/08.obj", "8.71287727356")</f>
        <v>8.71287727356</v>
      </c>
      <c r="L2730" s="35" t="str">
        <f>HYPERLINK(AB2 &amp; "/usb_stick/3dw_de11365f-b94c-4600-a1de-969dbef4dc57/rendering/09.obj", "7.61624097824")</f>
        <v>7.61624097824</v>
      </c>
      <c r="M2730" s="74" t="str">
        <f>HYPERLINK(AB2 &amp; "/usb_stick/3dw_de11365f-b94c-4600-a1de-969dbef4dc57/rendering/10.obj", "8.21089744568")</f>
        <v>8.21089744568</v>
      </c>
      <c r="N2730" s="72" t="str">
        <f>HYPERLINK(AB2 &amp; "/usb_stick/3dw_de11365f-b94c-4600-a1de-969dbef4dc57/rendering/11.obj", "7.82770776749")</f>
        <v>7.82770776749</v>
      </c>
      <c r="O2730" s="94" t="str">
        <f>HYPERLINK(AB2 &amp; "/usb_stick/3dw_de11365f-b94c-4600-a1de-969dbef4dc57/rendering/12.obj", "8.68549919128")</f>
        <v>8.68549919128</v>
      </c>
      <c r="P2730" s="133" t="str">
        <f>HYPERLINK(AB2 &amp; "/usb_stick/3dw_de11365f-b94c-4600-a1de-969dbef4dc57/rendering/13.obj", "8.91547775269")</f>
        <v>8.91547775269</v>
      </c>
      <c r="Q2730" s="46" t="str">
        <f>HYPERLINK(AB2 &amp; "/usb_stick/3dw_de11365f-b94c-4600-a1de-969dbef4dc57/rendering/14.obj", "8.23238754272")</f>
        <v>8.23238754272</v>
      </c>
      <c r="R2730" s="68" t="str">
        <f>HYPERLINK(AB2 &amp; "/usb_stick/3dw_de11365f-b94c-4600-a1de-969dbef4dc57/rendering/15.obj", "8.44103622437")</f>
        <v>8.44103622437</v>
      </c>
      <c r="S2730" s="13" t="str">
        <f>HYPERLINK(AB2 &amp; "/usb_stick/3dw_de11365f-b94c-4600-a1de-969dbef4dc57/rendering/16.obj", "8.07241344452")</f>
        <v>8.07241344452</v>
      </c>
      <c r="T2730" s="30" t="str">
        <f>HYPERLINK(AB2 &amp; "/usb_stick/3dw_de11365f-b94c-4600-a1de-969dbef4dc57/rendering/17.obj", "8.12742614746")</f>
        <v>8.12742614746</v>
      </c>
      <c r="U2730" s="73" t="str">
        <f>HYPERLINK(AB2 &amp; "/usb_stick/3dw_de11365f-b94c-4600-a1de-969dbef4dc57/rendering/18.obj", "7.78893470764")</f>
        <v>7.78893470764</v>
      </c>
      <c r="V2730" s="78" t="str">
        <f>HYPERLINK(AB2 &amp; "/usb_stick/3dw_de11365f-b94c-4600-a1de-969dbef4dc57/rendering/19.obj", "8.59807395935")</f>
        <v>8.59807395935</v>
      </c>
      <c r="W2730" s="12" t="s">
        <v>32</v>
      </c>
      <c r="X2730" s="13">
        <v>8.090613150596619</v>
      </c>
      <c r="Y2730" s="13">
        <v>0.65049452649551887</v>
      </c>
      <c r="Z2730" s="51">
        <v>8.0401140727826045E-2</v>
      </c>
    </row>
    <row r="2731" spans="1:26" x14ac:dyDescent="0.2">
      <c r="A2731" s="1">
        <v>2729</v>
      </c>
      <c r="B2731" s="2" t="s">
        <v>578</v>
      </c>
      <c r="C2731" s="13" t="str">
        <f>HYPERLINK(AC2 &amp; "/usb_stick/3dw_de11365f-b94c-4600-a1de-969dbef4dc57/rendering/00.xyz", "0.0")</f>
        <v>0.0</v>
      </c>
      <c r="D2731" s="13" t="str">
        <f>HYPERLINK(AC2 &amp; "/usb_stick/3dw_de11365f-b94c-4600-a1de-969dbef4dc57/rendering/01.xyz", "0.0")</f>
        <v>0.0</v>
      </c>
      <c r="E2731" s="13" t="str">
        <f>HYPERLINK(AC2 &amp; "/usb_stick/3dw_de11365f-b94c-4600-a1de-969dbef4dc57/rendering/02.xyz", "0.0")</f>
        <v>0.0</v>
      </c>
      <c r="F2731" s="13" t="str">
        <f>HYPERLINK(AC2 &amp; "/usb_stick/3dw_de11365f-b94c-4600-a1de-969dbef4dc57/rendering/03.xyz", "0.0")</f>
        <v>0.0</v>
      </c>
      <c r="G2731" s="13" t="str">
        <f>HYPERLINK(AC2 &amp; "/usb_stick/3dw_de11365f-b94c-4600-a1de-969dbef4dc57/rendering/04.xyz", "0.0")</f>
        <v>0.0</v>
      </c>
      <c r="H2731" s="13" t="str">
        <f>HYPERLINK(AC2 &amp; "/usb_stick/3dw_de11365f-b94c-4600-a1de-969dbef4dc57/rendering/05.xyz", "0.0")</f>
        <v>0.0</v>
      </c>
      <c r="I2731" s="13" t="str">
        <f>HYPERLINK(AC2 &amp; "/usb_stick/3dw_de11365f-b94c-4600-a1de-969dbef4dc57/rendering/06.xyz", "0.0")</f>
        <v>0.0</v>
      </c>
      <c r="J2731" s="13" t="str">
        <f>HYPERLINK(AC2 &amp; "/usb_stick/3dw_de11365f-b94c-4600-a1de-969dbef4dc57/rendering/07.xyz", "0.0")</f>
        <v>0.0</v>
      </c>
      <c r="K2731" s="13" t="str">
        <f>HYPERLINK(AC2 &amp; "/usb_stick/3dw_de11365f-b94c-4600-a1de-969dbef4dc57/rendering/08.xyz", "0.0")</f>
        <v>0.0</v>
      </c>
      <c r="L2731" s="13" t="str">
        <f>HYPERLINK(AC2 &amp; "/usb_stick/3dw_de11365f-b94c-4600-a1de-969dbef4dc57/rendering/09.xyz", "0.0")</f>
        <v>0.0</v>
      </c>
      <c r="M2731" s="13" t="str">
        <f>HYPERLINK(AC2 &amp; "/usb_stick/3dw_de11365f-b94c-4600-a1de-969dbef4dc57/rendering/10.xyz", "0.0")</f>
        <v>0.0</v>
      </c>
      <c r="N2731" s="13" t="str">
        <f>HYPERLINK(AC2 &amp; "/usb_stick/3dw_de11365f-b94c-4600-a1de-969dbef4dc57/rendering/11.xyz", "0.0")</f>
        <v>0.0</v>
      </c>
      <c r="O2731" s="13" t="str">
        <f>HYPERLINK(AC2 &amp; "/usb_stick/3dw_de11365f-b94c-4600-a1de-969dbef4dc57/rendering/12.xyz", "0.0")</f>
        <v>0.0</v>
      </c>
      <c r="P2731" s="13" t="str">
        <f>HYPERLINK(AC2 &amp; "/usb_stick/3dw_de11365f-b94c-4600-a1de-969dbef4dc57/rendering/13.xyz", "0.0")</f>
        <v>0.0</v>
      </c>
      <c r="Q2731" s="13" t="str">
        <f>HYPERLINK(AC2 &amp; "/usb_stick/3dw_de11365f-b94c-4600-a1de-969dbef4dc57/rendering/14.xyz", "0.0")</f>
        <v>0.0</v>
      </c>
      <c r="R2731" s="13" t="str">
        <f>HYPERLINK(AC2 &amp; "/usb_stick/3dw_de11365f-b94c-4600-a1de-969dbef4dc57/rendering/15.xyz", "0.0")</f>
        <v>0.0</v>
      </c>
      <c r="S2731" s="13" t="str">
        <f>HYPERLINK(AC2 &amp; "/usb_stick/3dw_de11365f-b94c-4600-a1de-969dbef4dc57/rendering/16.xyz", "0.0")</f>
        <v>0.0</v>
      </c>
      <c r="T2731" s="13" t="str">
        <f>HYPERLINK(AC2 &amp; "/usb_stick/3dw_de11365f-b94c-4600-a1de-969dbef4dc57/rendering/17.xyz", "0.0")</f>
        <v>0.0</v>
      </c>
      <c r="U2731" s="13" t="str">
        <f>HYPERLINK(AC2 &amp; "/usb_stick/3dw_de11365f-b94c-4600-a1de-969dbef4dc57/rendering/18.xyz", "0.0")</f>
        <v>0.0</v>
      </c>
      <c r="V2731" s="13" t="str">
        <f>HYPERLINK(AC2 &amp; "/usb_stick/3dw_de11365f-b94c-4600-a1de-969dbef4dc57/rendering/19.xyz", "0.0")</f>
        <v>0.0</v>
      </c>
      <c r="W2731" s="12" t="s">
        <v>33</v>
      </c>
      <c r="X2731" s="13">
        <v>0</v>
      </c>
      <c r="Y2731" s="13">
        <v>0</v>
      </c>
      <c r="Z2731" s="13">
        <v>0</v>
      </c>
    </row>
    <row r="2732" spans="1:26" x14ac:dyDescent="0.2">
      <c r="A2732" s="1">
        <v>2730</v>
      </c>
      <c r="B2732" s="2" t="s">
        <v>579</v>
      </c>
      <c r="C2732" s="83" t="str">
        <f>HYPERLINK(AA2 &amp; "/usb_stick/3dw_e113ace6-8169-48da-aef6-6a8aa47e1fed/rendering/00.obj", "2.56485900879")</f>
        <v>2.56485900879</v>
      </c>
      <c r="D2732" s="131" t="str">
        <f>HYPERLINK(AA2 &amp; "/usb_stick/3dw_e113ace6-8169-48da-aef6-6a8aa47e1fed/rendering/01.obj", "4.42734619141")</f>
        <v>4.42734619141</v>
      </c>
      <c r="E2732" s="77" t="str">
        <f>HYPERLINK(AA2 &amp; "/usb_stick/3dw_e113ace6-8169-48da-aef6-6a8aa47e1fed/rendering/02.obj", "3.59210327148")</f>
        <v>3.59210327148</v>
      </c>
      <c r="F2732" s="65" t="str">
        <f>HYPERLINK(AA2 &amp; "/usb_stick/3dw_e113ace6-8169-48da-aef6-6a8aa47e1fed/rendering/03.obj", "2.62439758301")</f>
        <v>2.62439758301</v>
      </c>
      <c r="G2732" s="133" t="str">
        <f>HYPERLINK(AA2 &amp; "/usb_stick/3dw_e113ace6-8169-48da-aef6-6a8aa47e1fed/rendering/04.obj", "2.72016479492")</f>
        <v>2.72016479492</v>
      </c>
      <c r="H2732" s="63" t="str">
        <f>HYPERLINK(AA2 &amp; "/usb_stick/3dw_e113ace6-8169-48da-aef6-6a8aa47e1fed/rendering/05.obj", "3.39591003418")</f>
        <v>3.39591003418</v>
      </c>
      <c r="I2732" s="93" t="str">
        <f>HYPERLINK(AA2 &amp; "/usb_stick/3dw_e113ace6-8169-48da-aef6-6a8aa47e1fed/rendering/06.obj", "2.60538299561")</f>
        <v>2.60538299561</v>
      </c>
      <c r="J2732" s="93" t="str">
        <f>HYPERLINK(AA2 &amp; "/usb_stick/3dw_e113ace6-8169-48da-aef6-6a8aa47e1fed/rendering/07.obj", "2.59981201172")</f>
        <v>2.59981201172</v>
      </c>
      <c r="K2732" s="44" t="str">
        <f>HYPERLINK(AA2 &amp; "/usb_stick/3dw_e113ace6-8169-48da-aef6-6a8aa47e1fed/rendering/08.obj", "2.4340625")</f>
        <v>2.4340625</v>
      </c>
      <c r="L2732" s="94" t="str">
        <f>HYPERLINK(AA2 &amp; "/usb_stick/3dw_e113ace6-8169-48da-aef6-6a8aa47e1fed/rendering/09.obj", "2.80125549316")</f>
        <v>2.80125549316</v>
      </c>
      <c r="M2732" s="39" t="str">
        <f>HYPERLINK(AA2 &amp; "/usb_stick/3dw_e113ace6-8169-48da-aef6-6a8aa47e1fed/rendering/10.obj", "3.28467346191")</f>
        <v>3.28467346191</v>
      </c>
      <c r="N2732" s="82" t="str">
        <f>HYPERLINK(AA2 &amp; "/usb_stick/3dw_e113ace6-8169-48da-aef6-6a8aa47e1fed/rendering/11.obj", "3.64412628174")</f>
        <v>3.64412628174</v>
      </c>
      <c r="O2732" s="48" t="str">
        <f>HYPERLINK(AA2 &amp; "/usb_stick/3dw_e113ace6-8169-48da-aef6-6a8aa47e1fed/rendering/12.obj", "2.95563415527")</f>
        <v>2.95563415527</v>
      </c>
      <c r="P2732" s="91" t="str">
        <f>HYPERLINK(AA2 &amp; "/usb_stick/3dw_e113ace6-8169-48da-aef6-6a8aa47e1fed/rendering/13.obj", "3.1029586792")</f>
        <v>3.1029586792</v>
      </c>
      <c r="Q2732" s="35" t="str">
        <f>HYPERLINK(AA2 &amp; "/usb_stick/3dw_e113ace6-8169-48da-aef6-6a8aa47e1fed/rendering/14.obj", "2.85425598145")</f>
        <v>2.85425598145</v>
      </c>
      <c r="R2732" s="106" t="str">
        <f>HYPERLINK(AA2 &amp; "/usb_stick/3dw_e113ace6-8169-48da-aef6-6a8aa47e1fed/rendering/15.obj", "2.67780334473")</f>
        <v>2.67780334473</v>
      </c>
      <c r="S2732" s="83" t="str">
        <f>HYPERLINK(AA2 &amp; "/usb_stick/3dw_e113ace6-8169-48da-aef6-6a8aa47e1fed/rendering/16.obj", "2.56976745605")</f>
        <v>2.56976745605</v>
      </c>
      <c r="T2732" s="124" t="str">
        <f>HYPERLINK(AA2 &amp; "/usb_stick/3dw_e113ace6-8169-48da-aef6-6a8aa47e1fed/rendering/17.obj", "4.17898864746")</f>
        <v>4.17898864746</v>
      </c>
      <c r="U2732" s="60" t="str">
        <f>HYPERLINK(AA2 &amp; "/usb_stick/3dw_e113ace6-8169-48da-aef6-6a8aa47e1fed/rendering/18.obj", "2.87267120361")</f>
        <v>2.87267120361</v>
      </c>
      <c r="V2732" s="42" t="str">
        <f>HYPERLINK(AA2 &amp; "/usb_stick/3dw_e113ace6-8169-48da-aef6-6a8aa47e1fed/rendering/19.obj", "2.61364746094")</f>
        <v>2.61364746094</v>
      </c>
      <c r="W2732" s="12" t="s">
        <v>29</v>
      </c>
      <c r="X2732" s="13">
        <v>3.0259910278320312</v>
      </c>
      <c r="Y2732" s="13">
        <v>0.54725137758812048</v>
      </c>
      <c r="Z2732" s="134">
        <v>0.18085029749086809</v>
      </c>
    </row>
    <row r="2733" spans="1:26" x14ac:dyDescent="0.2">
      <c r="A2733" s="1">
        <v>2731</v>
      </c>
      <c r="B2733" s="2" t="s">
        <v>579</v>
      </c>
      <c r="C2733" s="80" t="str">
        <f>HYPERLINK(AA2 &amp; "/usb_stick/3dw_e113ace6-8169-48da-aef6-6a8aa47e1fed/rendering/00.obj", "3.0051715374")</f>
        <v>3.0051715374</v>
      </c>
      <c r="D2733" s="176" t="str">
        <f>HYPERLINK(AA2 &amp; "/usb_stick/3dw_e113ace6-8169-48da-aef6-6a8aa47e1fed/rendering/01.obj", "4.64387845993")</f>
        <v>4.64387845993</v>
      </c>
      <c r="E2733" s="136" t="str">
        <f>HYPERLINK(AA2 &amp; "/usb_stick/3dw_e113ace6-8169-48da-aef6-6a8aa47e1fed/rendering/02.obj", "4.36030864716")</f>
        <v>4.36030864716</v>
      </c>
      <c r="F2733" s="66" t="str">
        <f>HYPERLINK(AA2 &amp; "/usb_stick/3dw_e113ace6-8169-48da-aef6-6a8aa47e1fed/rendering/03.obj", "2.96178913116")</f>
        <v>2.96178913116</v>
      </c>
      <c r="G2733" s="106" t="str">
        <f>HYPERLINK(AA2 &amp; "/usb_stick/3dw_e113ace6-8169-48da-aef6-6a8aa47e1fed/rendering/04.obj", "3.12521481514")</f>
        <v>3.12521481514</v>
      </c>
      <c r="H2733" s="13" t="str">
        <f>HYPERLINK(AA2 &amp; "/usb_stick/3dw_e113ace6-8169-48da-aef6-6a8aa47e1fed/rendering/05.obj", "3.52461910248")</f>
        <v>3.52461910248</v>
      </c>
      <c r="I2733" s="84" t="str">
        <f>HYPERLINK(AA2 &amp; "/usb_stick/3dw_e113ace6-8169-48da-aef6-6a8aa47e1fed/rendering/06.obj", "3.01367235184")</f>
        <v>3.01367235184</v>
      </c>
      <c r="J2733" s="82" t="str">
        <f>HYPERLINK(AA2 &amp; "/usb_stick/3dw_e113ace6-8169-48da-aef6-6a8aa47e1fed/rendering/07.obj", "2.7995390892")</f>
        <v>2.7995390892</v>
      </c>
      <c r="K2733" s="28" t="str">
        <f>HYPERLINK(AA2 &amp; "/usb_stick/3dw_e113ace6-8169-48da-aef6-6a8aa47e1fed/rendering/08.obj", "3.13200330734")</f>
        <v>3.13200330734</v>
      </c>
      <c r="L2733" s="23" t="str">
        <f>HYPERLINK(AA2 &amp; "/usb_stick/3dw_e113ace6-8169-48da-aef6-6a8aa47e1fed/rendering/09.obj", "3.39146304131")</f>
        <v>3.39146304131</v>
      </c>
      <c r="M2733" s="109" t="str">
        <f>HYPERLINK(AA2 &amp; "/usb_stick/3dw_e113ace6-8169-48da-aef6-6a8aa47e1fed/rendering/10.obj", "4.19927692413")</f>
        <v>4.19927692413</v>
      </c>
      <c r="N2733" s="233" t="str">
        <f>HYPERLINK(AA2 &amp; "/usb_stick/3dw_e113ace6-8169-48da-aef6-6a8aa47e1fed/rendering/11.obj", "5.99664592743")</f>
        <v>5.99664592743</v>
      </c>
      <c r="O2733" s="70" t="str">
        <f>HYPERLINK(AA2 &amp; "/usb_stick/3dw_e113ace6-8169-48da-aef6-6a8aa47e1fed/rendering/12.obj", "3.08076477051")</f>
        <v>3.08076477051</v>
      </c>
      <c r="P2733" s="69" t="str">
        <f>HYPERLINK(AA2 &amp; "/usb_stick/3dw_e113ace6-8169-48da-aef6-6a8aa47e1fed/rendering/13.obj", "3.41778206825")</f>
        <v>3.41778206825</v>
      </c>
      <c r="Q2733" s="110" t="str">
        <f>HYPERLINK(AA2 &amp; "/usb_stick/3dw_e113ace6-8169-48da-aef6-6a8aa47e1fed/rendering/14.obj", "3.18007063866")</f>
        <v>3.18007063866</v>
      </c>
      <c r="R2733" s="33" t="str">
        <f>HYPERLINK(AA2 &amp; "/usb_stick/3dw_e113ace6-8169-48da-aef6-6a8aa47e1fed/rendering/15.obj", "3.14212012291")</f>
        <v>3.14212012291</v>
      </c>
      <c r="S2733" s="50" t="str">
        <f>HYPERLINK(AA2 &amp; "/usb_stick/3dw_e113ace6-8169-48da-aef6-6a8aa47e1fed/rendering/16.obj", "2.82191681862")</f>
        <v>2.82191681862</v>
      </c>
      <c r="T2733" s="135" t="str">
        <f>HYPERLINK(AA2 &amp; "/usb_stick/3dw_e113ace6-8169-48da-aef6-6a8aa47e1fed/rendering/17.obj", "4.42285919189")</f>
        <v>4.42285919189</v>
      </c>
      <c r="U2733" s="133" t="str">
        <f>HYPERLINK(AA2 &amp; "/usb_stick/3dw_e113ace6-8169-48da-aef6-6a8aa47e1fed/rendering/18.obj", "3.16871547699")</f>
        <v>3.16871547699</v>
      </c>
      <c r="V2733" s="33" t="str">
        <f>HYPERLINK(AA2 &amp; "/usb_stick/3dw_e113ace6-8169-48da-aef6-6a8aa47e1fed/rendering/19.obj", "3.14009070396")</f>
        <v>3.14009070396</v>
      </c>
      <c r="W2733" s="12" t="s">
        <v>30</v>
      </c>
      <c r="X2733" s="13">
        <v>3.5263951063156131</v>
      </c>
      <c r="Y2733" s="13">
        <v>0.7832797345862732</v>
      </c>
      <c r="Z2733" s="75">
        <v>0.2221191077492862</v>
      </c>
    </row>
    <row r="2734" spans="1:26" x14ac:dyDescent="0.2">
      <c r="A2734" s="1">
        <v>2732</v>
      </c>
      <c r="B2734" s="2" t="s">
        <v>579</v>
      </c>
      <c r="C2734" s="10" t="str">
        <f>HYPERLINK(AB2 &amp; "/usb_stick/3dw_e113ace6-8169-48da-aef6-6a8aa47e1fed/rendering/00.obj", "3.27875549316")</f>
        <v>3.27875549316</v>
      </c>
      <c r="D2734" s="32" t="str">
        <f>HYPERLINK(AB2 &amp; "/usb_stick/3dw_e113ace6-8169-48da-aef6-6a8aa47e1fed/rendering/01.obj", "3.83601196289")</f>
        <v>3.83601196289</v>
      </c>
      <c r="E2734" s="74" t="str">
        <f>HYPERLINK(AB2 &amp; "/usb_stick/3dw_e113ace6-8169-48da-aef6-6a8aa47e1fed/rendering/02.obj", "3.52643005371")</f>
        <v>3.52643005371</v>
      </c>
      <c r="F2734" s="30" t="str">
        <f>HYPERLINK(AB2 &amp; "/usb_stick/3dw_e113ace6-8169-48da-aef6-6a8aa47e1fed/rendering/03.obj", "3.45350402832")</f>
        <v>3.45350402832</v>
      </c>
      <c r="G2734" s="25" t="str">
        <f>HYPERLINK(AB2 &amp; "/usb_stick/3dw_e113ace6-8169-48da-aef6-6a8aa47e1fed/rendering/04.obj", "3.43764831543")</f>
        <v>3.43764831543</v>
      </c>
      <c r="H2734" s="60" t="str">
        <f>HYPERLINK(AB2 &amp; "/usb_stick/3dw_e113ace6-8169-48da-aef6-6a8aa47e1fed/rendering/05.obj", "3.29587402344")</f>
        <v>3.29587402344</v>
      </c>
      <c r="I2734" s="47" t="str">
        <f>HYPERLINK(AB2 &amp; "/usb_stick/3dw_e113ace6-8169-48da-aef6-6a8aa47e1fed/rendering/06.obj", "3.50075561523")</f>
        <v>3.50075561523</v>
      </c>
      <c r="J2734" s="72" t="str">
        <f>HYPERLINK(AB2 &amp; "/usb_stick/3dw_e113ace6-8169-48da-aef6-6a8aa47e1fed/rendering/07.obj", "3.59191894531")</f>
        <v>3.59191894531</v>
      </c>
      <c r="K2734" s="67" t="str">
        <f>HYPERLINK(AB2 &amp; "/usb_stick/3dw_e113ace6-8169-48da-aef6-6a8aa47e1fed/rendering/08.obj", "3.78890319824")</f>
        <v>3.78890319824</v>
      </c>
      <c r="L2734" s="94" t="str">
        <f>HYPERLINK(AB2 &amp; "/usb_stick/3dw_e113ace6-8169-48da-aef6-6a8aa47e1fed/rendering/09.obj", "3.72977233887")</f>
        <v>3.72977233887</v>
      </c>
      <c r="M2734" s="60" t="str">
        <f>HYPERLINK(AB2 &amp; "/usb_stick/3dw_e113ace6-8169-48da-aef6-6a8aa47e1fed/rendering/10.obj", "3.65148773193")</f>
        <v>3.65148773193</v>
      </c>
      <c r="N2734" s="74" t="str">
        <f>HYPERLINK(AB2 &amp; "/usb_stick/3dw_e113ace6-8169-48da-aef6-6a8aa47e1fed/rendering/11.obj", "3.52610778809")</f>
        <v>3.52610778809</v>
      </c>
      <c r="O2734" s="27" t="str">
        <f>HYPERLINK(AB2 &amp; "/usb_stick/3dw_e113ace6-8169-48da-aef6-6a8aa47e1fed/rendering/12.obj", "3.22228363037")</f>
        <v>3.22228363037</v>
      </c>
      <c r="P2734" s="35" t="str">
        <f>HYPERLINK(AB2 &amp; "/usb_stick/3dw_e113ace6-8169-48da-aef6-6a8aa47e1fed/rendering/13.obj", "3.26719360352")</f>
        <v>3.26719360352</v>
      </c>
      <c r="Q2734" s="46" t="str">
        <f>HYPERLINK(AB2 &amp; "/usb_stick/3dw_e113ace6-8169-48da-aef6-6a8aa47e1fed/rendering/14.obj", "3.52824188232")</f>
        <v>3.52824188232</v>
      </c>
      <c r="R2734" s="107" t="str">
        <f>HYPERLINK(AB2 &amp; "/usb_stick/3dw_e113ace6-8169-48da-aef6-6a8aa47e1fed/rendering/15.obj", "3.18389709473")</f>
        <v>3.18389709473</v>
      </c>
      <c r="S2734" s="68" t="str">
        <f>HYPERLINK(AB2 &amp; "/usb_stick/3dw_e113ace6-8169-48da-aef6-6a8aa47e1fed/rendering/16.obj", "3.32760559082")</f>
        <v>3.32760559082</v>
      </c>
      <c r="T2734" s="17" t="str">
        <f>HYPERLINK(AB2 &amp; "/usb_stick/3dw_e113ace6-8169-48da-aef6-6a8aa47e1fed/rendering/17.obj", "3.4071887207")</f>
        <v>3.4071887207</v>
      </c>
      <c r="U2734" s="27" t="str">
        <f>HYPERLINK(AB2 &amp; "/usb_stick/3dw_e113ace6-8169-48da-aef6-6a8aa47e1fed/rendering/18.obj", "3.72232086182")</f>
        <v>3.72232086182</v>
      </c>
      <c r="V2734" s="107" t="str">
        <f>HYPERLINK(AB2 &amp; "/usb_stick/3dw_e113ace6-8169-48da-aef6-6a8aa47e1fed/rendering/19.obj", "3.17891723633")</f>
        <v>3.17891723633</v>
      </c>
      <c r="W2734" s="12" t="s">
        <v>31</v>
      </c>
      <c r="X2734" s="13">
        <v>3.4727409057617189</v>
      </c>
      <c r="Y2734" s="13">
        <v>0.19832373770369219</v>
      </c>
      <c r="Z2734" s="35">
        <v>5.710870551115628E-2</v>
      </c>
    </row>
    <row r="2735" spans="1:26" x14ac:dyDescent="0.2">
      <c r="A2735" s="1">
        <v>2733</v>
      </c>
      <c r="B2735" s="2" t="s">
        <v>579</v>
      </c>
      <c r="C2735" s="51" t="str">
        <f>HYPERLINK(AB2 &amp; "/usb_stick/3dw_e113ace6-8169-48da-aef6-6a8aa47e1fed/rendering/00.obj", "2.4525551796")</f>
        <v>2.4525551796</v>
      </c>
      <c r="D2735" s="68" t="str">
        <f>HYPERLINK(AB2 &amp; "/usb_stick/3dw_e113ace6-8169-48da-aef6-6a8aa47e1fed/rendering/01.obj", "2.78026247025")</f>
        <v>2.78026247025</v>
      </c>
      <c r="E2735" s="106" t="str">
        <f>HYPERLINK(AB2 &amp; "/usb_stick/3dw_e113ace6-8169-48da-aef6-6a8aa47e1fed/rendering/02.obj", "2.36266827583")</f>
        <v>2.36266827583</v>
      </c>
      <c r="F2735" s="17" t="str">
        <f>HYPERLINK(AB2 &amp; "/usb_stick/3dw_e113ace6-8169-48da-aef6-6a8aa47e1fed/rendering/03.obj", "2.61045074463")</f>
        <v>2.61045074463</v>
      </c>
      <c r="G2735" s="48" t="str">
        <f>HYPERLINK(AB2 &amp; "/usb_stick/3dw_e113ace6-8169-48da-aef6-6a8aa47e1fed/rendering/04.obj", "2.60412716866")</f>
        <v>2.60412716866</v>
      </c>
      <c r="H2735" s="106" t="str">
        <f>HYPERLINK(AB2 &amp; "/usb_stick/3dw_e113ace6-8169-48da-aef6-6a8aa47e1fed/rendering/05.obj", "2.35823106766")</f>
        <v>2.35823106766</v>
      </c>
      <c r="I2735" s="27" t="str">
        <f>HYPERLINK(AB2 &amp; "/usb_stick/3dw_e113ace6-8169-48da-aef6-6a8aa47e1fed/rendering/06.obj", "2.84935736656")</f>
        <v>2.84935736656</v>
      </c>
      <c r="J2735" s="82" t="str">
        <f>HYPERLINK(AB2 &amp; "/usb_stick/3dw_e113ace6-8169-48da-aef6-6a8aa47e1fed/rendering/07.obj", "3.21005105972")</f>
        <v>3.21005105972</v>
      </c>
      <c r="K2735" s="91" t="str">
        <f>HYPERLINK(AB2 &amp; "/usb_stick/3dw_e113ace6-8169-48da-aef6-6a8aa47e1fed/rendering/08.obj", "2.59682583809")</f>
        <v>2.59682583809</v>
      </c>
      <c r="L2735" s="73" t="str">
        <f>HYPERLINK(AB2 &amp; "/usb_stick/3dw_e113ace6-8169-48da-aef6-6a8aa47e1fed/rendering/09.obj", "2.76144170761")</f>
        <v>2.76144170761</v>
      </c>
      <c r="M2735" s="7" t="str">
        <f>HYPERLINK(AB2 &amp; "/usb_stick/3dw_e113ace6-8169-48da-aef6-6a8aa47e1fed/rendering/10.obj", "3.40423440933")</f>
        <v>3.40423440933</v>
      </c>
      <c r="N2735" s="107" t="str">
        <f>HYPERLINK(AB2 &amp; "/usb_stick/3dw_e113ace6-8169-48da-aef6-6a8aa47e1fed/rendering/11.obj", "2.88913559914")</f>
        <v>2.88913559914</v>
      </c>
      <c r="O2735" s="28" t="str">
        <f>HYPERLINK(AB2 &amp; "/usb_stick/3dw_e113ace6-8169-48da-aef6-6a8aa47e1fed/rendering/12.obj", "2.37047529221")</f>
        <v>2.37047529221</v>
      </c>
      <c r="P2735" s="5" t="str">
        <f>HYPERLINK(AB2 &amp; "/usb_stick/3dw_e113ace6-8169-48da-aef6-6a8aa47e1fed/rendering/13.obj", "2.45957303047")</f>
        <v>2.45957303047</v>
      </c>
      <c r="Q2735" s="26" t="str">
        <f>HYPERLINK(AB2 &amp; "/usb_stick/3dw_e113ace6-8169-48da-aef6-6a8aa47e1fed/rendering/14.obj", "2.83300328255")</f>
        <v>2.83300328255</v>
      </c>
      <c r="R2735" s="33" t="str">
        <f>HYPERLINK(AB2 &amp; "/usb_stick/3dw_e113ace6-8169-48da-aef6-6a8aa47e1fed/rendering/15.obj", "2.3730661869")</f>
        <v>2.3730661869</v>
      </c>
      <c r="S2735" s="47" t="str">
        <f>HYPERLINK(AB2 &amp; "/usb_stick/3dw_e113ace6-8169-48da-aef6-6a8aa47e1fed/rendering/16.obj", "2.68324136734")</f>
        <v>2.68324136734</v>
      </c>
      <c r="T2735" s="26" t="str">
        <f>HYPERLINK(AB2 &amp; "/usb_stick/3dw_e113ace6-8169-48da-aef6-6a8aa47e1fed/rendering/17.obj", "2.49113345146")</f>
        <v>2.49113345146</v>
      </c>
      <c r="U2735" s="10" t="str">
        <f>HYPERLINK(AB2 &amp; "/usb_stick/3dw_e113ace6-8169-48da-aef6-6a8aa47e1fed/rendering/18.obj", "2.81072664261")</f>
        <v>2.81072664261</v>
      </c>
      <c r="V2735" s="32" t="str">
        <f>HYPERLINK(AB2 &amp; "/usb_stick/3dw_e113ace6-8169-48da-aef6-6a8aa47e1fed/rendering/19.obj", "2.38264346123")</f>
        <v>2.38264346123</v>
      </c>
      <c r="W2735" s="12" t="s">
        <v>32</v>
      </c>
      <c r="X2735" s="13">
        <v>2.6641601800918582</v>
      </c>
      <c r="Y2735" s="13">
        <v>0.27984258882029939</v>
      </c>
      <c r="Z2735" s="32">
        <v>0.105039701032785</v>
      </c>
    </row>
    <row r="2736" spans="1:26" x14ac:dyDescent="0.2">
      <c r="A2736" s="1">
        <v>2734</v>
      </c>
      <c r="B2736" s="2" t="s">
        <v>579</v>
      </c>
      <c r="C2736" s="13" t="str">
        <f>HYPERLINK(AC2 &amp; "/usb_stick/3dw_e113ace6-8169-48da-aef6-6a8aa47e1fed/rendering/00.xyz", "0.0")</f>
        <v>0.0</v>
      </c>
      <c r="D2736" s="13" t="str">
        <f>HYPERLINK(AC2 &amp; "/usb_stick/3dw_e113ace6-8169-48da-aef6-6a8aa47e1fed/rendering/01.xyz", "0.0")</f>
        <v>0.0</v>
      </c>
      <c r="E2736" s="13" t="str">
        <f>HYPERLINK(AC2 &amp; "/usb_stick/3dw_e113ace6-8169-48da-aef6-6a8aa47e1fed/rendering/02.xyz", "0.0")</f>
        <v>0.0</v>
      </c>
      <c r="F2736" s="13" t="str">
        <f>HYPERLINK(AC2 &amp; "/usb_stick/3dw_e113ace6-8169-48da-aef6-6a8aa47e1fed/rendering/03.xyz", "0.0")</f>
        <v>0.0</v>
      </c>
      <c r="G2736" s="13" t="str">
        <f>HYPERLINK(AC2 &amp; "/usb_stick/3dw_e113ace6-8169-48da-aef6-6a8aa47e1fed/rendering/04.xyz", "0.0")</f>
        <v>0.0</v>
      </c>
      <c r="H2736" s="13" t="str">
        <f>HYPERLINK(AC2 &amp; "/usb_stick/3dw_e113ace6-8169-48da-aef6-6a8aa47e1fed/rendering/05.xyz", "0.0")</f>
        <v>0.0</v>
      </c>
      <c r="I2736" s="13" t="str">
        <f>HYPERLINK(AC2 &amp; "/usb_stick/3dw_e113ace6-8169-48da-aef6-6a8aa47e1fed/rendering/06.xyz", "0.0")</f>
        <v>0.0</v>
      </c>
      <c r="J2736" s="13" t="str">
        <f>HYPERLINK(AC2 &amp; "/usb_stick/3dw_e113ace6-8169-48da-aef6-6a8aa47e1fed/rendering/07.xyz", "0.0")</f>
        <v>0.0</v>
      </c>
      <c r="K2736" s="13" t="str">
        <f>HYPERLINK(AC2 &amp; "/usb_stick/3dw_e113ace6-8169-48da-aef6-6a8aa47e1fed/rendering/08.xyz", "0.0")</f>
        <v>0.0</v>
      </c>
      <c r="L2736" s="13" t="str">
        <f>HYPERLINK(AC2 &amp; "/usb_stick/3dw_e113ace6-8169-48da-aef6-6a8aa47e1fed/rendering/09.xyz", "0.0")</f>
        <v>0.0</v>
      </c>
      <c r="M2736" s="13" t="str">
        <f>HYPERLINK(AC2 &amp; "/usb_stick/3dw_e113ace6-8169-48da-aef6-6a8aa47e1fed/rendering/10.xyz", "0.0")</f>
        <v>0.0</v>
      </c>
      <c r="N2736" s="13" t="str">
        <f>HYPERLINK(AC2 &amp; "/usb_stick/3dw_e113ace6-8169-48da-aef6-6a8aa47e1fed/rendering/11.xyz", "0.0")</f>
        <v>0.0</v>
      </c>
      <c r="O2736" s="13" t="str">
        <f>HYPERLINK(AC2 &amp; "/usb_stick/3dw_e113ace6-8169-48da-aef6-6a8aa47e1fed/rendering/12.xyz", "0.0")</f>
        <v>0.0</v>
      </c>
      <c r="P2736" s="13" t="str">
        <f>HYPERLINK(AC2 &amp; "/usb_stick/3dw_e113ace6-8169-48da-aef6-6a8aa47e1fed/rendering/13.xyz", "0.0")</f>
        <v>0.0</v>
      </c>
      <c r="Q2736" s="13" t="str">
        <f>HYPERLINK(AC2 &amp; "/usb_stick/3dw_e113ace6-8169-48da-aef6-6a8aa47e1fed/rendering/14.xyz", "0.0")</f>
        <v>0.0</v>
      </c>
      <c r="R2736" s="13" t="str">
        <f>HYPERLINK(AC2 &amp; "/usb_stick/3dw_e113ace6-8169-48da-aef6-6a8aa47e1fed/rendering/15.xyz", "0.0")</f>
        <v>0.0</v>
      </c>
      <c r="S2736" s="13" t="str">
        <f>HYPERLINK(AC2 &amp; "/usb_stick/3dw_e113ace6-8169-48da-aef6-6a8aa47e1fed/rendering/16.xyz", "0.0")</f>
        <v>0.0</v>
      </c>
      <c r="T2736" s="13" t="str">
        <f>HYPERLINK(AC2 &amp; "/usb_stick/3dw_e113ace6-8169-48da-aef6-6a8aa47e1fed/rendering/17.xyz", "0.0")</f>
        <v>0.0</v>
      </c>
      <c r="U2736" s="13" t="str">
        <f>HYPERLINK(AC2 &amp; "/usb_stick/3dw_e113ace6-8169-48da-aef6-6a8aa47e1fed/rendering/18.xyz", "0.0")</f>
        <v>0.0</v>
      </c>
      <c r="V2736" s="13" t="str">
        <f>HYPERLINK(AC2 &amp; "/usb_stick/3dw_e113ace6-8169-48da-aef6-6a8aa47e1fed/rendering/19.xyz", "0.0")</f>
        <v>0.0</v>
      </c>
      <c r="W2736" s="12" t="s">
        <v>33</v>
      </c>
      <c r="X2736" s="13">
        <v>0</v>
      </c>
      <c r="Y2736" s="13">
        <v>0</v>
      </c>
      <c r="Z2736" s="13">
        <v>0</v>
      </c>
    </row>
    <row r="2737" spans="1:26" x14ac:dyDescent="0.2">
      <c r="A2737" s="1">
        <v>2735</v>
      </c>
      <c r="B2737" s="2" t="s">
        <v>580</v>
      </c>
      <c r="C2737" s="20" t="str">
        <f>HYPERLINK(AA2 &amp; "/usb_stick/3dw_e161212e-5cfb-4d6d-8e3d-b2e75292c80a/rendering/00.obj", "10.8492211914")</f>
        <v>10.8492211914</v>
      </c>
      <c r="D2737" s="186" t="str">
        <f>HYPERLINK(AA2 &amp; "/usb_stick/3dw_e161212e-5cfb-4d6d-8e3d-b2e75292c80a/rendering/01.obj", "2.16087783813")</f>
        <v>2.16087783813</v>
      </c>
      <c r="E2737" s="67" t="str">
        <f>HYPERLINK(AA2 &amp; "/usb_stick/3dw_e161212e-5cfb-4d6d-8e3d-b2e75292c80a/rendering/02.obj", "4.90825286865")</f>
        <v>4.90825286865</v>
      </c>
      <c r="F2737" s="187" t="str">
        <f>HYPERLINK(AA2 &amp; "/usb_stick/3dw_e161212e-5cfb-4d6d-8e3d-b2e75292c80a/rendering/03.obj", "3.51563995361")</f>
        <v>3.51563995361</v>
      </c>
      <c r="G2737" s="183" t="str">
        <f>HYPERLINK(AA2 &amp; "/usb_stick/3dw_e161212e-5cfb-4d6d-8e3d-b2e75292c80a/rendering/04.obj", "9.45769897461")</f>
        <v>9.45769897461</v>
      </c>
      <c r="H2737" s="179" t="str">
        <f>HYPERLINK(AA2 &amp; "/usb_stick/3dw_e161212e-5cfb-4d6d-8e3d-b2e75292c80a/rendering/05.obj", "3.09003356934")</f>
        <v>3.09003356934</v>
      </c>
      <c r="I2737" s="137" t="str">
        <f>HYPERLINK(AA2 &amp; "/usb_stick/3dw_e161212e-5cfb-4d6d-8e3d-b2e75292c80a/rendering/06.obj", "3.42723388672")</f>
        <v>3.42723388672</v>
      </c>
      <c r="J2737" s="179" t="str">
        <f>HYPERLINK(AA2 &amp; "/usb_stick/3dw_e161212e-5cfb-4d6d-8e3d-b2e75292c80a/rendering/07.obj", "3.08737091064")</f>
        <v>3.08737091064</v>
      </c>
      <c r="K2737" s="175" t="str">
        <f>HYPERLINK(AA2 &amp; "/usb_stick/3dw_e161212e-5cfb-4d6d-8e3d-b2e75292c80a/rendering/08.obj", "4.14371154785")</f>
        <v>4.14371154785</v>
      </c>
      <c r="L2737" s="194" t="str">
        <f>HYPERLINK(AA2 &amp; "/usb_stick/3dw_e161212e-5cfb-4d6d-8e3d-b2e75292c80a/rendering/09.obj", "8.75570068359")</f>
        <v>8.75570068359</v>
      </c>
      <c r="M2737" s="93" t="str">
        <f>HYPERLINK(AA2 &amp; "/usb_stick/3dw_e161212e-5cfb-4d6d-8e3d-b2e75292c80a/rendering/10.obj", "4.6387322998")</f>
        <v>4.6387322998</v>
      </c>
      <c r="N2737" s="28" t="str">
        <f>HYPERLINK(AA2 &amp; "/usb_stick/3dw_e161212e-5cfb-4d6d-8e3d-b2e75292c80a/rendering/11.obj", "6.00750732422")</f>
        <v>6.00750732422</v>
      </c>
      <c r="O2737" s="19" t="str">
        <f>HYPERLINK(AA2 &amp; "/usb_stick/3dw_e161212e-5cfb-4d6d-8e3d-b2e75292c80a/rendering/12.obj", "3.97764221191")</f>
        <v>3.97764221191</v>
      </c>
      <c r="P2737" s="82" t="str">
        <f>HYPERLINK(AA2 &amp; "/usb_stick/3dw_e161212e-5cfb-4d6d-8e3d-b2e75292c80a/rendering/13.obj", "6.50347839355")</f>
        <v>6.50347839355</v>
      </c>
      <c r="Q2737" s="188" t="str">
        <f>HYPERLINK(AA2 &amp; "/usb_stick/3dw_e161212e-5cfb-4d6d-8e3d-b2e75292c80a/rendering/14.obj", "9.27322998047")</f>
        <v>9.27322998047</v>
      </c>
      <c r="R2737" s="47" t="str">
        <f>HYPERLINK(AA2 &amp; "/usb_stick/3dw_e161212e-5cfb-4d6d-8e3d-b2e75292c80a/rendering/15.obj", "5.36469299316")</f>
        <v>5.36469299316</v>
      </c>
      <c r="S2737" s="82" t="str">
        <f>HYPERLINK(AA2 &amp; "/usb_stick/3dw_e161212e-5cfb-4d6d-8e3d-b2e75292c80a/rendering/16.obj", "4.28724365234")</f>
        <v>4.28724365234</v>
      </c>
      <c r="T2737" s="172" t="str">
        <f>HYPERLINK(AA2 &amp; "/usb_stick/3dw_e161212e-5cfb-4d6d-8e3d-b2e75292c80a/rendering/17.obj", "3.32137695313")</f>
        <v>3.32137695313</v>
      </c>
      <c r="U2737" s="188" t="str">
        <f>HYPERLINK(AA2 &amp; "/usb_stick/3dw_e161212e-5cfb-4d6d-8e3d-b2e75292c80a/rendering/18.obj", "9.27878479004")</f>
        <v>9.27878479004</v>
      </c>
      <c r="V2737" s="115" t="str">
        <f>HYPERLINK(AA2 &amp; "/usb_stick/3dw_e161212e-5cfb-4d6d-8e3d-b2e75292c80a/rendering/19.obj", "1.94706207275")</f>
        <v>1.94706207275</v>
      </c>
      <c r="W2737" s="12" t="s">
        <v>29</v>
      </c>
      <c r="X2737" s="13">
        <v>5.3997746047973632</v>
      </c>
      <c r="Y2737" s="13">
        <v>2.6417573058752879</v>
      </c>
      <c r="Z2737" s="147">
        <v>0.48923473648849181</v>
      </c>
    </row>
    <row r="2738" spans="1:26" x14ac:dyDescent="0.2">
      <c r="A2738" s="1">
        <v>2736</v>
      </c>
      <c r="B2738" s="2" t="s">
        <v>580</v>
      </c>
      <c r="C2738" s="20" t="str">
        <f>HYPERLINK(AA2 &amp; "/usb_stick/3dw_e161212e-5cfb-4d6d-8e3d-b2e75292c80a/rendering/00.obj", "170.508514404")</f>
        <v>170.508514404</v>
      </c>
      <c r="D2738" s="20" t="str">
        <f>HYPERLINK(AA2 &amp; "/usb_stick/3dw_e161212e-5cfb-4d6d-8e3d-b2e75292c80a/rendering/01.obj", "4.17935371399")</f>
        <v>4.17935371399</v>
      </c>
      <c r="E2738" s="104" t="str">
        <f>HYPERLINK(AA2 &amp; "/usb_stick/3dw_e161212e-5cfb-4d6d-8e3d-b2e75292c80a/rendering/02.obj", "19.2957725525")</f>
        <v>19.2957725525</v>
      </c>
      <c r="F2738" s="215" t="str">
        <f>HYPERLINK(AA2 &amp; "/usb_stick/3dw_e161212e-5cfb-4d6d-8e3d-b2e75292c80a/rendering/03.obj", "12.1072893143")</f>
        <v>12.1072893143</v>
      </c>
      <c r="G2738" s="20" t="str">
        <f>HYPERLINK(AA2 &amp; "/usb_stick/3dw_e161212e-5cfb-4d6d-8e3d-b2e75292c80a/rendering/04.obj", "82.8653259277")</f>
        <v>82.8653259277</v>
      </c>
      <c r="H2738" s="20" t="str">
        <f>HYPERLINK(AA2 &amp; "/usb_stick/3dw_e161212e-5cfb-4d6d-8e3d-b2e75292c80a/rendering/05.obj", "5.06645774841")</f>
        <v>5.06645774841</v>
      </c>
      <c r="I2738" s="20" t="str">
        <f>HYPERLINK(AA2 &amp; "/usb_stick/3dw_e161212e-5cfb-4d6d-8e3d-b2e75292c80a/rendering/06.obj", "6.59096479416")</f>
        <v>6.59096479416</v>
      </c>
      <c r="J2738" s="20" t="str">
        <f>HYPERLINK(AA2 &amp; "/usb_stick/3dw_e161212e-5cfb-4d6d-8e3d-b2e75292c80a/rendering/07.obj", "4.4922208786")</f>
        <v>4.4922208786</v>
      </c>
      <c r="K2738" s="160" t="str">
        <f>HYPERLINK(AA2 &amp; "/usb_stick/3dw_e161212e-5cfb-4d6d-8e3d-b2e75292c80a/rendering/08.obj", "17.3854522705")</f>
        <v>17.3854522705</v>
      </c>
      <c r="L2738" s="20" t="str">
        <f>HYPERLINK(AA2 &amp; "/usb_stick/3dw_e161212e-5cfb-4d6d-8e3d-b2e75292c80a/rendering/09.obj", "70.5804672241")</f>
        <v>70.5804672241</v>
      </c>
      <c r="M2738" s="58" t="str">
        <f>HYPERLINK(AA2 &amp; "/usb_stick/3dw_e161212e-5cfb-4d6d-8e3d-b2e75292c80a/rendering/10.obj", "27.8574886322")</f>
        <v>27.8574886322</v>
      </c>
      <c r="N2738" s="191" t="str">
        <f>HYPERLINK(AA2 &amp; "/usb_stick/3dw_e161212e-5cfb-4d6d-8e3d-b2e75292c80a/rendering/11.obj", "53.5868034363")</f>
        <v>53.5868034363</v>
      </c>
      <c r="O2738" s="178" t="str">
        <f>HYPERLINK(AA2 &amp; "/usb_stick/3dw_e161212e-5cfb-4d6d-8e3d-b2e75292c80a/rendering/12.obj", "13.0161561966")</f>
        <v>13.0161561966</v>
      </c>
      <c r="P2738" s="133" t="str">
        <f>HYPERLINK(AA2 &amp; "/usb_stick/3dw_e161212e-5cfb-4d6d-8e3d-b2e75292c80a/rendering/13.obj", "33.0668182373")</f>
        <v>33.0668182373</v>
      </c>
      <c r="Q2738" s="20" t="str">
        <f>HYPERLINK(AA2 &amp; "/usb_stick/3dw_e161212e-5cfb-4d6d-8e3d-b2e75292c80a/rendering/14.obj", "76.7865066528")</f>
        <v>76.7865066528</v>
      </c>
      <c r="R2738" s="38" t="str">
        <f>HYPERLINK(AA2 &amp; "/usb_stick/3dw_e161212e-5cfb-4d6d-8e3d-b2e75292c80a/rendering/15.obj", "40.0713119507")</f>
        <v>40.0713119507</v>
      </c>
      <c r="S2738" s="20" t="str">
        <f>HYPERLINK(AA2 &amp; "/usb_stick/3dw_e161212e-5cfb-4d6d-8e3d-b2e75292c80a/rendering/16.obj", "7.00639629364")</f>
        <v>7.00639629364</v>
      </c>
      <c r="T2738" s="224" t="str">
        <f>HYPERLINK(AA2 &amp; "/usb_stick/3dw_e161212e-5cfb-4d6d-8e3d-b2e75292c80a/rendering/17.obj", "10.747592926")</f>
        <v>10.747592926</v>
      </c>
      <c r="U2738" s="20" t="str">
        <f>HYPERLINK(AA2 &amp; "/usb_stick/3dw_e161212e-5cfb-4d6d-8e3d-b2e75292c80a/rendering/18.obj", "78.2968444824")</f>
        <v>78.2968444824</v>
      </c>
      <c r="V2738" s="20" t="str">
        <f>HYPERLINK(AA2 &amp; "/usb_stick/3dw_e161212e-5cfb-4d6d-8e3d-b2e75292c80a/rendering/19.obj", "3.16115450859")</f>
        <v>3.16115450859</v>
      </c>
      <c r="W2738" s="12" t="s">
        <v>30</v>
      </c>
      <c r="X2738" s="13">
        <v>36.833444607257853</v>
      </c>
      <c r="Y2738" s="13">
        <v>40.885557385569932</v>
      </c>
      <c r="Z2738" s="20">
        <v>1.1100117792815289</v>
      </c>
    </row>
    <row r="2739" spans="1:26" x14ac:dyDescent="0.2">
      <c r="A2739" s="1">
        <v>2737</v>
      </c>
      <c r="B2739" s="2" t="s">
        <v>580</v>
      </c>
      <c r="C2739" s="20" t="str">
        <f>HYPERLINK(AB2 &amp; "/usb_stick/3dw_e161212e-5cfb-4d6d-8e3d-b2e75292c80a/rendering/00.obj", "7.19149230957")</f>
        <v>7.19149230957</v>
      </c>
      <c r="D2739" s="74" t="str">
        <f>HYPERLINK(AB2 &amp; "/usb_stick/3dw_e161212e-5cfb-4d6d-8e3d-b2e75292c80a/rendering/01.obj", "3.74919921875")</f>
        <v>3.74919921875</v>
      </c>
      <c r="E2739" s="89" t="str">
        <f>HYPERLINK(AB2 &amp; "/usb_stick/3dw_e161212e-5cfb-4d6d-8e3d-b2e75292c80a/rendering/02.obj", "2.81954437256")</f>
        <v>2.81954437256</v>
      </c>
      <c r="F2739" s="49" t="str">
        <f>HYPERLINK(AB2 &amp; "/usb_stick/3dw_e161212e-5cfb-4d6d-8e3d-b2e75292c80a/rendering/03.obj", "3.01180755615")</f>
        <v>3.01180755615</v>
      </c>
      <c r="G2739" s="116" t="str">
        <f>HYPERLINK(AB2 &amp; "/usb_stick/3dw_e161212e-5cfb-4d6d-8e3d-b2e75292c80a/rendering/04.obj", "2.14473388672")</f>
        <v>2.14473388672</v>
      </c>
      <c r="H2739" s="55" t="str">
        <f>HYPERLINK(AB2 &amp; "/usb_stick/3dw_e161212e-5cfb-4d6d-8e3d-b2e75292c80a/rendering/05.obj", "3.07628662109")</f>
        <v>3.07628662109</v>
      </c>
      <c r="I2739" s="37" t="str">
        <f>HYPERLINK(AB2 &amp; "/usb_stick/3dw_e161212e-5cfb-4d6d-8e3d-b2e75292c80a/rendering/06.obj", "3.14760406494")</f>
        <v>3.14760406494</v>
      </c>
      <c r="J2739" s="44" t="str">
        <f>HYPERLINK(AB2 &amp; "/usb_stick/3dw_e161212e-5cfb-4d6d-8e3d-b2e75292c80a/rendering/07.obj", "3.06213226318")</f>
        <v>3.06213226318</v>
      </c>
      <c r="K2739" s="17" t="str">
        <f>HYPERLINK(AB2 &amp; "/usb_stick/3dw_e161212e-5cfb-4d6d-8e3d-b2e75292c80a/rendering/08.obj", "3.72259277344")</f>
        <v>3.72259277344</v>
      </c>
      <c r="L2739" s="171" t="str">
        <f>HYPERLINK(AB2 &amp; "/usb_stick/3dw_e161212e-5cfb-4d6d-8e3d-b2e75292c80a/rendering/09.obj", "2.64512756348")</f>
        <v>2.64512756348</v>
      </c>
      <c r="M2739" s="117" t="str">
        <f>HYPERLINK(AB2 &amp; "/usb_stick/3dw_e161212e-5cfb-4d6d-8e3d-b2e75292c80a/rendering/10.obj", "4.48460388184")</f>
        <v>4.48460388184</v>
      </c>
      <c r="N2739" s="20" t="str">
        <f>HYPERLINK(AB2 &amp; "/usb_stick/3dw_e161212e-5cfb-4d6d-8e3d-b2e75292c80a/rendering/11.obj", "7.23737426758")</f>
        <v>7.23737426758</v>
      </c>
      <c r="O2739" s="81" t="str">
        <f>HYPERLINK(AB2 &amp; "/usb_stick/3dw_e161212e-5cfb-4d6d-8e3d-b2e75292c80a/rendering/12.obj", "2.97324768066")</f>
        <v>2.97324768066</v>
      </c>
      <c r="P2739" s="176" t="str">
        <f>HYPERLINK(AB2 &amp; "/usb_stick/3dw_e161212e-5cfb-4d6d-8e3d-b2e75292c80a/rendering/13.obj", "2.59251831055")</f>
        <v>2.59251831055</v>
      </c>
      <c r="Q2739" s="144" t="str">
        <f>HYPERLINK(AB2 &amp; "/usb_stick/3dw_e161212e-5cfb-4d6d-8e3d-b2e75292c80a/rendering/14.obj", "1.89310638428")</f>
        <v>1.89310638428</v>
      </c>
      <c r="R2739" s="117" t="str">
        <f>HYPERLINK(AB2 &amp; "/usb_stick/3dw_e161212e-5cfb-4d6d-8e3d-b2e75292c80a/rendering/15.obj", "3.13366760254")</f>
        <v>3.13366760254</v>
      </c>
      <c r="S2739" s="29" t="str">
        <f>HYPERLINK(AB2 &amp; "/usb_stick/3dw_e161212e-5cfb-4d6d-8e3d-b2e75292c80a/rendering/16.obj", "3.30590881348")</f>
        <v>3.30590881348</v>
      </c>
      <c r="T2739" s="19" t="str">
        <f>HYPERLINK(AB2 &amp; "/usb_stick/3dw_e161212e-5cfb-4d6d-8e3d-b2e75292c80a/rendering/17.obj", "2.81296325684")</f>
        <v>2.81296325684</v>
      </c>
      <c r="U2739" s="88" t="str">
        <f>HYPERLINK(AB2 &amp; "/usb_stick/3dw_e161212e-5cfb-4d6d-8e3d-b2e75292c80a/rendering/18.obj", "3.02908355713")</f>
        <v>3.02908355713</v>
      </c>
      <c r="V2739" s="20" t="str">
        <f>HYPERLINK(AB2 &amp; "/usb_stick/3dw_e161212e-5cfb-4d6d-8e3d-b2e75292c80a/rendering/19.obj", "10.0651831055")</f>
        <v>10.0651831055</v>
      </c>
      <c r="W2739" s="12" t="s">
        <v>31</v>
      </c>
      <c r="X2739" s="13">
        <v>3.8049088745117192</v>
      </c>
      <c r="Y2739" s="13">
        <v>1.977770397329631</v>
      </c>
      <c r="Z2739" s="127">
        <v>0.51979441888301126</v>
      </c>
    </row>
    <row r="2740" spans="1:26" x14ac:dyDescent="0.2">
      <c r="A2740" s="1">
        <v>2738</v>
      </c>
      <c r="B2740" s="2" t="s">
        <v>580</v>
      </c>
      <c r="C2740" s="20" t="str">
        <f>HYPERLINK(AB2 &amp; "/usb_stick/3dw_e161212e-5cfb-4d6d-8e3d-b2e75292c80a/rendering/00.obj", "39.5570297241")</f>
        <v>39.5570297241</v>
      </c>
      <c r="D2740" s="29" t="str">
        <f>HYPERLINK(AB2 &amp; "/usb_stick/3dw_e161212e-5cfb-4d6d-8e3d-b2e75292c80a/rendering/01.obj", "16.2661762238")</f>
        <v>16.2661762238</v>
      </c>
      <c r="E2740" s="225" t="str">
        <f>HYPERLINK(AB2 &amp; "/usb_stick/3dw_e161212e-5cfb-4d6d-8e3d-b2e75292c80a/rendering/02.obj", "8.04401111603")</f>
        <v>8.04401111603</v>
      </c>
      <c r="F2740" s="20" t="str">
        <f>HYPERLINK(AB2 &amp; "/usb_stick/3dw_e161212e-5cfb-4d6d-8e3d-b2e75292c80a/rendering/03.obj", "3.04810070992")</f>
        <v>3.04810070992</v>
      </c>
      <c r="G2740" s="20" t="str">
        <f>HYPERLINK(AB2 &amp; "/usb_stick/3dw_e161212e-5cfb-4d6d-8e3d-b2e75292c80a/rendering/04.obj", "2.06551265717")</f>
        <v>2.06551265717</v>
      </c>
      <c r="H2740" s="223" t="str">
        <f>HYPERLINK(AB2 &amp; "/usb_stick/3dw_e161212e-5cfb-4d6d-8e3d-b2e75292c80a/rendering/05.obj", "8.2238368988")</f>
        <v>8.2238368988</v>
      </c>
      <c r="I2740" s="240" t="str">
        <f>HYPERLINK(AB2 &amp; "/usb_stick/3dw_e161212e-5cfb-4d6d-8e3d-b2e75292c80a/rendering/06.obj", "6.44657325745")</f>
        <v>6.44657325745</v>
      </c>
      <c r="J2740" s="190" t="str">
        <f>HYPERLINK(AB2 &amp; "/usb_stick/3dw_e161212e-5cfb-4d6d-8e3d-b2e75292c80a/rendering/07.obj", "5.69873523712")</f>
        <v>5.69873523712</v>
      </c>
      <c r="K2740" s="118" t="str">
        <f>HYPERLINK(AB2 &amp; "/usb_stick/3dw_e161212e-5cfb-4d6d-8e3d-b2e75292c80a/rendering/08.obj", "13.245721817")</f>
        <v>13.245721817</v>
      </c>
      <c r="L2740" s="180" t="str">
        <f>HYPERLINK(AB2 &amp; "/usb_stick/3dw_e161212e-5cfb-4d6d-8e3d-b2e75292c80a/rendering/09.obj", "3.96475338936")</f>
        <v>3.96475338936</v>
      </c>
      <c r="M2740" s="6" t="str">
        <f>HYPERLINK(AB2 &amp; "/usb_stick/3dw_e161212e-5cfb-4d6d-8e3d-b2e75292c80a/rendering/10.obj", "19.5460338593")</f>
        <v>19.5460338593</v>
      </c>
      <c r="N2740" s="20" t="str">
        <f>HYPERLINK(AB2 &amp; "/usb_stick/3dw_e161212e-5cfb-4d6d-8e3d-b2e75292c80a/rendering/11.obj", "65.5542449951")</f>
        <v>65.5542449951</v>
      </c>
      <c r="O2740" s="20" t="str">
        <f>HYPERLINK(AB2 &amp; "/usb_stick/3dw_e161212e-5cfb-4d6d-8e3d-b2e75292c80a/rendering/12.obj", "2.36526989937")</f>
        <v>2.36526989937</v>
      </c>
      <c r="P2740" s="258" t="str">
        <f>HYPERLINK(AB2 &amp; "/usb_stick/3dw_e161212e-5cfb-4d6d-8e3d-b2e75292c80a/rendering/13.obj", "4.4546790123")</f>
        <v>4.4546790123</v>
      </c>
      <c r="Q2740" s="20" t="str">
        <f>HYPERLINK(AB2 &amp; "/usb_stick/3dw_e161212e-5cfb-4d6d-8e3d-b2e75292c80a/rendering/14.obj", "1.90372431278")</f>
        <v>1.90372431278</v>
      </c>
      <c r="R2740" s="228" t="str">
        <f>HYPERLINK(AB2 &amp; "/usb_stick/3dw_e161212e-5cfb-4d6d-8e3d-b2e75292c80a/rendering/15.obj", "8.73580551147")</f>
        <v>8.73580551147</v>
      </c>
      <c r="S2740" s="179" t="str">
        <f>HYPERLINK(AB2 &amp; "/usb_stick/3dw_e161212e-5cfb-4d6d-8e3d-b2e75292c80a/rendering/16.obj", "10.6799860001")</f>
        <v>10.6799860001</v>
      </c>
      <c r="T2740" s="189" t="str">
        <f>HYPERLINK(AB2 &amp; "/usb_stick/3dw_e161212e-5cfb-4d6d-8e3d-b2e75292c80a/rendering/17.obj", "6.97526931763")</f>
        <v>6.97526931763</v>
      </c>
      <c r="U2740" s="20" t="str">
        <f>HYPERLINK(AB2 &amp; "/usb_stick/3dw_e161212e-5cfb-4d6d-8e3d-b2e75292c80a/rendering/18.obj", "3.59766530991")</f>
        <v>3.59766530991</v>
      </c>
      <c r="V2740" s="20" t="str">
        <f>HYPERLINK(AB2 &amp; "/usb_stick/3dw_e161212e-5cfb-4d6d-8e3d-b2e75292c80a/rendering/19.obj", "143.683334351")</f>
        <v>143.683334351</v>
      </c>
      <c r="W2740" s="12" t="s">
        <v>32</v>
      </c>
      <c r="X2740" s="13">
        <v>18.702823179960252</v>
      </c>
      <c r="Y2740" s="13">
        <v>32.287672742414713</v>
      </c>
      <c r="Z2740" s="20">
        <v>1.726352884360816</v>
      </c>
    </row>
    <row r="2741" spans="1:26" x14ac:dyDescent="0.2">
      <c r="A2741" s="1">
        <v>2739</v>
      </c>
      <c r="B2741" s="2" t="s">
        <v>580</v>
      </c>
      <c r="C2741" s="13" t="str">
        <f>HYPERLINK(AC2 &amp; "/usb_stick/3dw_e161212e-5cfb-4d6d-8e3d-b2e75292c80a/rendering/00.xyz", "0.0")</f>
        <v>0.0</v>
      </c>
      <c r="D2741" s="13" t="str">
        <f>HYPERLINK(AC2 &amp; "/usb_stick/3dw_e161212e-5cfb-4d6d-8e3d-b2e75292c80a/rendering/01.xyz", "0.0")</f>
        <v>0.0</v>
      </c>
      <c r="E2741" s="13" t="str">
        <f>HYPERLINK(AC2 &amp; "/usb_stick/3dw_e161212e-5cfb-4d6d-8e3d-b2e75292c80a/rendering/02.xyz", "0.0")</f>
        <v>0.0</v>
      </c>
      <c r="F2741" s="13" t="str">
        <f>HYPERLINK(AC2 &amp; "/usb_stick/3dw_e161212e-5cfb-4d6d-8e3d-b2e75292c80a/rendering/03.xyz", "0.0")</f>
        <v>0.0</v>
      </c>
      <c r="G2741" s="13" t="str">
        <f>HYPERLINK(AC2 &amp; "/usb_stick/3dw_e161212e-5cfb-4d6d-8e3d-b2e75292c80a/rendering/04.xyz", "0.0")</f>
        <v>0.0</v>
      </c>
      <c r="H2741" s="13" t="str">
        <f>HYPERLINK(AC2 &amp; "/usb_stick/3dw_e161212e-5cfb-4d6d-8e3d-b2e75292c80a/rendering/05.xyz", "0.0")</f>
        <v>0.0</v>
      </c>
      <c r="I2741" s="13" t="str">
        <f>HYPERLINK(AC2 &amp; "/usb_stick/3dw_e161212e-5cfb-4d6d-8e3d-b2e75292c80a/rendering/06.xyz", "0.0")</f>
        <v>0.0</v>
      </c>
      <c r="J2741" s="13" t="str">
        <f>HYPERLINK(AC2 &amp; "/usb_stick/3dw_e161212e-5cfb-4d6d-8e3d-b2e75292c80a/rendering/07.xyz", "0.0")</f>
        <v>0.0</v>
      </c>
      <c r="K2741" s="13" t="str">
        <f>HYPERLINK(AC2 &amp; "/usb_stick/3dw_e161212e-5cfb-4d6d-8e3d-b2e75292c80a/rendering/08.xyz", "0.0")</f>
        <v>0.0</v>
      </c>
      <c r="L2741" s="13" t="str">
        <f>HYPERLINK(AC2 &amp; "/usb_stick/3dw_e161212e-5cfb-4d6d-8e3d-b2e75292c80a/rendering/09.xyz", "0.0")</f>
        <v>0.0</v>
      </c>
      <c r="M2741" s="13" t="str">
        <f>HYPERLINK(AC2 &amp; "/usb_stick/3dw_e161212e-5cfb-4d6d-8e3d-b2e75292c80a/rendering/10.xyz", "0.0")</f>
        <v>0.0</v>
      </c>
      <c r="N2741" s="13" t="str">
        <f>HYPERLINK(AC2 &amp; "/usb_stick/3dw_e161212e-5cfb-4d6d-8e3d-b2e75292c80a/rendering/11.xyz", "0.0")</f>
        <v>0.0</v>
      </c>
      <c r="O2741" s="13" t="str">
        <f>HYPERLINK(AC2 &amp; "/usb_stick/3dw_e161212e-5cfb-4d6d-8e3d-b2e75292c80a/rendering/12.xyz", "0.0")</f>
        <v>0.0</v>
      </c>
      <c r="P2741" s="13" t="str">
        <f>HYPERLINK(AC2 &amp; "/usb_stick/3dw_e161212e-5cfb-4d6d-8e3d-b2e75292c80a/rendering/13.xyz", "0.0")</f>
        <v>0.0</v>
      </c>
      <c r="Q2741" s="13" t="str">
        <f>HYPERLINK(AC2 &amp; "/usb_stick/3dw_e161212e-5cfb-4d6d-8e3d-b2e75292c80a/rendering/14.xyz", "0.0")</f>
        <v>0.0</v>
      </c>
      <c r="R2741" s="13" t="str">
        <f>HYPERLINK(AC2 &amp; "/usb_stick/3dw_e161212e-5cfb-4d6d-8e3d-b2e75292c80a/rendering/15.xyz", "0.0")</f>
        <v>0.0</v>
      </c>
      <c r="S2741" s="13" t="str">
        <f>HYPERLINK(AC2 &amp; "/usb_stick/3dw_e161212e-5cfb-4d6d-8e3d-b2e75292c80a/rendering/16.xyz", "0.0")</f>
        <v>0.0</v>
      </c>
      <c r="T2741" s="13" t="str">
        <f>HYPERLINK(AC2 &amp; "/usb_stick/3dw_e161212e-5cfb-4d6d-8e3d-b2e75292c80a/rendering/17.xyz", "0.0")</f>
        <v>0.0</v>
      </c>
      <c r="U2741" s="13" t="str">
        <f>HYPERLINK(AC2 &amp; "/usb_stick/3dw_e161212e-5cfb-4d6d-8e3d-b2e75292c80a/rendering/18.xyz", "0.0")</f>
        <v>0.0</v>
      </c>
      <c r="V2741" s="13" t="str">
        <f>HYPERLINK(AC2 &amp; "/usb_stick/3dw_e161212e-5cfb-4d6d-8e3d-b2e75292c80a/rendering/19.xyz", "0.0")</f>
        <v>0.0</v>
      </c>
      <c r="W2741" s="12" t="s">
        <v>33</v>
      </c>
      <c r="X2741" s="13">
        <v>0</v>
      </c>
      <c r="Y2741" s="13">
        <v>0</v>
      </c>
      <c r="Z2741" s="13">
        <v>0</v>
      </c>
    </row>
    <row r="2742" spans="1:26" x14ac:dyDescent="0.2">
      <c r="A2742" s="1">
        <v>2740</v>
      </c>
      <c r="B2742" s="2" t="s">
        <v>581</v>
      </c>
      <c r="C2742" s="22" t="str">
        <f>HYPERLINK(AA2 &amp; "/usb_stick/3dw_e288a71a-0a0b-45b5-9840-eb8f07366852/rendering/00.obj", "1.38687042236")</f>
        <v>1.38687042236</v>
      </c>
      <c r="D2742" s="102" t="str">
        <f>HYPERLINK(AA2 &amp; "/usb_stick/3dw_e288a71a-0a0b-45b5-9840-eb8f07366852/rendering/01.obj", "1.462081604")</f>
        <v>1.462081604</v>
      </c>
      <c r="E2742" s="182" t="str">
        <f>HYPERLINK(AA2 &amp; "/usb_stick/3dw_e288a71a-0a0b-45b5-9840-eb8f07366852/rendering/02.obj", "1.93090301514")</f>
        <v>1.93090301514</v>
      </c>
      <c r="F2742" s="88" t="str">
        <f>HYPERLINK(AA2 &amp; "/usb_stick/3dw_e288a71a-0a0b-45b5-9840-eb8f07366852/rendering/03.obj", "2.31557113647")</f>
        <v>2.31557113647</v>
      </c>
      <c r="G2742" s="20" t="str">
        <f>HYPERLINK(AA2 &amp; "/usb_stick/3dw_e288a71a-0a0b-45b5-9840-eb8f07366852/rendering/04.obj", "5.45769348145")</f>
        <v>5.45769348145</v>
      </c>
      <c r="H2742" s="196" t="str">
        <f>HYPERLINK(AA2 &amp; "/usb_stick/3dw_e288a71a-0a0b-45b5-9840-eb8f07366852/rendering/05.obj", "4.05398864746")</f>
        <v>4.05398864746</v>
      </c>
      <c r="I2742" s="20" t="str">
        <f>HYPERLINK(AA2 &amp; "/usb_stick/3dw_e288a71a-0a0b-45b5-9840-eb8f07366852/rendering/06.obj", "9.75669189453")</f>
        <v>9.75669189453</v>
      </c>
      <c r="J2742" s="139" t="str">
        <f>HYPERLINK(AA2 &amp; "/usb_stick/3dw_e288a71a-0a0b-45b5-9840-eb8f07366852/rendering/07.obj", "1.50241546631")</f>
        <v>1.50241546631</v>
      </c>
      <c r="K2742" s="169" t="str">
        <f>HYPERLINK(AA2 &amp; "/usb_stick/3dw_e288a71a-0a0b-45b5-9840-eb8f07366852/rendering/08.obj", "1.99849227905")</f>
        <v>1.99849227905</v>
      </c>
      <c r="L2742" s="161" t="str">
        <f>HYPERLINK(AA2 &amp; "/usb_stick/3dw_e288a71a-0a0b-45b5-9840-eb8f07366852/rendering/09.obj", "1.20205421448")</f>
        <v>1.20205421448</v>
      </c>
      <c r="M2742" s="84" t="str">
        <f>HYPERLINK(AA2 &amp; "/usb_stick/3dw_e288a71a-0a0b-45b5-9840-eb8f07366852/rendering/10.obj", "2.47960250854")</f>
        <v>2.47960250854</v>
      </c>
      <c r="N2742" s="32" t="str">
        <f>HYPERLINK(AA2 &amp; "/usb_stick/3dw_e288a71a-0a0b-45b5-9840-eb8f07366852/rendering/11.obj", "3.20220977783")</f>
        <v>3.20220977783</v>
      </c>
      <c r="O2742" s="139" t="str">
        <f>HYPERLINK(AA2 &amp; "/usb_stick/3dw_e288a71a-0a0b-45b5-9840-eb8f07366852/rendering/12.obj", "1.50031768799")</f>
        <v>1.50031768799</v>
      </c>
      <c r="P2742" s="22" t="str">
        <f>HYPERLINK(AA2 &amp; "/usb_stick/3dw_e288a71a-0a0b-45b5-9840-eb8f07366852/rendering/13.obj", "1.38449813843")</f>
        <v>1.38449813843</v>
      </c>
      <c r="Q2742" s="20" t="str">
        <f>HYPERLINK(AA2 &amp; "/usb_stick/3dw_e288a71a-0a0b-45b5-9840-eb8f07366852/rendering/14.obj", "7.70284606934")</f>
        <v>7.70284606934</v>
      </c>
      <c r="R2742" s="221" t="str">
        <f>HYPERLINK(AA2 &amp; "/usb_stick/3dw_e288a71a-0a0b-45b5-9840-eb8f07366852/rendering/15.obj", "1.28761154175")</f>
        <v>1.28761154175</v>
      </c>
      <c r="S2742" s="15" t="str">
        <f>HYPERLINK(AA2 &amp; "/usb_stick/3dw_e288a71a-0a0b-45b5-9840-eb8f07366852/rendering/16.obj", "1.4308114624")</f>
        <v>1.4308114624</v>
      </c>
      <c r="T2742" s="226" t="str">
        <f>HYPERLINK(AA2 &amp; "/usb_stick/3dw_e288a71a-0a0b-45b5-9840-eb8f07366852/rendering/17.obj", "1.26721725464")</f>
        <v>1.26721725464</v>
      </c>
      <c r="U2742" s="134" t="str">
        <f>HYPERLINK(AA2 &amp; "/usb_stick/3dw_e288a71a-0a0b-45b5-9840-eb8f07366852/rendering/18.obj", "3.42512756348")</f>
        <v>3.42512756348</v>
      </c>
      <c r="V2742" s="92" t="str">
        <f>HYPERLINK(AA2 &amp; "/usb_stick/3dw_e288a71a-0a0b-45b5-9840-eb8f07366852/rendering/19.obj", "3.25518493652")</f>
        <v>3.25518493652</v>
      </c>
      <c r="W2742" s="12" t="s">
        <v>29</v>
      </c>
      <c r="X2742" s="13">
        <v>2.9001094551086428</v>
      </c>
      <c r="Y2742" s="13">
        <v>2.2537970433123431</v>
      </c>
      <c r="Z2742" s="146">
        <v>0.77714206246326378</v>
      </c>
    </row>
    <row r="2743" spans="1:26" x14ac:dyDescent="0.2">
      <c r="A2743" s="1">
        <v>2741</v>
      </c>
      <c r="B2743" s="2" t="s">
        <v>581</v>
      </c>
      <c r="C2743" s="244" t="str">
        <f>HYPERLINK(AA2 &amp; "/usb_stick/3dw_e288a71a-0a0b-45b5-9840-eb8f07366852/rendering/00.obj", "3.40119338036")</f>
        <v>3.40119338036</v>
      </c>
      <c r="D2743" s="164" t="str">
        <f>HYPERLINK(AA2 &amp; "/usb_stick/3dw_e288a71a-0a0b-45b5-9840-eb8f07366852/rendering/01.obj", "3.21955513954")</f>
        <v>3.21955513954</v>
      </c>
      <c r="E2743" s="227" t="str">
        <f>HYPERLINK(AA2 &amp; "/usb_stick/3dw_e288a71a-0a0b-45b5-9840-eb8f07366852/rendering/02.obj", "4.32693195343")</f>
        <v>4.32693195343</v>
      </c>
      <c r="F2743" s="192" t="str">
        <f>HYPERLINK(AA2 &amp; "/usb_stick/3dw_e288a71a-0a0b-45b5-9840-eb8f07366852/rendering/03.obj", "5.53599596024")</f>
        <v>5.53599596024</v>
      </c>
      <c r="G2743" s="241" t="str">
        <f>HYPERLINK(AA2 &amp; "/usb_stick/3dw_e288a71a-0a0b-45b5-9840-eb8f07366852/rendering/04.obj", "14.4578008652")</f>
        <v>14.4578008652</v>
      </c>
      <c r="H2743" s="182" t="str">
        <f>HYPERLINK(AA2 &amp; "/usb_stick/3dw_e288a71a-0a0b-45b5-9840-eb8f07366852/rendering/05.obj", "11.7404518127")</f>
        <v>11.7404518127</v>
      </c>
      <c r="I2743" s="20" t="str">
        <f>HYPERLINK(AA2 &amp; "/usb_stick/3dw_e288a71a-0a0b-45b5-9840-eb8f07366852/rendering/06.obj", "48.9239501953")</f>
        <v>48.9239501953</v>
      </c>
      <c r="J2743" s="189" t="str">
        <f>HYPERLINK(AA2 &amp; "/usb_stick/3dw_e288a71a-0a0b-45b5-9840-eb8f07366852/rendering/07.obj", "3.29541516304")</f>
        <v>3.29541516304</v>
      </c>
      <c r="K2743" s="212" t="str">
        <f>HYPERLINK(AA2 &amp; "/usb_stick/3dw_e288a71a-0a0b-45b5-9840-eb8f07366852/rendering/08.obj", "5.01130199432")</f>
        <v>5.01130199432</v>
      </c>
      <c r="L2743" s="255" t="str">
        <f>HYPERLINK(AA2 &amp; "/usb_stick/3dw_e288a71a-0a0b-45b5-9840-eb8f07366852/rendering/09.obj", "2.43147063255")</f>
        <v>2.43147063255</v>
      </c>
      <c r="M2743" s="193" t="str">
        <f>HYPERLINK(AA2 &amp; "/usb_stick/3dw_e288a71a-0a0b-45b5-9840-eb8f07366852/rendering/10.obj", "5.89928483963")</f>
        <v>5.89928483963</v>
      </c>
      <c r="N2743" s="8" t="str">
        <f>HYPERLINK(AA2 &amp; "/usb_stick/3dw_e288a71a-0a0b-45b5-9840-eb8f07366852/rendering/11.obj", "7.54582357407")</f>
        <v>7.54582357407</v>
      </c>
      <c r="O2743" s="15" t="str">
        <f>HYPERLINK(AA2 &amp; "/usb_stick/3dw_e288a71a-0a0b-45b5-9840-eb8f07366852/rendering/12.obj", "4.33475065231")</f>
        <v>4.33475065231</v>
      </c>
      <c r="P2743" s="186" t="str">
        <f>HYPERLINK(AA2 &amp; "/usb_stick/3dw_e288a71a-0a0b-45b5-9840-eb8f07366852/rendering/13.obj", "3.50036025047")</f>
        <v>3.50036025047</v>
      </c>
      <c r="Q2743" s="20" t="str">
        <f>HYPERLINK(AA2 &amp; "/usb_stick/3dw_e288a71a-0a0b-45b5-9840-eb8f07366852/rendering/14.obj", "27.0030536652")</f>
        <v>27.0030536652</v>
      </c>
      <c r="R2743" s="237" t="str">
        <f>HYPERLINK(AA2 &amp; "/usb_stick/3dw_e288a71a-0a0b-45b5-9840-eb8f07366852/rendering/15.obj", "2.88551211357")</f>
        <v>2.88551211357</v>
      </c>
      <c r="S2743" s="252" t="str">
        <f>HYPERLINK(AA2 &amp; "/usb_stick/3dw_e288a71a-0a0b-45b5-9840-eb8f07366852/rendering/16.obj", "3.12956094742")</f>
        <v>3.12956094742</v>
      </c>
      <c r="T2743" s="115" t="str">
        <f>HYPERLINK(AA2 &amp; "/usb_stick/3dw_e288a71a-0a0b-45b5-9840-eb8f07366852/rendering/17.obj", "3.19485354424")</f>
        <v>3.19485354424</v>
      </c>
      <c r="U2743" s="60" t="str">
        <f>HYPERLINK(AA2 &amp; "/usb_stick/3dw_e288a71a-0a0b-45b5-9840-eb8f07366852/rendering/18.obj", "8.35016345978")</f>
        <v>8.35016345978</v>
      </c>
      <c r="V2743" s="106" t="str">
        <f>HYPERLINK(AA2 &amp; "/usb_stick/3dw_e288a71a-0a0b-45b5-9840-eb8f07366852/rendering/19.obj", "7.79592943192")</f>
        <v>7.79592943192</v>
      </c>
      <c r="W2743" s="12" t="s">
        <v>30</v>
      </c>
      <c r="X2743" s="13">
        <v>8.799167978763581</v>
      </c>
      <c r="Y2743" s="13">
        <v>10.76075706032224</v>
      </c>
      <c r="Z2743" s="20">
        <v>1.2229289276318931</v>
      </c>
    </row>
    <row r="2744" spans="1:26" x14ac:dyDescent="0.2">
      <c r="A2744" s="1">
        <v>2742</v>
      </c>
      <c r="B2744" s="2" t="s">
        <v>581</v>
      </c>
      <c r="C2744" s="65" t="str">
        <f>HYPERLINK(AB2 &amp; "/usb_stick/3dw_e288a71a-0a0b-45b5-9840-eb8f07366852/rendering/00.obj", "1.51739929199")</f>
        <v>1.51739929199</v>
      </c>
      <c r="D2744" s="39" t="str">
        <f>HYPERLINK(AB2 &amp; "/usb_stick/3dw_e288a71a-0a0b-45b5-9840-eb8f07366852/rendering/01.obj", "1.22506958008")</f>
        <v>1.22506958008</v>
      </c>
      <c r="E2744" s="78" t="str">
        <f>HYPERLINK(AB2 &amp; "/usb_stick/3dw_e288a71a-0a0b-45b5-9840-eb8f07366852/rendering/02.obj", "1.25603713989")</f>
        <v>1.25603713989</v>
      </c>
      <c r="F2744" s="47" t="str">
        <f>HYPERLINK(AB2 &amp; "/usb_stick/3dw_e288a71a-0a0b-45b5-9840-eb8f07366852/rendering/03.obj", "1.35181488037")</f>
        <v>1.35181488037</v>
      </c>
      <c r="G2744" s="119" t="str">
        <f>HYPERLINK(AB2 &amp; "/usb_stick/3dw_e288a71a-0a0b-45b5-9840-eb8f07366852/rendering/04.obj", "1.6944670105")</f>
        <v>1.6944670105</v>
      </c>
      <c r="H2744" s="23" t="str">
        <f>HYPERLINK(AB2 &amp; "/usb_stick/3dw_e288a71a-0a0b-45b5-9840-eb8f07366852/rendering/05.obj", "1.28778457642")</f>
        <v>1.28778457642</v>
      </c>
      <c r="I2744" s="47" t="str">
        <f>HYPERLINK(AB2 &amp; "/usb_stick/3dw_e288a71a-0a0b-45b5-9840-eb8f07366852/rendering/06.obj", "1.35026489258")</f>
        <v>1.35026489258</v>
      </c>
      <c r="J2744" s="90" t="str">
        <f>HYPERLINK(AB2 &amp; "/usb_stick/3dw_e288a71a-0a0b-45b5-9840-eb8f07366852/rendering/07.obj", "1.21199462891")</f>
        <v>1.21199462891</v>
      </c>
      <c r="K2744" s="60" t="str">
        <f>HYPERLINK(AB2 &amp; "/usb_stick/3dw_e288a71a-0a0b-45b5-9840-eb8f07366852/rendering/08.obj", "1.27216278076")</f>
        <v>1.27216278076</v>
      </c>
      <c r="L2744" s="17" t="str">
        <f>HYPERLINK(AB2 &amp; "/usb_stick/3dw_e288a71a-0a0b-45b5-9840-eb8f07366852/rendering/09.obj", "1.36651275635")</f>
        <v>1.36651275635</v>
      </c>
      <c r="M2744" s="30" t="str">
        <f>HYPERLINK(AB2 &amp; "/usb_stick/3dw_e288a71a-0a0b-45b5-9840-eb8f07366852/rendering/10.obj", "1.3322088623")</f>
        <v>1.3322088623</v>
      </c>
      <c r="N2744" s="5" t="str">
        <f>HYPERLINK(AB2 &amp; "/usb_stick/3dw_e288a71a-0a0b-45b5-9840-eb8f07366852/rendering/11.obj", "1.23541168213")</f>
        <v>1.23541168213</v>
      </c>
      <c r="O2744" s="8" t="str">
        <f>HYPERLINK(AB2 &amp; "/usb_stick/3dw_e288a71a-0a0b-45b5-9840-eb8f07366852/rendering/12.obj", "1.1472984314")</f>
        <v>1.1472984314</v>
      </c>
      <c r="P2744" s="25" t="str">
        <f>HYPERLINK(AB2 &amp; "/usb_stick/3dw_e288a71a-0a0b-45b5-9840-eb8f07366852/rendering/13.obj", "1.32268203735")</f>
        <v>1.32268203735</v>
      </c>
      <c r="Q2744" s="37" t="str">
        <f>HYPERLINK(AB2 &amp; "/usb_stick/3dw_e288a71a-0a0b-45b5-9840-eb8f07366852/rendering/14.obj", "1.57110046387")</f>
        <v>1.57110046387</v>
      </c>
      <c r="R2744" s="91" t="str">
        <f>HYPERLINK(AB2 &amp; "/usb_stick/3dw_e288a71a-0a0b-45b5-9840-eb8f07366852/rendering/15.obj", "1.30219314575")</f>
        <v>1.30219314575</v>
      </c>
      <c r="S2744" s="17" t="str">
        <f>HYPERLINK(AB2 &amp; "/usb_stick/3dw_e288a71a-0a0b-45b5-9840-eb8f07366852/rendering/16.obj", "1.36503814697")</f>
        <v>1.36503814697</v>
      </c>
      <c r="T2744" s="72" t="str">
        <f>HYPERLINK(AB2 &amp; "/usb_stick/3dw_e288a71a-0a0b-45b5-9840-eb8f07366852/rendering/17.obj", "1.29622451782")</f>
        <v>1.29622451782</v>
      </c>
      <c r="U2744" s="6" t="str">
        <f>HYPERLINK(AB2 &amp; "/usb_stick/3dw_e288a71a-0a0b-45b5-9840-eb8f07366852/rendering/18.obj", "1.2780896759")</f>
        <v>1.2780896759</v>
      </c>
      <c r="V2744" s="34" t="str">
        <f>HYPERLINK(AB2 &amp; "/usb_stick/3dw_e288a71a-0a0b-45b5-9840-eb8f07366852/rendering/19.obj", "1.40581176758")</f>
        <v>1.40581176758</v>
      </c>
      <c r="W2744" s="12" t="s">
        <v>31</v>
      </c>
      <c r="X2744" s="13">
        <v>1.3394783134460451</v>
      </c>
      <c r="Y2744" s="13">
        <v>0.12569995538014381</v>
      </c>
      <c r="Z2744" s="67">
        <v>9.3842471444542067E-2</v>
      </c>
    </row>
    <row r="2745" spans="1:26" x14ac:dyDescent="0.2">
      <c r="A2745" s="1">
        <v>2743</v>
      </c>
      <c r="B2745" s="2" t="s">
        <v>581</v>
      </c>
      <c r="C2745" s="135" t="str">
        <f>HYPERLINK(AB2 &amp; "/usb_stick/3dw_e288a71a-0a0b-45b5-9840-eb8f07366852/rendering/00.obj", "3.11534237862")</f>
        <v>3.11534237862</v>
      </c>
      <c r="D2745" s="76" t="str">
        <f>HYPERLINK(AB2 &amp; "/usb_stick/3dw_e288a71a-0a0b-45b5-9840-eb8f07366852/rendering/01.obj", "2.02513504028")</f>
        <v>2.02513504028</v>
      </c>
      <c r="E2745" s="38" t="str">
        <f>HYPERLINK(AB2 &amp; "/usb_stick/3dw_e288a71a-0a0b-45b5-9840-eb8f07366852/rendering/02.obj", "2.25592827797")</f>
        <v>2.25592827797</v>
      </c>
      <c r="F2745" s="10" t="str">
        <f>HYPERLINK(AB2 &amp; "/usb_stick/3dw_e288a71a-0a0b-45b5-9840-eb8f07366852/rendering/03.obj", "2.62151288986")</f>
        <v>2.62151288986</v>
      </c>
      <c r="G2745" s="178" t="str">
        <f>HYPERLINK(AB2 &amp; "/usb_stick/3dw_e288a71a-0a0b-45b5-9840-eb8f07366852/rendering/04.obj", "4.0913438797")</f>
        <v>4.0913438797</v>
      </c>
      <c r="H2745" s="67" t="str">
        <f>HYPERLINK(AB2 &amp; "/usb_stick/3dw_e288a71a-0a0b-45b5-9840-eb8f07366852/rendering/05.obj", "2.25057554245")</f>
        <v>2.25057554245</v>
      </c>
      <c r="I2745" s="27" t="str">
        <f>HYPERLINK(AB2 &amp; "/usb_stick/3dw_e288a71a-0a0b-45b5-9840-eb8f07366852/rendering/06.obj", "2.30519747734")</f>
        <v>2.30519747734</v>
      </c>
      <c r="J2745" s="35" t="str">
        <f>HYPERLINK(AB2 &amp; "/usb_stick/3dw_e288a71a-0a0b-45b5-9840-eb8f07366852/rendering/07.obj", "2.33406186104")</f>
        <v>2.33406186104</v>
      </c>
      <c r="K2745" s="10" t="str">
        <f>HYPERLINK(AB2 &amp; "/usb_stick/3dw_e288a71a-0a0b-45b5-9840-eb8f07366852/rendering/08.obj", "2.62120723724")</f>
        <v>2.62120723724</v>
      </c>
      <c r="L2745" s="64" t="str">
        <f>HYPERLINK(AB2 &amp; "/usb_stick/3dw_e288a71a-0a0b-45b5-9840-eb8f07366852/rendering/09.obj", "2.07163882256")</f>
        <v>2.07163882256</v>
      </c>
      <c r="M2745" s="35" t="str">
        <f>HYPERLINK(AB2 &amp; "/usb_stick/3dw_e288a71a-0a0b-45b5-9840-eb8f07366852/rendering/10.obj", "2.33703041077")</f>
        <v>2.33703041077</v>
      </c>
      <c r="N2745" s="51" t="str">
        <f>HYPERLINK(AB2 &amp; "/usb_stick/3dw_e288a71a-0a0b-45b5-9840-eb8f07366852/rendering/11.obj", "2.28517150879")</f>
        <v>2.28517150879</v>
      </c>
      <c r="O2745" s="79" t="str">
        <f>HYPERLINK(AB2 &amp; "/usb_stick/3dw_e288a71a-0a0b-45b5-9840-eb8f07366852/rendering/12.obj", "2.09178709984")</f>
        <v>2.09178709984</v>
      </c>
      <c r="P2745" s="26" t="str">
        <f>HYPERLINK(AB2 &amp; "/usb_stick/3dw_e288a71a-0a0b-45b5-9840-eb8f07366852/rendering/13.obj", "2.64098405838")</f>
        <v>2.64098405838</v>
      </c>
      <c r="Q2745" s="61" t="str">
        <f>HYPERLINK(AB2 &amp; "/usb_stick/3dw_e288a71a-0a0b-45b5-9840-eb8f07366852/rendering/14.obj", "3.23189711571")</f>
        <v>3.23189711571</v>
      </c>
      <c r="R2745" s="41" t="str">
        <f>HYPERLINK(AB2 &amp; "/usb_stick/3dw_e288a71a-0a0b-45b5-9840-eb8f07366852/rendering/15.obj", "2.31096458435")</f>
        <v>2.31096458435</v>
      </c>
      <c r="S2745" s="65" t="str">
        <f>HYPERLINK(AB2 &amp; "/usb_stick/3dw_e288a71a-0a0b-45b5-9840-eb8f07366852/rendering/16.obj", "2.15423560143")</f>
        <v>2.15423560143</v>
      </c>
      <c r="T2745" s="93" t="str">
        <f>HYPERLINK(AB2 &amp; "/usb_stick/3dw_e288a71a-0a0b-45b5-9840-eb8f07366852/rendering/17.obj", "2.13454580307")</f>
        <v>2.13454580307</v>
      </c>
      <c r="U2745" s="92" t="str">
        <f>HYPERLINK(AB2 &amp; "/usb_stick/3dw_e288a71a-0a0b-45b5-9840-eb8f07366852/rendering/18.obj", "2.17299175262")</f>
        <v>2.17299175262</v>
      </c>
      <c r="V2745" s="23" t="str">
        <f>HYPERLINK(AB2 &amp; "/usb_stick/3dw_e288a71a-0a0b-45b5-9840-eb8f07366852/rendering/19.obj", "2.57973027229")</f>
        <v>2.57973027229</v>
      </c>
      <c r="W2745" s="12" t="s">
        <v>32</v>
      </c>
      <c r="X2745" s="13">
        <v>2.48156408071518</v>
      </c>
      <c r="Y2745" s="13">
        <v>0.4861569244334909</v>
      </c>
      <c r="Z2745" s="44">
        <v>0.19590746344675569</v>
      </c>
    </row>
    <row r="2746" spans="1:26" x14ac:dyDescent="0.2">
      <c r="A2746" s="1">
        <v>2744</v>
      </c>
      <c r="B2746" s="2" t="s">
        <v>581</v>
      </c>
      <c r="C2746" s="13" t="str">
        <f>HYPERLINK(AC2 &amp; "/usb_stick/3dw_e288a71a-0a0b-45b5-9840-eb8f07366852/rendering/00.xyz", "0.0")</f>
        <v>0.0</v>
      </c>
      <c r="D2746" s="13" t="str">
        <f>HYPERLINK(AC2 &amp; "/usb_stick/3dw_e288a71a-0a0b-45b5-9840-eb8f07366852/rendering/01.xyz", "0.0")</f>
        <v>0.0</v>
      </c>
      <c r="E2746" s="13" t="str">
        <f>HYPERLINK(AC2 &amp; "/usb_stick/3dw_e288a71a-0a0b-45b5-9840-eb8f07366852/rendering/02.xyz", "0.0")</f>
        <v>0.0</v>
      </c>
      <c r="F2746" s="13" t="str">
        <f>HYPERLINK(AC2 &amp; "/usb_stick/3dw_e288a71a-0a0b-45b5-9840-eb8f07366852/rendering/03.xyz", "0.0")</f>
        <v>0.0</v>
      </c>
      <c r="G2746" s="13" t="str">
        <f>HYPERLINK(AC2 &amp; "/usb_stick/3dw_e288a71a-0a0b-45b5-9840-eb8f07366852/rendering/04.xyz", "0.0")</f>
        <v>0.0</v>
      </c>
      <c r="H2746" s="13" t="str">
        <f>HYPERLINK(AC2 &amp; "/usb_stick/3dw_e288a71a-0a0b-45b5-9840-eb8f07366852/rendering/05.xyz", "0.0")</f>
        <v>0.0</v>
      </c>
      <c r="I2746" s="13" t="str">
        <f>HYPERLINK(AC2 &amp; "/usb_stick/3dw_e288a71a-0a0b-45b5-9840-eb8f07366852/rendering/06.xyz", "0.0")</f>
        <v>0.0</v>
      </c>
      <c r="J2746" s="13" t="str">
        <f>HYPERLINK(AC2 &amp; "/usb_stick/3dw_e288a71a-0a0b-45b5-9840-eb8f07366852/rendering/07.xyz", "0.0")</f>
        <v>0.0</v>
      </c>
      <c r="K2746" s="13" t="str">
        <f>HYPERLINK(AC2 &amp; "/usb_stick/3dw_e288a71a-0a0b-45b5-9840-eb8f07366852/rendering/08.xyz", "0.0")</f>
        <v>0.0</v>
      </c>
      <c r="L2746" s="13" t="str">
        <f>HYPERLINK(AC2 &amp; "/usb_stick/3dw_e288a71a-0a0b-45b5-9840-eb8f07366852/rendering/09.xyz", "0.0")</f>
        <v>0.0</v>
      </c>
      <c r="M2746" s="13" t="str">
        <f>HYPERLINK(AC2 &amp; "/usb_stick/3dw_e288a71a-0a0b-45b5-9840-eb8f07366852/rendering/10.xyz", "0.0")</f>
        <v>0.0</v>
      </c>
      <c r="N2746" s="13" t="str">
        <f>HYPERLINK(AC2 &amp; "/usb_stick/3dw_e288a71a-0a0b-45b5-9840-eb8f07366852/rendering/11.xyz", "0.0")</f>
        <v>0.0</v>
      </c>
      <c r="O2746" s="13" t="str">
        <f>HYPERLINK(AC2 &amp; "/usb_stick/3dw_e288a71a-0a0b-45b5-9840-eb8f07366852/rendering/12.xyz", "0.0")</f>
        <v>0.0</v>
      </c>
      <c r="P2746" s="13" t="str">
        <f>HYPERLINK(AC2 &amp; "/usb_stick/3dw_e288a71a-0a0b-45b5-9840-eb8f07366852/rendering/13.xyz", "0.0")</f>
        <v>0.0</v>
      </c>
      <c r="Q2746" s="13" t="str">
        <f>HYPERLINK(AC2 &amp; "/usb_stick/3dw_e288a71a-0a0b-45b5-9840-eb8f07366852/rendering/14.xyz", "0.0")</f>
        <v>0.0</v>
      </c>
      <c r="R2746" s="13" t="str">
        <f>HYPERLINK(AC2 &amp; "/usb_stick/3dw_e288a71a-0a0b-45b5-9840-eb8f07366852/rendering/15.xyz", "0.0")</f>
        <v>0.0</v>
      </c>
      <c r="S2746" s="13" t="str">
        <f>HYPERLINK(AC2 &amp; "/usb_stick/3dw_e288a71a-0a0b-45b5-9840-eb8f07366852/rendering/16.xyz", "0.0")</f>
        <v>0.0</v>
      </c>
      <c r="T2746" s="13" t="str">
        <f>HYPERLINK(AC2 &amp; "/usb_stick/3dw_e288a71a-0a0b-45b5-9840-eb8f07366852/rendering/17.xyz", "0.0")</f>
        <v>0.0</v>
      </c>
      <c r="U2746" s="13" t="str">
        <f>HYPERLINK(AC2 &amp; "/usb_stick/3dw_e288a71a-0a0b-45b5-9840-eb8f07366852/rendering/18.xyz", "0.0")</f>
        <v>0.0</v>
      </c>
      <c r="V2746" s="13" t="str">
        <f>HYPERLINK(AC2 &amp; "/usb_stick/3dw_e288a71a-0a0b-45b5-9840-eb8f07366852/rendering/19.xyz", "0.0")</f>
        <v>0.0</v>
      </c>
      <c r="W2746" s="12" t="s">
        <v>33</v>
      </c>
      <c r="X2746" s="13">
        <v>0</v>
      </c>
      <c r="Y2746" s="13">
        <v>0</v>
      </c>
      <c r="Z2746" s="13">
        <v>0</v>
      </c>
    </row>
    <row r="2747" spans="1:26" x14ac:dyDescent="0.2">
      <c r="A2747" s="1">
        <v>2745</v>
      </c>
      <c r="B2747" s="2" t="s">
        <v>582</v>
      </c>
      <c r="C2747" s="133" t="str">
        <f>HYPERLINK(AA2 &amp; "/usb_stick/3dw_e5037b76-68f3-4d8a-af8b-c93becdac4db/rendering/00.obj", "2.29307617188")</f>
        <v>2.29307617188</v>
      </c>
      <c r="D2747" s="148" t="str">
        <f>HYPERLINK(AA2 &amp; "/usb_stick/3dw_e5037b76-68f3-4d8a-af8b-c93becdac4db/rendering/01.obj", "1.07169006348")</f>
        <v>1.07169006348</v>
      </c>
      <c r="E2747" s="131" t="str">
        <f>HYPERLINK(AA2 &amp; "/usb_stick/3dw_e5037b76-68f3-4d8a-af8b-c93becdac4db/rendering/02.obj", "1.11703414917")</f>
        <v>1.11703414917</v>
      </c>
      <c r="F2747" s="68" t="str">
        <f>HYPERLINK(AA2 &amp; "/usb_stick/3dw_e5037b76-68f3-4d8a-af8b-c93becdac4db/rendering/03.obj", "1.99283203125")</f>
        <v>1.99283203125</v>
      </c>
      <c r="G2747" s="120" t="str">
        <f>HYPERLINK(AA2 &amp; "/usb_stick/3dw_e5037b76-68f3-4d8a-af8b-c93becdac4db/rendering/04.obj", "2.52298995972")</f>
        <v>2.52298995972</v>
      </c>
      <c r="H2747" s="193" t="str">
        <f>HYPERLINK(AA2 &amp; "/usb_stick/3dw_e5037b76-68f3-4d8a-af8b-c93becdac4db/rendering/05.obj", "2.7646496582")</f>
        <v>2.7646496582</v>
      </c>
      <c r="I2747" s="44" t="str">
        <f>HYPERLINK(AA2 &amp; "/usb_stick/3dw_e5037b76-68f3-4d8a-af8b-c93becdac4db/rendering/06.obj", "2.48716796875")</f>
        <v>2.48716796875</v>
      </c>
      <c r="J2747" s="79" t="str">
        <f>HYPERLINK(AA2 &amp; "/usb_stick/3dw_e5037b76-68f3-4d8a-af8b-c93becdac4db/rendering/07.obj", "2.40795669556")</f>
        <v>2.40795669556</v>
      </c>
      <c r="K2747" s="142" t="str">
        <f>HYPERLINK(AA2 &amp; "/usb_stick/3dw_e5037b76-68f3-4d8a-af8b-c93becdac4db/rendering/08.obj", "1.26330841064")</f>
        <v>1.26330841064</v>
      </c>
      <c r="L2747" s="162" t="str">
        <f>HYPERLINK(AA2 &amp; "/usb_stick/3dw_e5037b76-68f3-4d8a-af8b-c93becdac4db/rendering/09.obj", "1.19369537354")</f>
        <v>1.19369537354</v>
      </c>
      <c r="M2747" s="182" t="str">
        <f>HYPERLINK(AA2 &amp; "/usb_stick/3dw_e5037b76-68f3-4d8a-af8b-c93becdac4db/rendering/10.obj", "1.38540420532")</f>
        <v>1.38540420532</v>
      </c>
      <c r="N2747" s="24" t="str">
        <f>HYPERLINK(AA2 &amp; "/usb_stick/3dw_e5037b76-68f3-4d8a-af8b-c93becdac4db/rendering/11.obj", "2.43075775146")</f>
        <v>2.43075775146</v>
      </c>
      <c r="O2747" s="106" t="str">
        <f>HYPERLINK(AA2 &amp; "/usb_stick/3dw_e5037b76-68f3-4d8a-af8b-c93becdac4db/rendering/12.obj", "2.31796569824")</f>
        <v>2.31796569824</v>
      </c>
      <c r="P2747" s="97" t="str">
        <f>HYPERLINK(AA2 &amp; "/usb_stick/3dw_e5037b76-68f3-4d8a-af8b-c93becdac4db/rendering/13.obj", "1.17807258606")</f>
        <v>1.17807258606</v>
      </c>
      <c r="Q2747" s="195" t="str">
        <f>HYPERLINK(AA2 &amp; "/usb_stick/3dw_e5037b76-68f3-4d8a-af8b-c93becdac4db/rendering/14.obj", "0.940222473145")</f>
        <v>0.940222473145</v>
      </c>
      <c r="R2747" s="186" t="str">
        <f>HYPERLINK(AA2 &amp; "/usb_stick/3dw_e5037b76-68f3-4d8a-af8b-c93becdac4db/rendering/15.obj", "3.32943908691")</f>
        <v>3.32943908691</v>
      </c>
      <c r="S2747" s="249" t="str">
        <f>HYPERLINK(AA2 &amp; "/usb_stick/3dw_e5037b76-68f3-4d8a-af8b-c93becdac4db/rendering/16.obj", "0.892148895264")</f>
        <v>0.892148895264</v>
      </c>
      <c r="T2747" s="20" t="str">
        <f>HYPERLINK(AA2 &amp; "/usb_stick/3dw_e5037b76-68f3-4d8a-af8b-c93becdac4db/rendering/17.obj", "4.88470458984")</f>
        <v>4.88470458984</v>
      </c>
      <c r="U2747" s="95" t="str">
        <f>HYPERLINK(AA2 &amp; "/usb_stick/3dw_e5037b76-68f3-4d8a-af8b-c93becdac4db/rendering/18.obj", "2.66460205078")</f>
        <v>2.66460205078</v>
      </c>
      <c r="V2747" s="134" t="str">
        <f>HYPERLINK(AA2 &amp; "/usb_stick/3dw_e5037b76-68f3-4d8a-af8b-c93becdac4db/rendering/19.obj", "2.45427322388")</f>
        <v>2.45427322388</v>
      </c>
      <c r="W2747" s="12" t="s">
        <v>29</v>
      </c>
      <c r="X2747" s="13">
        <v>2.0795995521545412</v>
      </c>
      <c r="Y2747" s="13">
        <v>0.96132253414281132</v>
      </c>
      <c r="Z2747" s="131">
        <v>0.46226329157786461</v>
      </c>
    </row>
    <row r="2748" spans="1:26" x14ac:dyDescent="0.2">
      <c r="A2748" s="1">
        <v>2746</v>
      </c>
      <c r="B2748" s="2" t="s">
        <v>582</v>
      </c>
      <c r="C2748" s="10" t="str">
        <f>HYPERLINK(AA2 &amp; "/usb_stick/3dw_e5037b76-68f3-4d8a-af8b-c93becdac4db/rendering/00.obj", "4.42046642303")</f>
        <v>4.42046642303</v>
      </c>
      <c r="D2748" s="218" t="str">
        <f>HYPERLINK(AA2 &amp; "/usb_stick/3dw_e5037b76-68f3-4d8a-af8b-c93becdac4db/rendering/01.obj", "2.02711105347")</f>
        <v>2.02711105347</v>
      </c>
      <c r="E2748" s="223" t="str">
        <f>HYPERLINK(AA2 &amp; "/usb_stick/3dw_e5037b76-68f3-4d8a-af8b-c93becdac4db/rendering/02.obj", "1.84510815144")</f>
        <v>1.84510815144</v>
      </c>
      <c r="F2748" s="48" t="str">
        <f>HYPERLINK(AA2 &amp; "/usb_stick/3dw_e5037b76-68f3-4d8a-af8b-c93becdac4db/rendering/03.obj", "4.09465837479")</f>
        <v>4.09465837479</v>
      </c>
      <c r="G2748" s="28" t="str">
        <f>HYPERLINK(AA2 &amp; "/usb_stick/3dw_e5037b76-68f3-4d8a-af8b-c93becdac4db/rendering/04.obj", "4.65687513351")</f>
        <v>4.65687513351</v>
      </c>
      <c r="H2748" s="249" t="str">
        <f>HYPERLINK(AA2 &amp; "/usb_stick/3dw_e5037b76-68f3-4d8a-af8b-c93becdac4db/rendering/05.obj", "6.59704256058")</f>
        <v>6.59704256058</v>
      </c>
      <c r="I2748" s="8" t="str">
        <f>HYPERLINK(AA2 &amp; "/usb_stick/3dw_e5037b76-68f3-4d8a-af8b-c93becdac4db/rendering/06.obj", "4.79607534409")</f>
        <v>4.79607534409</v>
      </c>
      <c r="J2748" s="30" t="str">
        <f>HYPERLINK(AA2 &amp; "/usb_stick/3dw_e5037b76-68f3-4d8a-af8b-c93becdac4db/rendering/07.obj", "4.21098041534")</f>
        <v>4.21098041534</v>
      </c>
      <c r="K2748" s="144" t="str">
        <f>HYPERLINK(AA2 &amp; "/usb_stick/3dw_e5037b76-68f3-4d8a-af8b-c93becdac4db/rendering/08.obj", "2.07934141159")</f>
        <v>2.07934141159</v>
      </c>
      <c r="L2748" s="139" t="str">
        <f>HYPERLINK(AA2 &amp; "/usb_stick/3dw_e5037b76-68f3-4d8a-af8b-c93becdac4db/rendering/09.obj", "2.16719460487")</f>
        <v>2.16719460487</v>
      </c>
      <c r="M2748" s="200" t="str">
        <f>HYPERLINK(AA2 &amp; "/usb_stick/3dw_e5037b76-68f3-4d8a-af8b-c93becdac4db/rendering/10.obj", "2.18697214127")</f>
        <v>2.18697214127</v>
      </c>
      <c r="N2748" s="30" t="str">
        <f>HYPERLINK(AA2 &amp; "/usb_stick/3dw_e5037b76-68f3-4d8a-af8b-c93becdac4db/rendering/11.obj", "4.21137714386")</f>
        <v>4.21137714386</v>
      </c>
      <c r="O2748" s="87" t="str">
        <f>HYPERLINK(AA2 &amp; "/usb_stick/3dw_e5037b76-68f3-4d8a-af8b-c93becdac4db/rendering/12.obj", "5.14412212372")</f>
        <v>5.14412212372</v>
      </c>
      <c r="P2748" s="218" t="str">
        <f>HYPERLINK(AA2 &amp; "/usb_stick/3dw_e5037b76-68f3-4d8a-af8b-c93becdac4db/rendering/13.obj", "2.03373074532")</f>
        <v>2.03373074532</v>
      </c>
      <c r="Q2748" s="201" t="str">
        <f>HYPERLINK(AA2 &amp; "/usb_stick/3dw_e5037b76-68f3-4d8a-af8b-c93becdac4db/rendering/14.obj", "1.75781774521")</f>
        <v>1.75781774521</v>
      </c>
      <c r="R2748" s="20" t="str">
        <f>HYPERLINK(AA2 &amp; "/usb_stick/3dw_e5037b76-68f3-4d8a-af8b-c93becdac4db/rendering/15.obj", "8.75705909729")</f>
        <v>8.75705909729</v>
      </c>
      <c r="S2748" s="186" t="str">
        <f>HYPERLINK(AA2 &amp; "/usb_stick/3dw_e5037b76-68f3-4d8a-af8b-c93becdac4db/rendering/16.obj", "1.67773234844")</f>
        <v>1.67773234844</v>
      </c>
      <c r="T2748" s="20" t="str">
        <f>HYPERLINK(AA2 &amp; "/usb_stick/3dw_e5037b76-68f3-4d8a-af8b-c93becdac4db/rendering/17.obj", "11.433514595")</f>
        <v>11.433514595</v>
      </c>
      <c r="U2748" s="77" t="str">
        <f>HYPERLINK(AA2 &amp; "/usb_stick/3dw_e5037b76-68f3-4d8a-af8b-c93becdac4db/rendering/18.obj", "4.97334241867")</f>
        <v>4.97334241867</v>
      </c>
      <c r="V2748" s="42" t="str">
        <f>HYPERLINK(AA2 &amp; "/usb_stick/3dw_e5037b76-68f3-4d8a-af8b-c93becdac4db/rendering/19.obj", "4.76774168015")</f>
        <v>4.76774168015</v>
      </c>
      <c r="W2748" s="12" t="s">
        <v>30</v>
      </c>
      <c r="X2748" s="13">
        <v>4.1919131755828856</v>
      </c>
      <c r="Y2748" s="13">
        <v>2.462095848629851</v>
      </c>
      <c r="Z2748" s="251">
        <v>0.58734418999207849</v>
      </c>
    </row>
    <row r="2749" spans="1:26" x14ac:dyDescent="0.2">
      <c r="A2749" s="1">
        <v>2747</v>
      </c>
      <c r="B2749" s="2" t="s">
        <v>582</v>
      </c>
      <c r="C2749" s="31" t="str">
        <f>HYPERLINK(AB2 &amp; "/usb_stick/3dw_e5037b76-68f3-4d8a-af8b-c93becdac4db/rendering/00.obj", "0.854888458252")</f>
        <v>0.854888458252</v>
      </c>
      <c r="D2749" s="68" t="str">
        <f>HYPERLINK(AB2 &amp; "/usb_stick/3dw_e5037b76-68f3-4d8a-af8b-c93becdac4db/rendering/01.obj", "0.970416564941")</f>
        <v>0.970416564941</v>
      </c>
      <c r="E2749" s="29" t="str">
        <f>HYPERLINK(AB2 &amp; "/usb_stick/3dw_e5037b76-68f3-4d8a-af8b-c93becdac4db/rendering/02.obj", "0.881050262451")</f>
        <v>0.881050262451</v>
      </c>
      <c r="F2749" s="24" t="str">
        <f>HYPERLINK(AB2 &amp; "/usb_stick/3dw_e5037b76-68f3-4d8a-af8b-c93becdac4db/rendering/03.obj", "1.18443405151")</f>
        <v>1.18443405151</v>
      </c>
      <c r="G2749" s="94" t="str">
        <f>HYPERLINK(AB2 &amp; "/usb_stick/3dw_e5037b76-68f3-4d8a-af8b-c93becdac4db/rendering/04.obj", "0.938213043213")</f>
        <v>0.938213043213</v>
      </c>
      <c r="H2749" s="47" t="str">
        <f>HYPERLINK(AB2 &amp; "/usb_stick/3dw_e5037b76-68f3-4d8a-af8b-c93becdac4db/rendering/05.obj", "1.0214263916")</f>
        <v>1.0214263916</v>
      </c>
      <c r="I2749" s="23" t="str">
        <f>HYPERLINK(AB2 &amp; "/usb_stick/3dw_e5037b76-68f3-4d8a-af8b-c93becdac4db/rendering/06.obj", "1.05150794983")</f>
        <v>1.05150794983</v>
      </c>
      <c r="J2749" s="10" t="str">
        <f>HYPERLINK(AB2 &amp; "/usb_stick/3dw_e5037b76-68f3-4d8a-af8b-c93becdac4db/rendering/07.obj", "0.956235198975")</f>
        <v>0.956235198975</v>
      </c>
      <c r="K2749" s="73" t="str">
        <f>HYPERLINK(AB2 &amp; "/usb_stick/3dw_e5037b76-68f3-4d8a-af8b-c93becdac4db/rendering/08.obj", "0.978173370361")</f>
        <v>0.978173370361</v>
      </c>
      <c r="L2749" s="27" t="str">
        <f>HYPERLINK(AB2 &amp; "/usb_stick/3dw_e5037b76-68f3-4d8a-af8b-c93becdac4db/rendering/09.obj", "1.08491912842")</f>
        <v>1.08491912842</v>
      </c>
      <c r="M2749" s="13" t="str">
        <f>HYPERLINK(AB2 &amp; "/usb_stick/3dw_e5037b76-68f3-4d8a-af8b-c93becdac4db/rendering/10.obj", "1.01100296021")</f>
        <v>1.01100296021</v>
      </c>
      <c r="N2749" s="17" t="str">
        <f>HYPERLINK(AB2 &amp; "/usb_stick/3dw_e5037b76-68f3-4d8a-af8b-c93becdac4db/rendering/11.obj", "0.99306930542")</f>
        <v>0.99306930542</v>
      </c>
      <c r="O2749" s="6" t="str">
        <f>HYPERLINK(AB2 &amp; "/usb_stick/3dw_e5037b76-68f3-4d8a-af8b-c93becdac4db/rendering/12.obj", "1.05920196533")</f>
        <v>1.05920196533</v>
      </c>
      <c r="P2749" s="25" t="str">
        <f>HYPERLINK(AB2 &amp; "/usb_stick/3dw_e5037b76-68f3-4d8a-af8b-c93becdac4db/rendering/13.obj", "1.00135055542")</f>
        <v>1.00135055542</v>
      </c>
      <c r="Q2749" s="68" t="str">
        <f>HYPERLINK(AB2 &amp; "/usb_stick/3dw_e5037b76-68f3-4d8a-af8b-c93becdac4db/rendering/14.obj", "1.0560168457")</f>
        <v>1.0560168457</v>
      </c>
      <c r="R2749" s="79" t="str">
        <f>HYPERLINK(AB2 &amp; "/usb_stick/3dw_e5037b76-68f3-4d8a-af8b-c93becdac4db/rendering/15.obj", "1.17321121216")</f>
        <v>1.17321121216</v>
      </c>
      <c r="S2749" s="51" t="str">
        <f>HYPERLINK(AB2 &amp; "/usb_stick/3dw_e5037b76-68f3-4d8a-af8b-c93becdac4db/rendering/16.obj", "1.09484634399")</f>
        <v>1.09484634399</v>
      </c>
      <c r="T2749" s="67" t="str">
        <f>HYPERLINK(AB2 &amp; "/usb_stick/3dw_e5037b76-68f3-4d8a-af8b-c93becdac4db/rendering/17.obj", "1.10684402466")</f>
        <v>1.10684402466</v>
      </c>
      <c r="U2749" s="94" t="str">
        <f>HYPERLINK(AB2 &amp; "/usb_stick/3dw_e5037b76-68f3-4d8a-af8b-c93becdac4db/rendering/18.obj", "0.939208374023")</f>
        <v>0.939208374023</v>
      </c>
      <c r="V2749" s="133" t="str">
        <f>HYPERLINK(AB2 &amp; "/usb_stick/3dw_e5037b76-68f3-4d8a-af8b-c93becdac4db/rendering/19.obj", "0.910910110474")</f>
        <v>0.910910110474</v>
      </c>
      <c r="W2749" s="12" t="s">
        <v>31</v>
      </c>
      <c r="X2749" s="13">
        <v>1.0133463058471679</v>
      </c>
      <c r="Y2749" s="13">
        <v>8.715725393945857E-2</v>
      </c>
      <c r="Z2749" s="39">
        <v>8.6009346890147484E-2</v>
      </c>
    </row>
    <row r="2750" spans="1:26" x14ac:dyDescent="0.2">
      <c r="A2750" s="1">
        <v>2748</v>
      </c>
      <c r="B2750" s="2" t="s">
        <v>582</v>
      </c>
      <c r="C2750" s="70" t="str">
        <f>HYPERLINK(AB2 &amp; "/usb_stick/3dw_e5037b76-68f3-4d8a-af8b-c93becdac4db/rendering/00.obj", "1.48762261868")</f>
        <v>1.48762261868</v>
      </c>
      <c r="D2750" s="23" t="str">
        <f>HYPERLINK(AB2 &amp; "/usb_stick/3dw_e5037b76-68f3-4d8a-af8b-c93becdac4db/rendering/01.obj", "1.63349604607")</f>
        <v>1.63349604607</v>
      </c>
      <c r="E2750" s="80" t="str">
        <f>HYPERLINK(AB2 &amp; "/usb_stick/3dw_e5037b76-68f3-4d8a-af8b-c93becdac4db/rendering/02.obj", "1.44780158997")</f>
        <v>1.44780158997</v>
      </c>
      <c r="F2750" s="53" t="str">
        <f>HYPERLINK(AB2 &amp; "/usb_stick/3dw_e5037b76-68f3-4d8a-af8b-c93becdac4db/rendering/03.obj", "2.4005112648")</f>
        <v>2.4005112648</v>
      </c>
      <c r="G2750" s="107" t="str">
        <f>HYPERLINK(AB2 &amp; "/usb_stick/3dw_e5037b76-68f3-4d8a-af8b-c93becdac4db/rendering/04.obj", "1.55874824524")</f>
        <v>1.55874824524</v>
      </c>
      <c r="H2750" s="34" t="str">
        <f>HYPERLINK(AB2 &amp; "/usb_stick/3dw_e5037b76-68f3-4d8a-af8b-c93becdac4db/rendering/05.obj", "1.78151237965")</f>
        <v>1.78151237965</v>
      </c>
      <c r="I2750" s="46" t="str">
        <f>HYPERLINK(AB2 &amp; "/usb_stick/3dw_e5037b76-68f3-4d8a-af8b-c93becdac4db/rendering/06.obj", "1.73151516914")</f>
        <v>1.73151516914</v>
      </c>
      <c r="J2750" s="34" t="str">
        <f>HYPERLINK(AB2 &amp; "/usb_stick/3dw_e5037b76-68f3-4d8a-af8b-c93becdac4db/rendering/07.obj", "1.61855578423")</f>
        <v>1.61855578423</v>
      </c>
      <c r="K2750" s="110" t="str">
        <f>HYPERLINK(AB2 &amp; "/usb_stick/3dw_e5037b76-68f3-4d8a-af8b-c93becdac4db/rendering/08.obj", "1.53068780899")</f>
        <v>1.53068780899</v>
      </c>
      <c r="L2750" s="95" t="str">
        <f>HYPERLINK(AB2 &amp; "/usb_stick/3dw_e5037b76-68f3-4d8a-af8b-c93becdac4db/rendering/09.obj", "2.17965483665")</f>
        <v>2.17965483665</v>
      </c>
      <c r="M2750" s="94" t="str">
        <f>HYPERLINK(AB2 &amp; "/usb_stick/3dw_e5037b76-68f3-4d8a-af8b-c93becdac4db/rendering/10.obj", "1.57824110985")</f>
        <v>1.57824110985</v>
      </c>
      <c r="N2750" s="34" t="str">
        <f>HYPERLINK(AB2 &amp; "/usb_stick/3dw_e5037b76-68f3-4d8a-af8b-c93becdac4db/rendering/11.obj", "1.61723732948")</f>
        <v>1.61723732948</v>
      </c>
      <c r="O2750" s="25" t="str">
        <f>HYPERLINK(AB2 &amp; "/usb_stick/3dw_e5037b76-68f3-4d8a-af8b-c93becdac4db/rendering/12.obj", "1.7214820385")</f>
        <v>1.7214820385</v>
      </c>
      <c r="P2750" s="74" t="str">
        <f>HYPERLINK(AB2 &amp; "/usb_stick/3dw_e5037b76-68f3-4d8a-af8b-c93becdac4db/rendering/13.obj", "1.67767357826")</f>
        <v>1.67767357826</v>
      </c>
      <c r="Q2750" s="17" t="str">
        <f>HYPERLINK(AB2 &amp; "/usb_stick/3dw_e5037b76-68f3-4d8a-af8b-c93becdac4db/rendering/14.obj", "1.7375972271")</f>
        <v>1.7375972271</v>
      </c>
      <c r="R2750" s="23" t="str">
        <f>HYPERLINK(AB2 &amp; "/usb_stick/3dw_e5037b76-68f3-4d8a-af8b-c93becdac4db/rendering/15.obj", "1.76619374752")</f>
        <v>1.76619374752</v>
      </c>
      <c r="S2750" s="68" t="str">
        <f>HYPERLINK(AB2 &amp; "/usb_stick/3dw_e5037b76-68f3-4d8a-af8b-c93becdac4db/rendering/16.obj", "1.77328908443")</f>
        <v>1.77328908443</v>
      </c>
      <c r="T2750" s="23" t="str">
        <f>HYPERLINK(AB2 &amp; "/usb_stick/3dw_e5037b76-68f3-4d8a-af8b-c93becdac4db/rendering/17.obj", "1.6369279623")</f>
        <v>1.6369279623</v>
      </c>
      <c r="U2750" s="35" t="str">
        <f>HYPERLINK(AB2 &amp; "/usb_stick/3dw_e5037b76-68f3-4d8a-af8b-c93becdac4db/rendering/18.obj", "1.60033476353")</f>
        <v>1.60033476353</v>
      </c>
      <c r="V2750" s="67" t="str">
        <f>HYPERLINK(AB2 &amp; "/usb_stick/3dw_e5037b76-68f3-4d8a-af8b-c93becdac4db/rendering/19.obj", "1.54433465004")</f>
        <v>1.54433465004</v>
      </c>
      <c r="W2750" s="12" t="s">
        <v>32</v>
      </c>
      <c r="X2750" s="13">
        <v>1.701170861721039</v>
      </c>
      <c r="Y2750" s="13">
        <v>0.22008201683453529</v>
      </c>
      <c r="Z2750" s="29">
        <v>0.1293709067012134</v>
      </c>
    </row>
    <row r="2751" spans="1:26" x14ac:dyDescent="0.2">
      <c r="A2751" s="1">
        <v>2749</v>
      </c>
      <c r="B2751" s="2" t="s">
        <v>582</v>
      </c>
      <c r="C2751" s="13" t="str">
        <f>HYPERLINK(AC2 &amp; "/usb_stick/3dw_e5037b76-68f3-4d8a-af8b-c93becdac4db/rendering/00.xyz", "0.0")</f>
        <v>0.0</v>
      </c>
      <c r="D2751" s="13" t="str">
        <f>HYPERLINK(AC2 &amp; "/usb_stick/3dw_e5037b76-68f3-4d8a-af8b-c93becdac4db/rendering/01.xyz", "0.0")</f>
        <v>0.0</v>
      </c>
      <c r="E2751" s="13" t="str">
        <f>HYPERLINK(AC2 &amp; "/usb_stick/3dw_e5037b76-68f3-4d8a-af8b-c93becdac4db/rendering/02.xyz", "0.0")</f>
        <v>0.0</v>
      </c>
      <c r="F2751" s="13" t="str">
        <f>HYPERLINK(AC2 &amp; "/usb_stick/3dw_e5037b76-68f3-4d8a-af8b-c93becdac4db/rendering/03.xyz", "0.0")</f>
        <v>0.0</v>
      </c>
      <c r="G2751" s="13" t="str">
        <f>HYPERLINK(AC2 &amp; "/usb_stick/3dw_e5037b76-68f3-4d8a-af8b-c93becdac4db/rendering/04.xyz", "0.0")</f>
        <v>0.0</v>
      </c>
      <c r="H2751" s="13" t="str">
        <f>HYPERLINK(AC2 &amp; "/usb_stick/3dw_e5037b76-68f3-4d8a-af8b-c93becdac4db/rendering/05.xyz", "0.0")</f>
        <v>0.0</v>
      </c>
      <c r="I2751" s="13" t="str">
        <f>HYPERLINK(AC2 &amp; "/usb_stick/3dw_e5037b76-68f3-4d8a-af8b-c93becdac4db/rendering/06.xyz", "0.0")</f>
        <v>0.0</v>
      </c>
      <c r="J2751" s="13" t="str">
        <f>HYPERLINK(AC2 &amp; "/usb_stick/3dw_e5037b76-68f3-4d8a-af8b-c93becdac4db/rendering/07.xyz", "0.0")</f>
        <v>0.0</v>
      </c>
      <c r="K2751" s="13" t="str">
        <f>HYPERLINK(AC2 &amp; "/usb_stick/3dw_e5037b76-68f3-4d8a-af8b-c93becdac4db/rendering/08.xyz", "0.0")</f>
        <v>0.0</v>
      </c>
      <c r="L2751" s="13" t="str">
        <f>HYPERLINK(AC2 &amp; "/usb_stick/3dw_e5037b76-68f3-4d8a-af8b-c93becdac4db/rendering/09.xyz", "0.0")</f>
        <v>0.0</v>
      </c>
      <c r="M2751" s="13" t="str">
        <f>HYPERLINK(AC2 &amp; "/usb_stick/3dw_e5037b76-68f3-4d8a-af8b-c93becdac4db/rendering/10.xyz", "0.0")</f>
        <v>0.0</v>
      </c>
      <c r="N2751" s="13" t="str">
        <f>HYPERLINK(AC2 &amp; "/usb_stick/3dw_e5037b76-68f3-4d8a-af8b-c93becdac4db/rendering/11.xyz", "0.0")</f>
        <v>0.0</v>
      </c>
      <c r="O2751" s="13" t="str">
        <f>HYPERLINK(AC2 &amp; "/usb_stick/3dw_e5037b76-68f3-4d8a-af8b-c93becdac4db/rendering/12.xyz", "0.0")</f>
        <v>0.0</v>
      </c>
      <c r="P2751" s="13" t="str">
        <f>HYPERLINK(AC2 &amp; "/usb_stick/3dw_e5037b76-68f3-4d8a-af8b-c93becdac4db/rendering/13.xyz", "0.0")</f>
        <v>0.0</v>
      </c>
      <c r="Q2751" s="13" t="str">
        <f>HYPERLINK(AC2 &amp; "/usb_stick/3dw_e5037b76-68f3-4d8a-af8b-c93becdac4db/rendering/14.xyz", "0.0")</f>
        <v>0.0</v>
      </c>
      <c r="R2751" s="13" t="str">
        <f>HYPERLINK(AC2 &amp; "/usb_stick/3dw_e5037b76-68f3-4d8a-af8b-c93becdac4db/rendering/15.xyz", "0.0")</f>
        <v>0.0</v>
      </c>
      <c r="S2751" s="13" t="str">
        <f>HYPERLINK(AC2 &amp; "/usb_stick/3dw_e5037b76-68f3-4d8a-af8b-c93becdac4db/rendering/16.xyz", "0.0")</f>
        <v>0.0</v>
      </c>
      <c r="T2751" s="13" t="str">
        <f>HYPERLINK(AC2 &amp; "/usb_stick/3dw_e5037b76-68f3-4d8a-af8b-c93becdac4db/rendering/17.xyz", "0.0")</f>
        <v>0.0</v>
      </c>
      <c r="U2751" s="13" t="str">
        <f>HYPERLINK(AC2 &amp; "/usb_stick/3dw_e5037b76-68f3-4d8a-af8b-c93becdac4db/rendering/18.xyz", "0.0")</f>
        <v>0.0</v>
      </c>
      <c r="V2751" s="13" t="str">
        <f>HYPERLINK(AC2 &amp; "/usb_stick/3dw_e5037b76-68f3-4d8a-af8b-c93becdac4db/rendering/19.xyz", "0.0")</f>
        <v>0.0</v>
      </c>
      <c r="W2751" s="12" t="s">
        <v>33</v>
      </c>
      <c r="X2751" s="13">
        <v>0</v>
      </c>
      <c r="Y2751" s="13">
        <v>0</v>
      </c>
      <c r="Z2751" s="13">
        <v>0</v>
      </c>
    </row>
    <row r="2752" spans="1:26" x14ac:dyDescent="0.2">
      <c r="A2752" s="1">
        <v>2750</v>
      </c>
      <c r="B2752" s="2" t="s">
        <v>583</v>
      </c>
      <c r="C2752" s="193" t="str">
        <f>HYPERLINK(AA2 &amp; "/usb_stick/3dw_e73248e1-aecc-446a-932b-4d29021bcb0c/rendering/00.obj", "1.53689941406")</f>
        <v>1.53689941406</v>
      </c>
      <c r="D2752" s="20" t="str">
        <f>HYPERLINK(AA2 &amp; "/usb_stick/3dw_e73248e1-aecc-446a-932b-4d29021bcb0c/rendering/01.obj", "11.3443933105")</f>
        <v>11.3443933105</v>
      </c>
      <c r="E2752" s="60" t="str">
        <f>HYPERLINK(AA2 &amp; "/usb_stick/3dw_e73248e1-aecc-446a-932b-4d29021bcb0c/rendering/02.obj", "2.17835968018")</f>
        <v>2.17835968018</v>
      </c>
      <c r="F2752" s="86" t="str">
        <f>HYPERLINK(AA2 &amp; "/usb_stick/3dw_e73248e1-aecc-446a-932b-4d29021bcb0c/rendering/03.obj", "1.67760437012")</f>
        <v>1.67760437012</v>
      </c>
      <c r="G2752" s="121" t="str">
        <f>HYPERLINK(AA2 &amp; "/usb_stick/3dw_e73248e1-aecc-446a-932b-4d29021bcb0c/rendering/04.obj", "1.48612731934")</f>
        <v>1.48612731934</v>
      </c>
      <c r="H2752" s="117" t="str">
        <f>HYPERLINK(AA2 &amp; "/usb_stick/3dw_e73248e1-aecc-446a-932b-4d29021bcb0c/rendering/05.obj", "1.88669876099")</f>
        <v>1.88669876099</v>
      </c>
      <c r="I2752" s="91" t="str">
        <f>HYPERLINK(AA2 &amp; "/usb_stick/3dw_e73248e1-aecc-446a-932b-4d29021bcb0c/rendering/06.obj", "2.3599005127")</f>
        <v>2.3599005127</v>
      </c>
      <c r="J2752" s="120" t="str">
        <f>HYPERLINK(AA2 &amp; "/usb_stick/3dw_e73248e1-aecc-446a-932b-4d29021bcb0c/rendering/07.obj", "1.80709106445")</f>
        <v>1.80709106445</v>
      </c>
      <c r="K2752" s="159" t="str">
        <f>HYPERLINK(AA2 &amp; "/usb_stick/3dw_e73248e1-aecc-446a-932b-4d29021bcb0c/rendering/08.obj", "1.21912918091")</f>
        <v>1.21912918091</v>
      </c>
      <c r="L2752" s="20" t="str">
        <f>HYPERLINK(AA2 &amp; "/usb_stick/3dw_e73248e1-aecc-446a-932b-4d29021bcb0c/rendering/09.obj", "4.1598727417")</f>
        <v>4.1598727417</v>
      </c>
      <c r="M2752" s="162" t="str">
        <f>HYPERLINK(AA2 &amp; "/usb_stick/3dw_e73248e1-aecc-446a-932b-4d29021bcb0c/rendering/10.obj", "1.32309448242")</f>
        <v>1.32309448242</v>
      </c>
      <c r="N2752" s="59" t="str">
        <f>HYPERLINK(AA2 &amp; "/usb_stick/3dw_e73248e1-aecc-446a-932b-4d29021bcb0c/rendering/11.obj", "1.74184051514")</f>
        <v>1.74184051514</v>
      </c>
      <c r="O2752" s="68" t="str">
        <f>HYPERLINK(AA2 &amp; "/usb_stick/3dw_e73248e1-aecc-446a-932b-4d29021bcb0c/rendering/12.obj", "2.39082000732")</f>
        <v>2.39082000732</v>
      </c>
      <c r="P2752" s="43" t="str">
        <f>HYPERLINK(AA2 &amp; "/usb_stick/3dw_e73248e1-aecc-446a-932b-4d29021bcb0c/rendering/13.obj", "1.43822540283")</f>
        <v>1.43822540283</v>
      </c>
      <c r="Q2752" s="123" t="str">
        <f>HYPERLINK(AA2 &amp; "/usb_stick/3dw_e73248e1-aecc-446a-932b-4d29021bcb0c/rendering/14.obj", "1.44923751831")</f>
        <v>1.44923751831</v>
      </c>
      <c r="R2752" s="169" t="str">
        <f>HYPERLINK(AA2 &amp; "/usb_stick/3dw_e73248e1-aecc-446a-932b-4d29021bcb0c/rendering/15.obj", "1.57989059448")</f>
        <v>1.57989059448</v>
      </c>
      <c r="S2752" s="163" t="str">
        <f>HYPERLINK(AA2 &amp; "/usb_stick/3dw_e73248e1-aecc-446a-932b-4d29021bcb0c/rendering/16.obj", "1.28125671387")</f>
        <v>1.28125671387</v>
      </c>
      <c r="T2752" s="135" t="str">
        <f>HYPERLINK(AA2 &amp; "/usb_stick/3dw_e73248e1-aecc-446a-932b-4d29021bcb0c/rendering/17.obj", "1.70522979736")</f>
        <v>1.70522979736</v>
      </c>
      <c r="U2752" s="149" t="str">
        <f>HYPERLINK(AA2 &amp; "/usb_stick/3dw_e73248e1-aecc-446a-932b-4d29021bcb0c/rendering/18.obj", "1.50844390869")</f>
        <v>1.50844390869</v>
      </c>
      <c r="V2752" s="50" t="str">
        <f>HYPERLINK(AA2 &amp; "/usb_stick/3dw_e73248e1-aecc-446a-932b-4d29021bcb0c/rendering/19.obj", "1.83949829102")</f>
        <v>1.83949829102</v>
      </c>
      <c r="W2752" s="12" t="s">
        <v>29</v>
      </c>
      <c r="X2752" s="13">
        <v>2.2956806793212889</v>
      </c>
      <c r="Y2752" s="13">
        <v>2.1677372019947101</v>
      </c>
      <c r="Z2752" s="20">
        <v>0.94426773789619323</v>
      </c>
    </row>
    <row r="2753" spans="1:26" x14ac:dyDescent="0.2">
      <c r="A2753" s="1">
        <v>2751</v>
      </c>
      <c r="B2753" s="2" t="s">
        <v>583</v>
      </c>
      <c r="C2753" s="227" t="str">
        <f>HYPERLINK(AA2 &amp; "/usb_stick/3dw_e73248e1-aecc-446a-932b-4d29021bcb0c/rendering/00.obj", "2.89833760262")</f>
        <v>2.89833760262</v>
      </c>
      <c r="D2753" s="20" t="str">
        <f>HYPERLINK(AA2 &amp; "/usb_stick/3dw_e73248e1-aecc-446a-932b-4d29021bcb0c/rendering/01.obj", "49.9901161194")</f>
        <v>49.9901161194</v>
      </c>
      <c r="E2753" s="31" t="str">
        <f>HYPERLINK(AA2 &amp; "/usb_stick/3dw_e73248e1-aecc-446a-932b-4d29021bcb0c/rendering/02.obj", "5.00275468826")</f>
        <v>5.00275468826</v>
      </c>
      <c r="F2753" s="114" t="str">
        <f>HYPERLINK(AA2 &amp; "/usb_stick/3dw_e73248e1-aecc-446a-932b-4d29021bcb0c/rendering/03.obj", "3.19603538513")</f>
        <v>3.19603538513</v>
      </c>
      <c r="G2753" s="226" t="str">
        <f>HYPERLINK(AA2 &amp; "/usb_stick/3dw_e73248e1-aecc-446a-932b-4d29021bcb0c/rendering/04.obj", "2.58166980743")</f>
        <v>2.58166980743</v>
      </c>
      <c r="H2753" s="160" t="str">
        <f>HYPERLINK(AA2 &amp; "/usb_stick/3dw_e73248e1-aecc-446a-932b-4d29021bcb0c/rendering/05.obj", "2.78315591812")</f>
        <v>2.78315591812</v>
      </c>
      <c r="I2753" s="63" t="str">
        <f>HYPERLINK(AA2 &amp; "/usb_stick/3dw_e73248e1-aecc-446a-932b-4d29021bcb0c/rendering/06.obj", "5.20428991318")</f>
        <v>5.20428991318</v>
      </c>
      <c r="J2753" s="139" t="str">
        <f>HYPERLINK(AA2 &amp; "/usb_stick/3dw_e73248e1-aecc-446a-932b-4d29021bcb0c/rendering/07.obj", "3.06861758232")</f>
        <v>3.06861758232</v>
      </c>
      <c r="K2753" s="256" t="str">
        <f>HYPERLINK(AA2 &amp; "/usb_stick/3dw_e73248e1-aecc-446a-932b-4d29021bcb0c/rendering/08.obj", "2.25072717667")</f>
        <v>2.25072717667</v>
      </c>
      <c r="L2753" s="237" t="str">
        <f>HYPERLINK(AA2 &amp; "/usb_stick/3dw_e73248e1-aecc-446a-932b-4d29021bcb0c/rendering/09.obj", "9.88850879669")</f>
        <v>9.88850879669</v>
      </c>
      <c r="M2753" s="45" t="str">
        <f>HYPERLINK(AA2 &amp; "/usb_stick/3dw_e73248e1-aecc-446a-932b-4d29021bcb0c/rendering/10.obj", "1.99764966965")</f>
        <v>1.99764966965</v>
      </c>
      <c r="N2753" s="191" t="str">
        <f>HYPERLINK(AA2 &amp; "/usb_stick/3dw_e73248e1-aecc-446a-932b-4d29021bcb0c/rendering/11.obj", "3.23670983315")</f>
        <v>3.23670983315</v>
      </c>
      <c r="O2753" s="82" t="str">
        <f>HYPERLINK(AA2 &amp; "/usb_stick/3dw_e73248e1-aecc-446a-932b-4d29021bcb0c/rendering/12.obj", "7.12080144882")</f>
        <v>7.12080144882</v>
      </c>
      <c r="P2753" s="105" t="str">
        <f>HYPERLINK(AA2 &amp; "/usb_stick/3dw_e73248e1-aecc-446a-932b-4d29021bcb0c/rendering/13.obj", "2.87847685814")</f>
        <v>2.87847685814</v>
      </c>
      <c r="Q2753" s="115" t="str">
        <f>HYPERLINK(AA2 &amp; "/usb_stick/3dw_e73248e1-aecc-446a-932b-4d29021bcb0c/rendering/14.obj", "2.14457821846")</f>
        <v>2.14457821846</v>
      </c>
      <c r="R2753" s="21" t="str">
        <f>HYPERLINK(AA2 &amp; "/usb_stick/3dw_e73248e1-aecc-446a-932b-4d29021bcb0c/rendering/15.obj", "2.63920760155")</f>
        <v>2.63920760155</v>
      </c>
      <c r="S2753" s="249" t="str">
        <f>HYPERLINK(AA2 &amp; "/usb_stick/3dw_e73248e1-aecc-446a-932b-4d29021bcb0c/rendering/16.obj", "2.52105021477")</f>
        <v>2.52105021477</v>
      </c>
      <c r="T2753" s="212" t="str">
        <f>HYPERLINK(AA2 &amp; "/usb_stick/3dw_e73248e1-aecc-446a-932b-4d29021bcb0c/rendering/17.obj", "3.37163281441")</f>
        <v>3.37163281441</v>
      </c>
      <c r="U2753" s="189" t="str">
        <f>HYPERLINK(AA2 &amp; "/usb_stick/3dw_e73248e1-aecc-446a-932b-4d29021bcb0c/rendering/18.obj", "2.20400905609")</f>
        <v>2.20400905609</v>
      </c>
      <c r="V2753" s="163" t="str">
        <f>HYPERLINK(AA2 &amp; "/usb_stick/3dw_e73248e1-aecc-446a-932b-4d29021bcb0c/rendering/19.obj", "3.29843997955")</f>
        <v>3.29843997955</v>
      </c>
      <c r="W2753" s="12" t="s">
        <v>30</v>
      </c>
      <c r="X2753" s="13">
        <v>5.9138384342193602</v>
      </c>
      <c r="Y2753" s="13">
        <v>10.284524545826599</v>
      </c>
      <c r="Z2753" s="20">
        <v>1.739060791095856</v>
      </c>
    </row>
    <row r="2754" spans="1:26" x14ac:dyDescent="0.2">
      <c r="A2754" s="1">
        <v>2752</v>
      </c>
      <c r="B2754" s="2" t="s">
        <v>583</v>
      </c>
      <c r="C2754" s="23" t="str">
        <f>HYPERLINK(AB2 &amp; "/usb_stick/3dw_e73248e1-aecc-446a-932b-4d29021bcb0c/rendering/00.obj", "1.31074432373")</f>
        <v>1.31074432373</v>
      </c>
      <c r="D2754" s="6" t="str">
        <f>HYPERLINK(AB2 &amp; "/usb_stick/3dw_e73248e1-aecc-446a-932b-4d29021bcb0c/rendering/01.obj", "1.42377655029")</f>
        <v>1.42377655029</v>
      </c>
      <c r="E2754" s="25" t="str">
        <f>HYPERLINK(AB2 &amp; "/usb_stick/3dw_e73248e1-aecc-446a-932b-4d29021bcb0c/rendering/02.obj", "1.3484211731")</f>
        <v>1.3484211731</v>
      </c>
      <c r="F2754" s="10" t="str">
        <f>HYPERLINK(AB2 &amp; "/usb_stick/3dw_e73248e1-aecc-446a-932b-4d29021bcb0c/rendering/03.obj", "1.43934295654")</f>
        <v>1.43934295654</v>
      </c>
      <c r="G2754" s="5" t="str">
        <f>HYPERLINK(AB2 &amp; "/usb_stick/3dw_e73248e1-aecc-446a-932b-4d29021bcb0c/rendering/04.obj", "1.25980331421")</f>
        <v>1.25980331421</v>
      </c>
      <c r="H2754" s="72" t="str">
        <f>HYPERLINK(AB2 &amp; "/usb_stick/3dw_e73248e1-aecc-446a-932b-4d29021bcb0c/rendering/05.obj", "1.41044830322")</f>
        <v>1.41044830322</v>
      </c>
      <c r="I2754" s="10" t="str">
        <f>HYPERLINK(AB2 &amp; "/usb_stick/3dw_e73248e1-aecc-446a-932b-4d29021bcb0c/rendering/06.obj", "1.44024627686")</f>
        <v>1.44024627686</v>
      </c>
      <c r="J2754" s="31" t="str">
        <f>HYPERLINK(AB2 &amp; "/usb_stick/3dw_e73248e1-aecc-446a-932b-4d29021bcb0c/rendering/07.obj", "1.57333831787")</f>
        <v>1.57333831787</v>
      </c>
      <c r="K2754" s="39" t="str">
        <f>HYPERLINK(AB2 &amp; "/usb_stick/3dw_e73248e1-aecc-446a-932b-4d29021bcb0c/rendering/08.obj", "1.24474906921")</f>
        <v>1.24474906921</v>
      </c>
      <c r="L2754" s="68" t="str">
        <f>HYPERLINK(AB2 &amp; "/usb_stick/3dw_e73248e1-aecc-446a-932b-4d29021bcb0c/rendering/09.obj", "1.30529876709")</f>
        <v>1.30529876709</v>
      </c>
      <c r="M2754" s="17" t="str">
        <f>HYPERLINK(AB2 &amp; "/usb_stick/3dw_e73248e1-aecc-446a-932b-4d29021bcb0c/rendering/10.obj", "1.38931106567")</f>
        <v>1.38931106567</v>
      </c>
      <c r="N2754" s="72" t="str">
        <f>HYPERLINK(AB2 &amp; "/usb_stick/3dw_e73248e1-aecc-446a-932b-4d29021bcb0c/rendering/11.obj", "1.40854644775")</f>
        <v>1.40854644775</v>
      </c>
      <c r="O2754" s="107" t="str">
        <f>HYPERLINK(AB2 &amp; "/usb_stick/3dw_e73248e1-aecc-446a-932b-4d29021bcb0c/rendering/12.obj", "1.24820297241")</f>
        <v>1.24820297241</v>
      </c>
      <c r="P2754" s="84" t="str">
        <f>HYPERLINK(AB2 &amp; "/usb_stick/3dw_e73248e1-aecc-446a-932b-4d29021bcb0c/rendering/13.obj", "1.56260101318")</f>
        <v>1.56260101318</v>
      </c>
      <c r="Q2754" s="28" t="str">
        <f>HYPERLINK(AB2 &amp; "/usb_stick/3dw_e73248e1-aecc-446a-932b-4d29021bcb0c/rendering/14.obj", "1.51442718506")</f>
        <v>1.51442718506</v>
      </c>
      <c r="R2754" s="94" t="str">
        <f>HYPERLINK(AB2 &amp; "/usb_stick/3dw_e73248e1-aecc-446a-932b-4d29021bcb0c/rendering/15.obj", "1.26096176147")</f>
        <v>1.26096176147</v>
      </c>
      <c r="S2754" s="33" t="str">
        <f>HYPERLINK(AB2 &amp; "/usb_stick/3dw_e73248e1-aecc-446a-932b-4d29021bcb0c/rendering/16.obj", "1.21408164978")</f>
        <v>1.21408164978</v>
      </c>
      <c r="T2754" s="60" t="str">
        <f>HYPERLINK(AB2 &amp; "/usb_stick/3dw_e73248e1-aecc-446a-932b-4d29021bcb0c/rendering/17.obj", "1.29097351074")</f>
        <v>1.29097351074</v>
      </c>
      <c r="U2754" s="94" t="str">
        <f>HYPERLINK(AB2 &amp; "/usb_stick/3dw_e73248e1-aecc-446a-932b-4d29021bcb0c/rendering/18.obj", "1.26391220093")</f>
        <v>1.26391220093</v>
      </c>
      <c r="V2754" s="13" t="str">
        <f>HYPERLINK(AB2 &amp; "/usb_stick/3dw_e73248e1-aecc-446a-932b-4d29021bcb0c/rendering/19.obj", "1.3595803833")</f>
        <v>1.3595803833</v>
      </c>
      <c r="W2754" s="12" t="s">
        <v>31</v>
      </c>
      <c r="X2754" s="13">
        <v>1.363438362121582</v>
      </c>
      <c r="Y2754" s="13">
        <v>0.1046915569238486</v>
      </c>
      <c r="Z2754" s="5">
        <v>7.6784957671972104E-2</v>
      </c>
    </row>
    <row r="2755" spans="1:26" x14ac:dyDescent="0.2">
      <c r="A2755" s="1">
        <v>2753</v>
      </c>
      <c r="B2755" s="2" t="s">
        <v>583</v>
      </c>
      <c r="C2755" s="78" t="str">
        <f>HYPERLINK(AB2 &amp; "/usb_stick/3dw_e73248e1-aecc-446a-932b-4d29021bcb0c/rendering/00.obj", "1.85107922554")</f>
        <v>1.85107922554</v>
      </c>
      <c r="D2755" s="48" t="str">
        <f>HYPERLINK(AB2 &amp; "/usb_stick/3dw_e73248e1-aecc-446a-932b-4d29021bcb0c/rendering/01.obj", "2.0142595768")</f>
        <v>2.0142595768</v>
      </c>
      <c r="E2755" s="94" t="str">
        <f>HYPERLINK(AB2 &amp; "/usb_stick/3dw_e73248e1-aecc-446a-932b-4d29021bcb0c/rendering/02.obj", "2.11562275887")</f>
        <v>2.11562275887</v>
      </c>
      <c r="F2755" s="47" t="str">
        <f>HYPERLINK(AB2 &amp; "/usb_stick/3dw_e73248e1-aecc-446a-932b-4d29021bcb0c/rendering/03.obj", "1.98170363903")</f>
        <v>1.98170363903</v>
      </c>
      <c r="G2755" s="94" t="str">
        <f>HYPERLINK(AB2 &amp; "/usb_stick/3dw_e73248e1-aecc-446a-932b-4d29021bcb0c/rendering/04.obj", "1.82463264465")</f>
        <v>1.82463264465</v>
      </c>
      <c r="H2755" s="13" t="str">
        <f>HYPERLINK(AB2 &amp; "/usb_stick/3dw_e73248e1-aecc-446a-932b-4d29021bcb0c/rendering/05.obj", "1.96778094769")</f>
        <v>1.96778094769</v>
      </c>
      <c r="I2755" s="99" t="str">
        <f>HYPERLINK(AB2 &amp; "/usb_stick/3dw_e73248e1-aecc-446a-932b-4d29021bcb0c/rendering/06.obj", "2.50291872025")</f>
        <v>2.50291872025</v>
      </c>
      <c r="J2755" s="48" t="str">
        <f>HYPERLINK(AB2 &amp; "/usb_stick/3dw_e73248e1-aecc-446a-932b-4d29021bcb0c/rendering/07.obj", "1.92059445381")</f>
        <v>1.92059445381</v>
      </c>
      <c r="K2755" s="8" t="str">
        <f>HYPERLINK(AB2 &amp; "/usb_stick/3dw_e73248e1-aecc-446a-932b-4d29021bcb0c/rendering/08.obj", "1.68948638439")</f>
        <v>1.68948638439</v>
      </c>
      <c r="L2755" s="5" t="str">
        <f>HYPERLINK(AB2 &amp; "/usb_stick/3dw_e73248e1-aecc-446a-932b-4d29021bcb0c/rendering/09.obj", "2.11769604683")</f>
        <v>2.11769604683</v>
      </c>
      <c r="M2755" s="72" t="str">
        <f>HYPERLINK(AB2 &amp; "/usb_stick/3dw_e73248e1-aecc-446a-932b-4d29021bcb0c/rendering/10.obj", "2.03344464302")</f>
        <v>2.03344464302</v>
      </c>
      <c r="N2755" s="25" t="str">
        <f>HYPERLINK(AB2 &amp; "/usb_stick/3dw_e73248e1-aecc-446a-932b-4d29021bcb0c/rendering/11.obj", "1.99019372463")</f>
        <v>1.99019372463</v>
      </c>
      <c r="O2755" s="10" t="str">
        <f>HYPERLINK(AB2 &amp; "/usb_stick/3dw_e73248e1-aecc-446a-932b-4d29021bcb0c/rendering/12.obj", "1.861764431")</f>
        <v>1.861764431</v>
      </c>
      <c r="P2755" s="80" t="str">
        <f>HYPERLINK(AB2 &amp; "/usb_stick/3dw_e73248e1-aecc-446a-932b-4d29021bcb0c/rendering/13.obj", "2.25965380669")</f>
        <v>2.25965380669</v>
      </c>
      <c r="Q2755" s="92" t="str">
        <f>HYPERLINK(AB2 &amp; "/usb_stick/3dw_e73248e1-aecc-446a-932b-4d29021bcb0c/rendering/14.obj", "2.21096420288")</f>
        <v>2.21096420288</v>
      </c>
      <c r="R2755" s="71" t="str">
        <f>HYPERLINK(AB2 &amp; "/usb_stick/3dw_e73248e1-aecc-446a-932b-4d29021bcb0c/rendering/15.obj", "1.73417055607")</f>
        <v>1.73417055607</v>
      </c>
      <c r="S2755" s="35" t="str">
        <f>HYPERLINK(AB2 &amp; "/usb_stick/3dw_e73248e1-aecc-446a-932b-4d29021bcb0c/rendering/16.obj", "1.85317564011")</f>
        <v>1.85317564011</v>
      </c>
      <c r="T2755" s="79" t="str">
        <f>HYPERLINK(AB2 &amp; "/usb_stick/3dw_e73248e1-aecc-446a-932b-4d29021bcb0c/rendering/17.obj", "1.65872085094")</f>
        <v>1.65872085094</v>
      </c>
      <c r="U2755" s="73" t="str">
        <f>HYPERLINK(AB2 &amp; "/usb_stick/3dw_e73248e1-aecc-446a-932b-4d29021bcb0c/rendering/18.obj", "1.8979074955")</f>
        <v>1.8979074955</v>
      </c>
      <c r="V2755" s="68" t="str">
        <f>HYPERLINK(AB2 &amp; "/usb_stick/3dw_e73248e1-aecc-446a-932b-4d29021bcb0c/rendering/19.obj", "1.88601851463")</f>
        <v>1.88601851463</v>
      </c>
      <c r="W2755" s="12" t="s">
        <v>32</v>
      </c>
      <c r="X2755" s="13">
        <v>1.968589413166046</v>
      </c>
      <c r="Y2755" s="13">
        <v>0.1977378959529407</v>
      </c>
      <c r="Z2755" s="133">
        <v>0.1004464895678386</v>
      </c>
    </row>
    <row r="2756" spans="1:26" x14ac:dyDescent="0.2">
      <c r="A2756" s="1">
        <v>2754</v>
      </c>
      <c r="B2756" s="2" t="s">
        <v>583</v>
      </c>
      <c r="C2756" s="13" t="str">
        <f>HYPERLINK(AC2 &amp; "/usb_stick/3dw_e73248e1-aecc-446a-932b-4d29021bcb0c/rendering/00.xyz", "0.0")</f>
        <v>0.0</v>
      </c>
      <c r="D2756" s="13" t="str">
        <f>HYPERLINK(AC2 &amp; "/usb_stick/3dw_e73248e1-aecc-446a-932b-4d29021bcb0c/rendering/01.xyz", "0.0")</f>
        <v>0.0</v>
      </c>
      <c r="E2756" s="13" t="str">
        <f>HYPERLINK(AC2 &amp; "/usb_stick/3dw_e73248e1-aecc-446a-932b-4d29021bcb0c/rendering/02.xyz", "0.0")</f>
        <v>0.0</v>
      </c>
      <c r="F2756" s="13" t="str">
        <f>HYPERLINK(AC2 &amp; "/usb_stick/3dw_e73248e1-aecc-446a-932b-4d29021bcb0c/rendering/03.xyz", "0.0")</f>
        <v>0.0</v>
      </c>
      <c r="G2756" s="13" t="str">
        <f>HYPERLINK(AC2 &amp; "/usb_stick/3dw_e73248e1-aecc-446a-932b-4d29021bcb0c/rendering/04.xyz", "0.0")</f>
        <v>0.0</v>
      </c>
      <c r="H2756" s="13" t="str">
        <f>HYPERLINK(AC2 &amp; "/usb_stick/3dw_e73248e1-aecc-446a-932b-4d29021bcb0c/rendering/05.xyz", "0.0")</f>
        <v>0.0</v>
      </c>
      <c r="I2756" s="13" t="str">
        <f>HYPERLINK(AC2 &amp; "/usb_stick/3dw_e73248e1-aecc-446a-932b-4d29021bcb0c/rendering/06.xyz", "0.0")</f>
        <v>0.0</v>
      </c>
      <c r="J2756" s="13" t="str">
        <f>HYPERLINK(AC2 &amp; "/usb_stick/3dw_e73248e1-aecc-446a-932b-4d29021bcb0c/rendering/07.xyz", "0.0")</f>
        <v>0.0</v>
      </c>
      <c r="K2756" s="13" t="str">
        <f>HYPERLINK(AC2 &amp; "/usb_stick/3dw_e73248e1-aecc-446a-932b-4d29021bcb0c/rendering/08.xyz", "0.0")</f>
        <v>0.0</v>
      </c>
      <c r="L2756" s="13" t="str">
        <f>HYPERLINK(AC2 &amp; "/usb_stick/3dw_e73248e1-aecc-446a-932b-4d29021bcb0c/rendering/09.xyz", "0.0")</f>
        <v>0.0</v>
      </c>
      <c r="M2756" s="13" t="str">
        <f>HYPERLINK(AC2 &amp; "/usb_stick/3dw_e73248e1-aecc-446a-932b-4d29021bcb0c/rendering/10.xyz", "0.0")</f>
        <v>0.0</v>
      </c>
      <c r="N2756" s="13" t="str">
        <f>HYPERLINK(AC2 &amp; "/usb_stick/3dw_e73248e1-aecc-446a-932b-4d29021bcb0c/rendering/11.xyz", "0.0")</f>
        <v>0.0</v>
      </c>
      <c r="O2756" s="13" t="str">
        <f>HYPERLINK(AC2 &amp; "/usb_stick/3dw_e73248e1-aecc-446a-932b-4d29021bcb0c/rendering/12.xyz", "0.0")</f>
        <v>0.0</v>
      </c>
      <c r="P2756" s="13" t="str">
        <f>HYPERLINK(AC2 &amp; "/usb_stick/3dw_e73248e1-aecc-446a-932b-4d29021bcb0c/rendering/13.xyz", "0.0")</f>
        <v>0.0</v>
      </c>
      <c r="Q2756" s="13" t="str">
        <f>HYPERLINK(AC2 &amp; "/usb_stick/3dw_e73248e1-aecc-446a-932b-4d29021bcb0c/rendering/14.xyz", "0.0")</f>
        <v>0.0</v>
      </c>
      <c r="R2756" s="13" t="str">
        <f>HYPERLINK(AC2 &amp; "/usb_stick/3dw_e73248e1-aecc-446a-932b-4d29021bcb0c/rendering/15.xyz", "0.0")</f>
        <v>0.0</v>
      </c>
      <c r="S2756" s="13" t="str">
        <f>HYPERLINK(AC2 &amp; "/usb_stick/3dw_e73248e1-aecc-446a-932b-4d29021bcb0c/rendering/16.xyz", "0.0")</f>
        <v>0.0</v>
      </c>
      <c r="T2756" s="13" t="str">
        <f>HYPERLINK(AC2 &amp; "/usb_stick/3dw_e73248e1-aecc-446a-932b-4d29021bcb0c/rendering/17.xyz", "0.0")</f>
        <v>0.0</v>
      </c>
      <c r="U2756" s="13" t="str">
        <f>HYPERLINK(AC2 &amp; "/usb_stick/3dw_e73248e1-aecc-446a-932b-4d29021bcb0c/rendering/18.xyz", "0.0")</f>
        <v>0.0</v>
      </c>
      <c r="V2756" s="13" t="str">
        <f>HYPERLINK(AC2 &amp; "/usb_stick/3dw_e73248e1-aecc-446a-932b-4d29021bcb0c/rendering/19.xyz", "0.0")</f>
        <v>0.0</v>
      </c>
      <c r="W2756" s="12" t="s">
        <v>33</v>
      </c>
      <c r="X2756" s="13">
        <v>0</v>
      </c>
      <c r="Y2756" s="13">
        <v>0</v>
      </c>
      <c r="Z2756" s="13">
        <v>0</v>
      </c>
    </row>
    <row r="2757" spans="1:26" x14ac:dyDescent="0.2">
      <c r="A2757" s="1">
        <v>2755</v>
      </c>
      <c r="B2757" s="2" t="s">
        <v>584</v>
      </c>
      <c r="C2757" s="65" t="str">
        <f>HYPERLINK(AA2 &amp; "/usb_stick/3dw_e789a34c-af0b-4480-a3d1-daf234b26717/rendering/00.obj", "3.34704162598")</f>
        <v>3.34704162598</v>
      </c>
      <c r="D2757" s="13" t="str">
        <f>HYPERLINK(AA2 &amp; "/usb_stick/3dw_e789a34c-af0b-4480-a3d1-daf234b26717/rendering/01.obj", "2.96284454346")</f>
        <v>2.96284454346</v>
      </c>
      <c r="E2757" s="92" t="str">
        <f>HYPERLINK(AA2 &amp; "/usb_stick/3dw_e789a34c-af0b-4480-a3d1-daf234b26717/rendering/02.obj", "3.32185028076")</f>
        <v>3.32185028076</v>
      </c>
      <c r="F2757" s="187" t="str">
        <f>HYPERLINK(AA2 &amp; "/usb_stick/3dw_e789a34c-af0b-4480-a3d1-daf234b26717/rendering/03.obj", "1.92300735474")</f>
        <v>1.92300735474</v>
      </c>
      <c r="G2757" s="41" t="str">
        <f>HYPERLINK(AA2 &amp; "/usb_stick/3dw_e789a34c-af0b-4480-a3d1-daf234b26717/rendering/04.obj", "3.15662780762")</f>
        <v>3.15662780762</v>
      </c>
      <c r="H2757" s="110" t="str">
        <f>HYPERLINK(AA2 &amp; "/usb_stick/3dw_e789a34c-af0b-4480-a3d1-daf234b26717/rendering/05.obj", "3.24452728271")</f>
        <v>3.24452728271</v>
      </c>
      <c r="I2757" s="113" t="str">
        <f>HYPERLINK(AA2 &amp; "/usb_stick/3dw_e789a34c-af0b-4480-a3d1-daf234b26717/rendering/06.obj", "3.76825286865")</f>
        <v>3.76825286865</v>
      </c>
      <c r="J2757" s="128" t="str">
        <f>HYPERLINK(AA2 &amp; "/usb_stick/3dw_e789a34c-af0b-4480-a3d1-daf234b26717/rendering/07.obj", "4.10958190918")</f>
        <v>4.10958190918</v>
      </c>
      <c r="K2757" s="113" t="str">
        <f>HYPERLINK(AA2 &amp; "/usb_stick/3dw_e789a34c-af0b-4480-a3d1-daf234b26717/rendering/08.obj", "3.77094116211")</f>
        <v>3.77094116211</v>
      </c>
      <c r="L2757" s="162" t="str">
        <f>HYPERLINK(AA2 &amp; "/usb_stick/3dw_e789a34c-af0b-4480-a3d1-daf234b26717/rendering/09.obj", "1.70115936279")</f>
        <v>1.70115936279</v>
      </c>
      <c r="M2757" s="38" t="str">
        <f>HYPERLINK(AA2 &amp; "/usb_stick/3dw_e789a34c-af0b-4480-a3d1-daf234b26717/rendering/10.obj", "3.22425415039")</f>
        <v>3.22425415039</v>
      </c>
      <c r="N2757" s="110" t="str">
        <f>HYPERLINK(AA2 &amp; "/usb_stick/3dw_e789a34c-af0b-4480-a3d1-daf234b26717/rendering/11.obj", "3.25194274902")</f>
        <v>3.25194274902</v>
      </c>
      <c r="O2757" s="109" t="str">
        <f>HYPERLINK(AA2 &amp; "/usb_stick/3dw_e789a34c-af0b-4480-a3d1-daf234b26717/rendering/12.obj", "3.515234375")</f>
        <v>3.515234375</v>
      </c>
      <c r="P2757" s="78" t="str">
        <f>HYPERLINK(AA2 &amp; "/usb_stick/3dw_e789a34c-af0b-4480-a3d1-daf234b26717/rendering/13.obj", "3.14033081055")</f>
        <v>3.14033081055</v>
      </c>
      <c r="Q2757" s="137" t="str">
        <f>HYPERLINK(AA2 &amp; "/usb_stick/3dw_e789a34c-af0b-4480-a3d1-daf234b26717/rendering/14.obj", "1.8744418335")</f>
        <v>1.8744418335</v>
      </c>
      <c r="R2757" s="40" t="str">
        <f>HYPERLINK(AA2 &amp; "/usb_stick/3dw_e789a34c-af0b-4480-a3d1-daf234b26717/rendering/15.obj", "2.45170288086")</f>
        <v>2.45170288086</v>
      </c>
      <c r="S2757" s="55" t="str">
        <f>HYPERLINK(AA2 &amp; "/usb_stick/3dw_e789a34c-af0b-4480-a3d1-daf234b26717/rendering/16.obj", "3.53187194824")</f>
        <v>3.53187194824</v>
      </c>
      <c r="T2757" s="43" t="str">
        <f>HYPERLINK(AA2 &amp; "/usb_stick/3dw_e789a34c-af0b-4480-a3d1-daf234b26717/rendering/17.obj", "1.85011077881")</f>
        <v>1.85011077881</v>
      </c>
      <c r="U2757" s="191" t="str">
        <f>HYPERLINK(AA2 &amp; "/usb_stick/3dw_e789a34c-af0b-4480-a3d1-daf234b26717/rendering/18.obj", "1.61602874756")</f>
        <v>1.61602874756</v>
      </c>
      <c r="V2757" s="8" t="str">
        <f>HYPERLINK(AA2 &amp; "/usb_stick/3dw_e789a34c-af0b-4480-a3d1-daf234b26717/rendering/19.obj", "3.3761340332")</f>
        <v>3.3761340332</v>
      </c>
      <c r="W2757" s="12" t="s">
        <v>29</v>
      </c>
      <c r="X2757" s="13">
        <v>2.9568943252563469</v>
      </c>
      <c r="Y2757" s="13">
        <v>0.74711532688691118</v>
      </c>
      <c r="Z2757" s="170">
        <v>0.25266893054155398</v>
      </c>
    </row>
    <row r="2758" spans="1:26" x14ac:dyDescent="0.2">
      <c r="A2758" s="1">
        <v>2756</v>
      </c>
      <c r="B2758" s="2" t="s">
        <v>584</v>
      </c>
      <c r="C2758" s="120" t="str">
        <f>HYPERLINK(AA2 &amp; "/usb_stick/3dw_e789a34c-af0b-4480-a3d1-daf234b26717/rendering/00.obj", "11.0149288177")</f>
        <v>11.0149288177</v>
      </c>
      <c r="D2758" s="153" t="str">
        <f>HYPERLINK(AA2 &amp; "/usb_stick/3dw_e789a34c-af0b-4480-a3d1-daf234b26717/rendering/01.obj", "5.85119867325")</f>
        <v>5.85119867325</v>
      </c>
      <c r="E2758" s="44" t="str">
        <f>HYPERLINK(AA2 &amp; "/usb_stick/3dw_e789a34c-af0b-4480-a3d1-daf234b26717/rendering/02.obj", "10.8635082245")</f>
        <v>10.8635082245</v>
      </c>
      <c r="F2758" s="248" t="str">
        <f>HYPERLINK(AA2 &amp; "/usb_stick/3dw_e789a34c-af0b-4480-a3d1-daf234b26717/rendering/03.obj", "3.07639932632")</f>
        <v>3.07639932632</v>
      </c>
      <c r="G2758" s="41" t="str">
        <f>HYPERLINK(AA2 &amp; "/usb_stick/3dw_e789a34c-af0b-4480-a3d1-daf234b26717/rendering/04.obj", "9.70840644836")</f>
        <v>9.70840644836</v>
      </c>
      <c r="H2758" s="63" t="str">
        <f>HYPERLINK(AA2 &amp; "/usb_stick/3dw_e789a34c-af0b-4480-a3d1-daf234b26717/rendering/05.obj", "10.1848154068")</f>
        <v>10.1848154068</v>
      </c>
      <c r="I2758" s="212" t="str">
        <f>HYPERLINK(AA2 &amp; "/usb_stick/3dw_e789a34c-af0b-4480-a3d1-daf234b26717/rendering/06.obj", "13.0131158829")</f>
        <v>13.0131158829</v>
      </c>
      <c r="J2758" s="255" t="str">
        <f>HYPERLINK(AA2 &amp; "/usb_stick/3dw_e789a34c-af0b-4480-a3d1-daf234b26717/rendering/07.obj", "15.6606435776")</f>
        <v>15.6606435776</v>
      </c>
      <c r="K2758" s="97" t="str">
        <f>HYPERLINK(AA2 &amp; "/usb_stick/3dw_e789a34c-af0b-4480-a3d1-daf234b26717/rendering/08.obj", "13.0433979034")</f>
        <v>13.0433979034</v>
      </c>
      <c r="L2758" s="127" t="str">
        <f>HYPERLINK(AA2 &amp; "/usb_stick/3dw_e789a34c-af0b-4480-a3d1-daf234b26717/rendering/09.obj", "4.36123228073")</f>
        <v>4.36123228073</v>
      </c>
      <c r="M2758" s="11" t="str">
        <f>HYPERLINK(AA2 &amp; "/usb_stick/3dw_e789a34c-af0b-4480-a3d1-daf234b26717/rendering/10.obj", "11.1341571808")</f>
        <v>11.1341571808</v>
      </c>
      <c r="N2758" s="70" t="str">
        <f>HYPERLINK(AA2 &amp; "/usb_stick/3dw_e789a34c-af0b-4480-a3d1-daf234b26717/rendering/11.obj", "10.2451190948")</f>
        <v>10.2451190948</v>
      </c>
      <c r="O2758" s="181" t="str">
        <f>HYPERLINK(AA2 &amp; "/usb_stick/3dw_e789a34c-af0b-4480-a3d1-daf234b26717/rendering/12.obj", "13.1271305084")</f>
        <v>13.1271305084</v>
      </c>
      <c r="P2758" s="32" t="str">
        <f>HYPERLINK(AA2 &amp; "/usb_stick/3dw_e789a34c-af0b-4480-a3d1-daf234b26717/rendering/13.obj", "10.0581445694")</f>
        <v>10.0581445694</v>
      </c>
      <c r="Q2758" s="244" t="str">
        <f>HYPERLINK(AA2 &amp; "/usb_stick/3dw_e789a34c-af0b-4480-a3d1-daf234b26717/rendering/14.obj", "3.52536225319")</f>
        <v>3.52536225319</v>
      </c>
      <c r="R2758" s="141" t="str">
        <f>HYPERLINK(AA2 &amp; "/usb_stick/3dw_e789a34c-af0b-4480-a3d1-daf234b26717/rendering/15.obj", "4.08715105057")</f>
        <v>4.08715105057</v>
      </c>
      <c r="S2758" s="113" t="str">
        <f>HYPERLINK(AA2 &amp; "/usb_stick/3dw_e789a34c-af0b-4480-a3d1-daf234b26717/rendering/16.obj", "11.5913333893")</f>
        <v>11.5913333893</v>
      </c>
      <c r="T2758" s="137" t="str">
        <f>HYPERLINK(AA2 &amp; "/usb_stick/3dw_e789a34c-af0b-4480-a3d1-daf234b26717/rendering/17.obj", "5.76414823532")</f>
        <v>5.76414823532</v>
      </c>
      <c r="U2758" s="205" t="str">
        <f>HYPERLINK(AA2 &amp; "/usb_stick/3dw_e789a34c-af0b-4480-a3d1-daf234b26717/rendering/18.obj", "3.02528357506")</f>
        <v>3.02528357506</v>
      </c>
      <c r="V2758" s="192" t="str">
        <f>HYPERLINK(AA2 &amp; "/usb_stick/3dw_e789a34c-af0b-4480-a3d1-daf234b26717/rendering/19.obj", "12.4623775482")</f>
        <v>12.4623775482</v>
      </c>
      <c r="W2758" s="12" t="s">
        <v>30</v>
      </c>
      <c r="X2758" s="13">
        <v>9.0898926973342888</v>
      </c>
      <c r="Y2758" s="13">
        <v>3.8461261125720281</v>
      </c>
      <c r="Z2758" s="111">
        <v>0.42312117872413912</v>
      </c>
    </row>
    <row r="2759" spans="1:26" x14ac:dyDescent="0.2">
      <c r="A2759" s="1">
        <v>2757</v>
      </c>
      <c r="B2759" s="2" t="s">
        <v>584</v>
      </c>
      <c r="C2759" s="134" t="str">
        <f>HYPERLINK(AB2 &amp; "/usb_stick/3dw_e789a34c-af0b-4480-a3d1-daf234b26717/rendering/00.obj", "2.77521972656")</f>
        <v>2.77521972656</v>
      </c>
      <c r="D2759" s="29" t="str">
        <f>HYPERLINK(AB2 &amp; "/usb_stick/3dw_e789a34c-af0b-4480-a3d1-daf234b26717/rendering/01.obj", "2.66107391357")</f>
        <v>2.66107391357</v>
      </c>
      <c r="E2759" s="75" t="str">
        <f>HYPERLINK(AB2 &amp; "/usb_stick/3dw_e789a34c-af0b-4480-a3d1-daf234b26717/rendering/02.obj", "2.87465026855")</f>
        <v>2.87465026855</v>
      </c>
      <c r="F2759" s="89" t="str">
        <f>HYPERLINK(AB2 &amp; "/usb_stick/3dw_e789a34c-af0b-4480-a3d1-daf234b26717/rendering/03.obj", "1.74506835938")</f>
        <v>1.74506835938</v>
      </c>
      <c r="G2759" s="48" t="str">
        <f>HYPERLINK(AB2 &amp; "/usb_stick/3dw_e789a34c-af0b-4480-a3d1-daf234b26717/rendering/04.obj", "2.41053009033")</f>
        <v>2.41053009033</v>
      </c>
      <c r="H2759" s="11" t="str">
        <f>HYPERLINK(AB2 &amp; "/usb_stick/3dw_e789a34c-af0b-4480-a3d1-daf234b26717/rendering/05.obj", "2.88107910156")</f>
        <v>2.88107910156</v>
      </c>
      <c r="I2759" s="182" t="str">
        <f>HYPERLINK(AB2 &amp; "/usb_stick/3dw_e789a34c-af0b-4480-a3d1-daf234b26717/rendering/06.obj", "1.56867156982")</f>
        <v>1.56867156982</v>
      </c>
      <c r="J2759" s="117" t="str">
        <f>HYPERLINK(AB2 &amp; "/usb_stick/3dw_e789a34c-af0b-4480-a3d1-daf234b26717/rendering/07.obj", "1.93269943237")</f>
        <v>1.93269943237</v>
      </c>
      <c r="K2759" s="103" t="str">
        <f>HYPERLINK(AB2 &amp; "/usb_stick/3dw_e789a34c-af0b-4480-a3d1-daf234b26717/rendering/08.obj", "1.59230880737")</f>
        <v>1.59230880737</v>
      </c>
      <c r="L2759" s="74" t="str">
        <f>HYPERLINK(AB2 &amp; "/usb_stick/3dw_e789a34c-af0b-4480-a3d1-daf234b26717/rendering/09.obj", "2.3833505249")</f>
        <v>2.3833505249</v>
      </c>
      <c r="M2759" s="68" t="str">
        <f>HYPERLINK(AB2 &amp; "/usb_stick/3dw_e789a34c-af0b-4480-a3d1-daf234b26717/rendering/10.obj", "2.45025299072")</f>
        <v>2.45025299072</v>
      </c>
      <c r="N2759" s="170" t="str">
        <f>HYPERLINK(AB2 &amp; "/usb_stick/3dw_e789a34c-af0b-4480-a3d1-daf234b26717/rendering/11.obj", "2.94590545654")</f>
        <v>2.94590545654</v>
      </c>
      <c r="O2759" s="28" t="str">
        <f>HYPERLINK(AB2 &amp; "/usb_stick/3dw_e789a34c-af0b-4480-a3d1-daf234b26717/rendering/12.obj", "2.61285980225")</f>
        <v>2.61285980225</v>
      </c>
      <c r="P2759" s="134" t="str">
        <f>HYPERLINK(AB2 &amp; "/usb_stick/3dw_e789a34c-af0b-4480-a3d1-daf234b26717/rendering/13.obj", "2.77806274414")</f>
        <v>2.77806274414</v>
      </c>
      <c r="Q2759" s="95" t="str">
        <f>HYPERLINK(AB2 &amp; "/usb_stick/3dw_e789a34c-af0b-4480-a3d1-daf234b26717/rendering/14.obj", "1.69591094971")</f>
        <v>1.69591094971</v>
      </c>
      <c r="R2759" s="110" t="str">
        <f>HYPERLINK(AB2 &amp; "/usb_stick/3dw_e789a34c-af0b-4480-a3d1-daf234b26717/rendering/15.obj", "2.12286422729")</f>
        <v>2.12286422729</v>
      </c>
      <c r="S2759" s="140" t="str">
        <f>HYPERLINK(AB2 &amp; "/usb_stick/3dw_e789a34c-af0b-4480-a3d1-daf234b26717/rendering/16.obj", "1.53694366455")</f>
        <v>1.53694366455</v>
      </c>
      <c r="T2759" s="68" t="str">
        <f>HYPERLINK(AB2 &amp; "/usb_stick/3dw_e789a34c-af0b-4480-a3d1-daf234b26717/rendering/17.obj", "2.45167251587")</f>
        <v>2.45167251587</v>
      </c>
      <c r="U2759" s="135" t="str">
        <f>HYPERLINK(AB2 &amp; "/usb_stick/3dw_e789a34c-af0b-4480-a3d1-daf234b26717/rendering/18.obj", "2.95595001221")</f>
        <v>2.95595001221</v>
      </c>
      <c r="V2759" s="93" t="str">
        <f>HYPERLINK(AB2 &amp; "/usb_stick/3dw_e789a34c-af0b-4480-a3d1-daf234b26717/rendering/19.obj", "2.68283996582")</f>
        <v>2.68283996582</v>
      </c>
      <c r="W2759" s="12" t="s">
        <v>31</v>
      </c>
      <c r="X2759" s="13">
        <v>2.3528957061767581</v>
      </c>
      <c r="Y2759" s="13">
        <v>0.49042879941086143</v>
      </c>
      <c r="Z2759" s="49">
        <v>0.2084362677544104</v>
      </c>
    </row>
    <row r="2760" spans="1:26" x14ac:dyDescent="0.2">
      <c r="A2760" s="1">
        <v>2758</v>
      </c>
      <c r="B2760" s="2" t="s">
        <v>584</v>
      </c>
      <c r="C2760" s="193" t="str">
        <f>HYPERLINK(AB2 &amp; "/usb_stick/3dw_e789a34c-af0b-4480-a3d1-daf234b26717/rendering/00.obj", "7.6271905899")</f>
        <v>7.6271905899</v>
      </c>
      <c r="D2760" s="80" t="str">
        <f>HYPERLINK(AB2 &amp; "/usb_stick/3dw_e789a34c-af0b-4480-a3d1-daf234b26717/rendering/01.obj", "6.57966804504")</f>
        <v>6.57966804504</v>
      </c>
      <c r="E2760" s="139" t="str">
        <f>HYPERLINK(AB2 &amp; "/usb_stick/3dw_e789a34c-af0b-4480-a3d1-daf234b26717/rendering/02.obj", "8.49153232574")</f>
        <v>8.49153232574</v>
      </c>
      <c r="F2760" s="186" t="str">
        <f>HYPERLINK(AB2 &amp; "/usb_stick/3dw_e789a34c-af0b-4480-a3d1-daf234b26717/rendering/03.obj", "2.2887172699")</f>
        <v>2.2887172699</v>
      </c>
      <c r="G2760" s="23" t="str">
        <f>HYPERLINK(AB2 &amp; "/usb_stick/3dw_e789a34c-af0b-4480-a3d1-daf234b26717/rendering/04.obj", "5.50789213181")</f>
        <v>5.50789213181</v>
      </c>
      <c r="H2760" s="200" t="str">
        <f>HYPERLINK(AB2 &amp; "/usb_stick/3dw_e789a34c-af0b-4480-a3d1-daf234b26717/rendering/05.obj", "8.4617395401")</f>
        <v>8.4617395401</v>
      </c>
      <c r="I2760" s="112" t="str">
        <f>HYPERLINK(AB2 &amp; "/usb_stick/3dw_e789a34c-af0b-4480-a3d1-daf234b26717/rendering/06.obj", "2.31822252274")</f>
        <v>2.31822252274</v>
      </c>
      <c r="J2760" s="123" t="str">
        <f>HYPERLINK(AB2 &amp; "/usb_stick/3dw_e789a34c-af0b-4480-a3d1-daf234b26717/rendering/07.obj", "3.61363744736")</f>
        <v>3.61363744736</v>
      </c>
      <c r="K2760" s="167" t="str">
        <f>HYPERLINK(AB2 &amp; "/usb_stick/3dw_e789a34c-af0b-4480-a3d1-daf234b26717/rendering/08.obj", "2.27421116829")</f>
        <v>2.27421116829</v>
      </c>
      <c r="L2760" s="88" t="str">
        <f>HYPERLINK(AB2 &amp; "/usb_stick/3dw_e789a34c-af0b-4480-a3d1-daf234b26717/rendering/09.obj", "6.88647699356")</f>
        <v>6.88647699356</v>
      </c>
      <c r="M2760" s="68" t="str">
        <f>HYPERLINK(AB2 &amp; "/usb_stick/3dw_e789a34c-af0b-4480-a3d1-daf234b26717/rendering/10.obj", "5.48492717743")</f>
        <v>5.48492717743</v>
      </c>
      <c r="N2760" s="191" t="str">
        <f>HYPERLINK(AB2 &amp; "/usb_stick/3dw_e789a34c-af0b-4480-a3d1-daf234b26717/rendering/11.obj", "8.3230342865")</f>
        <v>8.3230342865</v>
      </c>
      <c r="O2760" s="30" t="str">
        <f>HYPERLINK(AB2 &amp; "/usb_stick/3dw_e789a34c-af0b-4480-a3d1-daf234b26717/rendering/12.obj", "5.70695066452")</f>
        <v>5.70695066452</v>
      </c>
      <c r="P2760" s="87" t="str">
        <f>HYPERLINK(AB2 &amp; "/usb_stick/3dw_e789a34c-af0b-4480-a3d1-daf234b26717/rendering/13.obj", "7.02697944641")</f>
        <v>7.02697944641</v>
      </c>
      <c r="Q2760" s="206" t="str">
        <f>HYPERLINK(AB2 &amp; "/usb_stick/3dw_e789a34c-af0b-4480-a3d1-daf234b26717/rendering/14.obj", "2.34807658195")</f>
        <v>2.34807658195</v>
      </c>
      <c r="R2760" s="35" t="str">
        <f>HYPERLINK(AB2 &amp; "/usb_stick/3dw_e789a34c-af0b-4480-a3d1-daf234b26717/rendering/15.obj", "6.05860280991")</f>
        <v>6.05860280991</v>
      </c>
      <c r="S2760" s="223" t="str">
        <f>HYPERLINK(AB2 &amp; "/usb_stick/3dw_e789a34c-af0b-4480-a3d1-daf234b26717/rendering/16.obj", "2.51396632195")</f>
        <v>2.51396632195</v>
      </c>
      <c r="T2760" s="88" t="str">
        <f>HYPERLINK(AB2 &amp; "/usb_stick/3dw_e789a34c-af0b-4480-a3d1-daf234b26717/rendering/17.obj", "6.88900232315")</f>
        <v>6.88900232315</v>
      </c>
      <c r="U2760" s="221" t="str">
        <f>HYPERLINK(AB2 &amp; "/usb_stick/3dw_e789a34c-af0b-4480-a3d1-daf234b26717/rendering/18.obj", "8.92097091675")</f>
        <v>8.92097091675</v>
      </c>
      <c r="V2760" s="119" t="str">
        <f>HYPERLINK(AB2 &amp; "/usb_stick/3dw_e789a34c-af0b-4480-a3d1-daf234b26717/rendering/19.obj", "7.2435836792")</f>
        <v>7.2435836792</v>
      </c>
      <c r="W2760" s="12" t="s">
        <v>32</v>
      </c>
      <c r="X2760" s="13">
        <v>5.7282691121101381</v>
      </c>
      <c r="Y2760" s="13">
        <v>2.2898898461253712</v>
      </c>
      <c r="Z2760" s="52">
        <v>0.39975249090241122</v>
      </c>
    </row>
    <row r="2761" spans="1:26" x14ac:dyDescent="0.2">
      <c r="A2761" s="1">
        <v>2759</v>
      </c>
      <c r="B2761" s="2" t="s">
        <v>584</v>
      </c>
      <c r="C2761" s="13" t="str">
        <f>HYPERLINK(AC2 &amp; "/usb_stick/3dw_e789a34c-af0b-4480-a3d1-daf234b26717/rendering/00.xyz", "0.0")</f>
        <v>0.0</v>
      </c>
      <c r="D2761" s="13" t="str">
        <f>HYPERLINK(AC2 &amp; "/usb_stick/3dw_e789a34c-af0b-4480-a3d1-daf234b26717/rendering/01.xyz", "0.0")</f>
        <v>0.0</v>
      </c>
      <c r="E2761" s="13" t="str">
        <f>HYPERLINK(AC2 &amp; "/usb_stick/3dw_e789a34c-af0b-4480-a3d1-daf234b26717/rendering/02.xyz", "0.0")</f>
        <v>0.0</v>
      </c>
      <c r="F2761" s="13" t="str">
        <f>HYPERLINK(AC2 &amp; "/usb_stick/3dw_e789a34c-af0b-4480-a3d1-daf234b26717/rendering/03.xyz", "0.0")</f>
        <v>0.0</v>
      </c>
      <c r="G2761" s="13" t="str">
        <f>HYPERLINK(AC2 &amp; "/usb_stick/3dw_e789a34c-af0b-4480-a3d1-daf234b26717/rendering/04.xyz", "0.0")</f>
        <v>0.0</v>
      </c>
      <c r="H2761" s="13" t="str">
        <f>HYPERLINK(AC2 &amp; "/usb_stick/3dw_e789a34c-af0b-4480-a3d1-daf234b26717/rendering/05.xyz", "0.0")</f>
        <v>0.0</v>
      </c>
      <c r="I2761" s="13" t="str">
        <f>HYPERLINK(AC2 &amp; "/usb_stick/3dw_e789a34c-af0b-4480-a3d1-daf234b26717/rendering/06.xyz", "0.0")</f>
        <v>0.0</v>
      </c>
      <c r="J2761" s="13" t="str">
        <f>HYPERLINK(AC2 &amp; "/usb_stick/3dw_e789a34c-af0b-4480-a3d1-daf234b26717/rendering/07.xyz", "0.0")</f>
        <v>0.0</v>
      </c>
      <c r="K2761" s="13" t="str">
        <f>HYPERLINK(AC2 &amp; "/usb_stick/3dw_e789a34c-af0b-4480-a3d1-daf234b26717/rendering/08.xyz", "0.0")</f>
        <v>0.0</v>
      </c>
      <c r="L2761" s="13" t="str">
        <f>HYPERLINK(AC2 &amp; "/usb_stick/3dw_e789a34c-af0b-4480-a3d1-daf234b26717/rendering/09.xyz", "0.0")</f>
        <v>0.0</v>
      </c>
      <c r="M2761" s="13" t="str">
        <f>HYPERLINK(AC2 &amp; "/usb_stick/3dw_e789a34c-af0b-4480-a3d1-daf234b26717/rendering/10.xyz", "0.0")</f>
        <v>0.0</v>
      </c>
      <c r="N2761" s="13" t="str">
        <f>HYPERLINK(AC2 &amp; "/usb_stick/3dw_e789a34c-af0b-4480-a3d1-daf234b26717/rendering/11.xyz", "0.0")</f>
        <v>0.0</v>
      </c>
      <c r="O2761" s="13" t="str">
        <f>HYPERLINK(AC2 &amp; "/usb_stick/3dw_e789a34c-af0b-4480-a3d1-daf234b26717/rendering/12.xyz", "0.0")</f>
        <v>0.0</v>
      </c>
      <c r="P2761" s="13" t="str">
        <f>HYPERLINK(AC2 &amp; "/usb_stick/3dw_e789a34c-af0b-4480-a3d1-daf234b26717/rendering/13.xyz", "0.0")</f>
        <v>0.0</v>
      </c>
      <c r="Q2761" s="13" t="str">
        <f>HYPERLINK(AC2 &amp; "/usb_stick/3dw_e789a34c-af0b-4480-a3d1-daf234b26717/rendering/14.xyz", "0.0")</f>
        <v>0.0</v>
      </c>
      <c r="R2761" s="13" t="str">
        <f>HYPERLINK(AC2 &amp; "/usb_stick/3dw_e789a34c-af0b-4480-a3d1-daf234b26717/rendering/15.xyz", "0.0")</f>
        <v>0.0</v>
      </c>
      <c r="S2761" s="13" t="str">
        <f>HYPERLINK(AC2 &amp; "/usb_stick/3dw_e789a34c-af0b-4480-a3d1-daf234b26717/rendering/16.xyz", "0.0")</f>
        <v>0.0</v>
      </c>
      <c r="T2761" s="13" t="str">
        <f>HYPERLINK(AC2 &amp; "/usb_stick/3dw_e789a34c-af0b-4480-a3d1-daf234b26717/rendering/17.xyz", "0.0")</f>
        <v>0.0</v>
      </c>
      <c r="U2761" s="13" t="str">
        <f>HYPERLINK(AC2 &amp; "/usb_stick/3dw_e789a34c-af0b-4480-a3d1-daf234b26717/rendering/18.xyz", "0.0")</f>
        <v>0.0</v>
      </c>
      <c r="V2761" s="13" t="str">
        <f>HYPERLINK(AC2 &amp; "/usb_stick/3dw_e789a34c-af0b-4480-a3d1-daf234b26717/rendering/19.xyz", "0.0")</f>
        <v>0.0</v>
      </c>
      <c r="W2761" s="12" t="s">
        <v>33</v>
      </c>
      <c r="X2761" s="13">
        <v>0</v>
      </c>
      <c r="Y2761" s="13">
        <v>0</v>
      </c>
      <c r="Z2761" s="13">
        <v>0</v>
      </c>
    </row>
    <row r="2762" spans="1:26" x14ac:dyDescent="0.2">
      <c r="A2762" s="1">
        <v>2760</v>
      </c>
      <c r="B2762" s="2" t="s">
        <v>585</v>
      </c>
      <c r="C2762" s="26" t="str">
        <f>HYPERLINK(AA2 &amp; "/usb_stick/3dw_f2877b6d-15c9-4284-8eef-f7a3610d1806/rendering/00.obj", "1.11723747253")</f>
        <v>1.11723747253</v>
      </c>
      <c r="D2762" s="59" t="str">
        <f>HYPERLINK(AA2 &amp; "/usb_stick/3dw_f2877b6d-15c9-4284-8eef-f7a3610d1806/rendering/01.obj", "1.48055908203")</f>
        <v>1.48055908203</v>
      </c>
      <c r="E2762" s="74" t="str">
        <f>HYPERLINK(AA2 &amp; "/usb_stick/3dw_f2877b6d-15c9-4284-8eef-f7a3610d1806/rendering/02.obj", "1.21054878235")</f>
        <v>1.21054878235</v>
      </c>
      <c r="F2762" s="112" t="str">
        <f>HYPERLINK(AA2 &amp; "/usb_stick/3dw_f2877b6d-15c9-4284-8eef-f7a3610d1806/rendering/03.obj", "1.90425354004")</f>
        <v>1.90425354004</v>
      </c>
      <c r="G2762" s="48" t="str">
        <f>HYPERLINK(AA2 &amp; "/usb_stick/3dw_f2877b6d-15c9-4284-8eef-f7a3610d1806/rendering/04.obj", "1.16716522217")</f>
        <v>1.16716522217</v>
      </c>
      <c r="H2762" s="82" t="str">
        <f>HYPERLINK(AA2 &amp; "/usb_stick/3dw_f2877b6d-15c9-4284-8eef-f7a3610d1806/rendering/05.obj", "0.950082550049")</f>
        <v>0.950082550049</v>
      </c>
      <c r="I2762" s="74" t="str">
        <f>HYPERLINK(AA2 &amp; "/usb_stick/3dw_f2877b6d-15c9-4284-8eef-f7a3610d1806/rendering/06.obj", "1.21260528564")</f>
        <v>1.21260528564</v>
      </c>
      <c r="J2762" s="49" t="str">
        <f>HYPERLINK(AA2 &amp; "/usb_stick/3dw_f2877b6d-15c9-4284-8eef-f7a3610d1806/rendering/07.obj", "0.945480041504")</f>
        <v>0.945480041504</v>
      </c>
      <c r="K2762" s="35" t="str">
        <f>HYPERLINK(AA2 &amp; "/usb_stick/3dw_f2877b6d-15c9-4284-8eef-f7a3610d1806/rendering/08.obj", "1.26473426819")</f>
        <v>1.26473426819</v>
      </c>
      <c r="L2762" s="58" t="str">
        <f>HYPERLINK(AA2 &amp; "/usb_stick/3dw_f2877b6d-15c9-4284-8eef-f7a3610d1806/rendering/09.obj", "0.905969772339")</f>
        <v>0.905969772339</v>
      </c>
      <c r="M2762" s="52" t="str">
        <f>HYPERLINK(AA2 &amp; "/usb_stick/3dw_f2877b6d-15c9-4284-8eef-f7a3610d1806/rendering/10.obj", "1.67201126099")</f>
        <v>1.67201126099</v>
      </c>
      <c r="N2762" s="26" t="str">
        <f>HYPERLINK(AA2 &amp; "/usb_stick/3dw_f2877b6d-15c9-4284-8eef-f7a3610d1806/rendering/11.obj", "1.26988433838")</f>
        <v>1.26988433838</v>
      </c>
      <c r="O2762" s="42" t="str">
        <f>HYPERLINK(AA2 &amp; "/usb_stick/3dw_f2877b6d-15c9-4284-8eef-f7a3610d1806/rendering/12.obj", "1.03337303162")</f>
        <v>1.03337303162</v>
      </c>
      <c r="P2762" s="10" t="str">
        <f>HYPERLINK(AA2 &amp; "/usb_stick/3dw_f2877b6d-15c9-4284-8eef-f7a3610d1806/rendering/13.obj", "1.13024612427")</f>
        <v>1.13024612427</v>
      </c>
      <c r="Q2762" s="11" t="str">
        <f>HYPERLINK(AA2 &amp; "/usb_stick/3dw_f2877b6d-15c9-4284-8eef-f7a3610d1806/rendering/14.obj", "0.925196762085")</f>
        <v>0.925196762085</v>
      </c>
      <c r="R2762" s="107" t="str">
        <f>HYPERLINK(AA2 &amp; "/usb_stick/3dw_f2877b6d-15c9-4284-8eef-f7a3610d1806/rendering/15.obj", "1.29537704468")</f>
        <v>1.29537704468</v>
      </c>
      <c r="S2762" s="58" t="str">
        <f>HYPERLINK(AA2 &amp; "/usb_stick/3dw_f2877b6d-15c9-4284-8eef-f7a3610d1806/rendering/16.obj", "0.904237213135")</f>
        <v>0.904237213135</v>
      </c>
      <c r="T2762" s="80" t="str">
        <f>HYPERLINK(AA2 &amp; "/usb_stick/3dw_f2877b6d-15c9-4284-8eef-f7a3610d1806/rendering/17.obj", "1.0175289917")</f>
        <v>1.0175289917</v>
      </c>
      <c r="U2762" s="90" t="str">
        <f>HYPERLINK(AA2 &amp; "/usb_stick/3dw_f2877b6d-15c9-4284-8eef-f7a3610d1806/rendering/18.obj", "1.08018447876")</f>
        <v>1.08018447876</v>
      </c>
      <c r="V2762" s="117" t="str">
        <f>HYPERLINK(AA2 &amp; "/usb_stick/3dw_f2877b6d-15c9-4284-8eef-f7a3610d1806/rendering/19.obj", "1.40541412354")</f>
        <v>1.40541412354</v>
      </c>
      <c r="W2762" s="12" t="s">
        <v>29</v>
      </c>
      <c r="X2762" s="13">
        <v>1.1946044692993161</v>
      </c>
      <c r="Y2762" s="13">
        <v>0.2571409924110426</v>
      </c>
      <c r="Z2762" s="36">
        <v>0.21525199262134531</v>
      </c>
    </row>
    <row r="2763" spans="1:26" x14ac:dyDescent="0.2">
      <c r="A2763" s="1">
        <v>2761</v>
      </c>
      <c r="B2763" s="2" t="s">
        <v>585</v>
      </c>
      <c r="C2763" s="67" t="str">
        <f>HYPERLINK(AA2 &amp; "/usb_stick/3dw_f2877b6d-15c9-4284-8eef-f7a3610d1806/rendering/00.obj", "2.41090154648")</f>
        <v>2.41090154648</v>
      </c>
      <c r="D2763" s="168" t="str">
        <f>HYPERLINK(AA2 &amp; "/usb_stick/3dw_f2877b6d-15c9-4284-8eef-f7a3610d1806/rendering/01.obj", "3.51254057884")</f>
        <v>3.51254057884</v>
      </c>
      <c r="E2763" s="110" t="str">
        <f>HYPERLINK(AA2 &amp; "/usb_stick/3dw_f2877b6d-15c9-4284-8eef-f7a3610d1806/rendering/02.obj", "2.91981053352")</f>
        <v>2.91981053352</v>
      </c>
      <c r="F2763" s="258" t="str">
        <f>HYPERLINK(AA2 &amp; "/usb_stick/3dw_f2877b6d-15c9-4284-8eef-f7a3610d1806/rendering/03.obj", "4.67258214951")</f>
        <v>4.67258214951</v>
      </c>
      <c r="G2763" s="72" t="str">
        <f>HYPERLINK(AA2 &amp; "/usb_stick/3dw_f2877b6d-15c9-4284-8eef-f7a3610d1806/rendering/04.obj", "2.74123358727")</f>
        <v>2.74123358727</v>
      </c>
      <c r="H2763" s="36" t="str">
        <f>HYPERLINK(AA2 &amp; "/usb_stick/3dw_f2877b6d-15c9-4284-8eef-f7a3610d1806/rendering/05.obj", "2.08400964737")</f>
        <v>2.08400964737</v>
      </c>
      <c r="I2763" s="67" t="str">
        <f>HYPERLINK(AA2 &amp; "/usb_stick/3dw_f2877b6d-15c9-4284-8eef-f7a3610d1806/rendering/06.obj", "2.41308999062")</f>
        <v>2.41308999062</v>
      </c>
      <c r="J2763" s="37" t="str">
        <f>HYPERLINK(AA2 &amp; "/usb_stick/3dw_f2877b6d-15c9-4284-8eef-f7a3610d1806/rendering/07.obj", "2.19483709335")</f>
        <v>2.19483709335</v>
      </c>
      <c r="K2763" s="92" t="str">
        <f>HYPERLINK(AA2 &amp; "/usb_stick/3dw_f2877b6d-15c9-4284-8eef-f7a3610d1806/rendering/08.obj", "2.98798680305")</f>
        <v>2.98798680305</v>
      </c>
      <c r="L2763" s="59" t="str">
        <f>HYPERLINK(AA2 &amp; "/usb_stick/3dw_f2877b6d-15c9-4284-8eef-f7a3610d1806/rendering/09.obj", "2.01740765572")</f>
        <v>2.01740765572</v>
      </c>
      <c r="M2763" s="159" t="str">
        <f>HYPERLINK(AA2 &amp; "/usb_stick/3dw_f2877b6d-15c9-4284-8eef-f7a3610d1806/rendering/10.obj", "3.89877986908")</f>
        <v>3.89877986908</v>
      </c>
      <c r="N2763" s="39" t="str">
        <f>HYPERLINK(AA2 &amp; "/usb_stick/3dw_f2877b6d-15c9-4284-8eef-f7a3610d1806/rendering/11.obj", "2.4301109314")</f>
        <v>2.4301109314</v>
      </c>
      <c r="O2763" s="44" t="str">
        <f>HYPERLINK(AA2 &amp; "/usb_stick/3dw_f2877b6d-15c9-4284-8eef-f7a3610d1806/rendering/12.obj", "2.13821053505")</f>
        <v>2.13821053505</v>
      </c>
      <c r="P2763" s="69" t="str">
        <f>HYPERLINK(AA2 &amp; "/usb_stick/3dw_f2877b6d-15c9-4284-8eef-f7a3610d1806/rendering/13.obj", "2.57786870003")</f>
        <v>2.57786870003</v>
      </c>
      <c r="Q2763" s="4" t="str">
        <f>HYPERLINK(AA2 &amp; "/usb_stick/3dw_f2877b6d-15c9-4284-8eef-f7a3610d1806/rendering/14.obj", "1.90295112133")</f>
        <v>1.90295112133</v>
      </c>
      <c r="R2763" s="78" t="str">
        <f>HYPERLINK(AA2 &amp; "/usb_stick/3dw_f2877b6d-15c9-4284-8eef-f7a3610d1806/rendering/15.obj", "2.48978447914")</f>
        <v>2.48978447914</v>
      </c>
      <c r="S2763" s="135" t="str">
        <f>HYPERLINK(AA2 &amp; "/usb_stick/3dw_f2877b6d-15c9-4284-8eef-f7a3610d1806/rendering/16.obj", "1.97899484634")</f>
        <v>1.97899484634</v>
      </c>
      <c r="T2763" s="84" t="str">
        <f>HYPERLINK(AA2 &amp; "/usb_stick/3dw_f2877b6d-15c9-4284-8eef-f7a3610d1806/rendering/17.obj", "2.27243876457")</f>
        <v>2.27243876457</v>
      </c>
      <c r="U2763" s="31" t="str">
        <f>HYPERLINK(AA2 &amp; "/usb_stick/3dw_f2877b6d-15c9-4284-8eef-f7a3610d1806/rendering/18.obj", "2.24234676361")</f>
        <v>2.24234676361</v>
      </c>
      <c r="V2763" s="81" t="str">
        <f>HYPERLINK(AA2 &amp; "/usb_stick/3dw_f2877b6d-15c9-4284-8eef-f7a3610d1806/rendering/19.obj", "3.23183107376")</f>
        <v>3.23183107376</v>
      </c>
      <c r="W2763" s="12" t="s">
        <v>30</v>
      </c>
      <c r="X2763" s="13">
        <v>2.6558858335018161</v>
      </c>
      <c r="Y2763" s="13">
        <v>0.69378159051062727</v>
      </c>
      <c r="Z2763" s="19">
        <v>0.26122417679221871</v>
      </c>
    </row>
    <row r="2764" spans="1:26" x14ac:dyDescent="0.2">
      <c r="A2764" s="1">
        <v>2762</v>
      </c>
      <c r="B2764" s="2" t="s">
        <v>585</v>
      </c>
      <c r="C2764" s="30" t="str">
        <f>HYPERLINK(AB2 &amp; "/usb_stick/3dw_f2877b6d-15c9-4284-8eef-f7a3610d1806/rendering/00.obj", "1.09885932922")</f>
        <v>1.09885932922</v>
      </c>
      <c r="D2764" s="46" t="str">
        <f>HYPERLINK(AB2 &amp; "/usb_stick/3dw_f2877b6d-15c9-4284-8eef-f7a3610d1806/rendering/01.obj", "1.07399429321")</f>
        <v>1.07399429321</v>
      </c>
      <c r="E2764" s="74" t="str">
        <f>HYPERLINK(AB2 &amp; "/usb_stick/3dw_f2877b6d-15c9-4284-8eef-f7a3610d1806/rendering/02.obj", "1.10994918823")</f>
        <v>1.10994918823</v>
      </c>
      <c r="F2764" s="78" t="str">
        <f>HYPERLINK(AB2 &amp; "/usb_stick/3dw_f2877b6d-15c9-4284-8eef-f7a3610d1806/rendering/03.obj", "1.02479454041")</f>
        <v>1.02479454041</v>
      </c>
      <c r="G2764" s="39" t="str">
        <f>HYPERLINK(AB2 &amp; "/usb_stick/3dw_f2877b6d-15c9-4284-8eef-f7a3610d1806/rendering/04.obj", "0.998485794067")</f>
        <v>0.998485794067</v>
      </c>
      <c r="H2764" s="35" t="str">
        <f>HYPERLINK(AB2 &amp; "/usb_stick/3dw_f2877b6d-15c9-4284-8eef-f7a3610d1806/rendering/05.obj", "1.02986473083")</f>
        <v>1.02986473083</v>
      </c>
      <c r="I2764" s="48" t="str">
        <f>HYPERLINK(AB2 &amp; "/usb_stick/3dw_f2877b6d-15c9-4284-8eef-f7a3610d1806/rendering/06.obj", "1.06795089722")</f>
        <v>1.06795089722</v>
      </c>
      <c r="J2764" s="47" t="str">
        <f>HYPERLINK(AB2 &amp; "/usb_stick/3dw_f2877b6d-15c9-4284-8eef-f7a3610d1806/rendering/07.obj", "1.08357131958")</f>
        <v>1.08357131958</v>
      </c>
      <c r="K2764" s="17" t="str">
        <f>HYPERLINK(AB2 &amp; "/usb_stick/3dw_f2877b6d-15c9-4284-8eef-f7a3610d1806/rendering/08.obj", "1.07080589294")</f>
        <v>1.07080589294</v>
      </c>
      <c r="L2764" s="74" t="str">
        <f>HYPERLINK(AB2 &amp; "/usb_stick/3dw_f2877b6d-15c9-4284-8eef-f7a3610d1806/rendering/09.obj", "1.10743103027")</f>
        <v>1.10743103027</v>
      </c>
      <c r="M2764" s="13" t="str">
        <f>HYPERLINK(AB2 &amp; "/usb_stick/3dw_f2877b6d-15c9-4284-8eef-f7a3610d1806/rendering/10.obj", "1.09219017029")</f>
        <v>1.09219017029</v>
      </c>
      <c r="N2764" s="74" t="str">
        <f>HYPERLINK(AB2 &amp; "/usb_stick/3dw_f2877b6d-15c9-4284-8eef-f7a3610d1806/rendering/11.obj", "1.1092124176")</f>
        <v>1.1092124176</v>
      </c>
      <c r="O2764" s="72" t="str">
        <f>HYPERLINK(AB2 &amp; "/usb_stick/3dw_f2877b6d-15c9-4284-8eef-f7a3610d1806/rendering/12.obj", "1.13059326172")</f>
        <v>1.13059326172</v>
      </c>
      <c r="P2764" s="91" t="str">
        <f>HYPERLINK(AB2 &amp; "/usb_stick/3dw_f2877b6d-15c9-4284-8eef-f7a3610d1806/rendering/13.obj", "1.12329681396")</f>
        <v>1.12329681396</v>
      </c>
      <c r="Q2764" s="72" t="str">
        <f>HYPERLINK(AB2 &amp; "/usb_stick/3dw_f2877b6d-15c9-4284-8eef-f7a3610d1806/rendering/14.obj", "1.12992904663")</f>
        <v>1.12992904663</v>
      </c>
      <c r="R2764" s="69" t="str">
        <f>HYPERLINK(AB2 &amp; "/usb_stick/3dw_f2877b6d-15c9-4284-8eef-f7a3610d1806/rendering/15.obj", "1.1243888855")</f>
        <v>1.1243888855</v>
      </c>
      <c r="S2764" s="107" t="str">
        <f>HYPERLINK(AB2 &amp; "/usb_stick/3dw_f2877b6d-15c9-4284-8eef-f7a3610d1806/rendering/16.obj", "1.18387748718")</f>
        <v>1.18387748718</v>
      </c>
      <c r="T2764" s="30" t="str">
        <f>HYPERLINK(AB2 &amp; "/usb_stick/3dw_f2877b6d-15c9-4284-8eef-f7a3610d1806/rendering/17.obj", "1.0981741333")</f>
        <v>1.0981741333</v>
      </c>
      <c r="U2764" s="41" t="str">
        <f>HYPERLINK(AB2 &amp; "/usb_stick/3dw_f2877b6d-15c9-4284-8eef-f7a3610d1806/rendering/18.obj", "1.02088562012")</f>
        <v>1.02088562012</v>
      </c>
      <c r="V2764" s="107" t="str">
        <f>HYPERLINK(AB2 &amp; "/usb_stick/3dw_f2877b6d-15c9-4284-8eef-f7a3610d1806/rendering/19.obj", "1.18480140686")</f>
        <v>1.18480140686</v>
      </c>
      <c r="W2764" s="12" t="s">
        <v>31</v>
      </c>
      <c r="X2764" s="13">
        <v>1.0931528129577639</v>
      </c>
      <c r="Y2764" s="13">
        <v>4.8232595734553463E-2</v>
      </c>
      <c r="Z2764" s="6">
        <v>4.4122464089946981E-2</v>
      </c>
    </row>
    <row r="2765" spans="1:26" x14ac:dyDescent="0.2">
      <c r="A2765" s="1">
        <v>2763</v>
      </c>
      <c r="B2765" s="2" t="s">
        <v>585</v>
      </c>
      <c r="C2765" s="17" t="str">
        <f>HYPERLINK(AB2 &amp; "/usb_stick/3dw_f2877b6d-15c9-4284-8eef-f7a3610d1806/rendering/00.obj", "2.16927886009")</f>
        <v>2.16927886009</v>
      </c>
      <c r="D2765" s="91" t="str">
        <f>HYPERLINK(AB2 &amp; "/usb_stick/3dw_f2877b6d-15c9-4284-8eef-f7a3610d1806/rendering/01.obj", "2.06395816803")</f>
        <v>2.06395816803</v>
      </c>
      <c r="E2765" s="47" t="str">
        <f>HYPERLINK(AB2 &amp; "/usb_stick/3dw_f2877b6d-15c9-4284-8eef-f7a3610d1806/rendering/02.obj", "2.14158320427")</f>
        <v>2.14158320427</v>
      </c>
      <c r="F2765" s="48" t="str">
        <f>HYPERLINK(AB2 &amp; "/usb_stick/3dw_f2877b6d-15c9-4284-8eef-f7a3610d1806/rendering/03.obj", "2.1726193428")</f>
        <v>2.1726193428</v>
      </c>
      <c r="G2765" s="38" t="str">
        <f>HYPERLINK(AB2 &amp; "/usb_stick/3dw_f2877b6d-15c9-4284-8eef-f7a3610d1806/rendering/04.obj", "1.93020451069")</f>
        <v>1.93020451069</v>
      </c>
      <c r="H2765" s="41" t="str">
        <f>HYPERLINK(AB2 &amp; "/usb_stick/3dw_f2877b6d-15c9-4284-8eef-f7a3610d1806/rendering/05.obj", "1.98139381409")</f>
        <v>1.98139381409</v>
      </c>
      <c r="I2765" s="60" t="str">
        <f>HYPERLINK(AB2 &amp; "/usb_stick/3dw_f2877b6d-15c9-4284-8eef-f7a3610d1806/rendering/06.obj", "2.01554965973")</f>
        <v>2.01554965973</v>
      </c>
      <c r="J2765" s="74" t="str">
        <f>HYPERLINK(AB2 &amp; "/usb_stick/3dw_f2877b6d-15c9-4284-8eef-f7a3610d1806/rendering/07.obj", "2.09260177612")</f>
        <v>2.09260177612</v>
      </c>
      <c r="K2765" s="74" t="str">
        <f>HYPERLINK(AB2 &amp; "/usb_stick/3dw_f2877b6d-15c9-4284-8eef-f7a3610d1806/rendering/08.obj", "2.09260010719")</f>
        <v>2.09260010719</v>
      </c>
      <c r="L2765" s="17" t="str">
        <f>HYPERLINK(AB2 &amp; "/usb_stick/3dw_f2877b6d-15c9-4284-8eef-f7a3610d1806/rendering/09.obj", "2.16741108894")</f>
        <v>2.16741108894</v>
      </c>
      <c r="M2765" s="30" t="str">
        <f>HYPERLINK(AB2 &amp; "/usb_stick/3dw_f2877b6d-15c9-4284-8eef-f7a3610d1806/rendering/10.obj", "2.12952661514")</f>
        <v>2.12952661514</v>
      </c>
      <c r="N2765" s="48" t="str">
        <f>HYPERLINK(AB2 &amp; "/usb_stick/3dw_f2877b6d-15c9-4284-8eef-f7a3610d1806/rendering/11.obj", "2.16977953911")</f>
        <v>2.16977953911</v>
      </c>
      <c r="O2765" s="47" t="str">
        <f>HYPERLINK(AB2 &amp; "/usb_stick/3dw_f2877b6d-15c9-4284-8eef-f7a3610d1806/rendering/12.obj", "2.14242339134")</f>
        <v>2.14242339134</v>
      </c>
      <c r="P2765" s="69" t="str">
        <f>HYPERLINK(AB2 &amp; "/usb_stick/3dw_f2877b6d-15c9-4284-8eef-f7a3610d1806/rendering/13.obj", "2.18742203712")</f>
        <v>2.18742203712</v>
      </c>
      <c r="Q2765" s="23" t="str">
        <f>HYPERLINK(AB2 &amp; "/usb_stick/3dw_f2877b6d-15c9-4284-8eef-f7a3610d1806/rendering/14.obj", "2.20778536797")</f>
        <v>2.20778536797</v>
      </c>
      <c r="R2765" s="72" t="str">
        <f>HYPERLINK(AB2 &amp; "/usb_stick/3dw_f2877b6d-15c9-4284-8eef-f7a3610d1806/rendering/15.obj", "2.0502011776")</f>
        <v>2.0502011776</v>
      </c>
      <c r="S2765" s="27" t="str">
        <f>HYPERLINK(AB2 &amp; "/usb_stick/3dw_f2877b6d-15c9-4284-8eef-f7a3610d1806/rendering/16.obj", "2.27299380302")</f>
        <v>2.27299380302</v>
      </c>
      <c r="T2765" s="47" t="str">
        <f>HYPERLINK(AB2 &amp; "/usb_stick/3dw_f2877b6d-15c9-4284-8eef-f7a3610d1806/rendering/17.obj", "2.10299706459")</f>
        <v>2.10299706459</v>
      </c>
      <c r="U2765" s="51" t="str">
        <f>HYPERLINK(AB2 &amp; "/usb_stick/3dw_f2877b6d-15c9-4284-8eef-f7a3610d1806/rendering/18.obj", "1.95371890068")</f>
        <v>1.95371890068</v>
      </c>
      <c r="V2765" s="42" t="str">
        <f>HYPERLINK(AB2 &amp; "/usb_stick/3dw_f2877b6d-15c9-4284-8eef-f7a3610d1806/rendering/19.obj", "2.41074347496")</f>
        <v>2.41074347496</v>
      </c>
      <c r="W2765" s="12" t="s">
        <v>32</v>
      </c>
      <c r="X2765" s="13">
        <v>2.1227395951747901</v>
      </c>
      <c r="Y2765" s="13">
        <v>0.1083096349082652</v>
      </c>
      <c r="Z2765" s="60">
        <v>5.1023514685675238E-2</v>
      </c>
    </row>
    <row r="2766" spans="1:26" x14ac:dyDescent="0.2">
      <c r="A2766" s="1">
        <v>2764</v>
      </c>
      <c r="B2766" s="2" t="s">
        <v>585</v>
      </c>
      <c r="C2766" s="13" t="str">
        <f>HYPERLINK(AC2 &amp; "/usb_stick/3dw_f2877b6d-15c9-4284-8eef-f7a3610d1806/rendering/00.xyz", "0.0")</f>
        <v>0.0</v>
      </c>
      <c r="D2766" s="13" t="str">
        <f>HYPERLINK(AC2 &amp; "/usb_stick/3dw_f2877b6d-15c9-4284-8eef-f7a3610d1806/rendering/01.xyz", "0.0")</f>
        <v>0.0</v>
      </c>
      <c r="E2766" s="13" t="str">
        <f>HYPERLINK(AC2 &amp; "/usb_stick/3dw_f2877b6d-15c9-4284-8eef-f7a3610d1806/rendering/02.xyz", "0.0")</f>
        <v>0.0</v>
      </c>
      <c r="F2766" s="13" t="str">
        <f>HYPERLINK(AC2 &amp; "/usb_stick/3dw_f2877b6d-15c9-4284-8eef-f7a3610d1806/rendering/03.xyz", "0.0")</f>
        <v>0.0</v>
      </c>
      <c r="G2766" s="13" t="str">
        <f>HYPERLINK(AC2 &amp; "/usb_stick/3dw_f2877b6d-15c9-4284-8eef-f7a3610d1806/rendering/04.xyz", "0.0")</f>
        <v>0.0</v>
      </c>
      <c r="H2766" s="13" t="str">
        <f>HYPERLINK(AC2 &amp; "/usb_stick/3dw_f2877b6d-15c9-4284-8eef-f7a3610d1806/rendering/05.xyz", "0.0")</f>
        <v>0.0</v>
      </c>
      <c r="I2766" s="13" t="str">
        <f>HYPERLINK(AC2 &amp; "/usb_stick/3dw_f2877b6d-15c9-4284-8eef-f7a3610d1806/rendering/06.xyz", "0.0")</f>
        <v>0.0</v>
      </c>
      <c r="J2766" s="13" t="str">
        <f>HYPERLINK(AC2 &amp; "/usb_stick/3dw_f2877b6d-15c9-4284-8eef-f7a3610d1806/rendering/07.xyz", "0.0")</f>
        <v>0.0</v>
      </c>
      <c r="K2766" s="13" t="str">
        <f>HYPERLINK(AC2 &amp; "/usb_stick/3dw_f2877b6d-15c9-4284-8eef-f7a3610d1806/rendering/08.xyz", "0.0")</f>
        <v>0.0</v>
      </c>
      <c r="L2766" s="13" t="str">
        <f>HYPERLINK(AC2 &amp; "/usb_stick/3dw_f2877b6d-15c9-4284-8eef-f7a3610d1806/rendering/09.xyz", "0.0")</f>
        <v>0.0</v>
      </c>
      <c r="M2766" s="13" t="str">
        <f>HYPERLINK(AC2 &amp; "/usb_stick/3dw_f2877b6d-15c9-4284-8eef-f7a3610d1806/rendering/10.xyz", "0.0")</f>
        <v>0.0</v>
      </c>
      <c r="N2766" s="13" t="str">
        <f>HYPERLINK(AC2 &amp; "/usb_stick/3dw_f2877b6d-15c9-4284-8eef-f7a3610d1806/rendering/11.xyz", "0.0")</f>
        <v>0.0</v>
      </c>
      <c r="O2766" s="13" t="str">
        <f>HYPERLINK(AC2 &amp; "/usb_stick/3dw_f2877b6d-15c9-4284-8eef-f7a3610d1806/rendering/12.xyz", "0.0")</f>
        <v>0.0</v>
      </c>
      <c r="P2766" s="13" t="str">
        <f>HYPERLINK(AC2 &amp; "/usb_stick/3dw_f2877b6d-15c9-4284-8eef-f7a3610d1806/rendering/13.xyz", "0.0")</f>
        <v>0.0</v>
      </c>
      <c r="Q2766" s="13" t="str">
        <f>HYPERLINK(AC2 &amp; "/usb_stick/3dw_f2877b6d-15c9-4284-8eef-f7a3610d1806/rendering/14.xyz", "0.0")</f>
        <v>0.0</v>
      </c>
      <c r="R2766" s="13" t="str">
        <f>HYPERLINK(AC2 &amp; "/usb_stick/3dw_f2877b6d-15c9-4284-8eef-f7a3610d1806/rendering/15.xyz", "0.0")</f>
        <v>0.0</v>
      </c>
      <c r="S2766" s="13" t="str">
        <f>HYPERLINK(AC2 &amp; "/usb_stick/3dw_f2877b6d-15c9-4284-8eef-f7a3610d1806/rendering/16.xyz", "0.0")</f>
        <v>0.0</v>
      </c>
      <c r="T2766" s="13" t="str">
        <f>HYPERLINK(AC2 &amp; "/usb_stick/3dw_f2877b6d-15c9-4284-8eef-f7a3610d1806/rendering/17.xyz", "0.0")</f>
        <v>0.0</v>
      </c>
      <c r="U2766" s="13" t="str">
        <f>HYPERLINK(AC2 &amp; "/usb_stick/3dw_f2877b6d-15c9-4284-8eef-f7a3610d1806/rendering/18.xyz", "0.0")</f>
        <v>0.0</v>
      </c>
      <c r="V2766" s="13" t="str">
        <f>HYPERLINK(AC2 &amp; "/usb_stick/3dw_f2877b6d-15c9-4284-8eef-f7a3610d1806/rendering/19.xyz", "0.0")</f>
        <v>0.0</v>
      </c>
      <c r="W2766" s="12" t="s">
        <v>33</v>
      </c>
      <c r="X2766" s="13">
        <v>0</v>
      </c>
      <c r="Y2766" s="13">
        <v>0</v>
      </c>
      <c r="Z2766" s="13">
        <v>0</v>
      </c>
    </row>
    <row r="2767" spans="1:26" x14ac:dyDescent="0.2">
      <c r="A2767" s="1">
        <v>2765</v>
      </c>
      <c r="B2767" s="2" t="s">
        <v>586</v>
      </c>
      <c r="C2767" s="84" t="str">
        <f>HYPERLINK(AA2 &amp; "/usb_stick/3dw_f2b70c1a-a183-4f2b-8c7d-62a73f96e6a1/rendering/00.obj", "1.69436035156")</f>
        <v>1.69436035156</v>
      </c>
      <c r="D2767" s="13" t="str">
        <f>HYPERLINK(AA2 &amp; "/usb_stick/3dw_f2b70c1a-a183-4f2b-8c7d-62a73f96e6a1/rendering/01.obj", "1.97981048584")</f>
        <v>1.97981048584</v>
      </c>
      <c r="E2767" s="88" t="str">
        <f>HYPERLINK(AA2 &amp; "/usb_stick/3dw_f2b70c1a-a183-4f2b-8c7d-62a73f96e6a1/rendering/02.obj", "2.37931030273")</f>
        <v>2.37931030273</v>
      </c>
      <c r="F2767" s="60" t="str">
        <f>HYPERLINK(AA2 &amp; "/usb_stick/3dw_f2b70c1a-a183-4f2b-8c7d-62a73f96e6a1/rendering/03.obj", "1.87796020508")</f>
        <v>1.87796020508</v>
      </c>
      <c r="G2767" s="64" t="str">
        <f>HYPERLINK(AA2 &amp; "/usb_stick/3dw_f2b70c1a-a183-4f2b-8c7d-62a73f96e6a1/rendering/04.obj", "2.30559143066")</f>
        <v>2.30559143066</v>
      </c>
      <c r="H2767" s="34" t="str">
        <f>HYPERLINK(AA2 &amp; "/usb_stick/3dw_f2b70c1a-a183-4f2b-8c7d-62a73f96e6a1/rendering/05.obj", "1.88665527344")</f>
        <v>1.88665527344</v>
      </c>
      <c r="I2767" s="13" t="str">
        <f>HYPERLINK(AA2 &amp; "/usb_stick/3dw_f2b70c1a-a183-4f2b-8c7d-62a73f96e6a1/rendering/06.obj", "1.98360244751")</f>
        <v>1.98360244751</v>
      </c>
      <c r="J2767" s="73" t="str">
        <f>HYPERLINK(AA2 &amp; "/usb_stick/3dw_f2b70c1a-a183-4f2b-8c7d-62a73f96e6a1/rendering/07.obj", "1.90887176514")</f>
        <v>1.90887176514</v>
      </c>
      <c r="K2767" s="6" t="str">
        <f>HYPERLINK(AA2 &amp; "/usb_stick/3dw_f2b70c1a-a183-4f2b-8c7d-62a73f96e6a1/rendering/08.obj", "1.89215835571")</f>
        <v>1.89215835571</v>
      </c>
      <c r="L2767" s="28" t="str">
        <f>HYPERLINK(AA2 &amp; "/usb_stick/3dw_f2b70c1a-a183-4f2b-8c7d-62a73f96e6a1/rendering/09.obj", "1.7619619751")</f>
        <v>1.7619619751</v>
      </c>
      <c r="M2767" s="5" t="str">
        <f>HYPERLINK(AA2 &amp; "/usb_stick/3dw_f2b70c1a-a183-4f2b-8c7d-62a73f96e6a1/rendering/10.obj", "1.82914627075")</f>
        <v>1.82914627075</v>
      </c>
      <c r="N2767" s="107" t="str">
        <f>HYPERLINK(AA2 &amp; "/usb_stick/3dw_f2b70c1a-a183-4f2b-8c7d-62a73f96e6a1/rendering/11.obj", "2.14474105835")</f>
        <v>2.14474105835</v>
      </c>
      <c r="O2767" s="66" t="str">
        <f>HYPERLINK(AA2 &amp; "/usb_stick/3dw_f2b70c1a-a183-4f2b-8c7d-62a73f96e6a1/rendering/12.obj", "1.65981735229")</f>
        <v>1.65981735229</v>
      </c>
      <c r="P2767" s="72" t="str">
        <f>HYPERLINK(AA2 &amp; "/usb_stick/3dw_f2b70c1a-a183-4f2b-8c7d-62a73f96e6a1/rendering/13.obj", "1.91679702759")</f>
        <v>1.91679702759</v>
      </c>
      <c r="Q2767" s="27" t="str">
        <f>HYPERLINK(AA2 &amp; "/usb_stick/3dw_f2b70c1a-a183-4f2b-8c7d-62a73f96e6a1/rendering/14.obj", "1.83966369629")</f>
        <v>1.83966369629</v>
      </c>
      <c r="R2767" s="175" t="str">
        <f>HYPERLINK(AA2 &amp; "/usb_stick/3dw_f2b70c1a-a183-4f2b-8c7d-62a73f96e6a1/rendering/15.obj", "2.44235778809")</f>
        <v>2.44235778809</v>
      </c>
      <c r="S2767" s="29" t="str">
        <f>HYPERLINK(AA2 &amp; "/usb_stick/3dw_f2b70c1a-a183-4f2b-8c7d-62a73f96e6a1/rendering/16.obj", "1.71941574097")</f>
        <v>1.71941574097</v>
      </c>
      <c r="T2767" s="72" t="str">
        <f>HYPERLINK(AA2 &amp; "/usb_stick/3dw_f2b70c1a-a183-4f2b-8c7d-62a73f96e6a1/rendering/17.obj", "2.04493469238")</f>
        <v>2.04493469238</v>
      </c>
      <c r="U2767" s="110" t="str">
        <f>HYPERLINK(AA2 &amp; "/usb_stick/3dw_f2b70c1a-a183-4f2b-8c7d-62a73f96e6a1/rendering/18.obj", "2.17652099609")</f>
        <v>2.17652099609</v>
      </c>
      <c r="V2767" s="67" t="str">
        <f>HYPERLINK(AA2 &amp; "/usb_stick/3dw_f2b70c1a-a183-4f2b-8c7d-62a73f96e6a1/rendering/19.obj", "2.16290969849")</f>
        <v>2.16290969849</v>
      </c>
      <c r="W2767" s="12" t="s">
        <v>29</v>
      </c>
      <c r="X2767" s="13">
        <v>1.980329345703125</v>
      </c>
      <c r="Y2767" s="13">
        <v>0.21915460396076411</v>
      </c>
      <c r="Z2767" s="28">
        <v>0.11066573569506551</v>
      </c>
    </row>
    <row r="2768" spans="1:26" x14ac:dyDescent="0.2">
      <c r="A2768" s="1">
        <v>2766</v>
      </c>
      <c r="B2768" s="2" t="s">
        <v>586</v>
      </c>
      <c r="C2768" s="129" t="str">
        <f>HYPERLINK(AA2 &amp; "/usb_stick/3dw_f2b70c1a-a183-4f2b-8c7d-62a73f96e6a1/rendering/00.obj", "1.53863954544")</f>
        <v>1.53863954544</v>
      </c>
      <c r="D2768" s="24" t="str">
        <f>HYPERLINK(AA2 &amp; "/usb_stick/3dw_f2b70c1a-a183-4f2b-8c7d-62a73f96e6a1/rendering/01.obj", "1.70331287384")</f>
        <v>1.70331287384</v>
      </c>
      <c r="E2768" s="57" t="str">
        <f>HYPERLINK(AA2 &amp; "/usb_stick/3dw_f2b70c1a-a183-4f2b-8c7d-62a73f96e6a1/rendering/02.obj", "2.6920542717")</f>
        <v>2.6920542717</v>
      </c>
      <c r="F2768" s="117" t="str">
        <f>HYPERLINK(AA2 &amp; "/usb_stick/3dw_f2b70c1a-a183-4f2b-8c7d-62a73f96e6a1/rendering/03.obj", "1.68688297272")</f>
        <v>1.68688297272</v>
      </c>
      <c r="G2768" s="60" t="str">
        <f>HYPERLINK(AA2 &amp; "/usb_stick/3dw_f2b70c1a-a183-4f2b-8c7d-62a73f96e6a1/rendering/04.obj", "1.94007921219")</f>
        <v>1.94007921219</v>
      </c>
      <c r="H2768" s="14" t="str">
        <f>HYPERLINK(AA2 &amp; "/usb_stick/3dw_f2b70c1a-a183-4f2b-8c7d-62a73f96e6a1/rendering/05.obj", "1.45469045639")</f>
        <v>1.45469045639</v>
      </c>
      <c r="I2768" s="5" t="str">
        <f>HYPERLINK(AA2 &amp; "/usb_stick/3dw_f2b70c1a-a183-4f2b-8c7d-62a73f96e6a1/rendering/06.obj", "2.2030172348")</f>
        <v>2.2030172348</v>
      </c>
      <c r="J2768" s="153" t="str">
        <f>HYPERLINK(AA2 &amp; "/usb_stick/3dw_f2b70c1a-a183-4f2b-8c7d-62a73f96e6a1/rendering/07.obj", "2.77684473991")</f>
        <v>2.77684473991</v>
      </c>
      <c r="K2768" s="5" t="str">
        <f>HYPERLINK(AA2 &amp; "/usb_stick/3dw_f2b70c1a-a183-4f2b-8c7d-62a73f96e6a1/rendering/08.obj", "1.89109253883")</f>
        <v>1.89109253883</v>
      </c>
      <c r="L2768" s="98" t="str">
        <f>HYPERLINK(AA2 &amp; "/usb_stick/3dw_f2b70c1a-a183-4f2b-8c7d-62a73f96e6a1/rendering/09.obj", "1.5755366087")</f>
        <v>1.5755366087</v>
      </c>
      <c r="M2768" s="100" t="str">
        <f>HYPERLINK(AA2 &amp; "/usb_stick/3dw_f2b70c1a-a183-4f2b-8c7d-62a73f96e6a1/rendering/10.obj", "1.4369893074")</f>
        <v>1.4369893074</v>
      </c>
      <c r="N2768" s="46" t="str">
        <f>HYPERLINK(AA2 &amp; "/usb_stick/3dw_f2b70c1a-a183-4f2b-8c7d-62a73f96e6a1/rendering/11.obj", "2.0858464241")</f>
        <v>2.0858464241</v>
      </c>
      <c r="O2768" s="193" t="str">
        <f>HYPERLINK(AA2 &amp; "/usb_stick/3dw_f2b70c1a-a183-4f2b-8c7d-62a73f96e6a1/rendering/12.obj", "1.37148368359")</f>
        <v>1.37148368359</v>
      </c>
      <c r="P2768" s="64" t="str">
        <f>HYPERLINK(AA2 &amp; "/usb_stick/3dw_f2b70c1a-a183-4f2b-8c7d-62a73f96e6a1/rendering/13.obj", "1.70940256119")</f>
        <v>1.70940256119</v>
      </c>
      <c r="Q2768" s="79" t="str">
        <f>HYPERLINK(AA2 &amp; "/usb_stick/3dw_f2b70c1a-a183-4f2b-8c7d-62a73f96e6a1/rendering/14.obj", "1.72217559814")</f>
        <v>1.72217559814</v>
      </c>
      <c r="R2768" s="20" t="str">
        <f>HYPERLINK(AA2 &amp; "/usb_stick/3dw_f2b70c1a-a183-4f2b-8c7d-62a73f96e6a1/rendering/15.obj", "4.13679504395")</f>
        <v>4.13679504395</v>
      </c>
      <c r="S2768" s="24" t="str">
        <f>HYPERLINK(AA2 &amp; "/usb_stick/3dw_f2b70c1a-a183-4f2b-8c7d-62a73f96e6a1/rendering/16.obj", "1.70468664169")</f>
        <v>1.70468664169</v>
      </c>
      <c r="T2768" s="84" t="str">
        <f>HYPERLINK(AA2 &amp; "/usb_stick/3dw_f2b70c1a-a183-4f2b-8c7d-62a73f96e6a1/rendering/17.obj", "1.74583983421")</f>
        <v>1.74583983421</v>
      </c>
      <c r="U2768" s="173" t="str">
        <f>HYPERLINK(AA2 &amp; "/usb_stick/3dw_f2b70c1a-a183-4f2b-8c7d-62a73f96e6a1/rendering/18.obj", "3.45831489563")</f>
        <v>3.45831489563</v>
      </c>
      <c r="V2768" s="73" t="str">
        <f>HYPERLINK(AA2 &amp; "/usb_stick/3dw_f2b70c1a-a183-4f2b-8c7d-62a73f96e6a1/rendering/19.obj", "2.12084031105")</f>
        <v>2.12084031105</v>
      </c>
      <c r="W2768" s="12" t="s">
        <v>30</v>
      </c>
      <c r="X2768" s="13">
        <v>2.0477262377738952</v>
      </c>
      <c r="Y2768" s="13">
        <v>0.69677797064960756</v>
      </c>
      <c r="Z2768" s="185">
        <v>0.34026910326015181</v>
      </c>
    </row>
    <row r="2769" spans="1:26" x14ac:dyDescent="0.2">
      <c r="A2769" s="1">
        <v>2767</v>
      </c>
      <c r="B2769" s="2" t="s">
        <v>586</v>
      </c>
      <c r="C2769" s="27" t="str">
        <f>HYPERLINK(AB2 &amp; "/usb_stick/3dw_f2b70c1a-a183-4f2b-8c7d-62a73f96e6a1/rendering/00.obj", "1.66124099731")</f>
        <v>1.66124099731</v>
      </c>
      <c r="D2769" s="27" t="str">
        <f>HYPERLINK(AB2 &amp; "/usb_stick/3dw_f2b70c1a-a183-4f2b-8c7d-62a73f96e6a1/rendering/01.obj", "1.66350646973")</f>
        <v>1.66350646973</v>
      </c>
      <c r="E2769" s="94" t="str">
        <f>HYPERLINK(AB2 &amp; "/usb_stick/3dw_f2b70c1a-a183-4f2b-8c7d-62a73f96e6a1/rendering/02.obj", "1.65274505615")</f>
        <v>1.65274505615</v>
      </c>
      <c r="F2769" s="34" t="str">
        <f>HYPERLINK(AB2 &amp; "/usb_stick/3dw_f2b70c1a-a183-4f2b-8c7d-62a73f96e6a1/rendering/03.obj", "1.70196716309")</f>
        <v>1.70196716309</v>
      </c>
      <c r="G2769" s="39" t="str">
        <f>HYPERLINK(AB2 &amp; "/usb_stick/3dw_f2b70c1a-a183-4f2b-8c7d-62a73f96e6a1/rendering/04.obj", "1.94113067627")</f>
        <v>1.94113067627</v>
      </c>
      <c r="H2769" s="69" t="str">
        <f>HYPERLINK(AB2 &amp; "/usb_stick/3dw_f2b70c1a-a183-4f2b-8c7d-62a73f96e6a1/rendering/05.obj", "1.84095306396")</f>
        <v>1.84095306396</v>
      </c>
      <c r="I2769" s="51" t="str">
        <f>HYPERLINK(AB2 &amp; "/usb_stick/3dw_f2b70c1a-a183-4f2b-8c7d-62a73f96e6a1/rendering/06.obj", "1.64331268311")</f>
        <v>1.64331268311</v>
      </c>
      <c r="J2769" s="6" t="str">
        <f>HYPERLINK(AB2 &amp; "/usb_stick/3dw_f2b70c1a-a183-4f2b-8c7d-62a73f96e6a1/rendering/07.obj", "1.70318389893")</f>
        <v>1.70318389893</v>
      </c>
      <c r="K2769" s="30" t="str">
        <f>HYPERLINK(AB2 &amp; "/usb_stick/3dw_f2b70c1a-a183-4f2b-8c7d-62a73f96e6a1/rendering/08.obj", "1.79610336304")</f>
        <v>1.79610336304</v>
      </c>
      <c r="L2769" s="47" t="str">
        <f>HYPERLINK(AB2 &amp; "/usb_stick/3dw_f2b70c1a-a183-4f2b-8c7d-62a73f96e6a1/rendering/09.obj", "1.77531829834")</f>
        <v>1.77531829834</v>
      </c>
      <c r="M2769" s="74" t="str">
        <f>HYPERLINK(AB2 &amp; "/usb_stick/3dw_f2b70c1a-a183-4f2b-8c7d-62a73f96e6a1/rendering/10.obj", "1.81514129639")</f>
        <v>1.81514129639</v>
      </c>
      <c r="N2769" s="91" t="str">
        <f>HYPERLINK(AB2 &amp; "/usb_stick/3dw_f2b70c1a-a183-4f2b-8c7d-62a73f96e6a1/rendering/11.obj", "1.83272903442")</f>
        <v>1.83272903442</v>
      </c>
      <c r="O2769" s="73" t="str">
        <f>HYPERLINK(AB2 &amp; "/usb_stick/3dw_f2b70c1a-a183-4f2b-8c7d-62a73f96e6a1/rendering/12.obj", "1.85422393799")</f>
        <v>1.85422393799</v>
      </c>
      <c r="P2769" s="30" t="str">
        <f>HYPERLINK(AB2 &amp; "/usb_stick/3dw_f2b70c1a-a183-4f2b-8c7d-62a73f96e6a1/rendering/13.obj", "1.79621383667")</f>
        <v>1.79621383667</v>
      </c>
      <c r="Q2769" s="91" t="str">
        <f>HYPERLINK(AB2 &amp; "/usb_stick/3dw_f2b70c1a-a183-4f2b-8c7d-62a73f96e6a1/rendering/14.obj", "1.73956726074")</f>
        <v>1.73956726074</v>
      </c>
      <c r="R2769" s="51" t="str">
        <f>HYPERLINK(AB2 &amp; "/usb_stick/3dw_f2b70c1a-a183-4f2b-8c7d-62a73f96e6a1/rendering/15.obj", "1.93232849121")</f>
        <v>1.93232849121</v>
      </c>
      <c r="S2769" s="68" t="str">
        <f>HYPERLINK(AB2 &amp; "/usb_stick/3dw_f2b70c1a-a183-4f2b-8c7d-62a73f96e6a1/rendering/16.obj", "1.7110269165")</f>
        <v>1.7110269165</v>
      </c>
      <c r="T2769" s="92" t="str">
        <f>HYPERLINK(AB2 &amp; "/usb_stick/3dw_f2b70c1a-a183-4f2b-8c7d-62a73f96e6a1/rendering/17.obj", "2.00867279053")</f>
        <v>2.00867279053</v>
      </c>
      <c r="U2769" s="13" t="str">
        <f>HYPERLINK(AB2 &amp; "/usb_stick/3dw_f2b70c1a-a183-4f2b-8c7d-62a73f96e6a1/rendering/18.obj", "1.79156448364")</f>
        <v>1.79156448364</v>
      </c>
      <c r="V2769" s="60" t="str">
        <f>HYPERLINK(AB2 &amp; "/usb_stick/3dw_f2b70c1a-a183-4f2b-8c7d-62a73f96e6a1/rendering/19.obj", "1.88208282471")</f>
        <v>1.88208282471</v>
      </c>
      <c r="W2769" s="12" t="s">
        <v>31</v>
      </c>
      <c r="X2769" s="13">
        <v>1.787150627136231</v>
      </c>
      <c r="Y2769" s="13">
        <v>0.1014169099365772</v>
      </c>
      <c r="Z2769" s="35">
        <v>5.6747824384053083E-2</v>
      </c>
    </row>
    <row r="2770" spans="1:26" x14ac:dyDescent="0.2">
      <c r="A2770" s="1">
        <v>2768</v>
      </c>
      <c r="B2770" s="2" t="s">
        <v>586</v>
      </c>
      <c r="C2770" s="41" t="str">
        <f>HYPERLINK(AB2 &amp; "/usb_stick/3dw_f2b70c1a-a183-4f2b-8c7d-62a73f96e6a1/rendering/00.obj", "1.47626519203")</f>
        <v>1.47626519203</v>
      </c>
      <c r="D2770" s="26" t="str">
        <f>HYPERLINK(AB2 &amp; "/usb_stick/3dw_f2b70c1a-a183-4f2b-8c7d-62a73f96e6a1/rendering/01.obj", "1.48046576977")</f>
        <v>1.48046576977</v>
      </c>
      <c r="E2770" s="84" t="str">
        <f>HYPERLINK(AB2 &amp; "/usb_stick/3dw_f2b70c1a-a183-4f2b-8c7d-62a73f96e6a1/rendering/02.obj", "1.81270468235")</f>
        <v>1.81270468235</v>
      </c>
      <c r="F2770" s="69" t="str">
        <f>HYPERLINK(AB2 &amp; "/usb_stick/3dw_f2b70c1a-a183-4f2b-8c7d-62a73f96e6a1/rendering/03.obj", "1.53479492664")</f>
        <v>1.53479492664</v>
      </c>
      <c r="G2770" s="95" t="str">
        <f>HYPERLINK(AB2 &amp; "/usb_stick/3dw_f2b70c1a-a183-4f2b-8c7d-62a73f96e6a1/rendering/04.obj", "2.03021550179")</f>
        <v>2.03021550179</v>
      </c>
      <c r="H2770" s="42" t="str">
        <f>HYPERLINK(AB2 &amp; "/usb_stick/3dw_f2b70c1a-a183-4f2b-8c7d-62a73f96e6a1/rendering/05.obj", "1.36636471748")</f>
        <v>1.36636471748</v>
      </c>
      <c r="I2770" s="31" t="str">
        <f>HYPERLINK(AB2 &amp; "/usb_stick/3dw_f2b70c1a-a183-4f2b-8c7d-62a73f96e6a1/rendering/06.obj", "1.33550798893")</f>
        <v>1.33550798893</v>
      </c>
      <c r="J2770" s="37" t="str">
        <f>HYPERLINK(AB2 &amp; "/usb_stick/3dw_f2b70c1a-a183-4f2b-8c7d-62a73f96e6a1/rendering/07.obj", "1.85912966728")</f>
        <v>1.85912966728</v>
      </c>
      <c r="K2770" s="70" t="str">
        <f>HYPERLINK(AB2 &amp; "/usb_stick/3dw_f2b70c1a-a183-4f2b-8c7d-62a73f96e6a1/rendering/08.obj", "1.38055837154")</f>
        <v>1.38055837154</v>
      </c>
      <c r="L2770" s="63" t="str">
        <f>HYPERLINK(AB2 &amp; "/usb_stick/3dw_f2b70c1a-a183-4f2b-8c7d-62a73f96e6a1/rendering/09.obj", "1.39448785782")</f>
        <v>1.39448785782</v>
      </c>
      <c r="M2770" s="35" t="str">
        <f>HYPERLINK(AB2 &amp; "/usb_stick/3dw_f2b70c1a-a183-4f2b-8c7d-62a73f96e6a1/rendering/10.obj", "1.49276351929")</f>
        <v>1.49276351929</v>
      </c>
      <c r="N2770" s="56" t="str">
        <f>HYPERLINK(AB2 &amp; "/usb_stick/3dw_f2b70c1a-a183-4f2b-8c7d-62a73f96e6a1/rendering/11.obj", "2.07282400131")</f>
        <v>2.07282400131</v>
      </c>
      <c r="O2770" s="34" t="str">
        <f>HYPERLINK(AB2 &amp; "/usb_stick/3dw_f2b70c1a-a183-4f2b-8c7d-62a73f96e6a1/rendering/12.obj", "1.50624334812")</f>
        <v>1.50624334812</v>
      </c>
      <c r="P2770" s="133" t="str">
        <f>HYPERLINK(AB2 &amp; "/usb_stick/3dw_f2b70c1a-a183-4f2b-8c7d-62a73f96e6a1/rendering/13.obj", "1.42037439346")</f>
        <v>1.42037439346</v>
      </c>
      <c r="Q2770" s="72" t="str">
        <f>HYPERLINK(AB2 &amp; "/usb_stick/3dw_f2b70c1a-a183-4f2b-8c7d-62a73f96e6a1/rendering/14.obj", "1.63760721684")</f>
        <v>1.63760721684</v>
      </c>
      <c r="R2770" s="78" t="str">
        <f>HYPERLINK(AB2 &amp; "/usb_stick/3dw_f2b70c1a-a183-4f2b-8c7d-62a73f96e6a1/rendering/15.obj", "1.48731422424")</f>
        <v>1.48731422424</v>
      </c>
      <c r="S2770" s="79" t="str">
        <f>HYPERLINK(AB2 &amp; "/usb_stick/3dw_f2b70c1a-a183-4f2b-8c7d-62a73f96e6a1/rendering/16.obj", "1.3315820694")</f>
        <v>1.3315820694</v>
      </c>
      <c r="T2770" s="5" t="str">
        <f>HYPERLINK(AB2 &amp; "/usb_stick/3dw_f2b70c1a-a183-4f2b-8c7d-62a73f96e6a1/rendering/17.obj", "1.46117639542")</f>
        <v>1.46117639542</v>
      </c>
      <c r="U2770" s="101" t="str">
        <f>HYPERLINK(AB2 &amp; "/usb_stick/3dw_f2b70c1a-a183-4f2b-8c7d-62a73f96e6a1/rendering/18.obj", "2.18051624298")</f>
        <v>2.18051624298</v>
      </c>
      <c r="V2770" s="28" t="str">
        <f>HYPERLINK(AB2 &amp; "/usb_stick/3dw_f2b70c1a-a183-4f2b-8c7d-62a73f96e6a1/rendering/19.obj", "1.40939891338")</f>
        <v>1.40939891338</v>
      </c>
      <c r="W2770" s="12" t="s">
        <v>32</v>
      </c>
      <c r="X2770" s="13">
        <v>1.5835147500038149</v>
      </c>
      <c r="Y2770" s="13">
        <v>0.25452914026544748</v>
      </c>
      <c r="Z2770" s="66">
        <v>0.16073682942633419</v>
      </c>
    </row>
    <row r="2771" spans="1:26" x14ac:dyDescent="0.2">
      <c r="A2771" s="1">
        <v>2769</v>
      </c>
      <c r="B2771" s="2" t="s">
        <v>586</v>
      </c>
      <c r="C2771" s="13" t="str">
        <f>HYPERLINK(AC2 &amp; "/usb_stick/3dw_f2b70c1a-a183-4f2b-8c7d-62a73f96e6a1/rendering/00.xyz", "0.0")</f>
        <v>0.0</v>
      </c>
      <c r="D2771" s="13" t="str">
        <f>HYPERLINK(AC2 &amp; "/usb_stick/3dw_f2b70c1a-a183-4f2b-8c7d-62a73f96e6a1/rendering/01.xyz", "0.0")</f>
        <v>0.0</v>
      </c>
      <c r="E2771" s="13" t="str">
        <f>HYPERLINK(AC2 &amp; "/usb_stick/3dw_f2b70c1a-a183-4f2b-8c7d-62a73f96e6a1/rendering/02.xyz", "0.0")</f>
        <v>0.0</v>
      </c>
      <c r="F2771" s="13" t="str">
        <f>HYPERLINK(AC2 &amp; "/usb_stick/3dw_f2b70c1a-a183-4f2b-8c7d-62a73f96e6a1/rendering/03.xyz", "0.0")</f>
        <v>0.0</v>
      </c>
      <c r="G2771" s="13" t="str">
        <f>HYPERLINK(AC2 &amp; "/usb_stick/3dw_f2b70c1a-a183-4f2b-8c7d-62a73f96e6a1/rendering/04.xyz", "0.0")</f>
        <v>0.0</v>
      </c>
      <c r="H2771" s="13" t="str">
        <f>HYPERLINK(AC2 &amp; "/usb_stick/3dw_f2b70c1a-a183-4f2b-8c7d-62a73f96e6a1/rendering/05.xyz", "0.0")</f>
        <v>0.0</v>
      </c>
      <c r="I2771" s="13" t="str">
        <f>HYPERLINK(AC2 &amp; "/usb_stick/3dw_f2b70c1a-a183-4f2b-8c7d-62a73f96e6a1/rendering/06.xyz", "0.0")</f>
        <v>0.0</v>
      </c>
      <c r="J2771" s="13" t="str">
        <f>HYPERLINK(AC2 &amp; "/usb_stick/3dw_f2b70c1a-a183-4f2b-8c7d-62a73f96e6a1/rendering/07.xyz", "0.0")</f>
        <v>0.0</v>
      </c>
      <c r="K2771" s="13" t="str">
        <f>HYPERLINK(AC2 &amp; "/usb_stick/3dw_f2b70c1a-a183-4f2b-8c7d-62a73f96e6a1/rendering/08.xyz", "0.0")</f>
        <v>0.0</v>
      </c>
      <c r="L2771" s="13" t="str">
        <f>HYPERLINK(AC2 &amp; "/usb_stick/3dw_f2b70c1a-a183-4f2b-8c7d-62a73f96e6a1/rendering/09.xyz", "0.0")</f>
        <v>0.0</v>
      </c>
      <c r="M2771" s="13" t="str">
        <f>HYPERLINK(AC2 &amp; "/usb_stick/3dw_f2b70c1a-a183-4f2b-8c7d-62a73f96e6a1/rendering/10.xyz", "0.0")</f>
        <v>0.0</v>
      </c>
      <c r="N2771" s="13" t="str">
        <f>HYPERLINK(AC2 &amp; "/usb_stick/3dw_f2b70c1a-a183-4f2b-8c7d-62a73f96e6a1/rendering/11.xyz", "0.0")</f>
        <v>0.0</v>
      </c>
      <c r="O2771" s="13" t="str">
        <f>HYPERLINK(AC2 &amp; "/usb_stick/3dw_f2b70c1a-a183-4f2b-8c7d-62a73f96e6a1/rendering/12.xyz", "0.0")</f>
        <v>0.0</v>
      </c>
      <c r="P2771" s="13" t="str">
        <f>HYPERLINK(AC2 &amp; "/usb_stick/3dw_f2b70c1a-a183-4f2b-8c7d-62a73f96e6a1/rendering/13.xyz", "0.0")</f>
        <v>0.0</v>
      </c>
      <c r="Q2771" s="13" t="str">
        <f>HYPERLINK(AC2 &amp; "/usb_stick/3dw_f2b70c1a-a183-4f2b-8c7d-62a73f96e6a1/rendering/14.xyz", "0.0")</f>
        <v>0.0</v>
      </c>
      <c r="R2771" s="13" t="str">
        <f>HYPERLINK(AC2 &amp; "/usb_stick/3dw_f2b70c1a-a183-4f2b-8c7d-62a73f96e6a1/rendering/15.xyz", "0.0")</f>
        <v>0.0</v>
      </c>
      <c r="S2771" s="13" t="str">
        <f>HYPERLINK(AC2 &amp; "/usb_stick/3dw_f2b70c1a-a183-4f2b-8c7d-62a73f96e6a1/rendering/16.xyz", "0.0")</f>
        <v>0.0</v>
      </c>
      <c r="T2771" s="13" t="str">
        <f>HYPERLINK(AC2 &amp; "/usb_stick/3dw_f2b70c1a-a183-4f2b-8c7d-62a73f96e6a1/rendering/17.xyz", "0.0")</f>
        <v>0.0</v>
      </c>
      <c r="U2771" s="13" t="str">
        <f>HYPERLINK(AC2 &amp; "/usb_stick/3dw_f2b70c1a-a183-4f2b-8c7d-62a73f96e6a1/rendering/18.xyz", "0.0")</f>
        <v>0.0</v>
      </c>
      <c r="V2771" s="13" t="str">
        <f>HYPERLINK(AC2 &amp; "/usb_stick/3dw_f2b70c1a-a183-4f2b-8c7d-62a73f96e6a1/rendering/19.xyz", "0.0")</f>
        <v>0.0</v>
      </c>
      <c r="W2771" s="12" t="s">
        <v>33</v>
      </c>
      <c r="X2771" s="13">
        <v>0</v>
      </c>
      <c r="Y2771" s="13">
        <v>0</v>
      </c>
      <c r="Z2771" s="13">
        <v>0</v>
      </c>
    </row>
    <row r="2772" spans="1:26" x14ac:dyDescent="0.2">
      <c r="A2772" s="1">
        <v>2770</v>
      </c>
      <c r="B2772" s="2" t="s">
        <v>587</v>
      </c>
      <c r="C2772" s="119" t="str">
        <f>HYPERLINK(AA2 &amp; "/usb_stick/3dw_faf3fad5-1a5f-4944-9d6f-0ece707d4152/rendering/00.obj", "3.89101898193")</f>
        <v>3.89101898193</v>
      </c>
      <c r="D2772" s="159" t="str">
        <f>HYPERLINK(AA2 &amp; "/usb_stick/3dw_faf3fad5-1a5f-4944-9d6f-0ece707d4152/rendering/01.obj", "7.78957702637")</f>
        <v>7.78957702637</v>
      </c>
      <c r="E2772" s="194" t="str">
        <f>HYPERLINK(AA2 &amp; "/usb_stick/3dw_faf3fad5-1a5f-4944-9d6f-0ece707d4152/rendering/02.obj", "2.0005758667")</f>
        <v>2.0005758667</v>
      </c>
      <c r="F2772" s="20" t="str">
        <f>HYPERLINK(AA2 &amp; "/usb_stick/3dw_faf3fad5-1a5f-4944-9d6f-0ece707d4152/rendering/03.obj", "12.9812341309")</f>
        <v>12.9812341309</v>
      </c>
      <c r="G2772" s="214" t="str">
        <f>HYPERLINK(AA2 &amp; "/usb_stick/3dw_faf3fad5-1a5f-4944-9d6f-0ece707d4152/rendering/04.obj", "2.02819580078")</f>
        <v>2.02819580078</v>
      </c>
      <c r="H2772" s="193" t="str">
        <f>HYPERLINK(AA2 &amp; "/usb_stick/3dw_faf3fad5-1a5f-4944-9d6f-0ece707d4152/rendering/05.obj", "7.0519720459")</f>
        <v>7.0519720459</v>
      </c>
      <c r="I2772" s="194" t="str">
        <f>HYPERLINK(AA2 &amp; "/usb_stick/3dw_faf3fad5-1a5f-4944-9d6f-0ece707d4152/rendering/06.obj", "1.99928894043")</f>
        <v>1.99928894043</v>
      </c>
      <c r="J2772" s="20" t="str">
        <f>HYPERLINK(AA2 &amp; "/usb_stick/3dw_faf3fad5-1a5f-4944-9d6f-0ece707d4152/rendering/07.obj", "0.753300628662")</f>
        <v>0.753300628662</v>
      </c>
      <c r="K2772" s="57" t="str">
        <f>HYPERLINK(AA2 &amp; "/usb_stick/3dw_faf3fad5-1a5f-4944-9d6f-0ece707d4152/rendering/08.obj", "3.62966918945")</f>
        <v>3.62966918945</v>
      </c>
      <c r="L2772" s="20" t="str">
        <f>HYPERLINK(AA2 &amp; "/usb_stick/3dw_faf3fad5-1a5f-4944-9d6f-0ece707d4152/rendering/09.obj", "0.784129867554")</f>
        <v>0.784129867554</v>
      </c>
      <c r="M2772" s="128" t="str">
        <f>HYPERLINK(AA2 &amp; "/usb_stick/3dw_faf3fad5-1a5f-4944-9d6f-0ece707d4152/rendering/10.obj", "3.22700500488")</f>
        <v>3.22700500488</v>
      </c>
      <c r="N2772" s="17" t="str">
        <f>HYPERLINK(AA2 &amp; "/usb_stick/3dw_faf3fad5-1a5f-4944-9d6f-0ece707d4152/rendering/11.obj", "5.40951965332")</f>
        <v>5.40951965332</v>
      </c>
      <c r="O2772" s="41" t="str">
        <f>HYPERLINK(AA2 &amp; "/usb_stick/3dw_faf3fad5-1a5f-4944-9d6f-0ece707d4152/rendering/12.obj", "4.94996398926")</f>
        <v>4.94996398926</v>
      </c>
      <c r="P2772" s="38" t="str">
        <f>HYPERLINK(AA2 &amp; "/usb_stick/3dw_faf3fad5-1a5f-4944-9d6f-0ece707d4152/rendering/13.obj", "5.78147766113")</f>
        <v>5.78147766113</v>
      </c>
      <c r="Q2772" s="20" t="str">
        <f>HYPERLINK(AA2 &amp; "/usb_stick/3dw_faf3fad5-1a5f-4944-9d6f-0ece707d4152/rendering/14.obj", "10.2408032227")</f>
        <v>10.2408032227</v>
      </c>
      <c r="R2772" s="20" t="str">
        <f>HYPERLINK(AA2 &amp; "/usb_stick/3dw_faf3fad5-1a5f-4944-9d6f-0ece707d4152/rendering/15.obj", "16.0593603516")</f>
        <v>16.0593603516</v>
      </c>
      <c r="S2772" s="177" t="str">
        <f>HYPERLINK(AA2 &amp; "/usb_stick/3dw_faf3fad5-1a5f-4944-9d6f-0ece707d4152/rendering/16.obj", "2.45913909912")</f>
        <v>2.45913909912</v>
      </c>
      <c r="T2772" s="82" t="str">
        <f>HYPERLINK(AA2 &amp; "/usb_stick/3dw_faf3fad5-1a5f-4944-9d6f-0ece707d4152/rendering/17.obj", "4.20944152832")</f>
        <v>4.20944152832</v>
      </c>
      <c r="U2772" s="18" t="str">
        <f>HYPERLINK(AA2 &amp; "/usb_stick/3dw_faf3fad5-1a5f-4944-9d6f-0ece707d4152/rendering/18.obj", "8.3659362793")</f>
        <v>8.3659362793</v>
      </c>
      <c r="V2772" s="195" t="str">
        <f>HYPERLINK(AA2 &amp; "/usb_stick/3dw_faf3fad5-1a5f-4944-9d6f-0ece707d4152/rendering/19.obj", "2.4014630127")</f>
        <v>2.4014630127</v>
      </c>
      <c r="W2772" s="12" t="s">
        <v>29</v>
      </c>
      <c r="X2772" s="13">
        <v>5.3006536140441893</v>
      </c>
      <c r="Y2772" s="13">
        <v>3.9905854608945019</v>
      </c>
      <c r="Z2772" s="183">
        <v>0.75284780924400807</v>
      </c>
    </row>
    <row r="2773" spans="1:26" x14ac:dyDescent="0.2">
      <c r="A2773" s="1">
        <v>2771</v>
      </c>
      <c r="B2773" s="2" t="s">
        <v>587</v>
      </c>
      <c r="C2773" s="236" t="str">
        <f>HYPERLINK(AA2 &amp; "/usb_stick/3dw_faf3fad5-1a5f-4944-9d6f-0ece707d4152/rendering/00.obj", "21.0698356628")</f>
        <v>21.0698356628</v>
      </c>
      <c r="D2773" s="10" t="str">
        <f>HYPERLINK(AA2 &amp; "/usb_stick/3dw_faf3fad5-1a5f-4944-9d6f-0ece707d4152/rendering/01.obj", "85.5227279663")</f>
        <v>85.5227279663</v>
      </c>
      <c r="E2773" s="20" t="str">
        <f>HYPERLINK(AA2 &amp; "/usb_stick/3dw_faf3fad5-1a5f-4944-9d6f-0ece707d4152/rendering/02.obj", "3.91433668137")</f>
        <v>3.91433668137</v>
      </c>
      <c r="F2773" s="20" t="str">
        <f>HYPERLINK(AA2 &amp; "/usb_stick/3dw_faf3fad5-1a5f-4944-9d6f-0ece707d4152/rendering/03.obj", "347.860748291")</f>
        <v>347.860748291</v>
      </c>
      <c r="G2773" s="20" t="str">
        <f>HYPERLINK(AA2 &amp; "/usb_stick/3dw_faf3fad5-1a5f-4944-9d6f-0ece707d4152/rendering/04.obj", "4.82091999054")</f>
        <v>4.82091999054</v>
      </c>
      <c r="H2773" s="10" t="str">
        <f>HYPERLINK(AA2 &amp; "/usb_stick/3dw_faf3fad5-1a5f-4944-9d6f-0ece707d4152/rendering/05.obj", "76.5355300903")</f>
        <v>76.5355300903</v>
      </c>
      <c r="I2773" s="20" t="str">
        <f>HYPERLINK(AA2 &amp; "/usb_stick/3dw_faf3fad5-1a5f-4944-9d6f-0ece707d4152/rendering/06.obj", "3.60516285896")</f>
        <v>3.60516285896</v>
      </c>
      <c r="J2773" s="20" t="str">
        <f>HYPERLINK(AA2 &amp; "/usb_stick/3dw_faf3fad5-1a5f-4944-9d6f-0ece707d4152/rendering/07.obj", "1.24945867062")</f>
        <v>1.24945867062</v>
      </c>
      <c r="K2773" s="20" t="str">
        <f>HYPERLINK(AA2 &amp; "/usb_stick/3dw_faf3fad5-1a5f-4944-9d6f-0ece707d4152/rendering/08.obj", "12.7141666412")</f>
        <v>12.7141666412</v>
      </c>
      <c r="L2773" s="20" t="str">
        <f>HYPERLINK(AA2 &amp; "/usb_stick/3dw_faf3fad5-1a5f-4944-9d6f-0ece707d4152/rendering/09.obj", "1.35820543766")</f>
        <v>1.35820543766</v>
      </c>
      <c r="M2773" s="20" t="str">
        <f>HYPERLINK(AA2 &amp; "/usb_stick/3dw_faf3fad5-1a5f-4944-9d6f-0ece707d4152/rendering/10.obj", "9.38454151154")</f>
        <v>9.38454151154</v>
      </c>
      <c r="N2773" s="214" t="str">
        <f>HYPERLINK(AA2 &amp; "/usb_stick/3dw_faf3fad5-1a5f-4944-9d6f-0ece707d4152/rendering/11.obj", "31.1462612152")</f>
        <v>31.1462612152</v>
      </c>
      <c r="O2773" s="178" t="str">
        <f>HYPERLINK(AA2 &amp; "/usb_stick/3dw_faf3fad5-1a5f-4944-9d6f-0ece707d4152/rendering/12.obj", "28.6112499237")</f>
        <v>28.6112499237</v>
      </c>
      <c r="P2773" s="101" t="str">
        <f>HYPERLINK(AA2 &amp; "/usb_stick/3dw_faf3fad5-1a5f-4944-9d6f-0ece707d4152/rendering/13.obj", "50.4502334595")</f>
        <v>50.4502334595</v>
      </c>
      <c r="Q2773" s="20" t="str">
        <f>HYPERLINK(AA2 &amp; "/usb_stick/3dw_faf3fad5-1a5f-4944-9d6f-0ece707d4152/rendering/14.obj", "204.28276062")</f>
        <v>204.28276062</v>
      </c>
      <c r="R2773" s="20" t="str">
        <f>HYPERLINK(AA2 &amp; "/usb_stick/3dw_faf3fad5-1a5f-4944-9d6f-0ece707d4152/rendering/15.obj", "550.273742676")</f>
        <v>550.273742676</v>
      </c>
      <c r="S2773" s="20" t="str">
        <f>HYPERLINK(AA2 &amp; "/usb_stick/3dw_faf3fad5-1a5f-4944-9d6f-0ece707d4152/rendering/16.obj", "5.62370491028")</f>
        <v>5.62370491028</v>
      </c>
      <c r="T2773" s="190" t="str">
        <f>HYPERLINK(AA2 &amp; "/usb_stick/3dw_faf3fad5-1a5f-4944-9d6f-0ece707d4152/rendering/17.obj", "24.6812267303")</f>
        <v>24.6812267303</v>
      </c>
      <c r="U2773" s="20" t="str">
        <f>HYPERLINK(AA2 &amp; "/usb_stick/3dw_faf3fad5-1a5f-4944-9d6f-0ece707d4152/rendering/18.obj", "148.821960449")</f>
        <v>148.821960449</v>
      </c>
      <c r="V2773" s="20" t="str">
        <f>HYPERLINK(AA2 &amp; "/usb_stick/3dw_faf3fad5-1a5f-4944-9d6f-0ece707d4152/rendering/19.obj", "7.37699079514")</f>
        <v>7.37699079514</v>
      </c>
      <c r="W2773" s="12" t="s">
        <v>30</v>
      </c>
      <c r="X2773" s="13">
        <v>80.965188229084021</v>
      </c>
      <c r="Y2773" s="13">
        <v>137.02737989361549</v>
      </c>
      <c r="Z2773" s="20">
        <v>1.692423409254707</v>
      </c>
    </row>
    <row r="2774" spans="1:26" x14ac:dyDescent="0.2">
      <c r="A2774" s="1">
        <v>2772</v>
      </c>
      <c r="B2774" s="2" t="s">
        <v>587</v>
      </c>
      <c r="C2774" s="114" t="str">
        <f>HYPERLINK(AB2 &amp; "/usb_stick/3dw_faf3fad5-1a5f-4944-9d6f-0ece707d4152/rendering/00.obj", "2.85158294678")</f>
        <v>2.85158294678</v>
      </c>
      <c r="D2774" s="20" t="str">
        <f>HYPERLINK(AB2 &amp; "/usb_stick/3dw_faf3fad5-1a5f-4944-9d6f-0ece707d4152/rendering/01.obj", "1.01023132324")</f>
        <v>1.01023132324</v>
      </c>
      <c r="E2774" s="8" t="str">
        <f>HYPERLINK(AB2 &amp; "/usb_stick/3dw_faf3fad5-1a5f-4944-9d6f-0ece707d4152/rendering/02.obj", "4.51945281982")</f>
        <v>4.51945281982</v>
      </c>
      <c r="F2774" s="20" t="str">
        <f>HYPERLINK(AB2 &amp; "/usb_stick/3dw_faf3fad5-1a5f-4944-9d6f-0ece707d4152/rendering/03.obj", "12.6119909668")</f>
        <v>12.6119909668</v>
      </c>
      <c r="G2774" s="228" t="str">
        <f>HYPERLINK(AB2 &amp; "/usb_stick/3dw_faf3fad5-1a5f-4944-9d6f-0ece707d4152/rendering/04.obj", "2.47005554199")</f>
        <v>2.47005554199</v>
      </c>
      <c r="H2774" s="21" t="str">
        <f>HYPERLINK(AB2 &amp; "/usb_stick/3dw_faf3fad5-1a5f-4944-9d6f-0ece707d4152/rendering/05.obj", "8.18801147461")</f>
        <v>8.18801147461</v>
      </c>
      <c r="I2774" s="44" t="str">
        <f>HYPERLINK(AB2 &amp; "/usb_stick/3dw_faf3fad5-1a5f-4944-9d6f-0ece707d4152/rendering/06.obj", "6.30837402344")</f>
        <v>6.30837402344</v>
      </c>
      <c r="J2774" s="41" t="str">
        <f>HYPERLINK(AB2 &amp; "/usb_stick/3dw_faf3fad5-1a5f-4944-9d6f-0ece707d4152/rendering/07.obj", "5.6181237793")</f>
        <v>5.6181237793</v>
      </c>
      <c r="K2774" s="178" t="str">
        <f>HYPERLINK(AB2 &amp; "/usb_stick/3dw_faf3fad5-1a5f-4944-9d6f-0ece707d4152/rendering/08.obj", "1.85693908691")</f>
        <v>1.85693908691</v>
      </c>
      <c r="L2774" s="135" t="str">
        <f>HYPERLINK(AB2 &amp; "/usb_stick/3dw_faf3fad5-1a5f-4944-9d6f-0ece707d4152/rendering/09.obj", "3.91812591553")</f>
        <v>3.91812591553</v>
      </c>
      <c r="M2774" s="20" t="str">
        <f>HYPERLINK(AB2 &amp; "/usb_stick/3dw_faf3fad5-1a5f-4944-9d6f-0ece707d4152/rendering/10.obj", "0.88303894043")</f>
        <v>0.88303894043</v>
      </c>
      <c r="N2774" s="219" t="str">
        <f>HYPERLINK(AB2 &amp; "/usb_stick/3dw_faf3fad5-1a5f-4944-9d6f-0ece707d4152/rendering/11.obj", "1.59348831177")</f>
        <v>1.59348831177</v>
      </c>
      <c r="O2774" s="20" t="str">
        <f>HYPERLINK(AB2 &amp; "/usb_stick/3dw_faf3fad5-1a5f-4944-9d6f-0ece707d4152/rendering/12.obj", "9.50074829102")</f>
        <v>9.50074829102</v>
      </c>
      <c r="P2774" s="130" t="str">
        <f>HYPERLINK(AB2 &amp; "/usb_stick/3dw_faf3fad5-1a5f-4944-9d6f-0ece707d4152/rendering/13.obj", "2.90523803711")</f>
        <v>2.90523803711</v>
      </c>
      <c r="Q2774" s="211" t="str">
        <f>HYPERLINK(AB2 &amp; "/usb_stick/3dw_faf3fad5-1a5f-4944-9d6f-0ece707d4152/rendering/14.obj", "9.31939697266")</f>
        <v>9.31939697266</v>
      </c>
      <c r="R2774" s="207" t="str">
        <f>HYPERLINK(AB2 &amp; "/usb_stick/3dw_faf3fad5-1a5f-4944-9d6f-0ece707d4152/rendering/15.obj", "9.11598449707")</f>
        <v>9.11598449707</v>
      </c>
      <c r="S2774" s="20" t="str">
        <f>HYPERLINK(AB2 &amp; "/usb_stick/3dw_faf3fad5-1a5f-4944-9d6f-0ece707d4152/rendering/16.obj", "0.98237701416")</f>
        <v>0.98237701416</v>
      </c>
      <c r="T2774" s="151" t="str">
        <f>HYPERLINK(AB2 &amp; "/usb_stick/3dw_faf3fad5-1a5f-4944-9d6f-0ece707d4152/rendering/17.obj", "7.15818969727")</f>
        <v>7.15818969727</v>
      </c>
      <c r="U2774" s="4" t="str">
        <f>HYPERLINK(AB2 &amp; "/usb_stick/3dw_faf3fad5-1a5f-4944-9d6f-0ece707d4152/rendering/18.obj", "6.76049194336")</f>
        <v>6.76049194336</v>
      </c>
      <c r="V2774" s="147" t="str">
        <f>HYPERLINK(AB2 &amp; "/usb_stick/3dw_faf3fad5-1a5f-4944-9d6f-0ece707d4152/rendering/19.obj", "7.84406738281")</f>
        <v>7.84406738281</v>
      </c>
      <c r="W2774" s="12" t="s">
        <v>31</v>
      </c>
      <c r="X2774" s="13">
        <v>5.2707954483032218</v>
      </c>
      <c r="Y2774" s="13">
        <v>3.37440378243293</v>
      </c>
      <c r="Z2774" s="241">
        <v>0.64020769076121531</v>
      </c>
    </row>
    <row r="2775" spans="1:26" x14ac:dyDescent="0.2">
      <c r="A2775" s="1">
        <v>2773</v>
      </c>
      <c r="B2775" s="2" t="s">
        <v>587</v>
      </c>
      <c r="C2775" s="20" t="str">
        <f>HYPERLINK(AB2 &amp; "/usb_stick/3dw_faf3fad5-1a5f-4944-9d6f-0ece707d4152/rendering/00.obj", "7.22108650208")</f>
        <v>7.22108650208</v>
      </c>
      <c r="D2775" s="20" t="str">
        <f>HYPERLINK(AB2 &amp; "/usb_stick/3dw_faf3fad5-1a5f-4944-9d6f-0ece707d4152/rendering/01.obj", "1.65902853012")</f>
        <v>1.65902853012</v>
      </c>
      <c r="E2775" s="194" t="str">
        <f>HYPERLINK(AB2 &amp; "/usb_stick/3dw_faf3fad5-1a5f-4944-9d6f-0ece707d4152/rendering/02.obj", "21.2629261017")</f>
        <v>21.2629261017</v>
      </c>
      <c r="F2775" s="20" t="str">
        <f>HYPERLINK(AB2 &amp; "/usb_stick/3dw_faf3fad5-1a5f-4944-9d6f-0ece707d4152/rendering/03.obj", "264.368347168")</f>
        <v>264.368347168</v>
      </c>
      <c r="G2775" s="20" t="str">
        <f>HYPERLINK(AB2 &amp; "/usb_stick/3dw_faf3fad5-1a5f-4944-9d6f-0ece707d4152/rendering/04.obj", "8.34788036346")</f>
        <v>8.34788036346</v>
      </c>
      <c r="H2775" s="159" t="str">
        <f>HYPERLINK(AB2 &amp; "/usb_stick/3dw_faf3fad5-1a5f-4944-9d6f-0ece707d4152/rendering/05.obj", "83.0430526733")</f>
        <v>83.0430526733</v>
      </c>
      <c r="I2775" s="93" t="str">
        <f>HYPERLINK(AB2 &amp; "/usb_stick/3dw_faf3fad5-1a5f-4944-9d6f-0ece707d4152/rendering/06.obj", "48.5946464539")</f>
        <v>48.5946464539</v>
      </c>
      <c r="J2775" s="11" t="str">
        <f>HYPERLINK(AB2 &amp; "/usb_stick/3dw_faf3fad5-1a5f-4944-9d6f-0ece707d4152/rendering/07.obj", "43.9034881592")</f>
        <v>43.9034881592</v>
      </c>
      <c r="K2775" s="20" t="str">
        <f>HYPERLINK(AB2 &amp; "/usb_stick/3dw_faf3fad5-1a5f-4944-9d6f-0ece707d4152/rendering/08.obj", "4.58305692673")</f>
        <v>4.58305692673</v>
      </c>
      <c r="L2775" s="220" t="str">
        <f>HYPERLINK(AB2 &amp; "/usb_stick/3dw_faf3fad5-1a5f-4944-9d6f-0ece707d4152/rendering/09.obj", "18.1794452667")</f>
        <v>18.1794452667</v>
      </c>
      <c r="M2775" s="20" t="str">
        <f>HYPERLINK(AB2 &amp; "/usb_stick/3dw_faf3fad5-1a5f-4944-9d6f-0ece707d4152/rendering/10.obj", "2.01904892921")</f>
        <v>2.01904892921</v>
      </c>
      <c r="N2775" s="20" t="str">
        <f>HYPERLINK(AB2 &amp; "/usb_stick/3dw_faf3fad5-1a5f-4944-9d6f-0ece707d4152/rendering/11.obj", "3.20611166954")</f>
        <v>3.20611166954</v>
      </c>
      <c r="O2775" s="20" t="str">
        <f>HYPERLINK(AB2 &amp; "/usb_stick/3dw_faf3fad5-1a5f-4944-9d6f-0ece707d4152/rendering/12.obj", "121.558158875")</f>
        <v>121.558158875</v>
      </c>
      <c r="P2775" s="20" t="str">
        <f>HYPERLINK(AB2 &amp; "/usb_stick/3dw_faf3fad5-1a5f-4944-9d6f-0ece707d4152/rendering/13.obj", "11.1435928345")</f>
        <v>11.1435928345</v>
      </c>
      <c r="Q2775" s="20" t="str">
        <f>HYPERLINK(AB2 &amp; "/usb_stick/3dw_faf3fad5-1a5f-4944-9d6f-0ece707d4152/rendering/14.obj", "140.464004517")</f>
        <v>140.464004517</v>
      </c>
      <c r="R2775" s="20" t="str">
        <f>HYPERLINK(AB2 &amp; "/usb_stick/3dw_faf3fad5-1a5f-4944-9d6f-0ece707d4152/rendering/15.obj", "105.701789856")</f>
        <v>105.701789856</v>
      </c>
      <c r="S2775" s="20" t="str">
        <f>HYPERLINK(AB2 &amp; "/usb_stick/3dw_faf3fad5-1a5f-4944-9d6f-0ece707d4152/rendering/16.obj", "2.19740533829")</f>
        <v>2.19740533829</v>
      </c>
      <c r="T2775" s="149" t="str">
        <f>HYPERLINK(AB2 &amp; "/usb_stick/3dw_faf3fad5-1a5f-4944-9d6f-0ece707d4152/rendering/17.obj", "75.9105987549")</f>
        <v>75.9105987549</v>
      </c>
      <c r="U2775" s="185" t="str">
        <f>HYPERLINK(AB2 &amp; "/usb_stick/3dw_faf3fad5-1a5f-4944-9d6f-0ece707d4152/rendering/18.obj", "75.6949615479")</f>
        <v>75.6949615479</v>
      </c>
      <c r="V2775" s="246" t="str">
        <f>HYPERLINK(AB2 &amp; "/usb_stick/3dw_faf3fad5-1a5f-4944-9d6f-0ece707d4152/rendering/19.obj", "90.8991851807")</f>
        <v>90.8991851807</v>
      </c>
      <c r="W2775" s="12" t="s">
        <v>32</v>
      </c>
      <c r="X2775" s="13">
        <v>56.497890782356272</v>
      </c>
      <c r="Y2775" s="13">
        <v>64.707514814419213</v>
      </c>
      <c r="Z2775" s="20">
        <v>1.1453085047668139</v>
      </c>
    </row>
    <row r="2776" spans="1:26" x14ac:dyDescent="0.2">
      <c r="A2776" s="1">
        <v>2774</v>
      </c>
      <c r="B2776" s="2" t="s">
        <v>587</v>
      </c>
      <c r="C2776" s="13" t="str">
        <f>HYPERLINK(AC2 &amp; "/usb_stick/3dw_faf3fad5-1a5f-4944-9d6f-0ece707d4152/rendering/00.xyz", "0.0")</f>
        <v>0.0</v>
      </c>
      <c r="D2776" s="13" t="str">
        <f>HYPERLINK(AC2 &amp; "/usb_stick/3dw_faf3fad5-1a5f-4944-9d6f-0ece707d4152/rendering/01.xyz", "0.0")</f>
        <v>0.0</v>
      </c>
      <c r="E2776" s="13" t="str">
        <f>HYPERLINK(AC2 &amp; "/usb_stick/3dw_faf3fad5-1a5f-4944-9d6f-0ece707d4152/rendering/02.xyz", "0.0")</f>
        <v>0.0</v>
      </c>
      <c r="F2776" s="13" t="str">
        <f>HYPERLINK(AC2 &amp; "/usb_stick/3dw_faf3fad5-1a5f-4944-9d6f-0ece707d4152/rendering/03.xyz", "0.0")</f>
        <v>0.0</v>
      </c>
      <c r="G2776" s="13" t="str">
        <f>HYPERLINK(AC2 &amp; "/usb_stick/3dw_faf3fad5-1a5f-4944-9d6f-0ece707d4152/rendering/04.xyz", "0.0")</f>
        <v>0.0</v>
      </c>
      <c r="H2776" s="13" t="str">
        <f>HYPERLINK(AC2 &amp; "/usb_stick/3dw_faf3fad5-1a5f-4944-9d6f-0ece707d4152/rendering/05.xyz", "0.0")</f>
        <v>0.0</v>
      </c>
      <c r="I2776" s="13" t="str">
        <f>HYPERLINK(AC2 &amp; "/usb_stick/3dw_faf3fad5-1a5f-4944-9d6f-0ece707d4152/rendering/06.xyz", "0.0")</f>
        <v>0.0</v>
      </c>
      <c r="J2776" s="13" t="str">
        <f>HYPERLINK(AC2 &amp; "/usb_stick/3dw_faf3fad5-1a5f-4944-9d6f-0ece707d4152/rendering/07.xyz", "0.0")</f>
        <v>0.0</v>
      </c>
      <c r="K2776" s="13" t="str">
        <f>HYPERLINK(AC2 &amp; "/usb_stick/3dw_faf3fad5-1a5f-4944-9d6f-0ece707d4152/rendering/08.xyz", "0.0")</f>
        <v>0.0</v>
      </c>
      <c r="L2776" s="13" t="str">
        <f>HYPERLINK(AC2 &amp; "/usb_stick/3dw_faf3fad5-1a5f-4944-9d6f-0ece707d4152/rendering/09.xyz", "0.0")</f>
        <v>0.0</v>
      </c>
      <c r="M2776" s="13" t="str">
        <f>HYPERLINK(AC2 &amp; "/usb_stick/3dw_faf3fad5-1a5f-4944-9d6f-0ece707d4152/rendering/10.xyz", "0.0")</f>
        <v>0.0</v>
      </c>
      <c r="N2776" s="13" t="str">
        <f>HYPERLINK(AC2 &amp; "/usb_stick/3dw_faf3fad5-1a5f-4944-9d6f-0ece707d4152/rendering/11.xyz", "0.0")</f>
        <v>0.0</v>
      </c>
      <c r="O2776" s="13" t="str">
        <f>HYPERLINK(AC2 &amp; "/usb_stick/3dw_faf3fad5-1a5f-4944-9d6f-0ece707d4152/rendering/12.xyz", "0.0")</f>
        <v>0.0</v>
      </c>
      <c r="P2776" s="13" t="str">
        <f>HYPERLINK(AC2 &amp; "/usb_stick/3dw_faf3fad5-1a5f-4944-9d6f-0ece707d4152/rendering/13.xyz", "0.0")</f>
        <v>0.0</v>
      </c>
      <c r="Q2776" s="13" t="str">
        <f>HYPERLINK(AC2 &amp; "/usb_stick/3dw_faf3fad5-1a5f-4944-9d6f-0ece707d4152/rendering/14.xyz", "0.0")</f>
        <v>0.0</v>
      </c>
      <c r="R2776" s="13" t="str">
        <f>HYPERLINK(AC2 &amp; "/usb_stick/3dw_faf3fad5-1a5f-4944-9d6f-0ece707d4152/rendering/15.xyz", "0.0")</f>
        <v>0.0</v>
      </c>
      <c r="S2776" s="13" t="str">
        <f>HYPERLINK(AC2 &amp; "/usb_stick/3dw_faf3fad5-1a5f-4944-9d6f-0ece707d4152/rendering/16.xyz", "0.0")</f>
        <v>0.0</v>
      </c>
      <c r="T2776" s="13" t="str">
        <f>HYPERLINK(AC2 &amp; "/usb_stick/3dw_faf3fad5-1a5f-4944-9d6f-0ece707d4152/rendering/17.xyz", "0.0")</f>
        <v>0.0</v>
      </c>
      <c r="U2776" s="13" t="str">
        <f>HYPERLINK(AC2 &amp; "/usb_stick/3dw_faf3fad5-1a5f-4944-9d6f-0ece707d4152/rendering/18.xyz", "0.0")</f>
        <v>0.0</v>
      </c>
      <c r="V2776" s="13" t="str">
        <f>HYPERLINK(AC2 &amp; "/usb_stick/3dw_faf3fad5-1a5f-4944-9d6f-0ece707d4152/rendering/19.xyz", "0.0")</f>
        <v>0.0</v>
      </c>
      <c r="W2776" s="12" t="s">
        <v>33</v>
      </c>
      <c r="X2776" s="13">
        <v>0</v>
      </c>
      <c r="Y2776" s="13">
        <v>0</v>
      </c>
      <c r="Z2776" s="13">
        <v>0</v>
      </c>
    </row>
    <row r="2777" spans="1:26" x14ac:dyDescent="0.2">
      <c r="A2777" s="1">
        <v>2775</v>
      </c>
      <c r="B2777" s="2" t="s">
        <v>588</v>
      </c>
      <c r="C2777" s="168" t="str">
        <f>HYPERLINK(AA2 &amp; "/wrench/sn_ba4c8047b183c8063159ac6e1dd5116e/rendering/00.obj", "4.66953338623")</f>
        <v>4.66953338623</v>
      </c>
      <c r="D2777" s="129" t="str">
        <f>HYPERLINK(AA2 &amp; "/wrench/sn_ba4c8047b183c8063159ac6e1dd5116e/rendering/01.obj", "5.17195922852")</f>
        <v>5.17195922852</v>
      </c>
      <c r="E2777" s="137" t="str">
        <f>HYPERLINK(AA2 &amp; "/wrench/sn_ba4c8047b183c8063159ac6e1dd5116e/rendering/02.obj", "4.37590515137")</f>
        <v>4.37590515137</v>
      </c>
      <c r="F2777" s="170" t="str">
        <f>HYPERLINK(AA2 &amp; "/wrench/sn_ba4c8047b183c8063159ac6e1dd5116e/rendering/03.obj", "5.14119140625")</f>
        <v>5.14119140625</v>
      </c>
      <c r="G2777" s="19" t="str">
        <f>HYPERLINK(AA2 &amp; "/wrench/sn_ba4c8047b183c8063159ac6e1dd5116e/rendering/04.obj", "5.09435791016")</f>
        <v>5.09435791016</v>
      </c>
      <c r="H2777" s="20" t="str">
        <f>HYPERLINK(AA2 &amp; "/wrench/sn_ba4c8047b183c8063159ac6e1dd5116e/rendering/05.obj", "16.7980419922")</f>
        <v>16.7980419922</v>
      </c>
      <c r="I2777" s="94" t="str">
        <f>HYPERLINK(AA2 &amp; "/wrench/sn_ba4c8047b183c8063159ac6e1dd5116e/rendering/06.obj", "6.3764855957")</f>
        <v>6.3764855957</v>
      </c>
      <c r="J2777" s="123" t="str">
        <f>HYPERLINK(AA2 &amp; "/wrench/sn_ba4c8047b183c8063159ac6e1dd5116e/rendering/07.obj", "4.34623718262")</f>
        <v>4.34623718262</v>
      </c>
      <c r="K2777" s="104" t="str">
        <f>HYPERLINK(AA2 &amp; "/wrench/sn_ba4c8047b183c8063159ac6e1dd5116e/rendering/08.obj", "10.1624401855")</f>
        <v>10.1624401855</v>
      </c>
      <c r="L2777" s="196" t="str">
        <f>HYPERLINK(AA2 &amp; "/wrench/sn_ba4c8047b183c8063159ac6e1dd5116e/rendering/09.obj", "4.15847473145")</f>
        <v>4.15847473145</v>
      </c>
      <c r="M2777" s="198" t="str">
        <f>HYPERLINK(AA2 &amp; "/wrench/sn_ba4c8047b183c8063159ac6e1dd5116e/rendering/10.obj", "4.21887084961")</f>
        <v>4.21887084961</v>
      </c>
      <c r="N2777" s="117" t="str">
        <f>HYPERLINK(AA2 &amp; "/wrench/sn_ba4c8047b183c8063159ac6e1dd5116e/rendering/11.obj", "8.10223510742")</f>
        <v>8.10223510742</v>
      </c>
      <c r="O2777" s="118" t="str">
        <f>HYPERLINK(AA2 &amp; "/wrench/sn_ba4c8047b183c8063159ac6e1dd5116e/rendering/12.obj", "4.87547790527")</f>
        <v>4.87547790527</v>
      </c>
      <c r="P2777" s="99" t="str">
        <f>HYPERLINK(AA2 &amp; "/wrench/sn_ba4c8047b183c8063159ac6e1dd5116e/rendering/13.obj", "5.02063842773")</f>
        <v>5.02063842773</v>
      </c>
      <c r="Q2777" s="20" t="str">
        <f>HYPERLINK(AA2 &amp; "/wrench/sn_ba4c8047b183c8063159ac6e1dd5116e/rendering/14.obj", "18.721217041")</f>
        <v>18.721217041</v>
      </c>
      <c r="R2777" s="100" t="str">
        <f>HYPERLINK(AA2 &amp; "/wrench/sn_ba4c8047b183c8063159ac6e1dd5116e/rendering/15.obj", "4.82800964355")</f>
        <v>4.82800964355</v>
      </c>
      <c r="S2777" s="259" t="str">
        <f>HYPERLINK(AA2 &amp; "/wrench/sn_ba4c8047b183c8063159ac6e1dd5116e/rendering/16.obj", "12.3511767578")</f>
        <v>12.3511767578</v>
      </c>
      <c r="T2777" s="138" t="str">
        <f>HYPERLINK(AA2 &amp; "/wrench/sn_ba4c8047b183c8063159ac6e1dd5116e/rendering/17.obj", "4.572159729")</f>
        <v>4.572159729</v>
      </c>
      <c r="U2777" s="96" t="str">
        <f>HYPERLINK(AA2 &amp; "/wrench/sn_ba4c8047b183c8063159ac6e1dd5116e/rendering/18.obj", "4.38343963623")</f>
        <v>4.38343963623</v>
      </c>
      <c r="V2777" s="151" t="str">
        <f>HYPERLINK(AA2 &amp; "/wrench/sn_ba4c8047b183c8063159ac6e1dd5116e/rendering/19.obj", "4.40358337402")</f>
        <v>4.40358337402</v>
      </c>
      <c r="W2777" s="12" t="s">
        <v>29</v>
      </c>
      <c r="X2777" s="13">
        <v>6.8885717620849602</v>
      </c>
      <c r="Y2777" s="13">
        <v>4.1928984786368364</v>
      </c>
      <c r="Z2777" s="246">
        <v>0.60867457340210307</v>
      </c>
    </row>
    <row r="2778" spans="1:26" x14ac:dyDescent="0.2">
      <c r="A2778" s="1">
        <v>2776</v>
      </c>
      <c r="B2778" s="2" t="s">
        <v>588</v>
      </c>
      <c r="C2778" s="125" t="str">
        <f>HYPERLINK(AA2 &amp; "/wrench/sn_ba4c8047b183c8063159ac6e1dd5116e/rendering/00.obj", "2.02355337143")</f>
        <v>2.02355337143</v>
      </c>
      <c r="D2778" s="258" t="str">
        <f>HYPERLINK(AA2 &amp; "/wrench/sn_ba4c8047b183c8063159ac6e1dd5116e/rendering/01.obj", "1.66455745697")</f>
        <v>1.66455745697</v>
      </c>
      <c r="E2778" s="208" t="str">
        <f>HYPERLINK(AA2 &amp; "/wrench/sn_ba4c8047b183c8063159ac6e1dd5116e/rendering/02.obj", "1.63699924946")</f>
        <v>1.63699924946</v>
      </c>
      <c r="F2778" s="235" t="str">
        <f>HYPERLINK(AA2 &amp; "/wrench/sn_ba4c8047b183c8063159ac6e1dd5116e/rendering/03.obj", "3.19572114944")</f>
        <v>3.19572114944</v>
      </c>
      <c r="G2778" s="221" t="str">
        <f>HYPERLINK(AA2 &amp; "/wrench/sn_ba4c8047b183c8063159ac6e1dd5116e/rendering/04.obj", "3.0905611515")</f>
        <v>3.0905611515</v>
      </c>
      <c r="H2778" s="20" t="str">
        <f>HYPERLINK(AA2 &amp; "/wrench/sn_ba4c8047b183c8063159ac6e1dd5116e/rendering/05.obj", "37.7948608398")</f>
        <v>37.7948608398</v>
      </c>
      <c r="I2778" s="177" t="str">
        <f>HYPERLINK(AA2 &amp; "/wrench/sn_ba4c8047b183c8063159ac6e1dd5116e/rendering/06.obj", "3.25010633469")</f>
        <v>3.25010633469</v>
      </c>
      <c r="J2778" s="255" t="str">
        <f>HYPERLINK(AA2 &amp; "/wrench/sn_ba4c8047b183c8063159ac6e1dd5116e/rendering/07.obj", "1.93726730347")</f>
        <v>1.93726730347</v>
      </c>
      <c r="K2778" s="128" t="str">
        <f>HYPERLINK(AA2 &amp; "/wrench/sn_ba4c8047b183c8063159ac6e1dd5116e/rendering/08.obj", "4.25106143951")</f>
        <v>4.25106143951</v>
      </c>
      <c r="L2778" s="239" t="str">
        <f>HYPERLINK(AA2 &amp; "/wrench/sn_ba4c8047b183c8063159ac6e1dd5116e/rendering/09.obj", "2.74508857727")</f>
        <v>2.74508857727</v>
      </c>
      <c r="M2778" s="211" t="str">
        <f>HYPERLINK(AA2 &amp; "/wrench/sn_ba4c8047b183c8063159ac6e1dd5116e/rendering/10.obj", "1.62179803848")</f>
        <v>1.62179803848</v>
      </c>
      <c r="N2778" s="221" t="str">
        <f>HYPERLINK(AA2 &amp; "/wrench/sn_ba4c8047b183c8063159ac6e1dd5116e/rendering/11.obj", "10.8753700256")</f>
        <v>10.8753700256</v>
      </c>
      <c r="O2778" s="195" t="str">
        <f>HYPERLINK(AA2 &amp; "/wrench/sn_ba4c8047b183c8063159ac6e1dd5116e/rendering/12.obj", "3.16698026657")</f>
        <v>3.16698026657</v>
      </c>
      <c r="P2778" s="45" t="str">
        <f>HYPERLINK(AA2 &amp; "/wrench/sn_ba4c8047b183c8063159ac6e1dd5116e/rendering/13.obj", "2.35254096985")</f>
        <v>2.35254096985</v>
      </c>
      <c r="Q2778" s="20" t="str">
        <f>HYPERLINK(AA2 &amp; "/wrench/sn_ba4c8047b183c8063159ac6e1dd5116e/rendering/14.obj", "29.8484745026")</f>
        <v>29.8484745026</v>
      </c>
      <c r="R2778" s="141" t="str">
        <f>HYPERLINK(AA2 &amp; "/wrench/sn_ba4c8047b183c8063159ac6e1dd5116e/rendering/15.obj", "3.13720440865")</f>
        <v>3.13720440865</v>
      </c>
      <c r="S2778" s="20" t="str">
        <f>HYPERLINK(AA2 &amp; "/wrench/sn_ba4c8047b183c8063159ac6e1dd5116e/rendering/16.obj", "19.9469032288")</f>
        <v>19.9469032288</v>
      </c>
      <c r="T2778" s="250" t="str">
        <f>HYPERLINK(AA2 &amp; "/wrench/sn_ba4c8047b183c8063159ac6e1dd5116e/rendering/17.obj", "2.19112467766")</f>
        <v>2.19112467766</v>
      </c>
      <c r="U2778" s="220" t="str">
        <f>HYPERLINK(AA2 &amp; "/wrench/sn_ba4c8047b183c8063159ac6e1dd5116e/rendering/18.obj", "2.23648476601")</f>
        <v>2.23648476601</v>
      </c>
      <c r="V2778" s="189" t="str">
        <f>HYPERLINK(AA2 &amp; "/wrench/sn_ba4c8047b183c8063159ac6e1dd5116e/rendering/19.obj", "2.60557794571")</f>
        <v>2.60557794571</v>
      </c>
      <c r="W2778" s="12" t="s">
        <v>30</v>
      </c>
      <c r="X2778" s="13">
        <v>6.978611785173416</v>
      </c>
      <c r="Y2778" s="13">
        <v>9.9382499682860033</v>
      </c>
      <c r="Z2778" s="20">
        <v>1.424101278910594</v>
      </c>
    </row>
    <row r="2779" spans="1:26" x14ac:dyDescent="0.2">
      <c r="A2779" s="1">
        <v>2777</v>
      </c>
      <c r="B2779" s="2" t="s">
        <v>588</v>
      </c>
      <c r="C2779" s="67" t="str">
        <f>HYPERLINK(AB2 &amp; "/wrench/sn_ba4c8047b183c8063159ac6e1dd5116e/rendering/00.obj", "4.89198974609")</f>
        <v>4.89198974609</v>
      </c>
      <c r="D2779" s="88" t="str">
        <f>HYPERLINK(AB2 &amp; "/wrench/sn_ba4c8047b183c8063159ac6e1dd5116e/rendering/01.obj", "3.57725219727")</f>
        <v>3.57725219727</v>
      </c>
      <c r="E2779" s="34" t="str">
        <f>HYPERLINK(AB2 &amp; "/wrench/sn_ba4c8047b183c8063159ac6e1dd5116e/rendering/02.obj", "4.70409667969")</f>
        <v>4.70409667969</v>
      </c>
      <c r="F2779" s="48" t="str">
        <f>HYPERLINK(AB2 &amp; "/wrench/sn_ba4c8047b183c8063159ac6e1dd5116e/rendering/03.obj", "4.37992675781")</f>
        <v>4.37992675781</v>
      </c>
      <c r="G2779" s="17" t="str">
        <f>HYPERLINK(AB2 &amp; "/wrench/sn_ba4c8047b183c8063159ac6e1dd5116e/rendering/04.obj", "4.39545013428")</f>
        <v>4.39545013428</v>
      </c>
      <c r="H2779" s="48" t="str">
        <f>HYPERLINK(AB2 &amp; "/wrench/sn_ba4c8047b183c8063159ac6e1dd5116e/rendering/05.obj", "4.37944519043")</f>
        <v>4.37944519043</v>
      </c>
      <c r="I2779" s="34" t="str">
        <f>HYPERLINK(AB2 &amp; "/wrench/sn_ba4c8047b183c8063159ac6e1dd5116e/rendering/06.obj", "4.27087005615")</f>
        <v>4.27087005615</v>
      </c>
      <c r="J2779" s="23" t="str">
        <f>HYPERLINK(AB2 &amp; "/wrench/sn_ba4c8047b183c8063159ac6e1dd5116e/rendering/07.obj", "4.65580749512")</f>
        <v>4.65580749512</v>
      </c>
      <c r="K2779" s="90" t="str">
        <f>HYPERLINK(AB2 &amp; "/wrench/sn_ba4c8047b183c8063159ac6e1dd5116e/rendering/08.obj", "4.91699890137")</f>
        <v>4.91699890137</v>
      </c>
      <c r="L2779" s="17" t="str">
        <f>HYPERLINK(AB2 &amp; "/wrench/sn_ba4c8047b183c8063159ac6e1dd5116e/rendering/09.obj", "4.5714151001")</f>
        <v>4.5714151001</v>
      </c>
      <c r="M2779" s="83" t="str">
        <f>HYPERLINK(AB2 &amp; "/wrench/sn_ba4c8047b183c8063159ac6e1dd5116e/rendering/10.obj", "5.16882446289")</f>
        <v>5.16882446289</v>
      </c>
      <c r="N2779" s="30" t="str">
        <f>HYPERLINK(AB2 &amp; "/wrench/sn_ba4c8047b183c8063159ac6e1dd5116e/rendering/11.obj", "4.50819396973")</f>
        <v>4.50819396973</v>
      </c>
      <c r="O2779" s="17" t="str">
        <f>HYPERLINK(AB2 &amp; "/wrench/sn_ba4c8047b183c8063159ac6e1dd5116e/rendering/12.obj", "4.39884124756")</f>
        <v>4.39884124756</v>
      </c>
      <c r="P2779" s="41" t="str">
        <f>HYPERLINK(AB2 &amp; "/wrench/sn_ba4c8047b183c8063159ac6e1dd5116e/rendering/13.obj", "4.7794934082")</f>
        <v>4.7794934082</v>
      </c>
      <c r="Q2779" s="31" t="str">
        <f>HYPERLINK(AB2 &amp; "/wrench/sn_ba4c8047b183c8063159ac6e1dd5116e/rendering/14.obj", "3.78453613281")</f>
        <v>3.78453613281</v>
      </c>
      <c r="R2779" s="25" t="str">
        <f>HYPERLINK(AB2 &amp; "/wrench/sn_ba4c8047b183c8063159ac6e1dd5116e/rendering/15.obj", "4.53166625977")</f>
        <v>4.53166625977</v>
      </c>
      <c r="S2779" s="28" t="str">
        <f>HYPERLINK(AB2 &amp; "/wrench/sn_ba4c8047b183c8063159ac6e1dd5116e/rendering/16.obj", "3.98738220215")</f>
        <v>3.98738220215</v>
      </c>
      <c r="T2779" s="32" t="str">
        <f>HYPERLINK(AB2 &amp; "/wrench/sn_ba4c8047b183c8063159ac6e1dd5116e/rendering/17.obj", "4.95421569824")</f>
        <v>4.95421569824</v>
      </c>
      <c r="U2779" s="6" t="str">
        <f>HYPERLINK(AB2 &amp; "/wrench/sn_ba4c8047b183c8063159ac6e1dd5116e/rendering/18.obj", "4.68239929199")</f>
        <v>4.68239929199</v>
      </c>
      <c r="V2779" s="5" t="str">
        <f>HYPERLINK(AB2 &amp; "/wrench/sn_ba4c8047b183c8063159ac6e1dd5116e/rendering/19.obj", "4.13205718994")</f>
        <v>4.13205718994</v>
      </c>
      <c r="W2779" s="12" t="s">
        <v>31</v>
      </c>
      <c r="X2779" s="13">
        <v>4.483543106079102</v>
      </c>
      <c r="Y2779" s="13">
        <v>0.38880453587707059</v>
      </c>
      <c r="Z2779" s="39">
        <v>8.6718143815747467E-2</v>
      </c>
    </row>
    <row r="2780" spans="1:26" x14ac:dyDescent="0.2">
      <c r="A2780" s="1">
        <v>2778</v>
      </c>
      <c r="B2780" s="2" t="s">
        <v>588</v>
      </c>
      <c r="C2780" s="65" t="str">
        <f>HYPERLINK(AB2 &amp; "/wrench/sn_ba4c8047b183c8063159ac6e1dd5116e/rendering/00.obj", "1.36698901653")</f>
        <v>1.36698901653</v>
      </c>
      <c r="D2780" s="25" t="str">
        <f>HYPERLINK(AB2 &amp; "/wrench/sn_ba4c8047b183c8063159ac6e1dd5116e/rendering/01.obj", "1.56257724762")</f>
        <v>1.56257724762</v>
      </c>
      <c r="E2780" s="23" t="str">
        <f>HYPERLINK(AB2 &amp; "/wrench/sn_ba4c8047b183c8063159ac6e1dd5116e/rendering/02.obj", "1.51722037792")</f>
        <v>1.51722037792</v>
      </c>
      <c r="F2780" s="55" t="str">
        <f>HYPERLINK(AB2 &amp; "/wrench/sn_ba4c8047b183c8063159ac6e1dd5116e/rendering/03.obj", "1.27309632301")</f>
        <v>1.27309632301</v>
      </c>
      <c r="G2780" s="5" t="str">
        <f>HYPERLINK(AB2 &amp; "/wrench/sn_ba4c8047b183c8063159ac6e1dd5116e/rendering/04.obj", "1.70216655731")</f>
        <v>1.70216655731</v>
      </c>
      <c r="H2780" s="91" t="str">
        <f>HYPERLINK(AB2 &amp; "/wrench/sn_ba4c8047b183c8063159ac6e1dd5116e/rendering/05.obj", "1.53620171547")</f>
        <v>1.53620171547</v>
      </c>
      <c r="I2780" s="91" t="str">
        <f>HYPERLINK(AB2 &amp; "/wrench/sn_ba4c8047b183c8063159ac6e1dd5116e/rendering/06.obj", "1.53756058216")</f>
        <v>1.53756058216</v>
      </c>
      <c r="J2780" s="47" t="str">
        <f>HYPERLINK(AB2 &amp; "/wrench/sn_ba4c8047b183c8063159ac6e1dd5116e/rendering/07.obj", "1.56706154346")</f>
        <v>1.56706154346</v>
      </c>
      <c r="K2780" s="41" t="str">
        <f>HYPERLINK(AB2 &amp; "/wrench/sn_ba4c8047b183c8063159ac6e1dd5116e/rendering/08.obj", "1.68625879288")</f>
        <v>1.68625879288</v>
      </c>
      <c r="L2780" s="65" t="str">
        <f>HYPERLINK(AB2 &amp; "/wrench/sn_ba4c8047b183c8063159ac6e1dd5116e/rendering/09.obj", "1.78751921654")</f>
        <v>1.78751921654</v>
      </c>
      <c r="M2780" s="41" t="str">
        <f>HYPERLINK(AB2 &amp; "/wrench/sn_ba4c8047b183c8063159ac6e1dd5116e/rendering/10.obj", "1.6853209734")</f>
        <v>1.6853209734</v>
      </c>
      <c r="N2780" s="25" t="str">
        <f>HYPERLINK(AB2 &amp; "/wrench/sn_ba4c8047b183c8063159ac6e1dd5116e/rendering/11.obj", "1.55897665024")</f>
        <v>1.55897665024</v>
      </c>
      <c r="O2780" s="78" t="str">
        <f>HYPERLINK(AB2 &amp; "/wrench/sn_ba4c8047b183c8063159ac6e1dd5116e/rendering/12.obj", "1.48155665398")</f>
        <v>1.48155665398</v>
      </c>
      <c r="P2780" s="94" t="str">
        <f>HYPERLINK(AB2 &amp; "/wrench/sn_ba4c8047b183c8063159ac6e1dd5116e/rendering/13.obj", "1.69276666641")</f>
        <v>1.69276666641</v>
      </c>
      <c r="Q2780" s="65" t="str">
        <f>HYPERLINK(AB2 &amp; "/wrench/sn_ba4c8047b183c8063159ac6e1dd5116e/rendering/14.obj", "1.79030847549")</f>
        <v>1.79030847549</v>
      </c>
      <c r="R2780" s="5" t="str">
        <f>HYPERLINK(AB2 &amp; "/wrench/sn_ba4c8047b183c8063159ac6e1dd5116e/rendering/15.obj", "1.45533335209")</f>
        <v>1.45533335209</v>
      </c>
      <c r="S2780" s="23" t="str">
        <f>HYPERLINK(AB2 &amp; "/wrench/sn_ba4c8047b183c8063159ac6e1dd5116e/rendering/16.obj", "1.64110481739")</f>
        <v>1.64110481739</v>
      </c>
      <c r="T2780" s="110" t="str">
        <f>HYPERLINK(AB2 &amp; "/wrench/sn_ba4c8047b183c8063159ac6e1dd5116e/rendering/17.obj", "1.42360043526")</f>
        <v>1.42360043526</v>
      </c>
      <c r="U2780" s="90" t="str">
        <f>HYPERLINK(AB2 &amp; "/wrench/sn_ba4c8047b183c8063159ac6e1dd5116e/rendering/18.obj", "1.42726707458")</f>
        <v>1.42726707458</v>
      </c>
      <c r="V2780" s="77" t="str">
        <f>HYPERLINK(AB2 &amp; "/wrench/sn_ba4c8047b183c8063159ac6e1dd5116e/rendering/19.obj", "1.87521755695")</f>
        <v>1.87521755695</v>
      </c>
      <c r="W2780" s="12" t="s">
        <v>32</v>
      </c>
      <c r="X2780" s="13">
        <v>1.5784052014350889</v>
      </c>
      <c r="Y2780" s="13">
        <v>0.1498854292929368</v>
      </c>
      <c r="Z2780" s="90">
        <v>9.4960045213143426E-2</v>
      </c>
    </row>
    <row r="2781" spans="1:26" x14ac:dyDescent="0.2">
      <c r="A2781" s="1">
        <v>2779</v>
      </c>
      <c r="B2781" s="2" t="s">
        <v>588</v>
      </c>
      <c r="C2781" s="13" t="str">
        <f>HYPERLINK(AC2 &amp; "/wrench/sn_ba4c8047b183c8063159ac6e1dd5116e/rendering/00.xyz", "0.0")</f>
        <v>0.0</v>
      </c>
      <c r="D2781" s="13" t="str">
        <f>HYPERLINK(AC2 &amp; "/wrench/sn_ba4c8047b183c8063159ac6e1dd5116e/rendering/01.xyz", "0.0")</f>
        <v>0.0</v>
      </c>
      <c r="E2781" s="13" t="str">
        <f>HYPERLINK(AC2 &amp; "/wrench/sn_ba4c8047b183c8063159ac6e1dd5116e/rendering/02.xyz", "0.0")</f>
        <v>0.0</v>
      </c>
      <c r="F2781" s="13" t="str">
        <f>HYPERLINK(AC2 &amp; "/wrench/sn_ba4c8047b183c8063159ac6e1dd5116e/rendering/03.xyz", "0.0")</f>
        <v>0.0</v>
      </c>
      <c r="G2781" s="13" t="str">
        <f>HYPERLINK(AC2 &amp; "/wrench/sn_ba4c8047b183c8063159ac6e1dd5116e/rendering/04.xyz", "0.0")</f>
        <v>0.0</v>
      </c>
      <c r="H2781" s="13" t="str">
        <f>HYPERLINK(AC2 &amp; "/wrench/sn_ba4c8047b183c8063159ac6e1dd5116e/rendering/05.xyz", "0.0")</f>
        <v>0.0</v>
      </c>
      <c r="I2781" s="13" t="str">
        <f>HYPERLINK(AC2 &amp; "/wrench/sn_ba4c8047b183c8063159ac6e1dd5116e/rendering/06.xyz", "0.0")</f>
        <v>0.0</v>
      </c>
      <c r="J2781" s="13" t="str">
        <f>HYPERLINK(AC2 &amp; "/wrench/sn_ba4c8047b183c8063159ac6e1dd5116e/rendering/07.xyz", "0.0")</f>
        <v>0.0</v>
      </c>
      <c r="K2781" s="13" t="str">
        <f>HYPERLINK(AC2 &amp; "/wrench/sn_ba4c8047b183c8063159ac6e1dd5116e/rendering/08.xyz", "0.0")</f>
        <v>0.0</v>
      </c>
      <c r="L2781" s="13" t="str">
        <f>HYPERLINK(AC2 &amp; "/wrench/sn_ba4c8047b183c8063159ac6e1dd5116e/rendering/09.xyz", "0.0")</f>
        <v>0.0</v>
      </c>
      <c r="M2781" s="13" t="str">
        <f>HYPERLINK(AC2 &amp; "/wrench/sn_ba4c8047b183c8063159ac6e1dd5116e/rendering/10.xyz", "0.0")</f>
        <v>0.0</v>
      </c>
      <c r="N2781" s="13" t="str">
        <f>HYPERLINK(AC2 &amp; "/wrench/sn_ba4c8047b183c8063159ac6e1dd5116e/rendering/11.xyz", "0.0")</f>
        <v>0.0</v>
      </c>
      <c r="O2781" s="13" t="str">
        <f>HYPERLINK(AC2 &amp; "/wrench/sn_ba4c8047b183c8063159ac6e1dd5116e/rendering/12.xyz", "0.0")</f>
        <v>0.0</v>
      </c>
      <c r="P2781" s="13" t="str">
        <f>HYPERLINK(AC2 &amp; "/wrench/sn_ba4c8047b183c8063159ac6e1dd5116e/rendering/13.xyz", "0.0")</f>
        <v>0.0</v>
      </c>
      <c r="Q2781" s="13" t="str">
        <f>HYPERLINK(AC2 &amp; "/wrench/sn_ba4c8047b183c8063159ac6e1dd5116e/rendering/14.xyz", "0.0")</f>
        <v>0.0</v>
      </c>
      <c r="R2781" s="13" t="str">
        <f>HYPERLINK(AC2 &amp; "/wrench/sn_ba4c8047b183c8063159ac6e1dd5116e/rendering/15.xyz", "0.0")</f>
        <v>0.0</v>
      </c>
      <c r="S2781" s="13" t="str">
        <f>HYPERLINK(AC2 &amp; "/wrench/sn_ba4c8047b183c8063159ac6e1dd5116e/rendering/16.xyz", "0.0")</f>
        <v>0.0</v>
      </c>
      <c r="T2781" s="13" t="str">
        <f>HYPERLINK(AC2 &amp; "/wrench/sn_ba4c8047b183c8063159ac6e1dd5116e/rendering/17.xyz", "0.0")</f>
        <v>0.0</v>
      </c>
      <c r="U2781" s="13" t="str">
        <f>HYPERLINK(AC2 &amp; "/wrench/sn_ba4c8047b183c8063159ac6e1dd5116e/rendering/18.xyz", "0.0")</f>
        <v>0.0</v>
      </c>
      <c r="V2781" s="13" t="str">
        <f>HYPERLINK(AC2 &amp; "/wrench/sn_ba4c8047b183c8063159ac6e1dd5116e/rendering/19.xyz", "0.0")</f>
        <v>0.0</v>
      </c>
      <c r="W2781" s="12" t="s">
        <v>33</v>
      </c>
      <c r="X2781" s="13">
        <v>0</v>
      </c>
      <c r="Y2781" s="13">
        <v>0</v>
      </c>
      <c r="Z2781" s="13">
        <v>0</v>
      </c>
    </row>
    <row r="2782" spans="1:26" x14ac:dyDescent="0.2">
      <c r="A2782" s="1">
        <v>2780</v>
      </c>
      <c r="B2782" s="2" t="s">
        <v>589</v>
      </c>
      <c r="C2782" s="29" t="str">
        <f>HYPERLINK(AA2 &amp; "/wrench/sn_ba53e871e1cfffb8e4e346ee2650d150/rendering/00.obj", "4.21399353027")</f>
        <v>4.21399353027</v>
      </c>
      <c r="D2782" s="46" t="str">
        <f>HYPERLINK(AA2 &amp; "/wrench/sn_ba53e871e1cfffb8e4e346ee2650d150/rendering/01.obj", "4.76347900391")</f>
        <v>4.76347900391</v>
      </c>
      <c r="E2782" s="64" t="str">
        <f>HYPERLINK(AA2 &amp; "/wrench/sn_ba53e871e1cfffb8e4e346ee2650d150/rendering/02.obj", "4.04971130371")</f>
        <v>4.04971130371</v>
      </c>
      <c r="F2782" s="67" t="str">
        <f>HYPERLINK(AA2 &amp; "/wrench/sn_ba53e871e1cfffb8e4e346ee2650d150/rendering/03.obj", "4.40146850586")</f>
        <v>4.40146850586</v>
      </c>
      <c r="G2782" s="38" t="str">
        <f>HYPERLINK(AA2 &amp; "/wrench/sn_ba53e871e1cfffb8e4e346ee2650d150/rendering/04.obj", "4.41540039062")</f>
        <v>4.41540039062</v>
      </c>
      <c r="H2782" s="26" t="str">
        <f>HYPERLINK(AA2 &amp; "/wrench/sn_ba53e871e1cfffb8e4e346ee2650d150/rendering/05.obj", "4.53414672852")</f>
        <v>4.53414672852</v>
      </c>
      <c r="I2782" s="67" t="str">
        <f>HYPERLINK(AA2 &amp; "/wrench/sn_ba53e871e1cfffb8e4e346ee2650d150/rendering/06.obj", "4.4032421875")</f>
        <v>4.4032421875</v>
      </c>
      <c r="J2782" s="121" t="str">
        <f>HYPERLINK(AA2 &amp; "/wrench/sn_ba53e871e1cfffb8e4e346ee2650d150/rendering/07.obj", "6.5636730957")</f>
        <v>6.5636730957</v>
      </c>
      <c r="K2782" s="78" t="str">
        <f>HYPERLINK(AA2 &amp; "/wrench/sn_ba53e871e1cfffb8e4e346ee2650d150/rendering/08.obj", "4.55780883789")</f>
        <v>4.55780883789</v>
      </c>
      <c r="L2782" s="73" t="str">
        <f>HYPERLINK(AA2 &amp; "/wrench/sn_ba53e871e1cfffb8e4e346ee2650d150/rendering/09.obj", "4.6751675415")</f>
        <v>4.6751675415</v>
      </c>
      <c r="M2782" s="65" t="str">
        <f>HYPERLINK(AA2 &amp; "/wrench/sn_ba53e871e1cfffb8e4e346ee2650d150/rendering/10.obj", "4.19878417969")</f>
        <v>4.19878417969</v>
      </c>
      <c r="N2782" s="26" t="str">
        <f>HYPERLINK(AA2 &amp; "/wrench/sn_ba53e871e1cfffb8e4e346ee2650d150/rendering/11.obj", "4.54067871094")</f>
        <v>4.54067871094</v>
      </c>
      <c r="O2782" s="74" t="str">
        <f>HYPERLINK(AA2 &amp; "/wrench/sn_ba53e871e1cfffb8e4e346ee2650d150/rendering/12.obj", "4.78472381592")</f>
        <v>4.78472381592</v>
      </c>
      <c r="P2782" s="88" t="str">
        <f>HYPERLINK(AA2 &amp; "/wrench/sn_ba53e871e1cfffb8e4e346ee2650d150/rendering/13.obj", "3.8762020874")</f>
        <v>3.8762020874</v>
      </c>
      <c r="Q2782" s="24" t="str">
        <f>HYPERLINK(AA2 &amp; "/wrench/sn_ba53e871e1cfffb8e4e346ee2650d150/rendering/14.obj", "5.66624938965")</f>
        <v>5.66624938965</v>
      </c>
      <c r="R2782" s="90" t="str">
        <f>HYPERLINK(AA2 &amp; "/wrench/sn_ba53e871e1cfffb8e4e346ee2650d150/rendering/15.obj", "5.31154052734")</f>
        <v>5.31154052734</v>
      </c>
      <c r="S2782" s="224" t="str">
        <f>HYPERLINK(AA2 &amp; "/wrench/sn_ba53e871e1cfffb8e4e346ee2650d150/rendering/16.obj", "8.28463806152")</f>
        <v>8.28463806152</v>
      </c>
      <c r="T2782" s="24" t="str">
        <f>HYPERLINK(AA2 &amp; "/wrench/sn_ba53e871e1cfffb8e4e346ee2650d150/rendering/17.obj", "4.04499084473")</f>
        <v>4.04499084473</v>
      </c>
      <c r="U2782" s="84" t="str">
        <f>HYPERLINK(AA2 &amp; "/wrench/sn_ba53e871e1cfffb8e4e346ee2650d150/rendering/18.obj", "5.55855163574")</f>
        <v>5.55855163574</v>
      </c>
      <c r="V2782" s="42" t="str">
        <f>HYPERLINK(AA2 &amp; "/wrench/sn_ba53e871e1cfffb8e4e346ee2650d150/rendering/19.obj", "4.19216186523")</f>
        <v>4.19216186523</v>
      </c>
      <c r="W2782" s="12" t="s">
        <v>29</v>
      </c>
      <c r="X2782" s="13">
        <v>4.8518306121826171</v>
      </c>
      <c r="Y2782" s="13">
        <v>1.0130542520761741</v>
      </c>
      <c r="Z2782" s="49">
        <v>0.20879835531200611</v>
      </c>
    </row>
    <row r="2783" spans="1:26" x14ac:dyDescent="0.2">
      <c r="A2783" s="1">
        <v>2781</v>
      </c>
      <c r="B2783" s="2" t="s">
        <v>589</v>
      </c>
      <c r="C2783" s="182" t="str">
        <f>HYPERLINK(AA2 &amp; "/wrench/sn_ba53e871e1cfffb8e4e346ee2650d150/rendering/00.obj", "1.34199786186")</f>
        <v>1.34199786186</v>
      </c>
      <c r="D2783" s="121" t="str">
        <f>HYPERLINK(AA2 &amp; "/wrench/sn_ba53e871e1cfffb8e4e346ee2650d150/rendering/01.obj", "1.30495738983")</f>
        <v>1.30495738983</v>
      </c>
      <c r="E2783" s="38" t="str">
        <f>HYPERLINK(AA2 &amp; "/wrench/sn_ba53e871e1cfffb8e4e346ee2650d150/rendering/02.obj", "1.83514881134")</f>
        <v>1.83514881134</v>
      </c>
      <c r="F2783" s="123" t="str">
        <f>HYPERLINK(AA2 &amp; "/wrench/sn_ba53e871e1cfffb8e4e346ee2650d150/rendering/03.obj", "1.27011954784")</f>
        <v>1.27011954784</v>
      </c>
      <c r="G2783" s="169" t="str">
        <f>HYPERLINK(AA2 &amp; "/wrench/sn_ba53e871e1cfffb8e4e346ee2650d150/rendering/04.obj", "1.38667619228")</f>
        <v>1.38667619228</v>
      </c>
      <c r="H2783" s="138" t="str">
        <f>HYPERLINK(AA2 &amp; "/wrench/sn_ba53e871e1cfffb8e4e346ee2650d150/rendering/05.obj", "1.3358271122")</f>
        <v>1.3358271122</v>
      </c>
      <c r="I2783" s="176" t="str">
        <f>HYPERLINK(AA2 &amp; "/wrench/sn_ba53e871e1cfffb8e4e346ee2650d150/rendering/06.obj", "1.37237429619")</f>
        <v>1.37237429619</v>
      </c>
      <c r="J2783" s="20" t="str">
        <f>HYPERLINK(AA2 &amp; "/wrench/sn_ba53e871e1cfffb8e4e346ee2650d150/rendering/07.obj", "4.08649778366")</f>
        <v>4.08649778366</v>
      </c>
      <c r="K2783" s="172" t="str">
        <f>HYPERLINK(AA2 &amp; "/wrench/sn_ba53e871e1cfffb8e4e346ee2650d150/rendering/08.obj", "1.24005532265")</f>
        <v>1.24005532265</v>
      </c>
      <c r="L2783" s="106" t="str">
        <f>HYPERLINK(AA2 &amp; "/wrench/sn_ba53e871e1cfffb8e4e346ee2650d150/rendering/09.obj", "2.24707341194")</f>
        <v>2.24707341194</v>
      </c>
      <c r="M2783" s="121" t="str">
        <f>HYPERLINK(AA2 &amp; "/wrench/sn_ba53e871e1cfffb8e4e346ee2650d150/rendering/10.obj", "1.30179321766")</f>
        <v>1.30179321766</v>
      </c>
      <c r="N2783" s="66" t="str">
        <f>HYPERLINK(AA2 &amp; "/wrench/sn_ba53e871e1cfffb8e4e346ee2650d150/rendering/11.obj", "1.69063937664")</f>
        <v>1.69063937664</v>
      </c>
      <c r="O2783" s="138" t="str">
        <f>HYPERLINK(AA2 &amp; "/wrench/sn_ba53e871e1cfffb8e4e346ee2650d150/rendering/12.obj", "1.33568656445")</f>
        <v>1.33568656445</v>
      </c>
      <c r="P2783" s="85" t="str">
        <f>HYPERLINK(AA2 &amp; "/wrench/sn_ba53e871e1cfffb8e4e346ee2650d150/rendering/13.obj", "1.42088878155")</f>
        <v>1.42088878155</v>
      </c>
      <c r="Q2783" s="228" t="str">
        <f>HYPERLINK(AA2 &amp; "/wrench/sn_ba53e871e1cfffb8e4e346ee2650d150/rendering/14.obj", "3.08824300766")</f>
        <v>3.08824300766</v>
      </c>
      <c r="R2783" s="20" t="str">
        <f>HYPERLINK(AA2 &amp; "/wrench/sn_ba53e871e1cfffb8e4e346ee2650d150/rendering/15.obj", "3.77615857124")</f>
        <v>3.77615857124</v>
      </c>
      <c r="S2783" s="20" t="str">
        <f>HYPERLINK(AA2 &amp; "/wrench/sn_ba53e871e1cfffb8e4e346ee2650d150/rendering/16.obj", "4.47059679031")</f>
        <v>4.47059679031</v>
      </c>
      <c r="T2783" s="70" t="str">
        <f>HYPERLINK(AA2 &amp; "/wrench/sn_ba53e871e1cfffb8e4e346ee2650d150/rendering/17.obj", "1.7602725029")</f>
        <v>1.7602725029</v>
      </c>
      <c r="U2783" s="168" t="str">
        <f>HYPERLINK(AA2 &amp; "/wrench/sn_ba53e871e1cfffb8e4e346ee2650d150/rendering/18.obj", "2.66525053978")</f>
        <v>2.66525053978</v>
      </c>
      <c r="V2783" s="171" t="str">
        <f>HYPERLINK(AA2 &amp; "/wrench/sn_ba53e871e1cfffb8e4e346ee2650d150/rendering/19.obj", "1.39827919006")</f>
        <v>1.39827919006</v>
      </c>
      <c r="W2783" s="12" t="s">
        <v>30</v>
      </c>
      <c r="X2783" s="13">
        <v>2.0164268136024481</v>
      </c>
      <c r="Y2783" s="13">
        <v>1.008430228285303</v>
      </c>
      <c r="Z2783" s="126">
        <v>0.50010752757432919</v>
      </c>
    </row>
    <row r="2784" spans="1:26" x14ac:dyDescent="0.2">
      <c r="A2784" s="1">
        <v>2782</v>
      </c>
      <c r="B2784" s="2" t="s">
        <v>589</v>
      </c>
      <c r="C2784" s="74" t="str">
        <f>HYPERLINK(AB2 &amp; "/wrench/sn_ba53e871e1cfffb8e4e346ee2650d150/rendering/00.obj", "4.11300109863")</f>
        <v>4.11300109863</v>
      </c>
      <c r="D2784" s="41" t="str">
        <f>HYPERLINK(AB2 &amp; "/wrench/sn_ba53e871e1cfffb8e4e346ee2650d150/rendering/01.obj", "4.45318817139")</f>
        <v>4.45318817139</v>
      </c>
      <c r="E2784" s="46" t="str">
        <f>HYPERLINK(AB2 &amp; "/wrench/sn_ba53e871e1cfffb8e4e346ee2650d150/rendering/02.obj", "4.10095703125")</f>
        <v>4.10095703125</v>
      </c>
      <c r="F2784" s="60" t="str">
        <f>HYPERLINK(AB2 &amp; "/wrench/sn_ba53e871e1cfffb8e4e346ee2650d150/rendering/03.obj", "4.39866668701")</f>
        <v>4.39866668701</v>
      </c>
      <c r="G2784" s="74" t="str">
        <f>HYPERLINK(AB2 &amp; "/wrench/sn_ba53e871e1cfffb8e4e346ee2650d150/rendering/04.obj", "4.11622558594")</f>
        <v>4.11622558594</v>
      </c>
      <c r="H2784" s="17" t="str">
        <f>HYPERLINK(AB2 &amp; "/wrench/sn_ba53e871e1cfffb8e4e346ee2650d150/rendering/05.obj", "4.25633361816")</f>
        <v>4.25633361816</v>
      </c>
      <c r="I2784" s="72" t="str">
        <f>HYPERLINK(AB2 &amp; "/wrench/sn_ba53e871e1cfffb8e4e346ee2650d150/rendering/06.obj", "4.04218963623")</f>
        <v>4.04218963623</v>
      </c>
      <c r="J2784" s="60" t="str">
        <f>HYPERLINK(AB2 &amp; "/wrench/sn_ba53e871e1cfffb8e4e346ee2650d150/rendering/07.obj", "4.39553771973")</f>
        <v>4.39553771973</v>
      </c>
      <c r="K2784" s="107" t="str">
        <f>HYPERLINK(AB2 &amp; "/wrench/sn_ba53e871e1cfffb8e4e346ee2650d150/rendering/08.obj", "4.52036254883")</f>
        <v>4.52036254883</v>
      </c>
      <c r="L2784" s="37" t="str">
        <f>HYPERLINK(AB2 &amp; "/wrench/sn_ba53e871e1cfffb8e4e346ee2650d150/rendering/09.obj", "4.90109313965")</f>
        <v>4.90109313965</v>
      </c>
      <c r="M2784" s="5" t="str">
        <f>HYPERLINK(AB2 &amp; "/wrench/sn_ba53e871e1cfffb8e4e346ee2650d150/rendering/10.obj", "3.84905944824")</f>
        <v>3.84905944824</v>
      </c>
      <c r="N2784" s="6" t="str">
        <f>HYPERLINK(AB2 &amp; "/wrench/sn_ba53e871e1cfffb8e4e346ee2650d150/rendering/11.obj", "3.98426239014")</f>
        <v>3.98426239014</v>
      </c>
      <c r="O2784" s="30" t="str">
        <f>HYPERLINK(AB2 &amp; "/wrench/sn_ba53e871e1cfffb8e4e346ee2650d150/rendering/12.obj", "4.16117279053")</f>
        <v>4.16117279053</v>
      </c>
      <c r="P2784" s="10" t="str">
        <f>HYPERLINK(AB2 &amp; "/wrench/sn_ba53e871e1cfffb8e4e346ee2650d150/rendering/13.obj", "3.94509124756")</f>
        <v>3.94509124756</v>
      </c>
      <c r="Q2784" s="68" t="str">
        <f>HYPERLINK(AB2 &amp; "/wrench/sn_ba53e871e1cfffb8e4e346ee2650d150/rendering/14.obj", "4.00470092773")</f>
        <v>4.00470092773</v>
      </c>
      <c r="R2784" s="41" t="str">
        <f>HYPERLINK(AB2 &amp; "/wrench/sn_ba53e871e1cfffb8e4e346ee2650d150/rendering/15.obj", "3.89460266113")</f>
        <v>3.89460266113</v>
      </c>
      <c r="S2784" s="60" t="str">
        <f>HYPERLINK(AB2 &amp; "/wrench/sn_ba53e871e1cfffb8e4e346ee2650d150/rendering/16.obj", "4.3882824707")</f>
        <v>4.3882824707</v>
      </c>
      <c r="T2784" s="133" t="str">
        <f>HYPERLINK(AB2 &amp; "/wrench/sn_ba53e871e1cfffb8e4e346ee2650d150/rendering/17.obj", "3.74820800781")</f>
        <v>3.74820800781</v>
      </c>
      <c r="U2784" s="72" t="str">
        <f>HYPERLINK(AB2 &amp; "/wrench/sn_ba53e871e1cfffb8e4e346ee2650d150/rendering/18.obj", "4.04342773438")</f>
        <v>4.04342773438</v>
      </c>
      <c r="V2784" s="47" t="str">
        <f>HYPERLINK(AB2 &amp; "/wrench/sn_ba53e871e1cfffb8e4e346ee2650d150/rendering/19.obj", "4.21563232422")</f>
        <v>4.21563232422</v>
      </c>
      <c r="W2784" s="12" t="s">
        <v>31</v>
      </c>
      <c r="X2784" s="13">
        <v>4.1765997619628896</v>
      </c>
      <c r="Y2784" s="13">
        <v>0.26546345339834981</v>
      </c>
      <c r="Z2784" s="26">
        <v>6.3559706107340547E-2</v>
      </c>
    </row>
    <row r="2785" spans="1:26" x14ac:dyDescent="0.2">
      <c r="A2785" s="1">
        <v>2783</v>
      </c>
      <c r="B2785" s="2" t="s">
        <v>589</v>
      </c>
      <c r="C2785" s="32" t="str">
        <f>HYPERLINK(AB2 &amp; "/wrench/sn_ba53e871e1cfffb8e4e346ee2650d150/rendering/00.obj", "1.20347738266")</f>
        <v>1.20347738266</v>
      </c>
      <c r="D2785" s="31" t="str">
        <f>HYPERLINK(AB2 &amp; "/wrench/sn_ba53e871e1cfffb8e4e346ee2650d150/rendering/01.obj", "1.55056726933")</f>
        <v>1.55056726933</v>
      </c>
      <c r="E2785" s="17" t="str">
        <f>HYPERLINK(AB2 &amp; "/wrench/sn_ba53e871e1cfffb8e4e346ee2650d150/rendering/02.obj", "1.31510639191")</f>
        <v>1.31510639191</v>
      </c>
      <c r="F2785" s="106" t="str">
        <f>HYPERLINK(AB2 &amp; "/wrench/sn_ba53e871e1cfffb8e4e346ee2650d150/rendering/03.obj", "1.49607777596")</f>
        <v>1.49607777596</v>
      </c>
      <c r="G2785" s="30" t="str">
        <f>HYPERLINK(AB2 &amp; "/wrench/sn_ba53e871e1cfffb8e4e346ee2650d150/rendering/04.obj", "1.33761310577")</f>
        <v>1.33761310577</v>
      </c>
      <c r="H2785" s="47" t="str">
        <f>HYPERLINK(AB2 &amp; "/wrench/sn_ba53e871e1cfffb8e4e346ee2650d150/rendering/05.obj", "1.3553276062")</f>
        <v>1.3553276062</v>
      </c>
      <c r="I2785" s="39" t="str">
        <f>HYPERLINK(AB2 &amp; "/wrench/sn_ba53e871e1cfffb8e4e346ee2650d150/rendering/06.obj", "1.22665297985")</f>
        <v>1.22665297985</v>
      </c>
      <c r="J2785" s="55" t="str">
        <f>HYPERLINK(AB2 &amp; "/wrench/sn_ba53e871e1cfffb8e4e346ee2650d150/rendering/07.obj", "1.60272264481")</f>
        <v>1.60272264481</v>
      </c>
      <c r="K2785" s="71" t="str">
        <f>HYPERLINK(AB2 &amp; "/wrench/sn_ba53e871e1cfffb8e4e346ee2650d150/rendering/08.obj", "1.50244426727")</f>
        <v>1.50244426727</v>
      </c>
      <c r="L2785" s="142" t="str">
        <f>HYPERLINK(AB2 &amp; "/wrench/sn_ba53e871e1cfffb8e4e346ee2650d150/rendering/09.obj", "1.87189590931")</f>
        <v>1.87189590931</v>
      </c>
      <c r="M2785" s="92" t="str">
        <f>HYPERLINK(AB2 &amp; "/wrench/sn_ba53e871e1cfffb8e4e346ee2650d150/rendering/10.obj", "1.17587697506")</f>
        <v>1.17587697506</v>
      </c>
      <c r="N2785" s="107" t="str">
        <f>HYPERLINK(AB2 &amp; "/wrench/sn_ba53e871e1cfffb8e4e346ee2650d150/rendering/11.obj", "1.23389005661")</f>
        <v>1.23389005661</v>
      </c>
      <c r="O2785" s="28" t="str">
        <f>HYPERLINK(AB2 &amp; "/wrench/sn_ba53e871e1cfffb8e4e346ee2650d150/rendering/12.obj", "1.19589233398")</f>
        <v>1.19589233398</v>
      </c>
      <c r="P2785" s="6" t="str">
        <f>HYPERLINK(AB2 &amp; "/wrench/sn_ba53e871e1cfffb8e4e346ee2650d150/rendering/13.obj", "1.28371405602")</f>
        <v>1.28371405602</v>
      </c>
      <c r="Q2785" s="26" t="str">
        <f>HYPERLINK(AB2 &amp; "/wrench/sn_ba53e871e1cfffb8e4e346ee2650d150/rendering/14.obj", "1.25576233864")</f>
        <v>1.25576233864</v>
      </c>
      <c r="R2785" s="67" t="str">
        <f>HYPERLINK(AB2 &amp; "/wrench/sn_ba53e871e1cfffb8e4e346ee2650d150/rendering/15.obj", "1.2214140892")</f>
        <v>1.2214140892</v>
      </c>
      <c r="S2785" s="91" t="str">
        <f>HYPERLINK(AB2 &amp; "/wrench/sn_ba53e871e1cfffb8e4e346ee2650d150/rendering/16.obj", "1.30879664421")</f>
        <v>1.30879664421</v>
      </c>
      <c r="T2785" s="63" t="str">
        <f>HYPERLINK(AB2 &amp; "/wrench/sn_ba53e871e1cfffb8e4e346ee2650d150/rendering/17.obj", "1.17951822281")</f>
        <v>1.17951822281</v>
      </c>
      <c r="U2785" s="74" t="str">
        <f>HYPERLINK(AB2 &amp; "/wrench/sn_ba53e871e1cfffb8e4e346ee2650d150/rendering/18.obj", "1.32548582554")</f>
        <v>1.32548582554</v>
      </c>
      <c r="V2785" s="107" t="str">
        <f>HYPERLINK(AB2 &amp; "/wrench/sn_ba53e871e1cfffb8e4e346ee2650d150/rendering/19.obj", "1.23283076286")</f>
        <v>1.23283076286</v>
      </c>
      <c r="W2785" s="12" t="s">
        <v>32</v>
      </c>
      <c r="X2785" s="13">
        <v>1.3437533318996431</v>
      </c>
      <c r="Y2785" s="13">
        <v>0.17332070750150311</v>
      </c>
      <c r="Z2785" s="29">
        <v>0.1289825322750883</v>
      </c>
    </row>
    <row r="2786" spans="1:26" x14ac:dyDescent="0.2">
      <c r="A2786" s="1">
        <v>2784</v>
      </c>
      <c r="B2786" s="2" t="s">
        <v>589</v>
      </c>
      <c r="C2786" s="13" t="str">
        <f>HYPERLINK(AC2 &amp; "/wrench/sn_ba53e871e1cfffb8e4e346ee2650d150/rendering/00.xyz", "0.0")</f>
        <v>0.0</v>
      </c>
      <c r="D2786" s="13" t="str">
        <f>HYPERLINK(AC2 &amp; "/wrench/sn_ba53e871e1cfffb8e4e346ee2650d150/rendering/01.xyz", "0.0")</f>
        <v>0.0</v>
      </c>
      <c r="E2786" s="13" t="str">
        <f>HYPERLINK(AC2 &amp; "/wrench/sn_ba53e871e1cfffb8e4e346ee2650d150/rendering/02.xyz", "0.0")</f>
        <v>0.0</v>
      </c>
      <c r="F2786" s="13" t="str">
        <f>HYPERLINK(AC2 &amp; "/wrench/sn_ba53e871e1cfffb8e4e346ee2650d150/rendering/03.xyz", "0.0")</f>
        <v>0.0</v>
      </c>
      <c r="G2786" s="13" t="str">
        <f>HYPERLINK(AC2 &amp; "/wrench/sn_ba53e871e1cfffb8e4e346ee2650d150/rendering/04.xyz", "0.0")</f>
        <v>0.0</v>
      </c>
      <c r="H2786" s="13" t="str">
        <f>HYPERLINK(AC2 &amp; "/wrench/sn_ba53e871e1cfffb8e4e346ee2650d150/rendering/05.xyz", "0.0")</f>
        <v>0.0</v>
      </c>
      <c r="I2786" s="13" t="str">
        <f>HYPERLINK(AC2 &amp; "/wrench/sn_ba53e871e1cfffb8e4e346ee2650d150/rendering/06.xyz", "0.0")</f>
        <v>0.0</v>
      </c>
      <c r="J2786" s="13" t="str">
        <f>HYPERLINK(AC2 &amp; "/wrench/sn_ba53e871e1cfffb8e4e346ee2650d150/rendering/07.xyz", "0.0")</f>
        <v>0.0</v>
      </c>
      <c r="K2786" s="13" t="str">
        <f>HYPERLINK(AC2 &amp; "/wrench/sn_ba53e871e1cfffb8e4e346ee2650d150/rendering/08.xyz", "0.0")</f>
        <v>0.0</v>
      </c>
      <c r="L2786" s="13" t="str">
        <f>HYPERLINK(AC2 &amp; "/wrench/sn_ba53e871e1cfffb8e4e346ee2650d150/rendering/09.xyz", "0.0")</f>
        <v>0.0</v>
      </c>
      <c r="M2786" s="13" t="str">
        <f>HYPERLINK(AC2 &amp; "/wrench/sn_ba53e871e1cfffb8e4e346ee2650d150/rendering/10.xyz", "0.0")</f>
        <v>0.0</v>
      </c>
      <c r="N2786" s="13" t="str">
        <f>HYPERLINK(AC2 &amp; "/wrench/sn_ba53e871e1cfffb8e4e346ee2650d150/rendering/11.xyz", "0.0")</f>
        <v>0.0</v>
      </c>
      <c r="O2786" s="13" t="str">
        <f>HYPERLINK(AC2 &amp; "/wrench/sn_ba53e871e1cfffb8e4e346ee2650d150/rendering/12.xyz", "0.0")</f>
        <v>0.0</v>
      </c>
      <c r="P2786" s="13" t="str">
        <f>HYPERLINK(AC2 &amp; "/wrench/sn_ba53e871e1cfffb8e4e346ee2650d150/rendering/13.xyz", "0.0")</f>
        <v>0.0</v>
      </c>
      <c r="Q2786" s="13" t="str">
        <f>HYPERLINK(AC2 &amp; "/wrench/sn_ba53e871e1cfffb8e4e346ee2650d150/rendering/14.xyz", "0.0")</f>
        <v>0.0</v>
      </c>
      <c r="R2786" s="13" t="str">
        <f>HYPERLINK(AC2 &amp; "/wrench/sn_ba53e871e1cfffb8e4e346ee2650d150/rendering/15.xyz", "0.0")</f>
        <v>0.0</v>
      </c>
      <c r="S2786" s="13" t="str">
        <f>HYPERLINK(AC2 &amp; "/wrench/sn_ba53e871e1cfffb8e4e346ee2650d150/rendering/16.xyz", "0.0")</f>
        <v>0.0</v>
      </c>
      <c r="T2786" s="13" t="str">
        <f>HYPERLINK(AC2 &amp; "/wrench/sn_ba53e871e1cfffb8e4e346ee2650d150/rendering/17.xyz", "0.0")</f>
        <v>0.0</v>
      </c>
      <c r="U2786" s="13" t="str">
        <f>HYPERLINK(AC2 &amp; "/wrench/sn_ba53e871e1cfffb8e4e346ee2650d150/rendering/18.xyz", "0.0")</f>
        <v>0.0</v>
      </c>
      <c r="V2786" s="13" t="str">
        <f>HYPERLINK(AC2 &amp; "/wrench/sn_ba53e871e1cfffb8e4e346ee2650d150/rendering/19.xyz", "0.0")</f>
        <v>0.0</v>
      </c>
      <c r="W2786" s="12" t="s">
        <v>33</v>
      </c>
      <c r="X2786" s="13">
        <v>0</v>
      </c>
      <c r="Y2786" s="13">
        <v>0</v>
      </c>
      <c r="Z2786" s="13">
        <v>0</v>
      </c>
    </row>
    <row r="2787" spans="1:26" x14ac:dyDescent="0.2">
      <c r="A2787" s="1">
        <v>2785</v>
      </c>
      <c r="B2787" s="2" t="s">
        <v>590</v>
      </c>
      <c r="C2787" s="69" t="str">
        <f>HYPERLINK(AA2 &amp; "/wrench/sn_c6e88efa08ba4016e4e346ee2650d150/rendering/00.obj", "5.16309692383")</f>
        <v>5.16309692383</v>
      </c>
      <c r="D2787" s="67" t="str">
        <f>HYPERLINK(AA2 &amp; "/wrench/sn_c6e88efa08ba4016e4e346ee2650d150/rendering/01.obj", "4.55688354492")</f>
        <v>4.55688354492</v>
      </c>
      <c r="E2787" s="26" t="str">
        <f>HYPERLINK(AA2 &amp; "/wrench/sn_c6e88efa08ba4016e4e346ee2650d150/rendering/02.obj", "4.69855804443")</f>
        <v>4.69855804443</v>
      </c>
      <c r="F2787" s="73" t="str">
        <f>HYPERLINK(AA2 &amp; "/wrench/sn_c6e88efa08ba4016e4e346ee2650d150/rendering/03.obj", "5.19287597656")</f>
        <v>5.19287597656</v>
      </c>
      <c r="G2787" s="28" t="str">
        <f>HYPERLINK(AA2 &amp; "/wrench/sn_c6e88efa08ba4016e4e346ee2650d150/rendering/04.obj", "4.45595245361")</f>
        <v>4.45595245361</v>
      </c>
      <c r="H2787" s="40" t="str">
        <f>HYPERLINK(AA2 &amp; "/wrench/sn_c6e88efa08ba4016e4e346ee2650d150/rendering/05.obj", "4.15629089355")</f>
        <v>4.15629089355</v>
      </c>
      <c r="I2787" s="46" t="str">
        <f>HYPERLINK(AA2 &amp; "/wrench/sn_c6e88efa08ba4016e4e346ee2650d150/rendering/06.obj", "4.92916137695")</f>
        <v>4.92916137695</v>
      </c>
      <c r="J2787" s="78" t="str">
        <f>HYPERLINK(AA2 &amp; "/wrench/sn_c6e88efa08ba4016e4e346ee2650d150/rendering/07.obj", "5.31756225586")</f>
        <v>5.31756225586</v>
      </c>
      <c r="K2787" s="73" t="str">
        <f>HYPERLINK(AA2 &amp; "/wrench/sn_c6e88efa08ba4016e4e346ee2650d150/rendering/08.obj", "4.83869812012")</f>
        <v>4.83869812012</v>
      </c>
      <c r="L2787" s="78" t="str">
        <f>HYPERLINK(AA2 &amp; "/wrench/sn_c6e88efa08ba4016e4e346ee2650d150/rendering/09.obj", "4.70688720703")</f>
        <v>4.70688720703</v>
      </c>
      <c r="M2787" s="46" t="str">
        <f>HYPERLINK(AA2 &amp; "/wrench/sn_c6e88efa08ba4016e4e346ee2650d150/rendering/10.obj", "4.93371582031")</f>
        <v>4.93371582031</v>
      </c>
      <c r="N2787" s="5" t="str">
        <f>HYPERLINK(AA2 &amp; "/wrench/sn_c6e88efa08ba4016e4e346ee2650d150/rendering/11.obj", "4.62509338379")</f>
        <v>4.62509338379</v>
      </c>
      <c r="O2787" s="13" t="str">
        <f>HYPERLINK(AA2 &amp; "/wrench/sn_c6e88efa08ba4016e4e346ee2650d150/rendering/12.obj", "5.01285644531")</f>
        <v>5.01285644531</v>
      </c>
      <c r="P2787" s="10" t="str">
        <f>HYPERLINK(AA2 &amp; "/wrench/sn_c6e88efa08ba4016e4e346ee2650d150/rendering/13.obj", "4.74679626465")</f>
        <v>4.74679626465</v>
      </c>
      <c r="Q2787" s="10" t="str">
        <f>HYPERLINK(AA2 &amp; "/wrench/sn_c6e88efa08ba4016e4e346ee2650d150/rendering/14.obj", "4.73189025879")</f>
        <v>4.73189025879</v>
      </c>
      <c r="R2787" s="125" t="str">
        <f>HYPERLINK(AA2 &amp; "/wrench/sn_c6e88efa08ba4016e4e346ee2650d150/rendering/15.obj", "8.5730871582")</f>
        <v>8.5730871582</v>
      </c>
      <c r="S2787" s="46" t="str">
        <f>HYPERLINK(AA2 &amp; "/wrench/sn_c6e88efa08ba4016e4e346ee2650d150/rendering/16.obj", "5.09626434326")</f>
        <v>5.09626434326</v>
      </c>
      <c r="T2787" s="60" t="str">
        <f>HYPERLINK(AA2 &amp; "/wrench/sn_c6e88efa08ba4016e4e346ee2650d150/rendering/17.obj", "5.26732299805")</f>
        <v>5.26732299805</v>
      </c>
      <c r="U2787" s="106" t="str">
        <f>HYPERLINK(AA2 &amp; "/wrench/sn_c6e88efa08ba4016e4e346ee2650d150/rendering/18.obj", "4.43340759277")</f>
        <v>4.43340759277</v>
      </c>
      <c r="V2787" s="72" t="str">
        <f>HYPERLINK(AA2 &amp; "/wrench/sn_c6e88efa08ba4016e4e346ee2650d150/rendering/19.obj", "4.85324279785")</f>
        <v>4.85324279785</v>
      </c>
      <c r="W2787" s="12" t="s">
        <v>29</v>
      </c>
      <c r="X2787" s="13">
        <v>5.0144821929931647</v>
      </c>
      <c r="Y2787" s="13">
        <v>0.86728917627470226</v>
      </c>
      <c r="Z2787" s="37">
        <v>0.17295687628257661</v>
      </c>
    </row>
    <row r="2788" spans="1:26" x14ac:dyDescent="0.2">
      <c r="A2788" s="1">
        <v>2786</v>
      </c>
      <c r="B2788" s="2" t="s">
        <v>590</v>
      </c>
      <c r="C2788" s="63" t="str">
        <f>HYPERLINK(AA2 &amp; "/wrench/sn_c6e88efa08ba4016e4e346ee2650d150/rendering/00.obj", "1.62850415707")</f>
        <v>1.62850415707</v>
      </c>
      <c r="D2788" s="170" t="str">
        <f>HYPERLINK(AA2 &amp; "/wrench/sn_c6e88efa08ba4016e4e346ee2650d150/rendering/01.obj", "1.38045990467")</f>
        <v>1.38045990467</v>
      </c>
      <c r="E2788" s="40" t="str">
        <f>HYPERLINK(AA2 &amp; "/wrench/sn_c6e88efa08ba4016e4e346ee2650d150/rendering/02.obj", "1.53633606434")</f>
        <v>1.53633606434</v>
      </c>
      <c r="F2788" s="31" t="str">
        <f>HYPERLINK(AA2 &amp; "/wrench/sn_c6e88efa08ba4016e4e346ee2650d150/rendering/03.obj", "1.56205868721")</f>
        <v>1.56205868721</v>
      </c>
      <c r="G2788" s="50" t="str">
        <f>HYPERLINK(AA2 &amp; "/wrench/sn_c6e88efa08ba4016e4e346ee2650d150/rendering/04.obj", "1.47951972485")</f>
        <v>1.47951972485</v>
      </c>
      <c r="H2788" s="89" t="str">
        <f>HYPERLINK(AA2 &amp; "/wrench/sn_c6e88efa08ba4016e4e346ee2650d150/rendering/05.obj", "1.37368679047")</f>
        <v>1.37368679047</v>
      </c>
      <c r="I2788" s="5" t="str">
        <f>HYPERLINK(AA2 &amp; "/wrench/sn_c6e88efa08ba4016e4e346ee2650d150/rendering/06.obj", "1.70871770382")</f>
        <v>1.70871770382</v>
      </c>
      <c r="J2788" s="68" t="str">
        <f>HYPERLINK(AA2 &amp; "/wrench/sn_c6e88efa08ba4016e4e346ee2650d150/rendering/07.obj", "1.92779231071")</f>
        <v>1.92779231071</v>
      </c>
      <c r="K2788" s="95" t="str">
        <f>HYPERLINK(AA2 &amp; "/wrench/sn_c6e88efa08ba4016e4e346ee2650d150/rendering/08.obj", "1.33029878139")</f>
        <v>1.33029878139</v>
      </c>
      <c r="L2788" s="136" t="str">
        <f>HYPERLINK(AA2 &amp; "/wrench/sn_c6e88efa08ba4016e4e346ee2650d150/rendering/09.obj", "1.41378259659")</f>
        <v>1.41378259659</v>
      </c>
      <c r="M2788" s="31" t="str">
        <f>HYPERLINK(AA2 &amp; "/wrench/sn_c6e88efa08ba4016e4e346ee2650d150/rendering/10.obj", "1.56120812893")</f>
        <v>1.56120812893</v>
      </c>
      <c r="N2788" s="175" t="str">
        <f>HYPERLINK(AA2 &amp; "/wrench/sn_c6e88efa08ba4016e4e346ee2650d150/rendering/11.obj", "1.41788983345")</f>
        <v>1.41788983345</v>
      </c>
      <c r="O2788" s="93" t="str">
        <f>HYPERLINK(AA2 &amp; "/wrench/sn_c6e88efa08ba4016e4e346ee2650d150/rendering/12.obj", "1.58958542347")</f>
        <v>1.58958542347</v>
      </c>
      <c r="P2788" s="103" t="str">
        <f>HYPERLINK(AA2 &amp; "/wrench/sn_c6e88efa08ba4016e4e346ee2650d150/rendering/13.obj", "1.25164234638")</f>
        <v>1.25164234638</v>
      </c>
      <c r="Q2788" s="134" t="str">
        <f>HYPERLINK(AA2 &amp; "/wrench/sn_c6e88efa08ba4016e4e346ee2650d150/rendering/14.obj", "1.51384913921")</f>
        <v>1.51384913921</v>
      </c>
      <c r="R2788" s="20" t="str">
        <f>HYPERLINK(AA2 &amp; "/wrench/sn_c6e88efa08ba4016e4e346ee2650d150/rendering/15.obj", "7.24261808395")</f>
        <v>7.24261808395</v>
      </c>
      <c r="S2788" s="76" t="str">
        <f>HYPERLINK(AA2 &amp; "/wrench/sn_c6e88efa08ba4016e4e346ee2650d150/rendering/16.obj", "1.51051700115")</f>
        <v>1.51051700115</v>
      </c>
      <c r="T2788" s="30" t="str">
        <f>HYPERLINK(AA2 &amp; "/wrench/sn_c6e88efa08ba4016e4e346ee2650d150/rendering/17.obj", "1.85914576054")</f>
        <v>1.85914576054</v>
      </c>
      <c r="U2788" s="77" t="str">
        <f>HYPERLINK(AA2 &amp; "/wrench/sn_c6e88efa08ba4016e4e346ee2650d150/rendering/18.obj", "1.50185012817")</f>
        <v>1.50185012817</v>
      </c>
      <c r="V2788" s="55" t="str">
        <f>HYPERLINK(AA2 &amp; "/wrench/sn_c6e88efa08ba4016e4e346ee2650d150/rendering/19.obj", "2.20537114143")</f>
        <v>2.20537114143</v>
      </c>
      <c r="W2788" s="12" t="s">
        <v>30</v>
      </c>
      <c r="X2788" s="13">
        <v>1.849741685390472</v>
      </c>
      <c r="Y2788" s="13">
        <v>1.256054607990974</v>
      </c>
      <c r="Z2788" s="220">
        <v>0.67904325123419917</v>
      </c>
    </row>
    <row r="2789" spans="1:26" x14ac:dyDescent="0.2">
      <c r="A2789" s="1">
        <v>2787</v>
      </c>
      <c r="B2789" s="2" t="s">
        <v>590</v>
      </c>
      <c r="C2789" s="17" t="str">
        <f>HYPERLINK(AB2 &amp; "/wrench/sn_c6e88efa08ba4016e4e346ee2650d150/rendering/00.obj", "4.20221740723")</f>
        <v>4.20221740723</v>
      </c>
      <c r="D2789" s="30" t="str">
        <f>HYPERLINK(AB2 &amp; "/wrench/sn_c6e88efa08ba4016e4e346ee2650d150/rendering/01.obj", "4.14739776611")</f>
        <v>4.14739776611</v>
      </c>
      <c r="E2789" s="10" t="str">
        <f>HYPERLINK(AB2 &amp; "/wrench/sn_c6e88efa08ba4016e4e346ee2650d150/rendering/02.obj", "3.89320922852")</f>
        <v>3.89320922852</v>
      </c>
      <c r="F2789" s="13" t="str">
        <f>HYPERLINK(AB2 &amp; "/wrench/sn_c6e88efa08ba4016e4e346ee2650d150/rendering/03.obj", "4.1259564209")</f>
        <v>4.1259564209</v>
      </c>
      <c r="G2789" s="26" t="str">
        <f>HYPERLINK(AB2 &amp; "/wrench/sn_c6e88efa08ba4016e4e346ee2650d150/rendering/04.obj", "3.85226623535")</f>
        <v>3.85226623535</v>
      </c>
      <c r="H2789" s="51" t="str">
        <f>HYPERLINK(AB2 &amp; "/wrench/sn_c6e88efa08ba4016e4e346ee2650d150/rendering/05.obj", "3.79439758301")</f>
        <v>3.79439758301</v>
      </c>
      <c r="I2789" s="92" t="str">
        <f>HYPERLINK(AB2 &amp; "/wrench/sn_c6e88efa08ba4016e4e346ee2650d150/rendering/06.obj", "4.6398248291")</f>
        <v>4.6398248291</v>
      </c>
      <c r="J2789" s="90" t="str">
        <f>HYPERLINK(AB2 &amp; "/wrench/sn_c6e88efa08ba4016e4e346ee2650d150/rendering/07.obj", "4.52304443359")</f>
        <v>4.52304443359</v>
      </c>
      <c r="K2789" s="47" t="str">
        <f>HYPERLINK(AB2 &amp; "/wrench/sn_c6e88efa08ba4016e4e346ee2650d150/rendering/08.obj", "4.08943206787")</f>
        <v>4.08943206787</v>
      </c>
      <c r="L2789" s="72" t="str">
        <f>HYPERLINK(AB2 &amp; "/wrench/sn_c6e88efa08ba4016e4e346ee2650d150/rendering/09.obj", "3.98310394287")</f>
        <v>3.98310394287</v>
      </c>
      <c r="M2789" s="13" t="str">
        <f>HYPERLINK(AB2 &amp; "/wrench/sn_c6e88efa08ba4016e4e346ee2650d150/rendering/10.obj", "4.11590637207")</f>
        <v>4.11590637207</v>
      </c>
      <c r="N2789" s="13" t="str">
        <f>HYPERLINK(AB2 &amp; "/wrench/sn_c6e88efa08ba4016e4e346ee2650d150/rendering/11.obj", "4.12083679199")</f>
        <v>4.12083679199</v>
      </c>
      <c r="O2789" s="23" t="str">
        <f>HYPERLINK(AB2 &amp; "/wrench/sn_c6e88efa08ba4016e4e346ee2650d150/rendering/12.obj", "4.28312744141")</f>
        <v>4.28312744141</v>
      </c>
      <c r="P2789" s="69" t="str">
        <f>HYPERLINK(AB2 &amp; "/wrench/sn_c6e88efa08ba4016e4e346ee2650d150/rendering/13.obj", "4.25237304688")</f>
        <v>4.25237304688</v>
      </c>
      <c r="Q2789" s="47" t="str">
        <f>HYPERLINK(AB2 &amp; "/wrench/sn_c6e88efa08ba4016e4e346ee2650d150/rendering/14.obj", "4.14966125488")</f>
        <v>4.14966125488</v>
      </c>
      <c r="R2789" s="91" t="str">
        <f>HYPERLINK(AB2 &amp; "/wrench/sn_c6e88efa08ba4016e4e346ee2650d150/rendering/15.obj", "4.22881103516")</f>
        <v>4.22881103516</v>
      </c>
      <c r="S2789" s="46" t="str">
        <f>HYPERLINK(AB2 &amp; "/wrench/sn_c6e88efa08ba4016e4e346ee2650d150/rendering/16.obj", "4.20006958008")</f>
        <v>4.20006958008</v>
      </c>
      <c r="T2789" s="41" t="str">
        <f>HYPERLINK(AB2 &amp; "/wrench/sn_c6e88efa08ba4016e4e346ee2650d150/rendering/17.obj", "3.85182128906")</f>
        <v>3.85182128906</v>
      </c>
      <c r="U2789" s="48" t="str">
        <f>HYPERLINK(AB2 &amp; "/wrench/sn_c6e88efa08ba4016e4e346ee2650d150/rendering/18.obj", "4.02177490234")</f>
        <v>4.02177490234</v>
      </c>
      <c r="V2789" s="69" t="str">
        <f>HYPERLINK(AB2 &amp; "/wrench/sn_c6e88efa08ba4016e4e346ee2650d150/rendering/19.obj", "3.99641906738")</f>
        <v>3.99641906738</v>
      </c>
      <c r="W2789" s="12" t="s">
        <v>31</v>
      </c>
      <c r="X2789" s="13">
        <v>4.1235825347900388</v>
      </c>
      <c r="Y2789" s="13">
        <v>0.20601950538707889</v>
      </c>
      <c r="Z2789" s="34">
        <v>4.9961290612937588E-2</v>
      </c>
    </row>
    <row r="2790" spans="1:26" x14ac:dyDescent="0.2">
      <c r="A2790" s="1">
        <v>2788</v>
      </c>
      <c r="B2790" s="2" t="s">
        <v>590</v>
      </c>
      <c r="C2790" s="29" t="str">
        <f>HYPERLINK(AB2 &amp; "/wrench/sn_c6e88efa08ba4016e4e346ee2650d150/rendering/00.obj", "1.13263976574")</f>
        <v>1.13263976574</v>
      </c>
      <c r="D2790" s="60" t="str">
        <f>HYPERLINK(AB2 &amp; "/wrench/sn_c6e88efa08ba4016e4e346ee2650d150/rendering/01.obj", "1.23223781586")</f>
        <v>1.23223781586</v>
      </c>
      <c r="E2790" s="60" t="str">
        <f>HYPERLINK(AB2 &amp; "/wrench/sn_c6e88efa08ba4016e4e346ee2650d150/rendering/02.obj", "1.23074245453")</f>
        <v>1.23074245453</v>
      </c>
      <c r="F2790" s="30" t="str">
        <f>HYPERLINK(AB2 &amp; "/wrench/sn_c6e88efa08ba4016e4e346ee2650d150/rendering/03.obj", "1.29325056076")</f>
        <v>1.29325056076</v>
      </c>
      <c r="G2790" s="41" t="str">
        <f>HYPERLINK(AB2 &amp; "/wrench/sn_c6e88efa08ba4016e4e346ee2650d150/rendering/04.obj", "1.21346843243")</f>
        <v>1.21346843243</v>
      </c>
      <c r="H2790" s="34" t="str">
        <f>HYPERLINK(AB2 &amp; "/wrench/sn_c6e88efa08ba4016e4e346ee2650d150/rendering/05.obj", "1.23704314232")</f>
        <v>1.23704314232</v>
      </c>
      <c r="I2790" s="109" t="str">
        <f>HYPERLINK(AB2 &amp; "/wrench/sn_c6e88efa08ba4016e4e346ee2650d150/rendering/06.obj", "1.54831504822")</f>
        <v>1.54831504822</v>
      </c>
      <c r="J2790" s="65" t="str">
        <f>HYPERLINK(AB2 &amp; "/wrench/sn_c6e88efa08ba4016e4e346ee2650d150/rendering/07.obj", "1.47443830967")</f>
        <v>1.47443830967</v>
      </c>
      <c r="K2790" s="83" t="str">
        <f>HYPERLINK(AB2 &amp; "/wrench/sn_c6e88efa08ba4016e4e346ee2650d150/rendering/08.obj", "1.10023021698")</f>
        <v>1.10023021698</v>
      </c>
      <c r="L2790" s="26" t="str">
        <f>HYPERLINK(AB2 &amp; "/wrench/sn_c6e88efa08ba4016e4e346ee2650d150/rendering/09.obj", "1.21511411667")</f>
        <v>1.21511411667</v>
      </c>
      <c r="M2790" s="73" t="str">
        <f>HYPERLINK(AB2 &amp; "/wrench/sn_c6e88efa08ba4016e4e346ee2650d150/rendering/10.obj", "1.25296962261")</f>
        <v>1.25296962261</v>
      </c>
      <c r="N2790" s="34" t="str">
        <f>HYPERLINK(AB2 &amp; "/wrench/sn_c6e88efa08ba4016e4e346ee2650d150/rendering/11.obj", "1.23663473129")</f>
        <v>1.23663473129</v>
      </c>
      <c r="O2790" s="78" t="str">
        <f>HYPERLINK(AB2 &amp; "/wrench/sn_c6e88efa08ba4016e4e346ee2650d150/rendering/12.obj", "1.37842559814")</f>
        <v>1.37842559814</v>
      </c>
      <c r="P2790" s="69" t="str">
        <f>HYPERLINK(AB2 &amp; "/wrench/sn_c6e88efa08ba4016e4e346ee2650d150/rendering/13.obj", "1.26315748692")</f>
        <v>1.26315748692</v>
      </c>
      <c r="Q2790" s="69" t="str">
        <f>HYPERLINK(AB2 &amp; "/wrench/sn_c6e88efa08ba4016e4e346ee2650d150/rendering/14.obj", "1.33882057667")</f>
        <v>1.33882057667</v>
      </c>
      <c r="R2790" s="27" t="str">
        <f>HYPERLINK(AB2 &amp; "/wrench/sn_c6e88efa08ba4016e4e346ee2650d150/rendering/15.obj", "1.39080607891")</f>
        <v>1.39080607891</v>
      </c>
      <c r="S2790" s="70" t="str">
        <f>HYPERLINK(AB2 &amp; "/wrench/sn_c6e88efa08ba4016e4e346ee2650d150/rendering/16.obj", "1.13566088676")</f>
        <v>1.13566088676</v>
      </c>
      <c r="T2790" s="90" t="str">
        <f>HYPERLINK(AB2 &amp; "/wrench/sn_c6e88efa08ba4016e4e346ee2650d150/rendering/17.obj", "1.42305898666")</f>
        <v>1.42305898666</v>
      </c>
      <c r="U2790" s="44" t="str">
        <f>HYPERLINK(AB2 &amp; "/wrench/sn_c6e88efa08ba4016e4e346ee2650d150/rendering/18.obj", "1.55593383312")</f>
        <v>1.55593383312</v>
      </c>
      <c r="V2790" s="73" t="str">
        <f>HYPERLINK(AB2 &amp; "/wrench/sn_c6e88efa08ba4016e4e346ee2650d150/rendering/19.obj", "1.34698820114")</f>
        <v>1.34698820114</v>
      </c>
      <c r="W2790" s="12" t="s">
        <v>32</v>
      </c>
      <c r="X2790" s="13">
        <v>1.2999967932701111</v>
      </c>
      <c r="Y2790" s="13">
        <v>0.12677655241728089</v>
      </c>
      <c r="Z2790" s="110">
        <v>9.7520665492087516E-2</v>
      </c>
    </row>
    <row r="2791" spans="1:26" x14ac:dyDescent="0.2">
      <c r="A2791" s="1">
        <v>2789</v>
      </c>
      <c r="B2791" s="2" t="s">
        <v>590</v>
      </c>
      <c r="C2791" s="13" t="str">
        <f>HYPERLINK(AC2 &amp; "/wrench/sn_c6e88efa08ba4016e4e346ee2650d150/rendering/00.xyz", "0.0")</f>
        <v>0.0</v>
      </c>
      <c r="D2791" s="13" t="str">
        <f>HYPERLINK(AC2 &amp; "/wrench/sn_c6e88efa08ba4016e4e346ee2650d150/rendering/01.xyz", "0.0")</f>
        <v>0.0</v>
      </c>
      <c r="E2791" s="13" t="str">
        <f>HYPERLINK(AC2 &amp; "/wrench/sn_c6e88efa08ba4016e4e346ee2650d150/rendering/02.xyz", "0.0")</f>
        <v>0.0</v>
      </c>
      <c r="F2791" s="13" t="str">
        <f>HYPERLINK(AC2 &amp; "/wrench/sn_c6e88efa08ba4016e4e346ee2650d150/rendering/03.xyz", "0.0")</f>
        <v>0.0</v>
      </c>
      <c r="G2791" s="13" t="str">
        <f>HYPERLINK(AC2 &amp; "/wrench/sn_c6e88efa08ba4016e4e346ee2650d150/rendering/04.xyz", "0.0")</f>
        <v>0.0</v>
      </c>
      <c r="H2791" s="13" t="str">
        <f>HYPERLINK(AC2 &amp; "/wrench/sn_c6e88efa08ba4016e4e346ee2650d150/rendering/05.xyz", "0.0")</f>
        <v>0.0</v>
      </c>
      <c r="I2791" s="13" t="str">
        <f>HYPERLINK(AC2 &amp; "/wrench/sn_c6e88efa08ba4016e4e346ee2650d150/rendering/06.xyz", "0.0")</f>
        <v>0.0</v>
      </c>
      <c r="J2791" s="13" t="str">
        <f>HYPERLINK(AC2 &amp; "/wrench/sn_c6e88efa08ba4016e4e346ee2650d150/rendering/07.xyz", "0.0")</f>
        <v>0.0</v>
      </c>
      <c r="K2791" s="13" t="str">
        <f>HYPERLINK(AC2 &amp; "/wrench/sn_c6e88efa08ba4016e4e346ee2650d150/rendering/08.xyz", "0.0")</f>
        <v>0.0</v>
      </c>
      <c r="L2791" s="13" t="str">
        <f>HYPERLINK(AC2 &amp; "/wrench/sn_c6e88efa08ba4016e4e346ee2650d150/rendering/09.xyz", "0.0")</f>
        <v>0.0</v>
      </c>
      <c r="M2791" s="13" t="str">
        <f>HYPERLINK(AC2 &amp; "/wrench/sn_c6e88efa08ba4016e4e346ee2650d150/rendering/10.xyz", "0.0")</f>
        <v>0.0</v>
      </c>
      <c r="N2791" s="13" t="str">
        <f>HYPERLINK(AC2 &amp; "/wrench/sn_c6e88efa08ba4016e4e346ee2650d150/rendering/11.xyz", "0.0")</f>
        <v>0.0</v>
      </c>
      <c r="O2791" s="13" t="str">
        <f>HYPERLINK(AC2 &amp; "/wrench/sn_c6e88efa08ba4016e4e346ee2650d150/rendering/12.xyz", "0.0")</f>
        <v>0.0</v>
      </c>
      <c r="P2791" s="13" t="str">
        <f>HYPERLINK(AC2 &amp; "/wrench/sn_c6e88efa08ba4016e4e346ee2650d150/rendering/13.xyz", "0.0")</f>
        <v>0.0</v>
      </c>
      <c r="Q2791" s="13" t="str">
        <f>HYPERLINK(AC2 &amp; "/wrench/sn_c6e88efa08ba4016e4e346ee2650d150/rendering/14.xyz", "0.0")</f>
        <v>0.0</v>
      </c>
      <c r="R2791" s="13" t="str">
        <f>HYPERLINK(AC2 &amp; "/wrench/sn_c6e88efa08ba4016e4e346ee2650d150/rendering/15.xyz", "0.0")</f>
        <v>0.0</v>
      </c>
      <c r="S2791" s="13" t="str">
        <f>HYPERLINK(AC2 &amp; "/wrench/sn_c6e88efa08ba4016e4e346ee2650d150/rendering/16.xyz", "0.0")</f>
        <v>0.0</v>
      </c>
      <c r="T2791" s="13" t="str">
        <f>HYPERLINK(AC2 &amp; "/wrench/sn_c6e88efa08ba4016e4e346ee2650d150/rendering/17.xyz", "0.0")</f>
        <v>0.0</v>
      </c>
      <c r="U2791" s="13" t="str">
        <f>HYPERLINK(AC2 &amp; "/wrench/sn_c6e88efa08ba4016e4e346ee2650d150/rendering/18.xyz", "0.0")</f>
        <v>0.0</v>
      </c>
      <c r="V2791" s="13" t="str">
        <f>HYPERLINK(AC2 &amp; "/wrench/sn_c6e88efa08ba4016e4e346ee2650d150/rendering/19.xyz", "0.0")</f>
        <v>0.0</v>
      </c>
      <c r="W2791" s="12" t="s">
        <v>33</v>
      </c>
      <c r="X2791" s="13">
        <v>0</v>
      </c>
      <c r="Y2791" s="13">
        <v>0</v>
      </c>
      <c r="Z2791" s="13">
        <v>0</v>
      </c>
    </row>
    <row r="2792" spans="1:26" x14ac:dyDescent="0.2">
      <c r="A2792" s="1">
        <v>2790</v>
      </c>
      <c r="B2792" s="2" t="s">
        <v>591</v>
      </c>
      <c r="C2792" s="10" t="str">
        <f>HYPERLINK(AA2 &amp; "/wrench/sn_c81d3dfeef42dedecf31f0f8432d9b6a/rendering/00.obj", "5.98458984375")</f>
        <v>5.98458984375</v>
      </c>
      <c r="D2792" s="46" t="str">
        <f>HYPERLINK(AA2 &amp; "/wrench/sn_c81d3dfeef42dedecf31f0f8432d9b6a/rendering/01.obj", "5.76969787598")</f>
        <v>5.76969787598</v>
      </c>
      <c r="E2792" s="30" t="str">
        <f>HYPERLINK(AA2 &amp; "/wrench/sn_c81d3dfeef42dedecf31f0f8432d9b6a/rendering/02.obj", "5.71073486328")</f>
        <v>5.71073486328</v>
      </c>
      <c r="F2792" s="106" t="str">
        <f>HYPERLINK(AA2 &amp; "/wrench/sn_c81d3dfeef42dedecf31f0f8432d9b6a/rendering/03.obj", "5.03084442139")</f>
        <v>5.03084442139</v>
      </c>
      <c r="G2792" s="13" t="str">
        <f>HYPERLINK(AA2 &amp; "/wrench/sn_c81d3dfeef42dedecf31f0f8432d9b6a/rendering/04.obj", "5.67978820801")</f>
        <v>5.67978820801</v>
      </c>
      <c r="H2792" s="10" t="str">
        <f>HYPERLINK(AA2 &amp; "/wrench/sn_c81d3dfeef42dedecf31f0f8432d9b6a/rendering/05.obj", "5.35862426758")</f>
        <v>5.35862426758</v>
      </c>
      <c r="I2792" s="35" t="str">
        <f>HYPERLINK(AA2 &amp; "/wrench/sn_c81d3dfeef42dedecf31f0f8432d9b6a/rendering/06.obj", "5.34791320801")</f>
        <v>5.34791320801</v>
      </c>
      <c r="J2792" s="134" t="str">
        <f>HYPERLINK(AA2 &amp; "/wrench/sn_c81d3dfeef42dedecf31f0f8432d9b6a/rendering/07.obj", "6.70287597656")</f>
        <v>6.70287597656</v>
      </c>
      <c r="K2792" s="5" t="str">
        <f>HYPERLINK(AA2 &amp; "/wrench/sn_c81d3dfeef42dedecf31f0f8432d9b6a/rendering/08.obj", "5.24806396484")</f>
        <v>5.24806396484</v>
      </c>
      <c r="L2792" s="38" t="str">
        <f>HYPERLINK(AA2 &amp; "/wrench/sn_c81d3dfeef42dedecf31f0f8432d9b6a/rendering/09.obj", "5.16704711914")</f>
        <v>5.16704711914</v>
      </c>
      <c r="M2792" s="72" t="str">
        <f>HYPERLINK(AA2 &amp; "/wrench/sn_c81d3dfeef42dedecf31f0f8432d9b6a/rendering/10.obj", "5.49172851562")</f>
        <v>5.49172851562</v>
      </c>
      <c r="N2792" s="39" t="str">
        <f>HYPERLINK(AA2 &amp; "/wrench/sn_c81d3dfeef42dedecf31f0f8432d9b6a/rendering/11.obj", "5.19438903809")</f>
        <v>5.19438903809</v>
      </c>
      <c r="O2792" s="51" t="str">
        <f>HYPERLINK(AA2 &amp; "/wrench/sn_c81d3dfeef42dedecf31f0f8432d9b6a/rendering/12.obj", "5.21641845703")</f>
        <v>5.21641845703</v>
      </c>
      <c r="P2792" s="91" t="str">
        <f>HYPERLINK(AA2 &amp; "/wrench/sn_c81d3dfeef42dedecf31f0f8432d9b6a/rendering/13.obj", "5.83096435547")</f>
        <v>5.83096435547</v>
      </c>
      <c r="Q2792" s="27" t="str">
        <f>HYPERLINK(AA2 &amp; "/wrench/sn_c81d3dfeef42dedecf31f0f8432d9b6a/rendering/14.obj", "6.08204345703")</f>
        <v>6.08204345703</v>
      </c>
      <c r="R2792" s="93" t="str">
        <f>HYPERLINK(AA2 &amp; "/wrench/sn_c81d3dfeef42dedecf31f0f8432d9b6a/rendering/15.obj", "6.4715246582")</f>
        <v>6.4715246582</v>
      </c>
      <c r="S2792" s="47" t="str">
        <f>HYPERLINK(AA2 &amp; "/wrench/sn_c81d3dfeef42dedecf31f0f8432d9b6a/rendering/16.obj", "5.64116333008")</f>
        <v>5.64116333008</v>
      </c>
      <c r="T2792" s="117" t="str">
        <f>HYPERLINK(AA2 &amp; "/wrench/sn_c81d3dfeef42dedecf31f0f8432d9b6a/rendering/17.obj", "6.67834960938")</f>
        <v>6.67834960938</v>
      </c>
      <c r="U2792" s="60" t="str">
        <f>HYPERLINK(AA2 &amp; "/wrench/sn_c81d3dfeef42dedecf31f0f8432d9b6a/rendering/18.obj", "5.38471191406")</f>
        <v>5.38471191406</v>
      </c>
      <c r="V2792" s="17" t="str">
        <f>HYPERLINK(AA2 &amp; "/wrench/sn_c81d3dfeef42dedecf31f0f8432d9b6a/rendering/19.obj", "5.55635070801")</f>
        <v>5.55635070801</v>
      </c>
      <c r="W2792" s="12" t="s">
        <v>29</v>
      </c>
      <c r="X2792" s="13">
        <v>5.6773911895751947</v>
      </c>
      <c r="Y2792" s="13">
        <v>0.48116357732390719</v>
      </c>
      <c r="Z2792" s="39">
        <v>8.4750823266752887E-2</v>
      </c>
    </row>
    <row r="2793" spans="1:26" x14ac:dyDescent="0.2">
      <c r="A2793" s="1">
        <v>2791</v>
      </c>
      <c r="B2793" s="2" t="s">
        <v>591</v>
      </c>
      <c r="C2793" s="32" t="str">
        <f>HYPERLINK(AA2 &amp; "/wrench/sn_c81d3dfeef42dedecf31f0f8432d9b6a/rendering/00.obj", "4.31130552292")</f>
        <v>4.31130552292</v>
      </c>
      <c r="D2793" s="30" t="str">
        <f>HYPERLINK(AA2 &amp; "/wrench/sn_c81d3dfeef42dedecf31f0f8432d9b6a/rendering/01.obj", "3.8789024353")</f>
        <v>3.8789024353</v>
      </c>
      <c r="E2793" s="5" t="str">
        <f>HYPERLINK(AA2 &amp; "/wrench/sn_c81d3dfeef42dedecf31f0f8432d9b6a/rendering/02.obj", "3.60707855225")</f>
        <v>3.60707855225</v>
      </c>
      <c r="F2793" s="191" t="str">
        <f>HYPERLINK(AA2 &amp; "/wrench/sn_c81d3dfeef42dedecf31f0f8432d9b6a/rendering/03.obj", "2.13831591606")</f>
        <v>2.13831591606</v>
      </c>
      <c r="G2793" s="107" t="str">
        <f>HYPERLINK(AA2 &amp; "/wrench/sn_c81d3dfeef42dedecf31f0f8432d9b6a/rendering/04.obj", "3.57865786552")</f>
        <v>3.57865786552</v>
      </c>
      <c r="H2793" s="66" t="str">
        <f>HYPERLINK(AA2 &amp; "/wrench/sn_c81d3dfeef42dedecf31f0f8432d9b6a/rendering/05.obj", "3.27495670319")</f>
        <v>3.27495670319</v>
      </c>
      <c r="I2793" s="14" t="str">
        <f>HYPERLINK(AA2 &amp; "/wrench/sn_c81d3dfeef42dedecf31f0f8432d9b6a/rendering/06.obj", "2.7692193985")</f>
        <v>2.7692193985</v>
      </c>
      <c r="J2793" s="259" t="str">
        <f>HYPERLINK(AA2 &amp; "/wrench/sn_c81d3dfeef42dedecf31f0f8432d9b6a/rendering/07.obj", "6.99045467377")</f>
        <v>6.99045467377</v>
      </c>
      <c r="K2793" s="152" t="str">
        <f>HYPERLINK(AA2 &amp; "/wrench/sn_c81d3dfeef42dedecf31f0f8432d9b6a/rendering/08.obj", "2.32052731514")</f>
        <v>2.32052731514</v>
      </c>
      <c r="L2793" s="54" t="str">
        <f>HYPERLINK(AA2 &amp; "/wrench/sn_c81d3dfeef42dedecf31f0f8432d9b6a/rendering/09.obj", "2.62662315369")</f>
        <v>2.62662315369</v>
      </c>
      <c r="M2793" s="36" t="str">
        <f>HYPERLINK(AA2 &amp; "/wrench/sn_c81d3dfeef42dedecf31f0f8432d9b6a/rendering/10.obj", "3.06494498253")</f>
        <v>3.06494498253</v>
      </c>
      <c r="N2793" s="163" t="str">
        <f>HYPERLINK(AA2 &amp; "/wrench/sn_c81d3dfeef42dedecf31f0f8432d9b6a/rendering/11.obj", "2.18123841286")</f>
        <v>2.18123841286</v>
      </c>
      <c r="O2793" s="179" t="str">
        <f>HYPERLINK(AA2 &amp; "/wrench/sn_c81d3dfeef42dedecf31f0f8432d9b6a/rendering/12.obj", "2.22711491585")</f>
        <v>2.22711491585</v>
      </c>
      <c r="P2793" s="36" t="str">
        <f>HYPERLINK(AA2 &amp; "/wrench/sn_c81d3dfeef42dedecf31f0f8432d9b6a/rendering/13.obj", "4.73674297333")</f>
        <v>4.73674297333</v>
      </c>
      <c r="Q2793" s="22" t="str">
        <f>HYPERLINK(AA2 &amp; "/wrench/sn_c81d3dfeef42dedecf31f0f8432d9b6a/rendering/14.obj", "5.94254732132")</f>
        <v>5.94254732132</v>
      </c>
      <c r="R2793" s="20" t="str">
        <f>HYPERLINK(AA2 &amp; "/wrench/sn_c81d3dfeef42dedecf31f0f8432d9b6a/rendering/15.obj", "7.91334724426")</f>
        <v>7.91334724426</v>
      </c>
      <c r="S2793" s="75" t="str">
        <f>HYPERLINK(AA2 &amp; "/wrench/sn_c81d3dfeef42dedecf31f0f8432d9b6a/rendering/16.obj", "3.0348033905")</f>
        <v>3.0348033905</v>
      </c>
      <c r="T2793" s="155" t="str">
        <f>HYPERLINK(AA2 &amp; "/wrench/sn_c81d3dfeef42dedecf31f0f8432d9b6a/rendering/17.obj", "6.53810691833")</f>
        <v>6.53810691833</v>
      </c>
      <c r="U2793" s="28" t="str">
        <f>HYPERLINK(AA2 &amp; "/wrench/sn_c81d3dfeef42dedecf31f0f8432d9b6a/rendering/18.obj", "3.4690258503")</f>
        <v>3.4690258503</v>
      </c>
      <c r="V2793" s="106" t="str">
        <f>HYPERLINK(AA2 &amp; "/wrench/sn_c81d3dfeef42dedecf31f0f8432d9b6a/rendering/19.obj", "3.45317554474")</f>
        <v>3.45317554474</v>
      </c>
      <c r="W2793" s="12" t="s">
        <v>30</v>
      </c>
      <c r="X2793" s="13">
        <v>3.9028544545173651</v>
      </c>
      <c r="Y2793" s="13">
        <v>1.6480471294355239</v>
      </c>
      <c r="Z2793" s="111">
        <v>0.42226712490597468</v>
      </c>
    </row>
    <row r="2794" spans="1:26" x14ac:dyDescent="0.2">
      <c r="A2794" s="1">
        <v>2792</v>
      </c>
      <c r="B2794" s="2" t="s">
        <v>591</v>
      </c>
      <c r="C2794" s="30" t="str">
        <f>HYPERLINK(AB2 &amp; "/wrench/sn_c81d3dfeef42dedecf31f0f8432d9b6a/rendering/00.obj", "5.25899047852")</f>
        <v>5.25899047852</v>
      </c>
      <c r="D2794" s="69" t="str">
        <f>HYPERLINK(AB2 &amp; "/wrench/sn_c81d3dfeef42dedecf31f0f8432d9b6a/rendering/01.obj", "5.07982452393")</f>
        <v>5.07982452393</v>
      </c>
      <c r="E2794" s="74" t="str">
        <f>HYPERLINK(AB2 &amp; "/wrench/sn_c81d3dfeef42dedecf31f0f8432d9b6a/rendering/02.obj", "5.15215820313")</f>
        <v>5.15215820313</v>
      </c>
      <c r="F2794" s="68" t="str">
        <f>HYPERLINK(AB2 &amp; "/wrench/sn_c81d3dfeef42dedecf31f0f8432d9b6a/rendering/03.obj", "5.45896972656")</f>
        <v>5.45896972656</v>
      </c>
      <c r="G2794" s="73" t="str">
        <f>HYPERLINK(AB2 &amp; "/wrench/sn_c81d3dfeef42dedecf31f0f8432d9b6a/rendering/04.obj", "5.05065795898")</f>
        <v>5.05065795898</v>
      </c>
      <c r="H2794" s="106" t="str">
        <f>HYPERLINK(AB2 &amp; "/wrench/sn_c81d3dfeef42dedecf31f0f8432d9b6a/rendering/05.obj", "5.83783935547")</f>
        <v>5.83783935547</v>
      </c>
      <c r="I2794" s="74" t="str">
        <f>HYPERLINK(AB2 &amp; "/wrench/sn_c81d3dfeef42dedecf31f0f8432d9b6a/rendering/06.obj", "5.16231201172")</f>
        <v>5.16231201172</v>
      </c>
      <c r="J2794" s="92" t="str">
        <f>HYPERLINK(AB2 &amp; "/wrench/sn_c81d3dfeef42dedecf31f0f8432d9b6a/rendering/07.obj", "4.5776272583")</f>
        <v>4.5776272583</v>
      </c>
      <c r="K2794" s="30" t="str">
        <f>HYPERLINK(AB2 &amp; "/wrench/sn_c81d3dfeef42dedecf31f0f8432d9b6a/rendering/08.obj", "5.26313110352")</f>
        <v>5.26313110352</v>
      </c>
      <c r="L2794" s="48" t="str">
        <f>HYPERLINK(AB2 &amp; "/wrench/sn_c81d3dfeef42dedecf31f0f8432d9b6a/rendering/09.obj", "5.11048431396")</f>
        <v>5.11048431396</v>
      </c>
      <c r="M2794" s="69" t="str">
        <f>HYPERLINK(AB2 &amp; "/wrench/sn_c81d3dfeef42dedecf31f0f8432d9b6a/rendering/10.obj", "5.38350219727")</f>
        <v>5.38350219727</v>
      </c>
      <c r="N2794" s="30" t="str">
        <f>HYPERLINK(AB2 &amp; "/wrench/sn_c81d3dfeef42dedecf31f0f8432d9b6a/rendering/11.obj", "5.20778198242")</f>
        <v>5.20778198242</v>
      </c>
      <c r="O2794" s="51" t="str">
        <f>HYPERLINK(AB2 &amp; "/wrench/sn_c81d3dfeef42dedecf31f0f8432d9b6a/rendering/12.obj", "5.65347473145")</f>
        <v>5.65347473145</v>
      </c>
      <c r="P2794" s="48" t="str">
        <f>HYPERLINK(AB2 &amp; "/wrench/sn_c81d3dfeef42dedecf31f0f8432d9b6a/rendering/13.obj", "5.11724334717")</f>
        <v>5.11724334717</v>
      </c>
      <c r="Q2794" s="5" t="str">
        <f>HYPERLINK(AB2 &amp; "/wrench/sn_c81d3dfeef42dedecf31f0f8432d9b6a/rendering/14.obj", "4.83196014404")</f>
        <v>4.83196014404</v>
      </c>
      <c r="R2794" s="33" t="str">
        <f>HYPERLINK(AB2 &amp; "/wrench/sn_c81d3dfeef42dedecf31f0f8432d9b6a/rendering/15.obj", "5.80652404785")</f>
        <v>5.80652404785</v>
      </c>
      <c r="S2794" s="91" t="str">
        <f>HYPERLINK(AB2 &amp; "/wrench/sn_c81d3dfeef42dedecf31f0f8432d9b6a/rendering/16.obj", "5.36833618164")</f>
        <v>5.36833618164</v>
      </c>
      <c r="T2794" s="93" t="str">
        <f>HYPERLINK(AB2 &amp; "/wrench/sn_c81d3dfeef42dedecf31f0f8432d9b6a/rendering/17.obj", "4.50471740723")</f>
        <v>4.50471740723</v>
      </c>
      <c r="U2794" s="6" t="str">
        <f>HYPERLINK(AB2 &amp; "/wrench/sn_c81d3dfeef42dedecf31f0f8432d9b6a/rendering/18.obj", "5.47226074219")</f>
        <v>5.47226074219</v>
      </c>
      <c r="V2794" s="48" t="str">
        <f>HYPERLINK(AB2 &amp; "/wrench/sn_c81d3dfeef42dedecf31f0f8432d9b6a/rendering/19.obj", "5.36086120605")</f>
        <v>5.36086120605</v>
      </c>
      <c r="W2794" s="12" t="s">
        <v>31</v>
      </c>
      <c r="X2794" s="13">
        <v>5.2329328460693372</v>
      </c>
      <c r="Y2794" s="13">
        <v>0.33591644713080943</v>
      </c>
      <c r="Z2794" s="26">
        <v>6.4192768570139322E-2</v>
      </c>
    </row>
    <row r="2795" spans="1:26" x14ac:dyDescent="0.2">
      <c r="A2795" s="1">
        <v>2793</v>
      </c>
      <c r="B2795" s="2" t="s">
        <v>591</v>
      </c>
      <c r="C2795" s="47" t="str">
        <f>HYPERLINK(AB2 &amp; "/wrench/sn_c81d3dfeef42dedecf31f0f8432d9b6a/rendering/00.obj", "2.03294801712")</f>
        <v>2.03294801712</v>
      </c>
      <c r="D2795" s="5" t="str">
        <f>HYPERLINK(AB2 &amp; "/wrench/sn_c81d3dfeef42dedecf31f0f8432d9b6a/rendering/01.obj", "1.89167118073")</f>
        <v>1.89167118073</v>
      </c>
      <c r="E2795" s="69" t="str">
        <f>HYPERLINK(AB2 &amp; "/wrench/sn_c81d3dfeef42dedecf31f0f8432d9b6a/rendering/02.obj", "2.11484599113")</f>
        <v>2.11484599113</v>
      </c>
      <c r="F2795" s="25" t="str">
        <f>HYPERLINK(AB2 &amp; "/wrench/sn_c81d3dfeef42dedecf31f0f8432d9b6a/rendering/03.obj", "2.02683281898")</f>
        <v>2.02683281898</v>
      </c>
      <c r="G2795" s="69" t="str">
        <f>HYPERLINK(AB2 &amp; "/wrench/sn_c81d3dfeef42dedecf31f0f8432d9b6a/rendering/04.obj", "2.11447763443")</f>
        <v>2.11447763443</v>
      </c>
      <c r="H2795" s="67" t="str">
        <f>HYPERLINK(AB2 &amp; "/wrench/sn_c81d3dfeef42dedecf31f0f8432d9b6a/rendering/05.obj", "2.24033236504")</f>
        <v>2.24033236504</v>
      </c>
      <c r="I2795" s="94" t="str">
        <f>HYPERLINK(AB2 &amp; "/wrench/sn_c81d3dfeef42dedecf31f0f8432d9b6a/rendering/06.obj", "1.89983010292")</f>
        <v>1.89983010292</v>
      </c>
      <c r="J2795" s="80" t="str">
        <f>HYPERLINK(AB2 &amp; "/wrench/sn_c81d3dfeef42dedecf31f0f8432d9b6a/rendering/07.obj", "1.74579262733")</f>
        <v>1.74579262733</v>
      </c>
      <c r="K2795" s="68" t="str">
        <f>HYPERLINK(AB2 &amp; "/wrench/sn_c81d3dfeef42dedecf31f0f8432d9b6a/rendering/08.obj", "2.13627314568")</f>
        <v>2.13627314568</v>
      </c>
      <c r="L2795" s="10" t="str">
        <f>HYPERLINK(AB2 &amp; "/wrench/sn_c81d3dfeef42dedecf31f0f8432d9b6a/rendering/09.obj", "2.16626548767")</f>
        <v>2.16626548767</v>
      </c>
      <c r="M2795" s="91" t="str">
        <f>HYPERLINK(AB2 &amp; "/wrench/sn_c81d3dfeef42dedecf31f0f8432d9b6a/rendering/10.obj", "1.99981093407")</f>
        <v>1.99981093407</v>
      </c>
      <c r="N2795" s="78" t="str">
        <f>HYPERLINK(AB2 &amp; "/wrench/sn_c81d3dfeef42dedecf31f0f8432d9b6a/rendering/11.obj", "1.92712366581")</f>
        <v>1.92712366581</v>
      </c>
      <c r="O2795" s="67" t="str">
        <f>HYPERLINK(AB2 &amp; "/wrench/sn_c81d3dfeef42dedecf31f0f8432d9b6a/rendering/12.obj", "1.8595815897")</f>
        <v>1.8595815897</v>
      </c>
      <c r="P2795" s="30" t="str">
        <f>HYPERLINK(AB2 &amp; "/wrench/sn_c81d3dfeef42dedecf31f0f8432d9b6a/rendering/13.obj", "2.04373693466")</f>
        <v>2.04373693466</v>
      </c>
      <c r="Q2795" s="106" t="str">
        <f>HYPERLINK(AB2 &amp; "/wrench/sn_c81d3dfeef42dedecf31f0f8432d9b6a/rendering/14.obj", "1.81673383713")</f>
        <v>1.81673383713</v>
      </c>
      <c r="R2795" s="57" t="str">
        <f>HYPERLINK(AB2 &amp; "/wrench/sn_c81d3dfeef42dedecf31f0f8432d9b6a/rendering/15.obj", "2.69618701935")</f>
        <v>2.69618701935</v>
      </c>
      <c r="S2795" s="93" t="str">
        <f>HYPERLINK(AB2 &amp; "/wrench/sn_c81d3dfeef42dedecf31f0f8432d9b6a/rendering/16.obj", "2.33726072311")</f>
        <v>2.33726072311</v>
      </c>
      <c r="T2795" s="74" t="str">
        <f>HYPERLINK(AB2 &amp; "/wrench/sn_c81d3dfeef42dedecf31f0f8432d9b6a/rendering/17.obj", "2.02577662468")</f>
        <v>2.02577662468</v>
      </c>
      <c r="U2795" s="13" t="str">
        <f>HYPERLINK(AB2 &amp; "/wrench/sn_c81d3dfeef42dedecf31f0f8432d9b6a/rendering/18.obj", "2.05732536316")</f>
        <v>2.05732536316</v>
      </c>
      <c r="V2795" s="27" t="str">
        <f>HYPERLINK(AB2 &amp; "/wrench/sn_c81d3dfeef42dedecf31f0f8432d9b6a/rendering/19.obj", "1.90805900097")</f>
        <v>1.90805900097</v>
      </c>
      <c r="W2795" s="12" t="s">
        <v>32</v>
      </c>
      <c r="X2795" s="13">
        <v>2.0520432531833648</v>
      </c>
      <c r="Y2795" s="13">
        <v>0.20440740303641181</v>
      </c>
      <c r="Z2795" s="110">
        <v>9.9611644500822091E-2</v>
      </c>
    </row>
    <row r="2796" spans="1:26" x14ac:dyDescent="0.2">
      <c r="A2796" s="1">
        <v>2794</v>
      </c>
      <c r="B2796" s="2" t="s">
        <v>591</v>
      </c>
      <c r="C2796" s="13" t="str">
        <f>HYPERLINK(AC2 &amp; "/wrench/sn_c81d3dfeef42dedecf31f0f8432d9b6a/rendering/00.xyz", "0.0")</f>
        <v>0.0</v>
      </c>
      <c r="D2796" s="13" t="str">
        <f>HYPERLINK(AC2 &amp; "/wrench/sn_c81d3dfeef42dedecf31f0f8432d9b6a/rendering/01.xyz", "0.0")</f>
        <v>0.0</v>
      </c>
      <c r="E2796" s="13" t="str">
        <f>HYPERLINK(AC2 &amp; "/wrench/sn_c81d3dfeef42dedecf31f0f8432d9b6a/rendering/02.xyz", "0.0")</f>
        <v>0.0</v>
      </c>
      <c r="F2796" s="13" t="str">
        <f>HYPERLINK(AC2 &amp; "/wrench/sn_c81d3dfeef42dedecf31f0f8432d9b6a/rendering/03.xyz", "0.0")</f>
        <v>0.0</v>
      </c>
      <c r="G2796" s="13" t="str">
        <f>HYPERLINK(AC2 &amp; "/wrench/sn_c81d3dfeef42dedecf31f0f8432d9b6a/rendering/04.xyz", "0.0")</f>
        <v>0.0</v>
      </c>
      <c r="H2796" s="13" t="str">
        <f>HYPERLINK(AC2 &amp; "/wrench/sn_c81d3dfeef42dedecf31f0f8432d9b6a/rendering/05.xyz", "0.0")</f>
        <v>0.0</v>
      </c>
      <c r="I2796" s="13" t="str">
        <f>HYPERLINK(AC2 &amp; "/wrench/sn_c81d3dfeef42dedecf31f0f8432d9b6a/rendering/06.xyz", "0.0")</f>
        <v>0.0</v>
      </c>
      <c r="J2796" s="13" t="str">
        <f>HYPERLINK(AC2 &amp; "/wrench/sn_c81d3dfeef42dedecf31f0f8432d9b6a/rendering/07.xyz", "0.0")</f>
        <v>0.0</v>
      </c>
      <c r="K2796" s="13" t="str">
        <f>HYPERLINK(AC2 &amp; "/wrench/sn_c81d3dfeef42dedecf31f0f8432d9b6a/rendering/08.xyz", "0.0")</f>
        <v>0.0</v>
      </c>
      <c r="L2796" s="13" t="str">
        <f>HYPERLINK(AC2 &amp; "/wrench/sn_c81d3dfeef42dedecf31f0f8432d9b6a/rendering/09.xyz", "0.0")</f>
        <v>0.0</v>
      </c>
      <c r="M2796" s="13" t="str">
        <f>HYPERLINK(AC2 &amp; "/wrench/sn_c81d3dfeef42dedecf31f0f8432d9b6a/rendering/10.xyz", "0.0")</f>
        <v>0.0</v>
      </c>
      <c r="N2796" s="13" t="str">
        <f>HYPERLINK(AC2 &amp; "/wrench/sn_c81d3dfeef42dedecf31f0f8432d9b6a/rendering/11.xyz", "0.0")</f>
        <v>0.0</v>
      </c>
      <c r="O2796" s="13" t="str">
        <f>HYPERLINK(AC2 &amp; "/wrench/sn_c81d3dfeef42dedecf31f0f8432d9b6a/rendering/12.xyz", "0.0")</f>
        <v>0.0</v>
      </c>
      <c r="P2796" s="13" t="str">
        <f>HYPERLINK(AC2 &amp; "/wrench/sn_c81d3dfeef42dedecf31f0f8432d9b6a/rendering/13.xyz", "0.0")</f>
        <v>0.0</v>
      </c>
      <c r="Q2796" s="13" t="str">
        <f>HYPERLINK(AC2 &amp; "/wrench/sn_c81d3dfeef42dedecf31f0f8432d9b6a/rendering/14.xyz", "0.0")</f>
        <v>0.0</v>
      </c>
      <c r="R2796" s="13" t="str">
        <f>HYPERLINK(AC2 &amp; "/wrench/sn_c81d3dfeef42dedecf31f0f8432d9b6a/rendering/15.xyz", "0.0")</f>
        <v>0.0</v>
      </c>
      <c r="S2796" s="13" t="str">
        <f>HYPERLINK(AC2 &amp; "/wrench/sn_c81d3dfeef42dedecf31f0f8432d9b6a/rendering/16.xyz", "0.0")</f>
        <v>0.0</v>
      </c>
      <c r="T2796" s="13" t="str">
        <f>HYPERLINK(AC2 &amp; "/wrench/sn_c81d3dfeef42dedecf31f0f8432d9b6a/rendering/17.xyz", "0.0")</f>
        <v>0.0</v>
      </c>
      <c r="U2796" s="13" t="str">
        <f>HYPERLINK(AC2 &amp; "/wrench/sn_c81d3dfeef42dedecf31f0f8432d9b6a/rendering/18.xyz", "0.0")</f>
        <v>0.0</v>
      </c>
      <c r="V2796" s="13" t="str">
        <f>HYPERLINK(AC2 &amp; "/wrench/sn_c81d3dfeef42dedecf31f0f8432d9b6a/rendering/19.xyz", "0.0")</f>
        <v>0.0</v>
      </c>
      <c r="W2796" s="12" t="s">
        <v>33</v>
      </c>
      <c r="X2796" s="13">
        <v>0</v>
      </c>
      <c r="Y2796" s="13">
        <v>0</v>
      </c>
      <c r="Z2796" s="13">
        <v>0</v>
      </c>
    </row>
    <row r="2797" spans="1:26" x14ac:dyDescent="0.2">
      <c r="A2797" s="1">
        <v>2795</v>
      </c>
      <c r="B2797" s="2" t="s">
        <v>592</v>
      </c>
      <c r="C2797" s="34" t="str">
        <f>HYPERLINK(AA2 &amp; "/wrench/sn_cd5379671aeead165b7e8cf321faec60/rendering/00.obj", "7.1783972168")</f>
        <v>7.1783972168</v>
      </c>
      <c r="D2797" s="70" t="str">
        <f>HYPERLINK(AA2 &amp; "/wrench/sn_cd5379671aeead165b7e8cf321faec60/rendering/01.obj", "6.56890197754")</f>
        <v>6.56890197754</v>
      </c>
      <c r="E2797" s="45" t="str">
        <f>HYPERLINK(AA2 &amp; "/wrench/sn_cd5379671aeead165b7e8cf321faec60/rendering/02.obj", "12.5414440918")</f>
        <v>12.5414440918</v>
      </c>
      <c r="F2797" s="98" t="str">
        <f>HYPERLINK(AA2 &amp; "/wrench/sn_cd5379671aeead165b7e8cf321faec60/rendering/03.obj", "5.80315917969")</f>
        <v>5.80315917969</v>
      </c>
      <c r="G2797" s="66" t="str">
        <f>HYPERLINK(AA2 &amp; "/wrench/sn_cd5379671aeead165b7e8cf321faec60/rendering/04.obj", "6.32519042969")</f>
        <v>6.32519042969</v>
      </c>
      <c r="H2797" s="11" t="str">
        <f>HYPERLINK(AA2 &amp; "/wrench/sn_cd5379671aeead165b7e8cf321faec60/rendering/05.obj", "5.85569458008")</f>
        <v>5.85569458008</v>
      </c>
      <c r="I2797" s="126" t="str">
        <f>HYPERLINK(AA2 &amp; "/wrench/sn_cd5379671aeead165b7e8cf321faec60/rendering/06.obj", "11.3131420898")</f>
        <v>11.3131420898</v>
      </c>
      <c r="J2797" s="88" t="str">
        <f>HYPERLINK(AA2 &amp; "/wrench/sn_cd5379671aeead165b7e8cf321faec60/rendering/07.obj", "5.99969421387")</f>
        <v>5.99969421387</v>
      </c>
      <c r="K2797" s="23" t="str">
        <f>HYPERLINK(AA2 &amp; "/wrench/sn_cd5379671aeead165b7e8cf321faec60/rendering/08.obj", "7.2378527832")</f>
        <v>7.2378527832</v>
      </c>
      <c r="L2797" s="70" t="str">
        <f>HYPERLINK(AA2 &amp; "/wrench/sn_cd5379671aeead165b7e8cf321faec60/rendering/09.obj", "6.57172119141")</f>
        <v>6.57172119141</v>
      </c>
      <c r="M2797" s="75" t="str">
        <f>HYPERLINK(AA2 &amp; "/wrench/sn_cd5379671aeead165b7e8cf321faec60/rendering/10.obj", "9.20986694336")</f>
        <v>9.20986694336</v>
      </c>
      <c r="N2797" s="6" t="str">
        <f>HYPERLINK(AA2 &amp; "/wrench/sn_cd5379671aeead165b7e8cf321faec60/rendering/11.obj", "7.87953369141")</f>
        <v>7.87953369141</v>
      </c>
      <c r="O2797" s="35" t="str">
        <f>HYPERLINK(AA2 &amp; "/wrench/sn_cd5379671aeead165b7e8cf321faec60/rendering/12.obj", "7.10906677246")</f>
        <v>7.10906677246</v>
      </c>
      <c r="P2797" s="106" t="str">
        <f>HYPERLINK(AA2 &amp; "/wrench/sn_cd5379671aeead165b7e8cf321faec60/rendering/13.obj", "6.66699707031")</f>
        <v>6.66699707031</v>
      </c>
      <c r="Q2797" s="171" t="str">
        <f>HYPERLINK(AA2 &amp; "/wrench/sn_cd5379671aeead165b7e8cf321faec60/rendering/14.obj", "5.23953491211")</f>
        <v>5.23953491211</v>
      </c>
      <c r="R2797" s="98" t="str">
        <f>HYPERLINK(AA2 &amp; "/wrench/sn_cd5379671aeead165b7e8cf321faec60/rendering/15.obj", "5.80047363281")</f>
        <v>5.80047363281</v>
      </c>
      <c r="S2797" s="75" t="str">
        <f>HYPERLINK(AA2 &amp; "/wrench/sn_cd5379671aeead165b7e8cf321faec60/rendering/16.obj", "5.86407226563")</f>
        <v>5.86407226563</v>
      </c>
      <c r="T2797" s="20" t="str">
        <f>HYPERLINK(AA2 &amp; "/wrench/sn_cd5379671aeead165b7e8cf321faec60/rendering/17.obj", "14.4274560547")</f>
        <v>14.4274560547</v>
      </c>
      <c r="U2797" s="82" t="str">
        <f>HYPERLINK(AA2 &amp; "/wrench/sn_cd5379671aeead165b7e8cf321faec60/rendering/18.obj", "5.99337646484")</f>
        <v>5.99337646484</v>
      </c>
      <c r="V2797" s="10" t="str">
        <f>HYPERLINK(AA2 &amp; "/wrench/sn_cd5379671aeead165b7e8cf321faec60/rendering/19.obj", "7.11514160156")</f>
        <v>7.11514160156</v>
      </c>
      <c r="W2797" s="12" t="s">
        <v>29</v>
      </c>
      <c r="X2797" s="13">
        <v>7.5350358581542967</v>
      </c>
      <c r="Y2797" s="13">
        <v>2.4087652718550778</v>
      </c>
      <c r="Z2797" s="176">
        <v>0.31967535618936038</v>
      </c>
    </row>
    <row r="2798" spans="1:26" x14ac:dyDescent="0.2">
      <c r="A2798" s="1">
        <v>2796</v>
      </c>
      <c r="B2798" s="2" t="s">
        <v>592</v>
      </c>
      <c r="C2798" s="161" t="str">
        <f>HYPERLINK(AA2 &amp; "/wrench/sn_cd5379671aeead165b7e8cf321faec60/rendering/00.obj", "2.75537252426")</f>
        <v>2.75537252426</v>
      </c>
      <c r="D2798" s="130" t="str">
        <f>HYPERLINK(AA2 &amp; "/wrench/sn_cd5379671aeead165b7e8cf321faec60/rendering/01.obj", "3.66330480576")</f>
        <v>3.66330480576</v>
      </c>
      <c r="E2798" s="20" t="str">
        <f>HYPERLINK(AA2 &amp; "/wrench/sn_cd5379671aeead165b7e8cf321faec60/rendering/02.obj", "23.4623718262")</f>
        <v>23.4623718262</v>
      </c>
      <c r="F2798" s="244" t="str">
        <f>HYPERLINK(AA2 &amp; "/wrench/sn_cd5379671aeead165b7e8cf321faec60/rendering/03.obj", "2.5609099865")</f>
        <v>2.5609099865</v>
      </c>
      <c r="G2798" s="148" t="str">
        <f>HYPERLINK(AA2 &amp; "/wrench/sn_cd5379671aeead165b7e8cf321faec60/rendering/04.obj", "3.42027783394")</f>
        <v>3.42027783394</v>
      </c>
      <c r="H2798" s="105" t="str">
        <f>HYPERLINK(AA2 &amp; "/wrench/sn_cd5379671aeead165b7e8cf321faec60/rendering/05.obj", "3.24580335617")</f>
        <v>3.24580335617</v>
      </c>
      <c r="I2798" s="20" t="str">
        <f>HYPERLINK(AA2 &amp; "/wrench/sn_cd5379671aeead165b7e8cf321faec60/rendering/06.obj", "12.9843254089")</f>
        <v>12.9843254089</v>
      </c>
      <c r="J2798" s="245" t="str">
        <f>HYPERLINK(AA2 &amp; "/wrench/sn_cd5379671aeead165b7e8cf321faec60/rendering/07.obj", "1.86941421032")</f>
        <v>1.86941421032</v>
      </c>
      <c r="K2798" s="7" t="str">
        <f>HYPERLINK(AA2 &amp; "/wrench/sn_cd5379671aeead165b7e8cf321faec60/rendering/08.obj", "8.50005531311")</f>
        <v>8.50005531311</v>
      </c>
      <c r="L2798" s="21" t="str">
        <f>HYPERLINK(AA2 &amp; "/wrench/sn_cd5379671aeead165b7e8cf321faec60/rendering/09.obj", "2.96662545204")</f>
        <v>2.96662545204</v>
      </c>
      <c r="M2798" s="56" t="str">
        <f>HYPERLINK(AA2 &amp; "/wrench/sn_cd5379671aeead165b7e8cf321faec60/rendering/10.obj", "8.69090557098")</f>
        <v>8.69090557098</v>
      </c>
      <c r="N2798" s="225" t="str">
        <f>HYPERLINK(AA2 &amp; "/wrench/sn_cd5379671aeead165b7e8cf321faec60/rendering/11.obj", "2.86483263969")</f>
        <v>2.86483263969</v>
      </c>
      <c r="O2798" s="66" t="str">
        <f>HYPERLINK(AA2 &amp; "/wrench/sn_cd5379671aeead165b7e8cf321faec60/rendering/12.obj", "7.71112632751")</f>
        <v>7.71112632751</v>
      </c>
      <c r="P2798" s="144" t="str">
        <f>HYPERLINK(AA2 &amp; "/wrench/sn_cd5379671aeead165b7e8cf321faec60/rendering/13.obj", "3.29907846451")</f>
        <v>3.29907846451</v>
      </c>
      <c r="Q2798" s="62" t="str">
        <f>HYPERLINK(AA2 &amp; "/wrench/sn_cd5379671aeead165b7e8cf321faec60/rendering/14.obj", "2.66447949409")</f>
        <v>2.66447949409</v>
      </c>
      <c r="R2798" s="237" t="str">
        <f>HYPERLINK(AA2 &amp; "/wrench/sn_cd5379671aeead165b7e8cf321faec60/rendering/15.obj", "2.18336176872")</f>
        <v>2.18336176872</v>
      </c>
      <c r="S2798" s="103" t="str">
        <f>HYPERLINK(AA2 &amp; "/wrench/sn_cd5379671aeead165b7e8cf321faec60/rendering/16.obj", "4.49791908264")</f>
        <v>4.49791908264</v>
      </c>
      <c r="T2798" s="20" t="str">
        <f>HYPERLINK(AA2 &amp; "/wrench/sn_cd5379671aeead165b7e8cf321faec60/rendering/17.obj", "24.9540405273")</f>
        <v>24.9540405273</v>
      </c>
      <c r="U2798" s="155" t="str">
        <f>HYPERLINK(AA2 &amp; "/wrench/sn_cd5379671aeead165b7e8cf321faec60/rendering/18.obj", "2.15709900856")</f>
        <v>2.15709900856</v>
      </c>
      <c r="V2798" s="113" t="str">
        <f>HYPERLINK(AA2 &amp; "/wrench/sn_cd5379671aeead165b7e8cf321faec60/rendering/19.obj", "8.46092700958")</f>
        <v>8.46092700958</v>
      </c>
      <c r="W2798" s="12" t="s">
        <v>30</v>
      </c>
      <c r="X2798" s="13">
        <v>6.6456115305423733</v>
      </c>
      <c r="Y2798" s="13">
        <v>6.5393789145728487</v>
      </c>
      <c r="Z2798" s="20">
        <v>0.98401462145638618</v>
      </c>
    </row>
    <row r="2799" spans="1:26" x14ac:dyDescent="0.2">
      <c r="A2799" s="1">
        <v>2797</v>
      </c>
      <c r="B2799" s="2" t="s">
        <v>592</v>
      </c>
      <c r="C2799" s="35" t="str">
        <f>HYPERLINK(AB2 &amp; "/wrench/sn_cd5379671aeead165b7e8cf321faec60/rendering/00.obj", "5.7721270752")</f>
        <v>5.7721270752</v>
      </c>
      <c r="D2799" s="46" t="str">
        <f>HYPERLINK(AB2 &amp; "/wrench/sn_cd5379671aeead165b7e8cf321faec60/rendering/01.obj", "5.3565057373")</f>
        <v>5.3565057373</v>
      </c>
      <c r="E2799" s="133" t="str">
        <f>HYPERLINK(AB2 &amp; "/wrench/sn_cd5379671aeead165b7e8cf321faec60/rendering/02.obj", "6.0087109375")</f>
        <v>6.0087109375</v>
      </c>
      <c r="F2799" s="51" t="str">
        <f>HYPERLINK(AB2 &amp; "/wrench/sn_cd5379671aeead165b7e8cf321faec60/rendering/03.obj", "5.01838684082")</f>
        <v>5.01838684082</v>
      </c>
      <c r="G2799" s="68" t="str">
        <f>HYPERLINK(AB2 &amp; "/wrench/sn_cd5379671aeead165b7e8cf321faec60/rendering/04.obj", "5.68513916016")</f>
        <v>5.68513916016</v>
      </c>
      <c r="H2799" s="71" t="str">
        <f>HYPERLINK(AB2 &amp; "/wrench/sn_cd5379671aeead165b7e8cf321faec60/rendering/05.obj", "4.81298522949")</f>
        <v>4.81298522949</v>
      </c>
      <c r="I2799" s="10" t="str">
        <f>HYPERLINK(AB2 &amp; "/wrench/sn_cd5379671aeead165b7e8cf321faec60/rendering/06.obj", "5.74467651367")</f>
        <v>5.74467651367</v>
      </c>
      <c r="J2799" s="94" t="str">
        <f>HYPERLINK(AB2 &amp; "/wrench/sn_cd5379671aeead165b7e8cf321faec60/rendering/07.obj", "5.05076477051")</f>
        <v>5.05076477051</v>
      </c>
      <c r="K2799" s="110" t="str">
        <f>HYPERLINK(AB2 &amp; "/wrench/sn_cd5379671aeead165b7e8cf321faec60/rendering/08.obj", "5.98297851562")</f>
        <v>5.98297851562</v>
      </c>
      <c r="L2799" s="10" t="str">
        <f>HYPERLINK(AB2 &amp; "/wrench/sn_cd5379671aeead165b7e8cf321faec60/rendering/09.obj", "5.74718383789")</f>
        <v>5.74718383789</v>
      </c>
      <c r="M2799" s="107" t="str">
        <f>HYPERLINK(AB2 &amp; "/wrench/sn_cd5379671aeead165b7e8cf321faec60/rendering/10.obj", "4.9950668335")</f>
        <v>4.9950668335</v>
      </c>
      <c r="N2799" s="27" t="str">
        <f>HYPERLINK(AB2 &amp; "/wrench/sn_cd5379671aeead165b7e8cf321faec60/rendering/11.obj", "5.06032409668")</f>
        <v>5.06032409668</v>
      </c>
      <c r="O2799" s="94" t="str">
        <f>HYPERLINK(AB2 &amp; "/wrench/sn_cd5379671aeead165b7e8cf321faec60/rendering/12.obj", "5.04602233887")</f>
        <v>5.04602233887</v>
      </c>
      <c r="P2799" s="66" t="str">
        <f>HYPERLINK(AB2 &amp; "/wrench/sn_cd5379671aeead165b7e8cf321faec60/rendering/13.obj", "6.32350036621")</f>
        <v>6.32350036621</v>
      </c>
      <c r="Q2799" s="107" t="str">
        <f>HYPERLINK(AB2 &amp; "/wrench/sn_cd5379671aeead165b7e8cf321faec60/rendering/14.obj", "4.99027740479")</f>
        <v>4.99027740479</v>
      </c>
      <c r="R2799" s="68" t="str">
        <f>HYPERLINK(AB2 &amp; "/wrench/sn_cd5379671aeead165b7e8cf321faec60/rendering/15.obj", "5.67452636719")</f>
        <v>5.67452636719</v>
      </c>
      <c r="S2799" s="34" t="str">
        <f>HYPERLINK(AB2 &amp; "/wrench/sn_cd5379671aeead165b7e8cf321faec60/rendering/16.obj", "5.71924194336")</f>
        <v>5.71924194336</v>
      </c>
      <c r="T2799" s="68" t="str">
        <f>HYPERLINK(AB2 &amp; "/wrench/sn_cd5379671aeead165b7e8cf321faec60/rendering/17.obj", "5.21669189453")</f>
        <v>5.21669189453</v>
      </c>
      <c r="U2799" s="78" t="str">
        <f>HYPERLINK(AB2 &amp; "/wrench/sn_cd5379671aeead165b7e8cf321faec60/rendering/18.obj", "5.10759277344")</f>
        <v>5.10759277344</v>
      </c>
      <c r="V2799" s="23" t="str">
        <f>HYPERLINK(AB2 &amp; "/wrench/sn_cd5379671aeead165b7e8cf321faec60/rendering/19.obj", "5.66636474609")</f>
        <v>5.66636474609</v>
      </c>
      <c r="W2799" s="12" t="s">
        <v>31</v>
      </c>
      <c r="X2799" s="13">
        <v>5.448953369140626</v>
      </c>
      <c r="Y2799" s="13">
        <v>0.42002191256158072</v>
      </c>
      <c r="Z2799" s="5">
        <v>7.7083044046644844E-2</v>
      </c>
    </row>
    <row r="2800" spans="1:26" x14ac:dyDescent="0.2">
      <c r="A2800" s="1">
        <v>2798</v>
      </c>
      <c r="B2800" s="2" t="s">
        <v>592</v>
      </c>
      <c r="C2800" s="84" t="str">
        <f>HYPERLINK(AB2 &amp; "/wrench/sn_cd5379671aeead165b7e8cf321faec60/rendering/00.obj", "2.2862906456")</f>
        <v>2.2862906456</v>
      </c>
      <c r="D2800" s="82" t="str">
        <f>HYPERLINK(AB2 &amp; "/wrench/sn_cd5379671aeead165b7e8cf321faec60/rendering/01.obj", "1.58579277992")</f>
        <v>1.58579277992</v>
      </c>
      <c r="E2800" s="145" t="str">
        <f>HYPERLINK(AB2 &amp; "/wrench/sn_cd5379671aeead165b7e8cf321faec60/rendering/02.obj", "2.9749481678")</f>
        <v>2.9749481678</v>
      </c>
      <c r="F2800" s="44" t="str">
        <f>HYPERLINK(AB2 &amp; "/wrench/sn_cd5379671aeead165b7e8cf321faec60/rendering/03.obj", "1.60778164864")</f>
        <v>1.60778164864</v>
      </c>
      <c r="G2800" s="63" t="str">
        <f>HYPERLINK(AB2 &amp; "/wrench/sn_cd5379671aeead165b7e8cf321faec60/rendering/04.obj", "1.75532603264")</f>
        <v>1.75532603264</v>
      </c>
      <c r="H2800" s="42" t="str">
        <f>HYPERLINK(AB2 &amp; "/wrench/sn_cd5379671aeead165b7e8cf321faec60/rendering/05.obj", "1.72318196297")</f>
        <v>1.72318196297</v>
      </c>
      <c r="I2800" s="38" t="str">
        <f>HYPERLINK(AB2 &amp; "/wrench/sn_cd5379671aeead165b7e8cf321faec60/rendering/06.obj", "1.81572556496")</f>
        <v>1.81572556496</v>
      </c>
      <c r="J2800" s="88" t="str">
        <f>HYPERLINK(AB2 &amp; "/wrench/sn_cd5379671aeead165b7e8cf321faec60/rendering/07.obj", "1.5930211544")</f>
        <v>1.5930211544</v>
      </c>
      <c r="K2800" s="83" t="str">
        <f>HYPERLINK(AB2 &amp; "/wrench/sn_cd5379671aeead165b7e8cf321faec60/rendering/08.obj", "1.69117045403")</f>
        <v>1.69117045403</v>
      </c>
      <c r="L2800" s="97" t="str">
        <f>HYPERLINK(AB2 &amp; "/wrench/sn_cd5379671aeead165b7e8cf321faec60/rendering/09.obj", "2.86667633057")</f>
        <v>2.86667633057</v>
      </c>
      <c r="M2800" s="134" t="str">
        <f>HYPERLINK(AB2 &amp; "/wrench/sn_cd5379671aeead165b7e8cf321faec60/rendering/10.obj", "1.63444757462")</f>
        <v>1.63444757462</v>
      </c>
      <c r="N2800" s="26" t="str">
        <f>HYPERLINK(AB2 &amp; "/wrench/sn_cd5379671aeead165b7e8cf321faec60/rendering/11.obj", "2.12319493294")</f>
        <v>2.12319493294</v>
      </c>
      <c r="O2800" s="64" t="str">
        <f>HYPERLINK(AB2 &amp; "/wrench/sn_cd5379671aeead165b7e8cf321faec60/rendering/12.obj", "1.66531860828")</f>
        <v>1.66531860828</v>
      </c>
      <c r="P2800" s="206" t="str">
        <f>HYPERLINK(AB2 &amp; "/wrench/sn_cd5379671aeead165b7e8cf321faec60/rendering/13.obj", "3.17912530899")</f>
        <v>3.17912530899</v>
      </c>
      <c r="Q2800" s="60" t="str">
        <f>HYPERLINK(AB2 &amp; "/wrench/sn_cd5379671aeead165b7e8cf321faec60/rendering/14.obj", "1.89369630814")</f>
        <v>1.89369630814</v>
      </c>
      <c r="R2800" s="107" t="str">
        <f>HYPERLINK(AB2 &amp; "/wrench/sn_cd5379671aeead165b7e8cf321faec60/rendering/15.obj", "1.83119010925")</f>
        <v>1.83119010925</v>
      </c>
      <c r="S2800" s="128" t="str">
        <f>HYPERLINK(AB2 &amp; "/wrench/sn_cd5379671aeead165b7e8cf321faec60/rendering/16.obj", "2.77570223808")</f>
        <v>2.77570223808</v>
      </c>
      <c r="T2800" s="88" t="str">
        <f>HYPERLINK(AB2 &amp; "/wrench/sn_cd5379671aeead165b7e8cf321faec60/rendering/17.obj", "1.5945546627")</f>
        <v>1.5945546627</v>
      </c>
      <c r="U2800" s="107" t="str">
        <f>HYPERLINK(AB2 &amp; "/wrench/sn_cd5379671aeead165b7e8cf321faec60/rendering/18.obj", "1.8306504488")</f>
        <v>1.8306504488</v>
      </c>
      <c r="V2800" s="129" t="str">
        <f>HYPERLINK(AB2 &amp; "/wrench/sn_cd5379671aeead165b7e8cf321faec60/rendering/19.obj", "1.49666643143")</f>
        <v>1.49666643143</v>
      </c>
      <c r="W2800" s="12" t="s">
        <v>32</v>
      </c>
      <c r="X2800" s="13">
        <v>1.996223068237305</v>
      </c>
      <c r="Y2800" s="13">
        <v>0.51377351893926715</v>
      </c>
      <c r="Z2800" s="89">
        <v>0.25737279921974698</v>
      </c>
    </row>
    <row r="2801" spans="1:26" x14ac:dyDescent="0.2">
      <c r="A2801" s="1">
        <v>2799</v>
      </c>
      <c r="B2801" s="2" t="s">
        <v>592</v>
      </c>
      <c r="C2801" s="13" t="str">
        <f>HYPERLINK(AC2 &amp; "/wrench/sn_cd5379671aeead165b7e8cf321faec60/rendering/00.xyz", "0.0")</f>
        <v>0.0</v>
      </c>
      <c r="D2801" s="13" t="str">
        <f>HYPERLINK(AC2 &amp; "/wrench/sn_cd5379671aeead165b7e8cf321faec60/rendering/01.xyz", "0.0")</f>
        <v>0.0</v>
      </c>
      <c r="E2801" s="13" t="str">
        <f>HYPERLINK(AC2 &amp; "/wrench/sn_cd5379671aeead165b7e8cf321faec60/rendering/02.xyz", "0.0")</f>
        <v>0.0</v>
      </c>
      <c r="F2801" s="13" t="str">
        <f>HYPERLINK(AC2 &amp; "/wrench/sn_cd5379671aeead165b7e8cf321faec60/rendering/03.xyz", "0.0")</f>
        <v>0.0</v>
      </c>
      <c r="G2801" s="13" t="str">
        <f>HYPERLINK(AC2 &amp; "/wrench/sn_cd5379671aeead165b7e8cf321faec60/rendering/04.xyz", "0.0")</f>
        <v>0.0</v>
      </c>
      <c r="H2801" s="13" t="str">
        <f>HYPERLINK(AC2 &amp; "/wrench/sn_cd5379671aeead165b7e8cf321faec60/rendering/05.xyz", "0.0")</f>
        <v>0.0</v>
      </c>
      <c r="I2801" s="13" t="str">
        <f>HYPERLINK(AC2 &amp; "/wrench/sn_cd5379671aeead165b7e8cf321faec60/rendering/06.xyz", "0.0")</f>
        <v>0.0</v>
      </c>
      <c r="J2801" s="13" t="str">
        <f>HYPERLINK(AC2 &amp; "/wrench/sn_cd5379671aeead165b7e8cf321faec60/rendering/07.xyz", "0.0")</f>
        <v>0.0</v>
      </c>
      <c r="K2801" s="13" t="str">
        <f>HYPERLINK(AC2 &amp; "/wrench/sn_cd5379671aeead165b7e8cf321faec60/rendering/08.xyz", "0.0")</f>
        <v>0.0</v>
      </c>
      <c r="L2801" s="13" t="str">
        <f>HYPERLINK(AC2 &amp; "/wrench/sn_cd5379671aeead165b7e8cf321faec60/rendering/09.xyz", "0.0")</f>
        <v>0.0</v>
      </c>
      <c r="M2801" s="13" t="str">
        <f>HYPERLINK(AC2 &amp; "/wrench/sn_cd5379671aeead165b7e8cf321faec60/rendering/10.xyz", "0.0")</f>
        <v>0.0</v>
      </c>
      <c r="N2801" s="13" t="str">
        <f>HYPERLINK(AC2 &amp; "/wrench/sn_cd5379671aeead165b7e8cf321faec60/rendering/11.xyz", "0.0")</f>
        <v>0.0</v>
      </c>
      <c r="O2801" s="13" t="str">
        <f>HYPERLINK(AC2 &amp; "/wrench/sn_cd5379671aeead165b7e8cf321faec60/rendering/12.xyz", "0.0")</f>
        <v>0.0</v>
      </c>
      <c r="P2801" s="13" t="str">
        <f>HYPERLINK(AC2 &amp; "/wrench/sn_cd5379671aeead165b7e8cf321faec60/rendering/13.xyz", "0.0")</f>
        <v>0.0</v>
      </c>
      <c r="Q2801" s="13" t="str">
        <f>HYPERLINK(AC2 &amp; "/wrench/sn_cd5379671aeead165b7e8cf321faec60/rendering/14.xyz", "0.0")</f>
        <v>0.0</v>
      </c>
      <c r="R2801" s="13" t="str">
        <f>HYPERLINK(AC2 &amp; "/wrench/sn_cd5379671aeead165b7e8cf321faec60/rendering/15.xyz", "0.0")</f>
        <v>0.0</v>
      </c>
      <c r="S2801" s="13" t="str">
        <f>HYPERLINK(AC2 &amp; "/wrench/sn_cd5379671aeead165b7e8cf321faec60/rendering/16.xyz", "0.0")</f>
        <v>0.0</v>
      </c>
      <c r="T2801" s="13" t="str">
        <f>HYPERLINK(AC2 &amp; "/wrench/sn_cd5379671aeead165b7e8cf321faec60/rendering/17.xyz", "0.0")</f>
        <v>0.0</v>
      </c>
      <c r="U2801" s="13" t="str">
        <f>HYPERLINK(AC2 &amp; "/wrench/sn_cd5379671aeead165b7e8cf321faec60/rendering/18.xyz", "0.0")</f>
        <v>0.0</v>
      </c>
      <c r="V2801" s="13" t="str">
        <f>HYPERLINK(AC2 &amp; "/wrench/sn_cd5379671aeead165b7e8cf321faec60/rendering/19.xyz", "0.0")</f>
        <v>0.0</v>
      </c>
      <c r="W2801" s="12" t="s">
        <v>33</v>
      </c>
      <c r="X2801" s="13">
        <v>0</v>
      </c>
      <c r="Y2801" s="13">
        <v>0</v>
      </c>
      <c r="Z2801" s="13">
        <v>0</v>
      </c>
    </row>
    <row r="2802" spans="1:26" x14ac:dyDescent="0.2">
      <c r="A2802" s="1">
        <v>2800</v>
      </c>
      <c r="B2802" s="2" t="s">
        <v>593</v>
      </c>
      <c r="C2802" s="37" t="str">
        <f>HYPERLINK(AA2 &amp; "/wrench/sn_ce2e4743c993ce57f36ca9df1ed7a94/rendering/00.obj", "5.38098876953")</f>
        <v>5.38098876953</v>
      </c>
      <c r="D2802" s="171" t="str">
        <f>HYPERLINK(AA2 &amp; "/wrench/sn_ce2e4743c993ce57f36ca9df1ed7a94/rendering/01.obj", "4.50856292725")</f>
        <v>4.50856292725</v>
      </c>
      <c r="E2802" s="193" t="str">
        <f>HYPERLINK(AA2 &amp; "/wrench/sn_ce2e4743c993ce57f36ca9df1ed7a94/rendering/02.obj", "4.36074035645")</f>
        <v>4.36074035645</v>
      </c>
      <c r="F2802" s="20" t="str">
        <f>HYPERLINK(AA2 &amp; "/wrench/sn_ce2e4743c993ce57f36ca9df1ed7a94/rendering/03.obj", "12.351204834")</f>
        <v>12.351204834</v>
      </c>
      <c r="G2802" s="137" t="str">
        <f>HYPERLINK(AA2 &amp; "/wrench/sn_ce2e4743c993ce57f36ca9df1ed7a94/rendering/04.obj", "4.12728027344")</f>
        <v>4.12728027344</v>
      </c>
      <c r="H2802" s="13" t="str">
        <f>HYPERLINK(AA2 &amp; "/wrench/sn_ce2e4743c993ce57f36ca9df1ed7a94/rendering/05.obj", "6.51499023438")</f>
        <v>6.51499023438</v>
      </c>
      <c r="I2802" s="58" t="str">
        <f>HYPERLINK(AA2 &amp; "/wrench/sn_ce2e4743c993ce57f36ca9df1ed7a94/rendering/06.obj", "8.09437072754")</f>
        <v>8.09437072754</v>
      </c>
      <c r="J2802" s="55" t="str">
        <f>HYPERLINK(AA2 &amp; "/wrench/sn_ce2e4743c993ce57f36ca9df1ed7a94/rendering/07.obj", "7.76225585938")</f>
        <v>7.76225585938</v>
      </c>
      <c r="K2802" s="78" t="str">
        <f>HYPERLINK(AA2 &amp; "/wrench/sn_ce2e4743c993ce57f36ca9df1ed7a94/rendering/08.obj", "6.11093139648")</f>
        <v>6.11093139648</v>
      </c>
      <c r="L2802" s="93" t="str">
        <f>HYPERLINK(AA2 &amp; "/wrench/sn_ce2e4743c993ce57f36ca9df1ed7a94/rendering/09.obj", "5.59247131348")</f>
        <v>5.59247131348</v>
      </c>
      <c r="M2802" s="90" t="str">
        <f>HYPERLINK(AA2 &amp; "/wrench/sn_ce2e4743c993ce57f36ca9df1ed7a94/rendering/10.obj", "5.88091064453")</f>
        <v>5.88091064453</v>
      </c>
      <c r="N2802" s="76" t="str">
        <f>HYPERLINK(AA2 &amp; "/wrench/sn_ce2e4743c993ce57f36ca9df1ed7a94/rendering/11.obj", "7.69527587891")</f>
        <v>7.69527587891</v>
      </c>
      <c r="O2802" s="48" t="str">
        <f>HYPERLINK(AA2 &amp; "/wrench/sn_ce2e4743c993ce57f36ca9df1ed7a94/rendering/12.obj", "6.64731323242")</f>
        <v>6.64731323242</v>
      </c>
      <c r="P2802" s="212" t="str">
        <f>HYPERLINK(AA2 &amp; "/wrench/sn_ce2e4743c993ce57f36ca9df1ed7a94/rendering/13.obj", "3.68894165039")</f>
        <v>3.68894165039</v>
      </c>
      <c r="Q2802" s="85" t="str">
        <f>HYPERLINK(AA2 &amp; "/wrench/sn_ce2e4743c993ce57f36ca9df1ed7a94/rendering/14.obj", "4.58190429687")</f>
        <v>4.58190429687</v>
      </c>
      <c r="R2802" s="20" t="str">
        <f>HYPERLINK(AA2 &amp; "/wrench/sn_ce2e4743c993ce57f36ca9df1ed7a94/rendering/15.obj", "15.0325817871")</f>
        <v>15.0325817871</v>
      </c>
      <c r="S2802" s="97" t="str">
        <f>HYPERLINK(AA2 &amp; "/wrench/sn_ce2e4743c993ce57f36ca9df1ed7a94/rendering/16.obj", "3.6837310791")</f>
        <v>3.6837310791</v>
      </c>
      <c r="T2802" s="176" t="str">
        <f>HYPERLINK(AA2 &amp; "/wrench/sn_ce2e4743c993ce57f36ca9df1ed7a94/rendering/17.obj", "4.42628967285")</f>
        <v>4.42628967285</v>
      </c>
      <c r="U2802" s="13" t="str">
        <f>HYPERLINK(AA2 &amp; "/wrench/sn_ce2e4743c993ce57f36ca9df1ed7a94/rendering/18.obj", "6.49783569336")</f>
        <v>6.49783569336</v>
      </c>
      <c r="V2802" s="90" t="str">
        <f>HYPERLINK(AA2 &amp; "/wrench/sn_ce2e4743c993ce57f36ca9df1ed7a94/rendering/19.obj", "7.13589782715")</f>
        <v>7.13589782715</v>
      </c>
      <c r="W2802" s="12" t="s">
        <v>29</v>
      </c>
      <c r="X2802" s="13">
        <v>6.5037239227294918</v>
      </c>
      <c r="Y2802" s="13">
        <v>2.7715234047319162</v>
      </c>
      <c r="Z2802" s="162">
        <v>0.42614407340475779</v>
      </c>
    </row>
    <row r="2803" spans="1:26" x14ac:dyDescent="0.2">
      <c r="A2803" s="1">
        <v>2801</v>
      </c>
      <c r="B2803" s="2" t="s">
        <v>593</v>
      </c>
      <c r="C2803" s="227" t="str">
        <f>HYPERLINK(AA2 &amp; "/wrench/sn_ce2e4743c993ce57f36ca9df1ed7a94/rendering/00.obj", "3.6431555748")</f>
        <v>3.6431555748</v>
      </c>
      <c r="D2803" s="249" t="str">
        <f>HYPERLINK(AA2 &amp; "/wrench/sn_ce2e4743c993ce57f36ca9df1ed7a94/rendering/01.obj", "3.18209767342")</f>
        <v>3.18209767342</v>
      </c>
      <c r="E2803" s="240" t="str">
        <f>HYPERLINK(AA2 &amp; "/wrench/sn_ce2e4743c993ce57f36ca9df1ed7a94/rendering/02.obj", "2.56163430214")</f>
        <v>2.56163430214</v>
      </c>
      <c r="F2803" s="20" t="str">
        <f>HYPERLINK(AA2 &amp; "/wrench/sn_ce2e4743c993ce57f36ca9df1ed7a94/rendering/03.obj", "16.1182403564")</f>
        <v>16.1182403564</v>
      </c>
      <c r="G2803" s="217" t="str">
        <f>HYPERLINK(AA2 &amp; "/wrench/sn_ce2e4743c993ce57f36ca9df1ed7a94/rendering/04.obj", "2.73489403725")</f>
        <v>2.73489403725</v>
      </c>
      <c r="H2803" s="41" t="str">
        <f>HYPERLINK(AA2 &amp; "/wrench/sn_ce2e4743c993ce57f36ca9df1ed7a94/rendering/05.obj", "7.91665792465")</f>
        <v>7.91665792465</v>
      </c>
      <c r="I2803" s="117" t="str">
        <f>HYPERLINK(AA2 &amp; "/wrench/sn_ce2e4743c993ce57f36ca9df1ed7a94/rendering/06.obj", "8.73770713806")</f>
        <v>8.73770713806</v>
      </c>
      <c r="J2803" s="257" t="str">
        <f>HYPERLINK(AA2 &amp; "/wrench/sn_ce2e4743c993ce57f36ca9df1ed7a94/rendering/07.obj", "12.7187976837")</f>
        <v>12.7187976837</v>
      </c>
      <c r="K2803" s="182" t="str">
        <f>HYPERLINK(AA2 &amp; "/wrench/sn_ce2e4743c993ce57f36ca9df1ed7a94/rendering/08.obj", "4.94738769531")</f>
        <v>4.94738769531</v>
      </c>
      <c r="L2803" s="43" t="str">
        <f>HYPERLINK(AA2 &amp; "/wrench/sn_ce2e4743c993ce57f36ca9df1ed7a94/rendering/09.obj", "4.63802528381")</f>
        <v>4.63802528381</v>
      </c>
      <c r="M2803" s="94" t="str">
        <f>HYPERLINK(AA2 &amp; "/wrench/sn_ce2e4743c993ce57f36ca9df1ed7a94/rendering/10.obj", "6.86563539505")</f>
        <v>6.86563539505</v>
      </c>
      <c r="N2803" s="105" t="str">
        <f>HYPERLINK(AA2 &amp; "/wrench/sn_ce2e4743c993ce57f36ca9df1ed7a94/rendering/11.obj", "11.217341423")</f>
        <v>11.217341423</v>
      </c>
      <c r="O2803" s="108" t="str">
        <f>HYPERLINK(AA2 &amp; "/wrench/sn_ce2e4743c993ce57f36ca9df1ed7a94/rendering/12.obj", "9.23584079742")</f>
        <v>9.23584079742</v>
      </c>
      <c r="P2803" s="216" t="str">
        <f>HYPERLINK(AA2 &amp; "/wrench/sn_ce2e4743c993ce57f36ca9df1ed7a94/rendering/13.obj", "2.5851521492")</f>
        <v>2.5851521492</v>
      </c>
      <c r="Q2803" s="256" t="str">
        <f>HYPERLINK(AA2 &amp; "/wrench/sn_ce2e4743c993ce57f36ca9df1ed7a94/rendering/14.obj", "2.82887554169")</f>
        <v>2.82887554169</v>
      </c>
      <c r="R2803" s="20" t="str">
        <f>HYPERLINK(AA2 &amp; "/wrench/sn_ce2e4743c993ce57f36ca9df1ed7a94/rendering/15.obj", "24.9463863373")</f>
        <v>24.9463863373</v>
      </c>
      <c r="S2803" s="214" t="str">
        <f>HYPERLINK(AA2 &amp; "/wrench/sn_ce2e4743c993ce57f36ca9df1ed7a94/rendering/16.obj", "2.83783721924")</f>
        <v>2.83783721924</v>
      </c>
      <c r="T2803" s="21" t="str">
        <f>HYPERLINK(AA2 &amp; "/wrench/sn_ce2e4743c993ce57f36ca9df1ed7a94/rendering/17.obj", "3.32062745094")</f>
        <v>3.32062745094</v>
      </c>
      <c r="U2803" s="81" t="str">
        <f>HYPERLINK(AA2 &amp; "/wrench/sn_ce2e4743c993ce57f36ca9df1ed7a94/rendering/18.obj", "9.04918575287")</f>
        <v>9.04918575287</v>
      </c>
      <c r="V2803" s="63" t="str">
        <f>HYPERLINK(AA2 &amp; "/wrench/sn_ce2e4743c993ce57f36ca9df1ed7a94/rendering/19.obj", "8.31121921539")</f>
        <v>8.31121921539</v>
      </c>
      <c r="W2803" s="12" t="s">
        <v>30</v>
      </c>
      <c r="X2803" s="13">
        <v>7.4198349475860592</v>
      </c>
      <c r="Y2803" s="13">
        <v>5.5147690213627056</v>
      </c>
      <c r="Z2803" s="234">
        <v>0.74324685930606305</v>
      </c>
    </row>
    <row r="2804" spans="1:26" x14ac:dyDescent="0.2">
      <c r="A2804" s="1">
        <v>2802</v>
      </c>
      <c r="B2804" s="2" t="s">
        <v>593</v>
      </c>
      <c r="C2804" s="91" t="str">
        <f>HYPERLINK(AB2 &amp; "/wrench/sn_ce2e4743c993ce57f36ca9df1ed7a94/rendering/00.obj", "3.17244567871")</f>
        <v>3.17244567871</v>
      </c>
      <c r="D2804" s="95" t="str">
        <f>HYPERLINK(AB2 &amp; "/wrench/sn_ce2e4743c993ce57f36ca9df1ed7a94/rendering/01.obj", "2.21951263428")</f>
        <v>2.21951263428</v>
      </c>
      <c r="E2804" s="92" t="str">
        <f>HYPERLINK(AB2 &amp; "/wrench/sn_ce2e4743c993ce57f36ca9df1ed7a94/rendering/02.obj", "3.47293273926")</f>
        <v>3.47293273926</v>
      </c>
      <c r="F2804" s="60" t="str">
        <f>HYPERLINK(AB2 &amp; "/wrench/sn_ce2e4743c993ce57f36ca9df1ed7a94/rendering/03.obj", "3.2471484375")</f>
        <v>3.2471484375</v>
      </c>
      <c r="G2804" s="46" t="str">
        <f>HYPERLINK(AB2 &amp; "/wrench/sn_ce2e4743c993ce57f36ca9df1ed7a94/rendering/04.obj", "3.04029052734")</f>
        <v>3.04029052734</v>
      </c>
      <c r="H2804" s="71" t="str">
        <f>HYPERLINK(AB2 &amp; "/wrench/sn_ce2e4743c993ce57f36ca9df1ed7a94/rendering/05.obj", "2.72985900879")</f>
        <v>2.72985900879</v>
      </c>
      <c r="I2804" s="133" t="str">
        <f>HYPERLINK(AB2 &amp; "/wrench/sn_ce2e4743c993ce57f36ca9df1ed7a94/rendering/06.obj", "2.77818237305")</f>
        <v>2.77818237305</v>
      </c>
      <c r="J2804" s="67" t="str">
        <f>HYPERLINK(AB2 &amp; "/wrench/sn_ce2e4743c993ce57f36ca9df1ed7a94/rendering/07.obj", "2.80903442383")</f>
        <v>2.80903442383</v>
      </c>
      <c r="K2804" s="17" t="str">
        <f>HYPERLINK(AB2 &amp; "/wrench/sn_ce2e4743c993ce57f36ca9df1ed7a94/rendering/08.obj", "3.15361938477")</f>
        <v>3.15361938477</v>
      </c>
      <c r="L2804" s="6" t="str">
        <f>HYPERLINK(AB2 &amp; "/wrench/sn_ce2e4743c993ce57f36ca9df1ed7a94/rendering/09.obj", "3.23217193604")</f>
        <v>3.23217193604</v>
      </c>
      <c r="M2804" s="46" t="str">
        <f>HYPERLINK(AB2 &amp; "/wrench/sn_ce2e4743c993ce57f36ca9df1ed7a94/rendering/10.obj", "3.04120239258")</f>
        <v>3.04120239258</v>
      </c>
      <c r="N2804" s="67" t="str">
        <f>HYPERLINK(AB2 &amp; "/wrench/sn_ce2e4743c993ce57f36ca9df1ed7a94/rendering/11.obj", "2.80077758789")</f>
        <v>2.80077758789</v>
      </c>
      <c r="O2804" s="6" t="str">
        <f>HYPERLINK(AB2 &amp; "/wrench/sn_ce2e4743c993ce57f36ca9df1ed7a94/rendering/12.obj", "3.2276071167")</f>
        <v>3.2276071167</v>
      </c>
      <c r="P2804" s="110" t="str">
        <f>HYPERLINK(AB2 &amp; "/wrench/sn_ce2e4743c993ce57f36ca9df1ed7a94/rendering/13.obj", "3.40050750732")</f>
        <v>3.40050750732</v>
      </c>
      <c r="Q2804" s="133" t="str">
        <f>HYPERLINK(AB2 &amp; "/wrench/sn_ce2e4743c993ce57f36ca9df1ed7a94/rendering/14.obj", "3.40916809082")</f>
        <v>3.40916809082</v>
      </c>
      <c r="R2804" s="48" t="str">
        <f>HYPERLINK(AB2 &amp; "/wrench/sn_ce2e4743c993ce57f36ca9df1ed7a94/rendering/15.obj", "3.02256286621")</f>
        <v>3.02256286621</v>
      </c>
      <c r="S2804" s="110" t="str">
        <f>HYPERLINK(AB2 &amp; "/wrench/sn_ce2e4743c993ce57f36ca9df1ed7a94/rendering/16.obj", "3.39191253662")</f>
        <v>3.39191253662</v>
      </c>
      <c r="T2804" s="69" t="str">
        <f>HYPERLINK(AB2 &amp; "/wrench/sn_ce2e4743c993ce57f36ca9df1ed7a94/rendering/17.obj", "3.18782470703")</f>
        <v>3.18782470703</v>
      </c>
      <c r="U2804" s="27" t="str">
        <f>HYPERLINK(AB2 &amp; "/wrench/sn_ce2e4743c993ce57f36ca9df1ed7a94/rendering/18.obj", "2.86886108398")</f>
        <v>2.86886108398</v>
      </c>
      <c r="V2804" s="24" t="str">
        <f>HYPERLINK(AB2 &amp; "/wrench/sn_ce2e4743c993ce57f36ca9df1ed7a94/rendering/19.obj", "3.61359802246")</f>
        <v>3.61359802246</v>
      </c>
      <c r="W2804" s="12" t="s">
        <v>31</v>
      </c>
      <c r="X2804" s="13">
        <v>3.0909609527587891</v>
      </c>
      <c r="Y2804" s="13">
        <v>0.31623097318610699</v>
      </c>
      <c r="Z2804" s="133">
        <v>0.102308304122658</v>
      </c>
    </row>
    <row r="2805" spans="1:26" x14ac:dyDescent="0.2">
      <c r="A2805" s="1">
        <v>2803</v>
      </c>
      <c r="B2805" s="2" t="s">
        <v>593</v>
      </c>
      <c r="C2805" s="48" t="str">
        <f>HYPERLINK(AB2 &amp; "/wrench/sn_ce2e4743c993ce57f36ca9df1ed7a94/rendering/00.obj", "1.95257759094")</f>
        <v>1.95257759094</v>
      </c>
      <c r="D2805" s="38" t="str">
        <f>HYPERLINK(AB2 &amp; "/wrench/sn_ce2e4743c993ce57f36ca9df1ed7a94/rendering/01.obj", "1.81788039207")</f>
        <v>1.81788039207</v>
      </c>
      <c r="E2805" s="77" t="str">
        <f>HYPERLINK(AB2 &amp; "/wrench/sn_ce2e4743c993ce57f36ca9df1ed7a94/rendering/02.obj", "2.36963486671")</f>
        <v>2.36963486671</v>
      </c>
      <c r="F2805" s="54" t="str">
        <f>HYPERLINK(AB2 &amp; "/wrench/sn_ce2e4743c993ce57f36ca9df1ed7a94/rendering/03.obj", "2.65575122833")</f>
        <v>2.65575122833</v>
      </c>
      <c r="G2805" s="5" t="str">
        <f>HYPERLINK(AB2 &amp; "/wrench/sn_ce2e4743c993ce57f36ca9df1ed7a94/rendering/04.obj", "1.84317302704")</f>
        <v>1.84317302704</v>
      </c>
      <c r="H2805" s="107" t="str">
        <f>HYPERLINK(AB2 &amp; "/wrench/sn_ce2e4743c993ce57f36ca9df1ed7a94/rendering/05.obj", "1.83047068119")</f>
        <v>1.83047068119</v>
      </c>
      <c r="I2805" s="67" t="str">
        <f>HYPERLINK(AB2 &amp; "/wrench/sn_ce2e4743c993ce57f36ca9df1ed7a94/rendering/06.obj", "1.81110501289")</f>
        <v>1.81110501289</v>
      </c>
      <c r="J2805" s="41" t="str">
        <f>HYPERLINK(AB2 &amp; "/wrench/sn_ce2e4743c993ce57f36ca9df1ed7a94/rendering/07.obj", "1.86043190956")</f>
        <v>1.86043190956</v>
      </c>
      <c r="K2805" s="91" t="str">
        <f>HYPERLINK(AB2 &amp; "/wrench/sn_ce2e4743c993ce57f36ca9df1ed7a94/rendering/08.obj", "1.94783377647")</f>
        <v>1.94783377647</v>
      </c>
      <c r="L2805" s="28" t="str">
        <f>HYPERLINK(AB2 &amp; "/wrench/sn_ce2e4743c993ce57f36ca9df1ed7a94/rendering/09.obj", "1.7761605978")</f>
        <v>1.7761605978</v>
      </c>
      <c r="M2805" s="34" t="str">
        <f>HYPERLINK(AB2 &amp; "/wrench/sn_ce2e4743c993ce57f36ca9df1ed7a94/rendering/10.obj", "1.90094220638")</f>
        <v>1.90094220638</v>
      </c>
      <c r="N2805" s="63" t="str">
        <f>HYPERLINK(AB2 &amp; "/wrench/sn_ce2e4743c993ce57f36ca9df1ed7a94/rendering/11.obj", "1.75800800323")</f>
        <v>1.75800800323</v>
      </c>
      <c r="O2805" s="94" t="str">
        <f>HYPERLINK(AB2 &amp; "/wrench/sn_ce2e4743c993ce57f36ca9df1ed7a94/rendering/12.obj", "1.85055875778")</f>
        <v>1.85055875778</v>
      </c>
      <c r="P2805" s="8" t="str">
        <f>HYPERLINK(AB2 &amp; "/wrench/sn_ce2e4743c993ce57f36ca9df1ed7a94/rendering/13.obj", "2.2807097435")</f>
        <v>2.2807097435</v>
      </c>
      <c r="Q2805" s="39" t="str">
        <f>HYPERLINK(AB2 &amp; "/wrench/sn_ce2e4743c993ce57f36ca9df1ed7a94/rendering/14.obj", "2.17289018631")</f>
        <v>2.17289018631</v>
      </c>
      <c r="R2805" s="129" t="str">
        <f>HYPERLINK(AB2 &amp; "/wrench/sn_ce2e4743c993ce57f36ca9df1ed7a94/rendering/15.obj", "2.49428868294")</f>
        <v>2.49428868294</v>
      </c>
      <c r="S2805" s="13" t="str">
        <f>HYPERLINK(AB2 &amp; "/wrench/sn_ce2e4743c993ce57f36ca9df1ed7a94/rendering/16.obj", "1.99494743347")</f>
        <v>1.99494743347</v>
      </c>
      <c r="T2805" s="42" t="str">
        <f>HYPERLINK(AB2 &amp; "/wrench/sn_ce2e4743c993ce57f36ca9df1ed7a94/rendering/17.obj", "1.72713446617")</f>
        <v>1.72713446617</v>
      </c>
      <c r="U2805" s="94" t="str">
        <f>HYPERLINK(AB2 &amp; "/wrench/sn_ce2e4743c993ce57f36ca9df1ed7a94/rendering/18.obj", "1.85290551186")</f>
        <v>1.85290551186</v>
      </c>
      <c r="V2805" s="73" t="str">
        <f>HYPERLINK(AB2 &amp; "/wrench/sn_ce2e4743c993ce57f36ca9df1ed7a94/rendering/19.obj", "2.06956577301")</f>
        <v>2.06956577301</v>
      </c>
      <c r="W2805" s="12" t="s">
        <v>32</v>
      </c>
      <c r="X2805" s="13">
        <v>1.998348492383957</v>
      </c>
      <c r="Y2805" s="13">
        <v>0.25573376733239062</v>
      </c>
      <c r="Z2805" s="70">
        <v>0.12797255749286729</v>
      </c>
    </row>
    <row r="2806" spans="1:26" x14ac:dyDescent="0.2">
      <c r="A2806" s="1">
        <v>2804</v>
      </c>
      <c r="B2806" s="2" t="s">
        <v>593</v>
      </c>
      <c r="C2806" s="13" t="str">
        <f>HYPERLINK(AC2 &amp; "/wrench/sn_ce2e4743c993ce57f36ca9df1ed7a94/rendering/00.xyz", "0.0")</f>
        <v>0.0</v>
      </c>
      <c r="D2806" s="13" t="str">
        <f>HYPERLINK(AC2 &amp; "/wrench/sn_ce2e4743c993ce57f36ca9df1ed7a94/rendering/01.xyz", "0.0")</f>
        <v>0.0</v>
      </c>
      <c r="E2806" s="13" t="str">
        <f>HYPERLINK(AC2 &amp; "/wrench/sn_ce2e4743c993ce57f36ca9df1ed7a94/rendering/02.xyz", "0.0")</f>
        <v>0.0</v>
      </c>
      <c r="F2806" s="13" t="str">
        <f>HYPERLINK(AC2 &amp; "/wrench/sn_ce2e4743c993ce57f36ca9df1ed7a94/rendering/03.xyz", "0.0")</f>
        <v>0.0</v>
      </c>
      <c r="G2806" s="13" t="str">
        <f>HYPERLINK(AC2 &amp; "/wrench/sn_ce2e4743c993ce57f36ca9df1ed7a94/rendering/04.xyz", "0.0")</f>
        <v>0.0</v>
      </c>
      <c r="H2806" s="13" t="str">
        <f>HYPERLINK(AC2 &amp; "/wrench/sn_ce2e4743c993ce57f36ca9df1ed7a94/rendering/05.xyz", "0.0")</f>
        <v>0.0</v>
      </c>
      <c r="I2806" s="13" t="str">
        <f>HYPERLINK(AC2 &amp; "/wrench/sn_ce2e4743c993ce57f36ca9df1ed7a94/rendering/06.xyz", "0.0")</f>
        <v>0.0</v>
      </c>
      <c r="J2806" s="13" t="str">
        <f>HYPERLINK(AC2 &amp; "/wrench/sn_ce2e4743c993ce57f36ca9df1ed7a94/rendering/07.xyz", "0.0")</f>
        <v>0.0</v>
      </c>
      <c r="K2806" s="13" t="str">
        <f>HYPERLINK(AC2 &amp; "/wrench/sn_ce2e4743c993ce57f36ca9df1ed7a94/rendering/08.xyz", "0.0")</f>
        <v>0.0</v>
      </c>
      <c r="L2806" s="13" t="str">
        <f>HYPERLINK(AC2 &amp; "/wrench/sn_ce2e4743c993ce57f36ca9df1ed7a94/rendering/09.xyz", "0.0")</f>
        <v>0.0</v>
      </c>
      <c r="M2806" s="13" t="str">
        <f>HYPERLINK(AC2 &amp; "/wrench/sn_ce2e4743c993ce57f36ca9df1ed7a94/rendering/10.xyz", "0.0")</f>
        <v>0.0</v>
      </c>
      <c r="N2806" s="13" t="str">
        <f>HYPERLINK(AC2 &amp; "/wrench/sn_ce2e4743c993ce57f36ca9df1ed7a94/rendering/11.xyz", "0.0")</f>
        <v>0.0</v>
      </c>
      <c r="O2806" s="13" t="str">
        <f>HYPERLINK(AC2 &amp; "/wrench/sn_ce2e4743c993ce57f36ca9df1ed7a94/rendering/12.xyz", "0.0")</f>
        <v>0.0</v>
      </c>
      <c r="P2806" s="13" t="str">
        <f>HYPERLINK(AC2 &amp; "/wrench/sn_ce2e4743c993ce57f36ca9df1ed7a94/rendering/13.xyz", "0.0")</f>
        <v>0.0</v>
      </c>
      <c r="Q2806" s="13" t="str">
        <f>HYPERLINK(AC2 &amp; "/wrench/sn_ce2e4743c993ce57f36ca9df1ed7a94/rendering/14.xyz", "0.0")</f>
        <v>0.0</v>
      </c>
      <c r="R2806" s="13" t="str">
        <f>HYPERLINK(AC2 &amp; "/wrench/sn_ce2e4743c993ce57f36ca9df1ed7a94/rendering/15.xyz", "0.0")</f>
        <v>0.0</v>
      </c>
      <c r="S2806" s="13" t="str">
        <f>HYPERLINK(AC2 &amp; "/wrench/sn_ce2e4743c993ce57f36ca9df1ed7a94/rendering/16.xyz", "0.0")</f>
        <v>0.0</v>
      </c>
      <c r="T2806" s="13" t="str">
        <f>HYPERLINK(AC2 &amp; "/wrench/sn_ce2e4743c993ce57f36ca9df1ed7a94/rendering/17.xyz", "0.0")</f>
        <v>0.0</v>
      </c>
      <c r="U2806" s="13" t="str">
        <f>HYPERLINK(AC2 &amp; "/wrench/sn_ce2e4743c993ce57f36ca9df1ed7a94/rendering/18.xyz", "0.0")</f>
        <v>0.0</v>
      </c>
      <c r="V2806" s="13" t="str">
        <f>HYPERLINK(AC2 &amp; "/wrench/sn_ce2e4743c993ce57f36ca9df1ed7a94/rendering/19.xyz", "0.0")</f>
        <v>0.0</v>
      </c>
      <c r="W2806" s="12" t="s">
        <v>33</v>
      </c>
      <c r="X2806" s="13">
        <v>0</v>
      </c>
      <c r="Y2806" s="13">
        <v>0</v>
      </c>
      <c r="Z2806" s="13">
        <v>0</v>
      </c>
    </row>
    <row r="2807" spans="1:26" x14ac:dyDescent="0.2">
      <c r="A2807" s="1">
        <v>2805</v>
      </c>
      <c r="B2807" s="2" t="s">
        <v>594</v>
      </c>
      <c r="C2807" s="49" t="str">
        <f>HYPERLINK(AA2 &amp; "/wrench/sn_d3a6bef70233864f105ba04d7c7887e/rendering/00.obj", "5.47118164062")</f>
        <v>5.47118164062</v>
      </c>
      <c r="D2807" s="211" t="str">
        <f>HYPERLINK(AA2 &amp; "/wrench/sn_d3a6bef70233864f105ba04d7c7887e/rendering/01.obj", "12.2037597656")</f>
        <v>12.2037597656</v>
      </c>
      <c r="E2807" s="120" t="str">
        <f>HYPERLINK(AA2 &amp; "/wrench/sn_d3a6bef70233864f105ba04d7c7887e/rendering/02.obj", "5.44700866699")</f>
        <v>5.44700866699</v>
      </c>
      <c r="F2807" s="27" t="str">
        <f>HYPERLINK(AA2 &amp; "/wrench/sn_d3a6bef70233864f105ba04d7c7887e/rendering/03.obj", "6.41847412109")</f>
        <v>6.41847412109</v>
      </c>
      <c r="G2807" s="193" t="str">
        <f>HYPERLINK(AA2 &amp; "/wrench/sn_d3a6bef70233864f105ba04d7c7887e/rendering/04.obj", "9.19936523437")</f>
        <v>9.19936523437</v>
      </c>
      <c r="H2807" s="70" t="str">
        <f>HYPERLINK(AA2 &amp; "/wrench/sn_d3a6bef70233864f105ba04d7c7887e/rendering/05.obj", "6.02420043945")</f>
        <v>6.02420043945</v>
      </c>
      <c r="I2807" s="77" t="str">
        <f>HYPERLINK(AA2 &amp; "/wrench/sn_d3a6bef70233864f105ba04d7c7887e/rendering/06.obj", "5.61614501953")</f>
        <v>5.61614501953</v>
      </c>
      <c r="J2807" s="134" t="str">
        <f>HYPERLINK(AA2 &amp; "/wrench/sn_d3a6bef70233864f105ba04d7c7887e/rendering/07.obj", "5.66784606934")</f>
        <v>5.66784606934</v>
      </c>
      <c r="K2807" s="50" t="str">
        <f>HYPERLINK(AA2 &amp; "/wrench/sn_d3a6bef70233864f105ba04d7c7887e/rendering/08.obj", "5.52438781738")</f>
        <v>5.52438781738</v>
      </c>
      <c r="L2807" s="58" t="str">
        <f>HYPERLINK(AA2 &amp; "/wrench/sn_d3a6bef70233864f105ba04d7c7887e/rendering/09.obj", "5.23338256836")</f>
        <v>5.23338256836</v>
      </c>
      <c r="M2807" s="23" t="str">
        <f>HYPERLINK(AA2 &amp; "/wrench/sn_d3a6bef70233864f105ba04d7c7887e/rendering/10.obj", "6.64822937012")</f>
        <v>6.64822937012</v>
      </c>
      <c r="N2807" s="73" t="str">
        <f>HYPERLINK(AA2 &amp; "/wrench/sn_d3a6bef70233864f105ba04d7c7887e/rendering/11.obj", "7.16444152832")</f>
        <v>7.16444152832</v>
      </c>
      <c r="O2807" s="171" t="str">
        <f>HYPERLINK(AA2 &amp; "/wrench/sn_d3a6bef70233864f105ba04d7c7887e/rendering/12.obj", "9.01884460449")</f>
        <v>9.01884460449</v>
      </c>
      <c r="P2807" s="70" t="str">
        <f>HYPERLINK(AA2 &amp; "/wrench/sn_d3a6bef70233864f105ba04d7c7887e/rendering/13.obj", "6.04240356445")</f>
        <v>6.04240356445</v>
      </c>
      <c r="Q2807" s="51" t="str">
        <f>HYPERLINK(AA2 &amp; "/wrench/sn_d3a6bef70233864f105ba04d7c7887e/rendering/14.obj", "6.36553710938")</f>
        <v>6.36553710938</v>
      </c>
      <c r="R2807" s="19" t="str">
        <f>HYPERLINK(AA2 &amp; "/wrench/sn_d3a6bef70233864f105ba04d7c7887e/rendering/15.obj", "8.72484924316")</f>
        <v>8.72484924316</v>
      </c>
      <c r="S2807" s="110" t="str">
        <f>HYPERLINK(AA2 &amp; "/wrench/sn_d3a6bef70233864f105ba04d7c7887e/rendering/16.obj", "6.23174377441")</f>
        <v>6.23174377441</v>
      </c>
      <c r="T2807" s="25" t="str">
        <f>HYPERLINK(AA2 &amp; "/wrench/sn_d3a6bef70233864f105ba04d7c7887e/rendering/17.obj", "6.82775390625")</f>
        <v>6.82775390625</v>
      </c>
      <c r="U2807" s="17" t="str">
        <f>HYPERLINK(AA2 &amp; "/wrench/sn_d3a6bef70233864f105ba04d7c7887e/rendering/18.obj", "6.77779907227")</f>
        <v>6.77779907227</v>
      </c>
      <c r="V2807" s="133" t="str">
        <f>HYPERLINK(AA2 &amp; "/wrench/sn_d3a6bef70233864f105ba04d7c7887e/rendering/19.obj", "7.60901367188")</f>
        <v>7.60901367188</v>
      </c>
      <c r="W2807" s="12" t="s">
        <v>29</v>
      </c>
      <c r="X2807" s="13">
        <v>6.9108183593749999</v>
      </c>
      <c r="Y2807" s="13">
        <v>1.678482218665853</v>
      </c>
      <c r="Z2807" s="58">
        <v>0.24287749024525829</v>
      </c>
    </row>
    <row r="2808" spans="1:26" x14ac:dyDescent="0.2">
      <c r="A2808" s="1">
        <v>2806</v>
      </c>
      <c r="B2808" s="2" t="s">
        <v>594</v>
      </c>
      <c r="C2808" s="132" t="str">
        <f>HYPERLINK(AA2 &amp; "/wrench/sn_d3a6bef70233864f105ba04d7c7887e/rendering/00.obj", "4.48815250397")</f>
        <v>4.48815250397</v>
      </c>
      <c r="D2808" s="20" t="str">
        <f>HYPERLINK(AA2 &amp; "/wrench/sn_d3a6bef70233864f105ba04d7c7887e/rendering/01.obj", "17.8737258911")</f>
        <v>17.8737258911</v>
      </c>
      <c r="E2808" s="131" t="str">
        <f>HYPERLINK(AA2 &amp; "/wrench/sn_d3a6bef70233864f105ba04d7c7887e/rendering/02.obj", "4.15028238297")</f>
        <v>4.15028238297</v>
      </c>
      <c r="F2808" s="71" t="str">
        <f>HYPERLINK(AA2 &amp; "/wrench/sn_d3a6bef70233864f105ba04d7c7887e/rendering/03.obj", "6.80922651291")</f>
        <v>6.80922651291</v>
      </c>
      <c r="G2808" s="239" t="str">
        <f>HYPERLINK(AA2 &amp; "/wrench/sn_d3a6bef70233864f105ba04d7c7887e/rendering/04.obj", "12.3924837112")</f>
        <v>12.3924837112</v>
      </c>
      <c r="H2808" s="198" t="str">
        <f>HYPERLINK(AA2 &amp; "/wrench/sn_d3a6bef70233864f105ba04d7c7887e/rendering/05.obj", "4.71034526825")</f>
        <v>4.71034526825</v>
      </c>
      <c r="I2808" s="163" t="str">
        <f>HYPERLINK(AA2 &amp; "/wrench/sn_d3a6bef70233864f105ba04d7c7887e/rendering/06.obj", "4.3098783493")</f>
        <v>4.3098783493</v>
      </c>
      <c r="J2808" s="18" t="str">
        <f>HYPERLINK(AA2 &amp; "/wrench/sn_d3a6bef70233864f105ba04d7c7887e/rendering/07.obj", "3.242811203")</f>
        <v>3.242811203</v>
      </c>
      <c r="K2808" s="223" t="str">
        <f>HYPERLINK(AA2 &amp; "/wrench/sn_d3a6bef70233864f105ba04d7c7887e/rendering/08.obj", "3.38617181778")</f>
        <v>3.38617181778</v>
      </c>
      <c r="L2808" s="132" t="str">
        <f>HYPERLINK(AA2 &amp; "/wrench/sn_d3a6bef70233864f105ba04d7c7887e/rendering/09.obj", "4.4704580307")</f>
        <v>4.4704580307</v>
      </c>
      <c r="M2808" s="182" t="str">
        <f>HYPERLINK(AA2 &amp; "/wrench/sn_d3a6bef70233864f105ba04d7c7887e/rendering/10.obj", "10.2861261368")</f>
        <v>10.2861261368</v>
      </c>
      <c r="N2808" s="85" t="str">
        <f>HYPERLINK(AA2 &amp; "/wrench/sn_d3a6bef70233864f105ba04d7c7887e/rendering/11.obj", "9.98986530304")</f>
        <v>9.98986530304</v>
      </c>
      <c r="O2808" s="247" t="str">
        <f>HYPERLINK(AA2 &amp; "/wrench/sn_d3a6bef70233864f105ba04d7c7887e/rendering/12.obj", "13.5240125656")</f>
        <v>13.5240125656</v>
      </c>
      <c r="P2808" s="192" t="str">
        <f>HYPERLINK(AA2 &amp; "/wrench/sn_d3a6bef70233864f105ba04d7c7887e/rendering/13.obj", "4.83410835266")</f>
        <v>4.83410835266</v>
      </c>
      <c r="Q2808" s="138" t="str">
        <f>HYPERLINK(AA2 &amp; "/wrench/sn_d3a6bef70233864f105ba04d7c7887e/rendering/14.obj", "5.10711479187")</f>
        <v>5.10711479187</v>
      </c>
      <c r="R2808" s="193" t="str">
        <f>HYPERLINK(AA2 &amp; "/wrench/sn_d3a6bef70233864f105ba04d7c7887e/rendering/15.obj", "10.2508525848")</f>
        <v>10.2508525848</v>
      </c>
      <c r="S2808" s="99" t="str">
        <f>HYPERLINK(AA2 &amp; "/wrench/sn_d3a6bef70233864f105ba04d7c7887e/rendering/16.obj", "9.79439544678")</f>
        <v>9.79439544678</v>
      </c>
      <c r="T2808" s="19" t="str">
        <f>HYPERLINK(AA2 &amp; "/wrench/sn_d3a6bef70233864f105ba04d7c7887e/rendering/17.obj", "5.69409418106")</f>
        <v>5.69409418106</v>
      </c>
      <c r="U2808" s="88" t="str">
        <f>HYPERLINK(AA2 &amp; "/wrench/sn_d3a6bef70233864f105ba04d7c7887e/rendering/18.obj", "6.15646076202")</f>
        <v>6.15646076202</v>
      </c>
      <c r="V2808" s="115" t="str">
        <f>HYPERLINK(AA2 &amp; "/wrench/sn_d3a6bef70233864f105ba04d7c7887e/rendering/19.obj", "12.6297740936")</f>
        <v>12.6297740936</v>
      </c>
      <c r="W2808" s="12" t="s">
        <v>30</v>
      </c>
      <c r="X2808" s="13">
        <v>7.7050169944763187</v>
      </c>
      <c r="Y2808" s="13">
        <v>4.005991202843985</v>
      </c>
      <c r="Z2808" s="127">
        <v>0.51991983998424096</v>
      </c>
    </row>
    <row r="2809" spans="1:26" x14ac:dyDescent="0.2">
      <c r="A2809" s="1">
        <v>2807</v>
      </c>
      <c r="B2809" s="2" t="s">
        <v>594</v>
      </c>
      <c r="C2809" s="33" t="str">
        <f>HYPERLINK(AB2 &amp; "/wrench/sn_d3a6bef70233864f105ba04d7c7887e/rendering/00.obj", "5.62474609375")</f>
        <v>5.62474609375</v>
      </c>
      <c r="D2809" s="33" t="str">
        <f>HYPERLINK(AB2 &amp; "/wrench/sn_d3a6bef70233864f105ba04d7c7887e/rendering/01.obj", "5.62438659668")</f>
        <v>5.62438659668</v>
      </c>
      <c r="E2809" s="8" t="str">
        <f>HYPERLINK(AB2 &amp; "/wrench/sn_d3a6bef70233864f105ba04d7c7887e/rendering/02.obj", "5.40509643555")</f>
        <v>5.40509643555</v>
      </c>
      <c r="F2809" s="13" t="str">
        <f>HYPERLINK(AB2 &amp; "/wrench/sn_d3a6bef70233864f105ba04d7c7887e/rendering/03.obj", "6.31269897461")</f>
        <v>6.31269897461</v>
      </c>
      <c r="G2809" s="13" t="str">
        <f>HYPERLINK(AB2 &amp; "/wrench/sn_d3a6bef70233864f105ba04d7c7887e/rendering/04.obj", "6.30071289063")</f>
        <v>6.30071289063</v>
      </c>
      <c r="H2809" s="120" t="str">
        <f>HYPERLINK(AB2 &amp; "/wrench/sn_d3a6bef70233864f105ba04d7c7887e/rendering/05.obj", "4.97002746582")</f>
        <v>4.97002746582</v>
      </c>
      <c r="I2809" s="76" t="str">
        <f>HYPERLINK(AB2 &amp; "/wrench/sn_d3a6bef70233864f105ba04d7c7887e/rendering/06.obj", "7.48144165039")</f>
        <v>7.48144165039</v>
      </c>
      <c r="J2809" s="37" t="str">
        <f>HYPERLINK(AB2 &amp; "/wrench/sn_d3a6bef70233864f105ba04d7c7887e/rendering/07.obj", "5.21702392578")</f>
        <v>5.21702392578</v>
      </c>
      <c r="K2809" s="13" t="str">
        <f>HYPERLINK(AB2 &amp; "/wrench/sn_d3a6bef70233864f105ba04d7c7887e/rendering/08.obj", "6.32890869141")</f>
        <v>6.32890869141</v>
      </c>
      <c r="L2809" s="25" t="str">
        <f>HYPERLINK(AB2 &amp; "/wrench/sn_d3a6bef70233864f105ba04d7c7887e/rendering/09.obj", "6.24109375")</f>
        <v>6.24109375</v>
      </c>
      <c r="M2809" s="79" t="str">
        <f>HYPERLINK(AB2 &amp; "/wrench/sn_d3a6bef70233864f105ba04d7c7887e/rendering/10.obj", "5.30737182617")</f>
        <v>5.30737182617</v>
      </c>
      <c r="N2809" s="65" t="str">
        <f>HYPERLINK(AB2 &amp; "/wrench/sn_d3a6bef70233864f105ba04d7c7887e/rendering/11.obj", "5.46994506836")</f>
        <v>5.46994506836</v>
      </c>
      <c r="O2809" s="82" t="str">
        <f>HYPERLINK(AB2 &amp; "/wrench/sn_d3a6bef70233864f105ba04d7c7887e/rendering/12.obj", "7.60817321777")</f>
        <v>7.60817321777</v>
      </c>
      <c r="P2809" s="86" t="str">
        <f>HYPERLINK(AB2 &amp; "/wrench/sn_d3a6bef70233864f105ba04d7c7887e/rendering/13.obj", "8.01458862305")</f>
        <v>8.01458862305</v>
      </c>
      <c r="Q2809" s="19" t="str">
        <f>HYPERLINK(AB2 &amp; "/wrench/sn_d3a6bef70233864f105ba04d7c7887e/rendering/14.obj", "7.97422607422")</f>
        <v>7.97422607422</v>
      </c>
      <c r="R2809" s="103" t="str">
        <f>HYPERLINK(AB2 &amp; "/wrench/sn_d3a6bef70233864f105ba04d7c7887e/rendering/15.obj", "8.35878723145")</f>
        <v>8.35878723145</v>
      </c>
      <c r="S2809" s="58" t="str">
        <f>HYPERLINK(AB2 &amp; "/wrench/sn_d3a6bef70233864f105ba04d7c7887e/rendering/16.obj", "4.77276428223")</f>
        <v>4.77276428223</v>
      </c>
      <c r="T2809" s="68" t="str">
        <f>HYPERLINK(AB2 &amp; "/wrench/sn_d3a6bef70233864f105ba04d7c7887e/rendering/17.obj", "6.58270996094")</f>
        <v>6.58270996094</v>
      </c>
      <c r="U2809" s="74" t="str">
        <f>HYPERLINK(AB2 &amp; "/wrench/sn_d3a6bef70233864f105ba04d7c7887e/rendering/18.obj", "6.41266113281")</f>
        <v>6.41266113281</v>
      </c>
      <c r="V2809" s="13" t="str">
        <f>HYPERLINK(AB2 &amp; "/wrench/sn_d3a6bef70233864f105ba04d7c7887e/rendering/19.obj", "6.31473632812")</f>
        <v>6.31473632812</v>
      </c>
      <c r="W2809" s="12" t="s">
        <v>31</v>
      </c>
      <c r="X2809" s="13">
        <v>6.3161050109863277</v>
      </c>
      <c r="Y2809" s="13">
        <v>1.0450448973787729</v>
      </c>
      <c r="Z2809" s="64">
        <v>0.1654571758324167</v>
      </c>
    </row>
    <row r="2810" spans="1:26" x14ac:dyDescent="0.2">
      <c r="A2810" s="1">
        <v>2808</v>
      </c>
      <c r="B2810" s="2" t="s">
        <v>594</v>
      </c>
      <c r="C2810" s="84" t="str">
        <f>HYPERLINK(AB2 &amp; "/wrench/sn_d3a6bef70233864f105ba04d7c7887e/rendering/00.obj", "5.99888086319")</f>
        <v>5.99888086319</v>
      </c>
      <c r="D2810" s="5" t="str">
        <f>HYPERLINK(AB2 &amp; "/wrench/sn_d3a6bef70233864f105ba04d7c7887e/rendering/01.obj", "4.84290075302")</f>
        <v>4.84290075302</v>
      </c>
      <c r="E2810" s="60" t="str">
        <f>HYPERLINK(AB2 &amp; "/wrench/sn_d3a6bef70233864f105ba04d7c7887e/rendering/02.obj", "5.50918865204")</f>
        <v>5.50918865204</v>
      </c>
      <c r="F2810" s="66" t="str">
        <f>HYPERLINK(AB2 &amp; "/wrench/sn_d3a6bef70233864f105ba04d7c7887e/rendering/03.obj", "6.09412813187")</f>
        <v>6.09412813187</v>
      </c>
      <c r="G2810" s="84" t="str">
        <f>HYPERLINK(AB2 &amp; "/wrench/sn_d3a6bef70233864f105ba04d7c7887e/rendering/04.obj", "6.01222848892")</f>
        <v>6.01222848892</v>
      </c>
      <c r="H2810" s="86" t="str">
        <f>HYPERLINK(AB2 &amp; "/wrench/sn_d3a6bef70233864f105ba04d7c7887e/rendering/05.obj", "3.84350299835")</f>
        <v>3.84350299835</v>
      </c>
      <c r="I2810" s="121" t="str">
        <f>HYPERLINK(AB2 &amp; "/wrench/sn_d3a6bef70233864f105ba04d7c7887e/rendering/06.obj", "3.38778567314")</f>
        <v>3.38778567314</v>
      </c>
      <c r="J2810" s="192" t="str">
        <f>HYPERLINK(AB2 &amp; "/wrench/sn_d3a6bef70233864f105ba04d7c7887e/rendering/07.obj", "3.28628754616")</f>
        <v>3.28628754616</v>
      </c>
      <c r="K2810" s="4" t="str">
        <f>HYPERLINK(AB2 &amp; "/wrench/sn_d3a6bef70233864f105ba04d7c7887e/rendering/08.obj", "6.73488426208")</f>
        <v>6.73488426208</v>
      </c>
      <c r="L2810" s="176" t="str">
        <f>HYPERLINK(AB2 &amp; "/wrench/sn_d3a6bef70233864f105ba04d7c7887e/rendering/09.obj", "6.90457773209")</f>
        <v>6.90457773209</v>
      </c>
      <c r="M2810" s="88" t="str">
        <f>HYPERLINK(AB2 &amp; "/wrench/sn_d3a6bef70233864f105ba04d7c7887e/rendering/10.obj", "4.17878675461")</f>
        <v>4.17878675461</v>
      </c>
      <c r="N2810" s="166" t="str">
        <f>HYPERLINK(AB2 &amp; "/wrench/sn_d3a6bef70233864f105ba04d7c7887e/rendering/11.obj", "3.73683786392")</f>
        <v>3.73683786392</v>
      </c>
      <c r="O2810" s="166" t="str">
        <f>HYPERLINK(AB2 &amp; "/wrench/sn_d3a6bef70233864f105ba04d7c7887e/rendering/12.obj", "6.7468791008")</f>
        <v>6.7468791008</v>
      </c>
      <c r="P2810" s="17" t="str">
        <f>HYPERLINK(AB2 &amp; "/wrench/sn_d3a6bef70233864f105ba04d7c7887e/rendering/13.obj", "5.14044570923")</f>
        <v>5.14044570923</v>
      </c>
      <c r="Q2810" s="57" t="str">
        <f>HYPERLINK(AB2 &amp; "/wrench/sn_d3a6bef70233864f105ba04d7c7887e/rendering/14.obj", "3.5879073143")</f>
        <v>3.5879073143</v>
      </c>
      <c r="R2810" s="116" t="str">
        <f>HYPERLINK(AB2 &amp; "/wrench/sn_d3a6bef70233864f105ba04d7c7887e/rendering/15.obj", "7.53350496292")</f>
        <v>7.53350496292</v>
      </c>
      <c r="S2810" s="200" t="str">
        <f>HYPERLINK(AB2 &amp; "/wrench/sn_d3a6bef70233864f105ba04d7c7887e/rendering/16.obj", "2.72786164284")</f>
        <v>2.72786164284</v>
      </c>
      <c r="T2810" s="86" t="str">
        <f>HYPERLINK(AB2 &amp; "/wrench/sn_d3a6bef70233864f105ba04d7c7887e/rendering/17.obj", "6.65451145172")</f>
        <v>6.65451145172</v>
      </c>
      <c r="U2810" s="138" t="str">
        <f>HYPERLINK(AB2 &amp; "/wrench/sn_d3a6bef70233864f105ba04d7c7887e/rendering/18.obj", "7.01151132584")</f>
        <v>7.01151132584</v>
      </c>
      <c r="V2810" s="26" t="str">
        <f>HYPERLINK(AB2 &amp; "/wrench/sn_d3a6bef70233864f105ba04d7c7887e/rendering/19.obj", "4.91278648376")</f>
        <v>4.91278648376</v>
      </c>
      <c r="W2810" s="12" t="s">
        <v>32</v>
      </c>
      <c r="X2810" s="13">
        <v>5.2422698855400087</v>
      </c>
      <c r="Y2810" s="13">
        <v>1.441319794856734</v>
      </c>
      <c r="Z2810" s="113">
        <v>0.2749419290358156</v>
      </c>
    </row>
    <row r="2811" spans="1:26" x14ac:dyDescent="0.2">
      <c r="A2811" s="1">
        <v>2809</v>
      </c>
      <c r="B2811" s="2" t="s">
        <v>594</v>
      </c>
      <c r="C2811" s="13" t="str">
        <f>HYPERLINK(AC2 &amp; "/wrench/sn_d3a6bef70233864f105ba04d7c7887e/rendering/00.xyz", "0.0")</f>
        <v>0.0</v>
      </c>
      <c r="D2811" s="13" t="str">
        <f>HYPERLINK(AC2 &amp; "/wrench/sn_d3a6bef70233864f105ba04d7c7887e/rendering/01.xyz", "0.0")</f>
        <v>0.0</v>
      </c>
      <c r="E2811" s="13" t="str">
        <f>HYPERLINK(AC2 &amp; "/wrench/sn_d3a6bef70233864f105ba04d7c7887e/rendering/02.xyz", "0.0")</f>
        <v>0.0</v>
      </c>
      <c r="F2811" s="13" t="str">
        <f>HYPERLINK(AC2 &amp; "/wrench/sn_d3a6bef70233864f105ba04d7c7887e/rendering/03.xyz", "0.0")</f>
        <v>0.0</v>
      </c>
      <c r="G2811" s="13" t="str">
        <f>HYPERLINK(AC2 &amp; "/wrench/sn_d3a6bef70233864f105ba04d7c7887e/rendering/04.xyz", "0.0")</f>
        <v>0.0</v>
      </c>
      <c r="H2811" s="13" t="str">
        <f>HYPERLINK(AC2 &amp; "/wrench/sn_d3a6bef70233864f105ba04d7c7887e/rendering/05.xyz", "0.0")</f>
        <v>0.0</v>
      </c>
      <c r="I2811" s="13" t="str">
        <f>HYPERLINK(AC2 &amp; "/wrench/sn_d3a6bef70233864f105ba04d7c7887e/rendering/06.xyz", "0.0")</f>
        <v>0.0</v>
      </c>
      <c r="J2811" s="13" t="str">
        <f>HYPERLINK(AC2 &amp; "/wrench/sn_d3a6bef70233864f105ba04d7c7887e/rendering/07.xyz", "0.0")</f>
        <v>0.0</v>
      </c>
      <c r="K2811" s="13" t="str">
        <f>HYPERLINK(AC2 &amp; "/wrench/sn_d3a6bef70233864f105ba04d7c7887e/rendering/08.xyz", "0.0")</f>
        <v>0.0</v>
      </c>
      <c r="L2811" s="13" t="str">
        <f>HYPERLINK(AC2 &amp; "/wrench/sn_d3a6bef70233864f105ba04d7c7887e/rendering/09.xyz", "0.0")</f>
        <v>0.0</v>
      </c>
      <c r="M2811" s="13" t="str">
        <f>HYPERLINK(AC2 &amp; "/wrench/sn_d3a6bef70233864f105ba04d7c7887e/rendering/10.xyz", "0.0")</f>
        <v>0.0</v>
      </c>
      <c r="N2811" s="13" t="str">
        <f>HYPERLINK(AC2 &amp; "/wrench/sn_d3a6bef70233864f105ba04d7c7887e/rendering/11.xyz", "0.0")</f>
        <v>0.0</v>
      </c>
      <c r="O2811" s="13" t="str">
        <f>HYPERLINK(AC2 &amp; "/wrench/sn_d3a6bef70233864f105ba04d7c7887e/rendering/12.xyz", "0.0")</f>
        <v>0.0</v>
      </c>
      <c r="P2811" s="13" t="str">
        <f>HYPERLINK(AC2 &amp; "/wrench/sn_d3a6bef70233864f105ba04d7c7887e/rendering/13.xyz", "0.0")</f>
        <v>0.0</v>
      </c>
      <c r="Q2811" s="13" t="str">
        <f>HYPERLINK(AC2 &amp; "/wrench/sn_d3a6bef70233864f105ba04d7c7887e/rendering/14.xyz", "0.0")</f>
        <v>0.0</v>
      </c>
      <c r="R2811" s="13" t="str">
        <f>HYPERLINK(AC2 &amp; "/wrench/sn_d3a6bef70233864f105ba04d7c7887e/rendering/15.xyz", "0.0")</f>
        <v>0.0</v>
      </c>
      <c r="S2811" s="13" t="str">
        <f>HYPERLINK(AC2 &amp; "/wrench/sn_d3a6bef70233864f105ba04d7c7887e/rendering/16.xyz", "0.0")</f>
        <v>0.0</v>
      </c>
      <c r="T2811" s="13" t="str">
        <f>HYPERLINK(AC2 &amp; "/wrench/sn_d3a6bef70233864f105ba04d7c7887e/rendering/17.xyz", "0.0")</f>
        <v>0.0</v>
      </c>
      <c r="U2811" s="13" t="str">
        <f>HYPERLINK(AC2 &amp; "/wrench/sn_d3a6bef70233864f105ba04d7c7887e/rendering/18.xyz", "0.0")</f>
        <v>0.0</v>
      </c>
      <c r="V2811" s="13" t="str">
        <f>HYPERLINK(AC2 &amp; "/wrench/sn_d3a6bef70233864f105ba04d7c7887e/rendering/19.xyz", "0.0")</f>
        <v>0.0</v>
      </c>
      <c r="W2811" s="12" t="s">
        <v>33</v>
      </c>
      <c r="X2811" s="13">
        <v>0</v>
      </c>
      <c r="Y2811" s="13">
        <v>0</v>
      </c>
      <c r="Z2811" s="13">
        <v>0</v>
      </c>
    </row>
    <row r="2812" spans="1:26" x14ac:dyDescent="0.2">
      <c r="A2812" s="1">
        <v>2810</v>
      </c>
      <c r="B2812" s="2" t="s">
        <v>595</v>
      </c>
      <c r="C2812" s="181" t="str">
        <f>HYPERLINK(AA2 &amp; "/wrench/sn_d3d7e3c359de165698c63cb68f11df34/rendering/00.obj", "5.17477844238")</f>
        <v>5.17477844238</v>
      </c>
      <c r="D2812" s="17" t="str">
        <f>HYPERLINK(AA2 &amp; "/wrench/sn_d3d7e3c359de165698c63cb68f11df34/rendering/01.obj", "9.11743652344")</f>
        <v>9.11743652344</v>
      </c>
      <c r="E2812" s="75" t="str">
        <f>HYPERLINK(AA2 &amp; "/wrench/sn_d3d7e3c359de165698c63cb68f11df34/rendering/02.obj", "7.2461315918")</f>
        <v>7.2461315918</v>
      </c>
      <c r="F2812" s="203" t="str">
        <f>HYPERLINK(AA2 &amp; "/wrench/sn_d3d7e3c359de165698c63cb68f11df34/rendering/03.obj", "4.97128234863")</f>
        <v>4.97128234863</v>
      </c>
      <c r="G2812" s="70" t="str">
        <f>HYPERLINK(AA2 &amp; "/wrench/sn_d3d7e3c359de165698c63cb68f11df34/rendering/04.obj", "8.12598388672")</f>
        <v>8.12598388672</v>
      </c>
      <c r="H2812" s="25" t="str">
        <f>HYPERLINK(AA2 &amp; "/wrench/sn_d3d7e3c359de165698c63cb68f11df34/rendering/05.obj", "9.39200561523")</f>
        <v>9.39200561523</v>
      </c>
      <c r="I2812" s="87" t="str">
        <f>HYPERLINK(AA2 &amp; "/wrench/sn_d3d7e3c359de165698c63cb68f11df34/rendering/06.obj", "11.4283239746")</f>
        <v>11.4283239746</v>
      </c>
      <c r="J2812" s="149" t="str">
        <f>HYPERLINK(AA2 &amp; "/wrench/sn_d3d7e3c359de165698c63cb68f11df34/rendering/07.obj", "6.09616882324")</f>
        <v>6.09616882324</v>
      </c>
      <c r="K2812" s="99" t="str">
        <f>HYPERLINK(AA2 &amp; "/wrench/sn_d3d7e3c359de165698c63cb68f11df34/rendering/08.obj", "6.791875")</f>
        <v>6.791875</v>
      </c>
      <c r="L2812" s="89" t="str">
        <f>HYPERLINK(AA2 &amp; "/wrench/sn_d3d7e3c359de165698c63cb68f11df34/rendering/09.obj", "11.7240893555")</f>
        <v>11.7240893555</v>
      </c>
      <c r="M2812" s="41" t="str">
        <f>HYPERLINK(AA2 &amp; "/wrench/sn_d3d7e3c359de165698c63cb68f11df34/rendering/10.obj", "9.94447631836")</f>
        <v>9.94447631836</v>
      </c>
      <c r="N2812" s="123" t="str">
        <f>HYPERLINK(AA2 &amp; "/wrench/sn_d3d7e3c359de165698c63cb68f11df34/rendering/11.obj", "12.7324023437")</f>
        <v>12.7324023437</v>
      </c>
      <c r="O2812" s="19" t="str">
        <f>HYPERLINK(AA2 &amp; "/wrench/sn_d3d7e3c359de165698c63cb68f11df34/rendering/12.obj", "11.728001709")</f>
        <v>11.728001709</v>
      </c>
      <c r="P2812" s="90" t="str">
        <f>HYPERLINK(AA2 &amp; "/wrench/sn_d3d7e3c359de165698c63cb68f11df34/rendering/13.obj", "10.1911602783")</f>
        <v>10.1911602783</v>
      </c>
      <c r="Q2812" s="193" t="str">
        <f>HYPERLINK(AA2 &amp; "/wrench/sn_d3d7e3c359de165698c63cb68f11df34/rendering/14.obj", "6.22181030273")</f>
        <v>6.22181030273</v>
      </c>
      <c r="R2812" s="109" t="str">
        <f>HYPERLINK(AA2 &amp; "/wrench/sn_d3d7e3c359de165698c63cb68f11df34/rendering/15.obj", "11.0604321289")</f>
        <v>11.0604321289</v>
      </c>
      <c r="S2812" s="74" t="str">
        <f>HYPERLINK(AA2 &amp; "/wrench/sn_d3d7e3c359de165698c63cb68f11df34/rendering/16.obj", "9.15854919434")</f>
        <v>9.15854919434</v>
      </c>
      <c r="T2812" s="20" t="str">
        <f>HYPERLINK(AA2 &amp; "/wrench/sn_d3d7e3c359de165698c63cb68f11df34/rendering/17.obj", "17.4832373047")</f>
        <v>17.4832373047</v>
      </c>
      <c r="U2812" s="119" t="str">
        <f>HYPERLINK(AA2 &amp; "/wrench/sn_d3d7e3c359de165698c63cb68f11df34/rendering/18.obj", "6.83657226563")</f>
        <v>6.83657226563</v>
      </c>
      <c r="V2812" s="84" t="str">
        <f>HYPERLINK(AA2 &amp; "/wrench/sn_d3d7e3c359de165698c63cb68f11df34/rendering/19.obj", "10.6468127441")</f>
        <v>10.6468127441</v>
      </c>
      <c r="W2812" s="12" t="s">
        <v>29</v>
      </c>
      <c r="X2812" s="13">
        <v>9.3035765075683603</v>
      </c>
      <c r="Y2812" s="13">
        <v>2.955358727526685</v>
      </c>
      <c r="Z2812" s="176">
        <v>0.3176583462416343</v>
      </c>
    </row>
    <row r="2813" spans="1:26" x14ac:dyDescent="0.2">
      <c r="A2813" s="1">
        <v>2811</v>
      </c>
      <c r="B2813" s="2" t="s">
        <v>595</v>
      </c>
      <c r="C2813" s="236" t="str">
        <f>HYPERLINK(AA2 &amp; "/wrench/sn_d3d7e3c359de165698c63cb68f11df34/rendering/00.obj", "5.04562902451")</f>
        <v>5.04562902451</v>
      </c>
      <c r="D2813" s="43" t="str">
        <f>HYPERLINK(AA2 &amp; "/wrench/sn_d3d7e3c359de165698c63cb68f11df34/rendering/01.obj", "12.059015274")</f>
        <v>12.059015274</v>
      </c>
      <c r="E2813" s="227" t="str">
        <f>HYPERLINK(AA2 &amp; "/wrench/sn_d3d7e3c359de165698c63cb68f11df34/rendering/02.obj", "9.43764305115")</f>
        <v>9.43764305115</v>
      </c>
      <c r="F2813" s="205" t="str">
        <f>HYPERLINK(AA2 &amp; "/wrench/sn_d3d7e3c359de165698c63cb68f11df34/rendering/03.obj", "6.4323720932")</f>
        <v>6.4323720932</v>
      </c>
      <c r="G2813" s="77" t="str">
        <f>HYPERLINK(AA2 &amp; "/wrench/sn_d3d7e3c359de165698c63cb68f11df34/rendering/04.obj", "15.6898870468")</f>
        <v>15.6898870468</v>
      </c>
      <c r="H2813" s="80" t="str">
        <f>HYPERLINK(AA2 &amp; "/wrench/sn_d3d7e3c359de165698c63cb68f11df34/rendering/05.obj", "16.4340114594")</f>
        <v>16.4340114594</v>
      </c>
      <c r="I2813" s="14" t="str">
        <f>HYPERLINK(AA2 &amp; "/wrench/sn_d3d7e3c359de165698c63cb68f11df34/rendering/06.obj", "24.903585434")</f>
        <v>24.903585434</v>
      </c>
      <c r="J2813" s="215" t="str">
        <f>HYPERLINK(AA2 &amp; "/wrench/sn_d3d7e3c359de165698c63cb68f11df34/rendering/07.obj", "6.34902381897")</f>
        <v>6.34902381897</v>
      </c>
      <c r="K2813" s="216" t="str">
        <f>HYPERLINK(AA2 &amp; "/wrench/sn_d3d7e3c359de165698c63cb68f11df34/rendering/08.obj", "6.70811223984")</f>
        <v>6.70811223984</v>
      </c>
      <c r="L2813" s="81" t="str">
        <f>HYPERLINK(AA2 &amp; "/wrench/sn_d3d7e3c359de165698c63cb68f11df34/rendering/09.obj", "15.1212310791")</f>
        <v>15.1212310791</v>
      </c>
      <c r="M2813" s="255" t="str">
        <f>HYPERLINK(AA2 &amp; "/wrench/sn_d3d7e3c359de165698c63cb68f11df34/rendering/10.obj", "33.2745819092")</f>
        <v>33.2745819092</v>
      </c>
      <c r="N2813" s="20" t="str">
        <f>HYPERLINK(AA2 &amp; "/wrench/sn_d3d7e3c359de165698c63cb68f11df34/rendering/11.obj", "40.7825698853")</f>
        <v>40.7825698853</v>
      </c>
      <c r="O2813" s="216" t="str">
        <f>HYPERLINK(AA2 &amp; "/wrench/sn_d3d7e3c359de165698c63cb68f11df34/rendering/12.obj", "31.8374404907")</f>
        <v>31.8374404907</v>
      </c>
      <c r="P2813" s="17" t="str">
        <f>HYPERLINK(AA2 &amp; "/wrench/sn_d3d7e3c359de165698c63cb68f11df34/rendering/13.obj", "18.9272785187")</f>
        <v>18.9272785187</v>
      </c>
      <c r="Q2813" s="112" t="str">
        <f>HYPERLINK(AA2 &amp; "/wrench/sn_d3d7e3c359de165698c63cb68f11df34/rendering/14.obj", "7.80062294006")</f>
        <v>7.80062294006</v>
      </c>
      <c r="R2813" s="87" t="str">
        <f>HYPERLINK(AA2 &amp; "/wrench/sn_d3d7e3c359de165698c63cb68f11df34/rendering/15.obj", "14.9080228806")</f>
        <v>14.9080228806</v>
      </c>
      <c r="S2813" s="126" t="str">
        <f>HYPERLINK(AA2 &amp; "/wrench/sn_d3d7e3c359de165698c63cb68f11df34/rendering/16.obj", "9.63253593445")</f>
        <v>9.63253593445</v>
      </c>
      <c r="T2813" s="20" t="str">
        <f>HYPERLINK(AA2 &amp; "/wrench/sn_d3d7e3c359de165698c63cb68f11df34/rendering/17.obj", "83.6567459106")</f>
        <v>83.6567459106</v>
      </c>
      <c r="U2813" s="97" t="str">
        <f>HYPERLINK(AA2 &amp; "/wrench/sn_d3d7e3c359de165698c63cb68f11df34/rendering/18.obj", "10.9274806976")</f>
        <v>10.9274806976</v>
      </c>
      <c r="V2813" s="24" t="str">
        <f>HYPERLINK(AA2 &amp; "/wrench/sn_d3d7e3c359de165698c63cb68f11df34/rendering/19.obj", "16.0735321045")</f>
        <v>16.0735321045</v>
      </c>
      <c r="W2813" s="12" t="s">
        <v>30</v>
      </c>
      <c r="X2813" s="13">
        <v>19.300066089630128</v>
      </c>
      <c r="Y2813" s="13">
        <v>17.601497650190709</v>
      </c>
      <c r="Z2813" s="20">
        <v>0.91199157393807806</v>
      </c>
    </row>
    <row r="2814" spans="1:26" x14ac:dyDescent="0.2">
      <c r="A2814" s="1">
        <v>2812</v>
      </c>
      <c r="B2814" s="2" t="s">
        <v>595</v>
      </c>
      <c r="C2814" s="61" t="str">
        <f>HYPERLINK(AB2 &amp; "/wrench/sn_d3d7e3c359de165698c63cb68f11df34/rendering/00.obj", "4.55327911377")</f>
        <v>4.55327911377</v>
      </c>
      <c r="D2814" s="92" t="str">
        <f>HYPERLINK(AB2 &amp; "/wrench/sn_d3d7e3c359de165698c63cb68f11df34/rendering/01.obj", "5.71287902832")</f>
        <v>5.71287902832</v>
      </c>
      <c r="E2814" s="92" t="str">
        <f>HYPERLINK(AB2 &amp; "/wrench/sn_d3d7e3c359de165698c63cb68f11df34/rendering/02.obj", "7.32728515625")</f>
        <v>7.32728515625</v>
      </c>
      <c r="F2814" s="50" t="str">
        <f>HYPERLINK(AB2 &amp; "/wrench/sn_d3d7e3c359de165698c63cb68f11df34/rendering/03.obj", "5.21463867187")</f>
        <v>5.21463867187</v>
      </c>
      <c r="G2814" s="36" t="str">
        <f>HYPERLINK(AB2 &amp; "/wrench/sn_d3d7e3c359de165698c63cb68f11df34/rendering/04.obj", "7.92174438477")</f>
        <v>7.92174438477</v>
      </c>
      <c r="H2814" s="58" t="str">
        <f>HYPERLINK(AB2 &amp; "/wrench/sn_d3d7e3c359de165698c63cb68f11df34/rendering/05.obj", "8.10862243652")</f>
        <v>8.10862243652</v>
      </c>
      <c r="I2814" s="28" t="str">
        <f>HYPERLINK(AB2 &amp; "/wrench/sn_d3d7e3c359de165698c63cb68f11df34/rendering/06.obj", "5.80374389648")</f>
        <v>5.80374389648</v>
      </c>
      <c r="J2814" s="106" t="str">
        <f>HYPERLINK(AB2 &amp; "/wrench/sn_d3d7e3c359de165698c63cb68f11df34/rendering/07.obj", "5.77764892578")</f>
        <v>5.77764892578</v>
      </c>
      <c r="K2814" s="149" t="str">
        <f>HYPERLINK(AB2 &amp; "/wrench/sn_d3d7e3c359de165698c63cb68f11df34/rendering/08.obj", "4.27944641113")</f>
        <v>4.27944641113</v>
      </c>
      <c r="L2814" s="91" t="str">
        <f>HYPERLINK(AB2 &amp; "/wrench/sn_d3d7e3c359de165698c63cb68f11df34/rendering/09.obj", "6.6967779541")</f>
        <v>6.6967779541</v>
      </c>
      <c r="M2814" s="179" t="str">
        <f>HYPERLINK(AB2 &amp; "/wrench/sn_d3d7e3c359de165698c63cb68f11df34/rendering/10.obj", "9.31984680176")</f>
        <v>9.31984680176</v>
      </c>
      <c r="N2814" s="47" t="str">
        <f>HYPERLINK(AB2 &amp; "/wrench/sn_d3d7e3c359de165698c63cb68f11df34/rendering/11.obj", "6.57938476562")</f>
        <v>6.57938476562</v>
      </c>
      <c r="O2814" s="36" t="str">
        <f>HYPERLINK(AB2 &amp; "/wrench/sn_d3d7e3c359de165698c63cb68f11df34/rendering/12.obj", "7.92422241211")</f>
        <v>7.92422241211</v>
      </c>
      <c r="P2814" s="48" t="str">
        <f>HYPERLINK(AB2 &amp; "/wrench/sn_d3d7e3c359de165698c63cb68f11df34/rendering/13.obj", "6.36062744141")</f>
        <v>6.36062744141</v>
      </c>
      <c r="Q2814" s="110" t="str">
        <f>HYPERLINK(AB2 &amp; "/wrench/sn_d3d7e3c359de165698c63cb68f11df34/rendering/14.obj", "5.87085021973")</f>
        <v>5.87085021973</v>
      </c>
      <c r="R2814" s="79" t="str">
        <f>HYPERLINK(AB2 &amp; "/wrench/sn_d3d7e3c359de165698c63cb68f11df34/rendering/15.obj", "7.56109985352")</f>
        <v>7.56109985352</v>
      </c>
      <c r="S2814" s="91" t="str">
        <f>HYPERLINK(AB2 &amp; "/wrench/sn_d3d7e3c359de165698c63cb68f11df34/rendering/16.obj", "6.70087768555")</f>
        <v>6.70087768555</v>
      </c>
      <c r="T2814" s="26" t="str">
        <f>HYPERLINK(AB2 &amp; "/wrench/sn_d3d7e3c359de165698c63cb68f11df34/rendering/17.obj", "6.93531982422")</f>
        <v>6.93531982422</v>
      </c>
      <c r="U2814" s="60" t="str">
        <f>HYPERLINK(AB2 &amp; "/wrench/sn_d3d7e3c359de165698c63cb68f11df34/rendering/18.obj", "6.18611328125")</f>
        <v>6.18611328125</v>
      </c>
      <c r="V2814" s="65" t="str">
        <f>HYPERLINK(AB2 &amp; "/wrench/sn_d3d7e3c359de165698c63cb68f11df34/rendering/19.obj", "5.64697509766")</f>
        <v>5.64697509766</v>
      </c>
      <c r="W2814" s="12" t="s">
        <v>31</v>
      </c>
      <c r="X2814" s="13">
        <v>6.5240691680908203</v>
      </c>
      <c r="Y2814" s="13">
        <v>1.2227608576427731</v>
      </c>
      <c r="Z2814" s="77">
        <v>0.18742303708600891</v>
      </c>
    </row>
    <row r="2815" spans="1:26" x14ac:dyDescent="0.2">
      <c r="A2815" s="1">
        <v>2813</v>
      </c>
      <c r="B2815" s="2" t="s">
        <v>595</v>
      </c>
      <c r="C2815" s="187" t="str">
        <f>HYPERLINK(AB2 &amp; "/wrench/sn_d3d7e3c359de165698c63cb68f11df34/rendering/00.obj", "3.64835953712")</f>
        <v>3.64835953712</v>
      </c>
      <c r="D2815" s="124" t="str">
        <f>HYPERLINK(AB2 &amp; "/wrench/sn_d3d7e3c359de165698c63cb68f11df34/rendering/01.obj", "3.47464942932")</f>
        <v>3.47464942932</v>
      </c>
      <c r="E2815" s="78" t="str">
        <f>HYPERLINK(AB2 &amp; "/wrench/sn_d3d7e3c359de165698c63cb68f11df34/rendering/02.obj", "5.28035640717")</f>
        <v>5.28035640717</v>
      </c>
      <c r="F2815" s="83" t="str">
        <f>HYPERLINK(AB2 &amp; "/wrench/sn_d3d7e3c359de165698c63cb68f11df34/rendering/03.obj", "4.76672124863")</f>
        <v>4.76672124863</v>
      </c>
      <c r="G2815" s="26" t="str">
        <f>HYPERLINK(AB2 &amp; "/wrench/sn_d3d7e3c359de165698c63cb68f11df34/rendering/04.obj", "5.98551940918")</f>
        <v>5.98551940918</v>
      </c>
      <c r="H2815" s="74" t="str">
        <f>HYPERLINK(AB2 &amp; "/wrench/sn_d3d7e3c359de165698c63cb68f11df34/rendering/05.obj", "5.54974746704")</f>
        <v>5.54974746704</v>
      </c>
      <c r="I2815" s="74" t="str">
        <f>HYPERLINK(AB2 &amp; "/wrench/sn_d3d7e3c359de165698c63cb68f11df34/rendering/06.obj", "5.7076048851")</f>
        <v>5.7076048851</v>
      </c>
      <c r="J2815" s="91" t="str">
        <f>HYPERLINK(AB2 &amp; "/wrench/sn_d3d7e3c359de165698c63cb68f11df34/rendering/07.obj", "5.77610635757")</f>
        <v>5.77610635757</v>
      </c>
      <c r="K2815" s="142" t="str">
        <f>HYPERLINK(AB2 &amp; "/wrench/sn_d3d7e3c359de165698c63cb68f11df34/rendering/08.obj", "3.41568493843")</f>
        <v>3.41568493843</v>
      </c>
      <c r="L2815" s="44" t="str">
        <f>HYPERLINK(AB2 &amp; "/wrench/sn_d3d7e3c359de165698c63cb68f11df34/rendering/09.obj", "4.51844024658")</f>
        <v>4.51844024658</v>
      </c>
      <c r="M2815" s="65" t="str">
        <f>HYPERLINK(AB2 &amp; "/wrench/sn_d3d7e3c359de165698c63cb68f11df34/rendering/10.obj", "6.37994909286")</f>
        <v>6.37994909286</v>
      </c>
      <c r="N2815" s="159" t="str">
        <f>HYPERLINK(AB2 &amp; "/wrench/sn_d3d7e3c359de165698c63cb68f11df34/rendering/11.obj", "8.2573299408")</f>
        <v>8.2573299408</v>
      </c>
      <c r="O2815" s="20" t="str">
        <f>HYPERLINK(AB2 &amp; "/wrench/sn_d3d7e3c359de165698c63cb68f11df34/rendering/12.obj", "11.4185085297")</f>
        <v>11.4185085297</v>
      </c>
      <c r="P2815" s="29" t="str">
        <f>HYPERLINK(AB2 &amp; "/wrench/sn_d3d7e3c359de165698c63cb68f11df34/rendering/13.obj", "4.88766908646")</f>
        <v>4.88766908646</v>
      </c>
      <c r="Q2815" s="175" t="str">
        <f>HYPERLINK(AB2 &amp; "/wrench/sn_d3d7e3c359de165698c63cb68f11df34/rendering/14.obj", "4.30825042725")</f>
        <v>4.30825042725</v>
      </c>
      <c r="R2815" s="39" t="str">
        <f>HYPERLINK(AB2 &amp; "/wrench/sn_d3d7e3c359de165698c63cb68f11df34/rendering/15.obj", "5.13374376297")</f>
        <v>5.13374376297</v>
      </c>
      <c r="S2815" s="74" t="str">
        <f>HYPERLINK(AB2 &amp; "/wrench/sn_d3d7e3c359de165698c63cb68f11df34/rendering/16.obj", "5.54541015625")</f>
        <v>5.54541015625</v>
      </c>
      <c r="T2815" s="20" t="str">
        <f>HYPERLINK(AB2 &amp; "/wrench/sn_d3d7e3c359de165698c63cb68f11df34/rendering/17.obj", "10.2583503723")</f>
        <v>10.2583503723</v>
      </c>
      <c r="U2815" s="135" t="str">
        <f>HYPERLINK(AB2 &amp; "/wrench/sn_d3d7e3c359de165698c63cb68f11df34/rendering/18.obj", "4.18476486206")</f>
        <v>4.18476486206</v>
      </c>
      <c r="V2815" s="85" t="str">
        <f>HYPERLINK(AB2 &amp; "/wrench/sn_d3d7e3c359de165698c63cb68f11df34/rendering/19.obj", "3.95279717445")</f>
        <v>3.95279717445</v>
      </c>
      <c r="W2815" s="12" t="s">
        <v>32</v>
      </c>
      <c r="X2815" s="13">
        <v>5.6224981665611269</v>
      </c>
      <c r="Y2815" s="13">
        <v>2.068631574797176</v>
      </c>
      <c r="Z2815" s="123">
        <v>0.36792036449207199</v>
      </c>
    </row>
    <row r="2816" spans="1:26" x14ac:dyDescent="0.2">
      <c r="A2816" s="1">
        <v>2814</v>
      </c>
      <c r="B2816" s="2" t="s">
        <v>595</v>
      </c>
      <c r="C2816" s="13" t="str">
        <f>HYPERLINK(AC2 &amp; "/wrench/sn_d3d7e3c359de165698c63cb68f11df34/rendering/00.xyz", "0.0")</f>
        <v>0.0</v>
      </c>
      <c r="D2816" s="13" t="str">
        <f>HYPERLINK(AC2 &amp; "/wrench/sn_d3d7e3c359de165698c63cb68f11df34/rendering/01.xyz", "0.0")</f>
        <v>0.0</v>
      </c>
      <c r="E2816" s="13" t="str">
        <f>HYPERLINK(AC2 &amp; "/wrench/sn_d3d7e3c359de165698c63cb68f11df34/rendering/02.xyz", "0.0")</f>
        <v>0.0</v>
      </c>
      <c r="F2816" s="13" t="str">
        <f>HYPERLINK(AC2 &amp; "/wrench/sn_d3d7e3c359de165698c63cb68f11df34/rendering/03.xyz", "0.0")</f>
        <v>0.0</v>
      </c>
      <c r="G2816" s="13" t="str">
        <f>HYPERLINK(AC2 &amp; "/wrench/sn_d3d7e3c359de165698c63cb68f11df34/rendering/04.xyz", "0.0")</f>
        <v>0.0</v>
      </c>
      <c r="H2816" s="13" t="str">
        <f>HYPERLINK(AC2 &amp; "/wrench/sn_d3d7e3c359de165698c63cb68f11df34/rendering/05.xyz", "0.0")</f>
        <v>0.0</v>
      </c>
      <c r="I2816" s="13" t="str">
        <f>HYPERLINK(AC2 &amp; "/wrench/sn_d3d7e3c359de165698c63cb68f11df34/rendering/06.xyz", "0.0")</f>
        <v>0.0</v>
      </c>
      <c r="J2816" s="13" t="str">
        <f>HYPERLINK(AC2 &amp; "/wrench/sn_d3d7e3c359de165698c63cb68f11df34/rendering/07.xyz", "0.0")</f>
        <v>0.0</v>
      </c>
      <c r="K2816" s="13" t="str">
        <f>HYPERLINK(AC2 &amp; "/wrench/sn_d3d7e3c359de165698c63cb68f11df34/rendering/08.xyz", "0.0")</f>
        <v>0.0</v>
      </c>
      <c r="L2816" s="13" t="str">
        <f>HYPERLINK(AC2 &amp; "/wrench/sn_d3d7e3c359de165698c63cb68f11df34/rendering/09.xyz", "0.0")</f>
        <v>0.0</v>
      </c>
      <c r="M2816" s="13" t="str">
        <f>HYPERLINK(AC2 &amp; "/wrench/sn_d3d7e3c359de165698c63cb68f11df34/rendering/10.xyz", "0.0")</f>
        <v>0.0</v>
      </c>
      <c r="N2816" s="13" t="str">
        <f>HYPERLINK(AC2 &amp; "/wrench/sn_d3d7e3c359de165698c63cb68f11df34/rendering/11.xyz", "0.0")</f>
        <v>0.0</v>
      </c>
      <c r="O2816" s="13" t="str">
        <f>HYPERLINK(AC2 &amp; "/wrench/sn_d3d7e3c359de165698c63cb68f11df34/rendering/12.xyz", "0.0")</f>
        <v>0.0</v>
      </c>
      <c r="P2816" s="13" t="str">
        <f>HYPERLINK(AC2 &amp; "/wrench/sn_d3d7e3c359de165698c63cb68f11df34/rendering/13.xyz", "0.0")</f>
        <v>0.0</v>
      </c>
      <c r="Q2816" s="13" t="str">
        <f>HYPERLINK(AC2 &amp; "/wrench/sn_d3d7e3c359de165698c63cb68f11df34/rendering/14.xyz", "0.0")</f>
        <v>0.0</v>
      </c>
      <c r="R2816" s="13" t="str">
        <f>HYPERLINK(AC2 &amp; "/wrench/sn_d3d7e3c359de165698c63cb68f11df34/rendering/15.xyz", "0.0")</f>
        <v>0.0</v>
      </c>
      <c r="S2816" s="13" t="str">
        <f>HYPERLINK(AC2 &amp; "/wrench/sn_d3d7e3c359de165698c63cb68f11df34/rendering/16.xyz", "0.0")</f>
        <v>0.0</v>
      </c>
      <c r="T2816" s="13" t="str">
        <f>HYPERLINK(AC2 &amp; "/wrench/sn_d3d7e3c359de165698c63cb68f11df34/rendering/17.xyz", "0.0")</f>
        <v>0.0</v>
      </c>
      <c r="U2816" s="13" t="str">
        <f>HYPERLINK(AC2 &amp; "/wrench/sn_d3d7e3c359de165698c63cb68f11df34/rendering/18.xyz", "0.0")</f>
        <v>0.0</v>
      </c>
      <c r="V2816" s="13" t="str">
        <f>HYPERLINK(AC2 &amp; "/wrench/sn_d3d7e3c359de165698c63cb68f11df34/rendering/19.xyz", "0.0")</f>
        <v>0.0</v>
      </c>
      <c r="W2816" s="12" t="s">
        <v>33</v>
      </c>
      <c r="X2816" s="13">
        <v>0</v>
      </c>
      <c r="Y2816" s="13">
        <v>0</v>
      </c>
      <c r="Z2816" s="13">
        <v>0</v>
      </c>
    </row>
    <row r="2817" spans="1:26" x14ac:dyDescent="0.2">
      <c r="A2817" s="1">
        <v>2815</v>
      </c>
      <c r="B2817" s="2" t="s">
        <v>596</v>
      </c>
      <c r="C2817" s="33" t="str">
        <f>HYPERLINK(AA2 &amp; "/wrench/sn_d680a11274087b72d634ee5b943790fb/rendering/00.obj", "5.52120483398")</f>
        <v>5.52120483398</v>
      </c>
      <c r="D2817" s="71" t="str">
        <f>HYPERLINK(AA2 &amp; "/wrench/sn_d680a11274087b72d634ee5b943790fb/rendering/01.obj", "5.4606463623")</f>
        <v>5.4606463623</v>
      </c>
      <c r="E2817" s="46" t="str">
        <f>HYPERLINK(AA2 &amp; "/wrench/sn_d680a11274087b72d634ee5b943790fb/rendering/02.obj", "6.28888427734")</f>
        <v>6.28888427734</v>
      </c>
      <c r="F2817" s="107" t="str">
        <f>HYPERLINK(AA2 &amp; "/wrench/sn_d680a11274087b72d634ee5b943790fb/rendering/03.obj", "6.70018737793")</f>
        <v>6.70018737793</v>
      </c>
      <c r="G2817" s="6" t="str">
        <f>HYPERLINK(AA2 &amp; "/wrench/sn_d680a11274087b72d634ee5b943790fb/rendering/04.obj", "5.91301025391")</f>
        <v>5.91301025391</v>
      </c>
      <c r="H2817" s="106" t="str">
        <f>HYPERLINK(AA2 &amp; "/wrench/sn_d680a11274087b72d634ee5b943790fb/rendering/05.obj", "5.47677368164")</f>
        <v>5.47677368164</v>
      </c>
      <c r="I2817" s="74" t="str">
        <f>HYPERLINK(AA2 &amp; "/wrench/sn_d680a11274087b72d634ee5b943790fb/rendering/06.obj", "6.27939697266")</f>
        <v>6.27939697266</v>
      </c>
      <c r="J2817" s="74" t="str">
        <f>HYPERLINK(AA2 &amp; "/wrench/sn_d680a11274087b72d634ee5b943790fb/rendering/07.obj", "6.27582397461")</f>
        <v>6.27582397461</v>
      </c>
      <c r="K2817" s="84" t="str">
        <f>HYPERLINK(AA2 &amp; "/wrench/sn_d680a11274087b72d634ee5b943790fb/rendering/08.obj", "5.28850341797")</f>
        <v>5.28850341797</v>
      </c>
      <c r="L2817" s="69" t="str">
        <f>HYPERLINK(AA2 &amp; "/wrench/sn_d680a11274087b72d634ee5b943790fb/rendering/09.obj", "6.00280273437")</f>
        <v>6.00280273437</v>
      </c>
      <c r="M2817" s="8" t="str">
        <f>HYPERLINK(AA2 &amp; "/wrench/sn_d680a11274087b72d634ee5b943790fb/rendering/10.obj", "5.30748901367")</f>
        <v>5.30748901367</v>
      </c>
      <c r="N2817" s="23" t="str">
        <f>HYPERLINK(AA2 &amp; "/wrench/sn_d680a11274087b72d634ee5b943790fb/rendering/11.obj", "6.42563293457")</f>
        <v>6.42563293457</v>
      </c>
      <c r="O2817" s="214" t="str">
        <f>HYPERLINK(AA2 &amp; "/wrench/sn_d680a11274087b72d634ee5b943790fb/rendering/12.obj", "9.99733154297")</f>
        <v>9.99733154297</v>
      </c>
      <c r="P2817" s="73" t="str">
        <f>HYPERLINK(AA2 &amp; "/wrench/sn_d680a11274087b72d634ee5b943790fb/rendering/13.obj", "5.96897460938")</f>
        <v>5.96897460938</v>
      </c>
      <c r="Q2817" s="91" t="str">
        <f>HYPERLINK(AA2 &amp; "/wrench/sn_d680a11274087b72d634ee5b943790fb/rendering/14.obj", "6.34786071777")</f>
        <v>6.34786071777</v>
      </c>
      <c r="R2817" s="38" t="str">
        <f>HYPERLINK(AA2 &amp; "/wrench/sn_d680a11274087b72d634ee5b943790fb/rendering/15.obj", "5.64155578613")</f>
        <v>5.64155578613</v>
      </c>
      <c r="S2817" s="41" t="str">
        <f>HYPERLINK(AA2 &amp; "/wrench/sn_d680a11274087b72d634ee5b943790fb/rendering/16.obj", "5.7728515625")</f>
        <v>5.7728515625</v>
      </c>
      <c r="T2817" s="5" t="str">
        <f>HYPERLINK(AA2 &amp; "/wrench/sn_d680a11274087b72d634ee5b943790fb/rendering/17.obj", "5.71958251953")</f>
        <v>5.71958251953</v>
      </c>
      <c r="U2817" s="23" t="str">
        <f>HYPERLINK(AA2 &amp; "/wrench/sn_d680a11274087b72d634ee5b943790fb/rendering/18.obj", "6.43466430664")</f>
        <v>6.43466430664</v>
      </c>
      <c r="V2817" s="92" t="str">
        <f>HYPERLINK(AA2 &amp; "/wrench/sn_d680a11274087b72d634ee5b943790fb/rendering/19.obj", "6.95199829102")</f>
        <v>6.95199829102</v>
      </c>
      <c r="W2817" s="12" t="s">
        <v>29</v>
      </c>
      <c r="X2817" s="13">
        <v>6.188758758544922</v>
      </c>
      <c r="Y2817" s="13">
        <v>0.98585715129824425</v>
      </c>
      <c r="Z2817" s="79">
        <v>0.15929804178213519</v>
      </c>
    </row>
    <row r="2818" spans="1:26" x14ac:dyDescent="0.2">
      <c r="A2818" s="1">
        <v>2816</v>
      </c>
      <c r="B2818" s="2" t="s">
        <v>596</v>
      </c>
      <c r="C2818" s="62" t="str">
        <f>HYPERLINK(AA2 &amp; "/wrench/sn_d680a11274087b72d634ee5b943790fb/rendering/00.obj", "1.01276051998")</f>
        <v>1.01276051998</v>
      </c>
      <c r="D2818" s="203" t="str">
        <f>HYPERLINK(AA2 &amp; "/wrench/sn_d680a11274087b72d634ee5b943790fb/rendering/01.obj", "1.33934223652")</f>
        <v>1.33934223652</v>
      </c>
      <c r="E2818" s="170" t="str">
        <f>HYPERLINK(AA2 &amp; "/wrench/sn_d680a11274087b72d634ee5b943790fb/rendering/02.obj", "3.14905190468")</f>
        <v>3.14905190468</v>
      </c>
      <c r="F2818" s="35" t="str">
        <f>HYPERLINK(AA2 &amp; "/wrench/sn_d680a11274087b72d634ee5b943790fb/rendering/03.obj", "2.65603923798")</f>
        <v>2.65603923798</v>
      </c>
      <c r="G2818" s="52" t="str">
        <f>HYPERLINK(AA2 &amp; "/wrench/sn_d680a11274087b72d634ee5b943790fb/rendering/04.obj", "1.50789666176")</f>
        <v>1.50789666176</v>
      </c>
      <c r="H2818" s="53" t="str">
        <f>HYPERLINK(AA2 &amp; "/wrench/sn_d680a11274087b72d634ee5b943790fb/rendering/05.obj", "1.47348535061")</f>
        <v>1.47348535061</v>
      </c>
      <c r="I2818" s="51" t="str">
        <f>HYPERLINK(AA2 &amp; "/wrench/sn_d680a11274087b72d634ee5b943790fb/rendering/06.obj", "2.30787944794")</f>
        <v>2.30787944794</v>
      </c>
      <c r="J2818" s="95" t="str">
        <f>HYPERLINK(AA2 &amp; "/wrench/sn_d680a11274087b72d634ee5b943790fb/rendering/07.obj", "3.21621727943")</f>
        <v>3.21621727943</v>
      </c>
      <c r="K2818" s="127" t="str">
        <f>HYPERLINK(AA2 &amp; "/wrench/sn_d680a11274087b72d634ee5b943790fb/rendering/08.obj", "1.21094882488")</f>
        <v>1.21094882488</v>
      </c>
      <c r="L2818" s="192" t="str">
        <f>HYPERLINK(AA2 &amp; "/wrench/sn_d680a11274087b72d634ee5b943790fb/rendering/09.obj", "1.57643091679")</f>
        <v>1.57643091679</v>
      </c>
      <c r="M2818" s="127" t="str">
        <f>HYPERLINK(AA2 &amp; "/wrench/sn_d680a11274087b72d634ee5b943790fb/rendering/10.obj", "1.2065808773")</f>
        <v>1.2065808773</v>
      </c>
      <c r="N2818" s="107" t="str">
        <f>HYPERLINK(AA2 &amp; "/wrench/sn_d680a11274087b72d634ee5b943790fb/rendering/11.obj", "2.72441029549")</f>
        <v>2.72441029549</v>
      </c>
      <c r="O2818" s="20" t="str">
        <f>HYPERLINK(AA2 &amp; "/wrench/sn_d680a11274087b72d634ee5b943790fb/rendering/12.obj", "12.160905838")</f>
        <v>12.160905838</v>
      </c>
      <c r="P2818" s="126" t="str">
        <f>HYPERLINK(AA2 &amp; "/wrench/sn_d680a11274087b72d634ee5b943790fb/rendering/13.obj", "1.25567674637")</f>
        <v>1.25567674637</v>
      </c>
      <c r="Q2818" s="132" t="str">
        <f>HYPERLINK(AA2 &amp; "/wrench/sn_d680a11274087b72d634ee5b943790fb/rendering/14.obj", "1.46003556252")</f>
        <v>1.46003556252</v>
      </c>
      <c r="R2818" s="160" t="str">
        <f>HYPERLINK(AA2 &amp; "/wrench/sn_d680a11274087b72d634ee5b943790fb/rendering/15.obj", "1.18329846859")</f>
        <v>1.18329846859</v>
      </c>
      <c r="S2818" s="105" t="str">
        <f>HYPERLINK(AA2 &amp; "/wrench/sn_d680a11274087b72d634ee5b943790fb/rendering/16.obj", "1.22504746914")</f>
        <v>1.22504746914</v>
      </c>
      <c r="T2818" s="174" t="str">
        <f>HYPERLINK(AA2 &amp; "/wrench/sn_d680a11274087b72d634ee5b943790fb/rendering/17.obj", "1.19350683689")</f>
        <v>1.19350683689</v>
      </c>
      <c r="U2818" s="71" t="str">
        <f>HYPERLINK(AA2 &amp; "/wrench/sn_d680a11274087b72d634ee5b943790fb/rendering/18.obj", "2.81126761436")</f>
        <v>2.81126761436</v>
      </c>
      <c r="V2818" s="20" t="str">
        <f>HYPERLINK(AA2 &amp; "/wrench/sn_d680a11274087b72d634ee5b943790fb/rendering/19.obj", "5.57202959061")</f>
        <v>5.57202959061</v>
      </c>
      <c r="W2818" s="12" t="s">
        <v>30</v>
      </c>
      <c r="X2818" s="13">
        <v>2.512140583992005</v>
      </c>
      <c r="Y2818" s="13">
        <v>2.4636439850891958</v>
      </c>
      <c r="Z2818" s="20">
        <v>0.98069510949672112</v>
      </c>
    </row>
    <row r="2819" spans="1:26" x14ac:dyDescent="0.2">
      <c r="A2819" s="1">
        <v>2817</v>
      </c>
      <c r="B2819" s="2" t="s">
        <v>596</v>
      </c>
      <c r="C2819" s="47" t="str">
        <f>HYPERLINK(AB2 &amp; "/wrench/sn_d680a11274087b72d634ee5b943790fb/rendering/00.obj", "4.85717987061")</f>
        <v>4.85717987061</v>
      </c>
      <c r="D2819" s="90" t="str">
        <f>HYPERLINK(AB2 &amp; "/wrench/sn_d680a11274087b72d634ee5b943790fb/rendering/01.obj", "4.35207214355")</f>
        <v>4.35207214355</v>
      </c>
      <c r="E2819" s="110" t="str">
        <f>HYPERLINK(AB2 &amp; "/wrench/sn_d680a11274087b72d634ee5b943790fb/rendering/02.obj", "5.30036071777")</f>
        <v>5.30036071777</v>
      </c>
      <c r="F2819" s="73" t="str">
        <f>HYPERLINK(AB2 &amp; "/wrench/sn_d680a11274087b72d634ee5b943790fb/rendering/03.obj", "4.65201324463")</f>
        <v>4.65201324463</v>
      </c>
      <c r="G2819" s="34" t="str">
        <f>HYPERLINK(AB2 &amp; "/wrench/sn_d680a11274087b72d634ee5b943790fb/rendering/04.obj", "5.04825195312")</f>
        <v>5.04825195312</v>
      </c>
      <c r="H2819" s="35" t="str">
        <f>HYPERLINK(AB2 &amp; "/wrench/sn_d680a11274087b72d634ee5b943790fb/rendering/05.obj", "4.53900634766")</f>
        <v>4.53900634766</v>
      </c>
      <c r="I2819" s="25" t="str">
        <f>HYPERLINK(AB2 &amp; "/wrench/sn_d680a11274087b72d634ee5b943790fb/rendering/06.obj", "4.87946289062")</f>
        <v>4.87946289062</v>
      </c>
      <c r="J2819" s="72" t="str">
        <f>HYPERLINK(AB2 &amp; "/wrench/sn_d680a11274087b72d634ee5b943790fb/rendering/07.obj", "4.97487365723")</f>
        <v>4.97487365723</v>
      </c>
      <c r="K2819" s="35" t="str">
        <f>HYPERLINK(AB2 &amp; "/wrench/sn_d680a11274087b72d634ee5b943790fb/rendering/08.obj", "4.53330993652")</f>
        <v>4.53330993652</v>
      </c>
      <c r="L2819" s="10" t="str">
        <f>HYPERLINK(AB2 &amp; "/wrench/sn_d680a11274087b72d634ee5b943790fb/rendering/09.obj", "4.54901245117")</f>
        <v>4.54901245117</v>
      </c>
      <c r="M2819" s="63" t="str">
        <f>HYPERLINK(AB2 &amp; "/wrench/sn_d680a11274087b72d634ee5b943790fb/rendering/10.obj", "4.23992431641")</f>
        <v>4.23992431641</v>
      </c>
      <c r="N2819" s="41" t="str">
        <f>HYPERLINK(AB2 &amp; "/wrench/sn_d680a11274087b72d634ee5b943790fb/rendering/11.obj", "5.14999694824")</f>
        <v>5.14999694824</v>
      </c>
      <c r="O2819" s="26" t="str">
        <f>HYPERLINK(AB2 &amp; "/wrench/sn_d680a11274087b72d634ee5b943790fb/rendering/12.obj", "5.13121032715")</f>
        <v>5.13121032715</v>
      </c>
      <c r="P2819" s="31" t="str">
        <f>HYPERLINK(AB2 &amp; "/wrench/sn_d680a11274087b72d634ee5b943790fb/rendering/13.obj", "5.57449707031")</f>
        <v>5.57449707031</v>
      </c>
      <c r="Q2819" s="23" t="str">
        <f>HYPERLINK(AB2 &amp; "/wrench/sn_d680a11274087b72d634ee5b943790fb/rendering/14.obj", "4.62542663574")</f>
        <v>4.62542663574</v>
      </c>
      <c r="R2819" s="68" t="str">
        <f>HYPERLINK(AB2 &amp; "/wrench/sn_d680a11274087b72d634ee5b943790fb/rendering/15.obj", "4.60864501953")</f>
        <v>4.60864501953</v>
      </c>
      <c r="S2819" s="6" t="str">
        <f>HYPERLINK(AB2 &amp; "/wrench/sn_d680a11274087b72d634ee5b943790fb/rendering/16.obj", "4.60409790039")</f>
        <v>4.60409790039</v>
      </c>
      <c r="T2819" s="17" t="str">
        <f>HYPERLINK(AB2 &amp; "/wrench/sn_d680a11274087b72d634ee5b943790fb/rendering/17.obj", "4.72651031494")</f>
        <v>4.72651031494</v>
      </c>
      <c r="U2819" s="10" t="str">
        <f>HYPERLINK(AB2 &amp; "/wrench/sn_d680a11274087b72d634ee5b943790fb/rendering/18.obj", "5.07778503418")</f>
        <v>5.07778503418</v>
      </c>
      <c r="V2819" s="69" t="str">
        <f>HYPERLINK(AB2 &amp; "/wrench/sn_d680a11274087b72d634ee5b943790fb/rendering/19.obj", "4.96573608398")</f>
        <v>4.96573608398</v>
      </c>
      <c r="W2819" s="12" t="s">
        <v>31</v>
      </c>
      <c r="X2819" s="13">
        <v>4.8194686431884763</v>
      </c>
      <c r="Y2819" s="13">
        <v>0.32638796171084811</v>
      </c>
      <c r="Z2819" s="41">
        <v>6.7722810516081186E-2</v>
      </c>
    </row>
    <row r="2820" spans="1:26" x14ac:dyDescent="0.2">
      <c r="A2820" s="1">
        <v>2818</v>
      </c>
      <c r="B2820" s="2" t="s">
        <v>596</v>
      </c>
      <c r="C2820" s="74" t="str">
        <f>HYPERLINK(AB2 &amp; "/wrench/sn_d680a11274087b72d634ee5b943790fb/rendering/00.obj", "1.06678533554")</f>
        <v>1.06678533554</v>
      </c>
      <c r="D2820" s="10" t="str">
        <f>HYPERLINK(AB2 &amp; "/wrench/sn_d680a11274087b72d634ee5b943790fb/rendering/01.obj", "0.995991766453")</f>
        <v>0.995991766453</v>
      </c>
      <c r="E2820" s="17" t="str">
        <f>HYPERLINK(AB2 &amp; "/wrench/sn_d680a11274087b72d634ee5b943790fb/rendering/02.obj", "1.07367110252")</f>
        <v>1.07367110252</v>
      </c>
      <c r="F2820" s="38" t="str">
        <f>HYPERLINK(AB2 &amp; "/wrench/sn_d680a11274087b72d634ee5b943790fb/rendering/03.obj", "0.957434773445")</f>
        <v>0.957434773445</v>
      </c>
      <c r="G2820" s="78" t="str">
        <f>HYPERLINK(AB2 &amp; "/wrench/sn_d680a11274087b72d634ee5b943790fb/rendering/04.obj", "1.11701655388")</f>
        <v>1.11701655388</v>
      </c>
      <c r="H2820" s="48" t="str">
        <f>HYPERLINK(AB2 &amp; "/wrench/sn_d680a11274087b72d634ee5b943790fb/rendering/05.obj", "1.02723455429")</f>
        <v>1.02723455429</v>
      </c>
      <c r="I2820" s="35" t="str">
        <f>HYPERLINK(AB2 &amp; "/wrench/sn_d680a11274087b72d634ee5b943790fb/rendering/06.obj", "1.11485362053")</f>
        <v>1.11485362053</v>
      </c>
      <c r="J2820" s="73" t="str">
        <f>HYPERLINK(AB2 &amp; "/wrench/sn_d680a11274087b72d634ee5b943790fb/rendering/07.obj", "1.01334476471")</f>
        <v>1.01334476471</v>
      </c>
      <c r="K2820" s="51" t="str">
        <f>HYPERLINK(AB2 &amp; "/wrench/sn_d680a11274087b72d634ee5b943790fb/rendering/08.obj", "1.1383471489")</f>
        <v>1.1383471489</v>
      </c>
      <c r="L2820" s="36" t="str">
        <f>HYPERLINK(AB2 &amp; "/wrench/sn_d680a11274087b72d634ee5b943790fb/rendering/09.obj", "1.27822554111")</f>
        <v>1.27822554111</v>
      </c>
      <c r="M2820" s="90" t="str">
        <f>HYPERLINK(AB2 &amp; "/wrench/sn_d680a11274087b72d634ee5b943790fb/rendering/10.obj", "0.952827095985")</f>
        <v>0.952827095985</v>
      </c>
      <c r="N2820" s="48" t="str">
        <f>HYPERLINK(AB2 &amp; "/wrench/sn_d680a11274087b72d634ee5b943790fb/rendering/11.obj", "1.07662963867")</f>
        <v>1.07662963867</v>
      </c>
      <c r="O2820" s="35" t="str">
        <f>HYPERLINK(AB2 &amp; "/wrench/sn_d680a11274087b72d634ee5b943790fb/rendering/12.obj", "1.1140255928")</f>
        <v>1.1140255928</v>
      </c>
      <c r="P2820" s="91" t="str">
        <f>HYPERLINK(AB2 &amp; "/wrench/sn_d680a11274087b72d634ee5b943790fb/rendering/13.obj", "1.07979667187")</f>
        <v>1.07979667187</v>
      </c>
      <c r="Q2820" s="35" t="str">
        <f>HYPERLINK(AB2 &amp; "/wrench/sn_d680a11274087b72d634ee5b943790fb/rendering/14.obj", "1.11312246323")</f>
        <v>1.11312246323</v>
      </c>
      <c r="R2820" s="90" t="str">
        <f>HYPERLINK(AB2 &amp; "/wrench/sn_d680a11274087b72d634ee5b943790fb/rendering/15.obj", "0.953196942806")</f>
        <v>0.953196942806</v>
      </c>
      <c r="S2820" s="73" t="str">
        <f>HYPERLINK(AB2 &amp; "/wrench/sn_d680a11274087b72d634ee5b943790fb/rendering/16.obj", "1.01375305653")</f>
        <v>1.01375305653</v>
      </c>
      <c r="T2820" s="71" t="str">
        <f>HYPERLINK(AB2 &amp; "/wrench/sn_d680a11274087b72d634ee5b943790fb/rendering/17.obj", "0.929242372513")</f>
        <v>0.929242372513</v>
      </c>
      <c r="U2820" s="27" t="str">
        <f>HYPERLINK(AB2 &amp; "/wrench/sn_d680a11274087b72d634ee5b943790fb/rendering/18.obj", "0.979966282845")</f>
        <v>0.979966282845</v>
      </c>
      <c r="V2820" s="30" t="str">
        <f>HYPERLINK(AB2 &amp; "/wrench/sn_d680a11274087b72d634ee5b943790fb/rendering/19.obj", "1.05870699883")</f>
        <v>1.05870699883</v>
      </c>
      <c r="W2820" s="12" t="s">
        <v>32</v>
      </c>
      <c r="X2820" s="13">
        <v>1.0527086138725279</v>
      </c>
      <c r="Y2820" s="13">
        <v>8.12411937430981E-2</v>
      </c>
      <c r="Z2820" s="5">
        <v>7.7173486254892135E-2</v>
      </c>
    </row>
    <row r="2821" spans="1:26" x14ac:dyDescent="0.2">
      <c r="A2821" s="1">
        <v>2819</v>
      </c>
      <c r="B2821" s="2" t="s">
        <v>596</v>
      </c>
      <c r="C2821" s="13" t="str">
        <f>HYPERLINK(AC2 &amp; "/wrench/sn_d680a11274087b72d634ee5b943790fb/rendering/00.xyz", "0.0")</f>
        <v>0.0</v>
      </c>
      <c r="D2821" s="13" t="str">
        <f>HYPERLINK(AC2 &amp; "/wrench/sn_d680a11274087b72d634ee5b943790fb/rendering/01.xyz", "0.0")</f>
        <v>0.0</v>
      </c>
      <c r="E2821" s="13" t="str">
        <f>HYPERLINK(AC2 &amp; "/wrench/sn_d680a11274087b72d634ee5b943790fb/rendering/02.xyz", "0.0")</f>
        <v>0.0</v>
      </c>
      <c r="F2821" s="13" t="str">
        <f>HYPERLINK(AC2 &amp; "/wrench/sn_d680a11274087b72d634ee5b943790fb/rendering/03.xyz", "0.0")</f>
        <v>0.0</v>
      </c>
      <c r="G2821" s="13" t="str">
        <f>HYPERLINK(AC2 &amp; "/wrench/sn_d680a11274087b72d634ee5b943790fb/rendering/04.xyz", "0.0")</f>
        <v>0.0</v>
      </c>
      <c r="H2821" s="13" t="str">
        <f>HYPERLINK(AC2 &amp; "/wrench/sn_d680a11274087b72d634ee5b943790fb/rendering/05.xyz", "0.0")</f>
        <v>0.0</v>
      </c>
      <c r="I2821" s="13" t="str">
        <f>HYPERLINK(AC2 &amp; "/wrench/sn_d680a11274087b72d634ee5b943790fb/rendering/06.xyz", "0.0")</f>
        <v>0.0</v>
      </c>
      <c r="J2821" s="13" t="str">
        <f>HYPERLINK(AC2 &amp; "/wrench/sn_d680a11274087b72d634ee5b943790fb/rendering/07.xyz", "0.0")</f>
        <v>0.0</v>
      </c>
      <c r="K2821" s="13" t="str">
        <f>HYPERLINK(AC2 &amp; "/wrench/sn_d680a11274087b72d634ee5b943790fb/rendering/08.xyz", "0.0")</f>
        <v>0.0</v>
      </c>
      <c r="L2821" s="13" t="str">
        <f>HYPERLINK(AC2 &amp; "/wrench/sn_d680a11274087b72d634ee5b943790fb/rendering/09.xyz", "0.0")</f>
        <v>0.0</v>
      </c>
      <c r="M2821" s="13" t="str">
        <f>HYPERLINK(AC2 &amp; "/wrench/sn_d680a11274087b72d634ee5b943790fb/rendering/10.xyz", "0.0")</f>
        <v>0.0</v>
      </c>
      <c r="N2821" s="13" t="str">
        <f>HYPERLINK(AC2 &amp; "/wrench/sn_d680a11274087b72d634ee5b943790fb/rendering/11.xyz", "0.0")</f>
        <v>0.0</v>
      </c>
      <c r="O2821" s="13" t="str">
        <f>HYPERLINK(AC2 &amp; "/wrench/sn_d680a11274087b72d634ee5b943790fb/rendering/12.xyz", "0.0")</f>
        <v>0.0</v>
      </c>
      <c r="P2821" s="13" t="str">
        <f>HYPERLINK(AC2 &amp; "/wrench/sn_d680a11274087b72d634ee5b943790fb/rendering/13.xyz", "0.0")</f>
        <v>0.0</v>
      </c>
      <c r="Q2821" s="13" t="str">
        <f>HYPERLINK(AC2 &amp; "/wrench/sn_d680a11274087b72d634ee5b943790fb/rendering/14.xyz", "0.0")</f>
        <v>0.0</v>
      </c>
      <c r="R2821" s="13" t="str">
        <f>HYPERLINK(AC2 &amp; "/wrench/sn_d680a11274087b72d634ee5b943790fb/rendering/15.xyz", "0.0")</f>
        <v>0.0</v>
      </c>
      <c r="S2821" s="13" t="str">
        <f>HYPERLINK(AC2 &amp; "/wrench/sn_d680a11274087b72d634ee5b943790fb/rendering/16.xyz", "0.0")</f>
        <v>0.0</v>
      </c>
      <c r="T2821" s="13" t="str">
        <f>HYPERLINK(AC2 &amp; "/wrench/sn_d680a11274087b72d634ee5b943790fb/rendering/17.xyz", "0.0")</f>
        <v>0.0</v>
      </c>
      <c r="U2821" s="13" t="str">
        <f>HYPERLINK(AC2 &amp; "/wrench/sn_d680a11274087b72d634ee5b943790fb/rendering/18.xyz", "0.0")</f>
        <v>0.0</v>
      </c>
      <c r="V2821" s="13" t="str">
        <f>HYPERLINK(AC2 &amp; "/wrench/sn_d680a11274087b72d634ee5b943790fb/rendering/19.xyz", "0.0")</f>
        <v>0.0</v>
      </c>
      <c r="W2821" s="12" t="s">
        <v>33</v>
      </c>
      <c r="X2821" s="13">
        <v>0</v>
      </c>
      <c r="Y2821" s="13">
        <v>0</v>
      </c>
      <c r="Z2821" s="13">
        <v>0</v>
      </c>
    </row>
    <row r="2822" spans="1:26" x14ac:dyDescent="0.2">
      <c r="A2822" s="1">
        <v>2820</v>
      </c>
      <c r="B2822" s="2" t="s">
        <v>597</v>
      </c>
      <c r="C2822" s="109" t="str">
        <f>HYPERLINK(AA2 &amp; "/wrench/sn_dcd9252c80504d86b2a680b21d71b88f/rendering/00.obj", "4.54446289062")</f>
        <v>4.54446289062</v>
      </c>
      <c r="D2822" s="79" t="str">
        <f>HYPERLINK(AA2 &amp; "/wrench/sn_dcd9252c80504d86b2a680b21d71b88f/rendering/01.obj", "4.72070678711")</f>
        <v>4.72070678711</v>
      </c>
      <c r="E2822" s="28" t="str">
        <f>HYPERLINK(AA2 &amp; "/wrench/sn_dcd9252c80504d86b2a680b21d71b88f/rendering/02.obj", "6.22703613281")</f>
        <v>6.22703613281</v>
      </c>
      <c r="F2822" s="72" t="str">
        <f>HYPERLINK(AA2 &amp; "/wrench/sn_dcd9252c80504d86b2a680b21d71b88f/rendering/03.obj", "5.43194213867")</f>
        <v>5.43194213867</v>
      </c>
      <c r="G2822" s="212" t="str">
        <f>HYPERLINK(AA2 &amp; "/wrench/sn_dcd9252c80504d86b2a680b21d71b88f/rendering/04.obj", "8.02202270508")</f>
        <v>8.02202270508</v>
      </c>
      <c r="H2822" s="58" t="str">
        <f>HYPERLINK(AA2 &amp; "/wrench/sn_dcd9252c80504d86b2a680b21d71b88f/rendering/05.obj", "4.24716064453")</f>
        <v>4.24716064453</v>
      </c>
      <c r="I2822" s="109" t="str">
        <f>HYPERLINK(AA2 &amp; "/wrench/sn_dcd9252c80504d86b2a680b21d71b88f/rendering/06.obj", "4.54901611328")</f>
        <v>4.54901611328</v>
      </c>
      <c r="J2822" s="89" t="str">
        <f>HYPERLINK(AA2 &amp; "/wrench/sn_dcd9252c80504d86b2a680b21d71b88f/rendering/07.obj", "4.16385009766")</f>
        <v>4.16385009766</v>
      </c>
      <c r="K2822" s="82" t="str">
        <f>HYPERLINK(AA2 &amp; "/wrench/sn_dcd9252c80504d86b2a680b21d71b88f/rendering/08.obj", "4.45767791748")</f>
        <v>4.45767791748</v>
      </c>
      <c r="L2822" s="36" t="str">
        <f>HYPERLINK(AA2 &amp; "/wrench/sn_dcd9252c80504d86b2a680b21d71b88f/rendering/09.obj", "6.80514282227")</f>
        <v>6.80514282227</v>
      </c>
      <c r="M2822" s="72" t="str">
        <f>HYPERLINK(AA2 &amp; "/wrench/sn_dcd9252c80504d86b2a680b21d71b88f/rendering/10.obj", "5.79362060547")</f>
        <v>5.79362060547</v>
      </c>
      <c r="N2822" s="47" t="str">
        <f>HYPERLINK(AA2 &amp; "/wrench/sn_dcd9252c80504d86b2a680b21d71b88f/rendering/11.obj", "5.65986206055")</f>
        <v>5.65986206055</v>
      </c>
      <c r="O2822" s="61" t="str">
        <f>HYPERLINK(AA2 &amp; "/wrench/sn_dcd9252c80504d86b2a680b21d71b88f/rendering/12.obj", "3.90275939941")</f>
        <v>3.90275939941</v>
      </c>
      <c r="P2822" s="20" t="str">
        <f>HYPERLINK(AA2 &amp; "/wrench/sn_dcd9252c80504d86b2a680b21d71b88f/rendering/13.obj", "11.4643920898")</f>
        <v>11.4643920898</v>
      </c>
      <c r="Q2822" s="130" t="str">
        <f>HYPERLINK(AA2 &amp; "/wrench/sn_dcd9252c80504d86b2a680b21d71b88f/rendering/14.obj", "8.1404119873")</f>
        <v>8.1404119873</v>
      </c>
      <c r="R2822" s="77" t="str">
        <f>HYPERLINK(AA2 &amp; "/wrench/sn_dcd9252c80504d86b2a680b21d71b88f/rendering/15.obj", "4.55871582031")</f>
        <v>4.55871582031</v>
      </c>
      <c r="S2822" s="70" t="str">
        <f>HYPERLINK(AA2 &amp; "/wrench/sn_dcd9252c80504d86b2a680b21d71b88f/rendering/16.obj", "4.90319122314")</f>
        <v>4.90319122314</v>
      </c>
      <c r="T2822" s="48" t="str">
        <f>HYPERLINK(AA2 &amp; "/wrench/sn_dcd9252c80504d86b2a680b21d71b88f/rendering/17.obj", "5.74838684082")</f>
        <v>5.74838684082</v>
      </c>
      <c r="U2822" s="135" t="str">
        <f>HYPERLINK(AA2 &amp; "/wrench/sn_dcd9252c80504d86b2a680b21d71b88f/rendering/18.obj", "4.18193237305")</f>
        <v>4.18193237305</v>
      </c>
      <c r="V2822" s="37" t="str">
        <f>HYPERLINK(AA2 &amp; "/wrench/sn_dcd9252c80504d86b2a680b21d71b88f/rendering/19.obj", "4.63693786621")</f>
        <v>4.63693786621</v>
      </c>
      <c r="W2822" s="12" t="s">
        <v>29</v>
      </c>
      <c r="X2822" s="13">
        <v>5.6079614257812507</v>
      </c>
      <c r="Y2822" s="13">
        <v>1.791994980479569</v>
      </c>
      <c r="Z2822" s="176">
        <v>0.31954481217386838</v>
      </c>
    </row>
    <row r="2823" spans="1:26" x14ac:dyDescent="0.2">
      <c r="A2823" s="1">
        <v>2821</v>
      </c>
      <c r="B2823" s="2" t="s">
        <v>597</v>
      </c>
      <c r="C2823" s="186" t="str">
        <f>HYPERLINK(AA2 &amp; "/wrench/sn_dcd9252c80504d86b2a680b21d71b88f/rendering/00.obj", "1.21130299568")</f>
        <v>1.21130299568</v>
      </c>
      <c r="D2823" s="148" t="str">
        <f>HYPERLINK(AA2 &amp; "/wrench/sn_dcd9252c80504d86b2a680b21d71b88f/rendering/01.obj", "1.57236385345")</f>
        <v>1.57236385345</v>
      </c>
      <c r="E2823" s="119" t="str">
        <f>HYPERLINK(AA2 &amp; "/wrench/sn_dcd9252c80504d86b2a680b21d71b88f/rendering/02.obj", "3.84922122955")</f>
        <v>3.84922122955</v>
      </c>
      <c r="F2823" s="29" t="str">
        <f>HYPERLINK(AA2 &amp; "/wrench/sn_dcd9252c80504d86b2a680b21d71b88f/rendering/03.obj", "2.64664840698")</f>
        <v>2.64664840698</v>
      </c>
      <c r="G2823" s="20" t="str">
        <f>HYPERLINK(AA2 &amp; "/wrench/sn_dcd9252c80504d86b2a680b21d71b88f/rendering/04.obj", "6.38836622238")</f>
        <v>6.38836622238</v>
      </c>
      <c r="H2823" s="223" t="str">
        <f>HYPERLINK(AA2 &amp; "/wrench/sn_dcd9252c80504d86b2a680b21d71b88f/rendering/05.obj", "1.3414632082")</f>
        <v>1.3414632082</v>
      </c>
      <c r="I2823" s="249" t="str">
        <f>HYPERLINK(AA2 &amp; "/wrench/sn_dcd9252c80504d86b2a680b21d71b88f/rendering/06.obj", "1.30325758457")</f>
        <v>1.30325758457</v>
      </c>
      <c r="J2823" s="22" t="str">
        <f>HYPERLINK(AA2 &amp; "/wrench/sn_dcd9252c80504d86b2a680b21d71b88f/rendering/07.obj", "1.45312583447")</f>
        <v>1.45312583447</v>
      </c>
      <c r="K2823" s="187" t="str">
        <f>HYPERLINK(AA2 &amp; "/wrench/sn_dcd9252c80504d86b2a680b21d71b88f/rendering/08.obj", "1.97965550423")</f>
        <v>1.97965550423</v>
      </c>
      <c r="L2823" s="149" t="str">
        <f>HYPERLINK(AA2 &amp; "/wrench/sn_dcd9252c80504d86b2a680b21d71b88f/rendering/09.obj", "4.0878944397")</f>
        <v>4.0878944397</v>
      </c>
      <c r="M2823" s="66" t="str">
        <f>HYPERLINK(AA2 &amp; "/wrench/sn_dcd9252c80504d86b2a680b21d71b88f/rendering/10.obj", "2.55635690689")</f>
        <v>2.55635690689</v>
      </c>
      <c r="N2823" s="84" t="str">
        <f>HYPERLINK(AA2 &amp; "/wrench/sn_dcd9252c80504d86b2a680b21d71b88f/rendering/11.obj", "2.60240411758")</f>
        <v>2.60240411758</v>
      </c>
      <c r="O2823" s="235" t="str">
        <f>HYPERLINK(AA2 &amp; "/wrench/sn_dcd9252c80504d86b2a680b21d71b88f/rendering/12.obj", "1.39706718922")</f>
        <v>1.39706718922</v>
      </c>
      <c r="P2823" s="20" t="str">
        <f>HYPERLINK(AA2 &amp; "/wrench/sn_dcd9252c80504d86b2a680b21d71b88f/rendering/13.obj", "13.0805110931")</f>
        <v>13.0805110931</v>
      </c>
      <c r="Q2823" s="20" t="str">
        <f>HYPERLINK(AA2 &amp; "/wrench/sn_dcd9252c80504d86b2a680b21d71b88f/rendering/14.obj", "6.26326656342")</f>
        <v>6.26326656342</v>
      </c>
      <c r="R2823" s="191" t="str">
        <f>HYPERLINK(AA2 &amp; "/wrench/sn_dcd9252c80504d86b2a680b21d71b88f/rendering/15.obj", "1.66271734238")</f>
        <v>1.66271734238</v>
      </c>
      <c r="S2823" s="85" t="str">
        <f>HYPERLINK(AA2 &amp; "/wrench/sn_dcd9252c80504d86b2a680b21d71b88f/rendering/16.obj", "2.14148020744")</f>
        <v>2.14148020744</v>
      </c>
      <c r="T2823" s="79" t="str">
        <f>HYPERLINK(AA2 &amp; "/wrench/sn_dcd9252c80504d86b2a680b21d71b88f/rendering/17.obj", "2.56558609009")</f>
        <v>2.56558609009</v>
      </c>
      <c r="U2823" s="15" t="str">
        <f>HYPERLINK(AA2 &amp; "/wrench/sn_dcd9252c80504d86b2a680b21d71b88f/rendering/18.obj", "1.50686395168")</f>
        <v>1.50686395168</v>
      </c>
      <c r="V2823" s="231" t="str">
        <f>HYPERLINK(AA2 &amp; "/wrench/sn_dcd9252c80504d86b2a680b21d71b88f/rendering/19.obj", "1.28882825375")</f>
        <v>1.28882825375</v>
      </c>
      <c r="W2823" s="12" t="s">
        <v>30</v>
      </c>
      <c r="X2823" s="13">
        <v>3.0449190497398382</v>
      </c>
      <c r="Y2823" s="13">
        <v>2.746206216308122</v>
      </c>
      <c r="Z2823" s="20">
        <v>0.90189793930408835</v>
      </c>
    </row>
    <row r="2824" spans="1:26" x14ac:dyDescent="0.2">
      <c r="A2824" s="1">
        <v>2822</v>
      </c>
      <c r="B2824" s="2" t="s">
        <v>597</v>
      </c>
      <c r="C2824" s="46" t="str">
        <f>HYPERLINK(AB2 &amp; "/wrench/sn_dcd9252c80504d86b2a680b21d71b88f/rendering/00.obj", "4.50217468262")</f>
        <v>4.50217468262</v>
      </c>
      <c r="D2824" s="66" t="str">
        <f>HYPERLINK(AB2 &amp; "/wrench/sn_dcd9252c80504d86b2a680b21d71b88f/rendering/01.obj", "3.85252532959")</f>
        <v>3.85252532959</v>
      </c>
      <c r="E2824" s="46" t="str">
        <f>HYPERLINK(AB2 &amp; "/wrench/sn_dcd9252c80504d86b2a680b21d71b88f/rendering/02.obj", "4.50654998779")</f>
        <v>4.50654998779</v>
      </c>
      <c r="F2824" s="65" t="str">
        <f>HYPERLINK(AB2 &amp; "/wrench/sn_dcd9252c80504d86b2a680b21d71b88f/rendering/03.obj", "3.96931610107")</f>
        <v>3.96931610107</v>
      </c>
      <c r="G2824" s="71" t="str">
        <f>HYPERLINK(AB2 &amp; "/wrench/sn_dcd9252c80504d86b2a680b21d71b88f/rendering/04.obj", "5.12466430664")</f>
        <v>5.12466430664</v>
      </c>
      <c r="H2824" s="68" t="str">
        <f>HYPERLINK(AB2 &amp; "/wrench/sn_dcd9252c80504d86b2a680b21d71b88f/rendering/05.obj", "4.39823242187")</f>
        <v>4.39823242187</v>
      </c>
      <c r="I2824" s="47" t="str">
        <f>HYPERLINK(AB2 &amp; "/wrench/sn_dcd9252c80504d86b2a680b21d71b88f/rendering/06.obj", "4.62561096191")</f>
        <v>4.62561096191</v>
      </c>
      <c r="J2824" s="90" t="str">
        <f>HYPERLINK(AB2 &amp; "/wrench/sn_dcd9252c80504d86b2a680b21d71b88f/rendering/07.obj", "5.03062225342")</f>
        <v>5.03062225342</v>
      </c>
      <c r="K2824" s="134" t="str">
        <f>HYPERLINK(AB2 &amp; "/wrench/sn_dcd9252c80504d86b2a680b21d71b88f/rendering/08.obj", "3.75665527344")</f>
        <v>3.75665527344</v>
      </c>
      <c r="L2824" s="91" t="str">
        <f>HYPERLINK(AB2 &amp; "/wrench/sn_dcd9252c80504d86b2a680b21d71b88f/rendering/09.obj", "4.46240478516")</f>
        <v>4.46240478516</v>
      </c>
      <c r="M2824" s="44" t="str">
        <f>HYPERLINK(AB2 &amp; "/wrench/sn_dcd9252c80504d86b2a680b21d71b88f/rendering/10.obj", "5.48936279297")</f>
        <v>5.48936279297</v>
      </c>
      <c r="N2824" s="25" t="str">
        <f>HYPERLINK(AB2 &amp; "/wrench/sn_dcd9252c80504d86b2a680b21d71b88f/rendering/11.obj", "4.53159759521")</f>
        <v>4.53159759521</v>
      </c>
      <c r="O2824" s="67" t="str">
        <f>HYPERLINK(AB2 &amp; "/wrench/sn_dcd9252c80504d86b2a680b21d71b88f/rendering/12.obj", "5.01846588135")</f>
        <v>5.01846588135</v>
      </c>
      <c r="P2824" s="64" t="str">
        <f>HYPERLINK(AB2 &amp; "/wrench/sn_dcd9252c80504d86b2a680b21d71b88f/rendering/13.obj", "5.33657409668")</f>
        <v>5.33657409668</v>
      </c>
      <c r="Q2824" s="78" t="str">
        <f>HYPERLINK(AB2 &amp; "/wrench/sn_dcd9252c80504d86b2a680b21d71b88f/rendering/14.obj", "4.86701965332")</f>
        <v>4.86701965332</v>
      </c>
      <c r="R2824" s="10" t="str">
        <f>HYPERLINK(AB2 &amp; "/wrench/sn_dcd9252c80504d86b2a680b21d71b88f/rendering/15.obj", "4.83862365723")</f>
        <v>4.83862365723</v>
      </c>
      <c r="S2824" s="39" t="str">
        <f>HYPERLINK(AB2 &amp; "/wrench/sn_dcd9252c80504d86b2a680b21d71b88f/rendering/16.obj", "4.18606628418")</f>
        <v>4.18606628418</v>
      </c>
      <c r="T2824" s="51" t="str">
        <f>HYPERLINK(AB2 &amp; "/wrench/sn_dcd9252c80504d86b2a680b21d71b88f/rendering/17.obj", "4.95591552734")</f>
        <v>4.95591552734</v>
      </c>
      <c r="U2824" s="80" t="str">
        <f>HYPERLINK(AB2 &amp; "/wrench/sn_dcd9252c80504d86b2a680b21d71b88f/rendering/18.obj", "3.8977935791")</f>
        <v>3.8977935791</v>
      </c>
      <c r="V2824" s="68" t="str">
        <f>HYPERLINK(AB2 &amp; "/wrench/sn_dcd9252c80504d86b2a680b21d71b88f/rendering/19.obj", "4.39566131592")</f>
        <v>4.39566131592</v>
      </c>
      <c r="W2824" s="12" t="s">
        <v>31</v>
      </c>
      <c r="X2824" s="13">
        <v>4.5872918243408192</v>
      </c>
      <c r="Y2824" s="13">
        <v>0.48364224165594488</v>
      </c>
      <c r="Z2824" s="32">
        <v>0.1054308860599779</v>
      </c>
    </row>
    <row r="2825" spans="1:26" x14ac:dyDescent="0.2">
      <c r="A2825" s="1">
        <v>2823</v>
      </c>
      <c r="B2825" s="2" t="s">
        <v>597</v>
      </c>
      <c r="C2825" s="74" t="str">
        <f>HYPERLINK(AB2 &amp; "/wrench/sn_dcd9252c80504d86b2a680b21d71b88f/rendering/00.obj", "1.34021401405")</f>
        <v>1.34021401405</v>
      </c>
      <c r="D2825" s="6" t="str">
        <f>HYPERLINK(AB2 &amp; "/wrench/sn_dcd9252c80504d86b2a680b21d71b88f/rendering/01.obj", "1.42387723923")</f>
        <v>1.42387723923</v>
      </c>
      <c r="E2825" s="106" t="str">
        <f>HYPERLINK(AB2 &amp; "/wrench/sn_dcd9252c80504d86b2a680b21d71b88f/rendering/02.obj", "1.20586323738")</f>
        <v>1.20586323738</v>
      </c>
      <c r="F2825" s="42" t="str">
        <f>HYPERLINK(AB2 &amp; "/wrench/sn_dcd9252c80504d86b2a680b21d71b88f/rendering/03.obj", "1.17640900612")</f>
        <v>1.17640900612</v>
      </c>
      <c r="G2825" s="69" t="str">
        <f>HYPERLINK(AB2 &amp; "/wrench/sn_dcd9252c80504d86b2a680b21d71b88f/rendering/04.obj", "1.31922602654")</f>
        <v>1.31922602654</v>
      </c>
      <c r="H2825" s="39" t="str">
        <f>HYPERLINK(AB2 &amp; "/wrench/sn_dcd9252c80504d86b2a680b21d71b88f/rendering/05.obj", "1.24494278431")</f>
        <v>1.24494278431</v>
      </c>
      <c r="I2825" s="74" t="str">
        <f>HYPERLINK(AB2 &amp; "/wrench/sn_dcd9252c80504d86b2a680b21d71b88f/rendering/06.obj", "1.33943867683")</f>
        <v>1.33943867683</v>
      </c>
      <c r="J2825" s="23" t="str">
        <f>HYPERLINK(AB2 &amp; "/wrench/sn_dcd9252c80504d86b2a680b21d71b88f/rendering/07.obj", "1.30833995342")</f>
        <v>1.30833995342</v>
      </c>
      <c r="K2825" s="93" t="str">
        <f>HYPERLINK(AB2 &amp; "/wrench/sn_dcd9252c80504d86b2a680b21d71b88f/rendering/08.obj", "1.17211067677")</f>
        <v>1.17211067677</v>
      </c>
      <c r="L2825" s="78" t="str">
        <f>HYPERLINK(AB2 &amp; "/wrench/sn_dcd9252c80504d86b2a680b21d71b88f/rendering/09.obj", "1.27899742126")</f>
        <v>1.27899742126</v>
      </c>
      <c r="M2825" s="153" t="str">
        <f>HYPERLINK(AB2 &amp; "/wrench/sn_dcd9252c80504d86b2a680b21d71b88f/rendering/10.obj", "1.84255445004")</f>
        <v>1.84255445004</v>
      </c>
      <c r="N2825" s="106" t="str">
        <f>HYPERLINK(AB2 &amp; "/wrench/sn_dcd9252c80504d86b2a680b21d71b88f/rendering/11.obj", "1.20348358154")</f>
        <v>1.20348358154</v>
      </c>
      <c r="O2825" s="41" t="str">
        <f>HYPERLINK(AB2 &amp; "/wrench/sn_dcd9252c80504d86b2a680b21d71b88f/rendering/12.obj", "1.45255684853")</f>
        <v>1.45255684853</v>
      </c>
      <c r="P2825" s="223" t="str">
        <f>HYPERLINK(AB2 &amp; "/wrench/sn_dcd9252c80504d86b2a680b21d71b88f/rendering/13.obj", "2.12158107758")</f>
        <v>2.12158107758</v>
      </c>
      <c r="Q2825" s="107" t="str">
        <f>HYPERLINK(AB2 &amp; "/wrench/sn_dcd9252c80504d86b2a680b21d71b88f/rendering/14.obj", "1.24510717392")</f>
        <v>1.24510717392</v>
      </c>
      <c r="R2825" s="25" t="str">
        <f>HYPERLINK(AB2 &amp; "/wrench/sn_dcd9252c80504d86b2a680b21d71b88f/rendering/15.obj", "1.34490287304")</f>
        <v>1.34490287304</v>
      </c>
      <c r="S2825" s="110" t="str">
        <f>HYPERLINK(AB2 &amp; "/wrench/sn_dcd9252c80504d86b2a680b21d71b88f/rendering/16.obj", "1.22535872459")</f>
        <v>1.22535872459</v>
      </c>
      <c r="T2825" s="26" t="str">
        <f>HYPERLINK(AB2 &amp; "/wrench/sn_dcd9252c80504d86b2a680b21d71b88f/rendering/17.obj", "1.44915807247")</f>
        <v>1.44915807247</v>
      </c>
      <c r="U2825" s="90" t="str">
        <f>HYPERLINK(AB2 &amp; "/wrench/sn_dcd9252c80504d86b2a680b21d71b88f/rendering/18.obj", "1.23059010506")</f>
        <v>1.23059010506</v>
      </c>
      <c r="V2825" s="35" t="str">
        <f>HYPERLINK(AB2 &amp; "/wrench/sn_dcd9252c80504d86b2a680b21d71b88f/rendering/19.obj", "1.27999174595")</f>
        <v>1.27999174595</v>
      </c>
      <c r="W2825" s="12" t="s">
        <v>32</v>
      </c>
      <c r="X2825" s="13">
        <v>1.360235184431076</v>
      </c>
      <c r="Y2825" s="13">
        <v>0.22697721854788161</v>
      </c>
      <c r="Z2825" s="24">
        <v>0.16686615751879391</v>
      </c>
    </row>
    <row r="2826" spans="1:26" x14ac:dyDescent="0.2">
      <c r="A2826" s="1">
        <v>2824</v>
      </c>
      <c r="B2826" s="2" t="s">
        <v>597</v>
      </c>
      <c r="C2826" s="13" t="str">
        <f>HYPERLINK(AC2 &amp; "/wrench/sn_dcd9252c80504d86b2a680b21d71b88f/rendering/00.xyz", "0.0")</f>
        <v>0.0</v>
      </c>
      <c r="D2826" s="13" t="str">
        <f>HYPERLINK(AC2 &amp; "/wrench/sn_dcd9252c80504d86b2a680b21d71b88f/rendering/01.xyz", "0.0")</f>
        <v>0.0</v>
      </c>
      <c r="E2826" s="13" t="str">
        <f>HYPERLINK(AC2 &amp; "/wrench/sn_dcd9252c80504d86b2a680b21d71b88f/rendering/02.xyz", "0.0")</f>
        <v>0.0</v>
      </c>
      <c r="F2826" s="13" t="str">
        <f>HYPERLINK(AC2 &amp; "/wrench/sn_dcd9252c80504d86b2a680b21d71b88f/rendering/03.xyz", "0.0")</f>
        <v>0.0</v>
      </c>
      <c r="G2826" s="13" t="str">
        <f>HYPERLINK(AC2 &amp; "/wrench/sn_dcd9252c80504d86b2a680b21d71b88f/rendering/04.xyz", "0.0")</f>
        <v>0.0</v>
      </c>
      <c r="H2826" s="13" t="str">
        <f>HYPERLINK(AC2 &amp; "/wrench/sn_dcd9252c80504d86b2a680b21d71b88f/rendering/05.xyz", "0.0")</f>
        <v>0.0</v>
      </c>
      <c r="I2826" s="13" t="str">
        <f>HYPERLINK(AC2 &amp; "/wrench/sn_dcd9252c80504d86b2a680b21d71b88f/rendering/06.xyz", "0.0")</f>
        <v>0.0</v>
      </c>
      <c r="J2826" s="13" t="str">
        <f>HYPERLINK(AC2 &amp; "/wrench/sn_dcd9252c80504d86b2a680b21d71b88f/rendering/07.xyz", "0.0")</f>
        <v>0.0</v>
      </c>
      <c r="K2826" s="13" t="str">
        <f>HYPERLINK(AC2 &amp; "/wrench/sn_dcd9252c80504d86b2a680b21d71b88f/rendering/08.xyz", "0.0")</f>
        <v>0.0</v>
      </c>
      <c r="L2826" s="13" t="str">
        <f>HYPERLINK(AC2 &amp; "/wrench/sn_dcd9252c80504d86b2a680b21d71b88f/rendering/09.xyz", "0.0")</f>
        <v>0.0</v>
      </c>
      <c r="M2826" s="13" t="str">
        <f>HYPERLINK(AC2 &amp; "/wrench/sn_dcd9252c80504d86b2a680b21d71b88f/rendering/10.xyz", "0.0")</f>
        <v>0.0</v>
      </c>
      <c r="N2826" s="13" t="str">
        <f>HYPERLINK(AC2 &amp; "/wrench/sn_dcd9252c80504d86b2a680b21d71b88f/rendering/11.xyz", "0.0")</f>
        <v>0.0</v>
      </c>
      <c r="O2826" s="13" t="str">
        <f>HYPERLINK(AC2 &amp; "/wrench/sn_dcd9252c80504d86b2a680b21d71b88f/rendering/12.xyz", "0.0")</f>
        <v>0.0</v>
      </c>
      <c r="P2826" s="13" t="str">
        <f>HYPERLINK(AC2 &amp; "/wrench/sn_dcd9252c80504d86b2a680b21d71b88f/rendering/13.xyz", "0.0")</f>
        <v>0.0</v>
      </c>
      <c r="Q2826" s="13" t="str">
        <f>HYPERLINK(AC2 &amp; "/wrench/sn_dcd9252c80504d86b2a680b21d71b88f/rendering/14.xyz", "0.0")</f>
        <v>0.0</v>
      </c>
      <c r="R2826" s="13" t="str">
        <f>HYPERLINK(AC2 &amp; "/wrench/sn_dcd9252c80504d86b2a680b21d71b88f/rendering/15.xyz", "0.0")</f>
        <v>0.0</v>
      </c>
      <c r="S2826" s="13" t="str">
        <f>HYPERLINK(AC2 &amp; "/wrench/sn_dcd9252c80504d86b2a680b21d71b88f/rendering/16.xyz", "0.0")</f>
        <v>0.0</v>
      </c>
      <c r="T2826" s="13" t="str">
        <f>HYPERLINK(AC2 &amp; "/wrench/sn_dcd9252c80504d86b2a680b21d71b88f/rendering/17.xyz", "0.0")</f>
        <v>0.0</v>
      </c>
      <c r="U2826" s="13" t="str">
        <f>HYPERLINK(AC2 &amp; "/wrench/sn_dcd9252c80504d86b2a680b21d71b88f/rendering/18.xyz", "0.0")</f>
        <v>0.0</v>
      </c>
      <c r="V2826" s="13" t="str">
        <f>HYPERLINK(AC2 &amp; "/wrench/sn_dcd9252c80504d86b2a680b21d71b88f/rendering/19.xyz", "0.0")</f>
        <v>0.0</v>
      </c>
      <c r="W2826" s="12" t="s">
        <v>33</v>
      </c>
      <c r="X2826" s="13">
        <v>0</v>
      </c>
      <c r="Y2826" s="13">
        <v>0</v>
      </c>
      <c r="Z2826" s="13">
        <v>0</v>
      </c>
    </row>
    <row r="2827" spans="1:26" x14ac:dyDescent="0.2">
      <c r="A2827" s="1">
        <v>2825</v>
      </c>
      <c r="B2827" s="2" t="s">
        <v>598</v>
      </c>
      <c r="C2827" s="17" t="str">
        <f>HYPERLINK(AA2 &amp; "/wrench/sn_dd35d029f6c0676ae4e346ee2650d150/rendering/00.obj", "6.82645629883")</f>
        <v>6.82645629883</v>
      </c>
      <c r="D2827" s="47" t="str">
        <f>HYPERLINK(AA2 &amp; "/wrench/sn_dd35d029f6c0676ae4e346ee2650d150/rendering/01.obj", "6.63129882812")</f>
        <v>6.63129882812</v>
      </c>
      <c r="E2827" s="133" t="str">
        <f>HYPERLINK(AA2 &amp; "/wrench/sn_dd35d029f6c0676ae4e346ee2650d150/rendering/02.obj", "6.01945678711")</f>
        <v>6.01945678711</v>
      </c>
      <c r="F2827" s="47" t="str">
        <f>HYPERLINK(AA2 &amp; "/wrench/sn_dd35d029f6c0676ae4e346ee2650d150/rendering/03.obj", "6.64562866211")</f>
        <v>6.64562866211</v>
      </c>
      <c r="G2827" s="47" t="str">
        <f>HYPERLINK(AA2 &amp; "/wrench/sn_dd35d029f6c0676ae4e346ee2650d150/rendering/04.obj", "6.74628601074")</f>
        <v>6.74628601074</v>
      </c>
      <c r="H2827" s="72" t="str">
        <f>HYPERLINK(AA2 &amp; "/wrench/sn_dd35d029f6c0676ae4e346ee2650d150/rendering/05.obj", "6.90994445801")</f>
        <v>6.90994445801</v>
      </c>
      <c r="I2827" s="34" t="str">
        <f>HYPERLINK(AA2 &amp; "/wrench/sn_dd35d029f6c0676ae4e346ee2650d150/rendering/06.obj", "6.37049194336")</f>
        <v>6.37049194336</v>
      </c>
      <c r="J2827" s="48" t="str">
        <f>HYPERLINK(AA2 &amp; "/wrench/sn_dd35d029f6c0676ae4e346ee2650d150/rendering/07.obj", "6.85868164062")</f>
        <v>6.85868164062</v>
      </c>
      <c r="K2827" s="39" t="str">
        <f>HYPERLINK(AA2 &amp; "/wrench/sn_dd35d029f6c0676ae4e346ee2650d150/rendering/08.obj", "7.25947998047")</f>
        <v>7.25947998047</v>
      </c>
      <c r="L2827" s="46" t="str">
        <f>HYPERLINK(AA2 &amp; "/wrench/sn_dd35d029f6c0676ae4e346ee2650d150/rendering/09.obj", "6.56703308105")</f>
        <v>6.56703308105</v>
      </c>
      <c r="M2827" s="10" t="str">
        <f>HYPERLINK(AA2 &amp; "/wrench/sn_dd35d029f6c0676ae4e346ee2650d150/rendering/10.obj", "7.05165344238")</f>
        <v>7.05165344238</v>
      </c>
      <c r="N2827" s="48" t="str">
        <f>HYPERLINK(AA2 &amp; "/wrench/sn_dd35d029f6c0676ae4e346ee2650d150/rendering/11.obj", "6.85283935547")</f>
        <v>6.85283935547</v>
      </c>
      <c r="O2827" s="48" t="str">
        <f>HYPERLINK(AA2 &amp; "/wrench/sn_dd35d029f6c0676ae4e346ee2650d150/rendering/12.obj", "6.52608642578")</f>
        <v>6.52608642578</v>
      </c>
      <c r="P2827" s="72" t="str">
        <f>HYPERLINK(AA2 &amp; "/wrench/sn_dd35d029f6c0676ae4e346ee2650d150/rendering/13.obj", "6.46498046875")</f>
        <v>6.46498046875</v>
      </c>
      <c r="Q2827" s="47" t="str">
        <f>HYPERLINK(AA2 &amp; "/wrench/sn_dd35d029f6c0676ae4e346ee2650d150/rendering/14.obj", "6.75184814453")</f>
        <v>6.75184814453</v>
      </c>
      <c r="R2827" s="91" t="str">
        <f>HYPERLINK(AA2 &amp; "/wrench/sn_dd35d029f6c0676ae4e346ee2650d150/rendering/15.obj", "6.87966674805")</f>
        <v>6.87966674805</v>
      </c>
      <c r="S2827" s="84" t="str">
        <f>HYPERLINK(AA2 &amp; "/wrench/sn_dd35d029f6c0676ae4e346ee2650d150/rendering/16.obj", "5.72151000977")</f>
        <v>5.72151000977</v>
      </c>
      <c r="T2827" s="78" t="str">
        <f>HYPERLINK(AA2 &amp; "/wrench/sn_dd35d029f6c0676ae4e346ee2650d150/rendering/17.obj", "6.28366943359")</f>
        <v>6.28366943359</v>
      </c>
      <c r="U2827" s="51" t="str">
        <f>HYPERLINK(AA2 &amp; "/wrench/sn_dd35d029f6c0676ae4e346ee2650d150/rendering/18.obj", "7.23479736328")</f>
        <v>7.23479736328</v>
      </c>
      <c r="V2827" s="51" t="str">
        <f>HYPERLINK(AA2 &amp; "/wrench/sn_dd35d029f6c0676ae4e346ee2650d150/rendering/19.obj", "7.2372833252")</f>
        <v>7.2372833252</v>
      </c>
      <c r="W2827" s="12" t="s">
        <v>29</v>
      </c>
      <c r="X2827" s="13">
        <v>6.6919546203613276</v>
      </c>
      <c r="Y2827" s="13">
        <v>0.38529911889241131</v>
      </c>
      <c r="Z2827" s="35">
        <v>5.7576469170917258E-2</v>
      </c>
    </row>
    <row r="2828" spans="1:26" x14ac:dyDescent="0.2">
      <c r="A2828" s="1">
        <v>2826</v>
      </c>
      <c r="B2828" s="2" t="s">
        <v>598</v>
      </c>
      <c r="C2828" s="250" t="str">
        <f>HYPERLINK(AA2 &amp; "/wrench/sn_dd35d029f6c0676ae4e346ee2650d150/rendering/00.obj", "3.54720067978")</f>
        <v>3.54720067978</v>
      </c>
      <c r="D2828" s="70" t="str">
        <f>HYPERLINK(AA2 &amp; "/wrench/sn_dd35d029f6c0676ae4e346ee2650d150/rendering/01.obj", "1.83473289013")</f>
        <v>1.83473289013</v>
      </c>
      <c r="E2828" s="73" t="str">
        <f>HYPERLINK(AA2 &amp; "/wrench/sn_dd35d029f6c0676ae4e346ee2650d150/rendering/02.obj", "2.1841442585")</f>
        <v>2.1841442585</v>
      </c>
      <c r="F2828" s="6" t="str">
        <f>HYPERLINK(AA2 &amp; "/wrench/sn_dd35d029f6c0676ae4e346ee2650d150/rendering/03.obj", "2.01007294655")</f>
        <v>2.01007294655</v>
      </c>
      <c r="G2828" s="46" t="str">
        <f>HYPERLINK(AA2 &amp; "/wrench/sn_dd35d029f6c0676ae4e346ee2650d150/rendering/04.obj", "2.13948988914")</f>
        <v>2.13948988914</v>
      </c>
      <c r="H2828" s="27" t="str">
        <f>HYPERLINK(AA2 &amp; "/wrench/sn_dd35d029f6c0676ae4e346ee2650d150/rendering/05.obj", "2.25145888329")</f>
        <v>2.25145888329</v>
      </c>
      <c r="I2828" s="37" t="str">
        <f>HYPERLINK(AA2 &amp; "/wrench/sn_dd35d029f6c0676ae4e346ee2650d150/rendering/06.obj", "1.73937773705")</f>
        <v>1.73937773705</v>
      </c>
      <c r="J2828" s="163" t="str">
        <f>HYPERLINK(AA2 &amp; "/wrench/sn_dd35d029f6c0676ae4e346ee2650d150/rendering/07.obj", "3.03319120407")</f>
        <v>3.03319120407</v>
      </c>
      <c r="K2828" s="91" t="str">
        <f>HYPERLINK(AA2 &amp; "/wrench/sn_dd35d029f6c0676ae4e346ee2650d150/rendering/08.obj", "2.04636359215")</f>
        <v>2.04636359215</v>
      </c>
      <c r="L2828" s="51" t="str">
        <f>HYPERLINK(AA2 &amp; "/wrench/sn_dd35d029f6c0676ae4e346ee2650d150/rendering/09.obj", "1.93387055397")</f>
        <v>1.93387055397</v>
      </c>
      <c r="M2828" s="42" t="str">
        <f>HYPERLINK(AA2 &amp; "/wrench/sn_dd35d029f6c0676ae4e346ee2650d150/rendering/10.obj", "2.39509916306")</f>
        <v>2.39509916306</v>
      </c>
      <c r="N2828" s="169" t="str">
        <f>HYPERLINK(AA2 &amp; "/wrench/sn_dd35d029f6c0676ae4e346ee2650d150/rendering/11.obj", "1.45082199574")</f>
        <v>1.45082199574</v>
      </c>
      <c r="O2828" s="27" t="str">
        <f>HYPERLINK(AA2 &amp; "/wrench/sn_dd35d029f6c0676ae4e346ee2650d150/rendering/12.obj", "1.95681190491")</f>
        <v>1.95681190491</v>
      </c>
      <c r="P2828" s="69" t="str">
        <f>HYPERLINK(AA2 &amp; "/wrench/sn_dd35d029f6c0676ae4e346ee2650d150/rendering/13.obj", "2.04179573059")</f>
        <v>2.04179573059</v>
      </c>
      <c r="Q2828" s="59" t="str">
        <f>HYPERLINK(AA2 &amp; "/wrench/sn_dd35d029f6c0676ae4e346ee2650d150/rendering/14.obj", "1.59868741035")</f>
        <v>1.59868741035</v>
      </c>
      <c r="R2828" s="81" t="str">
        <f>HYPERLINK(AA2 &amp; "/wrench/sn_dd35d029f6c0676ae4e346ee2650d150/rendering/15.obj", "2.56580781937")</f>
        <v>2.56580781937</v>
      </c>
      <c r="S2828" s="58" t="str">
        <f>HYPERLINK(AA2 &amp; "/wrench/sn_dd35d029f6c0676ae4e346ee2650d150/rendering/16.obj", "1.59382212162")</f>
        <v>1.59382212162</v>
      </c>
      <c r="T2828" s="153" t="str">
        <f>HYPERLINK(AA2 &amp; "/wrench/sn_dd35d029f6c0676ae4e346ee2650d150/rendering/17.obj", "1.3580211401")</f>
        <v>1.3580211401</v>
      </c>
      <c r="U2828" s="35" t="str">
        <f>HYPERLINK(AA2 &amp; "/wrench/sn_dd35d029f6c0676ae4e346ee2650d150/rendering/18.obj", "1.98267042637")</f>
        <v>1.98267042637</v>
      </c>
      <c r="V2828" s="79" t="str">
        <f>HYPERLINK(AA2 &amp; "/wrench/sn_dd35d029f6c0676ae4e346ee2650d150/rendering/19.obj", "2.44151949883")</f>
        <v>2.44151949883</v>
      </c>
      <c r="W2828" s="12" t="s">
        <v>30</v>
      </c>
      <c r="X2828" s="13">
        <v>2.1052479922771452</v>
      </c>
      <c r="Y2828" s="13">
        <v>0.5085808668964773</v>
      </c>
      <c r="Z2828" s="58">
        <v>0.24157765202111409</v>
      </c>
    </row>
    <row r="2829" spans="1:26" x14ac:dyDescent="0.2">
      <c r="A2829" s="1">
        <v>2827</v>
      </c>
      <c r="B2829" s="2" t="s">
        <v>598</v>
      </c>
      <c r="C2829" s="107" t="str">
        <f>HYPERLINK(AB2 &amp; "/wrench/sn_dd35d029f6c0676ae4e346ee2650d150/rendering/00.obj", "5.96838745117")</f>
        <v>5.96838745117</v>
      </c>
      <c r="D2829" s="46" t="str">
        <f>HYPERLINK(AB2 &amp; "/wrench/sn_dd35d029f6c0676ae4e346ee2650d150/rendering/01.obj", "5.41227172852")</f>
        <v>5.41227172852</v>
      </c>
      <c r="E2829" s="78" t="str">
        <f>HYPERLINK(AB2 &amp; "/wrench/sn_dd35d029f6c0676ae4e346ee2650d150/rendering/02.obj", "5.17177490234")</f>
        <v>5.17177490234</v>
      </c>
      <c r="F2829" s="10" t="str">
        <f>HYPERLINK(AB2 &amp; "/wrench/sn_dd35d029f6c0676ae4e346ee2650d150/rendering/03.obj", "5.21101074219")</f>
        <v>5.21101074219</v>
      </c>
      <c r="G2829" s="30" t="str">
        <f>HYPERLINK(AB2 &amp; "/wrench/sn_dd35d029f6c0676ae4e346ee2650d150/rendering/04.obj", "5.5300390625")</f>
        <v>5.5300390625</v>
      </c>
      <c r="H2829" s="73" t="str">
        <f>HYPERLINK(AB2 &amp; "/wrench/sn_dd35d029f6c0676ae4e346ee2650d150/rendering/05.obj", "5.31659545898")</f>
        <v>5.31659545898</v>
      </c>
      <c r="I2829" s="5" t="str">
        <f>HYPERLINK(AB2 &amp; "/wrench/sn_dd35d029f6c0676ae4e346ee2650d150/rendering/06.obj", "5.92325317383")</f>
        <v>5.92325317383</v>
      </c>
      <c r="J2829" s="26" t="str">
        <f>HYPERLINK(AB2 &amp; "/wrench/sn_dd35d029f6c0676ae4e346ee2650d150/rendering/07.obj", "5.15697753906")</f>
        <v>5.15697753906</v>
      </c>
      <c r="K2829" s="91" t="str">
        <f>HYPERLINK(AB2 &amp; "/wrench/sn_dd35d029f6c0676ae4e346ee2650d150/rendering/08.obj", "5.36780883789")</f>
        <v>5.36780883789</v>
      </c>
      <c r="L2829" s="48" t="str">
        <f>HYPERLINK(AB2 &amp; "/wrench/sn_dd35d029f6c0676ae4e346ee2650d150/rendering/09.obj", "5.36931884766")</f>
        <v>5.36931884766</v>
      </c>
      <c r="M2829" s="47" t="str">
        <f>HYPERLINK(AB2 &amp; "/wrench/sn_dd35d029f6c0676ae4e346ee2650d150/rendering/10.obj", "5.54621704102")</f>
        <v>5.54621704102</v>
      </c>
      <c r="N2829" s="34" t="str">
        <f>HYPERLINK(AB2 &amp; "/wrench/sn_dd35d029f6c0676ae4e346ee2650d150/rendering/11.obj", "5.78080200195")</f>
        <v>5.78080200195</v>
      </c>
      <c r="O2829" s="26" t="str">
        <f>HYPERLINK(AB2 &amp; "/wrench/sn_dd35d029f6c0676ae4e346ee2650d150/rendering/12.obj", "5.14858215332")</f>
        <v>5.14858215332</v>
      </c>
      <c r="P2829" s="23" t="str">
        <f>HYPERLINK(AB2 &amp; "/wrench/sn_dd35d029f6c0676ae4e346ee2650d150/rendering/13.obj", "5.29906005859")</f>
        <v>5.29906005859</v>
      </c>
      <c r="Q2829" s="91" t="str">
        <f>HYPERLINK(AB2 &amp; "/wrench/sn_dd35d029f6c0676ae4e346ee2650d150/rendering/14.obj", "5.36812805176")</f>
        <v>5.36812805176</v>
      </c>
      <c r="R2829" s="60" t="str">
        <f>HYPERLINK(AB2 &amp; "/wrench/sn_dd35d029f6c0676ae4e346ee2650d150/rendering/15.obj", "5.22167175293")</f>
        <v>5.22167175293</v>
      </c>
      <c r="S2829" s="63" t="str">
        <f>HYPERLINK(AB2 &amp; "/wrench/sn_dd35d029f6c0676ae4e346ee2650d150/rendering/16.obj", "6.17167175293")</f>
        <v>6.17167175293</v>
      </c>
      <c r="T2829" s="69" t="str">
        <f>HYPERLINK(AB2 &amp; "/wrench/sn_dd35d029f6c0676ae4e346ee2650d150/rendering/17.obj", "5.34529663086")</f>
        <v>5.34529663086</v>
      </c>
      <c r="U2829" s="30" t="str">
        <f>HYPERLINK(AB2 &amp; "/wrench/sn_dd35d029f6c0676ae4e346ee2650d150/rendering/18.obj", "5.53716796875")</f>
        <v>5.53716796875</v>
      </c>
      <c r="V2829" s="8" t="str">
        <f>HYPERLINK(AB2 &amp; "/wrench/sn_dd35d029f6c0676ae4e346ee2650d150/rendering/19.obj", "6.29240661621")</f>
        <v>6.29240661621</v>
      </c>
      <c r="W2829" s="12" t="s">
        <v>31</v>
      </c>
      <c r="X2829" s="13">
        <v>5.506922088623047</v>
      </c>
      <c r="Y2829" s="13">
        <v>0.3337177171556141</v>
      </c>
      <c r="Z2829" s="78">
        <v>6.0599680145294557E-2</v>
      </c>
    </row>
    <row r="2830" spans="1:26" x14ac:dyDescent="0.2">
      <c r="A2830" s="1">
        <v>2828</v>
      </c>
      <c r="B2830" s="2" t="s">
        <v>598</v>
      </c>
      <c r="C2830" s="254" t="str">
        <f>HYPERLINK(AB2 &amp; "/wrench/sn_dd35d029f6c0676ae4e346ee2650d150/rendering/00.obj", "2.8656206131")</f>
        <v>2.8656206131</v>
      </c>
      <c r="D2830" s="84" t="str">
        <f>HYPERLINK(AB2 &amp; "/wrench/sn_dd35d029f6c0676ae4e346ee2650d150/rendering/01.obj", "1.38185846806")</f>
        <v>1.38185846806</v>
      </c>
      <c r="E2830" s="28" t="str">
        <f>HYPERLINK(AB2 &amp; "/wrench/sn_dd35d029f6c0676ae4e346ee2650d150/rendering/02.obj", "1.43441653252")</f>
        <v>1.43441653252</v>
      </c>
      <c r="F2830" s="70" t="str">
        <f>HYPERLINK(AB2 &amp; "/wrench/sn_dd35d029f6c0676ae4e346ee2650d150/rendering/03.obj", "1.40954780579")</f>
        <v>1.40954780579</v>
      </c>
      <c r="G2830" s="107" t="str">
        <f>HYPERLINK(AB2 &amp; "/wrench/sn_dd35d029f6c0676ae4e346ee2650d150/rendering/04.obj", "1.48342525959")</f>
        <v>1.48342525959</v>
      </c>
      <c r="H2830" s="71" t="str">
        <f>HYPERLINK(AB2 &amp; "/wrench/sn_dd35d029f6c0676ae4e346ee2650d150/rendering/05.obj", "1.42557036877")</f>
        <v>1.42557036877</v>
      </c>
      <c r="I2830" s="175" t="str">
        <f>HYPERLINK(AB2 &amp; "/wrench/sn_dd35d029f6c0676ae4e346ee2650d150/rendering/06.obj", "1.99225246906")</f>
        <v>1.99225246906</v>
      </c>
      <c r="J2830" s="27" t="str">
        <f>HYPERLINK(AB2 &amp; "/wrench/sn_dd35d029f6c0676ae4e346ee2650d150/rendering/07.obj", "1.50024056435")</f>
        <v>1.50024056435</v>
      </c>
      <c r="K2830" s="70" t="str">
        <f>HYPERLINK(AB2 &amp; "/wrench/sn_dd35d029f6c0676ae4e346ee2650d150/rendering/08.obj", "1.41023826599")</f>
        <v>1.41023826599</v>
      </c>
      <c r="L2830" s="83" t="str">
        <f>HYPERLINK(AB2 &amp; "/wrench/sn_dd35d029f6c0676ae4e346ee2650d150/rendering/09.obj", "1.37032771111")</f>
        <v>1.37032771111</v>
      </c>
      <c r="M2830" s="60" t="str">
        <f>HYPERLINK(AB2 &amp; "/wrench/sn_dd35d029f6c0676ae4e346ee2650d150/rendering/10.obj", "1.5331953764")</f>
        <v>1.5331953764</v>
      </c>
      <c r="N2830" s="74" t="str">
        <f>HYPERLINK(AB2 &amp; "/wrench/sn_dd35d029f6c0676ae4e346ee2650d150/rendering/11.obj", "1.63654279709")</f>
        <v>1.63654279709</v>
      </c>
      <c r="O2830" s="63" t="str">
        <f>HYPERLINK(AB2 &amp; "/wrench/sn_dd35d029f6c0676ae4e346ee2650d150/rendering/12.obj", "1.4189722538")</f>
        <v>1.4189722538</v>
      </c>
      <c r="P2830" s="90" t="str">
        <f>HYPERLINK(AB2 &amp; "/wrench/sn_dd35d029f6c0676ae4e346ee2650d150/rendering/13.obj", "1.46251451969")</f>
        <v>1.46251451969</v>
      </c>
      <c r="Q2830" s="41" t="str">
        <f>HYPERLINK(AB2 &amp; "/wrench/sn_dd35d029f6c0676ae4e346ee2650d150/rendering/14.obj", "1.50600206852")</f>
        <v>1.50600206852</v>
      </c>
      <c r="R2830" s="71" t="str">
        <f>HYPERLINK(AB2 &amp; "/wrench/sn_dd35d029f6c0676ae4e346ee2650d150/rendering/15.obj", "1.42467951775")</f>
        <v>1.42467951775</v>
      </c>
      <c r="S2830" s="169" t="str">
        <f>HYPERLINK(AB2 &amp; "/wrench/sn_dd35d029f6c0676ae4e346ee2650d150/rendering/16.obj", "2.11839008331")</f>
        <v>2.11839008331</v>
      </c>
      <c r="T2830" s="8" t="str">
        <f>HYPERLINK(AB2 &amp; "/wrench/sn_dd35d029f6c0676ae4e346ee2650d150/rendering/17.obj", "1.38609457016")</f>
        <v>1.38609457016</v>
      </c>
      <c r="U2830" s="68" t="str">
        <f>HYPERLINK(AB2 &amp; "/wrench/sn_dd35d029f6c0676ae4e346ee2650d150/rendering/18.obj", "1.68675172329")</f>
        <v>1.68675172329</v>
      </c>
      <c r="V2830" s="66" t="str">
        <f>HYPERLINK(AB2 &amp; "/wrench/sn_dd35d029f6c0676ae4e346ee2650d150/rendering/19.obj", "1.8753439188")</f>
        <v>1.8753439188</v>
      </c>
      <c r="W2830" s="12" t="s">
        <v>32</v>
      </c>
      <c r="X2830" s="13">
        <v>1.616099244356155</v>
      </c>
      <c r="Y2830" s="13">
        <v>0.35350700316672379</v>
      </c>
      <c r="Z2830" s="81">
        <v>0.21874089997954241</v>
      </c>
    </row>
    <row r="2831" spans="1:26" x14ac:dyDescent="0.2">
      <c r="A2831" s="1">
        <v>2829</v>
      </c>
      <c r="B2831" s="2" t="s">
        <v>598</v>
      </c>
      <c r="C2831" s="13" t="str">
        <f>HYPERLINK(AC2 &amp; "/wrench/sn_dd35d029f6c0676ae4e346ee2650d150/rendering/00.xyz", "0.0")</f>
        <v>0.0</v>
      </c>
      <c r="D2831" s="13" t="str">
        <f>HYPERLINK(AC2 &amp; "/wrench/sn_dd35d029f6c0676ae4e346ee2650d150/rendering/01.xyz", "0.0")</f>
        <v>0.0</v>
      </c>
      <c r="E2831" s="13" t="str">
        <f>HYPERLINK(AC2 &amp; "/wrench/sn_dd35d029f6c0676ae4e346ee2650d150/rendering/02.xyz", "0.0")</f>
        <v>0.0</v>
      </c>
      <c r="F2831" s="13" t="str">
        <f>HYPERLINK(AC2 &amp; "/wrench/sn_dd35d029f6c0676ae4e346ee2650d150/rendering/03.xyz", "0.0")</f>
        <v>0.0</v>
      </c>
      <c r="G2831" s="13" t="str">
        <f>HYPERLINK(AC2 &amp; "/wrench/sn_dd35d029f6c0676ae4e346ee2650d150/rendering/04.xyz", "0.0")</f>
        <v>0.0</v>
      </c>
      <c r="H2831" s="13" t="str">
        <f>HYPERLINK(AC2 &amp; "/wrench/sn_dd35d029f6c0676ae4e346ee2650d150/rendering/05.xyz", "0.0")</f>
        <v>0.0</v>
      </c>
      <c r="I2831" s="13" t="str">
        <f>HYPERLINK(AC2 &amp; "/wrench/sn_dd35d029f6c0676ae4e346ee2650d150/rendering/06.xyz", "0.0")</f>
        <v>0.0</v>
      </c>
      <c r="J2831" s="13" t="str">
        <f>HYPERLINK(AC2 &amp; "/wrench/sn_dd35d029f6c0676ae4e346ee2650d150/rendering/07.xyz", "0.0")</f>
        <v>0.0</v>
      </c>
      <c r="K2831" s="13" t="str">
        <f>HYPERLINK(AC2 &amp; "/wrench/sn_dd35d029f6c0676ae4e346ee2650d150/rendering/08.xyz", "0.0")</f>
        <v>0.0</v>
      </c>
      <c r="L2831" s="13" t="str">
        <f>HYPERLINK(AC2 &amp; "/wrench/sn_dd35d029f6c0676ae4e346ee2650d150/rendering/09.xyz", "0.0")</f>
        <v>0.0</v>
      </c>
      <c r="M2831" s="13" t="str">
        <f>HYPERLINK(AC2 &amp; "/wrench/sn_dd35d029f6c0676ae4e346ee2650d150/rendering/10.xyz", "0.0")</f>
        <v>0.0</v>
      </c>
      <c r="N2831" s="13" t="str">
        <f>HYPERLINK(AC2 &amp; "/wrench/sn_dd35d029f6c0676ae4e346ee2650d150/rendering/11.xyz", "0.0")</f>
        <v>0.0</v>
      </c>
      <c r="O2831" s="13" t="str">
        <f>HYPERLINK(AC2 &amp; "/wrench/sn_dd35d029f6c0676ae4e346ee2650d150/rendering/12.xyz", "0.0")</f>
        <v>0.0</v>
      </c>
      <c r="P2831" s="13" t="str">
        <f>HYPERLINK(AC2 &amp; "/wrench/sn_dd35d029f6c0676ae4e346ee2650d150/rendering/13.xyz", "0.0")</f>
        <v>0.0</v>
      </c>
      <c r="Q2831" s="13" t="str">
        <f>HYPERLINK(AC2 &amp; "/wrench/sn_dd35d029f6c0676ae4e346ee2650d150/rendering/14.xyz", "0.0")</f>
        <v>0.0</v>
      </c>
      <c r="R2831" s="13" t="str">
        <f>HYPERLINK(AC2 &amp; "/wrench/sn_dd35d029f6c0676ae4e346ee2650d150/rendering/15.xyz", "0.0")</f>
        <v>0.0</v>
      </c>
      <c r="S2831" s="13" t="str">
        <f>HYPERLINK(AC2 &amp; "/wrench/sn_dd35d029f6c0676ae4e346ee2650d150/rendering/16.xyz", "0.0")</f>
        <v>0.0</v>
      </c>
      <c r="T2831" s="13" t="str">
        <f>HYPERLINK(AC2 &amp; "/wrench/sn_dd35d029f6c0676ae4e346ee2650d150/rendering/17.xyz", "0.0")</f>
        <v>0.0</v>
      </c>
      <c r="U2831" s="13" t="str">
        <f>HYPERLINK(AC2 &amp; "/wrench/sn_dd35d029f6c0676ae4e346ee2650d150/rendering/18.xyz", "0.0")</f>
        <v>0.0</v>
      </c>
      <c r="V2831" s="13" t="str">
        <f>HYPERLINK(AC2 &amp; "/wrench/sn_dd35d029f6c0676ae4e346ee2650d150/rendering/19.xyz", "0.0")</f>
        <v>0.0</v>
      </c>
      <c r="W2831" s="12" t="s">
        <v>33</v>
      </c>
      <c r="X2831" s="13">
        <v>0</v>
      </c>
      <c r="Y2831" s="13">
        <v>0</v>
      </c>
      <c r="Z2831" s="13">
        <v>0</v>
      </c>
    </row>
    <row r="2832" spans="1:26" x14ac:dyDescent="0.2">
      <c r="A2832" s="1">
        <v>2830</v>
      </c>
      <c r="B2832" s="2" t="s">
        <v>599</v>
      </c>
      <c r="C2832" s="33" t="str">
        <f>HYPERLINK(AA2 &amp; "/wrench/sn_ddcd3cafa9ce006d2eed4989630e1fdf/rendering/00.obj", "5.86218322754")</f>
        <v>5.86218322754</v>
      </c>
      <c r="D2832" s="69" t="str">
        <f>HYPERLINK(AA2 &amp; "/wrench/sn_ddcd3cafa9ce006d2eed4989630e1fdf/rendering/01.obj", "5.13980102539")</f>
        <v>5.13980102539</v>
      </c>
      <c r="E2832" s="47" t="str">
        <f>HYPERLINK(AA2 &amp; "/wrench/sn_ddcd3cafa9ce006d2eed4989630e1fdf/rendering/02.obj", "5.25118652344")</f>
        <v>5.25118652344</v>
      </c>
      <c r="F2832" s="38" t="str">
        <f>HYPERLINK(AA2 &amp; "/wrench/sn_ddcd3cafa9ce006d2eed4989630e1fdf/rendering/03.obj", "4.82389465332")</f>
        <v>4.82389465332</v>
      </c>
      <c r="G2832" s="27" t="str">
        <f>HYPERLINK(AA2 &amp; "/wrench/sn_ddcd3cafa9ce006d2eed4989630e1fdf/rendering/04.obj", "4.91400756836")</f>
        <v>4.91400756836</v>
      </c>
      <c r="H2832" s="157" t="str">
        <f>HYPERLINK(AA2 &amp; "/wrench/sn_ddcd3cafa9ce006d2eed4989630e1fdf/rendering/05.obj", "7.48906066895")</f>
        <v>7.48906066895</v>
      </c>
      <c r="I2832" s="25" t="str">
        <f>HYPERLINK(AA2 &amp; "/wrench/sn_ddcd3cafa9ce006d2eed4989630e1fdf/rendering/06.obj", "5.23814941406")</f>
        <v>5.23814941406</v>
      </c>
      <c r="J2832" s="60" t="str">
        <f>HYPERLINK(AA2 &amp; "/wrench/sn_ddcd3cafa9ce006d2eed4989630e1fdf/rendering/07.obj", "5.0119921875")</f>
        <v>5.0119921875</v>
      </c>
      <c r="K2832" s="17" t="str">
        <f>HYPERLINK(AA2 &amp; "/wrench/sn_ddcd3cafa9ce006d2eed4989630e1fdf/rendering/08.obj", "5.17785339355")</f>
        <v>5.17785339355</v>
      </c>
      <c r="L2832" s="67" t="str">
        <f>HYPERLINK(AA2 &amp; "/wrench/sn_ddcd3cafa9ce006d2eed4989630e1fdf/rendering/09.obj", "4.79654907227")</f>
        <v>4.79654907227</v>
      </c>
      <c r="M2832" s="83" t="str">
        <f>HYPERLINK(AA2 &amp; "/wrench/sn_ddcd3cafa9ce006d2eed4989630e1fdf/rendering/10.obj", "4.49317565918")</f>
        <v>4.49317565918</v>
      </c>
      <c r="N2832" s="10" t="str">
        <f>HYPERLINK(AA2 &amp; "/wrench/sn_ddcd3cafa9ce006d2eed4989630e1fdf/rendering/11.obj", "5.0019519043")</f>
        <v>5.0019519043</v>
      </c>
      <c r="O2832" s="78" t="str">
        <f>HYPERLINK(AA2 &amp; "/wrench/sn_ddcd3cafa9ce006d2eed4989630e1fdf/rendering/12.obj", "4.96605529785")</f>
        <v>4.96605529785</v>
      </c>
      <c r="P2832" s="107" t="str">
        <f>HYPERLINK(AA2 &amp; "/wrench/sn_ddcd3cafa9ce006d2eed4989630e1fdf/rendering/13.obj", "5.7324230957")</f>
        <v>5.7324230957</v>
      </c>
      <c r="Q2832" s="51" t="str">
        <f>HYPERLINK(AA2 &amp; "/wrench/sn_ddcd3cafa9ce006d2eed4989630e1fdf/rendering/14.obj", "5.70887329102")</f>
        <v>5.70887329102</v>
      </c>
      <c r="R2832" s="74" t="str">
        <f>HYPERLINK(AA2 &amp; "/wrench/sn_ddcd3cafa9ce006d2eed4989630e1fdf/rendering/15.obj", "5.21520996094")</f>
        <v>5.21520996094</v>
      </c>
      <c r="S2832" s="46" t="str">
        <f>HYPERLINK(AA2 &amp; "/wrench/sn_ddcd3cafa9ce006d2eed4989630e1fdf/rendering/16.obj", "5.20719238281")</f>
        <v>5.20719238281</v>
      </c>
      <c r="T2832" s="34" t="str">
        <f>HYPERLINK(AA2 &amp; "/wrench/sn_ddcd3cafa9ce006d2eed4989630e1fdf/rendering/17.obj", "5.03264587402")</f>
        <v>5.03264587402</v>
      </c>
      <c r="U2832" s="73" t="str">
        <f>HYPERLINK(AA2 &amp; "/wrench/sn_ddcd3cafa9ce006d2eed4989630e1fdf/rendering/18.obj", "5.48872314453")</f>
        <v>5.48872314453</v>
      </c>
      <c r="V2832" s="30" t="str">
        <f>HYPERLINK(AA2 &amp; "/wrench/sn_ddcd3cafa9ce006d2eed4989630e1fdf/rendering/19.obj", "5.31558227539")</f>
        <v>5.31558227539</v>
      </c>
      <c r="W2832" s="12" t="s">
        <v>29</v>
      </c>
      <c r="X2832" s="13">
        <v>5.2933255310058591</v>
      </c>
      <c r="Y2832" s="13">
        <v>0.59977660797307386</v>
      </c>
      <c r="Z2832" s="106">
        <v>0.11330809043574951</v>
      </c>
    </row>
    <row r="2833" spans="1:26" x14ac:dyDescent="0.2">
      <c r="A2833" s="1">
        <v>2831</v>
      </c>
      <c r="B2833" s="2" t="s">
        <v>599</v>
      </c>
      <c r="C2833" s="51" t="str">
        <f>HYPERLINK(AA2 &amp; "/wrench/sn_ddcd3cafa9ce006d2eed4989630e1fdf/rendering/00.obj", "3.53613495827")</f>
        <v>3.53613495827</v>
      </c>
      <c r="D2833" s="33" t="str">
        <f>HYPERLINK(AA2 &amp; "/wrench/sn_ddcd3cafa9ce006d2eed4989630e1fdf/rendering/01.obj", "2.91891050339")</f>
        <v>2.91891050339</v>
      </c>
      <c r="E2833" s="120" t="str">
        <f>HYPERLINK(AA2 &amp; "/wrench/sn_ddcd3cafa9ce006d2eed4989630e1fdf/rendering/02.obj", "2.57767415047")</f>
        <v>2.57767415047</v>
      </c>
      <c r="F2833" s="96" t="str">
        <f>HYPERLINK(AA2 &amp; "/wrench/sn_ddcd3cafa9ce006d2eed4989630e1fdf/rendering/03.obj", "2.08357143402")</f>
        <v>2.08357143402</v>
      </c>
      <c r="G2833" s="118" t="str">
        <f>HYPERLINK(AA2 &amp; "/wrench/sn_ddcd3cafa9ce006d2eed4989630e1fdf/rendering/04.obj", "2.31073617935")</f>
        <v>2.31073617935</v>
      </c>
      <c r="H2833" s="20" t="str">
        <f>HYPERLINK(AA2 &amp; "/wrench/sn_ddcd3cafa9ce006d2eed4989630e1fdf/rendering/05.obj", "7.64425516129")</f>
        <v>7.64425516129</v>
      </c>
      <c r="I2833" s="100" t="str">
        <f>HYPERLINK(AA2 &amp; "/wrench/sn_ddcd3cafa9ce006d2eed4989630e1fdf/rendering/06.obj", "2.29618477821")</f>
        <v>2.29618477821</v>
      </c>
      <c r="J2833" s="48" t="str">
        <f>HYPERLINK(AA2 &amp; "/wrench/sn_ddcd3cafa9ce006d2eed4989630e1fdf/rendering/07.obj", "3.19252467155")</f>
        <v>3.19252467155</v>
      </c>
      <c r="K2833" s="171" t="str">
        <f>HYPERLINK(AA2 &amp; "/wrench/sn_ddcd3cafa9ce006d2eed4989630e1fdf/rendering/08.obj", "4.26806354523")</f>
        <v>4.26806354523</v>
      </c>
      <c r="L2833" s="120" t="str">
        <f>HYPERLINK(AA2 &amp; "/wrench/sn_ddcd3cafa9ce006d2eed4989630e1fdf/rendering/09.obj", "2.57764315605")</f>
        <v>2.57764315605</v>
      </c>
      <c r="M2833" s="55" t="str">
        <f>HYPERLINK(AA2 &amp; "/wrench/sn_ddcd3cafa9ce006d2eed4989630e1fdf/rendering/10.obj", "2.63661623001")</f>
        <v>2.63661623001</v>
      </c>
      <c r="N2833" s="44" t="str">
        <f>HYPERLINK(AA2 &amp; "/wrench/sn_ddcd3cafa9ce006d2eed4989630e1fdf/rendering/11.obj", "2.62530064583")</f>
        <v>2.62530064583</v>
      </c>
      <c r="O2833" s="52" t="str">
        <f>HYPERLINK(AA2 &amp; "/wrench/sn_ddcd3cafa9ce006d2eed4989630e1fdf/rendering/12.obj", "1.9603767395")</f>
        <v>1.9603767395</v>
      </c>
      <c r="P2833" s="6" t="str">
        <f>HYPERLINK(AA2 &amp; "/wrench/sn_ddcd3cafa9ce006d2eed4989630e1fdf/rendering/13.obj", "3.42481231689")</f>
        <v>3.42481231689</v>
      </c>
      <c r="Q2833" s="139" t="str">
        <f>HYPERLINK(AA2 &amp; "/wrench/sn_ddcd3cafa9ce006d2eed4989630e1fdf/rendering/14.obj", "4.84560585022")</f>
        <v>4.84560585022</v>
      </c>
      <c r="R2833" s="66" t="str">
        <f>HYPERLINK(AA2 &amp; "/wrench/sn_ddcd3cafa9ce006d2eed4989630e1fdf/rendering/15.obj", "2.73886585236")</f>
        <v>2.73886585236</v>
      </c>
      <c r="S2833" s="86" t="str">
        <f>HYPERLINK(AA2 &amp; "/wrench/sn_ddcd3cafa9ce006d2eed4989630e1fdf/rendering/16.obj", "2.39852595329")</f>
        <v>2.39852595329</v>
      </c>
      <c r="T2833" s="5" t="str">
        <f>HYPERLINK(AA2 &amp; "/wrench/sn_ddcd3cafa9ce006d2eed4989630e1fdf/rendering/17.obj", "3.01963376999")</f>
        <v>3.01963376999</v>
      </c>
      <c r="U2833" s="177" t="str">
        <f>HYPERLINK(AA2 &amp; "/wrench/sn_ddcd3cafa9ce006d2eed4989630e1fdf/rendering/18.obj", "5.02616786957")</f>
        <v>5.02616786957</v>
      </c>
      <c r="V2833" s="48" t="str">
        <f>HYPERLINK(AA2 &amp; "/wrench/sn_ddcd3cafa9ce006d2eed4989630e1fdf/rendering/19.obj", "3.34444594383")</f>
        <v>3.34444594383</v>
      </c>
      <c r="W2833" s="12" t="s">
        <v>30</v>
      </c>
      <c r="X2833" s="13">
        <v>3.2713024854660029</v>
      </c>
      <c r="Y2833" s="13">
        <v>1.29995068584454</v>
      </c>
      <c r="Z2833" s="196">
        <v>0.39738015411905858</v>
      </c>
    </row>
    <row r="2834" spans="1:26" x14ac:dyDescent="0.2">
      <c r="A2834" s="1">
        <v>2832</v>
      </c>
      <c r="B2834" s="2" t="s">
        <v>599</v>
      </c>
      <c r="C2834" s="41" t="str">
        <f>HYPERLINK(AB2 &amp; "/wrench/sn_ddcd3cafa9ce006d2eed4989630e1fdf/rendering/00.obj", "5.76793273926")</f>
        <v>5.76793273926</v>
      </c>
      <c r="D2834" s="17" t="str">
        <f>HYPERLINK(AB2 &amp; "/wrench/sn_ddcd3cafa9ce006d2eed4989630e1fdf/rendering/01.obj", "5.28752075195")</f>
        <v>5.28752075195</v>
      </c>
      <c r="E2834" s="69" t="str">
        <f>HYPERLINK(AB2 &amp; "/wrench/sn_ddcd3cafa9ce006d2eed4989630e1fdf/rendering/02.obj", "5.24527587891")</f>
        <v>5.24527587891</v>
      </c>
      <c r="F2834" s="69" t="str">
        <f>HYPERLINK(AB2 &amp; "/wrench/sn_ddcd3cafa9ce006d2eed4989630e1fdf/rendering/03.obj", "5.57040649414")</f>
        <v>5.57040649414</v>
      </c>
      <c r="G2834" s="91" t="str">
        <f>HYPERLINK(AB2 &amp; "/wrench/sn_ddcd3cafa9ce006d2eed4989630e1fdf/rendering/04.obj", "5.5524206543")</f>
        <v>5.5524206543</v>
      </c>
      <c r="H2834" s="106" t="str">
        <f>HYPERLINK(AB2 &amp; "/wrench/sn_ddcd3cafa9ce006d2eed4989630e1fdf/rendering/05.obj", "6.02330932617")</f>
        <v>6.02330932617</v>
      </c>
      <c r="I2834" s="51" t="str">
        <f>HYPERLINK(AB2 &amp; "/wrench/sn_ddcd3cafa9ce006d2eed4989630e1fdf/rendering/06.obj", "4.97079589844")</f>
        <v>4.97079589844</v>
      </c>
      <c r="J2834" s="17" t="str">
        <f>HYPERLINK(AB2 &amp; "/wrench/sn_ddcd3cafa9ce006d2eed4989630e1fdf/rendering/07.obj", "5.51405822754")</f>
        <v>5.51405822754</v>
      </c>
      <c r="K2834" s="68" t="str">
        <f>HYPERLINK(AB2 &amp; "/wrench/sn_ddcd3cafa9ce006d2eed4989630e1fdf/rendering/08.obj", "5.18043518066")</f>
        <v>5.18043518066</v>
      </c>
      <c r="L2834" s="34" t="str">
        <f>HYPERLINK(AB2 &amp; "/wrench/sn_ddcd3cafa9ce006d2eed4989630e1fdf/rendering/09.obj", "5.13815673828")</f>
        <v>5.13815673828</v>
      </c>
      <c r="M2834" s="47" t="str">
        <f>HYPERLINK(AB2 &amp; "/wrench/sn_ddcd3cafa9ce006d2eed4989630e1fdf/rendering/10.obj", "5.45263427734")</f>
        <v>5.45263427734</v>
      </c>
      <c r="N2834" s="51" t="str">
        <f>HYPERLINK(AB2 &amp; "/wrench/sn_ddcd3cafa9ce006d2eed4989630e1fdf/rendering/11.obj", "4.97626403809")</f>
        <v>4.97626403809</v>
      </c>
      <c r="O2834" s="35" t="str">
        <f>HYPERLINK(AB2 &amp; "/wrench/sn_ddcd3cafa9ce006d2eed4989630e1fdf/rendering/12.obj", "5.7211505127")</f>
        <v>5.7211505127</v>
      </c>
      <c r="P2834" s="51" t="str">
        <f>HYPERLINK(AB2 &amp; "/wrench/sn_ddcd3cafa9ce006d2eed4989630e1fdf/rendering/13.obj", "5.83465270996")</f>
        <v>5.83465270996</v>
      </c>
      <c r="Q2834" s="72" t="str">
        <f>HYPERLINK(AB2 &amp; "/wrench/sn_ddcd3cafa9ce006d2eed4989630e1fdf/rendering/14.obj", "5.58782775879")</f>
        <v>5.58782775879</v>
      </c>
      <c r="R2834" s="27" t="str">
        <f>HYPERLINK(AB2 &amp; "/wrench/sn_ddcd3cafa9ce006d2eed4989630e1fdf/rendering/15.obj", "5.02051208496")</f>
        <v>5.02051208496</v>
      </c>
      <c r="S2834" s="27" t="str">
        <f>HYPERLINK(AB2 &amp; "/wrench/sn_ddcd3cafa9ce006d2eed4989630e1fdf/rendering/16.obj", "5.02430603027")</f>
        <v>5.02430603027</v>
      </c>
      <c r="T2834" s="68" t="str">
        <f>HYPERLINK(AB2 &amp; "/wrench/sn_ddcd3cafa9ce006d2eed4989630e1fdf/rendering/17.obj", "5.17899536133")</f>
        <v>5.17899536133</v>
      </c>
      <c r="U2834" s="46" t="str">
        <f>HYPERLINK(AB2 &amp; "/wrench/sn_ddcd3cafa9ce006d2eed4989630e1fdf/rendering/18.obj", "5.50376708984")</f>
        <v>5.50376708984</v>
      </c>
      <c r="V2834" s="48" t="str">
        <f>HYPERLINK(AB2 &amp; "/wrench/sn_ddcd3cafa9ce006d2eed4989630e1fdf/rendering/19.obj", "5.53202026367")</f>
        <v>5.53202026367</v>
      </c>
      <c r="W2834" s="12" t="s">
        <v>31</v>
      </c>
      <c r="X2834" s="13">
        <v>5.4041221008300777</v>
      </c>
      <c r="Y2834" s="13">
        <v>0.29985548731876849</v>
      </c>
      <c r="Z2834" s="10">
        <v>5.5486438263989343E-2</v>
      </c>
    </row>
    <row r="2835" spans="1:26" x14ac:dyDescent="0.2">
      <c r="A2835" s="1">
        <v>2833</v>
      </c>
      <c r="B2835" s="2" t="s">
        <v>599</v>
      </c>
      <c r="C2835" s="69" t="str">
        <f>HYPERLINK(AB2 &amp; "/wrench/sn_ddcd3cafa9ce006d2eed4989630e1fdf/rendering/00.obj", "2.18181180954")</f>
        <v>2.18181180954</v>
      </c>
      <c r="D2835" s="69" t="str">
        <f>HYPERLINK(AB2 &amp; "/wrench/sn_ddcd3cafa9ce006d2eed4989630e1fdf/rendering/01.obj", "2.18325519562")</f>
        <v>2.18325519562</v>
      </c>
      <c r="E2835" s="74" t="str">
        <f>HYPERLINK(AB2 &amp; "/wrench/sn_ddcd3cafa9ce006d2eed4989630e1fdf/rendering/02.obj", "2.09007716179")</f>
        <v>2.09007716179</v>
      </c>
      <c r="F2835" s="68" t="str">
        <f>HYPERLINK(AB2 &amp; "/wrench/sn_ddcd3cafa9ce006d2eed4989630e1fdf/rendering/03.obj", "2.02870941162")</f>
        <v>2.02870941162</v>
      </c>
      <c r="G2835" s="68" t="str">
        <f>HYPERLINK(AB2 &amp; "/wrench/sn_ddcd3cafa9ce006d2eed4989630e1fdf/rendering/04.obj", "2.03372955322")</f>
        <v>2.03372955322</v>
      </c>
      <c r="H2835" s="38" t="str">
        <f>HYPERLINK(AB2 &amp; "/wrench/sn_ddcd3cafa9ce006d2eed4989630e1fdf/rendering/05.obj", "1.93412399292")</f>
        <v>1.93412399292</v>
      </c>
      <c r="I2835" s="46" t="str">
        <f>HYPERLINK(AB2 &amp; "/wrench/sn_ddcd3cafa9ce006d2eed4989630e1fdf/rendering/06.obj", "2.15492749214")</f>
        <v>2.15492749214</v>
      </c>
      <c r="J2835" s="181" t="str">
        <f>HYPERLINK(AB2 &amp; "/wrench/sn_ddcd3cafa9ce006d2eed4989630e1fdf/rendering/07.obj", "3.06285142899")</f>
        <v>3.06285142899</v>
      </c>
      <c r="K2835" s="27" t="str">
        <f>HYPERLINK(AB2 &amp; "/wrench/sn_ddcd3cafa9ce006d2eed4989630e1fdf/rendering/08.obj", "1.97262680531")</f>
        <v>1.97262680531</v>
      </c>
      <c r="L2835" s="5" t="str">
        <f>HYPERLINK(AB2 &amp; "/wrench/sn_ddcd3cafa9ce006d2eed4989630e1fdf/rendering/09.obj", "1.9569478035")</f>
        <v>1.9569478035</v>
      </c>
      <c r="M2835" s="68" t="str">
        <f>HYPERLINK(AB2 &amp; "/wrench/sn_ddcd3cafa9ce006d2eed4989630e1fdf/rendering/10.obj", "2.20843291283")</f>
        <v>2.20843291283</v>
      </c>
      <c r="N2835" s="23" t="str">
        <f>HYPERLINK(AB2 &amp; "/wrench/sn_ddcd3cafa9ce006d2eed4989630e1fdf/rendering/11.obj", "2.03556394577")</f>
        <v>2.03556394577</v>
      </c>
      <c r="O2835" s="10" t="str">
        <f>HYPERLINK(AB2 &amp; "/wrench/sn_ddcd3cafa9ce006d2eed4989630e1fdf/rendering/12.obj", "2.00458526611")</f>
        <v>2.00458526611</v>
      </c>
      <c r="P2835" s="67" t="str">
        <f>HYPERLINK(AB2 &amp; "/wrench/sn_ddcd3cafa9ce006d2eed4989630e1fdf/rendering/13.obj", "1.924518466")</f>
        <v>1.924518466</v>
      </c>
      <c r="Q2835" s="46" t="str">
        <f>HYPERLINK(AB2 &amp; "/wrench/sn_ddcd3cafa9ce006d2eed4989630e1fdf/rendering/14.obj", "2.15746188164")</f>
        <v>2.15746188164</v>
      </c>
      <c r="R2835" s="68" t="str">
        <f>HYPERLINK(AB2 &amp; "/wrench/sn_ddcd3cafa9ce006d2eed4989630e1fdf/rendering/15.obj", "2.03395032883")</f>
        <v>2.03395032883</v>
      </c>
      <c r="S2835" s="68" t="str">
        <f>HYPERLINK(AB2 &amp; "/wrench/sn_ddcd3cafa9ce006d2eed4989630e1fdf/rendering/16.obj", "2.02796792984")</f>
        <v>2.02796792984</v>
      </c>
      <c r="T2835" s="13" t="str">
        <f>HYPERLINK(AB2 &amp; "/wrench/sn_ddcd3cafa9ce006d2eed4989630e1fdf/rendering/17.obj", "2.12413144112")</f>
        <v>2.12413144112</v>
      </c>
      <c r="U2835" s="17" t="str">
        <f>HYPERLINK(AB2 &amp; "/wrench/sn_ddcd3cafa9ce006d2eed4989630e1fdf/rendering/18.obj", "2.0800549984")</f>
        <v>2.0800549984</v>
      </c>
      <c r="V2835" s="6" t="str">
        <f>HYPERLINK(AB2 &amp; "/wrench/sn_ddcd3cafa9ce006d2eed4989630e1fdf/rendering/19.obj", "2.22019505501")</f>
        <v>2.22019505501</v>
      </c>
      <c r="W2835" s="12" t="s">
        <v>32</v>
      </c>
      <c r="X2835" s="13">
        <v>2.120796144008636</v>
      </c>
      <c r="Y2835" s="13">
        <v>0.23376672926973369</v>
      </c>
      <c r="Z2835" s="28">
        <v>0.11022593092228</v>
      </c>
    </row>
    <row r="2836" spans="1:26" x14ac:dyDescent="0.2">
      <c r="A2836" s="1">
        <v>2834</v>
      </c>
      <c r="B2836" s="2" t="s">
        <v>599</v>
      </c>
      <c r="C2836" s="13" t="str">
        <f>HYPERLINK(AC2 &amp; "/wrench/sn_ddcd3cafa9ce006d2eed4989630e1fdf/rendering/00.xyz", "0.0")</f>
        <v>0.0</v>
      </c>
      <c r="D2836" s="13" t="str">
        <f>HYPERLINK(AC2 &amp; "/wrench/sn_ddcd3cafa9ce006d2eed4989630e1fdf/rendering/01.xyz", "0.0")</f>
        <v>0.0</v>
      </c>
      <c r="E2836" s="13" t="str">
        <f>HYPERLINK(AC2 &amp; "/wrench/sn_ddcd3cafa9ce006d2eed4989630e1fdf/rendering/02.xyz", "0.0")</f>
        <v>0.0</v>
      </c>
      <c r="F2836" s="13" t="str">
        <f>HYPERLINK(AC2 &amp; "/wrench/sn_ddcd3cafa9ce006d2eed4989630e1fdf/rendering/03.xyz", "0.0")</f>
        <v>0.0</v>
      </c>
      <c r="G2836" s="13" t="str">
        <f>HYPERLINK(AC2 &amp; "/wrench/sn_ddcd3cafa9ce006d2eed4989630e1fdf/rendering/04.xyz", "0.0")</f>
        <v>0.0</v>
      </c>
      <c r="H2836" s="13" t="str">
        <f>HYPERLINK(AC2 &amp; "/wrench/sn_ddcd3cafa9ce006d2eed4989630e1fdf/rendering/05.xyz", "0.0")</f>
        <v>0.0</v>
      </c>
      <c r="I2836" s="13" t="str">
        <f>HYPERLINK(AC2 &amp; "/wrench/sn_ddcd3cafa9ce006d2eed4989630e1fdf/rendering/06.xyz", "0.0")</f>
        <v>0.0</v>
      </c>
      <c r="J2836" s="13" t="str">
        <f>HYPERLINK(AC2 &amp; "/wrench/sn_ddcd3cafa9ce006d2eed4989630e1fdf/rendering/07.xyz", "0.0")</f>
        <v>0.0</v>
      </c>
      <c r="K2836" s="13" t="str">
        <f>HYPERLINK(AC2 &amp; "/wrench/sn_ddcd3cafa9ce006d2eed4989630e1fdf/rendering/08.xyz", "0.0")</f>
        <v>0.0</v>
      </c>
      <c r="L2836" s="13" t="str">
        <f>HYPERLINK(AC2 &amp; "/wrench/sn_ddcd3cafa9ce006d2eed4989630e1fdf/rendering/09.xyz", "0.0")</f>
        <v>0.0</v>
      </c>
      <c r="M2836" s="13" t="str">
        <f>HYPERLINK(AC2 &amp; "/wrench/sn_ddcd3cafa9ce006d2eed4989630e1fdf/rendering/10.xyz", "0.0")</f>
        <v>0.0</v>
      </c>
      <c r="N2836" s="13" t="str">
        <f>HYPERLINK(AC2 &amp; "/wrench/sn_ddcd3cafa9ce006d2eed4989630e1fdf/rendering/11.xyz", "0.0")</f>
        <v>0.0</v>
      </c>
      <c r="O2836" s="13" t="str">
        <f>HYPERLINK(AC2 &amp; "/wrench/sn_ddcd3cafa9ce006d2eed4989630e1fdf/rendering/12.xyz", "0.0")</f>
        <v>0.0</v>
      </c>
      <c r="P2836" s="13" t="str">
        <f>HYPERLINK(AC2 &amp; "/wrench/sn_ddcd3cafa9ce006d2eed4989630e1fdf/rendering/13.xyz", "0.0")</f>
        <v>0.0</v>
      </c>
      <c r="Q2836" s="13" t="str">
        <f>HYPERLINK(AC2 &amp; "/wrench/sn_ddcd3cafa9ce006d2eed4989630e1fdf/rendering/14.xyz", "0.0")</f>
        <v>0.0</v>
      </c>
      <c r="R2836" s="13" t="str">
        <f>HYPERLINK(AC2 &amp; "/wrench/sn_ddcd3cafa9ce006d2eed4989630e1fdf/rendering/15.xyz", "0.0")</f>
        <v>0.0</v>
      </c>
      <c r="S2836" s="13" t="str">
        <f>HYPERLINK(AC2 &amp; "/wrench/sn_ddcd3cafa9ce006d2eed4989630e1fdf/rendering/16.xyz", "0.0")</f>
        <v>0.0</v>
      </c>
      <c r="T2836" s="13" t="str">
        <f>HYPERLINK(AC2 &amp; "/wrench/sn_ddcd3cafa9ce006d2eed4989630e1fdf/rendering/17.xyz", "0.0")</f>
        <v>0.0</v>
      </c>
      <c r="U2836" s="13" t="str">
        <f>HYPERLINK(AC2 &amp; "/wrench/sn_ddcd3cafa9ce006d2eed4989630e1fdf/rendering/18.xyz", "0.0")</f>
        <v>0.0</v>
      </c>
      <c r="V2836" s="13" t="str">
        <f>HYPERLINK(AC2 &amp; "/wrench/sn_ddcd3cafa9ce006d2eed4989630e1fdf/rendering/19.xyz", "0.0")</f>
        <v>0.0</v>
      </c>
      <c r="W2836" s="12" t="s">
        <v>33</v>
      </c>
      <c r="X2836" s="13">
        <v>0</v>
      </c>
      <c r="Y2836" s="13">
        <v>0</v>
      </c>
      <c r="Z2836" s="13">
        <v>0</v>
      </c>
    </row>
    <row r="2837" spans="1:26" x14ac:dyDescent="0.2">
      <c r="A2837" s="1">
        <v>2835</v>
      </c>
      <c r="B2837" s="2" t="s">
        <v>600</v>
      </c>
      <c r="C2837" s="6" t="str">
        <f>HYPERLINK(AA2 &amp; "/wrench/sn_de7cfde0c44f61a26e1c18a0516d05cb/rendering/00.obj", "4.92496337891")</f>
        <v>4.92496337891</v>
      </c>
      <c r="D2837" s="46" t="str">
        <f>HYPERLINK(AA2 &amp; "/wrench/sn_de7cfde0c44f61a26e1c18a0516d05cb/rendering/01.obj", "5.07982910156")</f>
        <v>5.07982910156</v>
      </c>
      <c r="E2837" s="32" t="str">
        <f>HYPERLINK(AA2 &amp; "/wrench/sn_de7cfde0c44f61a26e1c18a0516d05cb/rendering/02.obj", "4.62162689209")</f>
        <v>4.62162689209</v>
      </c>
      <c r="F2837" s="90" t="str">
        <f>HYPERLINK(AA2 &amp; "/wrench/sn_de7cfde0c44f61a26e1c18a0516d05cb/rendering/03.obj", "4.66327697754")</f>
        <v>4.66327697754</v>
      </c>
      <c r="G2837" s="159" t="str">
        <f>HYPERLINK(AA2 &amp; "/wrench/sn_de7cfde0c44f61a26e1c18a0516d05cb/rendering/04.obj", "7.58965332031")</f>
        <v>7.58965332031</v>
      </c>
      <c r="H2837" s="10" t="str">
        <f>HYPERLINK(AA2 &amp; "/wrench/sn_de7cfde0c44f61a26e1c18a0516d05cb/rendering/05.obj", "4.87247924805")</f>
        <v>4.87247924805</v>
      </c>
      <c r="I2837" s="90" t="str">
        <f>HYPERLINK(AA2 &amp; "/wrench/sn_de7cfde0c44f61a26e1c18a0516d05cb/rendering/06.obj", "4.67231506348")</f>
        <v>4.67231506348</v>
      </c>
      <c r="J2837" s="69" t="str">
        <f>HYPERLINK(AA2 &amp; "/wrench/sn_de7cfde0c44f61a26e1c18a0516d05cb/rendering/07.obj", "5.31911499023")</f>
        <v>5.31911499023</v>
      </c>
      <c r="K2837" s="8" t="str">
        <f>HYPERLINK(AA2 &amp; "/wrench/sn_de7cfde0c44f61a26e1c18a0516d05cb/rendering/08.obj", "4.42518798828")</f>
        <v>4.42518798828</v>
      </c>
      <c r="L2837" s="23" t="str">
        <f>HYPERLINK(AA2 &amp; "/wrench/sn_de7cfde0c44f61a26e1c18a0516d05cb/rendering/09.obj", "4.95928741455")</f>
        <v>4.95928741455</v>
      </c>
      <c r="M2837" s="42" t="str">
        <f>HYPERLINK(AA2 &amp; "/wrench/sn_de7cfde0c44f61a26e1c18a0516d05cb/rendering/10.obj", "4.4589276123")</f>
        <v>4.4589276123</v>
      </c>
      <c r="N2837" s="110" t="str">
        <f>HYPERLINK(AA2 &amp; "/wrench/sn_de7cfde0c44f61a26e1c18a0516d05cb/rendering/11.obj", "4.65060821533")</f>
        <v>4.65060821533</v>
      </c>
      <c r="O2837" s="47" t="str">
        <f>HYPERLINK(AA2 &amp; "/wrench/sn_de7cfde0c44f61a26e1c18a0516d05cb/rendering/12.obj", "5.12898620605")</f>
        <v>5.12898620605</v>
      </c>
      <c r="P2837" s="57" t="str">
        <f>HYPERLINK(AA2 &amp; "/wrench/sn_de7cfde0c44f61a26e1c18a0516d05cb/rendering/13.obj", "6.79223693848")</f>
        <v>6.79223693848</v>
      </c>
      <c r="Q2837" s="41" t="str">
        <f>HYPERLINK(AA2 &amp; "/wrench/sn_de7cfde0c44f61a26e1c18a0516d05cb/rendering/14.obj", "4.82131744385")</f>
        <v>4.82131744385</v>
      </c>
      <c r="R2837" s="168" t="str">
        <f>HYPERLINK(AA2 &amp; "/wrench/sn_de7cfde0c44f61a26e1c18a0516d05cb/rendering/15.obj", "6.81544189453")</f>
        <v>6.81544189453</v>
      </c>
      <c r="S2837" s="23" t="str">
        <f>HYPERLINK(AA2 &amp; "/wrench/sn_de7cfde0c44f61a26e1c18a0516d05cb/rendering/16.obj", "4.95558563232")</f>
        <v>4.95558563232</v>
      </c>
      <c r="T2837" s="73" t="str">
        <f>HYPERLINK(AA2 &amp; "/wrench/sn_de7cfde0c44f61a26e1c18a0516d05cb/rendering/17.obj", "5.34058044434")</f>
        <v>5.34058044434</v>
      </c>
      <c r="U2837" s="50" t="str">
        <f>HYPERLINK(AA2 &amp; "/wrench/sn_de7cfde0c44f61a26e1c18a0516d05cb/rendering/18.obj", "4.13679473877")</f>
        <v>4.13679473877</v>
      </c>
      <c r="V2837" s="69" t="str">
        <f>HYPERLINK(AA2 &amp; "/wrench/sn_de7cfde0c44f61a26e1c18a0516d05cb/rendering/19.obj", "5.00188049316")</f>
        <v>5.00188049316</v>
      </c>
      <c r="W2837" s="12" t="s">
        <v>29</v>
      </c>
      <c r="X2837" s="13">
        <v>5.1615046997070309</v>
      </c>
      <c r="Y2837" s="13">
        <v>0.86154385661099886</v>
      </c>
      <c r="Z2837" s="24">
        <v>0.1669171892180783</v>
      </c>
    </row>
    <row r="2838" spans="1:26" x14ac:dyDescent="0.2">
      <c r="A2838" s="1">
        <v>2836</v>
      </c>
      <c r="B2838" s="2" t="s">
        <v>600</v>
      </c>
      <c r="C2838" s="96" t="str">
        <f>HYPERLINK(AA2 &amp; "/wrench/sn_de7cfde0c44f61a26e1c18a0516d05cb/rendering/00.obj", "1.24930202961")</f>
        <v>1.24930202961</v>
      </c>
      <c r="D2838" s="44" t="str">
        <f>HYPERLINK(AA2 &amp; "/wrench/sn_de7cfde0c44f61a26e1c18a0516d05cb/rendering/01.obj", "1.57527256012")</f>
        <v>1.57527256012</v>
      </c>
      <c r="E2838" s="53" t="str">
        <f>HYPERLINK(AA2 &amp; "/wrench/sn_de7cfde0c44f61a26e1c18a0516d05cb/rendering/02.obj", "1.14854252338")</f>
        <v>1.14854252338</v>
      </c>
      <c r="F2838" s="179" t="str">
        <f>HYPERLINK(AA2 &amp; "/wrench/sn_de7cfde0c44f61a26e1c18a0516d05cb/rendering/03.obj", "1.11972475052")</f>
        <v>1.11972475052</v>
      </c>
      <c r="G2838" s="20" t="str">
        <f>HYPERLINK(AA2 &amp; "/wrench/sn_de7cfde0c44f61a26e1c18a0516d05cb/rendering/04.obj", "7.3277425766")</f>
        <v>7.3277425766</v>
      </c>
      <c r="H2838" s="140" t="str">
        <f>HYPERLINK(AA2 &amp; "/wrench/sn_de7cfde0c44f61a26e1c18a0516d05cb/rendering/05.obj", "1.28026413918")</f>
        <v>1.28026413918</v>
      </c>
      <c r="I2838" s="172" t="str">
        <f>HYPERLINK(AA2 &amp; "/wrench/sn_de7cfde0c44f61a26e1c18a0516d05cb/rendering/06.obj", "1.20137751102")</f>
        <v>1.20137751102</v>
      </c>
      <c r="J2838" s="58" t="str">
        <f>HYPERLINK(AA2 &amp; "/wrench/sn_de7cfde0c44f61a26e1c18a0516d05cb/rendering/07.obj", "1.4790520668")</f>
        <v>1.4790520668</v>
      </c>
      <c r="K2838" s="132" t="str">
        <f>HYPERLINK(AA2 &amp; "/wrench/sn_de7cfde0c44f61a26e1c18a0516d05cb/rendering/08.obj", "1.1389824152")</f>
        <v>1.1389824152</v>
      </c>
      <c r="L2838" s="169" t="str">
        <f>HYPERLINK(AA2 &amp; "/wrench/sn_de7cfde0c44f61a26e1c18a0516d05cb/rendering/09.obj", "1.34838008881")</f>
        <v>1.34838008881</v>
      </c>
      <c r="M2838" s="156" t="str">
        <f>HYPERLINK(AA2 &amp; "/wrench/sn_de7cfde0c44f61a26e1c18a0516d05cb/rendering/10.obj", "1.08431637287")</f>
        <v>1.08431637287</v>
      </c>
      <c r="N2838" s="192" t="str">
        <f>HYPERLINK(AA2 &amp; "/wrench/sn_de7cfde0c44f61a26e1c18a0516d05cb/rendering/11.obj", "1.22615718842")</f>
        <v>1.22615718842</v>
      </c>
      <c r="O2838" s="100" t="str">
        <f>HYPERLINK(AA2 &amp; "/wrench/sn_de7cfde0c44f61a26e1c18a0516d05cb/rendering/12.obj", "1.36749184132")</f>
        <v>1.36749184132</v>
      </c>
      <c r="P2838" s="20" t="str">
        <f>HYPERLINK(AA2 &amp; "/wrench/sn_de7cfde0c44f61a26e1c18a0516d05cb/rendering/13.obj", "4.81417369843")</f>
        <v>4.81417369843</v>
      </c>
      <c r="Q2838" s="95" t="str">
        <f>HYPERLINK(AA2 &amp; "/wrench/sn_de7cfde0c44f61a26e1c18a0516d05cb/rendering/14.obj", "1.40731620789")</f>
        <v>1.40731620789</v>
      </c>
      <c r="R2838" s="20" t="str">
        <f>HYPERLINK(AA2 &amp; "/wrench/sn_de7cfde0c44f61a26e1c18a0516d05cb/rendering/15.obj", "4.46196985245")</f>
        <v>4.46196985245</v>
      </c>
      <c r="S2838" s="121" t="str">
        <f>HYPERLINK(AA2 &amp; "/wrench/sn_de7cfde0c44f61a26e1c18a0516d05cb/rendering/16.obj", "1.26387870312")</f>
        <v>1.26387870312</v>
      </c>
      <c r="T2838" s="133" t="str">
        <f>HYPERLINK(AA2 &amp; "/wrench/sn_de7cfde0c44f61a26e1c18a0516d05cb/rendering/17.obj", "2.15854001045")</f>
        <v>2.15854001045</v>
      </c>
      <c r="U2838" s="172" t="str">
        <f>HYPERLINK(AA2 &amp; "/wrench/sn_de7cfde0c44f61a26e1c18a0516d05cb/rendering/18.obj", "1.20594251156")</f>
        <v>1.20594251156</v>
      </c>
      <c r="V2838" s="121" t="str">
        <f>HYPERLINK(AA2 &amp; "/wrench/sn_de7cfde0c44f61a26e1c18a0516d05cb/rendering/19.obj", "1.26647651196")</f>
        <v>1.26647651196</v>
      </c>
      <c r="W2838" s="12" t="s">
        <v>30</v>
      </c>
      <c r="X2838" s="13">
        <v>1.956245177984238</v>
      </c>
      <c r="Y2838" s="13">
        <v>1.5982589449582441</v>
      </c>
      <c r="Z2838" s="20">
        <v>0.81700339146912471</v>
      </c>
    </row>
    <row r="2839" spans="1:26" x14ac:dyDescent="0.2">
      <c r="A2839" s="1">
        <v>2837</v>
      </c>
      <c r="B2839" s="2" t="s">
        <v>600</v>
      </c>
      <c r="C2839" s="92" t="str">
        <f>HYPERLINK(AB2 &amp; "/wrench/sn_de7cfde0c44f61a26e1c18a0516d05cb/rendering/00.obj", "4.78071685791")</f>
        <v>4.78071685791</v>
      </c>
      <c r="D2839" s="92" t="str">
        <f>HYPERLINK(AB2 &amp; "/wrench/sn_de7cfde0c44f61a26e1c18a0516d05cb/rendering/01.obj", "3.73090393066")</f>
        <v>3.73090393066</v>
      </c>
      <c r="E2839" s="68" t="str">
        <f>HYPERLINK(AB2 &amp; "/wrench/sn_de7cfde0c44f61a26e1c18a0516d05cb/rendering/02.obj", "4.07734466553")</f>
        <v>4.07734466553</v>
      </c>
      <c r="F2839" s="17" t="str">
        <f>HYPERLINK(AB2 &amp; "/wrench/sn_de7cfde0c44f61a26e1c18a0516d05cb/rendering/03.obj", "4.17229278564")</f>
        <v>4.17229278564</v>
      </c>
      <c r="G2839" s="117" t="str">
        <f>HYPERLINK(AB2 &amp; "/wrench/sn_de7cfde0c44f61a26e1c18a0516d05cb/rendering/04.obj", "5.01662689209")</f>
        <v>5.01662689209</v>
      </c>
      <c r="H2839" s="6" t="str">
        <f>HYPERLINK(AB2 &amp; "/wrench/sn_de7cfde0c44f61a26e1c18a0516d05cb/rendering/05.obj", "4.06052429199")</f>
        <v>4.06052429199</v>
      </c>
      <c r="I2839" s="67" t="str">
        <f>HYPERLINK(AB2 &amp; "/wrench/sn_de7cfde0c44f61a26e1c18a0516d05cb/rendering/06.obj", "3.86153839111")</f>
        <v>3.86153839111</v>
      </c>
      <c r="J2839" s="60" t="str">
        <f>HYPERLINK(AB2 &amp; "/wrench/sn_de7cfde0c44f61a26e1c18a0516d05cb/rendering/07.obj", "4.03772338867")</f>
        <v>4.03772338867</v>
      </c>
      <c r="K2839" s="73" t="str">
        <f>HYPERLINK(AB2 &amp; "/wrench/sn_de7cfde0c44f61a26e1c18a0516d05cb/rendering/08.obj", "4.10320129395")</f>
        <v>4.10320129395</v>
      </c>
      <c r="L2839" s="26" t="str">
        <f>HYPERLINK(AB2 &amp; "/wrench/sn_de7cfde0c44f61a26e1c18a0516d05cb/rendering/09.obj", "4.53612976074")</f>
        <v>4.53612976074</v>
      </c>
      <c r="M2839" s="91" t="str">
        <f>HYPERLINK(AB2 &amp; "/wrench/sn_de7cfde0c44f61a26e1c18a0516d05cb/rendering/10.obj", "4.14117919922")</f>
        <v>4.14117919922</v>
      </c>
      <c r="N2839" s="17" t="str">
        <f>HYPERLINK(AB2 &amp; "/wrench/sn_de7cfde0c44f61a26e1c18a0516d05cb/rendering/11.obj", "4.17467956543")</f>
        <v>4.17467956543</v>
      </c>
      <c r="O2839" s="91" t="str">
        <f>HYPERLINK(AB2 &amp; "/wrench/sn_de7cfde0c44f61a26e1c18a0516d05cb/rendering/12.obj", "4.3697164917")</f>
        <v>4.3697164917</v>
      </c>
      <c r="P2839" s="81" t="str">
        <f>HYPERLINK(AB2 &amp; "/wrench/sn_de7cfde0c44f61a26e1c18a0516d05cb/rendering/13.obj", "5.18184448242")</f>
        <v>5.18184448242</v>
      </c>
      <c r="Q2839" s="13" t="str">
        <f>HYPERLINK(AB2 &amp; "/wrench/sn_de7cfde0c44f61a26e1c18a0516d05cb/rendering/14.obj", "4.26235168457")</f>
        <v>4.26235168457</v>
      </c>
      <c r="R2839" s="35" t="str">
        <f>HYPERLINK(AB2 &amp; "/wrench/sn_de7cfde0c44f61a26e1c18a0516d05cb/rendering/15.obj", "4.50261779785")</f>
        <v>4.50261779785</v>
      </c>
      <c r="S2839" s="78" t="str">
        <f>HYPERLINK(AB2 &amp; "/wrench/sn_de7cfde0c44f61a26e1c18a0516d05cb/rendering/16.obj", "3.9970880127")</f>
        <v>3.9970880127</v>
      </c>
      <c r="T2839" s="38" t="str">
        <f>HYPERLINK(AB2 &amp; "/wrench/sn_de7cfde0c44f61a26e1c18a0516d05cb/rendering/17.obj", "3.87944091797")</f>
        <v>3.87944091797</v>
      </c>
      <c r="U2839" s="23" t="str">
        <f>HYPERLINK(AB2 &amp; "/wrench/sn_de7cfde0c44f61a26e1c18a0516d05cb/rendering/18.obj", "4.09473266602")</f>
        <v>4.09473266602</v>
      </c>
      <c r="V2839" s="48" t="str">
        <f>HYPERLINK(AB2 &amp; "/wrench/sn_de7cfde0c44f61a26e1c18a0516d05cb/rendering/19.obj", "4.16253295898")</f>
        <v>4.16253295898</v>
      </c>
      <c r="W2839" s="12" t="s">
        <v>31</v>
      </c>
      <c r="X2839" s="13">
        <v>4.2571593017578122</v>
      </c>
      <c r="Y2839" s="13">
        <v>0.36784049234817212</v>
      </c>
      <c r="Z2839" s="39">
        <v>8.6405151011447495E-2</v>
      </c>
    </row>
    <row r="2840" spans="1:26" x14ac:dyDescent="0.2">
      <c r="A2840" s="1">
        <v>2838</v>
      </c>
      <c r="B2840" s="2" t="s">
        <v>600</v>
      </c>
      <c r="C2840" s="84" t="str">
        <f>HYPERLINK(AB2 &amp; "/wrench/sn_de7cfde0c44f61a26e1c18a0516d05cb/rendering/00.obj", "1.2666554451")</f>
        <v>1.2666554451</v>
      </c>
      <c r="D2840" s="47" t="str">
        <f>HYPERLINK(AB2 &amp; "/wrench/sn_de7cfde0c44f61a26e1c18a0516d05cb/rendering/01.obj", "1.09576749802")</f>
        <v>1.09576749802</v>
      </c>
      <c r="E2840" s="35" t="str">
        <f>HYPERLINK(AB2 &amp; "/wrench/sn_de7cfde0c44f61a26e1c18a0516d05cb/rendering/02.obj", "1.04251122475")</f>
        <v>1.04251122475</v>
      </c>
      <c r="F2840" s="35" t="str">
        <f>HYPERLINK(AB2 &amp; "/wrench/sn_de7cfde0c44f61a26e1c18a0516d05cb/rendering/03.obj", "1.0424387455")</f>
        <v>1.0424387455</v>
      </c>
      <c r="G2840" s="31" t="str">
        <f>HYPERLINK(AB2 &amp; "/wrench/sn_de7cfde0c44f61a26e1c18a0516d05cb/rendering/04.obj", "1.27923107147")</f>
        <v>1.27923107147</v>
      </c>
      <c r="H2840" s="68" t="str">
        <f>HYPERLINK(AB2 &amp; "/wrench/sn_de7cfde0c44f61a26e1c18a0516d05cb/rendering/05.obj", "1.05853390694")</f>
        <v>1.05853390694</v>
      </c>
      <c r="I2840" s="27" t="str">
        <f>HYPERLINK(AB2 &amp; "/wrench/sn_de7cfde0c44f61a26e1c18a0516d05cb/rendering/06.obj", "1.02857637405")</f>
        <v>1.02857637405</v>
      </c>
      <c r="J2840" s="94" t="str">
        <f>HYPERLINK(AB2 &amp; "/wrench/sn_de7cfde0c44f61a26e1c18a0516d05cb/rendering/07.obj", "1.02565336227")</f>
        <v>1.02565336227</v>
      </c>
      <c r="K2840" s="107" t="str">
        <f>HYPERLINK(AB2 &amp; "/wrench/sn_de7cfde0c44f61a26e1c18a0516d05cb/rendering/08.obj", "1.01479411125")</f>
        <v>1.01479411125</v>
      </c>
      <c r="L2840" s="48" t="str">
        <f>HYPERLINK(AB2 &amp; "/wrench/sn_de7cfde0c44f61a26e1c18a0516d05cb/rendering/09.obj", "1.13296568394")</f>
        <v>1.13296568394</v>
      </c>
      <c r="M2840" s="72" t="str">
        <f>HYPERLINK(AB2 &amp; "/wrench/sn_de7cfde0c44f61a26e1c18a0516d05cb/rendering/10.obj", "1.14278769493")</f>
        <v>1.14278769493</v>
      </c>
      <c r="N2840" s="5" t="str">
        <f>HYPERLINK(AB2 &amp; "/wrench/sn_de7cfde0c44f61a26e1c18a0516d05cb/rendering/11.obj", "1.02211415768")</f>
        <v>1.02211415768</v>
      </c>
      <c r="O2840" s="91" t="str">
        <f>HYPERLINK(AB2 &amp; "/wrench/sn_de7cfde0c44f61a26e1c18a0516d05cb/rendering/12.obj", "1.13480186462")</f>
        <v>1.13480186462</v>
      </c>
      <c r="P2840" s="225" t="str">
        <f>HYPERLINK(AB2 &amp; "/wrench/sn_de7cfde0c44f61a26e1c18a0516d05cb/rendering/13.obj", "1.73653376102")</f>
        <v>1.73653376102</v>
      </c>
      <c r="Q2840" s="28" t="str">
        <f>HYPERLINK(AB2 &amp; "/wrench/sn_de7cfde0c44f61a26e1c18a0516d05cb/rendering/14.obj", "0.983632206917")</f>
        <v>0.983632206917</v>
      </c>
      <c r="R2840" s="30" t="str">
        <f>HYPERLINK(AB2 &amp; "/wrench/sn_de7cfde0c44f61a26e1c18a0516d05cb/rendering/15.obj", "1.11086750031")</f>
        <v>1.11086750031</v>
      </c>
      <c r="S2840" s="8" t="str">
        <f>HYPERLINK(AB2 &amp; "/wrench/sn_de7cfde0c44f61a26e1c18a0516d05cb/rendering/16.obj", "0.946628153324")</f>
        <v>0.946628153324</v>
      </c>
      <c r="T2840" s="68" t="str">
        <f>HYPERLINK(AB2 &amp; "/wrench/sn_de7cfde0c44f61a26e1c18a0516d05cb/rendering/17.obj", "1.0604044199")</f>
        <v>1.0604044199</v>
      </c>
      <c r="U2840" s="42" t="str">
        <f>HYPERLINK(AB2 &amp; "/wrench/sn_de7cfde0c44f61a26e1c18a0516d05cb/rendering/18.obj", "0.956244409084")</f>
        <v>0.956244409084</v>
      </c>
      <c r="V2840" s="78" t="str">
        <f>HYPERLINK(AB2 &amp; "/wrench/sn_de7cfde0c44f61a26e1c18a0516d05cb/rendering/19.obj", "1.03696036339")</f>
        <v>1.03696036339</v>
      </c>
      <c r="W2840" s="12" t="s">
        <v>32</v>
      </c>
      <c r="X2840" s="13">
        <v>1.1059050977230069</v>
      </c>
      <c r="Y2840" s="13">
        <v>0.1679590590788434</v>
      </c>
      <c r="Z2840" s="83">
        <v>0.15187474894967129</v>
      </c>
    </row>
    <row r="2841" spans="1:26" x14ac:dyDescent="0.2">
      <c r="A2841" s="1">
        <v>2839</v>
      </c>
      <c r="B2841" s="2" t="s">
        <v>600</v>
      </c>
      <c r="C2841" s="13" t="str">
        <f>HYPERLINK(AC2 &amp; "/wrench/sn_de7cfde0c44f61a26e1c18a0516d05cb/rendering/00.xyz", "0.0")</f>
        <v>0.0</v>
      </c>
      <c r="D2841" s="13" t="str">
        <f>HYPERLINK(AC2 &amp; "/wrench/sn_de7cfde0c44f61a26e1c18a0516d05cb/rendering/01.xyz", "0.0")</f>
        <v>0.0</v>
      </c>
      <c r="E2841" s="13" t="str">
        <f>HYPERLINK(AC2 &amp; "/wrench/sn_de7cfde0c44f61a26e1c18a0516d05cb/rendering/02.xyz", "0.0")</f>
        <v>0.0</v>
      </c>
      <c r="F2841" s="13" t="str">
        <f>HYPERLINK(AC2 &amp; "/wrench/sn_de7cfde0c44f61a26e1c18a0516d05cb/rendering/03.xyz", "0.0")</f>
        <v>0.0</v>
      </c>
      <c r="G2841" s="13" t="str">
        <f>HYPERLINK(AC2 &amp; "/wrench/sn_de7cfde0c44f61a26e1c18a0516d05cb/rendering/04.xyz", "0.0")</f>
        <v>0.0</v>
      </c>
      <c r="H2841" s="13" t="str">
        <f>HYPERLINK(AC2 &amp; "/wrench/sn_de7cfde0c44f61a26e1c18a0516d05cb/rendering/05.xyz", "0.0")</f>
        <v>0.0</v>
      </c>
      <c r="I2841" s="13" t="str">
        <f>HYPERLINK(AC2 &amp; "/wrench/sn_de7cfde0c44f61a26e1c18a0516d05cb/rendering/06.xyz", "0.0")</f>
        <v>0.0</v>
      </c>
      <c r="J2841" s="13" t="str">
        <f>HYPERLINK(AC2 &amp; "/wrench/sn_de7cfde0c44f61a26e1c18a0516d05cb/rendering/07.xyz", "0.0")</f>
        <v>0.0</v>
      </c>
      <c r="K2841" s="13" t="str">
        <f>HYPERLINK(AC2 &amp; "/wrench/sn_de7cfde0c44f61a26e1c18a0516d05cb/rendering/08.xyz", "0.0")</f>
        <v>0.0</v>
      </c>
      <c r="L2841" s="13" t="str">
        <f>HYPERLINK(AC2 &amp; "/wrench/sn_de7cfde0c44f61a26e1c18a0516d05cb/rendering/09.xyz", "0.0")</f>
        <v>0.0</v>
      </c>
      <c r="M2841" s="13" t="str">
        <f>HYPERLINK(AC2 &amp; "/wrench/sn_de7cfde0c44f61a26e1c18a0516d05cb/rendering/10.xyz", "0.0")</f>
        <v>0.0</v>
      </c>
      <c r="N2841" s="13" t="str">
        <f>HYPERLINK(AC2 &amp; "/wrench/sn_de7cfde0c44f61a26e1c18a0516d05cb/rendering/11.xyz", "0.0")</f>
        <v>0.0</v>
      </c>
      <c r="O2841" s="13" t="str">
        <f>HYPERLINK(AC2 &amp; "/wrench/sn_de7cfde0c44f61a26e1c18a0516d05cb/rendering/12.xyz", "0.0")</f>
        <v>0.0</v>
      </c>
      <c r="P2841" s="13" t="str">
        <f>HYPERLINK(AC2 &amp; "/wrench/sn_de7cfde0c44f61a26e1c18a0516d05cb/rendering/13.xyz", "0.0")</f>
        <v>0.0</v>
      </c>
      <c r="Q2841" s="13" t="str">
        <f>HYPERLINK(AC2 &amp; "/wrench/sn_de7cfde0c44f61a26e1c18a0516d05cb/rendering/14.xyz", "0.0")</f>
        <v>0.0</v>
      </c>
      <c r="R2841" s="13" t="str">
        <f>HYPERLINK(AC2 &amp; "/wrench/sn_de7cfde0c44f61a26e1c18a0516d05cb/rendering/15.xyz", "0.0")</f>
        <v>0.0</v>
      </c>
      <c r="S2841" s="13" t="str">
        <f>HYPERLINK(AC2 &amp; "/wrench/sn_de7cfde0c44f61a26e1c18a0516d05cb/rendering/16.xyz", "0.0")</f>
        <v>0.0</v>
      </c>
      <c r="T2841" s="13" t="str">
        <f>HYPERLINK(AC2 &amp; "/wrench/sn_de7cfde0c44f61a26e1c18a0516d05cb/rendering/17.xyz", "0.0")</f>
        <v>0.0</v>
      </c>
      <c r="U2841" s="13" t="str">
        <f>HYPERLINK(AC2 &amp; "/wrench/sn_de7cfde0c44f61a26e1c18a0516d05cb/rendering/18.xyz", "0.0")</f>
        <v>0.0</v>
      </c>
      <c r="V2841" s="13" t="str">
        <f>HYPERLINK(AC2 &amp; "/wrench/sn_de7cfde0c44f61a26e1c18a0516d05cb/rendering/19.xyz", "0.0")</f>
        <v>0.0</v>
      </c>
      <c r="W2841" s="12" t="s">
        <v>33</v>
      </c>
      <c r="X2841" s="13">
        <v>0</v>
      </c>
      <c r="Y2841" s="13">
        <v>0</v>
      </c>
      <c r="Z2841" s="13">
        <v>0</v>
      </c>
    </row>
    <row r="2842" spans="1:26" x14ac:dyDescent="0.2">
      <c r="A2842" s="1">
        <v>2840</v>
      </c>
      <c r="B2842" s="2" t="s">
        <v>601</v>
      </c>
      <c r="C2842" s="75" t="str">
        <f>HYPERLINK(AA2 &amp; "/wrench/sn_e3c1b09db7f45fe2e4e346ee2650d150/rendering/00.obj", "3.77846313477")</f>
        <v>3.77846313477</v>
      </c>
      <c r="D2842" s="35" t="str">
        <f>HYPERLINK(AA2 &amp; "/wrench/sn_e3c1b09db7f45fe2e4e346ee2650d150/rendering/01.obj", "5.12381530762")</f>
        <v>5.12381530762</v>
      </c>
      <c r="E2842" s="69" t="str">
        <f>HYPERLINK(AA2 &amp; "/wrench/sn_e3c1b09db7f45fe2e4e346ee2650d150/rendering/02.obj", "4.99967346191")</f>
        <v>4.99967346191</v>
      </c>
      <c r="F2842" s="51" t="str">
        <f>HYPERLINK(AA2 &amp; "/wrench/sn_e3c1b09db7f45fe2e4e346ee2650d150/rendering/03.obj", "4.45582336426")</f>
        <v>4.45582336426</v>
      </c>
      <c r="G2842" s="68" t="str">
        <f>HYPERLINK(AA2 &amp; "/wrench/sn_e3c1b09db7f45fe2e4e346ee2650d150/rendering/04.obj", "4.64387237549")</f>
        <v>4.64387237549</v>
      </c>
      <c r="H2842" s="28" t="str">
        <f>HYPERLINK(AA2 &amp; "/wrench/sn_e3c1b09db7f45fe2e4e346ee2650d150/rendering/05.obj", "5.38199890137")</f>
        <v>5.38199890137</v>
      </c>
      <c r="I2842" s="106" t="str">
        <f>HYPERLINK(AA2 &amp; "/wrench/sn_e3c1b09db7f45fe2e4e346ee2650d150/rendering/06.obj", "4.29186401367")</f>
        <v>4.29186401367</v>
      </c>
      <c r="J2842" s="67" t="str">
        <f>HYPERLINK(AA2 &amp; "/wrench/sn_e3c1b09db7f45fe2e4e346ee2650d150/rendering/07.obj", "4.3937411499")</f>
        <v>4.3937411499</v>
      </c>
      <c r="K2842" s="241" t="str">
        <f>HYPERLINK(AA2 &amp; "/wrench/sn_e3c1b09db7f45fe2e4e346ee2650d150/rendering/08.obj", "7.95344238281")</f>
        <v>7.95344238281</v>
      </c>
      <c r="L2842" s="10" t="str">
        <f>HYPERLINK(AA2 &amp; "/wrench/sn_e3c1b09db7f45fe2e4e346ee2650d150/rendering/09.obj", "4.58825073242")</f>
        <v>4.58825073242</v>
      </c>
      <c r="M2842" s="110" t="str">
        <f>HYPERLINK(AA2 &amp; "/wrench/sn_e3c1b09db7f45fe2e4e346ee2650d150/rendering/10.obj", "4.37704223633")</f>
        <v>4.37704223633</v>
      </c>
      <c r="N2842" s="13" t="str">
        <f>HYPERLINK(AA2 &amp; "/wrench/sn_e3c1b09db7f45fe2e4e346ee2650d150/rendering/11.obj", "4.86079467773")</f>
        <v>4.86079467773</v>
      </c>
      <c r="O2842" s="91" t="str">
        <f>HYPERLINK(AA2 &amp; "/wrench/sn_e3c1b09db7f45fe2e4e346ee2650d150/rendering/12.obj", "4.72210266113")</f>
        <v>4.72210266113</v>
      </c>
      <c r="P2842" s="47" t="str">
        <f>HYPERLINK(AA2 &amp; "/wrench/sn_e3c1b09db7f45fe2e4e346ee2650d150/rendering/13.obj", "4.81790161133")</f>
        <v>4.81790161133</v>
      </c>
      <c r="Q2842" s="71" t="str">
        <f>HYPERLINK(AA2 &amp; "/wrench/sn_e3c1b09db7f45fe2e4e346ee2650d150/rendering/14.obj", "4.27373352051")</f>
        <v>4.27373352051</v>
      </c>
      <c r="R2842" s="47" t="str">
        <f>HYPERLINK(AA2 &amp; "/wrench/sn_e3c1b09db7f45fe2e4e346ee2650d150/rendering/15.obj", "4.81132171631")</f>
        <v>4.81132171631</v>
      </c>
      <c r="S2842" s="83" t="str">
        <f>HYPERLINK(AA2 &amp; "/wrench/sn_e3c1b09db7f45fe2e4e346ee2650d150/rendering/16.obj", "5.57903442383")</f>
        <v>5.57903442383</v>
      </c>
      <c r="T2842" s="17" t="str">
        <f>HYPERLINK(AA2 &amp; "/wrench/sn_e3c1b09db7f45fe2e4e346ee2650d150/rendering/17.obj", "4.75720947266")</f>
        <v>4.75720947266</v>
      </c>
      <c r="U2842" s="107" t="str">
        <f>HYPERLINK(AA2 &amp; "/wrench/sn_e3c1b09db7f45fe2e4e346ee2650d150/rendering/18.obj", "4.45155273438")</f>
        <v>4.45155273438</v>
      </c>
      <c r="V2842" s="91" t="str">
        <f>HYPERLINK(AA2 &amp; "/wrench/sn_e3c1b09db7f45fe2e4e346ee2650d150/rendering/19.obj", "4.71480163574")</f>
        <v>4.71480163574</v>
      </c>
      <c r="W2842" s="12" t="s">
        <v>29</v>
      </c>
      <c r="X2842" s="13">
        <v>4.8488219757080078</v>
      </c>
      <c r="Y2842" s="13">
        <v>0.81356914585934559</v>
      </c>
      <c r="Z2842" s="24">
        <v>0.1677869696877356</v>
      </c>
    </row>
    <row r="2843" spans="1:26" x14ac:dyDescent="0.2">
      <c r="A2843" s="1">
        <v>2841</v>
      </c>
      <c r="B2843" s="2" t="s">
        <v>601</v>
      </c>
      <c r="C2843" s="7" t="str">
        <f>HYPERLINK(AA2 &amp; "/wrench/sn_e3c1b09db7f45fe2e4e346ee2650d150/rendering/00.obj", "1.49591958523")</f>
        <v>1.49591958523</v>
      </c>
      <c r="D2843" s="112" t="str">
        <f>HYPERLINK(AA2 &amp; "/wrench/sn_e3c1b09db7f45fe2e4e346ee2650d150/rendering/01.obj", "3.31224870682")</f>
        <v>3.31224870682</v>
      </c>
      <c r="E2843" s="81" t="str">
        <f>HYPERLINK(AA2 &amp; "/wrench/sn_e3c1b09db7f45fe2e4e346ee2650d150/rendering/02.obj", "1.62084746361")</f>
        <v>1.62084746361</v>
      </c>
      <c r="F2843" s="153" t="str">
        <f>HYPERLINK(AA2 &amp; "/wrench/sn_e3c1b09db7f45fe2e4e346ee2650d150/rendering/03.obj", "1.33777403831")</f>
        <v>1.33777403831</v>
      </c>
      <c r="G2843" s="138" t="str">
        <f>HYPERLINK(AA2 &amp; "/wrench/sn_e3c1b09db7f45fe2e4e346ee2650d150/rendering/04.obj", "1.37618219852")</f>
        <v>1.37618219852</v>
      </c>
      <c r="H2843" s="168" t="str">
        <f>HYPERLINK(AA2 &amp; "/wrench/sn_e3c1b09db7f45fe2e4e346ee2650d150/rendering/05.obj", "2.74012613297")</f>
        <v>2.74012613297</v>
      </c>
      <c r="I2843" s="168" t="str">
        <f>HYPERLINK(AA2 &amp; "/wrench/sn_e3c1b09db7f45fe2e4e346ee2650d150/rendering/06.obj", "1.4096224308")</f>
        <v>1.4096224308</v>
      </c>
      <c r="J2843" s="149" t="str">
        <f>HYPERLINK(AA2 &amp; "/wrench/sn_e3c1b09db7f45fe2e4e346ee2650d150/rendering/07.obj", "1.36374056339")</f>
        <v>1.36374056339</v>
      </c>
      <c r="K2843" s="20" t="str">
        <f>HYPERLINK(AA2 &amp; "/wrench/sn_e3c1b09db7f45fe2e4e346ee2650d150/rendering/08.obj", "4.68899154663")</f>
        <v>4.68899154663</v>
      </c>
      <c r="L2843" s="72" t="str">
        <f>HYPERLINK(AA2 &amp; "/wrench/sn_e3c1b09db7f45fe2e4e346ee2650d150/rendering/09.obj", "2.14600229263")</f>
        <v>2.14600229263</v>
      </c>
      <c r="M2843" s="75" t="str">
        <f>HYPERLINK(AA2 &amp; "/wrench/sn_e3c1b09db7f45fe2e4e346ee2650d150/rendering/10.obj", "1.61619853973")</f>
        <v>1.61619853973</v>
      </c>
      <c r="N2843" s="103" t="str">
        <f>HYPERLINK(AA2 &amp; "/wrench/sn_e3c1b09db7f45fe2e4e346ee2650d150/rendering/11.obj", "1.40081143379")</f>
        <v>1.40081143379</v>
      </c>
      <c r="O2843" s="79" t="str">
        <f>HYPERLINK(AA2 &amp; "/wrench/sn_e3c1b09db7f45fe2e4e346ee2650d150/rendering/12.obj", "2.40459513664")</f>
        <v>2.40459513664</v>
      </c>
      <c r="P2843" s="35" t="str">
        <f>HYPERLINK(AA2 &amp; "/wrench/sn_e3c1b09db7f45fe2e4e346ee2650d150/rendering/13.obj", "1.95361638069")</f>
        <v>1.95361638069</v>
      </c>
      <c r="Q2843" s="42" t="str">
        <f>HYPERLINK(AA2 &amp; "/wrench/sn_e3c1b09db7f45fe2e4e346ee2650d150/rendering/14.obj", "1.78954970837")</f>
        <v>1.78954970837</v>
      </c>
      <c r="R2843" s="124" t="str">
        <f>HYPERLINK(AA2 &amp; "/wrench/sn_e3c1b09db7f45fe2e4e346ee2650d150/rendering/15.obj", "1.28466868401")</f>
        <v>1.28466868401</v>
      </c>
      <c r="S2843" s="221" t="str">
        <f>HYPERLINK(AA2 &amp; "/wrench/sn_e3c1b09db7f45fe2e4e346ee2650d150/rendering/16.obj", "3.23354578018")</f>
        <v>3.23354578018</v>
      </c>
      <c r="T2843" s="19" t="str">
        <f>HYPERLINK(AA2 &amp; "/wrench/sn_e3c1b09db7f45fe2e4e346ee2650d150/rendering/17.obj", "2.62208914757")</f>
        <v>2.62208914757</v>
      </c>
      <c r="U2843" s="61" t="str">
        <f>HYPERLINK(AA2 &amp; "/wrench/sn_e3c1b09db7f45fe2e4e346ee2650d150/rendering/18.obj", "1.44704306126")</f>
        <v>1.44704306126</v>
      </c>
      <c r="V2843" s="38" t="str">
        <f>HYPERLINK(AA2 &amp; "/wrench/sn_e3c1b09db7f45fe2e4e346ee2650d150/rendering/19.obj", "2.26389288902")</f>
        <v>2.26389288902</v>
      </c>
      <c r="W2843" s="12" t="s">
        <v>30</v>
      </c>
      <c r="X2843" s="13">
        <v>2.0753732860088352</v>
      </c>
      <c r="Y2843" s="13">
        <v>0.86311263938853922</v>
      </c>
      <c r="Z2843" s="157">
        <v>0.41588308243496641</v>
      </c>
    </row>
    <row r="2844" spans="1:26" x14ac:dyDescent="0.2">
      <c r="A2844" s="1">
        <v>2842</v>
      </c>
      <c r="B2844" s="2" t="s">
        <v>601</v>
      </c>
      <c r="C2844" s="110" t="str">
        <f>HYPERLINK(AB2 &amp; "/wrench/sn_e3c1b09db7f45fe2e4e346ee2650d150/rendering/00.obj", "3.60401763916")</f>
        <v>3.60401763916</v>
      </c>
      <c r="D2844" s="30" t="str">
        <f>HYPERLINK(AB2 &amp; "/wrench/sn_e3c1b09db7f45fe2e4e346ee2650d150/rendering/01.obj", "3.98251342773")</f>
        <v>3.98251342773</v>
      </c>
      <c r="E2844" s="92" t="str">
        <f>HYPERLINK(AB2 &amp; "/wrench/sn_e3c1b09db7f45fe2e4e346ee2650d150/rendering/02.obj", "4.50537109375")</f>
        <v>4.50537109375</v>
      </c>
      <c r="F2844" s="23" t="str">
        <f>HYPERLINK(AB2 &amp; "/wrench/sn_e3c1b09db7f45fe2e4e346ee2650d150/rendering/03.obj", "4.16740661621")</f>
        <v>4.16740661621</v>
      </c>
      <c r="G2844" s="67" t="str">
        <f>HYPERLINK(AB2 &amp; "/wrench/sn_e3c1b09db7f45fe2e4e346ee2650d150/rendering/04.obj", "4.37268737793")</f>
        <v>4.37268737793</v>
      </c>
      <c r="H2844" s="6" t="str">
        <f>HYPERLINK(AB2 &amp; "/wrench/sn_e3c1b09db7f45fe2e4e346ee2650d150/rendering/05.obj", "3.81720153809")</f>
        <v>3.81720153809</v>
      </c>
      <c r="I2844" s="30" t="str">
        <f>HYPERLINK(AB2 &amp; "/wrench/sn_e3c1b09db7f45fe2e4e346ee2650d150/rendering/06.obj", "4.01980285645")</f>
        <v>4.01980285645</v>
      </c>
      <c r="J2844" s="33" t="str">
        <f>HYPERLINK(AB2 &amp; "/wrench/sn_e3c1b09db7f45fe2e4e346ee2650d150/rendering/07.obj", "3.57726379395")</f>
        <v>3.57726379395</v>
      </c>
      <c r="K2844" s="133" t="str">
        <f>HYPERLINK(AB2 &amp; "/wrench/sn_e3c1b09db7f45fe2e4e346ee2650d150/rendering/08.obj", "4.41037109375")</f>
        <v>4.41037109375</v>
      </c>
      <c r="L2844" s="48" t="str">
        <f>HYPERLINK(AB2 &amp; "/wrench/sn_e3c1b09db7f45fe2e4e346ee2650d150/rendering/09.obj", "4.10539581299")</f>
        <v>4.10539581299</v>
      </c>
      <c r="M2844" s="34" t="str">
        <f>HYPERLINK(AB2 &amp; "/wrench/sn_e3c1b09db7f45fe2e4e346ee2650d150/rendering/10.obj", "3.80907775879")</f>
        <v>3.80907775879</v>
      </c>
      <c r="N2844" s="26" t="str">
        <f>HYPERLINK(AB2 &amp; "/wrench/sn_e3c1b09db7f45fe2e4e346ee2650d150/rendering/11.obj", "4.26635681152")</f>
        <v>4.26635681152</v>
      </c>
      <c r="O2844" s="48" t="str">
        <f>HYPERLINK(AB2 &amp; "/wrench/sn_e3c1b09db7f45fe2e4e346ee2650d150/rendering/12.obj", "3.90936767578")</f>
        <v>3.90936767578</v>
      </c>
      <c r="P2844" s="69" t="str">
        <f>HYPERLINK(AB2 &amp; "/wrench/sn_e3c1b09db7f45fe2e4e346ee2650d150/rendering/13.obj", "4.12790374756")</f>
        <v>4.12790374756</v>
      </c>
      <c r="Q2844" s="63" t="str">
        <f>HYPERLINK(AB2 &amp; "/wrench/sn_e3c1b09db7f45fe2e4e346ee2650d150/rendering/14.obj", "3.51548400879")</f>
        <v>3.51548400879</v>
      </c>
      <c r="R2844" s="68" t="str">
        <f>HYPERLINK(AB2 &amp; "/wrench/sn_e3c1b09db7f45fe2e4e346ee2650d150/rendering/15.obj", "3.83925201416")</f>
        <v>3.83925201416</v>
      </c>
      <c r="S2844" s="30" t="str">
        <f>HYPERLINK(AB2 &amp; "/wrench/sn_e3c1b09db7f45fe2e4e346ee2650d150/rendering/16.obj", "4.02655273438")</f>
        <v>4.02655273438</v>
      </c>
      <c r="T2844" s="35" t="str">
        <f>HYPERLINK(AB2 &amp; "/wrench/sn_e3c1b09db7f45fe2e4e346ee2650d150/rendering/17.obj", "3.77643981934")</f>
        <v>3.77643981934</v>
      </c>
      <c r="U2844" s="27" t="str">
        <f>HYPERLINK(AB2 &amp; "/wrench/sn_e3c1b09db7f45fe2e4e346ee2650d150/rendering/18.obj", "4.28731109619")</f>
        <v>4.28731109619</v>
      </c>
      <c r="V2844" s="30" t="str">
        <f>HYPERLINK(AB2 &amp; "/wrench/sn_e3c1b09db7f45fe2e4e346ee2650d150/rendering/19.obj", "3.99167785645")</f>
        <v>3.99167785645</v>
      </c>
      <c r="W2844" s="12" t="s">
        <v>31</v>
      </c>
      <c r="X2844" s="13">
        <v>4.0055727386474604</v>
      </c>
      <c r="Y2844" s="13">
        <v>0.27355997247418479</v>
      </c>
      <c r="Z2844" s="41">
        <v>6.8294845786911432E-2</v>
      </c>
    </row>
    <row r="2845" spans="1:26" x14ac:dyDescent="0.2">
      <c r="A2845" s="1">
        <v>2843</v>
      </c>
      <c r="B2845" s="2" t="s">
        <v>601</v>
      </c>
      <c r="C2845" s="106" t="str">
        <f>HYPERLINK(AB2 &amp; "/wrench/sn_e3c1b09db7f45fe2e4e346ee2650d150/rendering/00.obj", "1.48252677917")</f>
        <v>1.48252677917</v>
      </c>
      <c r="D2845" s="63" t="str">
        <f>HYPERLINK(AB2 &amp; "/wrench/sn_e3c1b09db7f45fe2e4e346ee2650d150/rendering/01.obj", "1.16916823387")</f>
        <v>1.16916823387</v>
      </c>
      <c r="E2845" s="24" t="str">
        <f>HYPERLINK(AB2 &amp; "/wrench/sn_e3c1b09db7f45fe2e4e346ee2650d150/rendering/02.obj", "1.55603384972")</f>
        <v>1.55603384972</v>
      </c>
      <c r="F2845" s="26" t="str">
        <f>HYPERLINK(AB2 &amp; "/wrench/sn_e3c1b09db7f45fe2e4e346ee2650d150/rendering/03.obj", "1.24595093727")</f>
        <v>1.24595093727</v>
      </c>
      <c r="G2845" s="10" t="str">
        <f>HYPERLINK(AB2 &amp; "/wrench/sn_e3c1b09db7f45fe2e4e346ee2650d150/rendering/04.obj", "1.25789880753")</f>
        <v>1.25789880753</v>
      </c>
      <c r="H2845" s="33" t="str">
        <f>HYPERLINK(AB2 &amp; "/wrench/sn_e3c1b09db7f45fe2e4e346ee2650d150/rendering/05.obj", "1.18701648712")</f>
        <v>1.18701648712</v>
      </c>
      <c r="I2845" s="78" t="str">
        <f>HYPERLINK(AB2 &amp; "/wrench/sn_e3c1b09db7f45fe2e4e346ee2650d150/rendering/06.obj", "1.41413342953")</f>
        <v>1.41413342953</v>
      </c>
      <c r="J2845" s="23" t="str">
        <f>HYPERLINK(AB2 &amp; "/wrench/sn_e3c1b09db7f45fe2e4e346ee2650d150/rendering/07.obj", "1.28012359142")</f>
        <v>1.28012359142</v>
      </c>
      <c r="K2845" s="35" t="str">
        <f>HYPERLINK(AB2 &amp; "/wrench/sn_e3c1b09db7f45fe2e4e346ee2650d150/rendering/08.obj", "1.40678215027")</f>
        <v>1.40678215027</v>
      </c>
      <c r="L2845" s="30" t="str">
        <f>HYPERLINK(AB2 &amp; "/wrench/sn_e3c1b09db7f45fe2e4e346ee2650d150/rendering/09.obj", "1.33817446232")</f>
        <v>1.33817446232</v>
      </c>
      <c r="M2845" s="60" t="str">
        <f>HYPERLINK(AB2 &amp; "/wrench/sn_e3c1b09db7f45fe2e4e346ee2650d150/rendering/10.obj", "1.26319348812")</f>
        <v>1.26319348812</v>
      </c>
      <c r="N2845" s="92" t="str">
        <f>HYPERLINK(AB2 &amp; "/wrench/sn_e3c1b09db7f45fe2e4e346ee2650d150/rendering/11.obj", "1.16502916813")</f>
        <v>1.16502916813</v>
      </c>
      <c r="O2845" s="46" t="str">
        <f>HYPERLINK(AB2 &amp; "/wrench/sn_e3c1b09db7f45fe2e4e346ee2650d150/rendering/12.obj", "1.30784583092")</f>
        <v>1.30784583092</v>
      </c>
      <c r="P2845" s="46" t="str">
        <f>HYPERLINK(AB2 &amp; "/wrench/sn_e3c1b09db7f45fe2e4e346ee2650d150/rendering/13.obj", "1.35491681099")</f>
        <v>1.35491681099</v>
      </c>
      <c r="Q2845" s="11" t="str">
        <f>HYPERLINK(AB2 &amp; "/wrench/sn_e3c1b09db7f45fe2e4e346ee2650d150/rendering/14.obj", "1.63118064404")</f>
        <v>1.63118064404</v>
      </c>
      <c r="R2845" s="106" t="str">
        <f>HYPERLINK(AB2 &amp; "/wrench/sn_e3c1b09db7f45fe2e4e346ee2650d150/rendering/15.obj", "1.1776072979")</f>
        <v>1.1776072979</v>
      </c>
      <c r="S2845" s="74" t="str">
        <f>HYPERLINK(AB2 &amp; "/wrench/sn_e3c1b09db7f45fe2e4e346ee2650d150/rendering/16.obj", "1.34987318516")</f>
        <v>1.34987318516</v>
      </c>
      <c r="T2845" s="26" t="str">
        <f>HYPERLINK(AB2 &amp; "/wrench/sn_e3c1b09db7f45fe2e4e346ee2650d150/rendering/17.obj", "1.41456222534")</f>
        <v>1.41456222534</v>
      </c>
      <c r="U2845" s="67" t="str">
        <f>HYPERLINK(AB2 &amp; "/wrench/sn_e3c1b09db7f45fe2e4e346ee2650d150/rendering/18.obj", "1.45301008224")</f>
        <v>1.45301008224</v>
      </c>
      <c r="V2845" s="70" t="str">
        <f>HYPERLINK(AB2 &amp; "/wrench/sn_e3c1b09db7f45fe2e4e346ee2650d150/rendering/19.obj", "1.1624250412")</f>
        <v>1.1624250412</v>
      </c>
      <c r="W2845" s="12" t="s">
        <v>32</v>
      </c>
      <c r="X2845" s="13">
        <v>1.330872625112534</v>
      </c>
      <c r="Y2845" s="13">
        <v>0.13151518660214159</v>
      </c>
      <c r="Z2845" s="110">
        <v>9.8818763058576828E-2</v>
      </c>
    </row>
    <row r="2846" spans="1:26" x14ac:dyDescent="0.2">
      <c r="A2846" s="1">
        <v>2844</v>
      </c>
      <c r="B2846" s="2" t="s">
        <v>601</v>
      </c>
      <c r="C2846" s="13" t="str">
        <f>HYPERLINK(AC2 &amp; "/wrench/sn_e3c1b09db7f45fe2e4e346ee2650d150/rendering/00.xyz", "0.0")</f>
        <v>0.0</v>
      </c>
      <c r="D2846" s="13" t="str">
        <f>HYPERLINK(AC2 &amp; "/wrench/sn_e3c1b09db7f45fe2e4e346ee2650d150/rendering/01.xyz", "0.0")</f>
        <v>0.0</v>
      </c>
      <c r="E2846" s="13" t="str">
        <f>HYPERLINK(AC2 &amp; "/wrench/sn_e3c1b09db7f45fe2e4e346ee2650d150/rendering/02.xyz", "0.0")</f>
        <v>0.0</v>
      </c>
      <c r="F2846" s="13" t="str">
        <f>HYPERLINK(AC2 &amp; "/wrench/sn_e3c1b09db7f45fe2e4e346ee2650d150/rendering/03.xyz", "0.0")</f>
        <v>0.0</v>
      </c>
      <c r="G2846" s="13" t="str">
        <f>HYPERLINK(AC2 &amp; "/wrench/sn_e3c1b09db7f45fe2e4e346ee2650d150/rendering/04.xyz", "0.0")</f>
        <v>0.0</v>
      </c>
      <c r="H2846" s="13" t="str">
        <f>HYPERLINK(AC2 &amp; "/wrench/sn_e3c1b09db7f45fe2e4e346ee2650d150/rendering/05.xyz", "0.0")</f>
        <v>0.0</v>
      </c>
      <c r="I2846" s="13" t="str">
        <f>HYPERLINK(AC2 &amp; "/wrench/sn_e3c1b09db7f45fe2e4e346ee2650d150/rendering/06.xyz", "0.0")</f>
        <v>0.0</v>
      </c>
      <c r="J2846" s="13" t="str">
        <f>HYPERLINK(AC2 &amp; "/wrench/sn_e3c1b09db7f45fe2e4e346ee2650d150/rendering/07.xyz", "0.0")</f>
        <v>0.0</v>
      </c>
      <c r="K2846" s="13" t="str">
        <f>HYPERLINK(AC2 &amp; "/wrench/sn_e3c1b09db7f45fe2e4e346ee2650d150/rendering/08.xyz", "0.0")</f>
        <v>0.0</v>
      </c>
      <c r="L2846" s="13" t="str">
        <f>HYPERLINK(AC2 &amp; "/wrench/sn_e3c1b09db7f45fe2e4e346ee2650d150/rendering/09.xyz", "0.0")</f>
        <v>0.0</v>
      </c>
      <c r="M2846" s="13" t="str">
        <f>HYPERLINK(AC2 &amp; "/wrench/sn_e3c1b09db7f45fe2e4e346ee2650d150/rendering/10.xyz", "0.0")</f>
        <v>0.0</v>
      </c>
      <c r="N2846" s="13" t="str">
        <f>HYPERLINK(AC2 &amp; "/wrench/sn_e3c1b09db7f45fe2e4e346ee2650d150/rendering/11.xyz", "0.0")</f>
        <v>0.0</v>
      </c>
      <c r="O2846" s="13" t="str">
        <f>HYPERLINK(AC2 &amp; "/wrench/sn_e3c1b09db7f45fe2e4e346ee2650d150/rendering/12.xyz", "0.0")</f>
        <v>0.0</v>
      </c>
      <c r="P2846" s="13" t="str">
        <f>HYPERLINK(AC2 &amp; "/wrench/sn_e3c1b09db7f45fe2e4e346ee2650d150/rendering/13.xyz", "0.0")</f>
        <v>0.0</v>
      </c>
      <c r="Q2846" s="13" t="str">
        <f>HYPERLINK(AC2 &amp; "/wrench/sn_e3c1b09db7f45fe2e4e346ee2650d150/rendering/14.xyz", "0.0")</f>
        <v>0.0</v>
      </c>
      <c r="R2846" s="13" t="str">
        <f>HYPERLINK(AC2 &amp; "/wrench/sn_e3c1b09db7f45fe2e4e346ee2650d150/rendering/15.xyz", "0.0")</f>
        <v>0.0</v>
      </c>
      <c r="S2846" s="13" t="str">
        <f>HYPERLINK(AC2 &amp; "/wrench/sn_e3c1b09db7f45fe2e4e346ee2650d150/rendering/16.xyz", "0.0")</f>
        <v>0.0</v>
      </c>
      <c r="T2846" s="13" t="str">
        <f>HYPERLINK(AC2 &amp; "/wrench/sn_e3c1b09db7f45fe2e4e346ee2650d150/rendering/17.xyz", "0.0")</f>
        <v>0.0</v>
      </c>
      <c r="U2846" s="13" t="str">
        <f>HYPERLINK(AC2 &amp; "/wrench/sn_e3c1b09db7f45fe2e4e346ee2650d150/rendering/18.xyz", "0.0")</f>
        <v>0.0</v>
      </c>
      <c r="V2846" s="13" t="str">
        <f>HYPERLINK(AC2 &amp; "/wrench/sn_e3c1b09db7f45fe2e4e346ee2650d150/rendering/19.xyz", "0.0")</f>
        <v>0.0</v>
      </c>
      <c r="W2846" s="12" t="s">
        <v>33</v>
      </c>
      <c r="X2846" s="13">
        <v>0</v>
      </c>
      <c r="Y2846" s="13">
        <v>0</v>
      </c>
      <c r="Z2846" s="13">
        <v>0</v>
      </c>
    </row>
    <row r="2847" spans="1:26" x14ac:dyDescent="0.2">
      <c r="A2847" s="1">
        <v>2845</v>
      </c>
      <c r="B2847" s="2" t="s">
        <v>602</v>
      </c>
      <c r="C2847" s="74" t="str">
        <f>HYPERLINK(AA2 &amp; "/wrench/sn_e5565841c62ca62b71010004e0594e66/rendering/00.obj", "1.76809188843")</f>
        <v>1.76809188843</v>
      </c>
      <c r="D2847" s="133" t="str">
        <f>HYPERLINK(AA2 &amp; "/wrench/sn_e5565841c62ca62b71010004e0594e66/rendering/01.obj", "1.56399230957")</f>
        <v>1.56399230957</v>
      </c>
      <c r="E2847" s="51" t="str">
        <f>HYPERLINK(AA2 &amp; "/wrench/sn_e5565841c62ca62b71010004e0594e66/rendering/02.obj", "1.60225463867")</f>
        <v>1.60225463867</v>
      </c>
      <c r="F2847" s="69" t="str">
        <f>HYPERLINK(AA2 &amp; "/wrench/sn_e5565841c62ca62b71010004e0594e66/rendering/03.obj", "1.69343215942")</f>
        <v>1.69343215942</v>
      </c>
      <c r="G2847" s="60" t="str">
        <f>HYPERLINK(AA2 &amp; "/wrench/sn_e5565841c62ca62b71010004e0594e66/rendering/04.obj", "1.8337852478")</f>
        <v>1.8337852478</v>
      </c>
      <c r="H2847" s="40" t="str">
        <f>HYPERLINK(AA2 &amp; "/wrench/sn_e5565841c62ca62b71010004e0594e66/rendering/05.obj", "1.44316665649")</f>
        <v>1.44316665649</v>
      </c>
      <c r="I2847" s="30" t="str">
        <f>HYPERLINK(AA2 &amp; "/wrench/sn_e5565841c62ca62b71010004e0594e66/rendering/06.obj", "1.73423248291")</f>
        <v>1.73423248291</v>
      </c>
      <c r="J2847" s="106" t="str">
        <f>HYPERLINK(AA2 &amp; "/wrench/sn_e5565841c62ca62b71010004e0594e66/rendering/07.obj", "1.54532608032")</f>
        <v>1.54532608032</v>
      </c>
      <c r="K2847" s="179" t="str">
        <f>HYPERLINK(AA2 &amp; "/wrench/sn_e5565841c62ca62b71010004e0594e66/rendering/08.obj", "2.49000335693")</f>
        <v>2.49000335693</v>
      </c>
      <c r="L2847" s="72" t="str">
        <f>HYPERLINK(AA2 &amp; "/wrench/sn_e5565841c62ca62b71010004e0594e66/rendering/09.obj", "1.79947357178")</f>
        <v>1.79947357178</v>
      </c>
      <c r="M2847" s="79" t="str">
        <f>HYPERLINK(AA2 &amp; "/wrench/sn_e5565841c62ca62b71010004e0594e66/rendering/10.obj", "2.02200897217")</f>
        <v>2.02200897217</v>
      </c>
      <c r="N2847" s="93" t="str">
        <f>HYPERLINK(AA2 &amp; "/wrench/sn_e5565841c62ca62b71010004e0594e66/rendering/11.obj", "1.5004019165")</f>
        <v>1.5004019165</v>
      </c>
      <c r="O2847" s="122" t="str">
        <f>HYPERLINK(AA2 &amp; "/wrench/sn_e5565841c62ca62b71010004e0594e66/rendering/12.obj", "2.44401977539")</f>
        <v>2.44401977539</v>
      </c>
      <c r="P2847" s="39" t="str">
        <f>HYPERLINK(AA2 &amp; "/wrench/sn_e5565841c62ca62b71010004e0594e66/rendering/13.obj", "1.59340515137")</f>
        <v>1.59340515137</v>
      </c>
      <c r="Q2847" s="39" t="str">
        <f>HYPERLINK(AA2 &amp; "/wrench/sn_e5565841c62ca62b71010004e0594e66/rendering/14.obj", "1.59187957764")</f>
        <v>1.59187957764</v>
      </c>
      <c r="R2847" s="24" t="str">
        <f>HYPERLINK(AA2 &amp; "/wrench/sn_e5565841c62ca62b71010004e0594e66/rendering/15.obj", "1.45312011719")</f>
        <v>1.45312011719</v>
      </c>
      <c r="S2847" s="129" t="str">
        <f>HYPERLINK(AA2 &amp; "/wrench/sn_e5565841c62ca62b71010004e0594e66/rendering/16.obj", "1.30642242432")</f>
        <v>1.30642242432</v>
      </c>
      <c r="T2847" s="110" t="str">
        <f>HYPERLINK(AA2 &amp; "/wrench/sn_e5565841c62ca62b71010004e0594e66/rendering/17.obj", "1.57033569336")</f>
        <v>1.57033569336</v>
      </c>
      <c r="U2847" s="86" t="str">
        <f>HYPERLINK(AA2 &amp; "/wrench/sn_e5565841c62ca62b71010004e0594e66/rendering/18.obj", "2.20880584717")</f>
        <v>2.20880584717</v>
      </c>
      <c r="V2847" s="17" t="str">
        <f>HYPERLINK(AA2 &amp; "/wrench/sn_e5565841c62ca62b71010004e0594e66/rendering/19.obj", "1.70593719482")</f>
        <v>1.70593719482</v>
      </c>
      <c r="W2847" s="12" t="s">
        <v>29</v>
      </c>
      <c r="X2847" s="13">
        <v>1.743504753112793</v>
      </c>
      <c r="Y2847" s="13">
        <v>0.31221532643825423</v>
      </c>
      <c r="Z2847" s="134">
        <v>0.17907340136632019</v>
      </c>
    </row>
    <row r="2848" spans="1:26" x14ac:dyDescent="0.2">
      <c r="A2848" s="1">
        <v>2846</v>
      </c>
      <c r="B2848" s="2" t="s">
        <v>602</v>
      </c>
      <c r="C2848" s="170" t="str">
        <f>HYPERLINK(AA2 &amp; "/wrench/sn_e5565841c62ca62b71010004e0594e66/rendering/00.obj", "1.59101855755")</f>
        <v>1.59101855755</v>
      </c>
      <c r="D2848" s="138" t="str">
        <f>HYPERLINK(AA2 &amp; "/wrench/sn_e5565841c62ca62b71010004e0594e66/rendering/01.obj", "1.40817296505")</f>
        <v>1.40817296505</v>
      </c>
      <c r="E2848" s="158" t="str">
        <f>HYPERLINK(AA2 &amp; "/wrench/sn_e5565841c62ca62b71010004e0594e66/rendering/02.obj", "1.25445985794")</f>
        <v>1.25445985794</v>
      </c>
      <c r="F2848" s="64" t="str">
        <f>HYPERLINK(AA2 &amp; "/wrench/sn_e5565841c62ca62b71010004e0594e66/rendering/03.obj", "1.77406561375")</f>
        <v>1.77406561375</v>
      </c>
      <c r="G2848" s="37" t="str">
        <f>HYPERLINK(AA2 &amp; "/wrench/sn_e5565841c62ca62b71010004e0594e66/rendering/04.obj", "2.49851369858")</f>
        <v>2.49851369858</v>
      </c>
      <c r="H2848" s="95" t="str">
        <f>HYPERLINK(AA2 &amp; "/wrench/sn_e5565841c62ca62b71010004e0594e66/rendering/05.obj", "1.53053069115")</f>
        <v>1.53053069115</v>
      </c>
      <c r="I2848" s="101" t="str">
        <f>HYPERLINK(AA2 &amp; "/wrench/sn_e5565841c62ca62b71010004e0594e66/rendering/06.obj", "1.32320022583")</f>
        <v>1.32320022583</v>
      </c>
      <c r="J2848" s="137" t="str">
        <f>HYPERLINK(AA2 &amp; "/wrench/sn_e5565841c62ca62b71010004e0594e66/rendering/07.obj", "1.35206449032")</f>
        <v>1.35206449032</v>
      </c>
      <c r="K2848" s="20" t="str">
        <f>HYPERLINK(AA2 &amp; "/wrench/sn_e5565841c62ca62b71010004e0594e66/rendering/08.obj", "5.77189540863")</f>
        <v>5.77189540863</v>
      </c>
      <c r="L2848" s="76" t="str">
        <f>HYPERLINK(AA2 &amp; "/wrench/sn_e5565841c62ca62b71010004e0594e66/rendering/09.obj", "1.73573374748")</f>
        <v>1.73573374748</v>
      </c>
      <c r="M2848" s="212" t="str">
        <f>HYPERLINK(AA2 &amp; "/wrench/sn_e5565841c62ca62b71010004e0594e66/rendering/10.obj", "3.04804348946")</f>
        <v>3.04804348946</v>
      </c>
      <c r="N2848" s="82" t="str">
        <f>HYPERLINK(AA2 &amp; "/wrench/sn_e5565841c62ca62b71010004e0594e66/rendering/11.obj", "1.68836975098")</f>
        <v>1.68836975098</v>
      </c>
      <c r="O2848" s="20" t="str">
        <f>HYPERLINK(AA2 &amp; "/wrench/sn_e5565841c62ca62b71010004e0594e66/rendering/12.obj", "4.16730976105")</f>
        <v>4.16730976105</v>
      </c>
      <c r="P2848" s="108" t="str">
        <f>HYPERLINK(AA2 &amp; "/wrench/sn_e5565841c62ca62b71010004e0594e66/rendering/13.obj", "1.60602939129")</f>
        <v>1.60602939129</v>
      </c>
      <c r="Q2848" s="166" t="str">
        <f>HYPERLINK(AA2 &amp; "/wrench/sn_e5565841c62ca62b71010004e0594e66/rendering/14.obj", "1.51457262039")</f>
        <v>1.51457262039</v>
      </c>
      <c r="R2848" s="113" t="str">
        <f>HYPERLINK(AA2 &amp; "/wrench/sn_e5565841c62ca62b71010004e0594e66/rendering/15.obj", "1.54638397694")</f>
        <v>1.54638397694</v>
      </c>
      <c r="S2848" s="7" t="str">
        <f>HYPERLINK(AA2 &amp; "/wrench/sn_e5565841c62ca62b71010004e0594e66/rendering/16.obj", "1.53384780884")</f>
        <v>1.53384780884</v>
      </c>
      <c r="T2848" s="57" t="str">
        <f>HYPERLINK(AA2 &amp; "/wrench/sn_e5565841c62ca62b71010004e0594e66/rendering/17.obj", "1.45650684834")</f>
        <v>1.45650684834</v>
      </c>
      <c r="U2848" s="238" t="str">
        <f>HYPERLINK(AA2 &amp; "/wrench/sn_e5565841c62ca62b71010004e0594e66/rendering/18.obj", "3.62575888634")</f>
        <v>3.62575888634</v>
      </c>
      <c r="V2848" s="13" t="str">
        <f>HYPERLINK(AA2 &amp; "/wrench/sn_e5565841c62ca62b71010004e0594e66/rendering/19.obj", "2.12874746323")</f>
        <v>2.12874746323</v>
      </c>
      <c r="W2848" s="12" t="s">
        <v>30</v>
      </c>
      <c r="X2848" s="13">
        <v>2.127761262655258</v>
      </c>
      <c r="Y2848" s="13">
        <v>1.1424421388570321</v>
      </c>
      <c r="Z2848" s="150">
        <v>0.53692214390225568</v>
      </c>
    </row>
    <row r="2849" spans="1:26" x14ac:dyDescent="0.2">
      <c r="A2849" s="1">
        <v>2847</v>
      </c>
      <c r="B2849" s="2" t="s">
        <v>602</v>
      </c>
      <c r="C2849" s="14" t="str">
        <f>HYPERLINK(AB2 &amp; "/wrench/sn_e5565841c62ca62b71010004e0594e66/rendering/00.obj", "1.91148117065")</f>
        <v>1.91148117065</v>
      </c>
      <c r="D2849" s="8" t="str">
        <f>HYPERLINK(AB2 &amp; "/wrench/sn_e5565841c62ca62b71010004e0594e66/rendering/01.obj", "1.26693092346")</f>
        <v>1.26693092346</v>
      </c>
      <c r="E2849" s="29" t="str">
        <f>HYPERLINK(AB2 &amp; "/wrench/sn_e5565841c62ca62b71010004e0594e66/rendering/02.obj", "1.67104797363")</f>
        <v>1.67104797363</v>
      </c>
      <c r="F2849" s="76" t="str">
        <f>HYPERLINK(AB2 &amp; "/wrench/sn_e5565841c62ca62b71010004e0594e66/rendering/03.obj", "1.75261749268")</f>
        <v>1.75261749268</v>
      </c>
      <c r="G2849" s="69" t="str">
        <f>HYPERLINK(AB2 &amp; "/wrench/sn_e5565841c62ca62b71010004e0594e66/rendering/04.obj", "1.43488739014")</f>
        <v>1.43488739014</v>
      </c>
      <c r="H2849" s="68" t="str">
        <f>HYPERLINK(AB2 &amp; "/wrench/sn_e5565841c62ca62b71010004e0594e66/rendering/05.obj", "1.41934310913")</f>
        <v>1.41934310913</v>
      </c>
      <c r="I2849" s="23" t="str">
        <f>HYPERLINK(AB2 &amp; "/wrench/sn_e5565841c62ca62b71010004e0594e66/rendering/06.obj", "1.53679855347")</f>
        <v>1.53679855347</v>
      </c>
      <c r="J2849" s="65" t="str">
        <f>HYPERLINK(AB2 &amp; "/wrench/sn_e5565841c62ca62b71010004e0594e66/rendering/07.obj", "1.28131011963")</f>
        <v>1.28131011963</v>
      </c>
      <c r="K2849" s="68" t="str">
        <f>HYPERLINK(AB2 &amp; "/wrench/sn_e5565841c62ca62b71010004e0594e66/rendering/08.obj", "1.54411483765")</f>
        <v>1.54411483765</v>
      </c>
      <c r="L2849" s="30" t="str">
        <f>HYPERLINK(AB2 &amp; "/wrench/sn_e5565841c62ca62b71010004e0594e66/rendering/09.obj", "1.48945526123")</f>
        <v>1.48945526123</v>
      </c>
      <c r="M2849" s="68" t="str">
        <f>HYPERLINK(AB2 &amp; "/wrench/sn_e5565841c62ca62b71010004e0594e66/rendering/10.obj", "1.54128387451")</f>
        <v>1.54128387451</v>
      </c>
      <c r="N2849" s="84" t="str">
        <f>HYPERLINK(AB2 &amp; "/wrench/sn_e5565841c62ca62b71010004e0594e66/rendering/11.obj", "1.26548446655")</f>
        <v>1.26548446655</v>
      </c>
      <c r="O2849" s="71" t="str">
        <f>HYPERLINK(AB2 &amp; "/wrench/sn_e5565841c62ca62b71010004e0594e66/rendering/12.obj", "1.30678604126")</f>
        <v>1.30678604126</v>
      </c>
      <c r="P2849" s="91" t="str">
        <f>HYPERLINK(AB2 &amp; "/wrench/sn_e5565841c62ca62b71010004e0594e66/rendering/13.obj", "1.52149383545")</f>
        <v>1.52149383545</v>
      </c>
      <c r="Q2849" s="134" t="str">
        <f>HYPERLINK(AB2 &amp; "/wrench/sn_e5565841c62ca62b71010004e0594e66/rendering/14.obj", "1.21521560669")</f>
        <v>1.21521560669</v>
      </c>
      <c r="R2849" s="93" t="str">
        <f>HYPERLINK(AB2 &amp; "/wrench/sn_e5565841c62ca62b71010004e0594e66/rendering/15.obj", "1.68821166992")</f>
        <v>1.68821166992</v>
      </c>
      <c r="S2849" s="76" t="str">
        <f>HYPERLINK(AB2 &amp; "/wrench/sn_e5565841c62ca62b71010004e0594e66/rendering/16.obj", "1.21022079468")</f>
        <v>1.21022079468</v>
      </c>
      <c r="T2849" s="25" t="str">
        <f>HYPERLINK(AB2 &amp; "/wrench/sn_e5565841c62ca62b71010004e0594e66/rendering/17.obj", "1.46461547852")</f>
        <v>1.46461547852</v>
      </c>
      <c r="U2849" s="41" t="str">
        <f>HYPERLINK(AB2 &amp; "/wrench/sn_e5565841c62ca62b71010004e0594e66/rendering/18.obj", "1.38227218628")</f>
        <v>1.38227218628</v>
      </c>
      <c r="V2849" s="83" t="str">
        <f>HYPERLINK(AB2 &amp; "/wrench/sn_e5565841c62ca62b71010004e0594e66/rendering/19.obj", "1.70378112793")</f>
        <v>1.70378112793</v>
      </c>
      <c r="W2849" s="12" t="s">
        <v>31</v>
      </c>
      <c r="X2849" s="13">
        <v>1.4803675956726079</v>
      </c>
      <c r="Y2849" s="13">
        <v>0.19008105602643821</v>
      </c>
      <c r="Z2849" s="70">
        <v>0.12840125424393289</v>
      </c>
    </row>
    <row r="2850" spans="1:26" x14ac:dyDescent="0.2">
      <c r="A2850" s="1">
        <v>2848</v>
      </c>
      <c r="B2850" s="2" t="s">
        <v>602</v>
      </c>
      <c r="C2850" s="239" t="str">
        <f>HYPERLINK(AB2 &amp; "/wrench/sn_e5565841c62ca62b71010004e0594e66/rendering/00.obj", "2.26005220413")</f>
        <v>2.26005220413</v>
      </c>
      <c r="D2850" s="65" t="str">
        <f>HYPERLINK(AB2 &amp; "/wrench/sn_e5565841c62ca62b71010004e0594e66/rendering/01.obj", "1.21998202801")</f>
        <v>1.21998202801</v>
      </c>
      <c r="E2850" s="46" t="str">
        <f>HYPERLINK(AB2 &amp; "/wrench/sn_e5565841c62ca62b71010004e0594e66/rendering/02.obj", "1.43107485771")</f>
        <v>1.43107485771</v>
      </c>
      <c r="F2850" s="39" t="str">
        <f>HYPERLINK(AB2 &amp; "/wrench/sn_e5565841c62ca62b71010004e0594e66/rendering/03.obj", "1.28567361832")</f>
        <v>1.28567361832</v>
      </c>
      <c r="G2850" s="48" t="str">
        <f>HYPERLINK(AB2 &amp; "/wrench/sn_e5565841c62ca62b71010004e0594e66/rendering/04.obj", "1.37168669701")</f>
        <v>1.37168669701</v>
      </c>
      <c r="H2850" s="149" t="str">
        <f>HYPERLINK(AB2 &amp; "/wrench/sn_e5565841c62ca62b71010004e0594e66/rendering/05.obj", "1.8868304491")</f>
        <v>1.8868304491</v>
      </c>
      <c r="I2850" s="33" t="str">
        <f>HYPERLINK(AB2 &amp; "/wrench/sn_e5565841c62ca62b71010004e0594e66/rendering/06.obj", "1.25407207012")</f>
        <v>1.25407207012</v>
      </c>
      <c r="J2850" s="37" t="str">
        <f>HYPERLINK(AB2 &amp; "/wrench/sn_e5565841c62ca62b71010004e0594e66/rendering/07.obj", "1.16160058975")</f>
        <v>1.16160058975</v>
      </c>
      <c r="K2850" s="13" t="str">
        <f>HYPERLINK(AB2 &amp; "/wrench/sn_e5565841c62ca62b71010004e0594e66/rendering/08.obj", "1.40880250931")</f>
        <v>1.40880250931</v>
      </c>
      <c r="L2850" s="91" t="str">
        <f>HYPERLINK(AB2 &amp; "/wrench/sn_e5565841c62ca62b71010004e0594e66/rendering/09.obj", "1.36584663391")</f>
        <v>1.36584663391</v>
      </c>
      <c r="M2850" s="63" t="str">
        <f>HYPERLINK(AB2 &amp; "/wrench/sn_e5565841c62ca62b71010004e0594e66/rendering/10.obj", "1.57547783852")</f>
        <v>1.57547783852</v>
      </c>
      <c r="N2850" s="70" t="str">
        <f>HYPERLINK(AB2 &amp; "/wrench/sn_e5565841c62ca62b71010004e0594e66/rendering/11.obj", "1.2251021862")</f>
        <v>1.2251021862</v>
      </c>
      <c r="O2850" s="90" t="str">
        <f>HYPERLINK(AB2 &amp; "/wrench/sn_e5565841c62ca62b71010004e0594e66/rendering/12.obj", "1.27169978619")</f>
        <v>1.27169978619</v>
      </c>
      <c r="P2850" s="29" t="str">
        <f>HYPERLINK(AB2 &amp; "/wrench/sn_e5565841c62ca62b71010004e0594e66/rendering/13.obj", "1.22296512127")</f>
        <v>1.22296512127</v>
      </c>
      <c r="Q2850" s="90" t="str">
        <f>HYPERLINK(AB2 &amp; "/wrench/sn_e5565841c62ca62b71010004e0594e66/rendering/14.obj", "1.27012217045")</f>
        <v>1.27012217045</v>
      </c>
      <c r="R2850" s="92" t="str">
        <f>HYPERLINK(AB2 &amp; "/wrench/sn_e5565841c62ca62b71010004e0594e66/rendering/15.obj", "1.57919692993")</f>
        <v>1.57919692993</v>
      </c>
      <c r="S2850" s="67" t="str">
        <f>HYPERLINK(AB2 &amp; "/wrench/sn_e5565841c62ca62b71010004e0594e66/rendering/16.obj", "1.275172472")</f>
        <v>1.275172472</v>
      </c>
      <c r="T2850" s="80" t="str">
        <f>HYPERLINK(AB2 &amp; "/wrench/sn_e5565841c62ca62b71010004e0594e66/rendering/17.obj", "1.19373846054")</f>
        <v>1.19373846054</v>
      </c>
      <c r="U2850" s="51" t="str">
        <f>HYPERLINK(AB2 &amp; "/wrench/sn_e5565841c62ca62b71010004e0594e66/rendering/18.obj", "1.51673293114")</f>
        <v>1.51673293114</v>
      </c>
      <c r="V2850" s="60" t="str">
        <f>HYPERLINK(AB2 &amp; "/wrench/sn_e5565841c62ca62b71010004e0594e66/rendering/19.obj", "1.33104932308")</f>
        <v>1.33104932308</v>
      </c>
      <c r="W2850" s="12" t="s">
        <v>32</v>
      </c>
      <c r="X2850" s="13">
        <v>1.4053439438343049</v>
      </c>
      <c r="Y2850" s="13">
        <v>0.25859333818819458</v>
      </c>
      <c r="Z2850" s="76">
        <v>0.18400715306934409</v>
      </c>
    </row>
    <row r="2851" spans="1:26" x14ac:dyDescent="0.2">
      <c r="A2851" s="1">
        <v>2849</v>
      </c>
      <c r="B2851" s="2" t="s">
        <v>602</v>
      </c>
      <c r="C2851" s="13" t="str">
        <f>HYPERLINK(AC2 &amp; "/wrench/sn_e5565841c62ca62b71010004e0594e66/rendering/00.xyz", "0.0")</f>
        <v>0.0</v>
      </c>
      <c r="D2851" s="13" t="str">
        <f>HYPERLINK(AC2 &amp; "/wrench/sn_e5565841c62ca62b71010004e0594e66/rendering/01.xyz", "0.0")</f>
        <v>0.0</v>
      </c>
      <c r="E2851" s="13" t="str">
        <f>HYPERLINK(AC2 &amp; "/wrench/sn_e5565841c62ca62b71010004e0594e66/rendering/02.xyz", "0.0")</f>
        <v>0.0</v>
      </c>
      <c r="F2851" s="13" t="str">
        <f>HYPERLINK(AC2 &amp; "/wrench/sn_e5565841c62ca62b71010004e0594e66/rendering/03.xyz", "0.0")</f>
        <v>0.0</v>
      </c>
      <c r="G2851" s="13" t="str">
        <f>HYPERLINK(AC2 &amp; "/wrench/sn_e5565841c62ca62b71010004e0594e66/rendering/04.xyz", "0.0")</f>
        <v>0.0</v>
      </c>
      <c r="H2851" s="13" t="str">
        <f>HYPERLINK(AC2 &amp; "/wrench/sn_e5565841c62ca62b71010004e0594e66/rendering/05.xyz", "0.0")</f>
        <v>0.0</v>
      </c>
      <c r="I2851" s="13" t="str">
        <f>HYPERLINK(AC2 &amp; "/wrench/sn_e5565841c62ca62b71010004e0594e66/rendering/06.xyz", "0.0")</f>
        <v>0.0</v>
      </c>
      <c r="J2851" s="13" t="str">
        <f>HYPERLINK(AC2 &amp; "/wrench/sn_e5565841c62ca62b71010004e0594e66/rendering/07.xyz", "0.0")</f>
        <v>0.0</v>
      </c>
      <c r="K2851" s="13" t="str">
        <f>HYPERLINK(AC2 &amp; "/wrench/sn_e5565841c62ca62b71010004e0594e66/rendering/08.xyz", "0.0")</f>
        <v>0.0</v>
      </c>
      <c r="L2851" s="13" t="str">
        <f>HYPERLINK(AC2 &amp; "/wrench/sn_e5565841c62ca62b71010004e0594e66/rendering/09.xyz", "0.0")</f>
        <v>0.0</v>
      </c>
      <c r="M2851" s="13" t="str">
        <f>HYPERLINK(AC2 &amp; "/wrench/sn_e5565841c62ca62b71010004e0594e66/rendering/10.xyz", "0.0")</f>
        <v>0.0</v>
      </c>
      <c r="N2851" s="13" t="str">
        <f>HYPERLINK(AC2 &amp; "/wrench/sn_e5565841c62ca62b71010004e0594e66/rendering/11.xyz", "0.0")</f>
        <v>0.0</v>
      </c>
      <c r="O2851" s="13" t="str">
        <f>HYPERLINK(AC2 &amp; "/wrench/sn_e5565841c62ca62b71010004e0594e66/rendering/12.xyz", "0.0")</f>
        <v>0.0</v>
      </c>
      <c r="P2851" s="13" t="str">
        <f>HYPERLINK(AC2 &amp; "/wrench/sn_e5565841c62ca62b71010004e0594e66/rendering/13.xyz", "0.0")</f>
        <v>0.0</v>
      </c>
      <c r="Q2851" s="13" t="str">
        <f>HYPERLINK(AC2 &amp; "/wrench/sn_e5565841c62ca62b71010004e0594e66/rendering/14.xyz", "0.0")</f>
        <v>0.0</v>
      </c>
      <c r="R2851" s="13" t="str">
        <f>HYPERLINK(AC2 &amp; "/wrench/sn_e5565841c62ca62b71010004e0594e66/rendering/15.xyz", "0.0")</f>
        <v>0.0</v>
      </c>
      <c r="S2851" s="13" t="str">
        <f>HYPERLINK(AC2 &amp; "/wrench/sn_e5565841c62ca62b71010004e0594e66/rendering/16.xyz", "0.0")</f>
        <v>0.0</v>
      </c>
      <c r="T2851" s="13" t="str">
        <f>HYPERLINK(AC2 &amp; "/wrench/sn_e5565841c62ca62b71010004e0594e66/rendering/17.xyz", "0.0")</f>
        <v>0.0</v>
      </c>
      <c r="U2851" s="13" t="str">
        <f>HYPERLINK(AC2 &amp; "/wrench/sn_e5565841c62ca62b71010004e0594e66/rendering/18.xyz", "0.0")</f>
        <v>0.0</v>
      </c>
      <c r="V2851" s="13" t="str">
        <f>HYPERLINK(AC2 &amp; "/wrench/sn_e5565841c62ca62b71010004e0594e66/rendering/19.xyz", "0.0")</f>
        <v>0.0</v>
      </c>
      <c r="W2851" s="12" t="s">
        <v>33</v>
      </c>
      <c r="X2851" s="13">
        <v>0</v>
      </c>
      <c r="Y2851" s="13">
        <v>0</v>
      </c>
      <c r="Z2851" s="13">
        <v>0</v>
      </c>
    </row>
    <row r="2852" spans="1:26" x14ac:dyDescent="0.2">
      <c r="A2852" s="1">
        <v>2850</v>
      </c>
      <c r="B2852" s="2" t="s">
        <v>603</v>
      </c>
      <c r="C2852" s="76" t="str">
        <f>HYPERLINK(AA2 &amp; "/wrench/sn_e8915b2fb90011cce30c33fe0f006e74/rendering/00.obj", "10.9409484863")</f>
        <v>10.9409484863</v>
      </c>
      <c r="D2852" s="191" t="str">
        <f>HYPERLINK(AA2 &amp; "/wrench/sn_e8915b2fb90011cce30c33fe0f006e74/rendering/01.obj", "7.32205444336")</f>
        <v>7.32205444336</v>
      </c>
      <c r="E2852" s="20" t="str">
        <f>HYPERLINK(AA2 &amp; "/wrench/sn_e8915b2fb90011cce30c33fe0f006e74/rendering/02.obj", "24.4186547852")</f>
        <v>24.4186547852</v>
      </c>
      <c r="F2852" s="36" t="str">
        <f>HYPERLINK(AA2 &amp; "/wrench/sn_e8915b2fb90011cce30c33fe0f006e74/rendering/03.obj", "10.5306542969")</f>
        <v>10.5306542969</v>
      </c>
      <c r="G2852" s="128" t="str">
        <f>HYPERLINK(AA2 &amp; "/wrench/sn_e8915b2fb90011cce30c33fe0f006e74/rendering/04.obj", "8.16806640625")</f>
        <v>8.16806640625</v>
      </c>
      <c r="H2852" s="223" t="str">
        <f>HYPERLINK(AA2 &amp; "/wrench/sn_e8915b2fb90011cce30c33fe0f006e74/rendering/05.obj", "5.89243347168")</f>
        <v>5.89243347168</v>
      </c>
      <c r="I2852" s="92" t="str">
        <f>HYPERLINK(AA2 &amp; "/wrench/sn_e8915b2fb90011cce30c33fe0f006e74/rendering/06.obj", "11.7468310547")</f>
        <v>11.7468310547</v>
      </c>
      <c r="J2852" s="191" t="str">
        <f>HYPERLINK(AA2 &amp; "/wrench/sn_e8915b2fb90011cce30c33fe0f006e74/rendering/07.obj", "19.492869873")</f>
        <v>19.492869873</v>
      </c>
      <c r="K2852" s="67" t="str">
        <f>HYPERLINK(AA2 &amp; "/wrench/sn_e8915b2fb90011cce30c33fe0f006e74/rendering/08.obj", "12.1731933594")</f>
        <v>12.1731933594</v>
      </c>
      <c r="L2852" s="171" t="str">
        <f>HYPERLINK(AA2 &amp; "/wrench/sn_e8915b2fb90011cce30c33fe0f006e74/rendering/09.obj", "17.5163745117")</f>
        <v>17.5163745117</v>
      </c>
      <c r="M2852" s="181" t="str">
        <f>HYPERLINK(AA2 &amp; "/wrench/sn_e8915b2fb90011cce30c33fe0f006e74/rendering/10.obj", "7.47291259766")</f>
        <v>7.47291259766</v>
      </c>
      <c r="N2852" s="105" t="str">
        <f>HYPERLINK(AA2 &amp; "/wrench/sn_e8915b2fb90011cce30c33fe0f006e74/rendering/11.obj", "6.5475189209")</f>
        <v>6.5475189209</v>
      </c>
      <c r="O2852" s="20" t="str">
        <f>HYPERLINK(AA2 &amp; "/wrench/sn_e8915b2fb90011cce30c33fe0f006e74/rendering/12.obj", "35.421171875")</f>
        <v>35.421171875</v>
      </c>
      <c r="P2852" s="239" t="str">
        <f>HYPERLINK(AA2 &amp; "/wrench/sn_e8915b2fb90011cce30c33fe0f006e74/rendering/13.obj", "5.27529541016")</f>
        <v>5.27529541016</v>
      </c>
      <c r="Q2852" s="49" t="str">
        <f>HYPERLINK(AA2 &amp; "/wrench/sn_e8915b2fb90011cce30c33fe0f006e74/rendering/14.obj", "10.6260009766")</f>
        <v>10.6260009766</v>
      </c>
      <c r="R2852" s="149" t="str">
        <f>HYPERLINK(AA2 &amp; "/wrench/sn_e8915b2fb90011cce30c33fe0f006e74/rendering/15.obj", "18.0567346191")</f>
        <v>18.0567346191</v>
      </c>
      <c r="S2852" s="123" t="str">
        <f>HYPERLINK(AA2 &amp; "/wrench/sn_e8915b2fb90011cce30c33fe0f006e74/rendering/16.obj", "8.45991943359")</f>
        <v>8.45991943359</v>
      </c>
      <c r="T2852" s="148" t="str">
        <f>HYPERLINK(AA2 &amp; "/wrench/sn_e8915b2fb90011cce30c33fe0f006e74/rendering/17.obj", "6.93759643555")</f>
        <v>6.93759643555</v>
      </c>
      <c r="U2852" s="6" t="str">
        <f>HYPERLINK(AA2 &amp; "/wrench/sn_e8915b2fb90011cce30c33fe0f006e74/rendering/18.obj", "12.8189233398")</f>
        <v>12.8189233398</v>
      </c>
      <c r="V2852" s="20" t="str">
        <f>HYPERLINK(AA2 &amp; "/wrench/sn_e8915b2fb90011cce30c33fe0f006e74/rendering/19.obj", "28.6678027344")</f>
        <v>28.6678027344</v>
      </c>
      <c r="W2852" s="12" t="s">
        <v>29</v>
      </c>
      <c r="X2852" s="13">
        <v>13.4242978515625</v>
      </c>
      <c r="Y2852" s="13">
        <v>7.9896282994229111</v>
      </c>
      <c r="Z2852" s="112">
        <v>0.59516172747112961</v>
      </c>
    </row>
    <row r="2853" spans="1:26" x14ac:dyDescent="0.2">
      <c r="A2853" s="1">
        <v>2851</v>
      </c>
      <c r="B2853" s="2" t="s">
        <v>603</v>
      </c>
      <c r="C2853" s="169" t="str">
        <f>HYPERLINK(AA2 &amp; "/wrench/sn_e8915b2fb90011cce30c33fe0f006e74/rendering/00.obj", "36.5223846436")</f>
        <v>36.5223846436</v>
      </c>
      <c r="D2853" s="20" t="str">
        <f>HYPERLINK(AA2 &amp; "/wrench/sn_e8915b2fb90011cce30c33fe0f006e74/rendering/01.obj", "9.36545467377")</f>
        <v>9.36545467377</v>
      </c>
      <c r="E2853" s="20" t="str">
        <f>HYPERLINK(AA2 &amp; "/wrench/sn_e8915b2fb90011cce30c33fe0f006e74/rendering/02.obj", "118.788909912")</f>
        <v>118.788909912</v>
      </c>
      <c r="F2853" s="214" t="str">
        <f>HYPERLINK(AA2 &amp; "/wrench/sn_e8915b2fb90011cce30c33fe0f006e74/rendering/03.obj", "20.4384231567")</f>
        <v>20.4384231567</v>
      </c>
      <c r="G2853" s="204" t="str">
        <f>HYPERLINK(AA2 &amp; "/wrench/sn_e8915b2fb90011cce30c33fe0f006e74/rendering/04.obj", "10.8548822403")</f>
        <v>10.8548822403</v>
      </c>
      <c r="H2853" s="20" t="str">
        <f>HYPERLINK(AA2 &amp; "/wrench/sn_e8915b2fb90011cce30c33fe0f006e74/rendering/05.obj", "10.3345222473")</f>
        <v>10.3345222473</v>
      </c>
      <c r="I2853" s="246" t="str">
        <f>HYPERLINK(AA2 &amp; "/wrench/sn_e8915b2fb90011cce30c33fe0f006e74/rendering/06.obj", "20.7525367737")</f>
        <v>20.7525367737</v>
      </c>
      <c r="J2853" s="20" t="str">
        <f>HYPERLINK(AA2 &amp; "/wrench/sn_e8915b2fb90011cce30c33fe0f006e74/rendering/07.obj", "99.5841064453")</f>
        <v>99.5841064453</v>
      </c>
      <c r="K2853" s="212" t="str">
        <f>HYPERLINK(AA2 &amp; "/wrench/sn_e8915b2fb90011cce30c33fe0f006e74/rendering/08.obj", "30.2373313904")</f>
        <v>30.2373313904</v>
      </c>
      <c r="L2853" s="71" t="str">
        <f>HYPERLINK(AA2 &amp; "/wrench/sn_e8915b2fb90011cce30c33fe0f006e74/rendering/09.obj", "59.3670387268")</f>
        <v>59.3670387268</v>
      </c>
      <c r="M2853" s="20" t="str">
        <f>HYPERLINK(AA2 &amp; "/wrench/sn_e8915b2fb90011cce30c33fe0f006e74/rendering/10.obj", "8.95982456207")</f>
        <v>8.95982456207</v>
      </c>
      <c r="N2853" s="20" t="str">
        <f>HYPERLINK(AA2 &amp; "/wrench/sn_e8915b2fb90011cce30c33fe0f006e74/rendering/11.obj", "7.65102005005")</f>
        <v>7.65102005005</v>
      </c>
      <c r="O2853" s="20" t="str">
        <f>HYPERLINK(AA2 &amp; "/wrench/sn_e8915b2fb90011cce30c33fe0f006e74/rendering/12.obj", "295.084899902")</f>
        <v>295.084899902</v>
      </c>
      <c r="P2853" s="20" t="str">
        <f>HYPERLINK(AA2 &amp; "/wrench/sn_e8915b2fb90011cce30c33fe0f006e74/rendering/13.obj", "4.83952522278")</f>
        <v>4.83952522278</v>
      </c>
      <c r="Q2853" s="195" t="str">
        <f>HYPERLINK(AA2 &amp; "/wrench/sn_e8915b2fb90011cce30c33fe0f006e74/rendering/14.obj", "24.0367622375")</f>
        <v>24.0367622375</v>
      </c>
      <c r="R2853" s="173" t="str">
        <f>HYPERLINK(AA2 &amp; "/wrench/sn_e8915b2fb90011cce30c33fe0f006e74/rendering/15.obj", "89.8203887939")</f>
        <v>89.8203887939</v>
      </c>
      <c r="S2853" s="20" t="str">
        <f>HYPERLINK(AA2 &amp; "/wrench/sn_e8915b2fb90011cce30c33fe0f006e74/rendering/16.obj", "8.64931869507")</f>
        <v>8.64931869507</v>
      </c>
      <c r="T2853" s="20" t="str">
        <f>HYPERLINK(AA2 &amp; "/wrench/sn_e8915b2fb90011cce30c33fe0f006e74/rendering/17.obj", "8.5018491745")</f>
        <v>8.5018491745</v>
      </c>
      <c r="U2853" s="230" t="str">
        <f>HYPERLINK(AA2 &amp; "/wrench/sn_e8915b2fb90011cce30c33fe0f006e74/rendering/18.obj", "28.8273735046")</f>
        <v>28.8273735046</v>
      </c>
      <c r="V2853" s="20" t="str">
        <f>HYPERLINK(AA2 &amp; "/wrench/sn_e8915b2fb90011cce30c33fe0f006e74/rendering/19.obj", "170.376831055")</f>
        <v>170.376831055</v>
      </c>
      <c r="W2853" s="12" t="s">
        <v>30</v>
      </c>
      <c r="X2853" s="13">
        <v>53.149669170379639</v>
      </c>
      <c r="Y2853" s="13">
        <v>70.83523006029769</v>
      </c>
      <c r="Z2853" s="20">
        <v>1.33275015942666</v>
      </c>
    </row>
    <row r="2854" spans="1:26" x14ac:dyDescent="0.2">
      <c r="A2854" s="1">
        <v>2852</v>
      </c>
      <c r="B2854" s="2" t="s">
        <v>603</v>
      </c>
      <c r="C2854" s="117" t="str">
        <f>HYPERLINK(AB2 &amp; "/wrench/sn_e8915b2fb90011cce30c33fe0f006e74/rendering/00.obj", "5.38029418945")</f>
        <v>5.38029418945</v>
      </c>
      <c r="D2854" s="65" t="str">
        <f>HYPERLINK(AB2 &amp; "/wrench/sn_e8915b2fb90011cce30c33fe0f006e74/rendering/01.obj", "3.96419158936")</f>
        <v>3.96419158936</v>
      </c>
      <c r="E2854" s="40" t="str">
        <f>HYPERLINK(AB2 &amp; "/wrench/sn_e8915b2fb90011cce30c33fe0f006e74/rendering/02.obj", "3.79641540527")</f>
        <v>3.79641540527</v>
      </c>
      <c r="F2854" s="78" t="str">
        <f>HYPERLINK(AB2 &amp; "/wrench/sn_e8915b2fb90011cce30c33fe0f006e74/rendering/03.obj", "4.8488760376")</f>
        <v>4.8488760376</v>
      </c>
      <c r="G2854" s="10" t="str">
        <f>HYPERLINK(AB2 &amp; "/wrench/sn_e8915b2fb90011cce30c33fe0f006e74/rendering/04.obj", "4.32181945801")</f>
        <v>4.32181945801</v>
      </c>
      <c r="H2854" s="8" t="str">
        <f>HYPERLINK(AB2 &amp; "/wrench/sn_e8915b2fb90011cce30c33fe0f006e74/rendering/05.obj", "3.92723999023")</f>
        <v>3.92723999023</v>
      </c>
      <c r="I2854" s="109" t="str">
        <f>HYPERLINK(AB2 &amp; "/wrench/sn_e8915b2fb90011cce30c33fe0f006e74/rendering/06.obj", "3.71042938232")</f>
        <v>3.71042938232</v>
      </c>
      <c r="J2854" s="107" t="str">
        <f>HYPERLINK(AB2 &amp; "/wrench/sn_e8915b2fb90011cce30c33fe0f006e74/rendering/07.obj", "4.94939086914")</f>
        <v>4.94939086914</v>
      </c>
      <c r="K2854" s="158" t="str">
        <f>HYPERLINK(AB2 &amp; "/wrench/sn_e8915b2fb90011cce30c33fe0f006e74/rendering/08.obj", "6.43997924805")</f>
        <v>6.43997924805</v>
      </c>
      <c r="L2854" s="87" t="str">
        <f>HYPERLINK(AB2 &amp; "/wrench/sn_e8915b2fb90011cce30c33fe0f006e74/rendering/09.obj", "3.53770141602")</f>
        <v>3.53770141602</v>
      </c>
      <c r="M2854" s="10" t="str">
        <f>HYPERLINK(AB2 &amp; "/wrench/sn_e8915b2fb90011cce30c33fe0f006e74/rendering/10.obj", "4.32905975342")</f>
        <v>4.32905975342</v>
      </c>
      <c r="N2854" s="35" t="str">
        <f>HYPERLINK(AB2 &amp; "/wrench/sn_e8915b2fb90011cce30c33fe0f006e74/rendering/11.obj", "4.31535095215")</f>
        <v>4.31535095215</v>
      </c>
      <c r="O2854" s="176" t="str">
        <f>HYPERLINK(AB2 &amp; "/wrench/sn_e8915b2fb90011cce30c33fe0f006e74/rendering/12.obj", "6.02767150879")</f>
        <v>6.02767150879</v>
      </c>
      <c r="P2854" s="41" t="str">
        <f>HYPERLINK(AB2 &amp; "/wrench/sn_e8915b2fb90011cce30c33fe0f006e74/rendering/13.obj", "4.26788818359")</f>
        <v>4.26788818359</v>
      </c>
      <c r="Q2854" s="110" t="str">
        <f>HYPERLINK(AB2 &amp; "/wrench/sn_e8915b2fb90011cce30c33fe0f006e74/rendering/14.obj", "4.12226379395")</f>
        <v>4.12226379395</v>
      </c>
      <c r="R2854" s="110" t="str">
        <f>HYPERLINK(AB2 &amp; "/wrench/sn_e8915b2fb90011cce30c33fe0f006e74/rendering/15.obj", "4.11624420166")</f>
        <v>4.11624420166</v>
      </c>
      <c r="S2854" s="81" t="str">
        <f>HYPERLINK(AB2 &amp; "/wrench/sn_e8915b2fb90011cce30c33fe0f006e74/rendering/16.obj", "5.57501464844")</f>
        <v>5.57501464844</v>
      </c>
      <c r="T2854" s="117" t="str">
        <f>HYPERLINK(AB2 &amp; "/wrench/sn_e8915b2fb90011cce30c33fe0f006e74/rendering/17.obj", "5.38803344727")</f>
        <v>5.38803344727</v>
      </c>
      <c r="U2854" s="37" t="str">
        <f>HYPERLINK(AB2 &amp; "/wrench/sn_e8915b2fb90011cce30c33fe0f006e74/rendering/18.obj", "3.77942779541")</f>
        <v>3.77942779541</v>
      </c>
      <c r="V2854" s="48" t="str">
        <f>HYPERLINK(AB2 &amp; "/wrench/sn_e8915b2fb90011cce30c33fe0f006e74/rendering/19.obj", "4.67770141602")</f>
        <v>4.67770141602</v>
      </c>
      <c r="W2854" s="12" t="s">
        <v>31</v>
      </c>
      <c r="X2854" s="13">
        <v>4.5737496643066411</v>
      </c>
      <c r="Y2854" s="13">
        <v>0.79626237636555397</v>
      </c>
      <c r="Z2854" s="37">
        <v>0.17409400050456489</v>
      </c>
    </row>
    <row r="2855" spans="1:26" x14ac:dyDescent="0.2">
      <c r="A2855" s="1">
        <v>2853</v>
      </c>
      <c r="B2855" s="2" t="s">
        <v>603</v>
      </c>
      <c r="C2855" s="28" t="str">
        <f>HYPERLINK(AB2 &amp; "/wrench/sn_e8915b2fb90011cce30c33fe0f006e74/rendering/00.obj", "3.51301121712")</f>
        <v>3.51301121712</v>
      </c>
      <c r="D2855" s="4" t="str">
        <f>HYPERLINK(AB2 &amp; "/wrench/sn_e8915b2fb90011cce30c33fe0f006e74/rendering/01.obj", "2.26458668709")</f>
        <v>2.26458668709</v>
      </c>
      <c r="E2855" s="10" t="str">
        <f>HYPERLINK(AB2 &amp; "/wrench/sn_e8915b2fb90011cce30c33fe0f006e74/rendering/02.obj", "2.9872739315")</f>
        <v>2.9872739315</v>
      </c>
      <c r="F2855" s="46" t="str">
        <f>HYPERLINK(AB2 &amp; "/wrench/sn_e8915b2fb90011cce30c33fe0f006e74/rendering/03.obj", "3.10127162933")</f>
        <v>3.10127162933</v>
      </c>
      <c r="G2855" s="110" t="str">
        <f>HYPERLINK(AB2 &amp; "/wrench/sn_e8915b2fb90011cce30c33fe0f006e74/rendering/04.obj", "2.84620714188")</f>
        <v>2.84620714188</v>
      </c>
      <c r="H2855" s="38" t="str">
        <f>HYPERLINK(AB2 &amp; "/wrench/sn_e8915b2fb90011cce30c33fe0f006e74/rendering/05.obj", "2.87315559387")</f>
        <v>2.87315559387</v>
      </c>
      <c r="I2855" s="107" t="str">
        <f>HYPERLINK(AB2 &amp; "/wrench/sn_e8915b2fb90011cce30c33fe0f006e74/rendering/06.obj", "2.89836215973")</f>
        <v>2.89836215973</v>
      </c>
      <c r="J2855" s="13" t="str">
        <f>HYPERLINK(AB2 &amp; "/wrench/sn_e8915b2fb90011cce30c33fe0f006e74/rendering/07.obj", "3.15472102165")</f>
        <v>3.15472102165</v>
      </c>
      <c r="K2855" s="45" t="str">
        <f>HYPERLINK(AB2 &amp; "/wrench/sn_e8915b2fb90011cce30c33fe0f006e74/rendering/08.obj", "5.25252914429")</f>
        <v>5.25252914429</v>
      </c>
      <c r="L2855" s="5" t="str">
        <f>HYPERLINK(AB2 &amp; "/wrench/sn_e8915b2fb90011cce30c33fe0f006e74/rendering/09.obj", "2.91646432877")</f>
        <v>2.91646432877</v>
      </c>
      <c r="M2855" s="28" t="str">
        <f>HYPERLINK(AB2 &amp; "/wrench/sn_e8915b2fb90011cce30c33fe0f006e74/rendering/10.obj", "2.80807828903")</f>
        <v>2.80807828903</v>
      </c>
      <c r="N2855" s="77" t="str">
        <f>HYPERLINK(AB2 &amp; "/wrench/sn_e8915b2fb90011cce30c33fe0f006e74/rendering/11.obj", "2.57275128365")</f>
        <v>2.57275128365</v>
      </c>
      <c r="O2855" s="196" t="str">
        <f>HYPERLINK(AB2 &amp; "/wrench/sn_e8915b2fb90011cce30c33fe0f006e74/rendering/12.obj", "4.41233682632")</f>
        <v>4.41233682632</v>
      </c>
      <c r="P2855" s="136" t="str">
        <f>HYPERLINK(AB2 &amp; "/wrench/sn_e8915b2fb90011cce30c33fe0f006e74/rendering/13.obj", "2.41198992729")</f>
        <v>2.41198992729</v>
      </c>
      <c r="Q2855" s="49" t="str">
        <f>HYPERLINK(AB2 &amp; "/wrench/sn_e8915b2fb90011cce30c33fe0f006e74/rendering/14.obj", "2.49645805359")</f>
        <v>2.49645805359</v>
      </c>
      <c r="R2855" s="83" t="str">
        <f>HYPERLINK(AB2 &amp; "/wrench/sn_e8915b2fb90011cce30c33fe0f006e74/rendering/15.obj", "2.6802380085")</f>
        <v>2.6802380085</v>
      </c>
      <c r="S2855" s="205" t="str">
        <f>HYPERLINK(AB2 &amp; "/wrench/sn_e8915b2fb90011cce30c33fe0f006e74/rendering/16.obj", "5.2663526535")</f>
        <v>5.2663526535</v>
      </c>
      <c r="T2855" s="94" t="str">
        <f>HYPERLINK(AB2 &amp; "/wrench/sn_e8915b2fb90011cce30c33fe0f006e74/rendering/17.obj", "2.92858767509")</f>
        <v>2.92858767509</v>
      </c>
      <c r="U2855" s="70" t="str">
        <f>HYPERLINK(AB2 &amp; "/wrench/sn_e8915b2fb90011cce30c33fe0f006e74/rendering/18.obj", "2.75847744942")</f>
        <v>2.75847744942</v>
      </c>
      <c r="V2855" s="73" t="str">
        <f>HYPERLINK(AB2 &amp; "/wrench/sn_e8915b2fb90011cce30c33fe0f006e74/rendering/19.obj", "3.04846596718")</f>
        <v>3.04846596718</v>
      </c>
      <c r="W2855" s="12" t="s">
        <v>32</v>
      </c>
      <c r="X2855" s="13">
        <v>3.1595659494400019</v>
      </c>
      <c r="Y2855" s="13">
        <v>0.82394922774124768</v>
      </c>
      <c r="Z2855" s="19">
        <v>0.26077924655672508</v>
      </c>
    </row>
    <row r="2856" spans="1:26" x14ac:dyDescent="0.2">
      <c r="A2856" s="1">
        <v>2854</v>
      </c>
      <c r="B2856" s="2" t="s">
        <v>603</v>
      </c>
      <c r="C2856" s="13" t="str">
        <f>HYPERLINK(AC2 &amp; "/wrench/sn_e8915b2fb90011cce30c33fe0f006e74/rendering/00.xyz", "0.0")</f>
        <v>0.0</v>
      </c>
      <c r="D2856" s="13" t="str">
        <f>HYPERLINK(AC2 &amp; "/wrench/sn_e8915b2fb90011cce30c33fe0f006e74/rendering/01.xyz", "0.0")</f>
        <v>0.0</v>
      </c>
      <c r="E2856" s="13" t="str">
        <f>HYPERLINK(AC2 &amp; "/wrench/sn_e8915b2fb90011cce30c33fe0f006e74/rendering/02.xyz", "0.0")</f>
        <v>0.0</v>
      </c>
      <c r="F2856" s="13" t="str">
        <f>HYPERLINK(AC2 &amp; "/wrench/sn_e8915b2fb90011cce30c33fe0f006e74/rendering/03.xyz", "0.0")</f>
        <v>0.0</v>
      </c>
      <c r="G2856" s="13" t="str">
        <f>HYPERLINK(AC2 &amp; "/wrench/sn_e8915b2fb90011cce30c33fe0f006e74/rendering/04.xyz", "0.0")</f>
        <v>0.0</v>
      </c>
      <c r="H2856" s="13" t="str">
        <f>HYPERLINK(AC2 &amp; "/wrench/sn_e8915b2fb90011cce30c33fe0f006e74/rendering/05.xyz", "0.0")</f>
        <v>0.0</v>
      </c>
      <c r="I2856" s="13" t="str">
        <f>HYPERLINK(AC2 &amp; "/wrench/sn_e8915b2fb90011cce30c33fe0f006e74/rendering/06.xyz", "0.0")</f>
        <v>0.0</v>
      </c>
      <c r="J2856" s="13" t="str">
        <f>HYPERLINK(AC2 &amp; "/wrench/sn_e8915b2fb90011cce30c33fe0f006e74/rendering/07.xyz", "0.0")</f>
        <v>0.0</v>
      </c>
      <c r="K2856" s="13" t="str">
        <f>HYPERLINK(AC2 &amp; "/wrench/sn_e8915b2fb90011cce30c33fe0f006e74/rendering/08.xyz", "0.0")</f>
        <v>0.0</v>
      </c>
      <c r="L2856" s="13" t="str">
        <f>HYPERLINK(AC2 &amp; "/wrench/sn_e8915b2fb90011cce30c33fe0f006e74/rendering/09.xyz", "0.0")</f>
        <v>0.0</v>
      </c>
      <c r="M2856" s="13" t="str">
        <f>HYPERLINK(AC2 &amp; "/wrench/sn_e8915b2fb90011cce30c33fe0f006e74/rendering/10.xyz", "0.0")</f>
        <v>0.0</v>
      </c>
      <c r="N2856" s="13" t="str">
        <f>HYPERLINK(AC2 &amp; "/wrench/sn_e8915b2fb90011cce30c33fe0f006e74/rendering/11.xyz", "0.0")</f>
        <v>0.0</v>
      </c>
      <c r="O2856" s="13" t="str">
        <f>HYPERLINK(AC2 &amp; "/wrench/sn_e8915b2fb90011cce30c33fe0f006e74/rendering/12.xyz", "0.0")</f>
        <v>0.0</v>
      </c>
      <c r="P2856" s="13" t="str">
        <f>HYPERLINK(AC2 &amp; "/wrench/sn_e8915b2fb90011cce30c33fe0f006e74/rendering/13.xyz", "0.0")</f>
        <v>0.0</v>
      </c>
      <c r="Q2856" s="13" t="str">
        <f>HYPERLINK(AC2 &amp; "/wrench/sn_e8915b2fb90011cce30c33fe0f006e74/rendering/14.xyz", "0.0")</f>
        <v>0.0</v>
      </c>
      <c r="R2856" s="13" t="str">
        <f>HYPERLINK(AC2 &amp; "/wrench/sn_e8915b2fb90011cce30c33fe0f006e74/rendering/15.xyz", "0.0")</f>
        <v>0.0</v>
      </c>
      <c r="S2856" s="13" t="str">
        <f>HYPERLINK(AC2 &amp; "/wrench/sn_e8915b2fb90011cce30c33fe0f006e74/rendering/16.xyz", "0.0")</f>
        <v>0.0</v>
      </c>
      <c r="T2856" s="13" t="str">
        <f>HYPERLINK(AC2 &amp; "/wrench/sn_e8915b2fb90011cce30c33fe0f006e74/rendering/17.xyz", "0.0")</f>
        <v>0.0</v>
      </c>
      <c r="U2856" s="13" t="str">
        <f>HYPERLINK(AC2 &amp; "/wrench/sn_e8915b2fb90011cce30c33fe0f006e74/rendering/18.xyz", "0.0")</f>
        <v>0.0</v>
      </c>
      <c r="V2856" s="13" t="str">
        <f>HYPERLINK(AC2 &amp; "/wrench/sn_e8915b2fb90011cce30c33fe0f006e74/rendering/19.xyz", "0.0")</f>
        <v>0.0</v>
      </c>
      <c r="W2856" s="12" t="s">
        <v>33</v>
      </c>
      <c r="X2856" s="13">
        <v>0</v>
      </c>
      <c r="Y2856" s="13">
        <v>0</v>
      </c>
      <c r="Z2856" s="13">
        <v>0</v>
      </c>
    </row>
    <row r="2857" spans="1:26" x14ac:dyDescent="0.2">
      <c r="A2857" s="1">
        <v>2855</v>
      </c>
      <c r="B2857" s="2" t="s">
        <v>604</v>
      </c>
      <c r="C2857" s="110" t="str">
        <f>HYPERLINK(AA2 &amp; "/wrench/sn_ef30929c655f83cf78fe949fc1419876/rendering/00.obj", "6.33088500977")</f>
        <v>6.33088500977</v>
      </c>
      <c r="D2857" s="25" t="str">
        <f>HYPERLINK(AA2 &amp; "/wrench/sn_ef30929c655f83cf78fe949fc1419876/rendering/01.obj", "5.70069091797")</f>
        <v>5.70069091797</v>
      </c>
      <c r="E2857" s="6" t="str">
        <f>HYPERLINK(AA2 &amp; "/wrench/sn_ef30929c655f83cf78fe949fc1419876/rendering/02.obj", "6.02427734375")</f>
        <v>6.02427734375</v>
      </c>
      <c r="F2857" s="35" t="str">
        <f>HYPERLINK(AA2 &amp; "/wrench/sn_ef30929c655f83cf78fe949fc1419876/rendering/03.obj", "5.43852172852")</f>
        <v>5.43852172852</v>
      </c>
      <c r="G2857" s="68" t="str">
        <f>HYPERLINK(AA2 &amp; "/wrench/sn_ef30929c655f83cf78fe949fc1419876/rendering/04.obj", "6.0208996582")</f>
        <v>6.0208996582</v>
      </c>
      <c r="H2857" s="26" t="str">
        <f>HYPERLINK(AA2 &amp; "/wrench/sn_ef30929c655f83cf78fe949fc1419876/rendering/05.obj", "5.39400085449")</f>
        <v>5.39400085449</v>
      </c>
      <c r="I2857" s="25" t="str">
        <f>HYPERLINK(AA2 &amp; "/wrench/sn_ef30929c655f83cf78fe949fc1419876/rendering/06.obj", "5.83471801758")</f>
        <v>5.83471801758</v>
      </c>
      <c r="J2857" s="41" t="str">
        <f>HYPERLINK(AA2 &amp; "/wrench/sn_ef30929c655f83cf78fe949fc1419876/rendering/07.obj", "5.38590454102")</f>
        <v>5.38590454102</v>
      </c>
      <c r="K2857" s="35" t="str">
        <f>HYPERLINK(AA2 &amp; "/wrench/sn_ef30929c655f83cf78fe949fc1419876/rendering/08.obj", "5.43935058594")</f>
        <v>5.43935058594</v>
      </c>
      <c r="L2857" s="74" t="str">
        <f>HYPERLINK(AA2 &amp; "/wrench/sn_ef30929c655f83cf78fe949fc1419876/rendering/09.obj", "5.84352966309")</f>
        <v>5.84352966309</v>
      </c>
      <c r="M2857" s="107" t="str">
        <f>HYPERLINK(AA2 &amp; "/wrench/sn_ef30929c655f83cf78fe949fc1419876/rendering/10.obj", "5.28346679688")</f>
        <v>5.28346679688</v>
      </c>
      <c r="N2857" s="25" t="str">
        <f>HYPERLINK(AA2 &amp; "/wrench/sn_ef30929c655f83cf78fe949fc1419876/rendering/11.obj", "5.69872680664")</f>
        <v>5.69872680664</v>
      </c>
      <c r="O2857" s="78" t="str">
        <f>HYPERLINK(AA2 &amp; "/wrench/sn_ef30929c655f83cf78fe949fc1419876/rendering/12.obj", "6.12930664062")</f>
        <v>6.12930664062</v>
      </c>
      <c r="P2857" s="17" t="str">
        <f>HYPERLINK(AA2 &amp; "/wrench/sn_ef30929c655f83cf78fe949fc1419876/rendering/13.obj", "5.64746948242")</f>
        <v>5.64746948242</v>
      </c>
      <c r="Q2857" s="30" t="str">
        <f>HYPERLINK(AA2 &amp; "/wrench/sn_ef30929c655f83cf78fe949fc1419876/rendering/14.obj", "5.79262329102")</f>
        <v>5.79262329102</v>
      </c>
      <c r="R2857" s="30" t="str">
        <f>HYPERLINK(AA2 &amp; "/wrench/sn_ef30929c655f83cf78fe949fc1419876/rendering/15.obj", "5.74621459961")</f>
        <v>5.74621459961</v>
      </c>
      <c r="S2857" s="30" t="str">
        <f>HYPERLINK(AA2 &amp; "/wrench/sn_ef30929c655f83cf78fe949fc1419876/rendering/16.obj", "5.74728759766")</f>
        <v>5.74728759766</v>
      </c>
      <c r="T2857" s="33" t="str">
        <f>HYPERLINK(AA2 &amp; "/wrench/sn_ef30929c655f83cf78fe949fc1419876/rendering/17.obj", "6.39995666504")</f>
        <v>6.39995666504</v>
      </c>
      <c r="U2857" s="69" t="str">
        <f>HYPERLINK(AA2 &amp; "/wrench/sn_ef30929c655f83cf78fe949fc1419876/rendering/18.obj", "5.59447570801")</f>
        <v>5.59447570801</v>
      </c>
      <c r="V2857" s="48" t="str">
        <f>HYPERLINK(AA2 &amp; "/wrench/sn_ef30929c655f83cf78fe949fc1419876/rendering/19.obj", "5.90402648926")</f>
        <v>5.90402648926</v>
      </c>
      <c r="W2857" s="12" t="s">
        <v>29</v>
      </c>
      <c r="X2857" s="13">
        <v>5.7678166198730469</v>
      </c>
      <c r="Y2857" s="13">
        <v>0.29981116572341682</v>
      </c>
      <c r="Z2857" s="60">
        <v>5.198001002500939E-2</v>
      </c>
    </row>
    <row r="2858" spans="1:26" x14ac:dyDescent="0.2">
      <c r="A2858" s="1">
        <v>2856</v>
      </c>
      <c r="B2858" s="2" t="s">
        <v>604</v>
      </c>
      <c r="C2858" s="122" t="str">
        <f>HYPERLINK(AA2 &amp; "/wrench/sn_ef30929c655f83cf78fe949fc1419876/rendering/00.obj", "2.47934627533")</f>
        <v>2.47934627533</v>
      </c>
      <c r="D2858" s="170" t="str">
        <f>HYPERLINK(AA2 &amp; "/wrench/sn_ef30929c655f83cf78fe949fc1419876/rendering/01.obj", "1.31860148907")</f>
        <v>1.31860148907</v>
      </c>
      <c r="E2858" s="96" t="str">
        <f>HYPERLINK(AA2 &amp; "/wrench/sn_ef30929c655f83cf78fe949fc1419876/rendering/02.obj", "2.40890407562")</f>
        <v>2.40890407562</v>
      </c>
      <c r="F2858" s="96" t="str">
        <f>HYPERLINK(AA2 &amp; "/wrench/sn_ef30929c655f83cf78fe949fc1419876/rendering/03.obj", "1.12803089619")</f>
        <v>1.12803089619</v>
      </c>
      <c r="G2858" s="110" t="str">
        <f>HYPERLINK(AA2 &amp; "/wrench/sn_ef30929c655f83cf78fe949fc1419876/rendering/04.obj", "1.9421916008")</f>
        <v>1.9421916008</v>
      </c>
      <c r="H2858" s="68" t="str">
        <f>HYPERLINK(AA2 &amp; "/wrench/sn_ef30929c655f83cf78fe949fc1419876/rendering/05.obj", "1.68988585472")</f>
        <v>1.68988585472</v>
      </c>
      <c r="I2858" s="107" t="str">
        <f>HYPERLINK(AA2 &amp; "/wrench/sn_ef30929c655f83cf78fe949fc1419876/rendering/06.obj", "1.61858451366")</f>
        <v>1.61858451366</v>
      </c>
      <c r="J2858" s="185" t="str">
        <f>HYPERLINK(AA2 &amp; "/wrench/sn_ef30929c655f83cf78fe949fc1419876/rendering/07.obj", "1.16740012169")</f>
        <v>1.16740012169</v>
      </c>
      <c r="K2858" s="133" t="str">
        <f>HYPERLINK(AA2 &amp; "/wrench/sn_ef30929c655f83cf78fe949fc1419876/rendering/08.obj", "1.58401727676")</f>
        <v>1.58401727676</v>
      </c>
      <c r="L2858" s="106" t="str">
        <f>HYPERLINK(AA2 &amp; "/wrench/sn_ef30929c655f83cf78fe949fc1419876/rendering/09.obj", "1.56662929058")</f>
        <v>1.56662929058</v>
      </c>
      <c r="M2858" s="203" t="str">
        <f>HYPERLINK(AA2 &amp; "/wrench/sn_ef30929c655f83cf78fe949fc1419876/rendering/10.obj", "0.944965600967")</f>
        <v>0.944965600967</v>
      </c>
      <c r="N2858" s="72" t="str">
        <f>HYPERLINK(AA2 &amp; "/wrench/sn_ef30929c655f83cf78fe949fc1419876/rendering/11.obj", "1.70792841911")</f>
        <v>1.70792841911</v>
      </c>
      <c r="O2858" s="7" t="str">
        <f>HYPERLINK(AA2 &amp; "/wrench/sn_ef30929c655f83cf78fe949fc1419876/rendering/12.obj", "2.25729203224")</f>
        <v>2.25729203224</v>
      </c>
      <c r="P2858" s="61" t="str">
        <f>HYPERLINK(AA2 &amp; "/wrench/sn_ef30929c655f83cf78fe949fc1419876/rendering/13.obj", "1.23433411121")</f>
        <v>1.23433411121</v>
      </c>
      <c r="Q2858" s="20" t="str">
        <f>HYPERLINK(AA2 &amp; "/wrench/sn_ef30929c655f83cf78fe949fc1419876/rendering/14.obj", "3.23610067368")</f>
        <v>3.23610067368</v>
      </c>
      <c r="R2858" s="129" t="str">
        <f>HYPERLINK(AA2 &amp; "/wrench/sn_ef30929c655f83cf78fe949fc1419876/rendering/15.obj", "2.20865440369")</f>
        <v>2.20865440369</v>
      </c>
      <c r="S2858" s="43" t="str">
        <f>HYPERLINK(AA2 &amp; "/wrench/sn_ef30929c655f83cf78fe949fc1419876/rendering/16.obj", "1.10662257671")</f>
        <v>1.10662257671</v>
      </c>
      <c r="T2858" s="202" t="str">
        <f>HYPERLINK(AA2 &amp; "/wrench/sn_ef30929c655f83cf78fe949fc1419876/rendering/17.obj", "2.8780195713")</f>
        <v>2.8780195713</v>
      </c>
      <c r="U2858" s="175" t="str">
        <f>HYPERLINK(AA2 &amp; "/wrench/sn_ef30929c655f83cf78fe949fc1419876/rendering/18.obj", "1.35287845135")</f>
        <v>1.35287845135</v>
      </c>
      <c r="V2858" s="84" t="str">
        <f>HYPERLINK(AA2 &amp; "/wrench/sn_ef30929c655f83cf78fe949fc1419876/rendering/19.obj", "1.50857579708")</f>
        <v>1.50857579708</v>
      </c>
      <c r="W2858" s="12" t="s">
        <v>30</v>
      </c>
      <c r="X2858" s="13">
        <v>1.76694815158844</v>
      </c>
      <c r="Y2858" s="13">
        <v>0.61180245542241718</v>
      </c>
      <c r="Z2858" s="140">
        <v>0.34624810856641308</v>
      </c>
    </row>
    <row r="2859" spans="1:26" x14ac:dyDescent="0.2">
      <c r="A2859" s="1">
        <v>2857</v>
      </c>
      <c r="B2859" s="2" t="s">
        <v>604</v>
      </c>
      <c r="C2859" s="26" t="str">
        <f>HYPERLINK(AB2 &amp; "/wrench/sn_ef30929c655f83cf78fe949fc1419876/rendering/00.obj", "5.34936950684")</f>
        <v>5.34936950684</v>
      </c>
      <c r="D2859" s="10" t="str">
        <f>HYPERLINK(AB2 &amp; "/wrench/sn_ef30929c655f83cf78fe949fc1419876/rendering/01.obj", "5.30373657227")</f>
        <v>5.30373657227</v>
      </c>
      <c r="E2859" s="90" t="str">
        <f>HYPERLINK(AB2 &amp; "/wrench/sn_ef30929c655f83cf78fe949fc1419876/rendering/02.obj", "4.54695068359")</f>
        <v>4.54695068359</v>
      </c>
      <c r="F2859" s="67" t="str">
        <f>HYPERLINK(AB2 &amp; "/wrench/sn_ef30929c655f83cf78fe949fc1419876/rendering/03.obj", "5.49440429688")</f>
        <v>5.49440429688</v>
      </c>
      <c r="G2859" s="30" t="str">
        <f>HYPERLINK(AB2 &amp; "/wrench/sn_ef30929c655f83cf78fe949fc1419876/rendering/04.obj", "5.04405395508")</f>
        <v>5.04405395508</v>
      </c>
      <c r="H2859" s="25" t="str">
        <f>HYPERLINK(AB2 &amp; "/wrench/sn_ef30929c655f83cf78fe949fc1419876/rendering/05.obj", "4.97380615234")</f>
        <v>4.97380615234</v>
      </c>
      <c r="I2859" s="8" t="str">
        <f>HYPERLINK(AB2 &amp; "/wrench/sn_ef30929c655f83cf78fe949fc1419876/rendering/06.obj", "5.73522399902")</f>
        <v>5.73522399902</v>
      </c>
      <c r="J2859" s="32" t="str">
        <f>HYPERLINK(AB2 &amp; "/wrench/sn_ef30929c655f83cf78fe949fc1419876/rendering/07.obj", "4.49353607178")</f>
        <v>4.49353607178</v>
      </c>
      <c r="K2859" s="30" t="str">
        <f>HYPERLINK(AB2 &amp; "/wrench/sn_ef30929c655f83cf78fe949fc1419876/rendering/08.obj", "5.00470428467")</f>
        <v>5.00470428467</v>
      </c>
      <c r="L2859" s="48" t="str">
        <f>HYPERLINK(AB2 &amp; "/wrench/sn_ef30929c655f83cf78fe949fc1419876/rendering/09.obj", "4.90856231689")</f>
        <v>4.90856231689</v>
      </c>
      <c r="M2859" s="60" t="str">
        <f>HYPERLINK(AB2 &amp; "/wrench/sn_ef30929c655f83cf78fe949fc1419876/rendering/10.obj", "5.28979003906")</f>
        <v>5.28979003906</v>
      </c>
      <c r="N2859" s="6" t="str">
        <f>HYPERLINK(AB2 &amp; "/wrench/sn_ef30929c655f83cf78fe949fc1419876/rendering/11.obj", "4.80294677734")</f>
        <v>4.80294677734</v>
      </c>
      <c r="O2859" s="78" t="str">
        <f>HYPERLINK(AB2 &amp; "/wrench/sn_ef30929c655f83cf78fe949fc1419876/rendering/12.obj", "4.71415283203")</f>
        <v>4.71415283203</v>
      </c>
      <c r="P2859" s="74" t="str">
        <f>HYPERLINK(AB2 &amp; "/wrench/sn_ef30929c655f83cf78fe949fc1419876/rendering/13.obj", "5.09867919922")</f>
        <v>5.09867919922</v>
      </c>
      <c r="Q2859" s="46" t="str">
        <f>HYPERLINK(AB2 &amp; "/wrench/sn_ef30929c655f83cf78fe949fc1419876/rendering/14.obj", "4.93952148437")</f>
        <v>4.93952148437</v>
      </c>
      <c r="R2859" s="23" t="str">
        <f>HYPERLINK(AB2 &amp; "/wrench/sn_ef30929c655f83cf78fe949fc1419876/rendering/15.obj", "5.21682800293")</f>
        <v>5.21682800293</v>
      </c>
      <c r="S2859" s="17" t="str">
        <f>HYPERLINK(AB2 &amp; "/wrench/sn_ef30929c655f83cf78fe949fc1419876/rendering/16.obj", "5.12698181152")</f>
        <v>5.12698181152</v>
      </c>
      <c r="T2859" s="26" t="str">
        <f>HYPERLINK(AB2 &amp; "/wrench/sn_ef30929c655f83cf78fe949fc1419876/rendering/17.obj", "4.70785736084")</f>
        <v>4.70785736084</v>
      </c>
      <c r="U2859" s="133" t="str">
        <f>HYPERLINK(AB2 &amp; "/wrench/sn_ef30929c655f83cf78fe949fc1419876/rendering/18.obj", "4.51907928467")</f>
        <v>4.51907928467</v>
      </c>
      <c r="V2859" s="73" t="str">
        <f>HYPERLINK(AB2 &amp; "/wrench/sn_ef30929c655f83cf78fe949fc1419876/rendering/19.obj", "5.209296875")</f>
        <v>5.209296875</v>
      </c>
      <c r="W2859" s="12" t="s">
        <v>31</v>
      </c>
      <c r="X2859" s="13">
        <v>5.0239740753173816</v>
      </c>
      <c r="Y2859" s="13">
        <v>0.32419647523375222</v>
      </c>
      <c r="Z2859" s="26">
        <v>6.4529886176467099E-2</v>
      </c>
    </row>
    <row r="2860" spans="1:26" x14ac:dyDescent="0.2">
      <c r="A2860" s="1">
        <v>2858</v>
      </c>
      <c r="B2860" s="2" t="s">
        <v>604</v>
      </c>
      <c r="C2860" s="26" t="str">
        <f>HYPERLINK(AB2 &amp; "/wrench/sn_ef30929c655f83cf78fe949fc1419876/rendering/00.obj", "1.53795826435")</f>
        <v>1.53795826435</v>
      </c>
      <c r="D2860" s="97" t="str">
        <f>HYPERLINK(AB2 &amp; "/wrench/sn_ef30929c655f83cf78fe949fc1419876/rendering/01.obj", "2.07187962532")</f>
        <v>2.07187962532</v>
      </c>
      <c r="E2860" s="75" t="str">
        <f>HYPERLINK(AB2 &amp; "/wrench/sn_ef30929c655f83cf78fe949fc1419876/rendering/02.obj", "1.12503635883")</f>
        <v>1.12503635883</v>
      </c>
      <c r="F2860" s="168" t="str">
        <f>HYPERLINK(AB2 &amp; "/wrench/sn_ef30929c655f83cf78fe949fc1419876/rendering/03.obj", "1.90664863586")</f>
        <v>1.90664863586</v>
      </c>
      <c r="G2860" s="69" t="str">
        <f>HYPERLINK(AB2 &amp; "/wrench/sn_ef30929c655f83cf78fe949fc1419876/rendering/04.obj", "1.40197253227")</f>
        <v>1.40197253227</v>
      </c>
      <c r="H2860" s="39" t="str">
        <f>HYPERLINK(AB2 &amp; "/wrench/sn_ef30929c655f83cf78fe949fc1419876/rendering/05.obj", "1.57022559643")</f>
        <v>1.57022559643</v>
      </c>
      <c r="I2860" s="32" t="str">
        <f>HYPERLINK(AB2 &amp; "/wrench/sn_ef30929c655f83cf78fe949fc1419876/rendering/06.obj", "1.595271945")</f>
        <v>1.595271945</v>
      </c>
      <c r="J2860" s="64" t="str">
        <f>HYPERLINK(AB2 &amp; "/wrench/sn_ef30929c655f83cf78fe949fc1419876/rendering/07.obj", "1.20732593536")</f>
        <v>1.20732593536</v>
      </c>
      <c r="K2860" s="28" t="str">
        <f>HYPERLINK(AB2 &amp; "/wrench/sn_ef30929c655f83cf78fe949fc1419876/rendering/08.obj", "1.28148007393")</f>
        <v>1.28148007393</v>
      </c>
      <c r="L2860" s="66" t="str">
        <f>HYPERLINK(AB2 &amp; "/wrench/sn_ef30929c655f83cf78fe949fc1419876/rendering/09.obj", "1.20979571342")</f>
        <v>1.20979571342</v>
      </c>
      <c r="M2860" s="128" t="str">
        <f>HYPERLINK(AB2 &amp; "/wrench/sn_ef30929c655f83cf78fe949fc1419876/rendering/10.obj", "2.00826025009")</f>
        <v>2.00826025009</v>
      </c>
      <c r="N2860" s="32" t="str">
        <f>HYPERLINK(AB2 &amp; "/wrench/sn_ef30929c655f83cf78fe949fc1419876/rendering/11.obj", "1.59746813774")</f>
        <v>1.59746813774</v>
      </c>
      <c r="O2860" s="80" t="str">
        <f>HYPERLINK(AB2 &amp; "/wrench/sn_ef30929c655f83cf78fe949fc1419876/rendering/12.obj", "1.22901678085")</f>
        <v>1.22901678085</v>
      </c>
      <c r="P2860" s="107" t="str">
        <f>HYPERLINK(AB2 &amp; "/wrench/sn_ef30929c655f83cf78fe949fc1419876/rendering/13.obj", "1.32161974907")</f>
        <v>1.32161974907</v>
      </c>
      <c r="Q2860" s="25" t="str">
        <f>HYPERLINK(AB2 &amp; "/wrench/sn_ef30929c655f83cf78fe949fc1419876/rendering/14.obj", "1.42598319054")</f>
        <v>1.42598319054</v>
      </c>
      <c r="R2860" s="51" t="str">
        <f>HYPERLINK(AB2 &amp; "/wrench/sn_ef30929c655f83cf78fe949fc1419876/rendering/15.obj", "1.3286755085")</f>
        <v>1.3286755085</v>
      </c>
      <c r="S2860" s="78" t="str">
        <f>HYPERLINK(AB2 &amp; "/wrench/sn_ef30929c655f83cf78fe949fc1419876/rendering/16.obj", "1.53113627434")</f>
        <v>1.53113627434</v>
      </c>
      <c r="T2860" s="95" t="str">
        <f>HYPERLINK(AB2 &amp; "/wrench/sn_ef30929c655f83cf78fe949fc1419876/rendering/17.obj", "1.03786897659")</f>
        <v>1.03786897659</v>
      </c>
      <c r="U2860" s="92" t="str">
        <f>HYPERLINK(AB2 &amp; "/wrench/sn_ef30929c655f83cf78fe949fc1419876/rendering/18.obj", "1.26478815079")</f>
        <v>1.26478815079</v>
      </c>
      <c r="V2860" s="31" t="str">
        <f>HYPERLINK(AB2 &amp; "/wrench/sn_ef30929c655f83cf78fe949fc1419876/rendering/19.obj", "1.22043180466")</f>
        <v>1.22043180466</v>
      </c>
      <c r="W2860" s="12" t="s">
        <v>32</v>
      </c>
      <c r="X2860" s="13">
        <v>1.443642175197601</v>
      </c>
      <c r="Y2860" s="13">
        <v>0.28000868713881472</v>
      </c>
      <c r="Z2860" s="55">
        <v>0.19395989667625771</v>
      </c>
    </row>
    <row r="2861" spans="1:26" x14ac:dyDescent="0.2">
      <c r="A2861" s="1">
        <v>2859</v>
      </c>
      <c r="B2861" s="2" t="s">
        <v>604</v>
      </c>
      <c r="C2861" s="13" t="str">
        <f>HYPERLINK(AC2 &amp; "/wrench/sn_ef30929c655f83cf78fe949fc1419876/rendering/00.xyz", "0.0")</f>
        <v>0.0</v>
      </c>
      <c r="D2861" s="13" t="str">
        <f>HYPERLINK(AC2 &amp; "/wrench/sn_ef30929c655f83cf78fe949fc1419876/rendering/01.xyz", "0.0")</f>
        <v>0.0</v>
      </c>
      <c r="E2861" s="13" t="str">
        <f>HYPERLINK(AC2 &amp; "/wrench/sn_ef30929c655f83cf78fe949fc1419876/rendering/02.xyz", "0.0")</f>
        <v>0.0</v>
      </c>
      <c r="F2861" s="13" t="str">
        <f>HYPERLINK(AC2 &amp; "/wrench/sn_ef30929c655f83cf78fe949fc1419876/rendering/03.xyz", "0.0")</f>
        <v>0.0</v>
      </c>
      <c r="G2861" s="13" t="str">
        <f>HYPERLINK(AC2 &amp; "/wrench/sn_ef30929c655f83cf78fe949fc1419876/rendering/04.xyz", "0.0")</f>
        <v>0.0</v>
      </c>
      <c r="H2861" s="13" t="str">
        <f>HYPERLINK(AC2 &amp; "/wrench/sn_ef30929c655f83cf78fe949fc1419876/rendering/05.xyz", "0.0")</f>
        <v>0.0</v>
      </c>
      <c r="I2861" s="13" t="str">
        <f>HYPERLINK(AC2 &amp; "/wrench/sn_ef30929c655f83cf78fe949fc1419876/rendering/06.xyz", "0.0")</f>
        <v>0.0</v>
      </c>
      <c r="J2861" s="13" t="str">
        <f>HYPERLINK(AC2 &amp; "/wrench/sn_ef30929c655f83cf78fe949fc1419876/rendering/07.xyz", "0.0")</f>
        <v>0.0</v>
      </c>
      <c r="K2861" s="13" t="str">
        <f>HYPERLINK(AC2 &amp; "/wrench/sn_ef30929c655f83cf78fe949fc1419876/rendering/08.xyz", "0.0")</f>
        <v>0.0</v>
      </c>
      <c r="L2861" s="13" t="str">
        <f>HYPERLINK(AC2 &amp; "/wrench/sn_ef30929c655f83cf78fe949fc1419876/rendering/09.xyz", "0.0")</f>
        <v>0.0</v>
      </c>
      <c r="M2861" s="13" t="str">
        <f>HYPERLINK(AC2 &amp; "/wrench/sn_ef30929c655f83cf78fe949fc1419876/rendering/10.xyz", "0.0")</f>
        <v>0.0</v>
      </c>
      <c r="N2861" s="13" t="str">
        <f>HYPERLINK(AC2 &amp; "/wrench/sn_ef30929c655f83cf78fe949fc1419876/rendering/11.xyz", "0.0")</f>
        <v>0.0</v>
      </c>
      <c r="O2861" s="13" t="str">
        <f>HYPERLINK(AC2 &amp; "/wrench/sn_ef30929c655f83cf78fe949fc1419876/rendering/12.xyz", "0.0")</f>
        <v>0.0</v>
      </c>
      <c r="P2861" s="13" t="str">
        <f>HYPERLINK(AC2 &amp; "/wrench/sn_ef30929c655f83cf78fe949fc1419876/rendering/13.xyz", "0.0")</f>
        <v>0.0</v>
      </c>
      <c r="Q2861" s="13" t="str">
        <f>HYPERLINK(AC2 &amp; "/wrench/sn_ef30929c655f83cf78fe949fc1419876/rendering/14.xyz", "0.0")</f>
        <v>0.0</v>
      </c>
      <c r="R2861" s="13" t="str">
        <f>HYPERLINK(AC2 &amp; "/wrench/sn_ef30929c655f83cf78fe949fc1419876/rendering/15.xyz", "0.0")</f>
        <v>0.0</v>
      </c>
      <c r="S2861" s="13" t="str">
        <f>HYPERLINK(AC2 &amp; "/wrench/sn_ef30929c655f83cf78fe949fc1419876/rendering/16.xyz", "0.0")</f>
        <v>0.0</v>
      </c>
      <c r="T2861" s="13" t="str">
        <f>HYPERLINK(AC2 &amp; "/wrench/sn_ef30929c655f83cf78fe949fc1419876/rendering/17.xyz", "0.0")</f>
        <v>0.0</v>
      </c>
      <c r="U2861" s="13" t="str">
        <f>HYPERLINK(AC2 &amp; "/wrench/sn_ef30929c655f83cf78fe949fc1419876/rendering/18.xyz", "0.0")</f>
        <v>0.0</v>
      </c>
      <c r="V2861" s="13" t="str">
        <f>HYPERLINK(AC2 &amp; "/wrench/sn_ef30929c655f83cf78fe949fc1419876/rendering/19.xyz", "0.0")</f>
        <v>0.0</v>
      </c>
      <c r="W2861" s="12" t="s">
        <v>33</v>
      </c>
      <c r="X2861" s="13">
        <v>0</v>
      </c>
      <c r="Y2861" s="13">
        <v>0</v>
      </c>
      <c r="Z2861" s="13">
        <v>0</v>
      </c>
    </row>
    <row r="2862" spans="1:26" x14ac:dyDescent="0.2">
      <c r="A2862" s="1">
        <v>2860</v>
      </c>
      <c r="B2862" s="2" t="s">
        <v>605</v>
      </c>
      <c r="C2862" s="87" t="str">
        <f>HYPERLINK(AA2 &amp; "/wrench/sn_efd458fd27a0413fcb03b57fca000b1f/rendering/00.obj", "7.0498815918")</f>
        <v>7.0498815918</v>
      </c>
      <c r="D2862" s="112" t="str">
        <f>HYPERLINK(AA2 &amp; "/wrench/sn_efd458fd27a0413fcb03b57fca000b1f/rendering/01.obj", "9.17007141113")</f>
        <v>9.17007141113</v>
      </c>
      <c r="E2862" s="175" t="str">
        <f>HYPERLINK(AA2 &amp; "/wrench/sn_efd458fd27a0413fcb03b57fca000b1f/rendering/02.obj", "7.080546875")</f>
        <v>7.080546875</v>
      </c>
      <c r="F2862" s="76" t="str">
        <f>HYPERLINK(AA2 &amp; "/wrench/sn_efd458fd27a0413fcb03b57fca000b1f/rendering/03.obj", "6.80876220703")</f>
        <v>6.80876220703</v>
      </c>
      <c r="G2862" s="95" t="str">
        <f>HYPERLINK(AA2 &amp; "/wrench/sn_efd458fd27a0413fcb03b57fca000b1f/rendering/04.obj", "4.13228881836")</f>
        <v>4.13228881836</v>
      </c>
      <c r="H2862" s="51" t="str">
        <f>HYPERLINK(AA2 &amp; "/wrench/sn_efd458fd27a0413fcb03b57fca000b1f/rendering/05.obj", "5.29352294922")</f>
        <v>5.29352294922</v>
      </c>
      <c r="I2862" s="206" t="str">
        <f>HYPERLINK(AA2 &amp; "/wrench/sn_efd458fd27a0413fcb03b57fca000b1f/rendering/06.obj", "2.34432891846")</f>
        <v>2.34432891846</v>
      </c>
      <c r="J2862" s="87" t="str">
        <f>HYPERLINK(AA2 &amp; "/wrench/sn_efd458fd27a0413fcb03b57fca000b1f/rendering/07.obj", "4.44097595215")</f>
        <v>4.44097595215</v>
      </c>
      <c r="K2862" s="90" t="str">
        <f>HYPERLINK(AA2 &amp; "/wrench/sn_efd458fd27a0413fcb03b57fca000b1f/rendering/08.obj", "5.19353759766")</f>
        <v>5.19353759766</v>
      </c>
      <c r="L2862" s="94" t="str">
        <f>HYPERLINK(AA2 &amp; "/wrench/sn_efd458fd27a0413fcb03b57fca000b1f/rendering/09.obj", "6.16536987305")</f>
        <v>6.16536987305</v>
      </c>
      <c r="M2862" s="212" t="str">
        <f>HYPERLINK(AA2 &amp; "/wrench/sn_efd458fd27a0413fcb03b57fca000b1f/rendering/10.obj", "3.27294403076")</f>
        <v>3.27294403076</v>
      </c>
      <c r="N2862" s="20" t="str">
        <f>HYPERLINK(AA2 &amp; "/wrench/sn_efd458fd27a0413fcb03b57fca000b1f/rendering/11.obj", "10.9567382813")</f>
        <v>10.9567382813</v>
      </c>
      <c r="O2862" s="162" t="str">
        <f>HYPERLINK(AA2 &amp; "/wrench/sn_efd458fd27a0413fcb03b57fca000b1f/rendering/12.obj", "3.30577850342")</f>
        <v>3.30577850342</v>
      </c>
      <c r="P2862" s="65" t="str">
        <f>HYPERLINK(AA2 &amp; "/wrench/sn_efd458fd27a0413fcb03b57fca000b1f/rendering/13.obj", "4.98373596191")</f>
        <v>4.98373596191</v>
      </c>
      <c r="Q2862" s="58" t="str">
        <f>HYPERLINK(AA2 &amp; "/wrench/sn_efd458fd27a0413fcb03b57fca000b1f/rendering/14.obj", "7.13524902344")</f>
        <v>7.13524902344</v>
      </c>
      <c r="R2862" s="67" t="str">
        <f>HYPERLINK(AA2 &amp; "/wrench/sn_efd458fd27a0413fcb03b57fca000b1f/rendering/15.obj", "6.28384277344")</f>
        <v>6.28384277344</v>
      </c>
      <c r="S2862" s="182" t="str">
        <f>HYPERLINK(AA2 &amp; "/wrench/sn_efd458fd27a0413fcb03b57fca000b1f/rendering/16.obj", "7.67090332031")</f>
        <v>7.67090332031</v>
      </c>
      <c r="T2862" s="132" t="str">
        <f>HYPERLINK(AA2 &amp; "/wrench/sn_efd458fd27a0413fcb03b57fca000b1f/rendering/17.obj", "3.33928649902")</f>
        <v>3.33928649902</v>
      </c>
      <c r="U2862" s="141" t="str">
        <f>HYPERLINK(AA2 &amp; "/wrench/sn_efd458fd27a0413fcb03b57fca000b1f/rendering/18.obj", "2.57883331299")</f>
        <v>2.57883331299</v>
      </c>
      <c r="V2862" s="185" t="str">
        <f>HYPERLINK(AA2 &amp; "/wrench/sn_efd458fd27a0413fcb03b57fca000b1f/rendering/19.obj", "7.7025")</f>
        <v>7.7025</v>
      </c>
      <c r="W2862" s="12" t="s">
        <v>29</v>
      </c>
      <c r="X2862" s="13">
        <v>5.7454548950195319</v>
      </c>
      <c r="Y2862" s="13">
        <v>2.2167358688857859</v>
      </c>
      <c r="Z2862" s="172">
        <v>0.38582425750263422</v>
      </c>
    </row>
    <row r="2863" spans="1:26" x14ac:dyDescent="0.2">
      <c r="A2863" s="1">
        <v>2861</v>
      </c>
      <c r="B2863" s="2" t="s">
        <v>605</v>
      </c>
      <c r="C2863" s="212" t="str">
        <f>HYPERLINK(AA2 &amp; "/wrench/sn_efd458fd27a0413fcb03b57fca000b1f/rendering/00.obj", "49.8177223206")</f>
        <v>49.8177223206</v>
      </c>
      <c r="D2863" s="20" t="str">
        <f>HYPERLINK(AA2 &amp; "/wrench/sn_efd458fd27a0413fcb03b57fca000b1f/rendering/01.obj", "75.7068557739")</f>
        <v>75.7068557739</v>
      </c>
      <c r="E2863" s="259" t="str">
        <f>HYPERLINK(AA2 &amp; "/wrench/sn_efd458fd27a0413fcb03b57fca000b1f/rendering/02.obj", "62.2938766479")</f>
        <v>62.2938766479</v>
      </c>
      <c r="F2863" s="108" t="str">
        <f>HYPERLINK(AA2 &amp; "/wrench/sn_efd458fd27a0413fcb03b57fca000b1f/rendering/03.obj", "26.2289657593")</f>
        <v>26.2289657593</v>
      </c>
      <c r="G2863" s="20" t="str">
        <f>HYPERLINK(AA2 &amp; "/wrench/sn_efd458fd27a0413fcb03b57fca000b1f/rendering/04.obj", "5.62872457504")</f>
        <v>5.62872457504</v>
      </c>
      <c r="H2863" s="23" t="str">
        <f>HYPERLINK(AA2 &amp; "/wrench/sn_efd458fd27a0413fcb03b57fca000b1f/rendering/05.obj", "33.4034233093")</f>
        <v>33.4034233093</v>
      </c>
      <c r="I2863" s="20" t="str">
        <f>HYPERLINK(AA2 &amp; "/wrench/sn_efd458fd27a0413fcb03b57fca000b1f/rendering/06.obj", "2.57630348206")</f>
        <v>2.57630348206</v>
      </c>
      <c r="J2863" s="233" t="str">
        <f>HYPERLINK(AA2 &amp; "/wrench/sn_efd458fd27a0413fcb03b57fca000b1f/rendering/07.obj", "10.4403190613")</f>
        <v>10.4403190613</v>
      </c>
      <c r="K2863" s="26" t="str">
        <f>HYPERLINK(AA2 &amp; "/wrench/sn_efd458fd27a0413fcb03b57fca000b1f/rendering/08.obj", "36.9849243164")</f>
        <v>36.9849243164</v>
      </c>
      <c r="L2863" s="10" t="str">
        <f>HYPERLINK(AA2 &amp; "/wrench/sn_efd458fd27a0413fcb03b57fca000b1f/rendering/09.obj", "32.9155349731")</f>
        <v>32.9155349731</v>
      </c>
      <c r="M2863" s="20" t="str">
        <f>HYPERLINK(AA2 &amp; "/wrench/sn_efd458fd27a0413fcb03b57fca000b1f/rendering/10.obj", "3.75147557259")</f>
        <v>3.75147557259</v>
      </c>
      <c r="N2863" s="20" t="str">
        <f>HYPERLINK(AA2 &amp; "/wrench/sn_efd458fd27a0413fcb03b57fca000b1f/rendering/11.obj", "105.792488098")</f>
        <v>105.792488098</v>
      </c>
      <c r="O2863" s="20" t="str">
        <f>HYPERLINK(AA2 &amp; "/wrench/sn_efd458fd27a0413fcb03b57fca000b1f/rendering/12.obj", "3.552110672")</f>
        <v>3.552110672</v>
      </c>
      <c r="P2863" s="240" t="str">
        <f>HYPERLINK(AA2 &amp; "/wrench/sn_efd458fd27a0413fcb03b57fca000b1f/rendering/13.obj", "12.0045557022")</f>
        <v>12.0045557022</v>
      </c>
      <c r="Q2863" s="111" t="str">
        <f>HYPERLINK(AA2 &amp; "/wrench/sn_efd458fd27a0413fcb03b57fca000b1f/rendering/14.obj", "49.4866333008")</f>
        <v>49.4866333008</v>
      </c>
      <c r="R2863" s="138" t="str">
        <f>HYPERLINK(AA2 &amp; "/wrench/sn_efd458fd27a0413fcb03b57fca000b1f/rendering/15.obj", "46.543674469")</f>
        <v>46.543674469</v>
      </c>
      <c r="S2863" s="20" t="str">
        <f>HYPERLINK(AA2 &amp; "/wrench/sn_efd458fd27a0413fcb03b57fca000b1f/rendering/16.obj", "64.6896514893")</f>
        <v>64.6896514893</v>
      </c>
      <c r="T2863" s="20" t="str">
        <f>HYPERLINK(AA2 &amp; "/wrench/sn_efd458fd27a0413fcb03b57fca000b1f/rendering/17.obj", "4.57248163223")</f>
        <v>4.57248163223</v>
      </c>
      <c r="U2863" s="20" t="str">
        <f>HYPERLINK(AA2 &amp; "/wrench/sn_efd458fd27a0413fcb03b57fca000b1f/rendering/18.obj", "3.37110185623")</f>
        <v>3.37110185623</v>
      </c>
      <c r="V2863" s="20" t="str">
        <f>HYPERLINK(AA2 &amp; "/wrench/sn_efd458fd27a0413fcb03b57fca000b1f/rendering/19.obj", "65.8722000122")</f>
        <v>65.8722000122</v>
      </c>
      <c r="W2863" s="12" t="s">
        <v>30</v>
      </c>
      <c r="X2863" s="13">
        <v>34.78165115118027</v>
      </c>
      <c r="Y2863" s="13">
        <v>29.013135877267469</v>
      </c>
      <c r="Z2863" s="20">
        <v>0.83415062014049735</v>
      </c>
    </row>
    <row r="2864" spans="1:26" x14ac:dyDescent="0.2">
      <c r="A2864" s="1">
        <v>2862</v>
      </c>
      <c r="B2864" s="2" t="s">
        <v>605</v>
      </c>
      <c r="C2864" s="8" t="str">
        <f>HYPERLINK(AB2 &amp; "/wrench/sn_efd458fd27a0413fcb03b57fca000b1f/rendering/00.obj", "2.49103561401")</f>
        <v>2.49103561401</v>
      </c>
      <c r="D2864" s="63" t="str">
        <f>HYPERLINK(AB2 &amp; "/wrench/sn_efd458fd27a0413fcb03b57fca000b1f/rendering/01.obj", "3.25451599121")</f>
        <v>3.25451599121</v>
      </c>
      <c r="E2864" s="60" t="str">
        <f>HYPERLINK(AB2 &amp; "/wrench/sn_efd458fd27a0413fcb03b57fca000b1f/rendering/02.obj", "2.75690734863")</f>
        <v>2.75690734863</v>
      </c>
      <c r="F2864" s="32" t="str">
        <f>HYPERLINK(AB2 &amp; "/wrench/sn_efd458fd27a0413fcb03b57fca000b1f/rendering/03.obj", "2.60049133301")</f>
        <v>2.60049133301</v>
      </c>
      <c r="G2864" s="70" t="str">
        <f>HYPERLINK(AB2 &amp; "/wrench/sn_efd458fd27a0413fcb03b57fca000b1f/rendering/04.obj", "2.54027175903")</f>
        <v>2.54027175903</v>
      </c>
      <c r="H2864" s="71" t="str">
        <f>HYPERLINK(AB2 &amp; "/wrench/sn_efd458fd27a0413fcb03b57fca000b1f/rendering/05.obj", "2.56651794434")</f>
        <v>2.56651794434</v>
      </c>
      <c r="I2864" s="30" t="str">
        <f>HYPERLINK(AB2 &amp; "/wrench/sn_efd458fd27a0413fcb03b57fca000b1f/rendering/06.obj", "2.89110229492")</f>
        <v>2.89110229492</v>
      </c>
      <c r="J2864" s="163" t="str">
        <f>HYPERLINK(AB2 &amp; "/wrench/sn_efd458fd27a0413fcb03b57fca000b1f/rendering/07.obj", "4.18847839355")</f>
        <v>4.18847839355</v>
      </c>
      <c r="K2864" s="76" t="str">
        <f>HYPERLINK(AB2 &amp; "/wrench/sn_efd458fd27a0413fcb03b57fca000b1f/rendering/08.obj", "3.44333404541")</f>
        <v>3.44333404541</v>
      </c>
      <c r="L2864" s="51" t="str">
        <f>HYPERLINK(AB2 &amp; "/wrench/sn_efd458fd27a0413fcb03b57fca000b1f/rendering/09.obj", "2.67433624268")</f>
        <v>2.67433624268</v>
      </c>
      <c r="M2864" s="110" t="str">
        <f>HYPERLINK(AB2 &amp; "/wrench/sn_efd458fd27a0413fcb03b57fca000b1f/rendering/10.obj", "2.62094299316")</f>
        <v>2.62094299316</v>
      </c>
      <c r="N2864" s="61" t="str">
        <f>HYPERLINK(AB2 &amp; "/wrench/sn_efd458fd27a0413fcb03b57fca000b1f/rendering/11.obj", "3.78924682617")</f>
        <v>3.78924682617</v>
      </c>
      <c r="O2864" s="65" t="str">
        <f>HYPERLINK(AB2 &amp; "/wrench/sn_efd458fd27a0413fcb03b57fca000b1f/rendering/12.obj", "2.52276000977")</f>
        <v>2.52276000977</v>
      </c>
      <c r="P2864" s="51" t="str">
        <f>HYPERLINK(AB2 &amp; "/wrench/sn_efd458fd27a0413fcb03b57fca000b1f/rendering/13.obj", "3.13662658691")</f>
        <v>3.13662658691</v>
      </c>
      <c r="Q2864" s="31" t="str">
        <f>HYPERLINK(AB2 &amp; "/wrench/sn_efd458fd27a0413fcb03b57fca000b1f/rendering/14.obj", "2.45162017822")</f>
        <v>2.45162017822</v>
      </c>
      <c r="R2864" s="91" t="str">
        <f>HYPERLINK(AB2 &amp; "/wrench/sn_efd458fd27a0413fcb03b57fca000b1f/rendering/15.obj", "2.98524108887")</f>
        <v>2.98524108887</v>
      </c>
      <c r="S2864" s="83" t="str">
        <f>HYPERLINK(AB2 &amp; "/wrench/sn_efd458fd27a0413fcb03b57fca000b1f/rendering/16.obj", "3.34882446289")</f>
        <v>3.34882446289</v>
      </c>
      <c r="T2864" s="6" t="str">
        <f>HYPERLINK(AB2 &amp; "/wrench/sn_efd458fd27a0413fcb03b57fca000b1f/rendering/17.obj", "2.77152893066")</f>
        <v>2.77152893066</v>
      </c>
      <c r="U2864" s="72" t="str">
        <f>HYPERLINK(AB2 &amp; "/wrench/sn_efd458fd27a0413fcb03b57fca000b1f/rendering/18.obj", "2.81141906738")</f>
        <v>2.81141906738</v>
      </c>
      <c r="V2864" s="36" t="str">
        <f>HYPERLINK(AB2 &amp; "/wrench/sn_efd458fd27a0413fcb03b57fca000b1f/rendering/19.obj", "2.27910430908")</f>
        <v>2.27910430908</v>
      </c>
      <c r="W2864" s="12" t="s">
        <v>31</v>
      </c>
      <c r="X2864" s="13">
        <v>2.906215270996094</v>
      </c>
      <c r="Y2864" s="13">
        <v>0.47622998141053757</v>
      </c>
      <c r="Z2864" s="64">
        <v>0.16386603778573899</v>
      </c>
    </row>
    <row r="2865" spans="1:26" x14ac:dyDescent="0.2">
      <c r="A2865" s="1">
        <v>2863</v>
      </c>
      <c r="B2865" s="2" t="s">
        <v>605</v>
      </c>
      <c r="C2865" s="56" t="str">
        <f>HYPERLINK(AB2 &amp; "/wrench/sn_efd458fd27a0413fcb03b57fca000b1f/rendering/00.obj", "2.13042807579")</f>
        <v>2.13042807579</v>
      </c>
      <c r="D2865" s="76" t="str">
        <f>HYPERLINK(AB2 &amp; "/wrench/sn_efd458fd27a0413fcb03b57fca000b1f/rendering/01.obj", "2.51749777794")</f>
        <v>2.51749777794</v>
      </c>
      <c r="E2865" s="89" t="str">
        <f>HYPERLINK(AB2 &amp; "/wrench/sn_efd458fd27a0413fcb03b57fca000b1f/rendering/02.obj", "2.28857302666")</f>
        <v>2.28857302666</v>
      </c>
      <c r="F2865" s="138" t="str">
        <f>HYPERLINK(AB2 &amp; "/wrench/sn_efd458fd27a0413fcb03b57fca000b1f/rendering/03.obj", "4.12825918198")</f>
        <v>4.12825918198</v>
      </c>
      <c r="G2865" s="88" t="str">
        <f>HYPERLINK(AB2 &amp; "/wrench/sn_efd458fd27a0413fcb03b57fca000b1f/rendering/04.obj", "2.46368646622")</f>
        <v>2.46368646622</v>
      </c>
      <c r="H2865" s="176" t="str">
        <f>HYPERLINK(AB2 &amp; "/wrench/sn_efd458fd27a0413fcb03b57fca000b1f/rendering/05.obj", "2.10118341446")</f>
        <v>2.10118341446</v>
      </c>
      <c r="I2865" s="72" t="str">
        <f>HYPERLINK(AB2 &amp; "/wrench/sn_efd458fd27a0413fcb03b57fca000b1f/rendering/06.obj", "2.99139404297")</f>
        <v>2.99139404297</v>
      </c>
      <c r="J2865" s="20" t="str">
        <f>HYPERLINK(AB2 &amp; "/wrench/sn_efd458fd27a0413fcb03b57fca000b1f/rendering/07.obj", "6.76255989075")</f>
        <v>6.76255989075</v>
      </c>
      <c r="K2865" s="76" t="str">
        <f>HYPERLINK(AB2 &amp; "/wrench/sn_efd458fd27a0413fcb03b57fca000b1f/rendering/08.obj", "3.65763449669")</f>
        <v>3.65763449669</v>
      </c>
      <c r="L2865" s="4" t="str">
        <f>HYPERLINK(AB2 &amp; "/wrench/sn_efd458fd27a0413fcb03b57fca000b1f/rendering/09.obj", "2.20773053169")</f>
        <v>2.20773053169</v>
      </c>
      <c r="M2865" s="171" t="str">
        <f>HYPERLINK(AB2 &amp; "/wrench/sn_efd458fd27a0413fcb03b57fca000b1f/rendering/10.obj", "2.14412403107")</f>
        <v>2.14412403107</v>
      </c>
      <c r="N2865" s="217" t="str">
        <f>HYPERLINK(AB2 &amp; "/wrench/sn_efd458fd27a0413fcb03b57fca000b1f/rendering/11.obj", "5.04392051697")</f>
        <v>5.04392051697</v>
      </c>
      <c r="O2865" s="34" t="str">
        <f>HYPERLINK(AB2 &amp; "/wrench/sn_efd458fd27a0413fcb03b57fca000b1f/rendering/12.obj", "3.23566865921")</f>
        <v>3.23566865921</v>
      </c>
      <c r="P2865" s="56" t="str">
        <f>HYPERLINK(AB2 &amp; "/wrench/sn_efd458fd27a0413fcb03b57fca000b1f/rendering/13.obj", "4.0433807373")</f>
        <v>4.0433807373</v>
      </c>
      <c r="Q2865" s="44" t="str">
        <f>HYPERLINK(AB2 &amp; "/wrench/sn_efd458fd27a0413fcb03b57fca000b1f/rendering/14.obj", "2.48267936707")</f>
        <v>2.48267936707</v>
      </c>
      <c r="R2865" s="54" t="str">
        <f>HYPERLINK(AB2 &amp; "/wrench/sn_efd458fd27a0413fcb03b57fca000b1f/rendering/15.obj", "2.07274365425")</f>
        <v>2.07274365425</v>
      </c>
      <c r="S2865" s="36" t="str">
        <f>HYPERLINK(AB2 &amp; "/wrench/sn_efd458fd27a0413fcb03b57fca000b1f/rendering/16.obj", "3.74910163879")</f>
        <v>3.74910163879</v>
      </c>
      <c r="T2865" s="8" t="str">
        <f>HYPERLINK(AB2 &amp; "/wrench/sn_efd458fd27a0413fcb03b57fca000b1f/rendering/17.obj", "2.65042972565")</f>
        <v>2.65042972565</v>
      </c>
      <c r="U2865" s="68" t="str">
        <f>HYPERLINK(AB2 &amp; "/wrench/sn_efd458fd27a0413fcb03b57fca000b1f/rendering/18.obj", "2.96182608604")</f>
        <v>2.96182608604</v>
      </c>
      <c r="V2865" s="61" t="str">
        <f>HYPERLINK(AB2 &amp; "/wrench/sn_efd458fd27a0413fcb03b57fca000b1f/rendering/19.obj", "2.1510386467")</f>
        <v>2.1510386467</v>
      </c>
      <c r="W2865" s="12" t="s">
        <v>32</v>
      </c>
      <c r="X2865" s="13">
        <v>3.089192998409271</v>
      </c>
      <c r="Y2865" s="13">
        <v>1.1727925987549079</v>
      </c>
      <c r="Z2865" s="124">
        <v>0.37964368019700229</v>
      </c>
    </row>
    <row r="2866" spans="1:26" x14ac:dyDescent="0.2">
      <c r="A2866" s="1">
        <v>2864</v>
      </c>
      <c r="B2866" s="2" t="s">
        <v>605</v>
      </c>
      <c r="C2866" s="13" t="str">
        <f>HYPERLINK(AC2 &amp; "/wrench/sn_efd458fd27a0413fcb03b57fca000b1f/rendering/00.xyz", "0.0")</f>
        <v>0.0</v>
      </c>
      <c r="D2866" s="13" t="str">
        <f>HYPERLINK(AC2 &amp; "/wrench/sn_efd458fd27a0413fcb03b57fca000b1f/rendering/01.xyz", "0.0")</f>
        <v>0.0</v>
      </c>
      <c r="E2866" s="13" t="str">
        <f>HYPERLINK(AC2 &amp; "/wrench/sn_efd458fd27a0413fcb03b57fca000b1f/rendering/02.xyz", "0.0")</f>
        <v>0.0</v>
      </c>
      <c r="F2866" s="13" t="str">
        <f>HYPERLINK(AC2 &amp; "/wrench/sn_efd458fd27a0413fcb03b57fca000b1f/rendering/03.xyz", "0.0")</f>
        <v>0.0</v>
      </c>
      <c r="G2866" s="13" t="str">
        <f>HYPERLINK(AC2 &amp; "/wrench/sn_efd458fd27a0413fcb03b57fca000b1f/rendering/04.xyz", "0.0")</f>
        <v>0.0</v>
      </c>
      <c r="H2866" s="13" t="str">
        <f>HYPERLINK(AC2 &amp; "/wrench/sn_efd458fd27a0413fcb03b57fca000b1f/rendering/05.xyz", "0.0")</f>
        <v>0.0</v>
      </c>
      <c r="I2866" s="13" t="str">
        <f>HYPERLINK(AC2 &amp; "/wrench/sn_efd458fd27a0413fcb03b57fca000b1f/rendering/06.xyz", "0.0")</f>
        <v>0.0</v>
      </c>
      <c r="J2866" s="13" t="str">
        <f>HYPERLINK(AC2 &amp; "/wrench/sn_efd458fd27a0413fcb03b57fca000b1f/rendering/07.xyz", "0.0")</f>
        <v>0.0</v>
      </c>
      <c r="K2866" s="13" t="str">
        <f>HYPERLINK(AC2 &amp; "/wrench/sn_efd458fd27a0413fcb03b57fca000b1f/rendering/08.xyz", "0.0")</f>
        <v>0.0</v>
      </c>
      <c r="L2866" s="13" t="str">
        <f>HYPERLINK(AC2 &amp; "/wrench/sn_efd458fd27a0413fcb03b57fca000b1f/rendering/09.xyz", "0.0")</f>
        <v>0.0</v>
      </c>
      <c r="M2866" s="13" t="str">
        <f>HYPERLINK(AC2 &amp; "/wrench/sn_efd458fd27a0413fcb03b57fca000b1f/rendering/10.xyz", "0.0")</f>
        <v>0.0</v>
      </c>
      <c r="N2866" s="13" t="str">
        <f>HYPERLINK(AC2 &amp; "/wrench/sn_efd458fd27a0413fcb03b57fca000b1f/rendering/11.xyz", "0.0")</f>
        <v>0.0</v>
      </c>
      <c r="O2866" s="13" t="str">
        <f>HYPERLINK(AC2 &amp; "/wrench/sn_efd458fd27a0413fcb03b57fca000b1f/rendering/12.xyz", "0.0")</f>
        <v>0.0</v>
      </c>
      <c r="P2866" s="13" t="str">
        <f>HYPERLINK(AC2 &amp; "/wrench/sn_efd458fd27a0413fcb03b57fca000b1f/rendering/13.xyz", "0.0")</f>
        <v>0.0</v>
      </c>
      <c r="Q2866" s="13" t="str">
        <f>HYPERLINK(AC2 &amp; "/wrench/sn_efd458fd27a0413fcb03b57fca000b1f/rendering/14.xyz", "0.0")</f>
        <v>0.0</v>
      </c>
      <c r="R2866" s="13" t="str">
        <f>HYPERLINK(AC2 &amp; "/wrench/sn_efd458fd27a0413fcb03b57fca000b1f/rendering/15.xyz", "0.0")</f>
        <v>0.0</v>
      </c>
      <c r="S2866" s="13" t="str">
        <f>HYPERLINK(AC2 &amp; "/wrench/sn_efd458fd27a0413fcb03b57fca000b1f/rendering/16.xyz", "0.0")</f>
        <v>0.0</v>
      </c>
      <c r="T2866" s="13" t="str">
        <f>HYPERLINK(AC2 &amp; "/wrench/sn_efd458fd27a0413fcb03b57fca000b1f/rendering/17.xyz", "0.0")</f>
        <v>0.0</v>
      </c>
      <c r="U2866" s="13" t="str">
        <f>HYPERLINK(AC2 &amp; "/wrench/sn_efd458fd27a0413fcb03b57fca000b1f/rendering/18.xyz", "0.0")</f>
        <v>0.0</v>
      </c>
      <c r="V2866" s="13" t="str">
        <f>HYPERLINK(AC2 &amp; "/wrench/sn_efd458fd27a0413fcb03b57fca000b1f/rendering/19.xyz", "0.0")</f>
        <v>0.0</v>
      </c>
      <c r="W2866" s="12" t="s">
        <v>33</v>
      </c>
      <c r="X2866" s="13">
        <v>0</v>
      </c>
      <c r="Y2866" s="13">
        <v>0</v>
      </c>
      <c r="Z2866" s="13">
        <v>0</v>
      </c>
    </row>
    <row r="2867" spans="1:26" x14ac:dyDescent="0.2">
      <c r="A2867" s="1">
        <v>2865</v>
      </c>
      <c r="B2867" s="2" t="s">
        <v>606</v>
      </c>
      <c r="C2867" s="134" t="str">
        <f>HYPERLINK(AA2 &amp; "/wrench/sn_f11cdbe0d4fc8e6ec8621169acea877/rendering/00.obj", "10.9319970703")</f>
        <v>10.9319970703</v>
      </c>
      <c r="D2867" s="140" t="str">
        <f>HYPERLINK(AA2 &amp; "/wrench/sn_f11cdbe0d4fc8e6ec8621169acea877/rendering/01.obj", "8.72406494141")</f>
        <v>8.72406494141</v>
      </c>
      <c r="E2867" s="76" t="str">
        <f>HYPERLINK(AA2 &amp; "/wrench/sn_f11cdbe0d4fc8e6ec8621169acea877/rendering/02.obj", "10.8889990234")</f>
        <v>10.8889990234</v>
      </c>
      <c r="F2867" s="94" t="str">
        <f>HYPERLINK(AA2 &amp; "/wrench/sn_f11cdbe0d4fc8e6ec8621169acea877/rendering/03.obj", "12.3344238281")</f>
        <v>12.3344238281</v>
      </c>
      <c r="G2867" s="30" t="str">
        <f>HYPERLINK(AA2 &amp; "/wrench/sn_f11cdbe0d4fc8e6ec8621169acea877/rendering/04.obj", "13.267154541")</f>
        <v>13.267154541</v>
      </c>
      <c r="H2867" s="70" t="str">
        <f>HYPERLINK(AA2 &amp; "/wrench/sn_f11cdbe0d4fc8e6ec8621169acea877/rendering/05.obj", "15.0012524414")</f>
        <v>15.0012524414</v>
      </c>
      <c r="I2867" s="152" t="str">
        <f>HYPERLINK(AA2 &amp; "/wrench/sn_f11cdbe0d4fc8e6ec8621169acea877/rendering/06.obj", "18.7158837891")</f>
        <v>18.7158837891</v>
      </c>
      <c r="J2867" s="22" t="str">
        <f>HYPERLINK(AA2 &amp; "/wrench/sn_f11cdbe0d4fc8e6ec8621169acea877/rendering/07.obj", "20.2860412598")</f>
        <v>20.2860412598</v>
      </c>
      <c r="K2867" s="175" t="str">
        <f>HYPERLINK(AA2 &amp; "/wrench/sn_f11cdbe0d4fc8e6ec8621169acea877/rendering/08.obj", "10.2101147461")</f>
        <v>10.2101147461</v>
      </c>
      <c r="L2867" s="11" t="str">
        <f>HYPERLINK(AA2 &amp; "/wrench/sn_f11cdbe0d4fc8e6ec8621169acea877/rendering/09.obj", "10.328605957")</f>
        <v>10.328605957</v>
      </c>
      <c r="M2867" s="138" t="str">
        <f>HYPERLINK(AA2 &amp; "/wrench/sn_f11cdbe0d4fc8e6ec8621169acea877/rendering/10.obj", "8.8282043457")</f>
        <v>8.8282043457</v>
      </c>
      <c r="N2867" s="133" t="str">
        <f>HYPERLINK(AA2 &amp; "/wrench/sn_f11cdbe0d4fc8e6ec8621169acea877/rendering/11.obj", "11.9725268555")</f>
        <v>11.9725268555</v>
      </c>
      <c r="O2867" s="87" t="str">
        <f>HYPERLINK(AA2 &amp; "/wrench/sn_f11cdbe0d4fc8e6ec8621169acea877/rendering/12.obj", "10.2986877441")</f>
        <v>10.2986877441</v>
      </c>
      <c r="P2867" s="148" t="str">
        <f>HYPERLINK(AA2 &amp; "/wrench/sn_f11cdbe0d4fc8e6ec8621169acea877/rendering/13.obj", "19.7874633789")</f>
        <v>19.7874633789</v>
      </c>
      <c r="Q2867" s="118" t="str">
        <f>HYPERLINK(AA2 &amp; "/wrench/sn_f11cdbe0d4fc8e6ec8621169acea877/rendering/14.obj", "9.39924072266")</f>
        <v>9.39924072266</v>
      </c>
      <c r="R2867" s="52" t="str">
        <f>HYPERLINK(AA2 &amp; "/wrench/sn_f11cdbe0d4fc8e6ec8621169acea877/rendering/15.obj", "18.6307128906")</f>
        <v>18.6307128906</v>
      </c>
      <c r="S2867" s="98" t="str">
        <f>HYPERLINK(AA2 &amp; "/wrench/sn_f11cdbe0d4fc8e6ec8621169acea877/rendering/16.obj", "16.4099316406")</f>
        <v>16.4099316406</v>
      </c>
      <c r="T2867" s="33" t="str">
        <f>HYPERLINK(AA2 &amp; "/wrench/sn_f11cdbe0d4fc8e6ec8621169acea877/rendering/17.obj", "11.8982299805")</f>
        <v>11.8982299805</v>
      </c>
      <c r="U2867" s="163" t="str">
        <f>HYPERLINK(AA2 &amp; "/wrench/sn_f11cdbe0d4fc8e6ec8621169acea877/rendering/18.obj", "19.1908630371")</f>
        <v>19.1908630371</v>
      </c>
      <c r="V2867" s="100" t="str">
        <f>HYPERLINK(AA2 &amp; "/wrench/sn_f11cdbe0d4fc8e6ec8621169acea877/rendering/19.obj", "9.32800720215")</f>
        <v>9.32800720215</v>
      </c>
      <c r="W2867" s="12" t="s">
        <v>29</v>
      </c>
      <c r="X2867" s="13">
        <v>13.321620269775391</v>
      </c>
      <c r="Y2867" s="13">
        <v>3.945207626611027</v>
      </c>
      <c r="Z2867" s="85">
        <v>0.29615073442395501</v>
      </c>
    </row>
    <row r="2868" spans="1:26" x14ac:dyDescent="0.2">
      <c r="A2868" s="1">
        <v>2866</v>
      </c>
      <c r="B2868" s="2" t="s">
        <v>606</v>
      </c>
      <c r="C2868" s="20" t="str">
        <f>HYPERLINK(AA2 &amp; "/wrench/sn_f11cdbe0d4fc8e6ec8621169acea877/rendering/00.obj", "10.4278392792")</f>
        <v>10.4278392792</v>
      </c>
      <c r="D2868" s="199" t="str">
        <f>HYPERLINK(AA2 &amp; "/wrench/sn_f11cdbe0d4fc8e6ec8621169acea877/rendering/01.obj", "12.0897550583")</f>
        <v>12.0897550583</v>
      </c>
      <c r="E2868" s="20" t="str">
        <f>HYPERLINK(AA2 &amp; "/wrench/sn_f11cdbe0d4fc8e6ec8621169acea877/rendering/02.obj", "11.0428705215")</f>
        <v>11.0428705215</v>
      </c>
      <c r="F2868" s="203" t="str">
        <f>HYPERLINK(AA2 &amp; "/wrench/sn_f11cdbe0d4fc8e6ec8621169acea877/rendering/03.obj", "30.3174514771")</f>
        <v>30.3174514771</v>
      </c>
      <c r="G2868" s="93" t="str">
        <f>HYPERLINK(AA2 &amp; "/wrench/sn_f11cdbe0d4fc8e6ec8621169acea877/rendering/04.obj", "64.5422821045")</f>
        <v>64.5422821045</v>
      </c>
      <c r="H2868" s="94" t="str">
        <f>HYPERLINK(AA2 &amp; "/wrench/sn_f11cdbe0d4fc8e6ec8621169acea877/rendering/05.obj", "52.6012229919")</f>
        <v>52.6012229919</v>
      </c>
      <c r="I2868" s="98" t="str">
        <f>HYPERLINK(AA2 &amp; "/wrench/sn_f11cdbe0d4fc8e6ec8621169acea877/rendering/06.obj", "69.8613739014")</f>
        <v>69.8613739014</v>
      </c>
      <c r="J2868" s="20" t="str">
        <f>HYPERLINK(AA2 &amp; "/wrench/sn_f11cdbe0d4fc8e6ec8621169acea877/rendering/07.obj", "131.128952026")</f>
        <v>131.128952026</v>
      </c>
      <c r="K2868" s="206" t="str">
        <f>HYPERLINK(AA2 &amp; "/wrench/sn_f11cdbe0d4fc8e6ec8621169acea877/rendering/08.obj", "23.2530956268")</f>
        <v>23.2530956268</v>
      </c>
      <c r="L2868" s="254" t="str">
        <f>HYPERLINK(AA2 &amp; "/wrench/sn_f11cdbe0d4fc8e6ec8621169acea877/rendering/09.obj", "12.790143013")</f>
        <v>12.790143013</v>
      </c>
      <c r="M2868" s="253" t="str">
        <f>HYPERLINK(AA2 &amp; "/wrench/sn_f11cdbe0d4fc8e6ec8621169acea877/rendering/10.obj", "15.4636497498")</f>
        <v>15.4636497498</v>
      </c>
      <c r="N2868" s="39" t="str">
        <f>HYPERLINK(AA2 &amp; "/wrench/sn_f11cdbe0d4fc8e6ec8621169acea877/rendering/11.obj", "51.8192176819")</f>
        <v>51.8192176819</v>
      </c>
      <c r="O2868" s="224" t="str">
        <f>HYPERLINK(AA2 &amp; "/wrench/sn_f11cdbe0d4fc8e6ec8621169acea877/rendering/12.obj", "16.5400161743")</f>
        <v>16.5400161743</v>
      </c>
      <c r="P2868" s="20" t="str">
        <f>HYPERLINK(AA2 &amp; "/wrench/sn_f11cdbe0d4fc8e6ec8621169acea877/rendering/13.obj", "137.63067627")</f>
        <v>137.63067627</v>
      </c>
      <c r="Q2868" s="211" t="str">
        <f>HYPERLINK(AA2 &amp; "/wrench/sn_f11cdbe0d4fc8e6ec8621169acea877/rendering/14.obj", "13.1393375397")</f>
        <v>13.1393375397</v>
      </c>
      <c r="R2868" s="20" t="str">
        <f>HYPERLINK(AA2 &amp; "/wrench/sn_f11cdbe0d4fc8e6ec8621169acea877/rendering/15.obj", "172.406860352")</f>
        <v>172.406860352</v>
      </c>
      <c r="S2868" s="109" t="str">
        <f>HYPERLINK(AA2 &amp; "/wrench/sn_f11cdbe0d4fc8e6ec8621169acea877/rendering/16.obj", "67.3812866211")</f>
        <v>67.3812866211</v>
      </c>
      <c r="T2868" s="26" t="str">
        <f>HYPERLINK(AA2 &amp; "/wrench/sn_f11cdbe0d4fc8e6ec8621169acea877/rendering/17.obj", "52.9875907898")</f>
        <v>52.9875907898</v>
      </c>
      <c r="U2868" s="20" t="str">
        <f>HYPERLINK(AA2 &amp; "/wrench/sn_f11cdbe0d4fc8e6ec8621169acea877/rendering/18.obj", "180.126678467")</f>
        <v>180.126678467</v>
      </c>
      <c r="V2868" s="20" t="str">
        <f>HYPERLINK(AA2 &amp; "/wrench/sn_f11cdbe0d4fc8e6ec8621169acea877/rendering/19.obj", "8.45079803467")</f>
        <v>8.45079803467</v>
      </c>
      <c r="W2868" s="12" t="s">
        <v>30</v>
      </c>
      <c r="X2868" s="13">
        <v>56.700054883956909</v>
      </c>
      <c r="Y2868" s="13">
        <v>54.135122872162867</v>
      </c>
      <c r="Z2868" s="20">
        <v>0.95476314763639181</v>
      </c>
    </row>
    <row r="2869" spans="1:26" x14ac:dyDescent="0.2">
      <c r="A2869" s="1">
        <v>2867</v>
      </c>
      <c r="B2869" s="2" t="s">
        <v>606</v>
      </c>
      <c r="C2869" s="13" t="str">
        <f>HYPERLINK(AB2 &amp; "/wrench/sn_f11cdbe0d4fc8e6ec8621169acea877/rendering/00.obj", "12.0234387207")</f>
        <v>12.0234387207</v>
      </c>
      <c r="D2869" s="73" t="str">
        <f>HYPERLINK(AB2 &amp; "/wrench/sn_f11cdbe0d4fc8e6ec8621169acea877/rendering/01.obj", "12.4492675781")</f>
        <v>12.4492675781</v>
      </c>
      <c r="E2869" s="28" t="str">
        <f>HYPERLINK(AB2 &amp; "/wrench/sn_f11cdbe0d4fc8e6ec8621169acea877/rendering/02.obj", "10.6777758789")</f>
        <v>10.6777758789</v>
      </c>
      <c r="F2869" s="71" t="str">
        <f>HYPERLINK(AB2 &amp; "/wrench/sn_f11cdbe0d4fc8e6ec8621169acea877/rendering/03.obj", "10.6030175781")</f>
        <v>10.6030175781</v>
      </c>
      <c r="G2869" s="92" t="str">
        <f>HYPERLINK(AB2 &amp; "/wrench/sn_f11cdbe0d4fc8e6ec8621169acea877/rendering/04.obj", "13.5238232422")</f>
        <v>13.5238232422</v>
      </c>
      <c r="H2869" s="59" t="str">
        <f>HYPERLINK(AB2 &amp; "/wrench/sn_f11cdbe0d4fc8e6ec8621169acea877/rendering/05.obj", "9.14613342285")</f>
        <v>9.14613342285</v>
      </c>
      <c r="I2869" s="29" t="str">
        <f>HYPERLINK(AB2 &amp; "/wrench/sn_f11cdbe0d4fc8e6ec8621169acea877/rendering/06.obj", "10.4433068848")</f>
        <v>10.4433068848</v>
      </c>
      <c r="J2869" s="69" t="str">
        <f>HYPERLINK(AB2 &amp; "/wrench/sn_f11cdbe0d4fc8e6ec8621169acea877/rendering/07.obj", "12.3756469727")</f>
        <v>12.3756469727</v>
      </c>
      <c r="K2869" s="110" t="str">
        <f>HYPERLINK(AB2 &amp; "/wrench/sn_f11cdbe0d4fc8e6ec8621169acea877/rendering/08.obj", "13.2062011719")</f>
        <v>13.2062011719</v>
      </c>
      <c r="L2869" s="106" t="str">
        <f>HYPERLINK(AB2 &amp; "/wrench/sn_f11cdbe0d4fc8e6ec8621169acea877/rendering/09.obj", "10.6456811523")</f>
        <v>10.6456811523</v>
      </c>
      <c r="M2869" s="35" t="str">
        <f>HYPERLINK(AB2 &amp; "/wrench/sn_f11cdbe0d4fc8e6ec8621169acea877/rendering/10.obj", "12.7269628906")</f>
        <v>12.7269628906</v>
      </c>
      <c r="N2869" s="65" t="str">
        <f>HYPERLINK(AB2 &amp; "/wrench/sn_f11cdbe0d4fc8e6ec8621169acea877/rendering/11.obj", "13.6215686035")</f>
        <v>13.6215686035</v>
      </c>
      <c r="O2869" s="51" t="str">
        <f>HYPERLINK(AB2 &amp; "/wrench/sn_f11cdbe0d4fc8e6ec8621169acea877/rendering/12.obj", "11.0824658203")</f>
        <v>11.0824658203</v>
      </c>
      <c r="P2869" s="107" t="str">
        <f>HYPERLINK(AB2 &amp; "/wrench/sn_f11cdbe0d4fc8e6ec8621169acea877/rendering/13.obj", "11.0081835938")</f>
        <v>11.0081835938</v>
      </c>
      <c r="Q2869" s="91" t="str">
        <f>HYPERLINK(AB2 &amp; "/wrench/sn_f11cdbe0d4fc8e6ec8621169acea877/rendering/14.obj", "11.7196923828")</f>
        <v>11.7196923828</v>
      </c>
      <c r="R2869" s="117" t="str">
        <f>HYPERLINK(AB2 &amp; "/wrench/sn_f11cdbe0d4fc8e6ec8621169acea877/rendering/15.obj", "14.1549658203")</f>
        <v>14.1549658203</v>
      </c>
      <c r="S2869" s="82" t="str">
        <f>HYPERLINK(AB2 &amp; "/wrench/sn_f11cdbe0d4fc8e6ec8621169acea877/rendering/16.obj", "9.55328979492")</f>
        <v>9.55328979492</v>
      </c>
      <c r="T2869" s="41" t="str">
        <f>HYPERLINK(AB2 &amp; "/wrench/sn_f11cdbe0d4fc8e6ec8621169acea877/rendering/17.obj", "12.8553845215")</f>
        <v>12.8553845215</v>
      </c>
      <c r="U2869" s="72" t="str">
        <f>HYPERLINK(AB2 &amp; "/wrench/sn_f11cdbe0d4fc8e6ec8621169acea877/rendering/18.obj", "11.611940918")</f>
        <v>11.611940918</v>
      </c>
      <c r="V2869" s="111" t="str">
        <f>HYPERLINK(AB2 &amp; "/wrench/sn_f11cdbe0d4fc8e6ec8621169acea877/rendering/19.obj", "17.0892089844")</f>
        <v>17.0892089844</v>
      </c>
      <c r="W2869" s="12" t="s">
        <v>31</v>
      </c>
      <c r="X2869" s="13">
        <v>12.02589779663086</v>
      </c>
      <c r="Y2869" s="13">
        <v>1.7703615446862411</v>
      </c>
      <c r="Z2869" s="84">
        <v>0.14721242227604989</v>
      </c>
    </row>
    <row r="2870" spans="1:26" x14ac:dyDescent="0.2">
      <c r="A2870" s="1">
        <v>2868</v>
      </c>
      <c r="B2870" s="2" t="s">
        <v>606</v>
      </c>
      <c r="C2870" s="125" t="str">
        <f>HYPERLINK(AB2 &amp; "/wrench/sn_f11cdbe0d4fc8e6ec8621169acea877/rendering/00.obj", "7.78148078918")</f>
        <v>7.78148078918</v>
      </c>
      <c r="D2870" s="141" t="str">
        <f>HYPERLINK(AB2 &amp; "/wrench/sn_f11cdbe0d4fc8e6ec8621169acea877/rendering/01.obj", "41.9014205933")</f>
        <v>41.9014205933</v>
      </c>
      <c r="E2870" s="114" t="str">
        <f>HYPERLINK(AB2 &amp; "/wrench/sn_f11cdbe0d4fc8e6ec8621169acea877/rendering/02.obj", "14.6004009247")</f>
        <v>14.6004009247</v>
      </c>
      <c r="F2870" s="221" t="str">
        <f>HYPERLINK(AB2 &amp; "/wrench/sn_f11cdbe0d4fc8e6ec8621169acea877/rendering/03.obj", "11.9646282196")</f>
        <v>11.9646282196</v>
      </c>
      <c r="G2870" s="20" t="str">
        <f>HYPERLINK(AB2 &amp; "/wrench/sn_f11cdbe0d4fc8e6ec8621169acea877/rendering/04.obj", "49.500869751")</f>
        <v>49.500869751</v>
      </c>
      <c r="H2870" s="210" t="str">
        <f>HYPERLINK(AB2 &amp; "/wrench/sn_f11cdbe0d4fc8e6ec8621169acea877/rendering/05.obj", "6.19618654251")</f>
        <v>6.19618654251</v>
      </c>
      <c r="I2870" s="132" t="str">
        <f>HYPERLINK(AB2 &amp; "/wrench/sn_f11cdbe0d4fc8e6ec8621169acea877/rendering/06.obj", "15.7110347748")</f>
        <v>15.7110347748</v>
      </c>
      <c r="J2870" s="136" t="str">
        <f>HYPERLINK(AB2 &amp; "/wrench/sn_f11cdbe0d4fc8e6ec8621169acea877/rendering/07.obj", "20.6179828644")</f>
        <v>20.6179828644</v>
      </c>
      <c r="K2870" s="20" t="str">
        <f>HYPERLINK(AB2 &amp; "/wrench/sn_f11cdbe0d4fc8e6ec8621169acea877/rendering/08.obj", "56.3890647888")</f>
        <v>56.3890647888</v>
      </c>
      <c r="L2870" s="131" t="str">
        <f>HYPERLINK(AB2 &amp; "/wrench/sn_f11cdbe0d4fc8e6ec8621169acea877/rendering/09.obj", "14.5560932159")</f>
        <v>14.5560932159</v>
      </c>
      <c r="M2870" s="225" t="str">
        <f>HYPERLINK(AB2 &amp; "/wrench/sn_f11cdbe0d4fc8e6ec8621169acea877/rendering/10.obj", "42.4445495605")</f>
        <v>42.4445495605</v>
      </c>
      <c r="N2870" s="20" t="str">
        <f>HYPERLINK(AB2 &amp; "/wrench/sn_f11cdbe0d4fc8e6ec8621169acea877/rendering/11.obj", "58.3916473389")</f>
        <v>58.3916473389</v>
      </c>
      <c r="O2870" s="121" t="str">
        <f>HYPERLINK(AB2 &amp; "/wrench/sn_f11cdbe0d4fc8e6ec8621169acea877/rendering/12.obj", "17.5275211334")</f>
        <v>17.5275211334</v>
      </c>
      <c r="P2870" s="155" t="str">
        <f>HYPERLINK(AB2 &amp; "/wrench/sn_f11cdbe0d4fc8e6ec8621169acea877/rendering/13.obj", "8.73550224304")</f>
        <v>8.73550224304</v>
      </c>
      <c r="Q2870" s="69" t="str">
        <f>HYPERLINK(AB2 &amp; "/wrench/sn_f11cdbe0d4fc8e6ec8621169acea877/rendering/14.obj", "27.8404846191")</f>
        <v>27.8404846191</v>
      </c>
      <c r="R2870" s="149" t="str">
        <f>HYPERLINK(AB2 &amp; "/wrench/sn_f11cdbe0d4fc8e6ec8621169acea877/rendering/15.obj", "36.3054580688")</f>
        <v>36.3054580688</v>
      </c>
      <c r="S2870" s="253" t="str">
        <f>HYPERLINK(AB2 &amp; "/wrench/sn_f11cdbe0d4fc8e6ec8621169acea877/rendering/16.obj", "7.41270494461")</f>
        <v>7.41270494461</v>
      </c>
      <c r="T2870" s="142" t="str">
        <f>HYPERLINK(AB2 &amp; "/wrench/sn_f11cdbe0d4fc8e6ec8621169acea877/rendering/17.obj", "37.6422691345")</f>
        <v>37.6422691345</v>
      </c>
      <c r="U2870" s="201" t="str">
        <f>HYPERLINK(AB2 &amp; "/wrench/sn_f11cdbe0d4fc8e6ec8621169acea877/rendering/18.obj", "11.3379421234")</f>
        <v>11.3379421234</v>
      </c>
      <c r="V2870" s="20" t="str">
        <f>HYPERLINK(AB2 &amp; "/wrench/sn_f11cdbe0d4fc8e6ec8621169acea877/rendering/19.obj", "53.67735672")</f>
        <v>53.67735672</v>
      </c>
      <c r="W2870" s="12" t="s">
        <v>32</v>
      </c>
      <c r="X2870" s="13">
        <v>27.02672991752625</v>
      </c>
      <c r="Y2870" s="13">
        <v>17.72782752728784</v>
      </c>
      <c r="Z2870" s="9">
        <v>0.65593682925701391</v>
      </c>
    </row>
    <row r="2871" spans="1:26" x14ac:dyDescent="0.2">
      <c r="A2871" s="1">
        <v>2869</v>
      </c>
      <c r="B2871" s="2" t="s">
        <v>606</v>
      </c>
      <c r="C2871" s="13" t="str">
        <f>HYPERLINK(AC2 &amp; "/wrench/sn_f11cdbe0d4fc8e6ec8621169acea877/rendering/00.xyz", "0.0")</f>
        <v>0.0</v>
      </c>
      <c r="D2871" s="13" t="str">
        <f>HYPERLINK(AC2 &amp; "/wrench/sn_f11cdbe0d4fc8e6ec8621169acea877/rendering/01.xyz", "0.0")</f>
        <v>0.0</v>
      </c>
      <c r="E2871" s="13" t="str">
        <f>HYPERLINK(AC2 &amp; "/wrench/sn_f11cdbe0d4fc8e6ec8621169acea877/rendering/02.xyz", "0.0")</f>
        <v>0.0</v>
      </c>
      <c r="F2871" s="13" t="str">
        <f>HYPERLINK(AC2 &amp; "/wrench/sn_f11cdbe0d4fc8e6ec8621169acea877/rendering/03.xyz", "0.0")</f>
        <v>0.0</v>
      </c>
      <c r="G2871" s="13" t="str">
        <f>HYPERLINK(AC2 &amp; "/wrench/sn_f11cdbe0d4fc8e6ec8621169acea877/rendering/04.xyz", "0.0")</f>
        <v>0.0</v>
      </c>
      <c r="H2871" s="13" t="str">
        <f>HYPERLINK(AC2 &amp; "/wrench/sn_f11cdbe0d4fc8e6ec8621169acea877/rendering/05.xyz", "0.0")</f>
        <v>0.0</v>
      </c>
      <c r="I2871" s="13" t="str">
        <f>HYPERLINK(AC2 &amp; "/wrench/sn_f11cdbe0d4fc8e6ec8621169acea877/rendering/06.xyz", "0.0")</f>
        <v>0.0</v>
      </c>
      <c r="J2871" s="13" t="str">
        <f>HYPERLINK(AC2 &amp; "/wrench/sn_f11cdbe0d4fc8e6ec8621169acea877/rendering/07.xyz", "0.0")</f>
        <v>0.0</v>
      </c>
      <c r="K2871" s="13" t="str">
        <f>HYPERLINK(AC2 &amp; "/wrench/sn_f11cdbe0d4fc8e6ec8621169acea877/rendering/08.xyz", "0.0")</f>
        <v>0.0</v>
      </c>
      <c r="L2871" s="13" t="str">
        <f>HYPERLINK(AC2 &amp; "/wrench/sn_f11cdbe0d4fc8e6ec8621169acea877/rendering/09.xyz", "0.0")</f>
        <v>0.0</v>
      </c>
      <c r="M2871" s="13" t="str">
        <f>HYPERLINK(AC2 &amp; "/wrench/sn_f11cdbe0d4fc8e6ec8621169acea877/rendering/10.xyz", "0.0")</f>
        <v>0.0</v>
      </c>
      <c r="N2871" s="13" t="str">
        <f>HYPERLINK(AC2 &amp; "/wrench/sn_f11cdbe0d4fc8e6ec8621169acea877/rendering/11.xyz", "0.0")</f>
        <v>0.0</v>
      </c>
      <c r="O2871" s="13" t="str">
        <f>HYPERLINK(AC2 &amp; "/wrench/sn_f11cdbe0d4fc8e6ec8621169acea877/rendering/12.xyz", "0.0")</f>
        <v>0.0</v>
      </c>
      <c r="P2871" s="13" t="str">
        <f>HYPERLINK(AC2 &amp; "/wrench/sn_f11cdbe0d4fc8e6ec8621169acea877/rendering/13.xyz", "0.0")</f>
        <v>0.0</v>
      </c>
      <c r="Q2871" s="13" t="str">
        <f>HYPERLINK(AC2 &amp; "/wrench/sn_f11cdbe0d4fc8e6ec8621169acea877/rendering/14.xyz", "0.0")</f>
        <v>0.0</v>
      </c>
      <c r="R2871" s="13" t="str">
        <f>HYPERLINK(AC2 &amp; "/wrench/sn_f11cdbe0d4fc8e6ec8621169acea877/rendering/15.xyz", "0.0")</f>
        <v>0.0</v>
      </c>
      <c r="S2871" s="13" t="str">
        <f>HYPERLINK(AC2 &amp; "/wrench/sn_f11cdbe0d4fc8e6ec8621169acea877/rendering/16.xyz", "0.0")</f>
        <v>0.0</v>
      </c>
      <c r="T2871" s="13" t="str">
        <f>HYPERLINK(AC2 &amp; "/wrench/sn_f11cdbe0d4fc8e6ec8621169acea877/rendering/17.xyz", "0.0")</f>
        <v>0.0</v>
      </c>
      <c r="U2871" s="13" t="str">
        <f>HYPERLINK(AC2 &amp; "/wrench/sn_f11cdbe0d4fc8e6ec8621169acea877/rendering/18.xyz", "0.0")</f>
        <v>0.0</v>
      </c>
      <c r="V2871" s="13" t="str">
        <f>HYPERLINK(AC2 &amp; "/wrench/sn_f11cdbe0d4fc8e6ec8621169acea877/rendering/19.xyz", "0.0")</f>
        <v>0.0</v>
      </c>
      <c r="W2871" s="12" t="s">
        <v>33</v>
      </c>
      <c r="X2871" s="13">
        <v>0</v>
      </c>
      <c r="Y2871" s="13">
        <v>0</v>
      </c>
      <c r="Z2871" s="13">
        <v>0</v>
      </c>
    </row>
    <row r="2872" spans="1:26" x14ac:dyDescent="0.2">
      <c r="A2872" s="1">
        <v>2870</v>
      </c>
      <c r="B2872" s="2" t="s">
        <v>607</v>
      </c>
      <c r="C2872" s="42" t="str">
        <f>HYPERLINK(AA2 &amp; "/wrench/sn_f82b6ea419659737e4e346ee2650d150/rendering/00.obj", "6.36672241211")</f>
        <v>6.36672241211</v>
      </c>
      <c r="D2872" s="92" t="str">
        <f>HYPERLINK(AA2 &amp; "/wrench/sn_f82b6ea419659737e4e346ee2650d150/rendering/01.obj", "6.46905212402")</f>
        <v>6.46905212402</v>
      </c>
      <c r="E2872" s="84" t="str">
        <f>HYPERLINK(AA2 &amp; "/wrench/sn_f82b6ea419659737e4e346ee2650d150/rendering/02.obj", "6.28680297852")</f>
        <v>6.28680297852</v>
      </c>
      <c r="F2872" s="61" t="str">
        <f>HYPERLINK(AA2 &amp; "/wrench/sn_f82b6ea419659737e4e346ee2650d150/rendering/03.obj", "9.59707397461")</f>
        <v>9.59707397461</v>
      </c>
      <c r="G2872" s="68" t="str">
        <f>HYPERLINK(AA2 &amp; "/wrench/sn_f82b6ea419659737e4e346ee2650d150/rendering/04.obj", "7.69661315918")</f>
        <v>7.69661315918</v>
      </c>
      <c r="H2872" s="78" t="str">
        <f>HYPERLINK(AA2 &amp; "/wrench/sn_f82b6ea419659737e4e346ee2650d150/rendering/05.obj", "6.93147094727")</f>
        <v>6.93147094727</v>
      </c>
      <c r="I2872" s="247" t="str">
        <f>HYPERLINK(AA2 &amp; "/wrench/sn_f82b6ea419659737e4e346ee2650d150/rendering/06.obj", "12.9332763672")</f>
        <v>12.9332763672</v>
      </c>
      <c r="J2872" s="120" t="str">
        <f>HYPERLINK(AA2 &amp; "/wrench/sn_f82b6ea419659737e4e346ee2650d150/rendering/07.obj", "5.80721740723")</f>
        <v>5.80721740723</v>
      </c>
      <c r="K2872" s="80" t="str">
        <f>HYPERLINK(AA2 &amp; "/wrench/sn_f82b6ea419659737e4e346ee2650d150/rendering/08.obj", "8.46031616211")</f>
        <v>8.46031616211</v>
      </c>
      <c r="L2872" s="5" t="str">
        <f>HYPERLINK(AA2 &amp; "/wrench/sn_f82b6ea419659737e4e346ee2650d150/rendering/09.obj", "6.81115600586")</f>
        <v>6.81115600586</v>
      </c>
      <c r="M2872" s="70" t="str">
        <f>HYPERLINK(AA2 &amp; "/wrench/sn_f82b6ea419659737e4e346ee2650d150/rendering/10.obj", "6.43743164063")</f>
        <v>6.43743164063</v>
      </c>
      <c r="N2872" s="35" t="str">
        <f>HYPERLINK(AA2 &amp; "/wrench/sn_f82b6ea419659737e4e346ee2650d150/rendering/11.obj", "6.9473034668")</f>
        <v>6.9473034668</v>
      </c>
      <c r="O2872" s="41" t="str">
        <f>HYPERLINK(AA2 &amp; "/wrench/sn_f82b6ea419659737e4e346ee2650d150/rendering/12.obj", "6.86655273438")</f>
        <v>6.86655273438</v>
      </c>
      <c r="P2872" s="37" t="str">
        <f>HYPERLINK(AA2 &amp; "/wrench/sn_f82b6ea419659737e4e346ee2650d150/rendering/13.obj", "8.66378540039")</f>
        <v>8.66378540039</v>
      </c>
      <c r="Q2872" s="90" t="str">
        <f>HYPERLINK(AA2 &amp; "/wrench/sn_f82b6ea419659737e4e346ee2650d150/rendering/14.obj", "6.67156860352")</f>
        <v>6.67156860352</v>
      </c>
      <c r="R2872" s="46" t="str">
        <f>HYPERLINK(AA2 &amp; "/wrench/sn_f82b6ea419659737e4e346ee2650d150/rendering/15.obj", "7.24442138672")</f>
        <v>7.24442138672</v>
      </c>
      <c r="S2872" s="84" t="str">
        <f>HYPERLINK(AA2 &amp; "/wrench/sn_f82b6ea419659737e4e346ee2650d150/rendering/16.obj", "8.44999755859")</f>
        <v>8.44999755859</v>
      </c>
      <c r="T2872" s="76" t="str">
        <f>HYPERLINK(AA2 &amp; "/wrench/sn_f82b6ea419659737e4e346ee2650d150/rendering/17.obj", "6.03016723633")</f>
        <v>6.03016723633</v>
      </c>
      <c r="U2872" s="77" t="str">
        <f>HYPERLINK(AA2 &amp; "/wrench/sn_f82b6ea419659737e4e346ee2650d150/rendering/18.obj", "6.00225463867")</f>
        <v>6.00225463867</v>
      </c>
      <c r="V2872" s="51" t="str">
        <f>HYPERLINK(AA2 &amp; "/wrench/sn_f82b6ea419659737e4e346ee2650d150/rendering/19.obj", "6.7878503418")</f>
        <v>6.7878503418</v>
      </c>
      <c r="W2872" s="12" t="s">
        <v>29</v>
      </c>
      <c r="X2872" s="13">
        <v>7.3730517272949214</v>
      </c>
      <c r="Y2872" s="13">
        <v>1.609256329581908</v>
      </c>
      <c r="Z2872" s="81">
        <v>0.2182619068878178</v>
      </c>
    </row>
    <row r="2873" spans="1:26" x14ac:dyDescent="0.2">
      <c r="A2873" s="1">
        <v>2871</v>
      </c>
      <c r="B2873" s="2" t="s">
        <v>607</v>
      </c>
      <c r="C2873" s="86" t="str">
        <f>HYPERLINK(AA2 &amp; "/wrench/sn_f82b6ea419659737e4e346ee2650d150/rendering/00.obj", "2.38405394554")</f>
        <v>2.38405394554</v>
      </c>
      <c r="D2873" s="168" t="str">
        <f>HYPERLINK(AA2 &amp; "/wrench/sn_f82b6ea419659737e4e346ee2650d150/rendering/01.obj", "2.21529102325")</f>
        <v>2.21529102325</v>
      </c>
      <c r="E2873" s="227" t="str">
        <f>HYPERLINK(AA2 &amp; "/wrench/sn_f82b6ea419659737e4e346ee2650d150/rendering/02.obj", "1.59273648262")</f>
        <v>1.59273648262</v>
      </c>
      <c r="F2873" s="20" t="str">
        <f>HYPERLINK(AA2 &amp; "/wrench/sn_f82b6ea419659737e4e346ee2650d150/rendering/03.obj", "6.1898651123")</f>
        <v>6.1898651123</v>
      </c>
      <c r="G2873" s="71" t="str">
        <f>HYPERLINK(AA2 &amp; "/wrench/sn_f82b6ea419659737e4e346ee2650d150/rendering/04.obj", "2.87527132034")</f>
        <v>2.87527132034</v>
      </c>
      <c r="H2873" s="227" t="str">
        <f>HYPERLINK(AA2 &amp; "/wrench/sn_f82b6ea419659737e4e346ee2650d150/rendering/05.obj", "1.59968972206")</f>
        <v>1.59968972206</v>
      </c>
      <c r="I2873" s="20" t="str">
        <f>HYPERLINK(AA2 &amp; "/wrench/sn_f82b6ea419659737e4e346ee2650d150/rendering/06.obj", "10.7491950989")</f>
        <v>10.7491950989</v>
      </c>
      <c r="J2873" s="101" t="str">
        <f>HYPERLINK(AA2 &amp; "/wrench/sn_f82b6ea419659737e4e346ee2650d150/rendering/07.obj", "2.03121638298")</f>
        <v>2.03121638298</v>
      </c>
      <c r="K2873" s="132" t="str">
        <f>HYPERLINK(AA2 &amp; "/wrench/sn_f82b6ea419659737e4e346ee2650d150/rendering/08.obj", "4.62417554855")</f>
        <v>4.62417554855</v>
      </c>
      <c r="L2873" s="73" t="str">
        <f>HYPERLINK(AA2 &amp; "/wrench/sn_f82b6ea419659737e4e346ee2650d150/rendering/09.obj", "3.13747620583")</f>
        <v>3.13747620583</v>
      </c>
      <c r="M2873" s="127" t="str">
        <f>HYPERLINK(AA2 &amp; "/wrench/sn_f82b6ea419659737e4e346ee2650d150/rendering/10.obj", "1.56383562088")</f>
        <v>1.56383562088</v>
      </c>
      <c r="N2873" s="102" t="str">
        <f>HYPERLINK(AA2 &amp; "/wrench/sn_f82b6ea419659737e4e346ee2650d150/rendering/11.obj", "1.63427889347")</f>
        <v>1.63427889347</v>
      </c>
      <c r="O2873" s="80" t="str">
        <f>HYPERLINK(AA2 &amp; "/wrench/sn_f82b6ea419659737e4e346ee2650d150/rendering/12.obj", "3.73959183693")</f>
        <v>3.73959183693</v>
      </c>
      <c r="P2873" s="201" t="str">
        <f>HYPERLINK(AA2 &amp; "/wrench/sn_f82b6ea419659737e4e346ee2650d150/rendering/13.obj", "5.15803194046")</f>
        <v>5.15803194046</v>
      </c>
      <c r="Q2873" s="191" t="str">
        <f>HYPERLINK(AA2 &amp; "/wrench/sn_f82b6ea419659737e4e346ee2650d150/rendering/14.obj", "1.77718734741")</f>
        <v>1.77718734741</v>
      </c>
      <c r="R2873" s="18" t="str">
        <f>HYPERLINK(AA2 &amp; "/wrench/sn_f82b6ea419659737e4e346ee2650d150/rendering/15.obj", "5.14531755447")</f>
        <v>5.14531755447</v>
      </c>
      <c r="S2873" s="48" t="str">
        <f>HYPERLINK(AA2 &amp; "/wrench/sn_f82b6ea419659737e4e346ee2650d150/rendering/16.obj", "3.33375430107")</f>
        <v>3.33375430107</v>
      </c>
      <c r="T2873" s="111" t="str">
        <f>HYPERLINK(AA2 &amp; "/wrench/sn_f82b6ea419659737e4e346ee2650d150/rendering/17.obj", "1.87882971764")</f>
        <v>1.87882971764</v>
      </c>
      <c r="U2873" s="21" t="str">
        <f>HYPERLINK(AA2 &amp; "/wrench/sn_f82b6ea419659737e4e346ee2650d150/rendering/18.obj", "1.45636463165")</f>
        <v>1.45636463165</v>
      </c>
      <c r="V2873" s="96" t="str">
        <f>HYPERLINK(AA2 &amp; "/wrench/sn_f82b6ea419659737e4e346ee2650d150/rendering/19.obj", "2.07329034805")</f>
        <v>2.07329034805</v>
      </c>
      <c r="W2873" s="12" t="s">
        <v>30</v>
      </c>
      <c r="X2873" s="13">
        <v>3.2579726517200469</v>
      </c>
      <c r="Y2873" s="13">
        <v>2.2054609774387819</v>
      </c>
      <c r="Z2873" s="155">
        <v>0.67694275342501986</v>
      </c>
    </row>
    <row r="2874" spans="1:26" x14ac:dyDescent="0.2">
      <c r="A2874" s="1">
        <v>2872</v>
      </c>
      <c r="B2874" s="2" t="s">
        <v>607</v>
      </c>
      <c r="C2874" s="41" t="str">
        <f>HYPERLINK(AB2 &amp; "/wrench/sn_f82b6ea419659737e4e346ee2650d150/rendering/00.obj", "5.40913269043")</f>
        <v>5.40913269043</v>
      </c>
      <c r="D2874" s="27" t="str">
        <f>HYPERLINK(AB2 &amp; "/wrench/sn_f82b6ea419659737e4e346ee2650d150/rendering/01.obj", "5.38108642578")</f>
        <v>5.38108642578</v>
      </c>
      <c r="E2874" s="60" t="str">
        <f>HYPERLINK(AB2 &amp; "/wrench/sn_f82b6ea419659737e4e346ee2650d150/rendering/02.obj", "6.09582702637")</f>
        <v>6.09582702637</v>
      </c>
      <c r="F2874" s="30" t="str">
        <f>HYPERLINK(AB2 &amp; "/wrench/sn_f82b6ea419659737e4e346ee2650d150/rendering/03.obj", "5.8267578125")</f>
        <v>5.8267578125</v>
      </c>
      <c r="G2874" s="31" t="str">
        <f>HYPERLINK(AB2 &amp; "/wrench/sn_f82b6ea419659737e4e346ee2650d150/rendering/04.obj", "6.69818847656")</f>
        <v>6.69818847656</v>
      </c>
      <c r="H2874" s="35" t="str">
        <f>HYPERLINK(AB2 &amp; "/wrench/sn_f82b6ea419659737e4e346ee2650d150/rendering/05.obj", "5.45830566406")</f>
        <v>5.45830566406</v>
      </c>
      <c r="I2874" s="26" t="str">
        <f>HYPERLINK(AB2 &amp; "/wrench/sn_f82b6ea419659737e4e346ee2650d150/rendering/06.obj", "6.18079711914")</f>
        <v>6.18079711914</v>
      </c>
      <c r="J2874" s="26" t="str">
        <f>HYPERLINK(AB2 &amp; "/wrench/sn_f82b6ea419659737e4e346ee2650d150/rendering/07.obj", "6.17904602051")</f>
        <v>6.17904602051</v>
      </c>
      <c r="K2874" s="13" t="str">
        <f>HYPERLINK(AB2 &amp; "/wrench/sn_f82b6ea419659737e4e346ee2650d150/rendering/08.obj", "5.80686645508")</f>
        <v>5.80686645508</v>
      </c>
      <c r="L2874" s="94" t="str">
        <f>HYPERLINK(AB2 &amp; "/wrench/sn_f82b6ea419659737e4e346ee2650d150/rendering/09.obj", "5.37321350098")</f>
        <v>5.37321350098</v>
      </c>
      <c r="M2874" s="48" t="str">
        <f>HYPERLINK(AB2 &amp; "/wrench/sn_f82b6ea419659737e4e346ee2650d150/rendering/10.obj", "5.94317382813")</f>
        <v>5.94317382813</v>
      </c>
      <c r="N2874" s="13" t="str">
        <f>HYPERLINK(AB2 &amp; "/wrench/sn_f82b6ea419659737e4e346ee2650d150/rendering/11.obj", "5.81233398437")</f>
        <v>5.81233398437</v>
      </c>
      <c r="O2874" s="23" t="str">
        <f>HYPERLINK(AB2 &amp; "/wrench/sn_f82b6ea419659737e4e346ee2650d150/rendering/12.obj", "6.01805053711")</f>
        <v>6.01805053711</v>
      </c>
      <c r="P2874" s="41" t="str">
        <f>HYPERLINK(AB2 &amp; "/wrench/sn_f82b6ea419659737e4e346ee2650d150/rendering/13.obj", "6.19364624023")</f>
        <v>6.19364624023</v>
      </c>
      <c r="Q2874" s="35" t="str">
        <f>HYPERLINK(AB2 &amp; "/wrench/sn_f82b6ea419659737e4e346ee2650d150/rendering/14.obj", "5.46239013672")</f>
        <v>5.46239013672</v>
      </c>
      <c r="R2874" s="107" t="str">
        <f>HYPERLINK(AB2 &amp; "/wrench/sn_f82b6ea419659737e4e346ee2650d150/rendering/15.obj", "5.31614196777")</f>
        <v>5.31614196777</v>
      </c>
      <c r="S2874" s="47" t="str">
        <f>HYPERLINK(AB2 &amp; "/wrench/sn_f82b6ea419659737e4e346ee2650d150/rendering/16.obj", "5.8400402832")</f>
        <v>5.8400402832</v>
      </c>
      <c r="T2874" s="35" t="str">
        <f>HYPERLINK(AB2 &amp; "/wrench/sn_f82b6ea419659737e4e346ee2650d150/rendering/17.obj", "5.46919799805")</f>
        <v>5.46919799805</v>
      </c>
      <c r="U2874" s="68" t="str">
        <f>HYPERLINK(AB2 &amp; "/wrench/sn_f82b6ea419659737e4e346ee2650d150/rendering/18.obj", "6.05151611328")</f>
        <v>6.05151611328</v>
      </c>
      <c r="V2874" s="10" t="str">
        <f>HYPERLINK(AB2 &amp; "/wrench/sn_f82b6ea419659737e4e346ee2650d150/rendering/19.obj", "5.47405761719")</f>
        <v>5.47405761719</v>
      </c>
      <c r="W2874" s="12" t="s">
        <v>31</v>
      </c>
      <c r="X2874" s="13">
        <v>5.7994884948730476</v>
      </c>
      <c r="Y2874" s="13">
        <v>0.36487321327738398</v>
      </c>
      <c r="Z2874" s="26">
        <v>6.2914723186354243E-2</v>
      </c>
    </row>
    <row r="2875" spans="1:26" x14ac:dyDescent="0.2">
      <c r="A2875" s="1">
        <v>2873</v>
      </c>
      <c r="B2875" s="2" t="s">
        <v>607</v>
      </c>
      <c r="C2875" s="94" t="str">
        <f>HYPERLINK(AB2 &amp; "/wrench/sn_f82b6ea419659737e4e346ee2650d150/rendering/00.obj", "1.55259656906")</f>
        <v>1.55259656906</v>
      </c>
      <c r="D2875" s="108" t="str">
        <f>HYPERLINK(AB2 &amp; "/wrench/sn_f82b6ea419659737e4e346ee2650d150/rendering/01.obj", "1.26392650604")</f>
        <v>1.26392650604</v>
      </c>
      <c r="E2875" s="93" t="str">
        <f>HYPERLINK(AB2 &amp; "/wrench/sn_f82b6ea419659737e4e346ee2650d150/rendering/02.obj", "1.91266775131")</f>
        <v>1.91266775131</v>
      </c>
      <c r="F2875" s="10" t="str">
        <f>HYPERLINK(AB2 &amp; "/wrench/sn_f82b6ea419659737e4e346ee2650d150/rendering/03.obj", "1.58818888664")</f>
        <v>1.58818888664</v>
      </c>
      <c r="G2875" s="128" t="str">
        <f>HYPERLINK(AB2 &amp; "/wrench/sn_f82b6ea419659737e4e346ee2650d150/rendering/04.obj", "2.33494114876")</f>
        <v>2.33494114876</v>
      </c>
      <c r="H2875" s="30" t="str">
        <f>HYPERLINK(AB2 &amp; "/wrench/sn_f82b6ea419659737e4e346ee2650d150/rendering/05.obj", "1.68381547928")</f>
        <v>1.68381547928</v>
      </c>
      <c r="I2875" s="23" t="str">
        <f>HYPERLINK(AB2 &amp; "/wrench/sn_f82b6ea419659737e4e346ee2650d150/rendering/06.obj", "1.6112651825")</f>
        <v>1.6112651825</v>
      </c>
      <c r="J2875" s="35" t="str">
        <f>HYPERLINK(AB2 &amp; "/wrench/sn_f82b6ea419659737e4e346ee2650d150/rendering/07.obj", "1.58035957813")</f>
        <v>1.58035957813</v>
      </c>
      <c r="K2875" s="66" t="str">
        <f>HYPERLINK(AB2 &amp; "/wrench/sn_f82b6ea419659737e4e346ee2650d150/rendering/08.obj", "1.40827941895")</f>
        <v>1.40827941895</v>
      </c>
      <c r="L2875" s="134" t="str">
        <f>HYPERLINK(AB2 &amp; "/wrench/sn_f82b6ea419659737e4e346ee2650d150/rendering/09.obj", "1.37776947021")</f>
        <v>1.37776947021</v>
      </c>
      <c r="M2875" s="55" t="str">
        <f>HYPERLINK(AB2 &amp; "/wrench/sn_f82b6ea419659737e4e346ee2650d150/rendering/10.obj", "2.00320386887")</f>
        <v>2.00320386887</v>
      </c>
      <c r="N2875" s="65" t="str">
        <f>HYPERLINK(AB2 &amp; "/wrench/sn_f82b6ea419659737e4e346ee2650d150/rendering/11.obj", "1.45479011536")</f>
        <v>1.45479011536</v>
      </c>
      <c r="O2875" s="88" t="str">
        <f>HYPERLINK(AB2 &amp; "/wrench/sn_f82b6ea419659737e4e346ee2650d150/rendering/12.obj", "2.02037596703")</f>
        <v>2.02037596703</v>
      </c>
      <c r="P2875" s="72" t="str">
        <f>HYPERLINK(AB2 &amp; "/wrench/sn_f82b6ea419659737e4e346ee2650d150/rendering/13.obj", "1.62511086464")</f>
        <v>1.62511086464</v>
      </c>
      <c r="Q2875" s="8" t="str">
        <f>HYPERLINK(AB2 &amp; "/wrench/sn_f82b6ea419659737e4e346ee2650d150/rendering/14.obj", "1.91994488239")</f>
        <v>1.91994488239</v>
      </c>
      <c r="R2875" s="106" t="str">
        <f>HYPERLINK(AB2 &amp; "/wrench/sn_f82b6ea419659737e4e346ee2650d150/rendering/15.obj", "1.48541712761")</f>
        <v>1.48541712761</v>
      </c>
      <c r="S2875" s="110" t="str">
        <f>HYPERLINK(AB2 &amp; "/wrench/sn_f82b6ea419659737e4e346ee2650d150/rendering/16.obj", "1.51162648201")</f>
        <v>1.51162648201</v>
      </c>
      <c r="T2875" s="72" t="str">
        <f>HYPERLINK(AB2 &amp; "/wrench/sn_f82b6ea419659737e4e346ee2650d150/rendering/17.obj", "1.6236833334")</f>
        <v>1.6236833334</v>
      </c>
      <c r="U2875" s="55" t="str">
        <f>HYPERLINK(AB2 &amp; "/wrench/sn_f82b6ea419659737e4e346ee2650d150/rendering/18.obj", "2.00260353088")</f>
        <v>2.00260353088</v>
      </c>
      <c r="V2875" s="68" t="str">
        <f>HYPERLINK(AB2 &amp; "/wrench/sn_f82b6ea419659737e4e346ee2650d150/rendering/19.obj", "1.60717105865")</f>
        <v>1.60717105865</v>
      </c>
      <c r="W2875" s="12" t="s">
        <v>32</v>
      </c>
      <c r="X2875" s="13">
        <v>1.6783868610858921</v>
      </c>
      <c r="Y2875" s="13">
        <v>0.26182379751083301</v>
      </c>
      <c r="Z2875" s="31">
        <v>0.15599728738429039</v>
      </c>
    </row>
    <row r="2876" spans="1:26" x14ac:dyDescent="0.2">
      <c r="A2876" s="1">
        <v>2874</v>
      </c>
      <c r="B2876" s="2" t="s">
        <v>607</v>
      </c>
      <c r="C2876" s="13" t="str">
        <f>HYPERLINK(AC2 &amp; "/wrench/sn_f82b6ea419659737e4e346ee2650d150/rendering/00.xyz", "0.0")</f>
        <v>0.0</v>
      </c>
      <c r="D2876" s="13" t="str">
        <f>HYPERLINK(AC2 &amp; "/wrench/sn_f82b6ea419659737e4e346ee2650d150/rendering/01.xyz", "0.0")</f>
        <v>0.0</v>
      </c>
      <c r="E2876" s="13" t="str">
        <f>HYPERLINK(AC2 &amp; "/wrench/sn_f82b6ea419659737e4e346ee2650d150/rendering/02.xyz", "0.0")</f>
        <v>0.0</v>
      </c>
      <c r="F2876" s="13" t="str">
        <f>HYPERLINK(AC2 &amp; "/wrench/sn_f82b6ea419659737e4e346ee2650d150/rendering/03.xyz", "0.0")</f>
        <v>0.0</v>
      </c>
      <c r="G2876" s="13" t="str">
        <f>HYPERLINK(AC2 &amp; "/wrench/sn_f82b6ea419659737e4e346ee2650d150/rendering/04.xyz", "0.0")</f>
        <v>0.0</v>
      </c>
      <c r="H2876" s="13" t="str">
        <f>HYPERLINK(AC2 &amp; "/wrench/sn_f82b6ea419659737e4e346ee2650d150/rendering/05.xyz", "0.0")</f>
        <v>0.0</v>
      </c>
      <c r="I2876" s="13" t="str">
        <f>HYPERLINK(AC2 &amp; "/wrench/sn_f82b6ea419659737e4e346ee2650d150/rendering/06.xyz", "0.0")</f>
        <v>0.0</v>
      </c>
      <c r="J2876" s="13" t="str">
        <f>HYPERLINK(AC2 &amp; "/wrench/sn_f82b6ea419659737e4e346ee2650d150/rendering/07.xyz", "0.0")</f>
        <v>0.0</v>
      </c>
      <c r="K2876" s="13" t="str">
        <f>HYPERLINK(AC2 &amp; "/wrench/sn_f82b6ea419659737e4e346ee2650d150/rendering/08.xyz", "0.0")</f>
        <v>0.0</v>
      </c>
      <c r="L2876" s="13" t="str">
        <f>HYPERLINK(AC2 &amp; "/wrench/sn_f82b6ea419659737e4e346ee2650d150/rendering/09.xyz", "0.0")</f>
        <v>0.0</v>
      </c>
      <c r="M2876" s="13" t="str">
        <f>HYPERLINK(AC2 &amp; "/wrench/sn_f82b6ea419659737e4e346ee2650d150/rendering/10.xyz", "0.0")</f>
        <v>0.0</v>
      </c>
      <c r="N2876" s="13" t="str">
        <f>HYPERLINK(AC2 &amp; "/wrench/sn_f82b6ea419659737e4e346ee2650d150/rendering/11.xyz", "0.0")</f>
        <v>0.0</v>
      </c>
      <c r="O2876" s="13" t="str">
        <f>HYPERLINK(AC2 &amp; "/wrench/sn_f82b6ea419659737e4e346ee2650d150/rendering/12.xyz", "0.0")</f>
        <v>0.0</v>
      </c>
      <c r="P2876" s="13" t="str">
        <f>HYPERLINK(AC2 &amp; "/wrench/sn_f82b6ea419659737e4e346ee2650d150/rendering/13.xyz", "0.0")</f>
        <v>0.0</v>
      </c>
      <c r="Q2876" s="13" t="str">
        <f>HYPERLINK(AC2 &amp; "/wrench/sn_f82b6ea419659737e4e346ee2650d150/rendering/14.xyz", "0.0")</f>
        <v>0.0</v>
      </c>
      <c r="R2876" s="13" t="str">
        <f>HYPERLINK(AC2 &amp; "/wrench/sn_f82b6ea419659737e4e346ee2650d150/rendering/15.xyz", "0.0")</f>
        <v>0.0</v>
      </c>
      <c r="S2876" s="13" t="str">
        <f>HYPERLINK(AC2 &amp; "/wrench/sn_f82b6ea419659737e4e346ee2650d150/rendering/16.xyz", "0.0")</f>
        <v>0.0</v>
      </c>
      <c r="T2876" s="13" t="str">
        <f>HYPERLINK(AC2 &amp; "/wrench/sn_f82b6ea419659737e4e346ee2650d150/rendering/17.xyz", "0.0")</f>
        <v>0.0</v>
      </c>
      <c r="U2876" s="13" t="str">
        <f>HYPERLINK(AC2 &amp; "/wrench/sn_f82b6ea419659737e4e346ee2650d150/rendering/18.xyz", "0.0")</f>
        <v>0.0</v>
      </c>
      <c r="V2876" s="13" t="str">
        <f>HYPERLINK(AC2 &amp; "/wrench/sn_f82b6ea419659737e4e346ee2650d150/rendering/19.xyz", "0.0")</f>
        <v>0.0</v>
      </c>
      <c r="W2876" s="12" t="s">
        <v>33</v>
      </c>
      <c r="X2876" s="13">
        <v>0</v>
      </c>
      <c r="Y2876" s="13">
        <v>0</v>
      </c>
      <c r="Z2876" s="13">
        <v>0</v>
      </c>
    </row>
    <row r="2877" spans="1:26" x14ac:dyDescent="0.2">
      <c r="A2877" s="1">
        <v>2875</v>
      </c>
      <c r="B2877" s="2" t="s">
        <v>608</v>
      </c>
      <c r="C2877" s="40" t="str">
        <f>HYPERLINK(AA2 &amp; "/wrench/sn_fc2fa4934cfb3483a92365172dd4f804/rendering/00.obj", "4.53071350098")</f>
        <v>4.53071350098</v>
      </c>
      <c r="D2877" s="51" t="str">
        <f>HYPERLINK(AA2 &amp; "/wrench/sn_fc2fa4934cfb3483a92365172dd4f804/rendering/01.obj", "5.0407824707")</f>
        <v>5.0407824707</v>
      </c>
      <c r="E2877" s="41" t="str">
        <f>HYPERLINK(AA2 &amp; "/wrench/sn_fc2fa4934cfb3483a92365172dd4f804/rendering/02.obj", "5.10368652344")</f>
        <v>5.10368652344</v>
      </c>
      <c r="F2877" s="28" t="str">
        <f>HYPERLINK(AA2 &amp; "/wrench/sn_fc2fa4934cfb3483a92365172dd4f804/rendering/03.obj", "6.08525634766")</f>
        <v>6.08525634766</v>
      </c>
      <c r="G2877" s="92" t="str">
        <f>HYPERLINK(AA2 &amp; "/wrench/sn_fc2fa4934cfb3483a92365172dd4f804/rendering/04.obj", "4.80200164795")</f>
        <v>4.80200164795</v>
      </c>
      <c r="H2877" s="17" t="str">
        <f>HYPERLINK(AA2 &amp; "/wrench/sn_fc2fa4934cfb3483a92365172dd4f804/rendering/05.obj", "5.59101196289")</f>
        <v>5.59101196289</v>
      </c>
      <c r="I2877" s="68" t="str">
        <f>HYPERLINK(AA2 &amp; "/wrench/sn_fc2fa4934cfb3483a92365172dd4f804/rendering/06.obj", "5.23850158691")</f>
        <v>5.23850158691</v>
      </c>
      <c r="J2877" s="30" t="str">
        <f>HYPERLINK(AA2 &amp; "/wrench/sn_fc2fa4934cfb3483a92365172dd4f804/rendering/07.obj", "5.49001586914")</f>
        <v>5.49001586914</v>
      </c>
      <c r="K2877" s="80" t="str">
        <f>HYPERLINK(AA2 &amp; "/wrench/sn_fc2fa4934cfb3483a92365172dd4f804/rendering/08.obj", "4.65416717529")</f>
        <v>4.65416717529</v>
      </c>
      <c r="L2877" s="65" t="str">
        <f>HYPERLINK(AA2 &amp; "/wrench/sn_fc2fa4934cfb3483a92365172dd4f804/rendering/09.obj", "4.75004272461")</f>
        <v>4.75004272461</v>
      </c>
      <c r="M2877" s="92" t="str">
        <f>HYPERLINK(AA2 &amp; "/wrench/sn_fc2fa4934cfb3483a92365172dd4f804/rendering/10.obj", "4.79406829834")</f>
        <v>4.79406829834</v>
      </c>
      <c r="N2877" s="88" t="str">
        <f>HYPERLINK(AA2 &amp; "/wrench/sn_fc2fa4934cfb3483a92365172dd4f804/rendering/11.obj", "6.58669311523")</f>
        <v>6.58669311523</v>
      </c>
      <c r="O2877" s="84" t="str">
        <f>HYPERLINK(AA2 &amp; "/wrench/sn_fc2fa4934cfb3483a92365172dd4f804/rendering/12.obj", "4.66589324951")</f>
        <v>4.66589324951</v>
      </c>
      <c r="P2877" s="94" t="str">
        <f>HYPERLINK(AA2 &amp; "/wrench/sn_fc2fa4934cfb3483a92365172dd4f804/rendering/13.obj", "5.07647216797")</f>
        <v>5.07647216797</v>
      </c>
      <c r="Q2877" s="17" t="str">
        <f>HYPERLINK(AA2 &amp; "/wrench/sn_fc2fa4934cfb3483a92365172dd4f804/rendering/14.obj", "5.57786743164")</f>
        <v>5.57786743164</v>
      </c>
      <c r="R2877" s="5" t="str">
        <f>HYPERLINK(AA2 &amp; "/wrench/sn_fc2fa4934cfb3483a92365172dd4f804/rendering/15.obj", "5.04807373047")</f>
        <v>5.04807373047</v>
      </c>
      <c r="S2877" s="218" t="str">
        <f>HYPERLINK(AA2 &amp; "/wrench/sn_fc2fa4934cfb3483a92365172dd4f804/rendering/16.obj", "8.2910144043")</f>
        <v>8.2910144043</v>
      </c>
      <c r="T2877" s="91" t="str">
        <f>HYPERLINK(AA2 &amp; "/wrench/sn_fc2fa4934cfb3483a92365172dd4f804/rendering/17.obj", "5.62645263672")</f>
        <v>5.62645263672</v>
      </c>
      <c r="U2877" s="72" t="str">
        <f>HYPERLINK(AA2 &amp; "/wrench/sn_fc2fa4934cfb3483a92365172dd4f804/rendering/18.obj", "5.29017944336")</f>
        <v>5.29017944336</v>
      </c>
      <c r="V2877" s="57" t="str">
        <f>HYPERLINK(AA2 &amp; "/wrench/sn_fc2fa4934cfb3483a92365172dd4f804/rendering/19.obj", "7.2033807373")</f>
        <v>7.2033807373</v>
      </c>
      <c r="W2877" s="12" t="s">
        <v>29</v>
      </c>
      <c r="X2877" s="13">
        <v>5.4723137512207032</v>
      </c>
      <c r="Y2877" s="13">
        <v>0.92174902418021842</v>
      </c>
      <c r="Z2877" s="24">
        <v>0.16843862871981799</v>
      </c>
    </row>
    <row r="2878" spans="1:26" x14ac:dyDescent="0.2">
      <c r="A2878" s="1">
        <v>2876</v>
      </c>
      <c r="B2878" s="2" t="s">
        <v>608</v>
      </c>
      <c r="C2878" s="142" t="str">
        <f>HYPERLINK(AA2 &amp; "/wrench/sn_fc2fa4934cfb3483a92365172dd4f804/rendering/00.obj", "1.60097634792")</f>
        <v>1.60097634792</v>
      </c>
      <c r="D2878" s="43" t="str">
        <f>HYPERLINK(AA2 &amp; "/wrench/sn_fc2fa4934cfb3483a92365172dd4f804/rendering/01.obj", "1.64848053455")</f>
        <v>1.64848053455</v>
      </c>
      <c r="E2878" s="57" t="str">
        <f>HYPERLINK(AA2 &amp; "/wrench/sn_fc2fa4934cfb3483a92365172dd4f804/rendering/02.obj", "1.8077776432")</f>
        <v>1.8077776432</v>
      </c>
      <c r="F2878" s="8" t="str">
        <f>HYPERLINK(AA2 &amp; "/wrench/sn_fc2fa4934cfb3483a92365172dd4f804/rendering/03.obj", "3.01340198517")</f>
        <v>3.01340198517</v>
      </c>
      <c r="G2878" s="124" t="str">
        <f>HYPERLINK(AA2 &amp; "/wrench/sn_fc2fa4934cfb3483a92365172dd4f804/rendering/04.obj", "1.63632452488")</f>
        <v>1.63632452488</v>
      </c>
      <c r="H2878" s="48" t="str">
        <f>HYPERLINK(AA2 &amp; "/wrench/sn_fc2fa4934cfb3483a92365172dd4f804/rendering/05.obj", "2.70483613014")</f>
        <v>2.70483613014</v>
      </c>
      <c r="I2878" s="59" t="str">
        <f>HYPERLINK(AA2 &amp; "/wrench/sn_fc2fa4934cfb3483a92365172dd4f804/rendering/06.obj", "2.00655913353")</f>
        <v>2.00655913353</v>
      </c>
      <c r="J2878" s="149" t="str">
        <f>HYPERLINK(AA2 &amp; "/wrench/sn_fc2fa4934cfb3483a92365172dd4f804/rendering/07.obj", "1.73261392117")</f>
        <v>1.73261392117</v>
      </c>
      <c r="K2878" s="107" t="str">
        <f>HYPERLINK(AA2 &amp; "/wrench/sn_fc2fa4934cfb3483a92365172dd4f804/rendering/08.obj", "2.41825771332")</f>
        <v>2.41825771332</v>
      </c>
      <c r="L2878" s="153" t="str">
        <f>HYPERLINK(AA2 &amp; "/wrench/sn_fc2fa4934cfb3483a92365172dd4f804/rendering/09.obj", "1.7018686533")</f>
        <v>1.7018686533</v>
      </c>
      <c r="M2878" s="63" t="str">
        <f>HYPERLINK(AA2 &amp; "/wrench/sn_fc2fa4934cfb3483a92365172dd4f804/rendering/10.obj", "2.3185403347")</f>
        <v>2.3185403347</v>
      </c>
      <c r="N2878" s="198" t="str">
        <f>HYPERLINK(AA2 &amp; "/wrench/sn_fc2fa4934cfb3483a92365172dd4f804/rendering/11.obj", "3.65843129158")</f>
        <v>3.65843129158</v>
      </c>
      <c r="O2878" s="57" t="str">
        <f>HYPERLINK(AA2 &amp; "/wrench/sn_fc2fa4934cfb3483a92365172dd4f804/rendering/12.obj", "1.80952095985")</f>
        <v>1.80952095985</v>
      </c>
      <c r="P2878" s="176" t="str">
        <f>HYPERLINK(AA2 &amp; "/wrench/sn_fc2fa4934cfb3483a92365172dd4f804/rendering/13.obj", "1.80171871185")</f>
        <v>1.80171871185</v>
      </c>
      <c r="Q2878" s="129" t="str">
        <f>HYPERLINK(AA2 &amp; "/wrench/sn_fc2fa4934cfb3483a92365172dd4f804/rendering/14.obj", "1.98448050022")</f>
        <v>1.98448050022</v>
      </c>
      <c r="R2878" s="176" t="str">
        <f>HYPERLINK(AA2 &amp; "/wrench/sn_fc2fa4934cfb3483a92365172dd4f804/rendering/15.obj", "1.80170464516")</f>
        <v>1.80170464516</v>
      </c>
      <c r="S2878" s="20" t="str">
        <f>HYPERLINK(AA2 &amp; "/wrench/sn_fc2fa4934cfb3483a92365172dd4f804/rendering/16.obj", "5.70645427704")</f>
        <v>5.70645427704</v>
      </c>
      <c r="T2878" s="79" t="str">
        <f>HYPERLINK(AA2 &amp; "/wrench/sn_fc2fa4934cfb3483a92365172dd4f804/rendering/17.obj", "2.22237539291")</f>
        <v>2.22237539291</v>
      </c>
      <c r="U2878" s="140" t="str">
        <f>HYPERLINK(AA2 &amp; "/wrench/sn_fc2fa4934cfb3483a92365172dd4f804/rendering/18.obj", "1.72013926506")</f>
        <v>1.72013926506</v>
      </c>
      <c r="V2878" s="20" t="str">
        <f>HYPERLINK(AA2 &amp; "/wrench/sn_fc2fa4934cfb3483a92365172dd4f804/rendering/19.obj", "9.48906040192")</f>
        <v>9.48906040192</v>
      </c>
      <c r="W2878" s="12" t="s">
        <v>30</v>
      </c>
      <c r="X2878" s="13">
        <v>2.6391761183738711</v>
      </c>
      <c r="Y2878" s="13">
        <v>1.8311039618638789</v>
      </c>
      <c r="Z2878" s="190">
        <v>0.69381650929461836</v>
      </c>
    </row>
    <row r="2879" spans="1:26" x14ac:dyDescent="0.2">
      <c r="A2879" s="1">
        <v>2877</v>
      </c>
      <c r="B2879" s="2" t="s">
        <v>608</v>
      </c>
      <c r="C2879" s="72" t="str">
        <f>HYPERLINK(AB2 &amp; "/wrench/sn_fc2fa4934cfb3483a92365172dd4f804/rendering/00.obj", "4.69961395264")</f>
        <v>4.69961395264</v>
      </c>
      <c r="D2879" s="48" t="str">
        <f>HYPERLINK(AB2 &amp; "/wrench/sn_fc2fa4934cfb3483a92365172dd4f804/rendering/01.obj", "4.98018707275")</f>
        <v>4.98018707275</v>
      </c>
      <c r="E2879" s="47" t="str">
        <f>HYPERLINK(AB2 &amp; "/wrench/sn_fc2fa4934cfb3483a92365172dd4f804/rendering/02.obj", "4.81758636475")</f>
        <v>4.81758636475</v>
      </c>
      <c r="F2879" s="60" t="str">
        <f>HYPERLINK(AB2 &amp; "/wrench/sn_fc2fa4934cfb3483a92365172dd4f804/rendering/03.obj", "4.61040924072")</f>
        <v>4.61040924072</v>
      </c>
      <c r="G2879" s="110" t="str">
        <f>HYPERLINK(AB2 &amp; "/wrench/sn_fc2fa4934cfb3483a92365172dd4f804/rendering/04.obj", "5.33220581055")</f>
        <v>5.33220581055</v>
      </c>
      <c r="H2879" s="23" t="str">
        <f>HYPERLINK(AB2 &amp; "/wrench/sn_fc2fa4934cfb3483a92365172dd4f804/rendering/05.obj", "5.04562896729")</f>
        <v>5.04562896729</v>
      </c>
      <c r="I2879" s="74" t="str">
        <f>HYPERLINK(AB2 &amp; "/wrench/sn_fc2fa4934cfb3483a92365172dd4f804/rendering/06.obj", "4.9276739502")</f>
        <v>4.9276739502</v>
      </c>
      <c r="J2879" s="30" t="str">
        <f>HYPERLINK(AB2 &amp; "/wrench/sn_fc2fa4934cfb3483a92365172dd4f804/rendering/07.obj", "4.87534667969")</f>
        <v>4.87534667969</v>
      </c>
      <c r="K2879" s="69" t="str">
        <f>HYPERLINK(AB2 &amp; "/wrench/sn_fc2fa4934cfb3483a92365172dd4f804/rendering/08.obj", "5.00963500977")</f>
        <v>5.00963500977</v>
      </c>
      <c r="L2879" s="30" t="str">
        <f>HYPERLINK(AB2 &amp; "/wrench/sn_fc2fa4934cfb3483a92365172dd4f804/rendering/09.obj", "4.88910705566")</f>
        <v>4.88910705566</v>
      </c>
      <c r="M2879" s="6" t="str">
        <f>HYPERLINK(AB2 &amp; "/wrench/sn_fc2fa4934cfb3483a92365172dd4f804/rendering/10.obj", "4.64444915771")</f>
        <v>4.64444915771</v>
      </c>
      <c r="N2879" s="30" t="str">
        <f>HYPERLINK(AB2 &amp; "/wrench/sn_fc2fa4934cfb3483a92365172dd4f804/rendering/11.obj", "4.84214904785")</f>
        <v>4.84214904785</v>
      </c>
      <c r="O2879" s="34" t="str">
        <f>HYPERLINK(AB2 &amp; "/wrench/sn_fc2fa4934cfb3483a92365172dd4f804/rendering/12.obj", "4.62904083252")</f>
        <v>4.62904083252</v>
      </c>
      <c r="P2879" s="91" t="str">
        <f>HYPERLINK(AB2 &amp; "/wrench/sn_fc2fa4934cfb3483a92365172dd4f804/rendering/13.obj", "4.73461791992")</f>
        <v>4.73461791992</v>
      </c>
      <c r="Q2879" s="72" t="str">
        <f>HYPERLINK(AB2 &amp; "/wrench/sn_fc2fa4934cfb3483a92365172dd4f804/rendering/14.obj", "5.01416137695")</f>
        <v>5.01416137695</v>
      </c>
      <c r="R2879" s="47" t="str">
        <f>HYPERLINK(AB2 &amp; "/wrench/sn_fc2fa4934cfb3483a92365172dd4f804/rendering/15.obj", "4.89678619385")</f>
        <v>4.89678619385</v>
      </c>
      <c r="S2879" s="94" t="str">
        <f>HYPERLINK(AB2 &amp; "/wrench/sn_fc2fa4934cfb3483a92365172dd4f804/rendering/16.obj", "5.21864013672")</f>
        <v>5.21864013672</v>
      </c>
      <c r="T2879" s="94" t="str">
        <f>HYPERLINK(AB2 &amp; "/wrench/sn_fc2fa4934cfb3483a92365172dd4f804/rendering/17.obj", "4.5029989624")</f>
        <v>4.5029989624</v>
      </c>
      <c r="U2879" s="6" t="str">
        <f>HYPERLINK(AB2 &amp; "/wrench/sn_fc2fa4934cfb3483a92365172dd4f804/rendering/18.obj", "4.63500610352")</f>
        <v>4.63500610352</v>
      </c>
      <c r="V2879" s="30" t="str">
        <f>HYPERLINK(AB2 &amp; "/wrench/sn_fc2fa4934cfb3483a92365172dd4f804/rendering/19.obj", "4.87882019043")</f>
        <v>4.87882019043</v>
      </c>
      <c r="W2879" s="12" t="s">
        <v>31</v>
      </c>
      <c r="X2879" s="13">
        <v>4.8592032012939459</v>
      </c>
      <c r="Y2879" s="13">
        <v>0.2046645408101192</v>
      </c>
      <c r="Z2879" s="68">
        <v>4.2118950850958348E-2</v>
      </c>
    </row>
    <row r="2880" spans="1:26" x14ac:dyDescent="0.2">
      <c r="A2880" s="1">
        <v>2878</v>
      </c>
      <c r="B2880" s="2" t="s">
        <v>608</v>
      </c>
      <c r="C2880" s="69" t="str">
        <f>HYPERLINK(AB2 &amp; "/wrench/sn_fc2fa4934cfb3483a92365172dd4f804/rendering/00.obj", "1.48680233955")</f>
        <v>1.48680233955</v>
      </c>
      <c r="D2880" s="47" t="str">
        <f>HYPERLINK(AB2 &amp; "/wrench/sn_fc2fa4934cfb3483a92365172dd4f804/rendering/01.obj", "1.52034795284")</f>
        <v>1.52034795284</v>
      </c>
      <c r="E2880" s="5" t="str">
        <f>HYPERLINK(AB2 &amp; "/wrench/sn_fc2fa4934cfb3483a92365172dd4f804/rendering/02.obj", "1.65408492088")</f>
        <v>1.65408492088</v>
      </c>
      <c r="F2880" s="74" t="str">
        <f>HYPERLINK(AB2 &amp; "/wrench/sn_fc2fa4934cfb3483a92365172dd4f804/rendering/03.obj", "1.55425834656")</f>
        <v>1.55425834656</v>
      </c>
      <c r="G2880" s="10" t="str">
        <f>HYPERLINK(AB2 &amp; "/wrench/sn_fc2fa4934cfb3483a92365172dd4f804/rendering/04.obj", "1.44916009903")</f>
        <v>1.44916009903</v>
      </c>
      <c r="H2880" s="91" t="str">
        <f>HYPERLINK(AB2 &amp; "/wrench/sn_fc2fa4934cfb3483a92365172dd4f804/rendering/05.obj", "1.49183154106")</f>
        <v>1.49183154106</v>
      </c>
      <c r="I2880" s="30" t="str">
        <f>HYPERLINK(AB2 &amp; "/wrench/sn_fc2fa4934cfb3483a92365172dd4f804/rendering/06.obj", "1.54063534737")</f>
        <v>1.54063534737</v>
      </c>
      <c r="J2880" s="27" t="str">
        <f>HYPERLINK(AB2 &amp; "/wrench/sn_fc2fa4934cfb3483a92365172dd4f804/rendering/07.obj", "1.42607331276")</f>
        <v>1.42607331276</v>
      </c>
      <c r="K2880" s="72" t="str">
        <f>HYPERLINK(AB2 &amp; "/wrench/sn_fc2fa4934cfb3483a92365172dd4f804/rendering/08.obj", "1.58663332462")</f>
        <v>1.58663332462</v>
      </c>
      <c r="L2880" s="72" t="str">
        <f>HYPERLINK(AB2 &amp; "/wrench/sn_fc2fa4934cfb3483a92365172dd4f804/rendering/09.obj", "1.48400235176")</f>
        <v>1.48400235176</v>
      </c>
      <c r="M2880" s="68" t="str">
        <f>HYPERLINK(AB2 &amp; "/wrench/sn_fc2fa4934cfb3483a92365172dd4f804/rendering/10.obj", "1.47126877308")</f>
        <v>1.47126877308</v>
      </c>
      <c r="N2880" s="46" t="str">
        <f>HYPERLINK(AB2 &amp; "/wrench/sn_fc2fa4934cfb3483a92365172dd4f804/rendering/11.obj", "1.51012527943")</f>
        <v>1.51012527943</v>
      </c>
      <c r="O2880" s="38" t="str">
        <f>HYPERLINK(AB2 &amp; "/wrench/sn_fc2fa4934cfb3483a92365172dd4f804/rendering/12.obj", "1.39757156372")</f>
        <v>1.39757156372</v>
      </c>
      <c r="P2880" s="6" t="str">
        <f>HYPERLINK(AB2 &amp; "/wrench/sn_fc2fa4934cfb3483a92365172dd4f804/rendering/13.obj", "1.46401107311")</f>
        <v>1.46401107311</v>
      </c>
      <c r="Q2880" s="32" t="str">
        <f>HYPERLINK(AB2 &amp; "/wrench/sn_fc2fa4934cfb3483a92365172dd4f804/rendering/14.obj", "1.37471580505")</f>
        <v>1.37471580505</v>
      </c>
      <c r="R2880" s="17" t="str">
        <f>HYPERLINK(AB2 &amp; "/wrench/sn_fc2fa4934cfb3483a92365172dd4f804/rendering/15.obj", "1.5637254715")</f>
        <v>1.5637254715</v>
      </c>
      <c r="S2880" s="13" t="str">
        <f>HYPERLINK(AB2 &amp; "/wrench/sn_fc2fa4934cfb3483a92365172dd4f804/rendering/16.obj", "1.53402042389")</f>
        <v>1.53402042389</v>
      </c>
      <c r="T2880" s="33" t="str">
        <f>HYPERLINK(AB2 &amp; "/wrench/sn_fc2fa4934cfb3483a92365172dd4f804/rendering/17.obj", "1.69983589649")</f>
        <v>1.69983589649</v>
      </c>
      <c r="U2880" s="107" t="str">
        <f>HYPERLINK(AB2 &amp; "/wrench/sn_fc2fa4934cfb3483a92365172dd4f804/rendering/18.obj", "1.65959727764")</f>
        <v>1.65959727764</v>
      </c>
      <c r="V2880" s="76" t="str">
        <f>HYPERLINK(AB2 &amp; "/wrench/sn_fc2fa4934cfb3483a92365172dd4f804/rendering/19.obj", "1.81691503525")</f>
        <v>1.81691503525</v>
      </c>
      <c r="W2880" s="12" t="s">
        <v>32</v>
      </c>
      <c r="X2880" s="13">
        <v>1.534280806779861</v>
      </c>
      <c r="Y2880" s="13">
        <v>0.10506426612712109</v>
      </c>
      <c r="Z2880" s="41">
        <v>6.8477859895561974E-2</v>
      </c>
    </row>
    <row r="2881" spans="1:26" x14ac:dyDescent="0.2">
      <c r="A2881" s="1">
        <v>2879</v>
      </c>
      <c r="B2881" s="2" t="s">
        <v>608</v>
      </c>
      <c r="C2881" s="13" t="str">
        <f>HYPERLINK(AC2 &amp; "/wrench/sn_fc2fa4934cfb3483a92365172dd4f804/rendering/00.xyz", "0.0")</f>
        <v>0.0</v>
      </c>
      <c r="D2881" s="13" t="str">
        <f>HYPERLINK(AC2 &amp; "/wrench/sn_fc2fa4934cfb3483a92365172dd4f804/rendering/01.xyz", "0.0")</f>
        <v>0.0</v>
      </c>
      <c r="E2881" s="13" t="str">
        <f>HYPERLINK(AC2 &amp; "/wrench/sn_fc2fa4934cfb3483a92365172dd4f804/rendering/02.xyz", "0.0")</f>
        <v>0.0</v>
      </c>
      <c r="F2881" s="13" t="str">
        <f>HYPERLINK(AC2 &amp; "/wrench/sn_fc2fa4934cfb3483a92365172dd4f804/rendering/03.xyz", "0.0")</f>
        <v>0.0</v>
      </c>
      <c r="G2881" s="13" t="str">
        <f>HYPERLINK(AC2 &amp; "/wrench/sn_fc2fa4934cfb3483a92365172dd4f804/rendering/04.xyz", "0.0")</f>
        <v>0.0</v>
      </c>
      <c r="H2881" s="13" t="str">
        <f>HYPERLINK(AC2 &amp; "/wrench/sn_fc2fa4934cfb3483a92365172dd4f804/rendering/05.xyz", "0.0")</f>
        <v>0.0</v>
      </c>
      <c r="I2881" s="13" t="str">
        <f>HYPERLINK(AC2 &amp; "/wrench/sn_fc2fa4934cfb3483a92365172dd4f804/rendering/06.xyz", "0.0")</f>
        <v>0.0</v>
      </c>
      <c r="J2881" s="13" t="str">
        <f>HYPERLINK(AC2 &amp; "/wrench/sn_fc2fa4934cfb3483a92365172dd4f804/rendering/07.xyz", "0.0")</f>
        <v>0.0</v>
      </c>
      <c r="K2881" s="13" t="str">
        <f>HYPERLINK(AC2 &amp; "/wrench/sn_fc2fa4934cfb3483a92365172dd4f804/rendering/08.xyz", "0.0")</f>
        <v>0.0</v>
      </c>
      <c r="L2881" s="13" t="str">
        <f>HYPERLINK(AC2 &amp; "/wrench/sn_fc2fa4934cfb3483a92365172dd4f804/rendering/09.xyz", "0.0")</f>
        <v>0.0</v>
      </c>
      <c r="M2881" s="13" t="str">
        <f>HYPERLINK(AC2 &amp; "/wrench/sn_fc2fa4934cfb3483a92365172dd4f804/rendering/10.xyz", "0.0")</f>
        <v>0.0</v>
      </c>
      <c r="N2881" s="13" t="str">
        <f>HYPERLINK(AC2 &amp; "/wrench/sn_fc2fa4934cfb3483a92365172dd4f804/rendering/11.xyz", "0.0")</f>
        <v>0.0</v>
      </c>
      <c r="O2881" s="13" t="str">
        <f>HYPERLINK(AC2 &amp; "/wrench/sn_fc2fa4934cfb3483a92365172dd4f804/rendering/12.xyz", "0.0")</f>
        <v>0.0</v>
      </c>
      <c r="P2881" s="13" t="str">
        <f>HYPERLINK(AC2 &amp; "/wrench/sn_fc2fa4934cfb3483a92365172dd4f804/rendering/13.xyz", "0.0")</f>
        <v>0.0</v>
      </c>
      <c r="Q2881" s="13" t="str">
        <f>HYPERLINK(AC2 &amp; "/wrench/sn_fc2fa4934cfb3483a92365172dd4f804/rendering/14.xyz", "0.0")</f>
        <v>0.0</v>
      </c>
      <c r="R2881" s="13" t="str">
        <f>HYPERLINK(AC2 &amp; "/wrench/sn_fc2fa4934cfb3483a92365172dd4f804/rendering/15.xyz", "0.0")</f>
        <v>0.0</v>
      </c>
      <c r="S2881" s="13" t="str">
        <f>HYPERLINK(AC2 &amp; "/wrench/sn_fc2fa4934cfb3483a92365172dd4f804/rendering/16.xyz", "0.0")</f>
        <v>0.0</v>
      </c>
      <c r="T2881" s="13" t="str">
        <f>HYPERLINK(AC2 &amp; "/wrench/sn_fc2fa4934cfb3483a92365172dd4f804/rendering/17.xyz", "0.0")</f>
        <v>0.0</v>
      </c>
      <c r="U2881" s="13" t="str">
        <f>HYPERLINK(AC2 &amp; "/wrench/sn_fc2fa4934cfb3483a92365172dd4f804/rendering/18.xyz", "0.0")</f>
        <v>0.0</v>
      </c>
      <c r="V2881" s="13" t="str">
        <f>HYPERLINK(AC2 &amp; "/wrench/sn_fc2fa4934cfb3483a92365172dd4f804/rendering/19.xyz", "0.0")</f>
        <v>0.0</v>
      </c>
      <c r="W2881" s="12" t="s">
        <v>33</v>
      </c>
      <c r="X2881" s="13">
        <v>0</v>
      </c>
      <c r="Y2881" s="13">
        <v>0</v>
      </c>
      <c r="Z2881" s="13">
        <v>0</v>
      </c>
    </row>
  </sheetData>
  <hyperlinks>
    <hyperlink ref="AA2" r:id="rId1" xr:uid="{B9581990-2793-714E-8269-72FF42C99495}"/>
    <hyperlink ref="AB2" r:id="rId2" xr:uid="{9A3CC067-82A6-304F-B734-85DBF27DC8D7}"/>
    <hyperlink ref="AC2" r:id="rId3" xr:uid="{A52B67EF-4DAA-DF4E-8849-8AB411E26C3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2020-05-31T15:23:25Z</dcterms:created>
  <dcterms:modified xsi:type="dcterms:W3CDTF">2020-06-03T14:05:25Z</dcterms:modified>
</cp:coreProperties>
</file>